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drawings/drawing4.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charts/chart6.xml" ContentType="application/vnd.openxmlformats-officedocument.drawingml.chart+xml"/>
  <Override PartName="/xl/drawings/drawing7.xml" ContentType="application/vnd.openxmlformats-officedocument.drawing+xml"/>
  <Override PartName="/xl/comments6.xml" ContentType="application/vnd.openxmlformats-officedocument.spreadsheetml.comments+xml"/>
  <Override PartName="/xl/charts/chart7.xml" ContentType="application/vnd.openxmlformats-officedocument.drawingml.chart+xml"/>
  <Override PartName="/xl/drawings/drawing8.xml" ContentType="application/vnd.openxmlformats-officedocument.drawingml.chartshapes+xml"/>
  <Override PartName="/xl/charts/chart8.xml" ContentType="application/vnd.openxmlformats-officedocument.drawingml.chart+xml"/>
  <Override PartName="/xl/charts/chart9.xml" ContentType="application/vnd.openxmlformats-officedocument.drawingml.chart+xml"/>
  <Override PartName="/xl/drawings/drawing9.xml" ContentType="application/vnd.openxmlformats-officedocument.drawing+xml"/>
  <Override PartName="/xl/comments7.xml" ContentType="application/vnd.openxmlformats-officedocument.spreadsheetml.comments+xml"/>
  <Override PartName="/xl/charts/chart10.xml" ContentType="application/vnd.openxmlformats-officedocument.drawingml.chart+xml"/>
  <Override PartName="/xl/drawings/drawing10.xml" ContentType="application/vnd.openxmlformats-officedocument.drawingml.chartshapes+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DieseArbeitsmappe"/>
  <mc:AlternateContent xmlns:mc="http://schemas.openxmlformats.org/markup-compatibility/2006">
    <mc:Choice Requires="x15">
      <x15ac:absPath xmlns:x15ac="http://schemas.microsoft.com/office/spreadsheetml/2010/11/ac" url="C:\BAC2\src\AWP_tool\excelFiles\"/>
    </mc:Choice>
  </mc:AlternateContent>
  <xr:revisionPtr revIDLastSave="0" documentId="13_ncr:1_{DECF6B58-96DD-4C64-843D-7E5D1D5F8555}" xr6:coauthVersionLast="47" xr6:coauthVersionMax="47" xr10:uidLastSave="{00000000-0000-0000-0000-000000000000}"/>
  <bookViews>
    <workbookView xWindow="3075" yWindow="3075" windowWidth="28800" windowHeight="15435" xr2:uid="{23DD044A-D1D9-49C7-8993-0BBBA1D15620}"/>
  </bookViews>
  <sheets>
    <sheet name="Eingabewerte" sheetId="28" r:id="rId1"/>
    <sheet name="Geraetedaten" sheetId="4" r:id="rId2"/>
    <sheet name="LMB-Parameter" sheetId="27" r:id="rId3"/>
    <sheet name="Gewichtsbilanz" sheetId="1" r:id="rId4"/>
    <sheet name="Standversuch" sheetId="25" r:id="rId5"/>
    <sheet name="Reichweite_BREIT" sheetId="14" r:id="rId6"/>
    <sheet name="Reichweite_SCHMAL" sheetId="23" r:id="rId7"/>
    <sheet name="Reichweite_BRSC" sheetId="24" r:id="rId8"/>
    <sheet name="Reichweite_50%" sheetId="29" r:id="rId9"/>
  </sheets>
  <definedNames>
    <definedName name="_C" localSheetId="8">'Reichweite_50%'!$W$13:$X$13</definedName>
    <definedName name="_C" localSheetId="5">Reichweite_BREIT!$X$13:$Y$13</definedName>
    <definedName name="_C" localSheetId="7">Reichweite_BRSC!$W$13:$X$13</definedName>
    <definedName name="_C" localSheetId="6">Reichweite_SCHMAL!$W$13:$X$13</definedName>
    <definedName name="_xlnm._FilterDatabase" localSheetId="0" hidden="1">Eingabewerte!$O$4:$O$6</definedName>
    <definedName name="_r1_Sw" localSheetId="8">'Reichweite_50%'!$Z$20</definedName>
    <definedName name="_r1_Sw" localSheetId="7">Reichweite_BRSC!$Z$20</definedName>
    <definedName name="_r1_Sw" localSheetId="6">Reichweite_SCHMAL!$Z$20</definedName>
    <definedName name="_r1_Sw">Reichweite_BREIT!$AA$20</definedName>
    <definedName name="_r2_Sw" localSheetId="8">'Reichweite_50%'!$Z$21</definedName>
    <definedName name="_r2_Sw" localSheetId="7">Reichweite_BRSC!$Z$21</definedName>
    <definedName name="_r2_Sw" localSheetId="6">Reichweite_SCHMAL!$Z$21</definedName>
    <definedName name="_r2_Sw">Reichweite_BREIT!$AA$21</definedName>
    <definedName name="AB" localSheetId="8">'Reichweite_50%'!$U$39:$W$39</definedName>
    <definedName name="AB" localSheetId="5">Reichweite_BREIT!$V$39:$X$39</definedName>
    <definedName name="AB" localSheetId="7">Reichweite_BRSC!$U$39:$W$39</definedName>
    <definedName name="AB" localSheetId="6">Reichweite_SCHMAL!$U$39:$W$39</definedName>
    <definedName name="Auftragsnummer">Standversuch!$J$5</definedName>
    <definedName name="B" localSheetId="8">'Reichweite_50%'!$W$12:$X$12</definedName>
    <definedName name="B" localSheetId="5">Reichweite_BREIT!$X$12:$Y$12</definedName>
    <definedName name="B" localSheetId="7">Reichweite_BRSC!$W$12:$X$12</definedName>
    <definedName name="B" localSheetId="6">Reichweite_SCHMAL!$W$12:$X$12</definedName>
    <definedName name="B">Gewichtsbilanz!$V$13:$W$13</definedName>
    <definedName name="BC" localSheetId="8">'Reichweite_50%'!$Y$39:$AA$39</definedName>
    <definedName name="BC" localSheetId="5">Reichweite_BREIT!$Z$39:$AB$39</definedName>
    <definedName name="BC" localSheetId="7">Reichweite_BRSC!$Y$39:$AA$39</definedName>
    <definedName name="BC" localSheetId="6">Reichweite_SCHMAL!$Y$39:$AA$39</definedName>
    <definedName name="CD" localSheetId="8">'Reichweite_50%'!$AC$39:$AE$39</definedName>
    <definedName name="CD" localSheetId="5">Reichweite_BREIT!$AD$39:$AF$39</definedName>
    <definedName name="CD" localSheetId="7">Reichweite_BRSC!$AC$39:$AE$39</definedName>
    <definedName name="CD" localSheetId="6">Reichweite_SCHMAL!$AC$39:$AE$39</definedName>
    <definedName name="Const" localSheetId="8">'Reichweite_50%'!$AE$13</definedName>
    <definedName name="Const" localSheetId="5">Reichweite_BREIT!$AF$13</definedName>
    <definedName name="Const" localSheetId="7">Reichweite_BRSC!$AE$13</definedName>
    <definedName name="Const" localSheetId="6">Reichweite_SCHMAL!$AE$13</definedName>
    <definedName name="Const">Gewichtsbilanz!$AD$13</definedName>
    <definedName name="Const_2" localSheetId="8">'Reichweite_50%'!$AE$14</definedName>
    <definedName name="Const_2" localSheetId="5">Reichweite_BREIT!$AF$14</definedName>
    <definedName name="Const_2" localSheetId="7">Reichweite_BRSC!$AE$14</definedName>
    <definedName name="Const_2" localSheetId="6">Reichweite_SCHMAL!$AE$14</definedName>
    <definedName name="Const_2">Gewichtsbilanz!$AD$15</definedName>
    <definedName name="D" localSheetId="8">'Reichweite_50%'!$W$14:$X$14</definedName>
    <definedName name="D" localSheetId="5">Reichweite_BREIT!$X$14:$Y$14</definedName>
    <definedName name="D" localSheetId="7">Reichweite_BRSC!$W$14:$X$14</definedName>
    <definedName name="D" localSheetId="6">Reichweite_SCHMAL!$W$14:$X$14</definedName>
    <definedName name="D">Gewichtsbilanz!$V$16:$W$16</definedName>
    <definedName name="d_y_Sw" localSheetId="8">'Reichweite_50%'!$W$23</definedName>
    <definedName name="d_y_Sw" localSheetId="7">Reichweite_BRSC!$W$23</definedName>
    <definedName name="d_y_Sw" localSheetId="6">Reichweite_SCHMAL!$W$23</definedName>
    <definedName name="d_y_Sw">Reichweite_BREIT!$X$23</definedName>
    <definedName name="DA" localSheetId="8">'Reichweite_50%'!$AG$39:$AI$39</definedName>
    <definedName name="DA" localSheetId="5">Reichweite_BREIT!$AH$39:$AJ$39</definedName>
    <definedName name="DA" localSheetId="7">Reichweite_BRSC!$AG$39:$AI$39</definedName>
    <definedName name="DA" localSheetId="6">Reichweite_SCHMAL!$AG$39:$AI$39</definedName>
    <definedName name="_xlnm.Print_Area" localSheetId="0">Eingabewerte!$A$1:$I$54</definedName>
    <definedName name="_xlnm.Print_Area" localSheetId="2">Standversuch!$A$251:$P$336</definedName>
    <definedName name="_xlnm.Print_Area" localSheetId="4">Standversuch!$A$1:$S$487</definedName>
    <definedName name="_xlnm.Print_Titles" localSheetId="4">Standversuch!$1:$7</definedName>
    <definedName name="F_G" localSheetId="8">'Reichweite_50%'!$AE$9</definedName>
    <definedName name="F_G" localSheetId="5">Reichweite_BREIT!$AF$9</definedName>
    <definedName name="F_G" localSheetId="7">Reichweite_BRSC!$AE$9</definedName>
    <definedName name="F_G" localSheetId="6">Reichweite_SCHMAL!$AE$9</definedName>
    <definedName name="F_G">Gewichtsbilanz!$AD$11</definedName>
    <definedName name="F_S" localSheetId="8">'Reichweite_50%'!$AE$10</definedName>
    <definedName name="F_S" localSheetId="5">Reichweite_BREIT!$AF$10</definedName>
    <definedName name="F_S" localSheetId="7">Reichweite_BRSC!$AE$10</definedName>
    <definedName name="F_S" localSheetId="6">Reichweite_SCHMAL!$AE$10</definedName>
    <definedName name="F_S">Gewichtsbilanz!$AD$12</definedName>
    <definedName name="F_SSw" localSheetId="8">'Reichweite_50%'!$Z$22</definedName>
    <definedName name="F_SSw" localSheetId="7">Reichweite_BRSC!$Z$22</definedName>
    <definedName name="F_SSw" localSheetId="6">Reichweite_SCHMAL!$Z$22</definedName>
    <definedName name="F_SSw">Reichweite_BREIT!$AA$22</definedName>
    <definedName name="G" localSheetId="8">'Reichweite_50%'!$B$14:$C$14</definedName>
    <definedName name="G" localSheetId="5">Reichweite_BREIT!$B$14:$C$14</definedName>
    <definedName name="G" localSheetId="7">Reichweite_BRSC!$B$14:$C$14</definedName>
    <definedName name="G" localSheetId="6">Reichweite_SCHMAL!$B$14:$C$14</definedName>
    <definedName name="G">Gewichtsbilanz!$B$16:$C$16</definedName>
    <definedName name="g_H" localSheetId="8">'Reichweite_50%'!$AA$29</definedName>
    <definedName name="g_H" localSheetId="7">Reichweite_BRSC!$AA$29</definedName>
    <definedName name="g_H" localSheetId="6">Reichweite_SCHMAL!$AA$29</definedName>
    <definedName name="g_H">Reichweite_BREIT!$AB$29</definedName>
    <definedName name="g_L" localSheetId="8">'Reichweite_50%'!$W$29</definedName>
    <definedName name="g_L" localSheetId="7">Reichweite_BRSC!$W$29</definedName>
    <definedName name="g_L" localSheetId="6">Reichweite_SCHMAL!$W$29</definedName>
    <definedName name="g_L">Reichweite_BREIT!$X$29</definedName>
    <definedName name="g_R" localSheetId="8">'Reichweite_50%'!$AE$29</definedName>
    <definedName name="g_R" localSheetId="7">Reichweite_BRSC!$AE$29</definedName>
    <definedName name="g_R" localSheetId="6">Reichweite_SCHMAL!$AE$29</definedName>
    <definedName name="g_R">Reichweite_BREIT!$AF$29</definedName>
    <definedName name="g_V" localSheetId="8">'Reichweite_50%'!$AI$29</definedName>
    <definedName name="g_V" localSheetId="7">Reichweite_BRSC!$AI$29</definedName>
    <definedName name="g_V" localSheetId="6">Reichweite_SCHMAL!$AI$29</definedName>
    <definedName name="g_V">Reichweite_BREIT!$AJ$29</definedName>
    <definedName name="gamma" localSheetId="8">'Reichweite_50%'!$E$9</definedName>
    <definedName name="gamma" localSheetId="5">Reichweite_BREIT!$E$9</definedName>
    <definedName name="gamma" localSheetId="7">Reichweite_BRSC!$E$9</definedName>
    <definedName name="gamma" localSheetId="6">Reichweite_SCHMAL!$E$9</definedName>
    <definedName name="gamma">Gewichtsbilanz!$E$14</definedName>
    <definedName name="gamma_k" localSheetId="8">'Reichweite_50%'!$E$12</definedName>
    <definedName name="gamma_k" localSheetId="5">Reichweite_BREIT!$E$12</definedName>
    <definedName name="gamma_k" localSheetId="7">Reichweite_BRSC!$E$12</definedName>
    <definedName name="gamma_k" localSheetId="6">Reichweite_SCHMAL!$E$12</definedName>
    <definedName name="gamma_k">Gewichtsbilanz!$E$13</definedName>
    <definedName name="h_Aw_Sw" localSheetId="8">'Reichweite_50%'!$Z$23</definedName>
    <definedName name="h_Aw_Sw" localSheetId="7">Reichweite_BRSC!$Z$23</definedName>
    <definedName name="h_Aw_Sw" localSheetId="6">Reichweite_SCHMAL!$Z$23</definedName>
    <definedName name="h_Aw_Sw">Reichweite_BREIT!$AA$23</definedName>
    <definedName name="HL_X" localSheetId="8">'Reichweite_50%'!$X$12</definedName>
    <definedName name="HL_X" localSheetId="5">Reichweite_BREIT!$Y$12</definedName>
    <definedName name="HL_X" localSheetId="7">Reichweite_BRSC!$X$12</definedName>
    <definedName name="HL_X" localSheetId="6">Reichweite_SCHMAL!$X$12</definedName>
    <definedName name="HL_X">Gewichtsbilanz!$W$13</definedName>
    <definedName name="HL_Z" localSheetId="8">'Reichweite_50%'!$W$12</definedName>
    <definedName name="HL_Z" localSheetId="5">Reichweite_BREIT!$X$12</definedName>
    <definedName name="HL_Z" localSheetId="7">Reichweite_BRSC!$W$12</definedName>
    <definedName name="HL_Z" localSheetId="6">Reichweite_SCHMAL!$W$12</definedName>
    <definedName name="HL_Z">Gewichtsbilanz!$V$13</definedName>
    <definedName name="HR_X" localSheetId="8">'Reichweite_50%'!$X$13</definedName>
    <definedName name="HR_X" localSheetId="5">Reichweite_BREIT!$Y$13</definedName>
    <definedName name="HR_X" localSheetId="7">Reichweite_BRSC!$X$13</definedName>
    <definedName name="HR_X" localSheetId="6">Reichweite_SCHMAL!$X$13</definedName>
    <definedName name="HR_X">Gewichtsbilanz!$W$15</definedName>
    <definedName name="HR_Z" localSheetId="8">'Reichweite_50%'!$W$13</definedName>
    <definedName name="HR_Z" localSheetId="5">Reichweite_BREIT!$X$13</definedName>
    <definedName name="HR_Z" localSheetId="7">Reichweite_BRSC!$W$13</definedName>
    <definedName name="HR_Z" localSheetId="6">Reichweite_SCHMAL!$W$13</definedName>
    <definedName name="HR_Z">Gewichtsbilanz!$V$15</definedName>
    <definedName name="Kunde">Standversuch!$B$5</definedName>
    <definedName name="m_HA">Eingabewerte!$K$18</definedName>
    <definedName name="m_liSei">Eingabewerte!$K$20</definedName>
    <definedName name="m_reSei">Eingabewerte!$K$19</definedName>
    <definedName name="m_VA">Eingabewerte!$K$17</definedName>
    <definedName name="O" localSheetId="8">'Reichweite_50%'!$B$13:$C$13</definedName>
    <definedName name="O" localSheetId="5">Reichweite_BREIT!$B$13:$C$13</definedName>
    <definedName name="O" localSheetId="7">Reichweite_BRSC!$B$13:$C$13</definedName>
    <definedName name="O" localSheetId="6">Reichweite_SCHMAL!$B$13:$C$13</definedName>
    <definedName name="O">Gewichtsbilanz!$B$15:$C$15</definedName>
    <definedName name="r_" localSheetId="8">'Reichweite_50%'!$E$4:$E$65536</definedName>
    <definedName name="r_" localSheetId="5">Reichweite_BREIT!$E$4:$E$65536</definedName>
    <definedName name="r_" localSheetId="7">Reichweite_BRSC!$E$4:$E$65536</definedName>
    <definedName name="r_" localSheetId="6">Reichweite_SCHMAL!$E$4:$E$65536</definedName>
    <definedName name="r_K_D" localSheetId="8">'Reichweite_50%'!$W$20</definedName>
    <definedName name="r_K_D" localSheetId="7">Reichweite_BRSC!$W$20</definedName>
    <definedName name="r_K_D" localSheetId="6">Reichweite_SCHMAL!$W$20</definedName>
    <definedName name="r_K_D">Reichweite_BREIT!$X$20</definedName>
    <definedName name="r_K_H" localSheetId="8">'Reichweite_50%'!$Y$32</definedName>
    <definedName name="r_K_H" localSheetId="7">Reichweite_BRSC!$Y$32</definedName>
    <definedName name="r_K_H" localSheetId="6">Reichweite_SCHMAL!$Y$32</definedName>
    <definedName name="r_K_H">Reichweite_BREIT!$Z$32</definedName>
    <definedName name="r_K_L" localSheetId="8">'Reichweite_50%'!$U$32</definedName>
    <definedName name="r_K_L" localSheetId="7">Reichweite_BRSC!$U$32</definedName>
    <definedName name="r_K_L" localSheetId="6">Reichweite_SCHMAL!$U$32</definedName>
    <definedName name="r_K_L">Reichweite_BREIT!$V$32</definedName>
    <definedName name="r_K_R" localSheetId="8">'Reichweite_50%'!$AC$32</definedName>
    <definedName name="r_K_R" localSheetId="7">Reichweite_BRSC!$AC$32</definedName>
    <definedName name="r_K_R" localSheetId="6">Reichweite_SCHMAL!$AC$32</definedName>
    <definedName name="r_K_R">Reichweite_BREIT!$AD$32</definedName>
    <definedName name="r_K_SSw" localSheetId="8">'Reichweite_50%'!$W$21</definedName>
    <definedName name="r_K_SSw" localSheetId="7">Reichweite_BRSC!$W$21</definedName>
    <definedName name="r_K_SSw" localSheetId="6">Reichweite_SCHMAL!$W$21</definedName>
    <definedName name="r_K_SSw">Reichweite_BREIT!$X$21</definedName>
    <definedName name="r_K_V" localSheetId="8">'Reichweite_50%'!$AG$32</definedName>
    <definedName name="r_K_V" localSheetId="7">Reichweite_BRSC!$AG$32</definedName>
    <definedName name="r_K_V" localSheetId="6">Reichweite_SCHMAL!$AG$32</definedName>
    <definedName name="r_K_V">Reichweite_BREIT!$AH$32</definedName>
    <definedName name="R_S" localSheetId="8">'Reichweite_50%'!$B$15:$C$15</definedName>
    <definedName name="R_S" localSheetId="5">Reichweite_BREIT!$B$15:$C$15</definedName>
    <definedName name="R_S" localSheetId="7">Reichweite_BRSC!$B$15:$C$15</definedName>
    <definedName name="R_S" localSheetId="6">Reichweite_SCHMAL!$B$15:$C$15</definedName>
    <definedName name="R_S">Gewichtsbilanz!$B$20:$C$20</definedName>
    <definedName name="r_Su_H" localSheetId="8">'Reichweite_50%'!$AA$32</definedName>
    <definedName name="r_Su_H" localSheetId="7">Reichweite_BRSC!$AA$32</definedName>
    <definedName name="r_Su_H" localSheetId="6">Reichweite_SCHMAL!$AA$32</definedName>
    <definedName name="r_Su_H">Reichweite_BREIT!$AB$32</definedName>
    <definedName name="r_Su_L" localSheetId="8">'Reichweite_50%'!$W$32</definedName>
    <definedName name="r_Su_L" localSheetId="7">Reichweite_BRSC!$W$32</definedName>
    <definedName name="r_Su_L" localSheetId="6">Reichweite_SCHMAL!$W$32</definedName>
    <definedName name="r_Su_L">Reichweite_BREIT!$X$32</definedName>
    <definedName name="r_Su_R" localSheetId="8">'Reichweite_50%'!$AE$32</definedName>
    <definedName name="r_Su_R" localSheetId="7">Reichweite_BRSC!$AE$32</definedName>
    <definedName name="r_Su_R" localSheetId="6">Reichweite_SCHMAL!$AE$32</definedName>
    <definedName name="r_Su_R">Reichweite_BREIT!$AF$32</definedName>
    <definedName name="r_Su_V" localSheetId="8">'Reichweite_50%'!$AI$32</definedName>
    <definedName name="r_Su_V" localSheetId="7">Reichweite_BRSC!$AI$32</definedName>
    <definedName name="r_Su_V" localSheetId="6">Reichweite_SCHMAL!$AI$32</definedName>
    <definedName name="r_Su_V">Reichweite_BREIT!$AJ$32</definedName>
    <definedName name="S_" localSheetId="8">'Reichweite_50%'!$B$9:$C$9</definedName>
    <definedName name="S_" localSheetId="5">Reichweite_BREIT!$B$9:$C$9</definedName>
    <definedName name="S_" localSheetId="7">Reichweite_BRSC!$B$9:$C$9</definedName>
    <definedName name="S_" localSheetId="6">Reichweite_SCHMAL!$B$9:$C$9</definedName>
    <definedName name="S_">Gewichtsbilanz!$B$14:$C$14</definedName>
    <definedName name="SPG_X" localSheetId="8">'Reichweite_50%'!$AE$11</definedName>
    <definedName name="SPG_X" localSheetId="5">Reichweite_BREIT!$AF$11</definedName>
    <definedName name="SPG_X" localSheetId="7">Reichweite_BRSC!$AE$11</definedName>
    <definedName name="SPG_X" localSheetId="6">Reichweite_SCHMAL!$AE$11</definedName>
    <definedName name="SPG_Z" localSheetId="8">'Reichweite_50%'!$AE$12</definedName>
    <definedName name="SPG_Z" localSheetId="5">Reichweite_BREIT!$AF$12</definedName>
    <definedName name="SPG_Z" localSheetId="7">Reichweite_BRSC!$AE$12</definedName>
    <definedName name="SPG_Z" localSheetId="6">Reichweite_SCHMAL!$AE$12</definedName>
    <definedName name="SPG_Z">Gewichtsbilanz!$B$16</definedName>
    <definedName name="_xlnm.Criteria" localSheetId="0">Eingabewerte!$P$4:$P$6</definedName>
    <definedName name="VL_X" localSheetId="8">'Reichweite_50%'!$X$11</definedName>
    <definedName name="VL_X" localSheetId="5">Reichweite_BREIT!$Y$11</definedName>
    <definedName name="VL_X" localSheetId="7">Reichweite_BRSC!$X$11</definedName>
    <definedName name="VL_X" localSheetId="6">Reichweite_SCHMAL!$X$11</definedName>
    <definedName name="VL_Z" localSheetId="8">'Reichweite_50%'!$W$11</definedName>
    <definedName name="VL_Z" localSheetId="5">Reichweite_BREIT!$X$11</definedName>
    <definedName name="VL_Z" localSheetId="7">Reichweite_BRSC!$W$11</definedName>
    <definedName name="VL_Z" localSheetId="6">Reichweite_SCHMAL!$W$11</definedName>
    <definedName name="VL_Z">Gewichtsbilanz!#REF!</definedName>
    <definedName name="VR_X" localSheetId="8">'Reichweite_50%'!$X$14</definedName>
    <definedName name="VR_X" localSheetId="5">Reichweite_BREIT!$Y$14</definedName>
    <definedName name="VR_X" localSheetId="7">Reichweite_BRSC!$X$14</definedName>
    <definedName name="VR_X" localSheetId="6">Reichweite_SCHMAL!$X$14</definedName>
    <definedName name="VR_X">Gewichtsbilanz!$W$16</definedName>
    <definedName name="VR_Z" localSheetId="8">'Reichweite_50%'!$W$14</definedName>
    <definedName name="VR_Z" localSheetId="5">Reichweite_BREIT!$X$14</definedName>
    <definedName name="VR_Z" localSheetId="7">Reichweite_BRSC!$W$14</definedName>
    <definedName name="VR_Z" localSheetId="6">Reichweite_SCHMAL!$W$14</definedName>
    <definedName name="VR_Z">Gewichtsbilanz!$V$16</definedName>
    <definedName name="x" localSheetId="8">'Reichweite_50%'!$X$12:$X$13</definedName>
    <definedName name="x" localSheetId="5">Reichweite_BREIT!$Y$12:$Y$13</definedName>
    <definedName name="x" localSheetId="7">Reichweite_BRSC!$X$12:$X$13</definedName>
    <definedName name="x" localSheetId="6">Reichweite_SCHMAL!$X$12:$X$13</definedName>
    <definedName name="x">Gewichtsbilanz!$W$13:$W$15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55" i="23" l="1"/>
  <c r="N55" i="23"/>
  <c r="H56" i="23"/>
  <c r="K56" i="23"/>
  <c r="P45" i="23"/>
  <c r="Q45" i="23"/>
  <c r="P44" i="23"/>
  <c r="P43" i="23"/>
  <c r="C48" i="23"/>
  <c r="C39" i="23"/>
  <c r="N56" i="23" l="1"/>
  <c r="T39" i="14"/>
  <c r="S39" i="14"/>
  <c r="Q39" i="14"/>
  <c r="Q31" i="14"/>
  <c r="Q33" i="14"/>
  <c r="Q32" i="14"/>
  <c r="R39" i="14"/>
  <c r="T38" i="14"/>
  <c r="T219" i="14"/>
  <c r="U219" i="14"/>
  <c r="T220" i="14"/>
  <c r="U220" i="14"/>
  <c r="Q41" i="23"/>
  <c r="R41" i="23" s="1"/>
  <c r="S43" i="23"/>
  <c r="P44" i="28" l="1"/>
  <c r="N48" i="28"/>
  <c r="N49" i="28"/>
  <c r="AB11" i="4"/>
  <c r="V37" i="4"/>
  <c r="C79" i="4" l="1"/>
  <c r="B79" i="4"/>
  <c r="V36" i="4" l="1"/>
  <c r="V35" i="4"/>
  <c r="S36" i="4"/>
  <c r="S35" i="4"/>
  <c r="V11" i="4" l="1"/>
  <c r="Q169" i="4"/>
  <c r="Q166" i="4"/>
  <c r="Q156" i="4"/>
  <c r="R156" i="4" s="1"/>
  <c r="R153" i="4"/>
  <c r="Q153" i="4"/>
  <c r="Q333" i="25" l="1"/>
  <c r="Q340" i="25" s="1"/>
  <c r="Q344" i="25" s="1"/>
  <c r="Q310" i="25"/>
  <c r="Q312" i="25" s="1"/>
  <c r="Q314" i="25" s="1"/>
  <c r="Q319" i="25"/>
  <c r="Q321" i="25" s="1"/>
  <c r="Q354" i="25"/>
  <c r="Q356" i="25" s="1"/>
  <c r="Q365" i="25"/>
  <c r="Q367" i="25" s="1"/>
  <c r="Q377" i="25"/>
  <c r="Q379" i="25" s="1"/>
  <c r="Q381" i="25" s="1"/>
  <c r="Q386" i="25"/>
  <c r="Q388" i="25" s="1"/>
  <c r="O185" i="25"/>
  <c r="L185" i="25"/>
  <c r="Q235" i="25"/>
  <c r="Q236" i="25" s="1"/>
  <c r="Q237" i="25" s="1"/>
  <c r="Q246" i="25"/>
  <c r="N246" i="25"/>
  <c r="Q406" i="25"/>
  <c r="Q412" i="25" s="1"/>
  <c r="Q414" i="25" s="1"/>
  <c r="O406" i="25"/>
  <c r="O412" i="25" s="1"/>
  <c r="O414" i="25" s="1"/>
  <c r="O465" i="25"/>
  <c r="O466" i="25" s="1"/>
  <c r="O467" i="25" s="1"/>
  <c r="O468" i="25" s="1"/>
  <c r="O469" i="25" s="1"/>
  <c r="O470" i="25" s="1"/>
  <c r="O471" i="25" s="1"/>
  <c r="O472" i="25" s="1"/>
  <c r="O473" i="25" s="1"/>
  <c r="O474" i="25" s="1"/>
  <c r="O475" i="25" s="1"/>
  <c r="D99" i="27" l="1"/>
  <c r="F119" i="27"/>
  <c r="E119" i="27"/>
  <c r="E118" i="27"/>
  <c r="E108" i="27"/>
  <c r="D102" i="27"/>
  <c r="D101" i="27"/>
  <c r="B132" i="4"/>
  <c r="B134" i="4"/>
  <c r="D37" i="28"/>
  <c r="B133" i="4" s="1"/>
  <c r="V365" i="25" l="1"/>
  <c r="U365" i="25"/>
  <c r="D122" i="27" l="1"/>
  <c r="D123" i="27" s="1"/>
  <c r="H106" i="27"/>
  <c r="G106" i="27"/>
  <c r="H116" i="27"/>
  <c r="G116" i="27"/>
  <c r="G121" i="27"/>
  <c r="G120" i="27"/>
  <c r="G119" i="27"/>
  <c r="G118" i="27"/>
  <c r="D111" i="27"/>
  <c r="D112" i="27" s="1"/>
  <c r="G110" i="27"/>
  <c r="G109" i="27"/>
  <c r="G108" i="27"/>
  <c r="G122" i="27" l="1"/>
  <c r="D125" i="27" s="1"/>
  <c r="D130" i="27" s="1"/>
  <c r="G111" i="27"/>
  <c r="D114" i="27" s="1"/>
  <c r="D129" i="27" l="1"/>
  <c r="F70" i="1"/>
  <c r="E70" i="1"/>
  <c r="D70" i="1"/>
  <c r="C70" i="1"/>
  <c r="B70" i="1"/>
  <c r="F69" i="1"/>
  <c r="E69" i="1"/>
  <c r="D69" i="1"/>
  <c r="C69" i="1"/>
  <c r="B69" i="1"/>
  <c r="F68" i="1"/>
  <c r="E68" i="1"/>
  <c r="D68" i="1"/>
  <c r="C68" i="1"/>
  <c r="B68" i="1"/>
  <c r="F67" i="1"/>
  <c r="E67" i="1"/>
  <c r="D67" i="1"/>
  <c r="C67" i="1"/>
  <c r="B67" i="1"/>
  <c r="H70" i="1" l="1"/>
  <c r="M58" i="1" s="1"/>
  <c r="H69" i="1"/>
  <c r="M57" i="1" s="1"/>
  <c r="H68" i="1"/>
  <c r="M55" i="1" s="1"/>
  <c r="H67" i="1"/>
  <c r="M54" i="1" s="1"/>
  <c r="K95" i="25"/>
  <c r="Z111" i="25"/>
  <c r="K96" i="25"/>
  <c r="K93" i="25"/>
  <c r="M105" i="25" l="1"/>
  <c r="B5" i="25" l="1"/>
  <c r="K5" i="25"/>
  <c r="S431" i="25"/>
  <c r="S429" i="25"/>
  <c r="S423" i="25"/>
  <c r="S421" i="25"/>
  <c r="S414" i="25"/>
  <c r="S412" i="25"/>
  <c r="S406" i="25"/>
  <c r="S404" i="25"/>
  <c r="U388" i="25"/>
  <c r="U386" i="25"/>
  <c r="U384" i="25"/>
  <c r="U381" i="25"/>
  <c r="U379" i="25"/>
  <c r="U377" i="25"/>
  <c r="U375" i="25"/>
  <c r="U367" i="25"/>
  <c r="V363" i="25"/>
  <c r="U363" i="25"/>
  <c r="V360" i="25"/>
  <c r="U360" i="25"/>
  <c r="U359" i="25"/>
  <c r="V358" i="25"/>
  <c r="U358" i="25"/>
  <c r="U357" i="25"/>
  <c r="V356" i="25"/>
  <c r="U356" i="25"/>
  <c r="U355" i="25"/>
  <c r="V354" i="25"/>
  <c r="U354" i="25"/>
  <c r="V352" i="25"/>
  <c r="U352" i="25"/>
  <c r="V344" i="25"/>
  <c r="U344" i="25"/>
  <c r="V342" i="25"/>
  <c r="U342" i="25"/>
  <c r="V340" i="25"/>
  <c r="U340" i="25"/>
  <c r="V337" i="25"/>
  <c r="V335" i="25"/>
  <c r="U335" i="25"/>
  <c r="U333" i="25"/>
  <c r="V331" i="25"/>
  <c r="U331" i="25"/>
  <c r="U330" i="25"/>
  <c r="V329" i="25"/>
  <c r="U329" i="25"/>
  <c r="U321" i="25"/>
  <c r="U319" i="25"/>
  <c r="V317" i="25"/>
  <c r="U317" i="25"/>
  <c r="U315" i="25"/>
  <c r="V314" i="25"/>
  <c r="U314" i="25"/>
  <c r="V312" i="25"/>
  <c r="U312" i="25"/>
  <c r="V310" i="25"/>
  <c r="U310" i="25"/>
  <c r="V308" i="25"/>
  <c r="U308" i="25"/>
  <c r="E23" i="25"/>
  <c r="E22" i="25"/>
  <c r="E21" i="25"/>
  <c r="E20" i="25"/>
  <c r="E19" i="25"/>
  <c r="E18" i="25"/>
  <c r="E17" i="25"/>
  <c r="E16" i="25"/>
  <c r="E15" i="25"/>
  <c r="E14" i="25"/>
  <c r="B99" i="4" l="1"/>
  <c r="S37" i="4"/>
  <c r="M51" i="1" l="1"/>
  <c r="K51" i="1"/>
  <c r="E51" i="1"/>
  <c r="R54" i="4" l="1"/>
  <c r="K20" i="28" l="1"/>
  <c r="D55" i="4" l="1"/>
  <c r="E55" i="4"/>
  <c r="D56" i="4"/>
  <c r="E56" i="4"/>
  <c r="D57" i="4"/>
  <c r="E57" i="4"/>
  <c r="D58" i="4"/>
  <c r="E58" i="4"/>
  <c r="D59" i="4"/>
  <c r="E59" i="4"/>
  <c r="D60" i="4"/>
  <c r="E60" i="4"/>
  <c r="D61" i="4"/>
  <c r="E61" i="4"/>
  <c r="E54" i="4"/>
  <c r="D54" i="4"/>
  <c r="E122" i="27" l="1"/>
  <c r="E123" i="27" s="1"/>
  <c r="H121" i="27"/>
  <c r="H120" i="27"/>
  <c r="H119" i="27"/>
  <c r="H118" i="27"/>
  <c r="H110" i="27"/>
  <c r="H109" i="27"/>
  <c r="H122" i="27" l="1"/>
  <c r="E125" i="27" l="1"/>
  <c r="E130" i="27" s="1"/>
  <c r="D55" i="28" s="1"/>
  <c r="B8" i="4" l="1"/>
  <c r="B9" i="4"/>
  <c r="B68" i="4"/>
  <c r="H68" i="4" s="1"/>
  <c r="D66" i="4"/>
  <c r="K17" i="28"/>
  <c r="K18" i="28"/>
  <c r="K19" i="28"/>
  <c r="M36" i="28"/>
  <c r="E30" i="1"/>
  <c r="B169" i="4"/>
  <c r="B166" i="4"/>
  <c r="P133" i="4"/>
  <c r="AB66" i="4"/>
  <c r="AA11" i="4"/>
  <c r="Y58" i="4" s="1"/>
  <c r="Z11" i="4"/>
  <c r="Y55" i="4" s="1"/>
  <c r="Y11" i="4"/>
  <c r="Y54" i="4" s="1"/>
  <c r="B147" i="4"/>
  <c r="A147" i="4"/>
  <c r="B163" i="4"/>
  <c r="B162" i="4"/>
  <c r="B161" i="4"/>
  <c r="B175" i="4"/>
  <c r="T220" i="24" s="1"/>
  <c r="B176" i="4"/>
  <c r="B174" i="4"/>
  <c r="AE15" i="29" s="1"/>
  <c r="B156" i="4"/>
  <c r="S11" i="4"/>
  <c r="B6" i="4" s="1"/>
  <c r="M35" i="28"/>
  <c r="M49" i="28"/>
  <c r="A58" i="4"/>
  <c r="B58" i="4"/>
  <c r="F58" i="4" s="1"/>
  <c r="C58" i="4"/>
  <c r="A59" i="4"/>
  <c r="B59" i="4"/>
  <c r="F59" i="4" s="1"/>
  <c r="C59" i="4"/>
  <c r="A60" i="4"/>
  <c r="B60" i="4"/>
  <c r="C60" i="4"/>
  <c r="A61" i="4"/>
  <c r="B61" i="4"/>
  <c r="H61" i="4" s="1"/>
  <c r="C61" i="4"/>
  <c r="M29" i="28"/>
  <c r="A55" i="4"/>
  <c r="B55" i="4"/>
  <c r="F55" i="4" s="1"/>
  <c r="C55" i="4"/>
  <c r="A56" i="4"/>
  <c r="B56" i="4"/>
  <c r="H56" i="4" s="1"/>
  <c r="C56" i="4"/>
  <c r="A57" i="4"/>
  <c r="B57" i="4"/>
  <c r="H57" i="4" s="1"/>
  <c r="C57" i="4"/>
  <c r="C54" i="4"/>
  <c r="B54" i="4"/>
  <c r="F54" i="4" s="1"/>
  <c r="A54" i="4"/>
  <c r="B28" i="28"/>
  <c r="AX222" i="14"/>
  <c r="AX223" i="14"/>
  <c r="AX224" i="14"/>
  <c r="AX225" i="14"/>
  <c r="AX226" i="14"/>
  <c r="AX227" i="14"/>
  <c r="AX228" i="14"/>
  <c r="AX229" i="14"/>
  <c r="AX230" i="14"/>
  <c r="AX231" i="14"/>
  <c r="AX232" i="14"/>
  <c r="AX233" i="14"/>
  <c r="AX234" i="14"/>
  <c r="AX235" i="14"/>
  <c r="AX236" i="14"/>
  <c r="AX237" i="14"/>
  <c r="AX238" i="14"/>
  <c r="AX239" i="14"/>
  <c r="AX240" i="14"/>
  <c r="AX241" i="14"/>
  <c r="AX242" i="14"/>
  <c r="AX243" i="14"/>
  <c r="AX244" i="14"/>
  <c r="AX245" i="14"/>
  <c r="AX246" i="14"/>
  <c r="AX247" i="14"/>
  <c r="AX248" i="14"/>
  <c r="AX249" i="14"/>
  <c r="AX250" i="14"/>
  <c r="AX251" i="14"/>
  <c r="AX252" i="14"/>
  <c r="AX253" i="14"/>
  <c r="AX254" i="14"/>
  <c r="AX255" i="14"/>
  <c r="AX256" i="14"/>
  <c r="AX257" i="14"/>
  <c r="AX258" i="14"/>
  <c r="AX259" i="14"/>
  <c r="AX260" i="14"/>
  <c r="AX261" i="14"/>
  <c r="AX262" i="14"/>
  <c r="AX263" i="14"/>
  <c r="AX264" i="14"/>
  <c r="AX265" i="14"/>
  <c r="AX266" i="14"/>
  <c r="AX267" i="14"/>
  <c r="AX268" i="14"/>
  <c r="AX269" i="14"/>
  <c r="AX270" i="14"/>
  <c r="AX271" i="14"/>
  <c r="AX272" i="14"/>
  <c r="AX273" i="14"/>
  <c r="AX274" i="14"/>
  <c r="AX275" i="14"/>
  <c r="AX276" i="14"/>
  <c r="AX277" i="14"/>
  <c r="AX278" i="14"/>
  <c r="AX279" i="14"/>
  <c r="AX280" i="14"/>
  <c r="AX281" i="14"/>
  <c r="AX282" i="14"/>
  <c r="AX283" i="14"/>
  <c r="AX284" i="14"/>
  <c r="AX285" i="14"/>
  <c r="AX286" i="14"/>
  <c r="AX287" i="14"/>
  <c r="AX288" i="14"/>
  <c r="AX289" i="14"/>
  <c r="AX290" i="14"/>
  <c r="AX291" i="14"/>
  <c r="AX292" i="14"/>
  <c r="AX293" i="14"/>
  <c r="AX294" i="14"/>
  <c r="AX295" i="14"/>
  <c r="AX296" i="14"/>
  <c r="AX297" i="14"/>
  <c r="AX298" i="14"/>
  <c r="AX299" i="14"/>
  <c r="AX300" i="14"/>
  <c r="AX301" i="14"/>
  <c r="AX302" i="14"/>
  <c r="AX303" i="14"/>
  <c r="AX304" i="14"/>
  <c r="AX305" i="14"/>
  <c r="AX306" i="14"/>
  <c r="AX307" i="14"/>
  <c r="AX308" i="14"/>
  <c r="AX309" i="14"/>
  <c r="AX310" i="14"/>
  <c r="AX311" i="14"/>
  <c r="AX312" i="14"/>
  <c r="AX313" i="14"/>
  <c r="AX314" i="14"/>
  <c r="AX315" i="14"/>
  <c r="AX316" i="14"/>
  <c r="AX317" i="14"/>
  <c r="AX318" i="14"/>
  <c r="AX319" i="14"/>
  <c r="AX320" i="14"/>
  <c r="AX321" i="14"/>
  <c r="AX322" i="14"/>
  <c r="AX323" i="14"/>
  <c r="AX324" i="14"/>
  <c r="AX325" i="14"/>
  <c r="AX326" i="14"/>
  <c r="AX327" i="14"/>
  <c r="AX328" i="14"/>
  <c r="AX329" i="14"/>
  <c r="AX330" i="14"/>
  <c r="AX331" i="14"/>
  <c r="AX332" i="14"/>
  <c r="AX333" i="14"/>
  <c r="AX334" i="14"/>
  <c r="AX335" i="14"/>
  <c r="AX336" i="14"/>
  <c r="AX337" i="14"/>
  <c r="AX338" i="14"/>
  <c r="AX339" i="14"/>
  <c r="AX340" i="14"/>
  <c r="AX341" i="14"/>
  <c r="AX342" i="14"/>
  <c r="AX343" i="14"/>
  <c r="AX344" i="14"/>
  <c r="AX345" i="14"/>
  <c r="AX346" i="14"/>
  <c r="AX347" i="14"/>
  <c r="AX348" i="14"/>
  <c r="AX349" i="14"/>
  <c r="AX350" i="14"/>
  <c r="AX351" i="14"/>
  <c r="AX352" i="14"/>
  <c r="AX353" i="14"/>
  <c r="AX354" i="14"/>
  <c r="AX355" i="14"/>
  <c r="AX356" i="14"/>
  <c r="AX357" i="14"/>
  <c r="AX358" i="14"/>
  <c r="AX359" i="14"/>
  <c r="AX360" i="14"/>
  <c r="AX361" i="14"/>
  <c r="AX362" i="14"/>
  <c r="AX363" i="14"/>
  <c r="AX364" i="14"/>
  <c r="AX365" i="14"/>
  <c r="AX366" i="14"/>
  <c r="AX367" i="14"/>
  <c r="AX368" i="14"/>
  <c r="AX369" i="14"/>
  <c r="AX370" i="14"/>
  <c r="AX371" i="14"/>
  <c r="AX372" i="14"/>
  <c r="AX373" i="14"/>
  <c r="AX374" i="14"/>
  <c r="AX375" i="14"/>
  <c r="AX376" i="14"/>
  <c r="AX377" i="14"/>
  <c r="AX378" i="14"/>
  <c r="AX379" i="14"/>
  <c r="AX380" i="14"/>
  <c r="AX381" i="14"/>
  <c r="AX382" i="14"/>
  <c r="AX383" i="14"/>
  <c r="AX384" i="14"/>
  <c r="AX385" i="14"/>
  <c r="AX386" i="14"/>
  <c r="AX387" i="14"/>
  <c r="AX388" i="14"/>
  <c r="AX389" i="14"/>
  <c r="AX390" i="14"/>
  <c r="AX391" i="14"/>
  <c r="AX392" i="14"/>
  <c r="AX393" i="14"/>
  <c r="AX394" i="14"/>
  <c r="AX395" i="14"/>
  <c r="AX396" i="14"/>
  <c r="AX397" i="14"/>
  <c r="AX398" i="14"/>
  <c r="AX399" i="14"/>
  <c r="AX400" i="14"/>
  <c r="AX221" i="14"/>
  <c r="B77" i="4"/>
  <c r="H77" i="4" s="1"/>
  <c r="B400" i="29"/>
  <c r="B399" i="29"/>
  <c r="B398" i="29"/>
  <c r="B397" i="29"/>
  <c r="B396" i="29"/>
  <c r="B395" i="29"/>
  <c r="B394" i="29"/>
  <c r="B393" i="29"/>
  <c r="B392" i="29"/>
  <c r="B391" i="29"/>
  <c r="B390" i="29"/>
  <c r="B389" i="29"/>
  <c r="B388" i="29"/>
  <c r="B387" i="29"/>
  <c r="B386" i="29"/>
  <c r="B385" i="29"/>
  <c r="B384" i="29"/>
  <c r="B383" i="29"/>
  <c r="B382" i="29"/>
  <c r="B381" i="29"/>
  <c r="B380" i="29"/>
  <c r="B379" i="29"/>
  <c r="B378" i="29"/>
  <c r="B377" i="29"/>
  <c r="B376" i="29"/>
  <c r="B375" i="29"/>
  <c r="B374" i="29"/>
  <c r="B373" i="29"/>
  <c r="B372" i="29"/>
  <c r="B371" i="29"/>
  <c r="B370" i="29"/>
  <c r="B369" i="29"/>
  <c r="B368" i="29"/>
  <c r="B367" i="29"/>
  <c r="B366" i="29"/>
  <c r="B365" i="29"/>
  <c r="B364" i="29"/>
  <c r="B363" i="29"/>
  <c r="B362" i="29"/>
  <c r="B361" i="29"/>
  <c r="B360" i="29"/>
  <c r="B359" i="29"/>
  <c r="B358" i="29"/>
  <c r="B357" i="29"/>
  <c r="B356" i="29"/>
  <c r="B355" i="29"/>
  <c r="B354" i="29"/>
  <c r="B353" i="29"/>
  <c r="B352" i="29"/>
  <c r="B351" i="29"/>
  <c r="B350" i="29"/>
  <c r="B349" i="29"/>
  <c r="B348" i="29"/>
  <c r="B347" i="29"/>
  <c r="B346" i="29"/>
  <c r="B345" i="29"/>
  <c r="B344" i="29"/>
  <c r="B343" i="29"/>
  <c r="B342" i="29"/>
  <c r="B341" i="29"/>
  <c r="B340" i="29"/>
  <c r="B339" i="29"/>
  <c r="B338" i="29"/>
  <c r="B337" i="29"/>
  <c r="B336" i="29"/>
  <c r="B335" i="29"/>
  <c r="B334" i="29"/>
  <c r="B333" i="29"/>
  <c r="B332" i="29"/>
  <c r="B331" i="29"/>
  <c r="B330" i="29"/>
  <c r="B329" i="29"/>
  <c r="B328" i="29"/>
  <c r="B327" i="29"/>
  <c r="B326" i="29"/>
  <c r="B325" i="29"/>
  <c r="B324" i="29"/>
  <c r="B323" i="29"/>
  <c r="B322" i="29"/>
  <c r="B321" i="29"/>
  <c r="B320" i="29"/>
  <c r="B319" i="29"/>
  <c r="B318" i="29"/>
  <c r="B317" i="29"/>
  <c r="B316" i="29"/>
  <c r="B315" i="29"/>
  <c r="B314" i="29"/>
  <c r="B313" i="29"/>
  <c r="B312" i="29"/>
  <c r="B311" i="29"/>
  <c r="B310" i="29"/>
  <c r="B309" i="29"/>
  <c r="B308" i="29"/>
  <c r="B307" i="29"/>
  <c r="B306" i="29"/>
  <c r="B305" i="29"/>
  <c r="B304" i="29"/>
  <c r="B303" i="29"/>
  <c r="B302" i="29"/>
  <c r="B301" i="29"/>
  <c r="B300" i="29"/>
  <c r="B299" i="29"/>
  <c r="B298" i="29"/>
  <c r="B297" i="29"/>
  <c r="B296" i="29"/>
  <c r="B295" i="29"/>
  <c r="B294" i="29"/>
  <c r="B293" i="29"/>
  <c r="B292" i="29"/>
  <c r="B291" i="29"/>
  <c r="B290" i="29"/>
  <c r="B289" i="29"/>
  <c r="B288" i="29"/>
  <c r="B287" i="29"/>
  <c r="B286" i="29"/>
  <c r="B285" i="29"/>
  <c r="B284" i="29"/>
  <c r="B283" i="29"/>
  <c r="B282" i="29"/>
  <c r="B281" i="29"/>
  <c r="B280" i="29"/>
  <c r="B279" i="29"/>
  <c r="B278" i="29"/>
  <c r="B277" i="29"/>
  <c r="B276" i="29"/>
  <c r="B275" i="29"/>
  <c r="B274" i="29"/>
  <c r="B273" i="29"/>
  <c r="B272" i="29"/>
  <c r="B271" i="29"/>
  <c r="B270" i="29"/>
  <c r="B269" i="29"/>
  <c r="B268" i="29"/>
  <c r="B267" i="29"/>
  <c r="B266" i="29"/>
  <c r="B265" i="29"/>
  <c r="B264" i="29"/>
  <c r="B263" i="29"/>
  <c r="B262" i="29"/>
  <c r="B261" i="29"/>
  <c r="B260" i="29"/>
  <c r="B259" i="29"/>
  <c r="B258" i="29"/>
  <c r="B257" i="29"/>
  <c r="B256" i="29"/>
  <c r="B255" i="29"/>
  <c r="B254" i="29"/>
  <c r="B253" i="29"/>
  <c r="B252" i="29"/>
  <c r="B251" i="29"/>
  <c r="B250" i="29"/>
  <c r="B249" i="29"/>
  <c r="B248" i="29"/>
  <c r="B247" i="29"/>
  <c r="B246" i="29"/>
  <c r="B245" i="29"/>
  <c r="B244" i="29"/>
  <c r="B243" i="29"/>
  <c r="B242" i="29"/>
  <c r="B241" i="29"/>
  <c r="B240" i="29"/>
  <c r="B239" i="29"/>
  <c r="B238" i="29"/>
  <c r="B237" i="29"/>
  <c r="B236" i="29"/>
  <c r="B235" i="29"/>
  <c r="B234" i="29"/>
  <c r="B233" i="29"/>
  <c r="B232" i="29"/>
  <c r="B231" i="29"/>
  <c r="B230" i="29"/>
  <c r="B229" i="29"/>
  <c r="B228" i="29"/>
  <c r="B227" i="29"/>
  <c r="B226" i="29"/>
  <c r="B225" i="29"/>
  <c r="B224" i="29"/>
  <c r="B223" i="29"/>
  <c r="B222" i="29"/>
  <c r="B221" i="29"/>
  <c r="B218" i="29"/>
  <c r="B217" i="29"/>
  <c r="B216" i="29"/>
  <c r="B215" i="29"/>
  <c r="B214" i="29"/>
  <c r="B213" i="29"/>
  <c r="B212" i="29"/>
  <c r="B211" i="29"/>
  <c r="B210" i="29"/>
  <c r="B209" i="29"/>
  <c r="B208" i="29"/>
  <c r="B207" i="29"/>
  <c r="B206" i="29"/>
  <c r="B205" i="29"/>
  <c r="B204" i="29"/>
  <c r="B203" i="29"/>
  <c r="B202" i="29"/>
  <c r="B201" i="29"/>
  <c r="B200" i="29"/>
  <c r="B199" i="29"/>
  <c r="B198" i="29"/>
  <c r="B197" i="29"/>
  <c r="B196" i="29"/>
  <c r="B195" i="29"/>
  <c r="B194" i="29"/>
  <c r="B193" i="29"/>
  <c r="B192" i="29"/>
  <c r="B191" i="29"/>
  <c r="B190" i="29"/>
  <c r="B189" i="29"/>
  <c r="B188" i="29"/>
  <c r="B187" i="29"/>
  <c r="B186" i="29"/>
  <c r="B185" i="29"/>
  <c r="B184" i="29"/>
  <c r="B183" i="29"/>
  <c r="B182" i="29"/>
  <c r="B181" i="29"/>
  <c r="B180" i="29"/>
  <c r="B179" i="29"/>
  <c r="B178" i="29"/>
  <c r="B177" i="29"/>
  <c r="B176" i="29"/>
  <c r="B175" i="29"/>
  <c r="B174" i="29"/>
  <c r="B173" i="29"/>
  <c r="B172" i="29"/>
  <c r="B171" i="29"/>
  <c r="B170" i="29"/>
  <c r="B169" i="29"/>
  <c r="B168" i="29"/>
  <c r="B167" i="29"/>
  <c r="B166" i="29"/>
  <c r="B165" i="29"/>
  <c r="B164" i="29"/>
  <c r="B163" i="29"/>
  <c r="B162" i="29"/>
  <c r="B161" i="29"/>
  <c r="B160" i="29"/>
  <c r="B159" i="29"/>
  <c r="B158" i="29"/>
  <c r="B157" i="29"/>
  <c r="B156" i="29"/>
  <c r="B155" i="29"/>
  <c r="B154" i="29"/>
  <c r="B153" i="29"/>
  <c r="B152" i="29"/>
  <c r="B151" i="29"/>
  <c r="B150" i="29"/>
  <c r="B149" i="29"/>
  <c r="B148" i="29"/>
  <c r="B147" i="29"/>
  <c r="B146" i="29"/>
  <c r="B145" i="29"/>
  <c r="B144" i="29"/>
  <c r="B143" i="29"/>
  <c r="B142" i="29"/>
  <c r="B141" i="29"/>
  <c r="B140" i="29"/>
  <c r="B139" i="29"/>
  <c r="B138" i="29"/>
  <c r="B137" i="29"/>
  <c r="B136" i="29"/>
  <c r="B135" i="29"/>
  <c r="B134" i="29"/>
  <c r="B133" i="29"/>
  <c r="B132" i="29"/>
  <c r="B131" i="29"/>
  <c r="B130" i="29"/>
  <c r="B129" i="29"/>
  <c r="B128" i="29"/>
  <c r="B127" i="29"/>
  <c r="B126" i="29"/>
  <c r="B125" i="29"/>
  <c r="B124" i="29"/>
  <c r="B123" i="29"/>
  <c r="B122" i="29"/>
  <c r="B121" i="29"/>
  <c r="B120" i="29"/>
  <c r="B119" i="29"/>
  <c r="B118" i="29"/>
  <c r="B117" i="29"/>
  <c r="B116" i="29"/>
  <c r="B115" i="29"/>
  <c r="B114" i="29"/>
  <c r="B113" i="29"/>
  <c r="B112" i="29"/>
  <c r="B111" i="29"/>
  <c r="B110" i="29"/>
  <c r="B109" i="29"/>
  <c r="B108" i="29"/>
  <c r="B107" i="29"/>
  <c r="B106" i="29"/>
  <c r="B105" i="29"/>
  <c r="B104" i="29"/>
  <c r="B103" i="29"/>
  <c r="B102" i="29"/>
  <c r="B101" i="29"/>
  <c r="B100" i="29"/>
  <c r="B99" i="29"/>
  <c r="B98" i="29"/>
  <c r="B97" i="29"/>
  <c r="B96" i="29"/>
  <c r="B95" i="29"/>
  <c r="B94" i="29"/>
  <c r="B93" i="29"/>
  <c r="B92" i="29"/>
  <c r="B91" i="29"/>
  <c r="B90" i="29"/>
  <c r="B89" i="29"/>
  <c r="B88" i="29"/>
  <c r="B87" i="29"/>
  <c r="B86" i="29"/>
  <c r="B85" i="29"/>
  <c r="B84" i="29"/>
  <c r="B83" i="29"/>
  <c r="B82" i="29"/>
  <c r="B81" i="29"/>
  <c r="B80" i="29"/>
  <c r="B79" i="29"/>
  <c r="B78" i="29"/>
  <c r="B77" i="29"/>
  <c r="B76" i="29"/>
  <c r="B75" i="29"/>
  <c r="B74" i="29"/>
  <c r="B73" i="29"/>
  <c r="B72" i="29"/>
  <c r="B71" i="29"/>
  <c r="B70" i="29"/>
  <c r="B69" i="29"/>
  <c r="B68" i="29"/>
  <c r="B67" i="29"/>
  <c r="B66" i="29"/>
  <c r="B65" i="29"/>
  <c r="B64" i="29"/>
  <c r="B63" i="29"/>
  <c r="B62" i="29"/>
  <c r="B61" i="29"/>
  <c r="B60" i="29"/>
  <c r="B59" i="29"/>
  <c r="B58" i="29"/>
  <c r="B57" i="29"/>
  <c r="B56" i="29"/>
  <c r="B55" i="29"/>
  <c r="B54" i="29"/>
  <c r="B53" i="29"/>
  <c r="B52" i="29"/>
  <c r="B51" i="29"/>
  <c r="B50" i="29"/>
  <c r="B49" i="29"/>
  <c r="B48" i="29"/>
  <c r="B47" i="29"/>
  <c r="B46" i="29"/>
  <c r="B45" i="29"/>
  <c r="B44" i="29"/>
  <c r="B43" i="29"/>
  <c r="B42" i="29"/>
  <c r="B41" i="29"/>
  <c r="B40" i="29"/>
  <c r="B39" i="29"/>
  <c r="W19" i="29"/>
  <c r="W23" i="29" s="1"/>
  <c r="AE14" i="29"/>
  <c r="D5" i="29"/>
  <c r="D3" i="29"/>
  <c r="F1" i="29"/>
  <c r="B400" i="24"/>
  <c r="B399" i="24"/>
  <c r="B398" i="24"/>
  <c r="B397" i="24"/>
  <c r="B396" i="24"/>
  <c r="B395" i="24"/>
  <c r="B394" i="24"/>
  <c r="B393" i="24"/>
  <c r="B392" i="24"/>
  <c r="B391" i="24"/>
  <c r="B390" i="24"/>
  <c r="B389" i="24"/>
  <c r="B388" i="24"/>
  <c r="B387" i="24"/>
  <c r="B386" i="24"/>
  <c r="B385" i="24"/>
  <c r="B384" i="24"/>
  <c r="B383" i="24"/>
  <c r="B382" i="24"/>
  <c r="B381" i="24"/>
  <c r="B380" i="24"/>
  <c r="B379" i="24"/>
  <c r="B378" i="24"/>
  <c r="B377" i="24"/>
  <c r="B376" i="24"/>
  <c r="B375" i="24"/>
  <c r="B374" i="24"/>
  <c r="B373" i="24"/>
  <c r="B372" i="24"/>
  <c r="B371" i="24"/>
  <c r="B370" i="24"/>
  <c r="B369" i="24"/>
  <c r="B368" i="24"/>
  <c r="B367" i="24"/>
  <c r="B366" i="24"/>
  <c r="B365" i="24"/>
  <c r="B364" i="24"/>
  <c r="B363" i="24"/>
  <c r="B362" i="24"/>
  <c r="B361" i="24"/>
  <c r="B360" i="24"/>
  <c r="B359" i="24"/>
  <c r="B358" i="24"/>
  <c r="B357" i="24"/>
  <c r="B356" i="24"/>
  <c r="B355" i="24"/>
  <c r="B354" i="24"/>
  <c r="B353" i="24"/>
  <c r="B352" i="24"/>
  <c r="B351" i="24"/>
  <c r="B350" i="24"/>
  <c r="B349" i="24"/>
  <c r="B348" i="24"/>
  <c r="B347" i="24"/>
  <c r="B346" i="24"/>
  <c r="B345" i="24"/>
  <c r="B344" i="24"/>
  <c r="B343" i="24"/>
  <c r="B342" i="24"/>
  <c r="W20" i="29"/>
  <c r="AM397" i="29" s="1"/>
  <c r="W21" i="29"/>
  <c r="AN393" i="29" s="1"/>
  <c r="W22" i="29"/>
  <c r="Z22" i="29"/>
  <c r="Z23" i="29"/>
  <c r="Z20" i="29"/>
  <c r="Z21" i="29"/>
  <c r="B341" i="24"/>
  <c r="B340" i="24"/>
  <c r="B339" i="24"/>
  <c r="B338" i="24"/>
  <c r="B337" i="24"/>
  <c r="B336" i="24"/>
  <c r="B335" i="24"/>
  <c r="B334" i="24"/>
  <c r="B333" i="24"/>
  <c r="B332" i="24"/>
  <c r="B331" i="24"/>
  <c r="B330" i="24"/>
  <c r="B329" i="24"/>
  <c r="B328" i="24"/>
  <c r="B327" i="24"/>
  <c r="B326" i="24"/>
  <c r="B325" i="24"/>
  <c r="B324" i="24"/>
  <c r="B323" i="24"/>
  <c r="B322" i="24"/>
  <c r="B321" i="24"/>
  <c r="B320" i="24"/>
  <c r="B319" i="24"/>
  <c r="B318" i="24"/>
  <c r="B317" i="24"/>
  <c r="B316" i="24"/>
  <c r="B315" i="24"/>
  <c r="B314" i="24"/>
  <c r="B313" i="24"/>
  <c r="B312" i="24"/>
  <c r="B311" i="24"/>
  <c r="B310" i="24"/>
  <c r="B309" i="24"/>
  <c r="B308" i="24"/>
  <c r="B307" i="24"/>
  <c r="B306" i="24"/>
  <c r="B305" i="24"/>
  <c r="B304" i="24"/>
  <c r="B303" i="24"/>
  <c r="B302" i="24"/>
  <c r="B301" i="24"/>
  <c r="B300" i="24"/>
  <c r="B299" i="24"/>
  <c r="B298" i="24"/>
  <c r="B297" i="24"/>
  <c r="B296" i="24"/>
  <c r="B295" i="24"/>
  <c r="B294" i="24"/>
  <c r="B293" i="24"/>
  <c r="B292" i="24"/>
  <c r="B291" i="24"/>
  <c r="B290" i="24"/>
  <c r="B289" i="24"/>
  <c r="B288" i="24"/>
  <c r="B287" i="24"/>
  <c r="B286" i="24"/>
  <c r="B285" i="24"/>
  <c r="B284" i="24"/>
  <c r="B283" i="24"/>
  <c r="B282" i="24"/>
  <c r="B281" i="24"/>
  <c r="B280" i="24"/>
  <c r="B279" i="24"/>
  <c r="B278" i="24"/>
  <c r="B277" i="24"/>
  <c r="B276" i="24"/>
  <c r="B275" i="24"/>
  <c r="B274" i="24"/>
  <c r="B273" i="24"/>
  <c r="B272" i="24"/>
  <c r="B271" i="24"/>
  <c r="B270" i="24"/>
  <c r="B269" i="24"/>
  <c r="B268" i="24"/>
  <c r="B267" i="24"/>
  <c r="B266" i="24"/>
  <c r="B265" i="24"/>
  <c r="B264" i="24"/>
  <c r="B263" i="24"/>
  <c r="B262" i="24"/>
  <c r="B261" i="24"/>
  <c r="B260" i="24"/>
  <c r="B259" i="24"/>
  <c r="B258" i="24"/>
  <c r="B257" i="24"/>
  <c r="B256" i="24"/>
  <c r="B255" i="24"/>
  <c r="B254" i="24"/>
  <c r="B253" i="24"/>
  <c r="B252" i="24"/>
  <c r="B251" i="24"/>
  <c r="B250" i="24"/>
  <c r="B249" i="24"/>
  <c r="B248" i="24"/>
  <c r="B247" i="24"/>
  <c r="B246" i="24"/>
  <c r="B245" i="24"/>
  <c r="AN399" i="29"/>
  <c r="AN394" i="29"/>
  <c r="AO391" i="29"/>
  <c r="AN386" i="29"/>
  <c r="AN383" i="29"/>
  <c r="AO396" i="29"/>
  <c r="AO393" i="29"/>
  <c r="AO388" i="29"/>
  <c r="AN385" i="29"/>
  <c r="AO378" i="29"/>
  <c r="AN375" i="29"/>
  <c r="AN370" i="29"/>
  <c r="AO383" i="29"/>
  <c r="AN378" i="29"/>
  <c r="AO375" i="29"/>
  <c r="AO370" i="29"/>
  <c r="AO367" i="29"/>
  <c r="AO363" i="29"/>
  <c r="AN360" i="29"/>
  <c r="AN355" i="29"/>
  <c r="AN352" i="29"/>
  <c r="AN347" i="29"/>
  <c r="AN344" i="29"/>
  <c r="AN339" i="29"/>
  <c r="AN336" i="29"/>
  <c r="AN365" i="29"/>
  <c r="AN362" i="29"/>
  <c r="AO357" i="29"/>
  <c r="AN354" i="29"/>
  <c r="AN349" i="29"/>
  <c r="AN346" i="29"/>
  <c r="AN341" i="29"/>
  <c r="AN338" i="29"/>
  <c r="AO333" i="29"/>
  <c r="AN330" i="29"/>
  <c r="AO325" i="29"/>
  <c r="AO323" i="29"/>
  <c r="AO322" i="29"/>
  <c r="AO317" i="29"/>
  <c r="AO315" i="29"/>
  <c r="AO314" i="29"/>
  <c r="AN309" i="29"/>
  <c r="AN307" i="29"/>
  <c r="AO306" i="29"/>
  <c r="AO305" i="29"/>
  <c r="AN301" i="29"/>
  <c r="AN299" i="29"/>
  <c r="AO298" i="29"/>
  <c r="AO297" i="29"/>
  <c r="AN293" i="29"/>
  <c r="AO291" i="29"/>
  <c r="AN290" i="29"/>
  <c r="AN289" i="29"/>
  <c r="AO285" i="29"/>
  <c r="AN283" i="29"/>
  <c r="AO282" i="29"/>
  <c r="AO281" i="29"/>
  <c r="AO277" i="29"/>
  <c r="AO275" i="29"/>
  <c r="AN274" i="29"/>
  <c r="AN273" i="29"/>
  <c r="AO331" i="29"/>
  <c r="AO329" i="29"/>
  <c r="AO328" i="29"/>
  <c r="AO327" i="29"/>
  <c r="AN323" i="29"/>
  <c r="AO321" i="29"/>
  <c r="AN320" i="29"/>
  <c r="AO319" i="29"/>
  <c r="AN315" i="29"/>
  <c r="AN313" i="29"/>
  <c r="AO312" i="29"/>
  <c r="AO311" i="29"/>
  <c r="AO307" i="29"/>
  <c r="AN305" i="29"/>
  <c r="AO304" i="29"/>
  <c r="AN303" i="29"/>
  <c r="AO299" i="29"/>
  <c r="AN297" i="29"/>
  <c r="AN296" i="29"/>
  <c r="AO295" i="29"/>
  <c r="AN291" i="29"/>
  <c r="AO289" i="29"/>
  <c r="AN288" i="29"/>
  <c r="AN287" i="29"/>
  <c r="AO283" i="29"/>
  <c r="AN281" i="29"/>
  <c r="AN280" i="29"/>
  <c r="AN279" i="29"/>
  <c r="AN275" i="29"/>
  <c r="AO273" i="29"/>
  <c r="AN272" i="29"/>
  <c r="AO271" i="29"/>
  <c r="AN267" i="29"/>
  <c r="AO265" i="29"/>
  <c r="AO270" i="29"/>
  <c r="AO269" i="29"/>
  <c r="AN264" i="29"/>
  <c r="AO262" i="29"/>
  <c r="AO261" i="29"/>
  <c r="AN260" i="29"/>
  <c r="AN256" i="29"/>
  <c r="AO254" i="29"/>
  <c r="AN253" i="29"/>
  <c r="AO252" i="29"/>
  <c r="AN248" i="29"/>
  <c r="AO246" i="29"/>
  <c r="AO245" i="29"/>
  <c r="AO244" i="29"/>
  <c r="AO240" i="29"/>
  <c r="AO238" i="29"/>
  <c r="AN237" i="29"/>
  <c r="AO236" i="29"/>
  <c r="AN232" i="29"/>
  <c r="AO230" i="29"/>
  <c r="AO229" i="29"/>
  <c r="AO228" i="29"/>
  <c r="AO224" i="29"/>
  <c r="AO222" i="29"/>
  <c r="AO221" i="29"/>
  <c r="AO218" i="29"/>
  <c r="AN214" i="29"/>
  <c r="AN212" i="29"/>
  <c r="AO211" i="29"/>
  <c r="AO210" i="29"/>
  <c r="AO206" i="29"/>
  <c r="AN204" i="29"/>
  <c r="AN203" i="29"/>
  <c r="AO202" i="29"/>
  <c r="AN198" i="29"/>
  <c r="AN265" i="29"/>
  <c r="AO264" i="29"/>
  <c r="AO263" i="29"/>
  <c r="AO259" i="29"/>
  <c r="AN257" i="29"/>
  <c r="AO256" i="29"/>
  <c r="AN255" i="29"/>
  <c r="AN251" i="29"/>
  <c r="AN249" i="29"/>
  <c r="AO248" i="29"/>
  <c r="AN247" i="29"/>
  <c r="AO243" i="29"/>
  <c r="AO241" i="29"/>
  <c r="AN240" i="29"/>
  <c r="AO239" i="29"/>
  <c r="AN235" i="29"/>
  <c r="AO233" i="29"/>
  <c r="AO232" i="29"/>
  <c r="AN231" i="29"/>
  <c r="AO227" i="29"/>
  <c r="AN225" i="29"/>
  <c r="AN224" i="29"/>
  <c r="AO223" i="29"/>
  <c r="AO217" i="29"/>
  <c r="AO215" i="29"/>
  <c r="AO214" i="29"/>
  <c r="AO213" i="29"/>
  <c r="AO209" i="29"/>
  <c r="AN207" i="29"/>
  <c r="AN206" i="29"/>
  <c r="AN205" i="29"/>
  <c r="AO201" i="29"/>
  <c r="AO199" i="29"/>
  <c r="AO198" i="29"/>
  <c r="AN197" i="29"/>
  <c r="AO193" i="29"/>
  <c r="AN191" i="29"/>
  <c r="AO190" i="29"/>
  <c r="AO189" i="29"/>
  <c r="AO185" i="29"/>
  <c r="AN183" i="29"/>
  <c r="AO182" i="29"/>
  <c r="AO181" i="29"/>
  <c r="AN177" i="29"/>
  <c r="AN175" i="29"/>
  <c r="AN174" i="29"/>
  <c r="AN173" i="29"/>
  <c r="AO169" i="29"/>
  <c r="AO167" i="29"/>
  <c r="AO166" i="29"/>
  <c r="AN165" i="29"/>
  <c r="AN161" i="29"/>
  <c r="AO159" i="29"/>
  <c r="AN158" i="29"/>
  <c r="AO157" i="29"/>
  <c r="AN153" i="29"/>
  <c r="AN151" i="29"/>
  <c r="AN150" i="29"/>
  <c r="AO149" i="29"/>
  <c r="AN145" i="29"/>
  <c r="AO143" i="29"/>
  <c r="AO197" i="29"/>
  <c r="AN196" i="29"/>
  <c r="AO192" i="29"/>
  <c r="AN190" i="29"/>
  <c r="AN189" i="29"/>
  <c r="AN188" i="29"/>
  <c r="AN184" i="29"/>
  <c r="AN182" i="29"/>
  <c r="AN181" i="29"/>
  <c r="AN180" i="29"/>
  <c r="AO176" i="29"/>
  <c r="AO174" i="29"/>
  <c r="AO173" i="29"/>
  <c r="AN172" i="29"/>
  <c r="AN168" i="29"/>
  <c r="AN166" i="29"/>
  <c r="AO165" i="29"/>
  <c r="AO164" i="29"/>
  <c r="AN160" i="29"/>
  <c r="AO158" i="29"/>
  <c r="AN157" i="29"/>
  <c r="AN156" i="29"/>
  <c r="AO152" i="29"/>
  <c r="AO150" i="29"/>
  <c r="AN149" i="29"/>
  <c r="AN148" i="29"/>
  <c r="AO144" i="29"/>
  <c r="AO142" i="29"/>
  <c r="AO141" i="29"/>
  <c r="AN140" i="29"/>
  <c r="AO136" i="29"/>
  <c r="AN134" i="29"/>
  <c r="AO133" i="29"/>
  <c r="AO132" i="29"/>
  <c r="AO128" i="29"/>
  <c r="AO126" i="29"/>
  <c r="AO125" i="29"/>
  <c r="AN124" i="29"/>
  <c r="AN120" i="29"/>
  <c r="AN118" i="29"/>
  <c r="AO117" i="29"/>
  <c r="AN116" i="29"/>
  <c r="AO112" i="29"/>
  <c r="AO110" i="29"/>
  <c r="AN109" i="29"/>
  <c r="AO108" i="29"/>
  <c r="AO104" i="29"/>
  <c r="AN102" i="29"/>
  <c r="AO101" i="29"/>
  <c r="AO100" i="29"/>
  <c r="AN139" i="29"/>
  <c r="AN137" i="29"/>
  <c r="AN136" i="29"/>
  <c r="AN135" i="29"/>
  <c r="AO131" i="29"/>
  <c r="AN129" i="29"/>
  <c r="AN128" i="29"/>
  <c r="AN127" i="29"/>
  <c r="AN123" i="29"/>
  <c r="AO121" i="29"/>
  <c r="AO120" i="29"/>
  <c r="AN119" i="29"/>
  <c r="AN115" i="29"/>
  <c r="AO113" i="29"/>
  <c r="AN112" i="29"/>
  <c r="AO111" i="29"/>
  <c r="AN107" i="29"/>
  <c r="AN105" i="29"/>
  <c r="AN104" i="29"/>
  <c r="AO103" i="29"/>
  <c r="AO99" i="29"/>
  <c r="AN97" i="29"/>
  <c r="AO96" i="29"/>
  <c r="AN95" i="29"/>
  <c r="AO91" i="29"/>
  <c r="AN99" i="29"/>
  <c r="AO98" i="29"/>
  <c r="AO97" i="29"/>
  <c r="AN93" i="29"/>
  <c r="AN91" i="29"/>
  <c r="AO90" i="29"/>
  <c r="AO89" i="29"/>
  <c r="AO85" i="29"/>
  <c r="AN83" i="29"/>
  <c r="AN82" i="29"/>
  <c r="AO81" i="29"/>
  <c r="AO77" i="29"/>
  <c r="AO76" i="29"/>
  <c r="AN75" i="29"/>
  <c r="AN74" i="29"/>
  <c r="AN73" i="29"/>
  <c r="AN69" i="29"/>
  <c r="AO68" i="29"/>
  <c r="AO67" i="29"/>
  <c r="AO66" i="29"/>
  <c r="AN65" i="29"/>
  <c r="AN63" i="29"/>
  <c r="AN62" i="29"/>
  <c r="AN61" i="29"/>
  <c r="AN60" i="29"/>
  <c r="AO59" i="29"/>
  <c r="AN58" i="29"/>
  <c r="AO57" i="29"/>
  <c r="AO55" i="29"/>
  <c r="AN54" i="29"/>
  <c r="AN53" i="29"/>
  <c r="AN52" i="29"/>
  <c r="AO51" i="29"/>
  <c r="AO50" i="29"/>
  <c r="AO49" i="29"/>
  <c r="AO48" i="29"/>
  <c r="AO47" i="29"/>
  <c r="AN46" i="29"/>
  <c r="AN45" i="29"/>
  <c r="AO44" i="29"/>
  <c r="AN43" i="29"/>
  <c r="AN42" i="29"/>
  <c r="AN41" i="29"/>
  <c r="AO40" i="29"/>
  <c r="AO39" i="29"/>
  <c r="AN89" i="29"/>
  <c r="AO88" i="29"/>
  <c r="AO87" i="29"/>
  <c r="AO86" i="29"/>
  <c r="AN85" i="29"/>
  <c r="AO84" i="29"/>
  <c r="AO83" i="29"/>
  <c r="AO82" i="29"/>
  <c r="AN81" i="29"/>
  <c r="AO80" i="29"/>
  <c r="AO79" i="29"/>
  <c r="AN78" i="29"/>
  <c r="AN77" i="29"/>
  <c r="AN76" i="29"/>
  <c r="AO75" i="29"/>
  <c r="AO74" i="29"/>
  <c r="AO73" i="29"/>
  <c r="AN72" i="29"/>
  <c r="AN71" i="29"/>
  <c r="AO70" i="29"/>
  <c r="AO69" i="29"/>
  <c r="AN68" i="29"/>
  <c r="AN67" i="29"/>
  <c r="AN66" i="29"/>
  <c r="AO65" i="29"/>
  <c r="AN64" i="29"/>
  <c r="AO63" i="29"/>
  <c r="AO62" i="29"/>
  <c r="AO61" i="29"/>
  <c r="AO60" i="29"/>
  <c r="AN59" i="29"/>
  <c r="AO58" i="29"/>
  <c r="AN57" i="29"/>
  <c r="AN56" i="29"/>
  <c r="AN55" i="29"/>
  <c r="AO54" i="29"/>
  <c r="AO53" i="29"/>
  <c r="AO52" i="29"/>
  <c r="AN51" i="29"/>
  <c r="AN50" i="29"/>
  <c r="AN49" i="29"/>
  <c r="AN48" i="29"/>
  <c r="AN47" i="29"/>
  <c r="AO46" i="29"/>
  <c r="AO45" i="29"/>
  <c r="AN44" i="29"/>
  <c r="AO43" i="29"/>
  <c r="AO42" i="29"/>
  <c r="AO41" i="29"/>
  <c r="AN40" i="29"/>
  <c r="AN39" i="29"/>
  <c r="AM398" i="29"/>
  <c r="AL393" i="29"/>
  <c r="AL388" i="29"/>
  <c r="AL386" i="29"/>
  <c r="AM385" i="29"/>
  <c r="AL384" i="29"/>
  <c r="AL383" i="29"/>
  <c r="AM399" i="29"/>
  <c r="AL398" i="29"/>
  <c r="AL397" i="29"/>
  <c r="AM395" i="29"/>
  <c r="AM394" i="29"/>
  <c r="AM392" i="29"/>
  <c r="AL391" i="29"/>
  <c r="AL390" i="29"/>
  <c r="AM389" i="29"/>
  <c r="AM387" i="29"/>
  <c r="AM386" i="29"/>
  <c r="AL385" i="29"/>
  <c r="AM383" i="29"/>
  <c r="AM382" i="29"/>
  <c r="AL380" i="29"/>
  <c r="AL379" i="29"/>
  <c r="AM378" i="29"/>
  <c r="AM377" i="29"/>
  <c r="AL375" i="29"/>
  <c r="AM374" i="29"/>
  <c r="AL373" i="29"/>
  <c r="AL371" i="29"/>
  <c r="AL370" i="29"/>
  <c r="AL382" i="29"/>
  <c r="AL381" i="29"/>
  <c r="AM380" i="29"/>
  <c r="AM379" i="29"/>
  <c r="AL377" i="29"/>
  <c r="AM376" i="29"/>
  <c r="AM375" i="29"/>
  <c r="AM373" i="29"/>
  <c r="AL372" i="29"/>
  <c r="AM370" i="29"/>
  <c r="AL369" i="29"/>
  <c r="AL368" i="29"/>
  <c r="AM367" i="29"/>
  <c r="AL366" i="29"/>
  <c r="AM365" i="29"/>
  <c r="AL364" i="29"/>
  <c r="AM362" i="29"/>
  <c r="AM361" i="29"/>
  <c r="AL359" i="29"/>
  <c r="AL358" i="29"/>
  <c r="AL357" i="29"/>
  <c r="AL356" i="29"/>
  <c r="AM354" i="29"/>
  <c r="AM353" i="29"/>
  <c r="AL352" i="29"/>
  <c r="AM350" i="29"/>
  <c r="AM349" i="29"/>
  <c r="AL347" i="29"/>
  <c r="AM346" i="29"/>
  <c r="AM345" i="29"/>
  <c r="AL344" i="29"/>
  <c r="AM342" i="29"/>
  <c r="AM341" i="29"/>
  <c r="AL340" i="29"/>
  <c r="AM338" i="29"/>
  <c r="AL337" i="29"/>
  <c r="AM335" i="29"/>
  <c r="AM334" i="29"/>
  <c r="AL367" i="29"/>
  <c r="AM366" i="29"/>
  <c r="AM364" i="29"/>
  <c r="AL363" i="29"/>
  <c r="AL362" i="29"/>
  <c r="AM360" i="29"/>
  <c r="AM359" i="29"/>
  <c r="AM357" i="29"/>
  <c r="AM356" i="29"/>
  <c r="AM355" i="29"/>
  <c r="AL354" i="29"/>
  <c r="AM352" i="29"/>
  <c r="AM351" i="29"/>
  <c r="AL350" i="29"/>
  <c r="AL348" i="29"/>
  <c r="AM347" i="29"/>
  <c r="AL345" i="29"/>
  <c r="AM344" i="29"/>
  <c r="AL343" i="29"/>
  <c r="AL342" i="29"/>
  <c r="AM340" i="29"/>
  <c r="AM339" i="29"/>
  <c r="AL338" i="29"/>
  <c r="AM336" i="29"/>
  <c r="AL335" i="29"/>
  <c r="AM333" i="29"/>
  <c r="AM332" i="29"/>
  <c r="AL331" i="29"/>
  <c r="AL330" i="29"/>
  <c r="AL328" i="29"/>
  <c r="AL327" i="29"/>
  <c r="AL326" i="29"/>
  <c r="AM324" i="29"/>
  <c r="AM323" i="29"/>
  <c r="AL321" i="29"/>
  <c r="AM320" i="29"/>
  <c r="AL319" i="29"/>
  <c r="AL318" i="29"/>
  <c r="AL316" i="29"/>
  <c r="AM315" i="29"/>
  <c r="AM314" i="29"/>
  <c r="AL312" i="29"/>
  <c r="AL311" i="29"/>
  <c r="AL309" i="29"/>
  <c r="AM308" i="29"/>
  <c r="AL307" i="29"/>
  <c r="AM306" i="29"/>
  <c r="AL304" i="29"/>
  <c r="AM303" i="29"/>
  <c r="AL302" i="29"/>
  <c r="AL300" i="29"/>
  <c r="AL299" i="29"/>
  <c r="AM297" i="29"/>
  <c r="AM296" i="29"/>
  <c r="AL295" i="29"/>
  <c r="AL294" i="29"/>
  <c r="AL292" i="29"/>
  <c r="AM291" i="29"/>
  <c r="AL290" i="29"/>
  <c r="AM288" i="29"/>
  <c r="AM287" i="29"/>
  <c r="AM285" i="29"/>
  <c r="AL284" i="29"/>
  <c r="AL283" i="29"/>
  <c r="AM282" i="29"/>
  <c r="AM280" i="29"/>
  <c r="AM279" i="29"/>
  <c r="AL278" i="29"/>
  <c r="AM276" i="29"/>
  <c r="AM275" i="29"/>
  <c r="AL273" i="29"/>
  <c r="AM272" i="29"/>
  <c r="AL333" i="29"/>
  <c r="AL332" i="29"/>
  <c r="AM330" i="29"/>
  <c r="AM329" i="29"/>
  <c r="AM328" i="29"/>
  <c r="AM326" i="29"/>
  <c r="AL325" i="29"/>
  <c r="AL323" i="29"/>
  <c r="AL322" i="29"/>
  <c r="AM321" i="29"/>
  <c r="AL320" i="29"/>
  <c r="AM318" i="29"/>
  <c r="AL317" i="29"/>
  <c r="AM316" i="29"/>
  <c r="AL314" i="29"/>
  <c r="AL313" i="29"/>
  <c r="AM311" i="29"/>
  <c r="AM310" i="29"/>
  <c r="AM309" i="29"/>
  <c r="AL308" i="29"/>
  <c r="AL306" i="29"/>
  <c r="AL305" i="29"/>
  <c r="AM304" i="29"/>
  <c r="AM302" i="29"/>
  <c r="AM301" i="29"/>
  <c r="AM299" i="29"/>
  <c r="AL298" i="29"/>
  <c r="AL297" i="29"/>
  <c r="AL296" i="29"/>
  <c r="AM295" i="29"/>
  <c r="AM294" i="29"/>
  <c r="AM293" i="29"/>
  <c r="AM292" i="29"/>
  <c r="AM290" i="29"/>
  <c r="AM289" i="29"/>
  <c r="AL287" i="29"/>
  <c r="AL286" i="29"/>
  <c r="AL285" i="29"/>
  <c r="AM284" i="29"/>
  <c r="AM283" i="29"/>
  <c r="AL282" i="29"/>
  <c r="AL281" i="29"/>
  <c r="AL280" i="29"/>
  <c r="AM278" i="29"/>
  <c r="AL277" i="29"/>
  <c r="AL275" i="29"/>
  <c r="AM274" i="29"/>
  <c r="AM273" i="29"/>
  <c r="AL272" i="29"/>
  <c r="AM271" i="29"/>
  <c r="AL270" i="29"/>
  <c r="AL269" i="29"/>
  <c r="AL268" i="29"/>
  <c r="AL266" i="29"/>
  <c r="AM265" i="29"/>
  <c r="AL265" i="29"/>
  <c r="AL264" i="29"/>
  <c r="AL263" i="29"/>
  <c r="AM262" i="29"/>
  <c r="AM261" i="29"/>
  <c r="AL260" i="29"/>
  <c r="AL259" i="29"/>
  <c r="AM258" i="29"/>
  <c r="AL256" i="29"/>
  <c r="AM255" i="29"/>
  <c r="AL253" i="29"/>
  <c r="AM252" i="29"/>
  <c r="AM251" i="29"/>
  <c r="AM250" i="29"/>
  <c r="AM249" i="29"/>
  <c r="AL248" i="29"/>
  <c r="AM247" i="29"/>
  <c r="AM246" i="29"/>
  <c r="AM244" i="29"/>
  <c r="AL243" i="29"/>
  <c r="AL241" i="29"/>
  <c r="AM240" i="29"/>
  <c r="AL239" i="29"/>
  <c r="AM238" i="29"/>
  <c r="AL237" i="29"/>
  <c r="AM236" i="29"/>
  <c r="AM235" i="29"/>
  <c r="AM234" i="29"/>
  <c r="AL232" i="29"/>
  <c r="AM231" i="29"/>
  <c r="AM229" i="29"/>
  <c r="AM228" i="29"/>
  <c r="AL227" i="29"/>
  <c r="AM226" i="29"/>
  <c r="AM225" i="29"/>
  <c r="AM224" i="29"/>
  <c r="AL223" i="29"/>
  <c r="AM222" i="29"/>
  <c r="AM218" i="29"/>
  <c r="AL217" i="29"/>
  <c r="AL215" i="29"/>
  <c r="AL214" i="29"/>
  <c r="AL213" i="29"/>
  <c r="AL212" i="29"/>
  <c r="AM211" i="29"/>
  <c r="AM210" i="29"/>
  <c r="AL209" i="29"/>
  <c r="AL208" i="29"/>
  <c r="AM206" i="29"/>
  <c r="AM205" i="29"/>
  <c r="AL203" i="29"/>
  <c r="AM202" i="29"/>
  <c r="AL201" i="29"/>
  <c r="AL200" i="29"/>
  <c r="AL199" i="29"/>
  <c r="AL198" i="29"/>
  <c r="AM270" i="29"/>
  <c r="AM269" i="29"/>
  <c r="AM267" i="29"/>
  <c r="AM266" i="29"/>
  <c r="AM263" i="29"/>
  <c r="AL262" i="29"/>
  <c r="AL261" i="29"/>
  <c r="AM260" i="29"/>
  <c r="AM259" i="29"/>
  <c r="AL258" i="29"/>
  <c r="AL257" i="29"/>
  <c r="AM256" i="29"/>
  <c r="AL255" i="29"/>
  <c r="AL254" i="29"/>
  <c r="AM253" i="29"/>
  <c r="AL251" i="29"/>
  <c r="AL250" i="29"/>
  <c r="AL249" i="29"/>
  <c r="AM248" i="29"/>
  <c r="AL247" i="29"/>
  <c r="AL246" i="29"/>
  <c r="AL245" i="29"/>
  <c r="AL244" i="29"/>
  <c r="AM243" i="29"/>
  <c r="AM242" i="29"/>
  <c r="AM241" i="29"/>
  <c r="AL240" i="29"/>
  <c r="AM239" i="29"/>
  <c r="AL238" i="29"/>
  <c r="AM237" i="29"/>
  <c r="AL236" i="29"/>
  <c r="AL235" i="29"/>
  <c r="AL234" i="29"/>
  <c r="AM233" i="29"/>
  <c r="AM232" i="29"/>
  <c r="AL231" i="29"/>
  <c r="AL230" i="29"/>
  <c r="AL229" i="29"/>
  <c r="AL228" i="29"/>
  <c r="AM227" i="29"/>
  <c r="AL226" i="29"/>
  <c r="AL225" i="29"/>
  <c r="AL224" i="29"/>
  <c r="AM223" i="29"/>
  <c r="AL222" i="29"/>
  <c r="AL221" i="29"/>
  <c r="AL218" i="29"/>
  <c r="AM217" i="29"/>
  <c r="AM216" i="29"/>
  <c r="AM215" i="29"/>
  <c r="AM214" i="29"/>
  <c r="AM213" i="29"/>
  <c r="AM212" i="29"/>
  <c r="AL211" i="29"/>
  <c r="AL210" i="29"/>
  <c r="AM209" i="29"/>
  <c r="AM208" i="29"/>
  <c r="AL207" i="29"/>
  <c r="AL206" i="29"/>
  <c r="AL205" i="29"/>
  <c r="AM204" i="29"/>
  <c r="AM203" i="29"/>
  <c r="AL202" i="29"/>
  <c r="AM201" i="29"/>
  <c r="AM200" i="29"/>
  <c r="AM199" i="29"/>
  <c r="AM198" i="29"/>
  <c r="AL197" i="29"/>
  <c r="AM196" i="29"/>
  <c r="AM195" i="29"/>
  <c r="AL194" i="29"/>
  <c r="AM193" i="29"/>
  <c r="AL192" i="29"/>
  <c r="AL191" i="29"/>
  <c r="AM190" i="29"/>
  <c r="AM189" i="29"/>
  <c r="AM188" i="29"/>
  <c r="AL187" i="29"/>
  <c r="AL186" i="29"/>
  <c r="AM185" i="29"/>
  <c r="AM184" i="29"/>
  <c r="AL183" i="29"/>
  <c r="AM182" i="29"/>
  <c r="AM181" i="29"/>
  <c r="AM180" i="29"/>
  <c r="AL179" i="29"/>
  <c r="AL178" i="29"/>
  <c r="AL177" i="29"/>
  <c r="AL176" i="29"/>
  <c r="AL175" i="29"/>
  <c r="AL174" i="29"/>
  <c r="AL173" i="29"/>
  <c r="AM172" i="29"/>
  <c r="AL171" i="29"/>
  <c r="AM170" i="29"/>
  <c r="AM169" i="29"/>
  <c r="AM168" i="29"/>
  <c r="AM167" i="29"/>
  <c r="AM166" i="29"/>
  <c r="AL165" i="29"/>
  <c r="AL164" i="29"/>
  <c r="AM163" i="29"/>
  <c r="AL162" i="29"/>
  <c r="AL161" i="29"/>
  <c r="AM160" i="29"/>
  <c r="AM159" i="29"/>
  <c r="AL158" i="29"/>
  <c r="AM157" i="29"/>
  <c r="AM156" i="29"/>
  <c r="AL155" i="29"/>
  <c r="AL154" i="29"/>
  <c r="AL153" i="29"/>
  <c r="AL152" i="29"/>
  <c r="AL151" i="29"/>
  <c r="AL150" i="29"/>
  <c r="AM149" i="29"/>
  <c r="AM148" i="29"/>
  <c r="AM147" i="29"/>
  <c r="AL146" i="29"/>
  <c r="AL145" i="29"/>
  <c r="AL144" i="29"/>
  <c r="AM143" i="29"/>
  <c r="AM197" i="29"/>
  <c r="AL196" i="29"/>
  <c r="AL195" i="29"/>
  <c r="AM194" i="29"/>
  <c r="AL193" i="29"/>
  <c r="AM192" i="29"/>
  <c r="AM191" i="29"/>
  <c r="AL190" i="29"/>
  <c r="AL189" i="29"/>
  <c r="AL188" i="29"/>
  <c r="AM187" i="29"/>
  <c r="AM186" i="29"/>
  <c r="AL185" i="29"/>
  <c r="AL184" i="29"/>
  <c r="AM183" i="29"/>
  <c r="AL182" i="29"/>
  <c r="AL181" i="29"/>
  <c r="AL180" i="29"/>
  <c r="AM179" i="29"/>
  <c r="AM178" i="29"/>
  <c r="AM177" i="29"/>
  <c r="AM176" i="29"/>
  <c r="AM175" i="29"/>
  <c r="AM174" i="29"/>
  <c r="AM173" i="29"/>
  <c r="AL172" i="29"/>
  <c r="AM171" i="29"/>
  <c r="AL170" i="29"/>
  <c r="AL169" i="29"/>
  <c r="AL168" i="29"/>
  <c r="AL167" i="29"/>
  <c r="AL166" i="29"/>
  <c r="AM165" i="29"/>
  <c r="AM164" i="29"/>
  <c r="AL163" i="29"/>
  <c r="AM162" i="29"/>
  <c r="AM161" i="29"/>
  <c r="AL160" i="29"/>
  <c r="AL159" i="29"/>
  <c r="AM158" i="29"/>
  <c r="AL157" i="29"/>
  <c r="AL156" i="29"/>
  <c r="AM155" i="29"/>
  <c r="AM154" i="29"/>
  <c r="AM153" i="29"/>
  <c r="AM152" i="29"/>
  <c r="AM151" i="29"/>
  <c r="AM150" i="29"/>
  <c r="AL149" i="29"/>
  <c r="AL148" i="29"/>
  <c r="AL147" i="29"/>
  <c r="AM146" i="29"/>
  <c r="AM145" i="29"/>
  <c r="AM144" i="29"/>
  <c r="AL143" i="29"/>
  <c r="AM142" i="29"/>
  <c r="AM141" i="29"/>
  <c r="AL140" i="29"/>
  <c r="AM139" i="29"/>
  <c r="AL138" i="29"/>
  <c r="AM137" i="29"/>
  <c r="AM136" i="29"/>
  <c r="AM135" i="29"/>
  <c r="AL134" i="29"/>
  <c r="AM133" i="29"/>
  <c r="AM132" i="29"/>
  <c r="AL131" i="29"/>
  <c r="AL130" i="29"/>
  <c r="AM129" i="29"/>
  <c r="AM128" i="29"/>
  <c r="AM127" i="29"/>
  <c r="AM126" i="29"/>
  <c r="AM125" i="29"/>
  <c r="AL124" i="29"/>
  <c r="AM123" i="29"/>
  <c r="AL122" i="29"/>
  <c r="AL121" i="29"/>
  <c r="AL120" i="29"/>
  <c r="AM119" i="29"/>
  <c r="AL118" i="29"/>
  <c r="AM117" i="29"/>
  <c r="AL116" i="29"/>
  <c r="AM115" i="29"/>
  <c r="AM114" i="29"/>
  <c r="AL113" i="29"/>
  <c r="AM112" i="29"/>
  <c r="AL111" i="29"/>
  <c r="AM110" i="29"/>
  <c r="AL109" i="29"/>
  <c r="AM108" i="29"/>
  <c r="AM107" i="29"/>
  <c r="AL106" i="29"/>
  <c r="AM105" i="29"/>
  <c r="AM104" i="29"/>
  <c r="AL103" i="29"/>
  <c r="AL102" i="29"/>
  <c r="AM101" i="29"/>
  <c r="AM100" i="29"/>
  <c r="AL142" i="29"/>
  <c r="AL141" i="29"/>
  <c r="AM140" i="29"/>
  <c r="AL139" i="29"/>
  <c r="AM138" i="29"/>
  <c r="AL137" i="29"/>
  <c r="AL136" i="29"/>
  <c r="AL135" i="29"/>
  <c r="AM134" i="29"/>
  <c r="AL133" i="29"/>
  <c r="AL132" i="29"/>
  <c r="AM131" i="29"/>
  <c r="AM130" i="29"/>
  <c r="AL129" i="29"/>
  <c r="AL128" i="29"/>
  <c r="AL127" i="29"/>
  <c r="AL126" i="29"/>
  <c r="AL125" i="29"/>
  <c r="AM124" i="29"/>
  <c r="AL123" i="29"/>
  <c r="AM122" i="29"/>
  <c r="AM121" i="29"/>
  <c r="AM120" i="29"/>
  <c r="AL119" i="29"/>
  <c r="AM118" i="29"/>
  <c r="AL117" i="29"/>
  <c r="AM116" i="29"/>
  <c r="AL115" i="29"/>
  <c r="AL114" i="29"/>
  <c r="AM113" i="29"/>
  <c r="AL112" i="29"/>
  <c r="AM111" i="29"/>
  <c r="AL110" i="29"/>
  <c r="AM109" i="29"/>
  <c r="AL108" i="29"/>
  <c r="AL107" i="29"/>
  <c r="AM106" i="29"/>
  <c r="AL105" i="29"/>
  <c r="AL104" i="29"/>
  <c r="AM103" i="29"/>
  <c r="AM102" i="29"/>
  <c r="AL101" i="29"/>
  <c r="AL100" i="29"/>
  <c r="AM99" i="29"/>
  <c r="AL98" i="29"/>
  <c r="AL97" i="29"/>
  <c r="AM96" i="29"/>
  <c r="AL95" i="29"/>
  <c r="AL94" i="29"/>
  <c r="AM93" i="29"/>
  <c r="AM92" i="29"/>
  <c r="AM91" i="29"/>
  <c r="AL90" i="29"/>
  <c r="AL99" i="29"/>
  <c r="AM98" i="29"/>
  <c r="AM97" i="29"/>
  <c r="AL96" i="29"/>
  <c r="AM95" i="29"/>
  <c r="AM94" i="29"/>
  <c r="AL93" i="29"/>
  <c r="AL92" i="29"/>
  <c r="AL91" i="29"/>
  <c r="AM90" i="29"/>
  <c r="AM89" i="29"/>
  <c r="AL88" i="29"/>
  <c r="AL87" i="29"/>
  <c r="AL86" i="29"/>
  <c r="AM85" i="29"/>
  <c r="AL84" i="29"/>
  <c r="AL83" i="29"/>
  <c r="AL82" i="29"/>
  <c r="AM81" i="29"/>
  <c r="AL80" i="29"/>
  <c r="AL79" i="29"/>
  <c r="AM78" i="29"/>
  <c r="AM77" i="29"/>
  <c r="AM76" i="29"/>
  <c r="AL75" i="29"/>
  <c r="AL74" i="29"/>
  <c r="AL73" i="29"/>
  <c r="AM72" i="29"/>
  <c r="AM71" i="29"/>
  <c r="AL70" i="29"/>
  <c r="AL69" i="29"/>
  <c r="AM68" i="29"/>
  <c r="AM67" i="29"/>
  <c r="AM66" i="29"/>
  <c r="AL65" i="29"/>
  <c r="AM64" i="29"/>
  <c r="AL63" i="29"/>
  <c r="AL62" i="29"/>
  <c r="AL61" i="29"/>
  <c r="AL60" i="29"/>
  <c r="AM59" i="29"/>
  <c r="AL58" i="29"/>
  <c r="AM57" i="29"/>
  <c r="AM56" i="29"/>
  <c r="AM55" i="29"/>
  <c r="AL54" i="29"/>
  <c r="AL53" i="29"/>
  <c r="AL52" i="29"/>
  <c r="AM51" i="29"/>
  <c r="AM50" i="29"/>
  <c r="AM49" i="29"/>
  <c r="AM48" i="29"/>
  <c r="AM47" i="29"/>
  <c r="AL46" i="29"/>
  <c r="AL45" i="29"/>
  <c r="AM44" i="29"/>
  <c r="AL43" i="29"/>
  <c r="AL42" i="29"/>
  <c r="AL41" i="29"/>
  <c r="AM40" i="29"/>
  <c r="AM39" i="29"/>
  <c r="AL89" i="29"/>
  <c r="AM88" i="29"/>
  <c r="AM87" i="29"/>
  <c r="AM86" i="29"/>
  <c r="AL85" i="29"/>
  <c r="AM84" i="29"/>
  <c r="AM83" i="29"/>
  <c r="AM82" i="29"/>
  <c r="AL81" i="29"/>
  <c r="AM80" i="29"/>
  <c r="AM79" i="29"/>
  <c r="AL78" i="29"/>
  <c r="AL77" i="29"/>
  <c r="AL76" i="29"/>
  <c r="AM75" i="29"/>
  <c r="AM74" i="29"/>
  <c r="AM73" i="29"/>
  <c r="AL72" i="29"/>
  <c r="AL71" i="29"/>
  <c r="AM70" i="29"/>
  <c r="AM69" i="29"/>
  <c r="AL68" i="29"/>
  <c r="AL67" i="29"/>
  <c r="AL66" i="29"/>
  <c r="AM65" i="29"/>
  <c r="AL64" i="29"/>
  <c r="AM63" i="29"/>
  <c r="AM62" i="29"/>
  <c r="AM61" i="29"/>
  <c r="AM60" i="29"/>
  <c r="AL59" i="29"/>
  <c r="AM58" i="29"/>
  <c r="AL57" i="29"/>
  <c r="AL56" i="29"/>
  <c r="AL55" i="29"/>
  <c r="AM54" i="29"/>
  <c r="AM53" i="29"/>
  <c r="AM52" i="29"/>
  <c r="AL51" i="29"/>
  <c r="AL50" i="29"/>
  <c r="AL49" i="29"/>
  <c r="AL48" i="29"/>
  <c r="AL47" i="29"/>
  <c r="AM46" i="29"/>
  <c r="AM45" i="29"/>
  <c r="AL44" i="29"/>
  <c r="AM43" i="29"/>
  <c r="AM42" i="29"/>
  <c r="AM41" i="29"/>
  <c r="AL40" i="29"/>
  <c r="AL39" i="29"/>
  <c r="AR343" i="29"/>
  <c r="AQ368" i="29"/>
  <c r="AR374" i="29"/>
  <c r="AR396" i="29"/>
  <c r="AR398" i="29"/>
  <c r="B244" i="24"/>
  <c r="B243" i="24"/>
  <c r="B242" i="24"/>
  <c r="B241" i="24"/>
  <c r="B240" i="24"/>
  <c r="B239" i="24"/>
  <c r="B238" i="24"/>
  <c r="B237" i="24"/>
  <c r="B236" i="24"/>
  <c r="B235" i="24"/>
  <c r="B234" i="24"/>
  <c r="B233" i="24"/>
  <c r="B232" i="24"/>
  <c r="B231" i="24"/>
  <c r="B230" i="24"/>
  <c r="B229" i="24"/>
  <c r="B228" i="24"/>
  <c r="B227" i="24"/>
  <c r="B226" i="24"/>
  <c r="B225" i="24"/>
  <c r="B224" i="24"/>
  <c r="B223" i="24"/>
  <c r="B222" i="24"/>
  <c r="B221" i="24"/>
  <c r="B218" i="24"/>
  <c r="B217" i="24"/>
  <c r="B216" i="24"/>
  <c r="B215" i="24"/>
  <c r="B214" i="24"/>
  <c r="B213" i="24"/>
  <c r="B212" i="24"/>
  <c r="B211" i="24"/>
  <c r="B210" i="24"/>
  <c r="B209" i="24"/>
  <c r="B208" i="24"/>
  <c r="B207" i="24"/>
  <c r="B206" i="24"/>
  <c r="B205" i="24"/>
  <c r="B204" i="24"/>
  <c r="B203" i="24"/>
  <c r="B202" i="24"/>
  <c r="B201" i="24"/>
  <c r="B200" i="24"/>
  <c r="B199" i="24"/>
  <c r="B198" i="24"/>
  <c r="B197" i="24"/>
  <c r="B196" i="24"/>
  <c r="B195" i="24"/>
  <c r="B194" i="24"/>
  <c r="B193" i="24"/>
  <c r="B192" i="24"/>
  <c r="B191" i="24"/>
  <c r="B190" i="24"/>
  <c r="B189" i="24"/>
  <c r="B188" i="24"/>
  <c r="B187" i="24"/>
  <c r="B186" i="24"/>
  <c r="B185" i="24"/>
  <c r="B184" i="24"/>
  <c r="B183" i="24"/>
  <c r="B182" i="24"/>
  <c r="B181" i="24"/>
  <c r="B180" i="24"/>
  <c r="B179" i="24"/>
  <c r="B178" i="24"/>
  <c r="B177" i="24"/>
  <c r="B176" i="24"/>
  <c r="B175" i="24"/>
  <c r="B174" i="24"/>
  <c r="B173" i="24"/>
  <c r="B172" i="24"/>
  <c r="B171" i="24"/>
  <c r="B170" i="24"/>
  <c r="B169" i="24"/>
  <c r="B168" i="24"/>
  <c r="B167" i="24"/>
  <c r="B166" i="24"/>
  <c r="B165" i="24"/>
  <c r="B164" i="24"/>
  <c r="B163" i="24"/>
  <c r="B162" i="24"/>
  <c r="B161" i="24"/>
  <c r="B160" i="24"/>
  <c r="B159" i="24"/>
  <c r="B158" i="24"/>
  <c r="B157" i="24"/>
  <c r="B156" i="24"/>
  <c r="B155" i="24"/>
  <c r="B154" i="24"/>
  <c r="B153" i="24"/>
  <c r="B152" i="24"/>
  <c r="B151" i="24"/>
  <c r="B150" i="24"/>
  <c r="B149" i="24"/>
  <c r="B148" i="24"/>
  <c r="B147" i="24"/>
  <c r="B146" i="24"/>
  <c r="B145" i="24"/>
  <c r="B144" i="24"/>
  <c r="B143" i="24"/>
  <c r="B142" i="24"/>
  <c r="B141" i="24"/>
  <c r="B140" i="24"/>
  <c r="B139" i="24"/>
  <c r="B138" i="24"/>
  <c r="B137" i="24"/>
  <c r="B136" i="24"/>
  <c r="B135" i="24"/>
  <c r="B134" i="24"/>
  <c r="B133" i="24"/>
  <c r="B132" i="24"/>
  <c r="B131" i="24"/>
  <c r="B130" i="24"/>
  <c r="B129" i="24"/>
  <c r="B128" i="24"/>
  <c r="B127" i="24"/>
  <c r="B126" i="24"/>
  <c r="B125" i="24"/>
  <c r="B124" i="24"/>
  <c r="B123" i="24"/>
  <c r="B122" i="24"/>
  <c r="B121" i="24"/>
  <c r="B120" i="24"/>
  <c r="B119" i="24"/>
  <c r="B118" i="24"/>
  <c r="B117" i="24"/>
  <c r="B116" i="24"/>
  <c r="B115" i="24"/>
  <c r="B114" i="24"/>
  <c r="B113" i="24"/>
  <c r="B112" i="24"/>
  <c r="B111" i="24"/>
  <c r="B110" i="24"/>
  <c r="B109" i="24"/>
  <c r="B108" i="24"/>
  <c r="B107" i="24"/>
  <c r="B106" i="24"/>
  <c r="B105" i="24"/>
  <c r="B104" i="24"/>
  <c r="B103" i="24"/>
  <c r="B102" i="24"/>
  <c r="B101" i="24"/>
  <c r="B100" i="24"/>
  <c r="B99" i="24"/>
  <c r="B98" i="24"/>
  <c r="B97" i="24"/>
  <c r="B96" i="24"/>
  <c r="B95" i="24"/>
  <c r="B94" i="24"/>
  <c r="B93" i="24"/>
  <c r="B92" i="24"/>
  <c r="B91" i="24"/>
  <c r="B90" i="24"/>
  <c r="B89" i="24"/>
  <c r="B88" i="24"/>
  <c r="B87" i="24"/>
  <c r="B86" i="24"/>
  <c r="B85" i="24"/>
  <c r="B84" i="24"/>
  <c r="B83" i="24"/>
  <c r="B82" i="24"/>
  <c r="B81" i="24"/>
  <c r="B80" i="24"/>
  <c r="B79" i="24"/>
  <c r="B78" i="24"/>
  <c r="B77" i="24"/>
  <c r="B76" i="24"/>
  <c r="B75" i="24"/>
  <c r="B74" i="24"/>
  <c r="B73" i="24"/>
  <c r="B72" i="24"/>
  <c r="B71" i="24"/>
  <c r="B70" i="24"/>
  <c r="B69" i="24"/>
  <c r="B68" i="24"/>
  <c r="B67" i="24"/>
  <c r="B66" i="24"/>
  <c r="B65" i="24"/>
  <c r="B64" i="24"/>
  <c r="B63" i="24"/>
  <c r="B62" i="24"/>
  <c r="B61" i="24"/>
  <c r="B60" i="24"/>
  <c r="B59" i="24"/>
  <c r="B58" i="24"/>
  <c r="B57" i="24"/>
  <c r="B56" i="24"/>
  <c r="B55" i="24"/>
  <c r="B54" i="24"/>
  <c r="B53" i="24"/>
  <c r="B52" i="24"/>
  <c r="B51" i="24"/>
  <c r="B50" i="24"/>
  <c r="B49" i="24"/>
  <c r="B48" i="24"/>
  <c r="B47" i="24"/>
  <c r="B46" i="24"/>
  <c r="B45" i="24"/>
  <c r="B44" i="24"/>
  <c r="B43" i="24"/>
  <c r="B42" i="24"/>
  <c r="B41" i="24"/>
  <c r="B40" i="24"/>
  <c r="B39" i="24"/>
  <c r="W19" i="24"/>
  <c r="AE14" i="24"/>
  <c r="D5" i="24"/>
  <c r="D3" i="24"/>
  <c r="F1" i="24"/>
  <c r="B400" i="23"/>
  <c r="B399" i="23"/>
  <c r="B398" i="23"/>
  <c r="B397" i="23"/>
  <c r="B396" i="23"/>
  <c r="B395" i="23"/>
  <c r="B394" i="23"/>
  <c r="B393" i="23"/>
  <c r="B392" i="23"/>
  <c r="B391" i="23"/>
  <c r="B390" i="23"/>
  <c r="B389" i="23"/>
  <c r="B388" i="23"/>
  <c r="B387" i="23"/>
  <c r="B386" i="23"/>
  <c r="B385" i="23"/>
  <c r="B384" i="23"/>
  <c r="B383" i="23"/>
  <c r="B382" i="23"/>
  <c r="B381" i="23"/>
  <c r="B380" i="23"/>
  <c r="B379" i="23"/>
  <c r="B378" i="23"/>
  <c r="B377" i="23"/>
  <c r="B376" i="23"/>
  <c r="B375" i="23"/>
  <c r="B374" i="23"/>
  <c r="B373" i="23"/>
  <c r="B372" i="23"/>
  <c r="B371" i="23"/>
  <c r="B370" i="23"/>
  <c r="B369" i="23"/>
  <c r="B368" i="23"/>
  <c r="B367" i="23"/>
  <c r="B366" i="23"/>
  <c r="B365" i="23"/>
  <c r="B364" i="23"/>
  <c r="B363" i="23"/>
  <c r="B362" i="23"/>
  <c r="B361" i="23"/>
  <c r="B360" i="23"/>
  <c r="B359" i="23"/>
  <c r="B358" i="23"/>
  <c r="B357" i="23"/>
  <c r="B356" i="23"/>
  <c r="B355" i="23"/>
  <c r="B354" i="23"/>
  <c r="B353" i="23"/>
  <c r="B352" i="23"/>
  <c r="B351" i="23"/>
  <c r="B350" i="23"/>
  <c r="B349" i="23"/>
  <c r="B348" i="23"/>
  <c r="B347" i="23"/>
  <c r="B346" i="23"/>
  <c r="B345" i="23"/>
  <c r="B344" i="23"/>
  <c r="B343" i="23"/>
  <c r="B342" i="23"/>
  <c r="B341" i="23"/>
  <c r="B340" i="23"/>
  <c r="B339" i="23"/>
  <c r="B338" i="23"/>
  <c r="B337" i="23"/>
  <c r="B336" i="23"/>
  <c r="B335" i="23"/>
  <c r="B334" i="23"/>
  <c r="B333" i="23"/>
  <c r="B332" i="23"/>
  <c r="B331" i="23"/>
  <c r="B330" i="23"/>
  <c r="B329" i="23"/>
  <c r="B328" i="23"/>
  <c r="B327" i="23"/>
  <c r="B326" i="23"/>
  <c r="B325" i="23"/>
  <c r="B324" i="23"/>
  <c r="B323" i="23"/>
  <c r="B322" i="23"/>
  <c r="B321" i="23"/>
  <c r="B320" i="23"/>
  <c r="B319" i="23"/>
  <c r="B318" i="23"/>
  <c r="B317" i="23"/>
  <c r="B316" i="23"/>
  <c r="B315" i="23"/>
  <c r="B314" i="23"/>
  <c r="B313" i="23"/>
  <c r="B312" i="23"/>
  <c r="B311" i="23"/>
  <c r="B310" i="23"/>
  <c r="B309" i="23"/>
  <c r="B308" i="23"/>
  <c r="B307" i="23"/>
  <c r="B306" i="23"/>
  <c r="B305" i="23"/>
  <c r="B304" i="23"/>
  <c r="B303" i="23"/>
  <c r="B302" i="23"/>
  <c r="B301" i="23"/>
  <c r="B300" i="23"/>
  <c r="B299" i="23"/>
  <c r="B298" i="23"/>
  <c r="B297" i="23"/>
  <c r="B296" i="23"/>
  <c r="B295" i="23"/>
  <c r="B294" i="23"/>
  <c r="B293" i="23"/>
  <c r="B292" i="23"/>
  <c r="B291" i="23"/>
  <c r="B290" i="23"/>
  <c r="B289" i="23"/>
  <c r="B288" i="23"/>
  <c r="B287" i="23"/>
  <c r="B286" i="23"/>
  <c r="B285" i="23"/>
  <c r="B284" i="23"/>
  <c r="B283" i="23"/>
  <c r="B282" i="23"/>
  <c r="B281" i="23"/>
  <c r="B280" i="23"/>
  <c r="B279" i="23"/>
  <c r="B278" i="23"/>
  <c r="B277" i="23"/>
  <c r="B276" i="23"/>
  <c r="B275" i="23"/>
  <c r="B274" i="23"/>
  <c r="B273" i="23"/>
  <c r="B272" i="23"/>
  <c r="B271" i="23"/>
  <c r="B270" i="23"/>
  <c r="B269" i="23"/>
  <c r="B268" i="23"/>
  <c r="B267" i="23"/>
  <c r="B266" i="23"/>
  <c r="B265" i="23"/>
  <c r="B264" i="23"/>
  <c r="B263" i="23"/>
  <c r="B262" i="23"/>
  <c r="B261" i="23"/>
  <c r="B260" i="23"/>
  <c r="B259" i="23"/>
  <c r="B258" i="23"/>
  <c r="B257" i="23"/>
  <c r="B256" i="23"/>
  <c r="B255" i="23"/>
  <c r="B254" i="23"/>
  <c r="B253" i="23"/>
  <c r="B252" i="23"/>
  <c r="B251" i="23"/>
  <c r="B250" i="23"/>
  <c r="B249" i="23"/>
  <c r="B248" i="23"/>
  <c r="B247" i="23"/>
  <c r="B246" i="23"/>
  <c r="B245" i="23"/>
  <c r="B244" i="23"/>
  <c r="B243" i="23"/>
  <c r="B242" i="23"/>
  <c r="B241" i="23"/>
  <c r="B240" i="23"/>
  <c r="B239" i="23"/>
  <c r="B238" i="23"/>
  <c r="B237" i="23"/>
  <c r="B236" i="23"/>
  <c r="B235" i="23"/>
  <c r="B234" i="23"/>
  <c r="B233" i="23"/>
  <c r="B232" i="23"/>
  <c r="B231" i="23"/>
  <c r="B230" i="23"/>
  <c r="B229" i="23"/>
  <c r="B228" i="23"/>
  <c r="B227" i="23"/>
  <c r="B226" i="23"/>
  <c r="B225" i="23"/>
  <c r="B224" i="23"/>
  <c r="B223" i="23"/>
  <c r="B222" i="23"/>
  <c r="B221" i="23"/>
  <c r="B218" i="23"/>
  <c r="B217" i="23"/>
  <c r="B216" i="23"/>
  <c r="B215" i="23"/>
  <c r="B214" i="23"/>
  <c r="B213" i="23"/>
  <c r="B212" i="23"/>
  <c r="B211" i="23"/>
  <c r="B210" i="23"/>
  <c r="B209" i="23"/>
  <c r="B208" i="23"/>
  <c r="B207" i="23"/>
  <c r="B206" i="23"/>
  <c r="B205" i="23"/>
  <c r="B204" i="23"/>
  <c r="B203" i="23"/>
  <c r="B202" i="23"/>
  <c r="B201" i="23"/>
  <c r="B200" i="23"/>
  <c r="B199" i="23"/>
  <c r="B198" i="23"/>
  <c r="B197" i="23"/>
  <c r="B196" i="23"/>
  <c r="B195" i="23"/>
  <c r="B194" i="23"/>
  <c r="B193" i="23"/>
  <c r="B192" i="23"/>
  <c r="B191" i="23"/>
  <c r="B190" i="23"/>
  <c r="B189" i="23"/>
  <c r="B188" i="23"/>
  <c r="B187" i="23"/>
  <c r="B186" i="23"/>
  <c r="B185" i="23"/>
  <c r="B184" i="23"/>
  <c r="B183" i="23"/>
  <c r="B182" i="23"/>
  <c r="B181" i="23"/>
  <c r="B180" i="23"/>
  <c r="B179" i="23"/>
  <c r="B178" i="23"/>
  <c r="B177" i="23"/>
  <c r="B176" i="23"/>
  <c r="B175" i="23"/>
  <c r="B174" i="23"/>
  <c r="B173" i="23"/>
  <c r="B172" i="23"/>
  <c r="B171" i="23"/>
  <c r="B170" i="23"/>
  <c r="B169" i="23"/>
  <c r="B168" i="23"/>
  <c r="B167" i="23"/>
  <c r="B166" i="23"/>
  <c r="B165" i="23"/>
  <c r="B164" i="23"/>
  <c r="B163" i="23"/>
  <c r="B162" i="23"/>
  <c r="B161" i="23"/>
  <c r="B160" i="23"/>
  <c r="B159" i="23"/>
  <c r="B158" i="23"/>
  <c r="B157" i="23"/>
  <c r="B156" i="23"/>
  <c r="B155" i="23"/>
  <c r="B154" i="23"/>
  <c r="B153" i="23"/>
  <c r="B152" i="23"/>
  <c r="B151" i="23"/>
  <c r="B150" i="23"/>
  <c r="B149" i="23"/>
  <c r="B148" i="23"/>
  <c r="B147" i="23"/>
  <c r="B146" i="23"/>
  <c r="B145" i="23"/>
  <c r="B144" i="23"/>
  <c r="B143" i="23"/>
  <c r="B142" i="23"/>
  <c r="B141" i="23"/>
  <c r="B140" i="23"/>
  <c r="B139" i="23"/>
  <c r="B138" i="23"/>
  <c r="B137" i="23"/>
  <c r="B136" i="23"/>
  <c r="B135" i="23"/>
  <c r="B134" i="23"/>
  <c r="B133" i="23"/>
  <c r="B132" i="23"/>
  <c r="B131" i="23"/>
  <c r="B130" i="23"/>
  <c r="B129" i="23"/>
  <c r="B128" i="23"/>
  <c r="B127" i="23"/>
  <c r="B126" i="23"/>
  <c r="B125" i="23"/>
  <c r="B124" i="23"/>
  <c r="B123" i="23"/>
  <c r="B122" i="23"/>
  <c r="B121" i="23"/>
  <c r="B120" i="23"/>
  <c r="B119" i="23"/>
  <c r="B118" i="23"/>
  <c r="B117" i="23"/>
  <c r="B116" i="23"/>
  <c r="B115" i="23"/>
  <c r="B114" i="23"/>
  <c r="B113" i="23"/>
  <c r="B112" i="23"/>
  <c r="B111" i="23"/>
  <c r="B110" i="23"/>
  <c r="B109" i="23"/>
  <c r="B108" i="23"/>
  <c r="B107" i="23"/>
  <c r="B106" i="23"/>
  <c r="B105" i="23"/>
  <c r="B104" i="23"/>
  <c r="B103" i="23"/>
  <c r="B102" i="23"/>
  <c r="B101" i="23"/>
  <c r="B100" i="23"/>
  <c r="B99" i="23"/>
  <c r="B98" i="23"/>
  <c r="B97" i="23"/>
  <c r="B96" i="23"/>
  <c r="B95" i="23"/>
  <c r="B94" i="23"/>
  <c r="B93" i="23"/>
  <c r="B92" i="23"/>
  <c r="B91" i="23"/>
  <c r="B90" i="23"/>
  <c r="B89" i="23"/>
  <c r="B88" i="23"/>
  <c r="B87" i="23"/>
  <c r="B86" i="23"/>
  <c r="B85" i="23"/>
  <c r="B84" i="23"/>
  <c r="B83" i="23"/>
  <c r="B82" i="23"/>
  <c r="B81" i="23"/>
  <c r="B80" i="23"/>
  <c r="B79" i="23"/>
  <c r="B78" i="23"/>
  <c r="B77" i="23"/>
  <c r="B76" i="23"/>
  <c r="B75" i="23"/>
  <c r="B74" i="23"/>
  <c r="B73" i="23"/>
  <c r="B72" i="23"/>
  <c r="B71" i="23"/>
  <c r="B70" i="23"/>
  <c r="B69" i="23"/>
  <c r="B68" i="23"/>
  <c r="B67" i="23"/>
  <c r="B66" i="23"/>
  <c r="B65" i="23"/>
  <c r="B64" i="23"/>
  <c r="B63" i="23"/>
  <c r="B62" i="23"/>
  <c r="B61" i="23"/>
  <c r="B60" i="23"/>
  <c r="B59" i="23"/>
  <c r="B58" i="23"/>
  <c r="B57" i="23"/>
  <c r="B56" i="23"/>
  <c r="B55" i="23"/>
  <c r="B54" i="23"/>
  <c r="B53" i="23"/>
  <c r="B52" i="23"/>
  <c r="B51" i="23"/>
  <c r="B50" i="23"/>
  <c r="B49" i="23"/>
  <c r="B48" i="23"/>
  <c r="B47" i="23"/>
  <c r="B46" i="23"/>
  <c r="B45" i="23"/>
  <c r="B44" i="23"/>
  <c r="B43" i="23"/>
  <c r="B42" i="23"/>
  <c r="B41" i="23"/>
  <c r="B40" i="23"/>
  <c r="B39" i="23"/>
  <c r="W19" i="23"/>
  <c r="W21" i="23" s="1"/>
  <c r="AE14" i="23"/>
  <c r="D5" i="23"/>
  <c r="D3" i="23"/>
  <c r="F1" i="23"/>
  <c r="B400" i="14"/>
  <c r="B399" i="14"/>
  <c r="B398" i="14"/>
  <c r="B397" i="14"/>
  <c r="B396" i="14"/>
  <c r="B395" i="14"/>
  <c r="B394" i="14"/>
  <c r="B393" i="14"/>
  <c r="B392" i="14"/>
  <c r="B391" i="14"/>
  <c r="B390" i="14"/>
  <c r="B389" i="14"/>
  <c r="B388" i="14"/>
  <c r="B387" i="14"/>
  <c r="B386" i="14"/>
  <c r="B385" i="14"/>
  <c r="B384" i="14"/>
  <c r="B383" i="14"/>
  <c r="B382" i="14"/>
  <c r="B381" i="14"/>
  <c r="B380" i="14"/>
  <c r="B379" i="14"/>
  <c r="B378" i="14"/>
  <c r="B377" i="14"/>
  <c r="B376" i="14"/>
  <c r="B375" i="14"/>
  <c r="B374" i="14"/>
  <c r="B373" i="14"/>
  <c r="B372" i="14"/>
  <c r="B371" i="14"/>
  <c r="B370" i="14"/>
  <c r="B369" i="14"/>
  <c r="B368" i="14"/>
  <c r="B367" i="14"/>
  <c r="B366" i="14"/>
  <c r="B365" i="14"/>
  <c r="B364" i="14"/>
  <c r="B363" i="14"/>
  <c r="B362" i="14"/>
  <c r="B361" i="14"/>
  <c r="B360" i="14"/>
  <c r="B359" i="14"/>
  <c r="B358" i="14"/>
  <c r="B357" i="14"/>
  <c r="B356" i="14"/>
  <c r="B355" i="14"/>
  <c r="B354" i="14"/>
  <c r="B353" i="14"/>
  <c r="B352" i="14"/>
  <c r="B351" i="14"/>
  <c r="B350" i="14"/>
  <c r="B349" i="14"/>
  <c r="B348" i="14"/>
  <c r="B347" i="14"/>
  <c r="B346" i="14"/>
  <c r="B345" i="14"/>
  <c r="B344" i="14"/>
  <c r="B343" i="14"/>
  <c r="B342" i="14"/>
  <c r="B341" i="14"/>
  <c r="B340" i="14"/>
  <c r="B339" i="14"/>
  <c r="B338" i="14"/>
  <c r="B337" i="14"/>
  <c r="B336" i="14"/>
  <c r="B335" i="14"/>
  <c r="B334" i="14"/>
  <c r="B333" i="14"/>
  <c r="B332" i="14"/>
  <c r="B331" i="14"/>
  <c r="B330" i="14"/>
  <c r="B329" i="14"/>
  <c r="B328" i="14"/>
  <c r="B327" i="14"/>
  <c r="B326" i="14"/>
  <c r="B325" i="14"/>
  <c r="B324" i="14"/>
  <c r="B323" i="14"/>
  <c r="B322" i="14"/>
  <c r="B321" i="14"/>
  <c r="B320" i="14"/>
  <c r="B319" i="14"/>
  <c r="B318" i="14"/>
  <c r="B317" i="14"/>
  <c r="B316" i="14"/>
  <c r="B315" i="14"/>
  <c r="B314" i="14"/>
  <c r="B313" i="14"/>
  <c r="B312" i="14"/>
  <c r="B311" i="14"/>
  <c r="B310" i="14"/>
  <c r="B309" i="14"/>
  <c r="B308" i="14"/>
  <c r="B307" i="14"/>
  <c r="B306" i="14"/>
  <c r="B305" i="14"/>
  <c r="B304" i="14"/>
  <c r="B303" i="14"/>
  <c r="B302" i="14"/>
  <c r="B301" i="14"/>
  <c r="B300" i="14"/>
  <c r="B299" i="14"/>
  <c r="B298" i="14"/>
  <c r="B297" i="14"/>
  <c r="B296" i="14"/>
  <c r="B295" i="14"/>
  <c r="B294" i="14"/>
  <c r="B293" i="14"/>
  <c r="B292" i="14"/>
  <c r="B291" i="14"/>
  <c r="B290" i="14"/>
  <c r="B289" i="14"/>
  <c r="B288" i="14"/>
  <c r="B287" i="14"/>
  <c r="B286" i="14"/>
  <c r="B285" i="14"/>
  <c r="B284" i="14"/>
  <c r="B283" i="14"/>
  <c r="B282" i="14"/>
  <c r="B281" i="14"/>
  <c r="B280" i="14"/>
  <c r="B279" i="14"/>
  <c r="B278" i="14"/>
  <c r="B277" i="14"/>
  <c r="B276" i="14"/>
  <c r="B275" i="14"/>
  <c r="B274" i="14"/>
  <c r="B273" i="14"/>
  <c r="B272" i="14"/>
  <c r="B271" i="14"/>
  <c r="B270" i="14"/>
  <c r="B269" i="14"/>
  <c r="B268" i="14"/>
  <c r="B267" i="14"/>
  <c r="B266" i="14"/>
  <c r="B265" i="14"/>
  <c r="B264" i="14"/>
  <c r="B263" i="14"/>
  <c r="B262" i="14"/>
  <c r="B261" i="14"/>
  <c r="B260" i="14"/>
  <c r="B259" i="14"/>
  <c r="B258" i="14"/>
  <c r="B257" i="14"/>
  <c r="B256" i="14"/>
  <c r="B255" i="14"/>
  <c r="B254" i="14"/>
  <c r="B253" i="14"/>
  <c r="B252" i="14"/>
  <c r="B251" i="14"/>
  <c r="B250" i="14"/>
  <c r="B249" i="14"/>
  <c r="B248" i="14"/>
  <c r="B247" i="14"/>
  <c r="B246" i="14"/>
  <c r="B245" i="14"/>
  <c r="B244" i="14"/>
  <c r="B243" i="14"/>
  <c r="B242" i="14"/>
  <c r="B241" i="14"/>
  <c r="B240" i="14"/>
  <c r="B239" i="14"/>
  <c r="B238" i="14"/>
  <c r="B237" i="14"/>
  <c r="B236" i="14"/>
  <c r="B235" i="14"/>
  <c r="B234" i="14"/>
  <c r="B233" i="14"/>
  <c r="B232" i="14"/>
  <c r="B231" i="14"/>
  <c r="B230" i="14"/>
  <c r="B229" i="14"/>
  <c r="B228" i="14"/>
  <c r="B227" i="14"/>
  <c r="B226" i="14"/>
  <c r="B225" i="14"/>
  <c r="B224" i="14"/>
  <c r="B223" i="14"/>
  <c r="B222" i="14"/>
  <c r="B221" i="14"/>
  <c r="B218" i="14"/>
  <c r="B217" i="14"/>
  <c r="B216" i="14"/>
  <c r="B215" i="14"/>
  <c r="B214" i="14"/>
  <c r="B213" i="14"/>
  <c r="B212" i="14"/>
  <c r="B211" i="14"/>
  <c r="B210" i="14"/>
  <c r="B209" i="14"/>
  <c r="B208" i="14"/>
  <c r="B207" i="14"/>
  <c r="B206" i="14"/>
  <c r="B205" i="14"/>
  <c r="B204" i="14"/>
  <c r="B203" i="14"/>
  <c r="B202" i="14"/>
  <c r="B201" i="14"/>
  <c r="B200" i="14"/>
  <c r="B199" i="14"/>
  <c r="B198" i="14"/>
  <c r="B197" i="14"/>
  <c r="B196" i="14"/>
  <c r="B195" i="14"/>
  <c r="B194" i="14"/>
  <c r="B193" i="14"/>
  <c r="B192" i="14"/>
  <c r="B191" i="14"/>
  <c r="B190" i="14"/>
  <c r="B189" i="14"/>
  <c r="B188" i="14"/>
  <c r="B187" i="14"/>
  <c r="B186" i="14"/>
  <c r="B185" i="14"/>
  <c r="B184" i="14"/>
  <c r="B183" i="14"/>
  <c r="B182" i="14"/>
  <c r="B181" i="14"/>
  <c r="B180" i="14"/>
  <c r="B179" i="14"/>
  <c r="B178" i="14"/>
  <c r="B177" i="14"/>
  <c r="B176" i="14"/>
  <c r="B175" i="14"/>
  <c r="B174" i="14"/>
  <c r="B173" i="14"/>
  <c r="B172" i="14"/>
  <c r="B171" i="14"/>
  <c r="B170" i="14"/>
  <c r="B169" i="14"/>
  <c r="B168" i="14"/>
  <c r="B167" i="14"/>
  <c r="B166" i="14"/>
  <c r="B165" i="14"/>
  <c r="B164" i="14"/>
  <c r="B163" i="14"/>
  <c r="B162" i="14"/>
  <c r="B161" i="14"/>
  <c r="B160" i="14"/>
  <c r="B159" i="14"/>
  <c r="B158" i="14"/>
  <c r="B157" i="14"/>
  <c r="B156" i="14"/>
  <c r="B155" i="14"/>
  <c r="B154" i="14"/>
  <c r="B153" i="14"/>
  <c r="B152" i="14"/>
  <c r="B151" i="14"/>
  <c r="B150" i="14"/>
  <c r="B149" i="14"/>
  <c r="B148" i="14"/>
  <c r="B147" i="14"/>
  <c r="B146" i="14"/>
  <c r="B145" i="14"/>
  <c r="B144" i="14"/>
  <c r="B143" i="14"/>
  <c r="B142" i="14"/>
  <c r="B141" i="14"/>
  <c r="B140" i="14"/>
  <c r="B139" i="14"/>
  <c r="B138" i="14"/>
  <c r="B137" i="14"/>
  <c r="B136" i="14"/>
  <c r="B135" i="14"/>
  <c r="B134" i="14"/>
  <c r="B133" i="14"/>
  <c r="B132" i="14"/>
  <c r="B131" i="14"/>
  <c r="B130" i="14"/>
  <c r="B129" i="14"/>
  <c r="B128" i="14"/>
  <c r="B127" i="14"/>
  <c r="B126" i="14"/>
  <c r="B125" i="14"/>
  <c r="B124" i="14"/>
  <c r="B123" i="14"/>
  <c r="B122" i="14"/>
  <c r="B121" i="14"/>
  <c r="B120" i="14"/>
  <c r="B119" i="14"/>
  <c r="B118" i="14"/>
  <c r="B117" i="14"/>
  <c r="B116" i="14"/>
  <c r="B115" i="14"/>
  <c r="B114" i="14"/>
  <c r="B113" i="14"/>
  <c r="B112" i="14"/>
  <c r="B111" i="14"/>
  <c r="B110" i="14"/>
  <c r="B109" i="14"/>
  <c r="B108" i="14"/>
  <c r="B107" i="14"/>
  <c r="B106" i="14"/>
  <c r="B105" i="14"/>
  <c r="B104" i="14"/>
  <c r="B103" i="14"/>
  <c r="B102" i="14"/>
  <c r="B101" i="14"/>
  <c r="B100" i="14"/>
  <c r="B99" i="14"/>
  <c r="B98" i="14"/>
  <c r="B97" i="14"/>
  <c r="B96" i="14"/>
  <c r="B95" i="14"/>
  <c r="B94" i="14"/>
  <c r="B93" i="14"/>
  <c r="B92" i="14"/>
  <c r="B91" i="14"/>
  <c r="B90" i="14"/>
  <c r="B89" i="14"/>
  <c r="B88" i="14"/>
  <c r="B87" i="14"/>
  <c r="B86" i="14"/>
  <c r="B85" i="14"/>
  <c r="B84" i="14"/>
  <c r="B83" i="14"/>
  <c r="B82" i="14"/>
  <c r="B81" i="14"/>
  <c r="B80" i="14"/>
  <c r="B79" i="14"/>
  <c r="B78" i="14"/>
  <c r="B77" i="14"/>
  <c r="B76" i="14"/>
  <c r="B75"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X19" i="14"/>
  <c r="AA22" i="14" s="1"/>
  <c r="AF14" i="14"/>
  <c r="D5" i="14"/>
  <c r="D3" i="14"/>
  <c r="F1" i="14"/>
  <c r="Z22" i="23"/>
  <c r="D5" i="1"/>
  <c r="D3" i="1"/>
  <c r="F1" i="1"/>
  <c r="B94" i="4"/>
  <c r="AS360" i="29" s="1"/>
  <c r="H81" i="4"/>
  <c r="I81" i="4" s="1"/>
  <c r="F81" i="4"/>
  <c r="H80" i="4"/>
  <c r="F80" i="4"/>
  <c r="D79" i="4"/>
  <c r="H79" i="4"/>
  <c r="D78" i="4"/>
  <c r="C78" i="4"/>
  <c r="H78" i="4"/>
  <c r="H76" i="4"/>
  <c r="I76" i="4"/>
  <c r="F76" i="4"/>
  <c r="G76" i="4" s="1"/>
  <c r="H75" i="4"/>
  <c r="D75" i="4"/>
  <c r="F75" i="4" s="1"/>
  <c r="H74" i="4"/>
  <c r="F74" i="4"/>
  <c r="G74" i="4" s="1"/>
  <c r="H73" i="4"/>
  <c r="I73" i="4" s="1"/>
  <c r="F73" i="4"/>
  <c r="H72" i="4"/>
  <c r="I72" i="4" s="1"/>
  <c r="F72" i="4"/>
  <c r="AS400" i="29"/>
  <c r="AS392" i="29"/>
  <c r="AT389" i="29"/>
  <c r="AT381" i="29"/>
  <c r="AS376" i="29"/>
  <c r="AS368" i="29"/>
  <c r="AT357" i="29"/>
  <c r="AT349" i="29"/>
  <c r="AS344" i="29"/>
  <c r="AT341" i="29"/>
  <c r="AS336" i="29"/>
  <c r="AT325" i="29"/>
  <c r="AS312" i="29"/>
  <c r="AT309" i="29"/>
  <c r="AS304" i="29"/>
  <c r="AS296" i="29"/>
  <c r="AT293" i="29"/>
  <c r="AS280" i="29"/>
  <c r="AS272" i="29"/>
  <c r="AS264" i="29"/>
  <c r="AT261" i="29"/>
  <c r="AT253" i="29"/>
  <c r="AS248" i="29"/>
  <c r="AS240" i="29"/>
  <c r="AT229" i="29"/>
  <c r="AT221" i="29"/>
  <c r="AS218" i="29"/>
  <c r="AT215" i="29"/>
  <c r="AS210" i="29"/>
  <c r="AT199" i="29"/>
  <c r="AS186" i="29"/>
  <c r="AT183" i="29"/>
  <c r="AS178" i="29"/>
  <c r="AS170" i="29"/>
  <c r="AT167" i="29"/>
  <c r="AS154" i="29"/>
  <c r="AS146" i="29"/>
  <c r="AS199" i="29"/>
  <c r="AT188" i="29"/>
  <c r="AT180" i="29"/>
  <c r="AS175" i="29"/>
  <c r="AT164" i="29"/>
  <c r="AS397" i="29"/>
  <c r="AS389" i="29"/>
  <c r="AT386" i="29"/>
  <c r="AS381" i="29"/>
  <c r="AT378" i="29"/>
  <c r="AS365" i="29"/>
  <c r="AT354" i="29"/>
  <c r="AS349" i="29"/>
  <c r="AT346" i="29"/>
  <c r="AT338" i="29"/>
  <c r="AS333" i="29"/>
  <c r="AT322" i="29"/>
  <c r="AT314" i="29"/>
  <c r="AT306" i="29"/>
  <c r="AS301" i="29"/>
  <c r="AS293" i="29"/>
  <c r="AT290" i="29"/>
  <c r="AT282" i="29"/>
  <c r="AS269" i="29"/>
  <c r="AS261" i="29"/>
  <c r="AT258" i="29"/>
  <c r="AS253" i="29"/>
  <c r="AT250" i="29"/>
  <c r="AS237" i="29"/>
  <c r="AT226" i="29"/>
  <c r="AS221" i="29"/>
  <c r="AS215" i="29"/>
  <c r="AS207" i="29"/>
  <c r="AT204" i="29"/>
  <c r="AS167" i="29"/>
  <c r="AS151" i="29"/>
  <c r="AS143" i="29"/>
  <c r="AT399" i="29"/>
  <c r="AS394" i="29"/>
  <c r="AT391" i="29"/>
  <c r="AT383" i="29"/>
  <c r="AS378" i="29"/>
  <c r="AT375" i="29"/>
  <c r="AS370" i="29"/>
  <c r="AT367" i="29"/>
  <c r="AS362" i="29"/>
  <c r="AT359" i="29"/>
  <c r="AS354" i="29"/>
  <c r="AT351" i="29"/>
  <c r="AS346" i="29"/>
  <c r="AT343" i="29"/>
  <c r="AS338" i="29"/>
  <c r="AT335" i="29"/>
  <c r="AS330" i="29"/>
  <c r="AT327" i="29"/>
  <c r="AS322" i="29"/>
  <c r="AT319" i="29"/>
  <c r="AS314" i="29"/>
  <c r="AT311" i="29"/>
  <c r="AS306" i="29"/>
  <c r="AT303" i="29"/>
  <c r="AS298" i="29"/>
  <c r="AT295" i="29"/>
  <c r="AS290" i="29"/>
  <c r="AT287" i="29"/>
  <c r="AS282" i="29"/>
  <c r="AT279" i="29"/>
  <c r="AS274" i="29"/>
  <c r="AT271" i="29"/>
  <c r="AS266" i="29"/>
  <c r="AT263" i="29"/>
  <c r="AS258" i="29"/>
  <c r="AT255" i="29"/>
  <c r="AS250" i="29"/>
  <c r="AT247" i="29"/>
  <c r="AS242" i="29"/>
  <c r="AT239" i="29"/>
  <c r="AS234" i="29"/>
  <c r="AT231" i="29"/>
  <c r="AS226" i="29"/>
  <c r="AT223" i="29"/>
  <c r="AT217" i="29"/>
  <c r="AS212" i="29"/>
  <c r="AT209" i="29"/>
  <c r="AS204" i="29"/>
  <c r="AT201" i="29"/>
  <c r="AS196" i="29"/>
  <c r="AT193" i="29"/>
  <c r="AS188" i="29"/>
  <c r="AT185" i="29"/>
  <c r="AS180" i="29"/>
  <c r="AT177" i="29"/>
  <c r="AS172" i="29"/>
  <c r="AT169" i="29"/>
  <c r="AS164" i="29"/>
  <c r="AT161" i="29"/>
  <c r="AS156" i="29"/>
  <c r="AT153" i="29"/>
  <c r="AS148" i="29"/>
  <c r="AT145" i="29"/>
  <c r="AT396" i="29"/>
  <c r="AT398" i="29"/>
  <c r="AS393" i="29"/>
  <c r="AT390" i="29"/>
  <c r="AS385" i="29"/>
  <c r="AT382" i="29"/>
  <c r="AS377" i="29"/>
  <c r="AT374" i="29"/>
  <c r="AS369" i="29"/>
  <c r="AT366" i="29"/>
  <c r="AS361" i="29"/>
  <c r="AT358" i="29"/>
  <c r="AS353" i="29"/>
  <c r="AT350" i="29"/>
  <c r="AS345" i="29"/>
  <c r="AT342" i="29"/>
  <c r="AS337" i="29"/>
  <c r="AT334" i="29"/>
  <c r="AS329" i="29"/>
  <c r="AT326" i="29"/>
  <c r="AS321" i="29"/>
  <c r="AT318" i="29"/>
  <c r="AS313" i="29"/>
  <c r="AT310" i="29"/>
  <c r="AS305" i="29"/>
  <c r="AT302" i="29"/>
  <c r="AS297" i="29"/>
  <c r="AT294" i="29"/>
  <c r="AS289" i="29"/>
  <c r="AT286" i="29"/>
  <c r="AS281" i="29"/>
  <c r="AT278" i="29"/>
  <c r="AS273" i="29"/>
  <c r="AT270" i="29"/>
  <c r="AS265" i="29"/>
  <c r="AT262" i="29"/>
  <c r="AS257" i="29"/>
  <c r="AT254" i="29"/>
  <c r="AS249" i="29"/>
  <c r="AT246" i="29"/>
  <c r="AS241" i="29"/>
  <c r="AT238" i="29"/>
  <c r="AS233" i="29"/>
  <c r="AT230" i="29"/>
  <c r="AS225" i="29"/>
  <c r="AT222" i="29"/>
  <c r="AT216" i="29"/>
  <c r="AS211" i="29"/>
  <c r="AT208" i="29"/>
  <c r="AS203" i="29"/>
  <c r="AT200" i="29"/>
  <c r="AS195" i="29"/>
  <c r="AT192" i="29"/>
  <c r="AS187" i="29"/>
  <c r="AT184" i="29"/>
  <c r="AS179" i="29"/>
  <c r="AT176" i="29"/>
  <c r="AS171" i="29"/>
  <c r="AT168" i="29"/>
  <c r="AS163" i="29"/>
  <c r="AT160" i="29"/>
  <c r="AS155" i="29"/>
  <c r="AT152" i="29"/>
  <c r="AS147" i="29"/>
  <c r="AT144" i="29"/>
  <c r="AS398" i="29"/>
  <c r="AT395" i="29"/>
  <c r="AS390" i="29"/>
  <c r="AT387" i="29"/>
  <c r="AS382" i="29"/>
  <c r="AT379" i="29"/>
  <c r="AS374" i="29"/>
  <c r="AT371" i="29"/>
  <c r="AS366" i="29"/>
  <c r="AT363" i="29"/>
  <c r="AS358" i="29"/>
  <c r="AT355" i="29"/>
  <c r="AS350" i="29"/>
  <c r="AT347" i="29"/>
  <c r="AS342" i="29"/>
  <c r="AT339" i="29"/>
  <c r="AS388" i="29"/>
  <c r="AS379" i="29"/>
  <c r="AS356" i="29"/>
  <c r="AS347" i="29"/>
  <c r="AS201" i="29"/>
  <c r="AS177" i="29"/>
  <c r="AS153" i="29"/>
  <c r="AT372" i="29"/>
  <c r="AT340" i="29"/>
  <c r="AS332" i="29"/>
  <c r="AT320" i="29"/>
  <c r="AT304" i="29"/>
  <c r="AS292" i="29"/>
  <c r="AS284" i="29"/>
  <c r="AT272" i="29"/>
  <c r="AT256" i="29"/>
  <c r="AS244" i="29"/>
  <c r="AS228" i="29"/>
  <c r="AT203" i="29"/>
  <c r="AT163" i="29"/>
  <c r="AT392" i="29"/>
  <c r="AS383" i="29"/>
  <c r="AT369" i="29"/>
  <c r="AT364" i="29"/>
  <c r="AT360" i="29"/>
  <c r="AS351" i="29"/>
  <c r="AT337" i="29"/>
  <c r="AT329" i="29"/>
  <c r="AT321" i="29"/>
  <c r="AT313" i="29"/>
  <c r="AT305" i="29"/>
  <c r="AT297" i="29"/>
  <c r="AT289" i="29"/>
  <c r="AT281" i="29"/>
  <c r="AT273" i="29"/>
  <c r="AT265" i="29"/>
  <c r="AT257" i="29"/>
  <c r="AT249" i="29"/>
  <c r="AT241" i="29"/>
  <c r="AT233" i="29"/>
  <c r="AT225" i="29"/>
  <c r="AS213" i="29"/>
  <c r="AS205" i="29"/>
  <c r="AS197" i="29"/>
  <c r="AS189" i="29"/>
  <c r="AS181" i="29"/>
  <c r="AS173" i="29"/>
  <c r="AS165" i="29"/>
  <c r="AS316" i="29"/>
  <c r="AS268" i="29"/>
  <c r="AT232" i="29"/>
  <c r="AS395" i="29"/>
  <c r="AS363" i="29"/>
  <c r="AS340" i="29"/>
  <c r="AT187" i="29"/>
  <c r="AT171" i="29"/>
  <c r="AS396" i="29"/>
  <c r="AS387" i="29"/>
  <c r="AS364" i="29"/>
  <c r="AS355" i="29"/>
  <c r="AT332" i="29"/>
  <c r="AT324" i="29"/>
  <c r="AT316" i="29"/>
  <c r="AT308" i="29"/>
  <c r="AT300" i="29"/>
  <c r="AT292" i="29"/>
  <c r="AT284" i="29"/>
  <c r="AT276" i="29"/>
  <c r="AT268" i="29"/>
  <c r="AT260" i="29"/>
  <c r="AT252" i="29"/>
  <c r="AT244" i="29"/>
  <c r="AT236" i="29"/>
  <c r="AT228" i="29"/>
  <c r="AS216" i="29"/>
  <c r="AS208" i="29"/>
  <c r="AS200" i="29"/>
  <c r="AS192" i="29"/>
  <c r="AS184" i="29"/>
  <c r="AS176" i="29"/>
  <c r="AS168" i="29"/>
  <c r="AS160" i="29"/>
  <c r="AS152" i="29"/>
  <c r="AS144" i="29"/>
  <c r="AT345" i="29"/>
  <c r="AT328" i="29"/>
  <c r="AT312" i="29"/>
  <c r="AS300" i="29"/>
  <c r="AT288" i="29"/>
  <c r="AS276" i="29"/>
  <c r="AS260" i="29"/>
  <c r="AT248" i="29"/>
  <c r="AS236" i="29"/>
  <c r="AT155" i="29"/>
  <c r="AT385" i="29"/>
  <c r="AT380" i="29"/>
  <c r="AT376" i="29"/>
  <c r="AS367" i="29"/>
  <c r="AT353" i="29"/>
  <c r="AT348" i="29"/>
  <c r="AT344" i="29"/>
  <c r="AS335" i="29"/>
  <c r="AT331" i="29"/>
  <c r="AS327" i="29"/>
  <c r="AT323" i="29"/>
  <c r="AS319" i="29"/>
  <c r="AT315" i="29"/>
  <c r="AS311" i="29"/>
  <c r="AT307" i="29"/>
  <c r="AS303" i="29"/>
  <c r="AT299" i="29"/>
  <c r="AS295" i="29"/>
  <c r="AT291" i="29"/>
  <c r="AS287" i="29"/>
  <c r="AT283" i="29"/>
  <c r="AS279" i="29"/>
  <c r="AT275" i="29"/>
  <c r="AS271" i="29"/>
  <c r="AT267" i="29"/>
  <c r="AS263" i="29"/>
  <c r="AT259" i="29"/>
  <c r="AS255" i="29"/>
  <c r="AT251" i="29"/>
  <c r="AS247" i="29"/>
  <c r="AT243" i="29"/>
  <c r="AS239" i="29"/>
  <c r="AT235" i="29"/>
  <c r="AS231" i="29"/>
  <c r="AT227" i="29"/>
  <c r="AS223" i="29"/>
  <c r="AT214" i="29"/>
  <c r="AT206" i="29"/>
  <c r="AT198" i="29"/>
  <c r="AT190" i="29"/>
  <c r="AT182" i="29"/>
  <c r="AT174" i="29"/>
  <c r="AT166" i="29"/>
  <c r="AT158" i="29"/>
  <c r="AT150" i="29"/>
  <c r="AS399" i="29"/>
  <c r="AS380" i="29"/>
  <c r="AS371" i="29"/>
  <c r="AS348" i="29"/>
  <c r="AS339" i="29"/>
  <c r="AS331" i="29"/>
  <c r="AS323" i="29"/>
  <c r="AS315" i="29"/>
  <c r="AS307" i="29"/>
  <c r="AS299" i="29"/>
  <c r="AS291" i="29"/>
  <c r="AS283" i="29"/>
  <c r="AS275" i="29"/>
  <c r="AS267" i="29"/>
  <c r="AS259" i="29"/>
  <c r="AS251" i="29"/>
  <c r="AS243" i="29"/>
  <c r="AS235" i="29"/>
  <c r="AS227" i="29"/>
  <c r="AT218" i="29"/>
  <c r="AS214" i="29"/>
  <c r="AT210" i="29"/>
  <c r="AS206" i="29"/>
  <c r="AT202" i="29"/>
  <c r="AS198" i="29"/>
  <c r="AT194" i="29"/>
  <c r="AS190" i="29"/>
  <c r="AT186" i="29"/>
  <c r="AS182" i="29"/>
  <c r="AT178" i="29"/>
  <c r="AS174" i="29"/>
  <c r="AT170" i="29"/>
  <c r="AS166" i="29"/>
  <c r="AT162" i="29"/>
  <c r="AS158" i="29"/>
  <c r="AT154" i="29"/>
  <c r="AS150" i="29"/>
  <c r="AT146" i="29"/>
  <c r="AT393" i="29"/>
  <c r="AT388" i="29"/>
  <c r="AT384" i="29"/>
  <c r="AS375" i="29"/>
  <c r="AT361" i="29"/>
  <c r="AT356" i="29"/>
  <c r="AT352" i="29"/>
  <c r="AS343" i="29"/>
  <c r="AS334" i="29"/>
  <c r="AS326" i="29"/>
  <c r="AS318" i="29"/>
  <c r="AS310" i="29"/>
  <c r="AS302" i="29"/>
  <c r="AS294" i="29"/>
  <c r="AS286" i="29"/>
  <c r="AS278" i="29"/>
  <c r="AS270" i="29"/>
  <c r="AS262" i="29"/>
  <c r="AS254" i="29"/>
  <c r="AS246" i="29"/>
  <c r="AS238" i="29"/>
  <c r="AS230" i="29"/>
  <c r="AS222" i="29"/>
  <c r="AS217" i="29"/>
  <c r="AT213" i="29"/>
  <c r="AS209" i="29"/>
  <c r="AT205" i="29"/>
  <c r="AT197" i="29"/>
  <c r="AS193" i="29"/>
  <c r="AT189" i="29"/>
  <c r="AS185" i="29"/>
  <c r="AT181" i="29"/>
  <c r="AT173" i="29"/>
  <c r="AS169" i="29"/>
  <c r="AT165" i="29"/>
  <c r="AS161" i="29"/>
  <c r="AT157" i="29"/>
  <c r="AT149" i="29"/>
  <c r="AS145" i="29"/>
  <c r="AS157" i="29"/>
  <c r="AS149" i="29"/>
  <c r="AS391" i="29"/>
  <c r="AT377" i="29"/>
  <c r="AT368" i="29"/>
  <c r="AS359" i="29"/>
  <c r="AT336" i="29"/>
  <c r="AS324" i="29"/>
  <c r="AS308" i="29"/>
  <c r="AT296" i="29"/>
  <c r="AT280" i="29"/>
  <c r="AT264" i="29"/>
  <c r="AS252" i="29"/>
  <c r="AT240" i="29"/>
  <c r="AT224" i="29"/>
  <c r="AT400" i="29"/>
  <c r="AS372" i="29"/>
  <c r="AT211" i="29"/>
  <c r="AT195" i="29"/>
  <c r="AT179" i="29"/>
  <c r="AT147" i="29"/>
  <c r="AS135" i="29"/>
  <c r="AS140" i="29"/>
  <c r="AT137" i="29"/>
  <c r="AS132" i="29"/>
  <c r="AT129" i="29"/>
  <c r="AS124" i="29"/>
  <c r="AT121" i="29"/>
  <c r="AS116" i="29"/>
  <c r="AT113" i="29"/>
  <c r="AS108" i="29"/>
  <c r="AT105" i="29"/>
  <c r="AS100" i="29"/>
  <c r="AT142" i="29"/>
  <c r="AS137" i="29"/>
  <c r="AT134" i="29"/>
  <c r="AS129" i="29"/>
  <c r="AT126" i="29"/>
  <c r="AS121" i="29"/>
  <c r="AT118" i="29"/>
  <c r="AS113" i="29"/>
  <c r="AT110" i="29"/>
  <c r="AS105" i="29"/>
  <c r="AT102" i="29"/>
  <c r="AS142" i="29"/>
  <c r="AT139" i="29"/>
  <c r="AS134" i="29"/>
  <c r="AT131" i="29"/>
  <c r="AS126" i="29"/>
  <c r="AT123" i="29"/>
  <c r="AS118" i="29"/>
  <c r="AT115" i="29"/>
  <c r="AS110" i="29"/>
  <c r="AT107" i="29"/>
  <c r="AS102" i="29"/>
  <c r="AS138" i="29"/>
  <c r="AS122" i="29"/>
  <c r="AT119" i="29"/>
  <c r="AS114" i="29"/>
  <c r="AT111" i="29"/>
  <c r="AS106" i="29"/>
  <c r="AT103" i="29"/>
  <c r="AT132" i="29"/>
  <c r="AS127" i="29"/>
  <c r="AS139" i="29"/>
  <c r="AT136" i="29"/>
  <c r="AS131" i="29"/>
  <c r="AT128" i="29"/>
  <c r="AS123" i="29"/>
  <c r="AT120" i="29"/>
  <c r="AS115" i="29"/>
  <c r="AT112" i="29"/>
  <c r="AS107" i="29"/>
  <c r="AT104" i="29"/>
  <c r="AT141" i="29"/>
  <c r="AS136" i="29"/>
  <c r="AT133" i="29"/>
  <c r="AS128" i="29"/>
  <c r="AT125" i="29"/>
  <c r="AS120" i="29"/>
  <c r="AT117" i="29"/>
  <c r="AS112" i="29"/>
  <c r="AT109" i="29"/>
  <c r="AS104" i="29"/>
  <c r="AT101" i="29"/>
  <c r="AS141" i="29"/>
  <c r="AT138" i="29"/>
  <c r="AS133" i="29"/>
  <c r="AT130" i="29"/>
  <c r="AS125" i="29"/>
  <c r="AT122" i="29"/>
  <c r="AS117" i="29"/>
  <c r="AT114" i="29"/>
  <c r="AS109" i="29"/>
  <c r="AT106" i="29"/>
  <c r="AS101" i="29"/>
  <c r="AT135" i="29"/>
  <c r="AS130" i="29"/>
  <c r="AT127" i="29"/>
  <c r="AT140" i="29"/>
  <c r="AT124" i="29"/>
  <c r="AS119" i="29"/>
  <c r="AT116" i="29"/>
  <c r="AS111" i="29"/>
  <c r="AT108" i="29"/>
  <c r="AS103" i="29"/>
  <c r="AT100" i="29"/>
  <c r="AS97" i="29"/>
  <c r="AT94" i="29"/>
  <c r="AT99" i="29"/>
  <c r="AS94" i="29"/>
  <c r="AT91" i="29"/>
  <c r="AT96" i="29"/>
  <c r="AS91" i="29"/>
  <c r="AS93" i="29"/>
  <c r="AS98" i="29"/>
  <c r="AT95" i="29"/>
  <c r="AS90" i="29"/>
  <c r="AS95" i="29"/>
  <c r="AT92" i="29"/>
  <c r="AT97" i="29"/>
  <c r="AS92" i="29"/>
  <c r="AS99" i="29"/>
  <c r="AS96" i="29"/>
  <c r="AT93" i="29"/>
  <c r="AT98" i="29"/>
  <c r="AT90" i="29"/>
  <c r="AS87" i="29"/>
  <c r="AT84" i="29"/>
  <c r="AS79" i="29"/>
  <c r="AT76" i="29"/>
  <c r="AS71" i="29"/>
  <c r="AT68" i="29"/>
  <c r="AS63" i="29"/>
  <c r="AT60" i="29"/>
  <c r="AS55" i="29"/>
  <c r="AT52" i="29"/>
  <c r="AS47" i="29"/>
  <c r="AT44" i="29"/>
  <c r="AS39" i="29"/>
  <c r="AE16" i="29"/>
  <c r="AS400" i="24"/>
  <c r="AT397" i="24"/>
  <c r="AS392" i="24"/>
  <c r="AT389" i="24"/>
  <c r="AS384" i="24"/>
  <c r="AT381" i="24"/>
  <c r="AS376" i="24"/>
  <c r="AT373" i="24"/>
  <c r="AS368" i="24"/>
  <c r="AT365" i="24"/>
  <c r="AS360" i="24"/>
  <c r="AT357" i="24"/>
  <c r="AS352" i="24"/>
  <c r="AT349" i="24"/>
  <c r="AS344" i="24"/>
  <c r="AT341" i="24"/>
  <c r="AS365" i="24"/>
  <c r="AT354" i="24"/>
  <c r="AS349" i="24"/>
  <c r="AT346" i="24"/>
  <c r="AS341" i="24"/>
  <c r="AS86" i="29"/>
  <c r="AS62" i="29"/>
  <c r="AS54" i="29"/>
  <c r="AS399" i="24"/>
  <c r="AS375" i="24"/>
  <c r="AS359" i="24"/>
  <c r="AS351" i="24"/>
  <c r="AS83" i="29"/>
  <c r="AT80" i="29"/>
  <c r="AT72" i="29"/>
  <c r="AS67" i="29"/>
  <c r="AS43" i="29"/>
  <c r="AS364" i="24"/>
  <c r="AT361" i="24"/>
  <c r="AS356" i="24"/>
  <c r="AT353" i="24"/>
  <c r="AS348" i="24"/>
  <c r="AT345" i="24"/>
  <c r="AT87" i="29"/>
  <c r="AT79" i="29"/>
  <c r="AT71" i="29"/>
  <c r="AS66" i="29"/>
  <c r="AS50" i="29"/>
  <c r="AT39" i="29"/>
  <c r="AE17" i="29"/>
  <c r="AT384" i="24"/>
  <c r="AT376" i="24"/>
  <c r="AT368" i="24"/>
  <c r="AT344" i="24"/>
  <c r="AT89" i="29"/>
  <c r="AS84" i="29"/>
  <c r="AT81" i="29"/>
  <c r="AS76" i="29"/>
  <c r="AT73" i="29"/>
  <c r="AS68" i="29"/>
  <c r="AT65" i="29"/>
  <c r="AS60" i="29"/>
  <c r="AT57" i="29"/>
  <c r="AS52" i="29"/>
  <c r="AT49" i="29"/>
  <c r="AS44" i="29"/>
  <c r="AT41" i="29"/>
  <c r="AS397" i="24"/>
  <c r="AT394" i="24"/>
  <c r="AS389" i="24"/>
  <c r="AT386" i="24"/>
  <c r="AS381" i="24"/>
  <c r="AT378" i="24"/>
  <c r="AS373" i="24"/>
  <c r="AT370" i="24"/>
  <c r="AT362" i="24"/>
  <c r="AS357" i="24"/>
  <c r="AT83" i="29"/>
  <c r="AT51" i="29"/>
  <c r="AT43" i="29"/>
  <c r="AT396" i="24"/>
  <c r="AS391" i="24"/>
  <c r="AS383" i="24"/>
  <c r="AT380" i="24"/>
  <c r="AT372" i="24"/>
  <c r="AS367" i="24"/>
  <c r="AS343" i="24"/>
  <c r="AT64" i="29"/>
  <c r="AT56" i="29"/>
  <c r="AS51" i="29"/>
  <c r="AT48" i="29"/>
  <c r="AT40" i="29"/>
  <c r="AS347" i="24"/>
  <c r="AS89" i="29"/>
  <c r="AT86" i="29"/>
  <c r="AS81" i="29"/>
  <c r="AT78" i="29"/>
  <c r="AS73" i="29"/>
  <c r="AT70" i="29"/>
  <c r="AS65" i="29"/>
  <c r="AT62" i="29"/>
  <c r="AS57" i="29"/>
  <c r="AT54" i="29"/>
  <c r="AS49" i="29"/>
  <c r="AT46" i="29"/>
  <c r="AS41" i="29"/>
  <c r="AT399" i="24"/>
  <c r="AS394" i="24"/>
  <c r="AT391" i="24"/>
  <c r="AS386" i="24"/>
  <c r="AT383" i="24"/>
  <c r="AS378" i="24"/>
  <c r="AT375" i="24"/>
  <c r="AS370" i="24"/>
  <c r="AT367" i="24"/>
  <c r="AS362" i="24"/>
  <c r="AT359" i="24"/>
  <c r="AS354" i="24"/>
  <c r="AT351" i="24"/>
  <c r="AS346" i="24"/>
  <c r="AT343" i="24"/>
  <c r="AS78" i="29"/>
  <c r="AT75" i="29"/>
  <c r="AS70" i="29"/>
  <c r="AT67" i="29"/>
  <c r="AT59" i="29"/>
  <c r="AS46" i="29"/>
  <c r="AT388" i="24"/>
  <c r="AT364" i="24"/>
  <c r="AT356" i="24"/>
  <c r="AT348" i="24"/>
  <c r="AT88" i="29"/>
  <c r="AS75" i="29"/>
  <c r="AS59" i="29"/>
  <c r="AS396" i="24"/>
  <c r="AT393" i="24"/>
  <c r="AS388" i="24"/>
  <c r="AT385" i="24"/>
  <c r="AS380" i="24"/>
  <c r="AT377" i="24"/>
  <c r="AS372" i="24"/>
  <c r="AT369" i="24"/>
  <c r="AS82" i="29"/>
  <c r="AT55" i="29"/>
  <c r="AT47" i="29"/>
  <c r="AS395" i="24"/>
  <c r="AS387" i="24"/>
  <c r="AS379" i="24"/>
  <c r="AT360" i="24"/>
  <c r="AT352" i="24"/>
  <c r="AS88" i="29"/>
  <c r="AT85" i="29"/>
  <c r="AS80" i="29"/>
  <c r="AT77" i="29"/>
  <c r="AS72" i="29"/>
  <c r="AT69" i="29"/>
  <c r="AS64" i="29"/>
  <c r="AT61" i="29"/>
  <c r="AS56" i="29"/>
  <c r="AT53" i="29"/>
  <c r="AS48" i="29"/>
  <c r="AT45" i="29"/>
  <c r="AS40" i="29"/>
  <c r="AT398" i="24"/>
  <c r="AS393" i="24"/>
  <c r="AT390" i="24"/>
  <c r="AS385" i="24"/>
  <c r="AT382" i="24"/>
  <c r="AS377" i="24"/>
  <c r="AT374" i="24"/>
  <c r="AS369" i="24"/>
  <c r="AT366" i="24"/>
  <c r="AS361" i="24"/>
  <c r="AT358" i="24"/>
  <c r="AS353" i="24"/>
  <c r="AT350" i="24"/>
  <c r="AS345" i="24"/>
  <c r="AT342" i="24"/>
  <c r="AS85" i="29"/>
  <c r="AT82" i="29"/>
  <c r="AS77" i="29"/>
  <c r="AT74" i="29"/>
  <c r="AS69" i="29"/>
  <c r="AT66" i="29"/>
  <c r="AS61" i="29"/>
  <c r="AT58" i="29"/>
  <c r="AS53" i="29"/>
  <c r="AT50" i="29"/>
  <c r="AS45" i="29"/>
  <c r="AT42" i="29"/>
  <c r="AS398" i="24"/>
  <c r="AT395" i="24"/>
  <c r="AS390" i="24"/>
  <c r="AT387" i="24"/>
  <c r="AS382" i="24"/>
  <c r="AT379" i="24"/>
  <c r="AS374" i="24"/>
  <c r="AT371" i="24"/>
  <c r="AS366" i="24"/>
  <c r="AT363" i="24"/>
  <c r="AS358" i="24"/>
  <c r="AT355" i="24"/>
  <c r="AS350" i="24"/>
  <c r="AT347" i="24"/>
  <c r="AS342" i="24"/>
  <c r="AS74" i="29"/>
  <c r="AT63" i="29"/>
  <c r="AS58" i="29"/>
  <c r="AS42" i="29"/>
  <c r="AT400" i="24"/>
  <c r="AT392" i="24"/>
  <c r="AS371" i="24"/>
  <c r="AS363" i="24"/>
  <c r="AS355" i="24"/>
  <c r="AS339" i="24"/>
  <c r="AT336" i="24"/>
  <c r="AS331" i="24"/>
  <c r="AT328" i="24"/>
  <c r="AS323" i="24"/>
  <c r="AT320" i="24"/>
  <c r="AS315" i="24"/>
  <c r="AT312" i="24"/>
  <c r="AS307" i="24"/>
  <c r="AT304" i="24"/>
  <c r="AS299" i="24"/>
  <c r="AT296" i="24"/>
  <c r="AS291" i="24"/>
  <c r="AT288" i="24"/>
  <c r="AS283" i="24"/>
  <c r="AT280" i="24"/>
  <c r="AS275" i="24"/>
  <c r="AT272" i="24"/>
  <c r="AS267" i="24"/>
  <c r="AT264" i="24"/>
  <c r="AS259" i="24"/>
  <c r="AT256" i="24"/>
  <c r="AS251" i="24"/>
  <c r="AT248" i="24"/>
  <c r="AS338" i="24"/>
  <c r="AT335" i="24"/>
  <c r="AS330" i="24"/>
  <c r="AT327" i="24"/>
  <c r="AS322" i="24"/>
  <c r="AT319" i="24"/>
  <c r="AS314" i="24"/>
  <c r="AT311" i="24"/>
  <c r="AT303" i="24"/>
  <c r="AS298" i="24"/>
  <c r="AT295" i="24"/>
  <c r="AS290" i="24"/>
  <c r="AT287" i="24"/>
  <c r="AS282" i="24"/>
  <c r="AT279" i="24"/>
  <c r="AS274" i="24"/>
  <c r="AT271" i="24"/>
  <c r="AS266" i="24"/>
  <c r="AT263" i="24"/>
  <c r="AS258" i="24"/>
  <c r="AT255" i="24"/>
  <c r="AS250" i="24"/>
  <c r="AT247" i="24"/>
  <c r="AT332" i="24"/>
  <c r="AS327" i="24"/>
  <c r="AS295" i="24"/>
  <c r="AT268" i="24"/>
  <c r="AT260" i="24"/>
  <c r="AS255" i="24"/>
  <c r="AS281" i="24"/>
  <c r="AT270" i="24"/>
  <c r="AT262" i="24"/>
  <c r="AS257" i="24"/>
  <c r="AT291" i="24"/>
  <c r="AS336" i="24"/>
  <c r="AT333" i="24"/>
  <c r="AS328" i="24"/>
  <c r="AT325" i="24"/>
  <c r="AS320" i="24"/>
  <c r="AT317" i="24"/>
  <c r="AS312" i="24"/>
  <c r="AT309" i="24"/>
  <c r="AS304" i="24"/>
  <c r="AT301" i="24"/>
  <c r="AS296" i="24"/>
  <c r="AT293" i="24"/>
  <c r="AS288" i="24"/>
  <c r="AT285" i="24"/>
  <c r="AS280" i="24"/>
  <c r="AT277" i="24"/>
  <c r="AS272" i="24"/>
  <c r="AT269" i="24"/>
  <c r="AS264" i="24"/>
  <c r="AT261" i="24"/>
  <c r="AS256" i="24"/>
  <c r="AT253" i="24"/>
  <c r="AS248" i="24"/>
  <c r="AT245" i="24"/>
  <c r="AS306" i="24"/>
  <c r="AT340" i="24"/>
  <c r="AS319" i="24"/>
  <c r="AS311" i="24"/>
  <c r="AS303" i="24"/>
  <c r="AS287" i="24"/>
  <c r="AS279" i="24"/>
  <c r="AS271" i="24"/>
  <c r="AT244" i="24"/>
  <c r="AT246" i="24"/>
  <c r="AS334" i="24"/>
  <c r="AS326" i="24"/>
  <c r="AS310" i="24"/>
  <c r="AS302" i="24"/>
  <c r="AT299" i="24"/>
  <c r="AS270" i="24"/>
  <c r="AS262" i="24"/>
  <c r="AS254" i="24"/>
  <c r="AS246" i="24"/>
  <c r="AT338" i="24"/>
  <c r="AS333" i="24"/>
  <c r="AT330" i="24"/>
  <c r="AS325" i="24"/>
  <c r="AT322" i="24"/>
  <c r="AS317" i="24"/>
  <c r="AT314" i="24"/>
  <c r="AS309" i="24"/>
  <c r="AT306" i="24"/>
  <c r="AS301" i="24"/>
  <c r="AT298" i="24"/>
  <c r="AS293" i="24"/>
  <c r="AT290" i="24"/>
  <c r="AS285" i="24"/>
  <c r="AT282" i="24"/>
  <c r="AS277" i="24"/>
  <c r="AT274" i="24"/>
  <c r="AS269" i="24"/>
  <c r="AT266" i="24"/>
  <c r="AS261" i="24"/>
  <c r="AT258" i="24"/>
  <c r="AS253" i="24"/>
  <c r="AT250" i="24"/>
  <c r="AS245" i="24"/>
  <c r="AS335" i="24"/>
  <c r="AT324" i="24"/>
  <c r="AT316" i="24"/>
  <c r="AT308" i="24"/>
  <c r="AT300" i="24"/>
  <c r="AT292" i="24"/>
  <c r="AT284" i="24"/>
  <c r="AT276" i="24"/>
  <c r="AS263" i="24"/>
  <c r="AT252" i="24"/>
  <c r="AS247" i="24"/>
  <c r="AS249" i="24"/>
  <c r="AT339" i="24"/>
  <c r="AT331" i="24"/>
  <c r="AT323" i="24"/>
  <c r="AS318" i="24"/>
  <c r="AS294" i="24"/>
  <c r="AS286" i="24"/>
  <c r="AS278" i="24"/>
  <c r="AS340" i="24"/>
  <c r="AT337" i="24"/>
  <c r="AS332" i="24"/>
  <c r="AT329" i="24"/>
  <c r="AS324" i="24"/>
  <c r="AT321" i="24"/>
  <c r="AS316" i="24"/>
  <c r="AT313" i="24"/>
  <c r="AS308" i="24"/>
  <c r="AT305" i="24"/>
  <c r="AS300" i="24"/>
  <c r="AT297" i="24"/>
  <c r="AS292" i="24"/>
  <c r="AT289" i="24"/>
  <c r="AS284" i="24"/>
  <c r="AT281" i="24"/>
  <c r="AS276" i="24"/>
  <c r="AT273" i="24"/>
  <c r="AS268" i="24"/>
  <c r="AT265" i="24"/>
  <c r="AS260" i="24"/>
  <c r="AT257" i="24"/>
  <c r="AS252" i="24"/>
  <c r="AT249" i="24"/>
  <c r="AS244" i="24"/>
  <c r="AS337" i="24"/>
  <c r="AT334" i="24"/>
  <c r="AS329" i="24"/>
  <c r="AT326" i="24"/>
  <c r="AS321" i="24"/>
  <c r="AT318" i="24"/>
  <c r="AS313" i="24"/>
  <c r="AT310" i="24"/>
  <c r="AS305" i="24"/>
  <c r="AT302" i="24"/>
  <c r="AS297" i="24"/>
  <c r="AT294" i="24"/>
  <c r="AS289" i="24"/>
  <c r="AT286" i="24"/>
  <c r="AT278" i="24"/>
  <c r="AS273" i="24"/>
  <c r="AS265" i="24"/>
  <c r="AT254" i="24"/>
  <c r="AT315" i="24"/>
  <c r="AT307" i="24"/>
  <c r="AT283" i="24"/>
  <c r="AT275" i="24"/>
  <c r="AT267" i="24"/>
  <c r="AT259" i="24"/>
  <c r="AT251" i="24"/>
  <c r="AS242" i="24"/>
  <c r="AT239" i="24"/>
  <c r="AS234" i="24"/>
  <c r="AT231" i="24"/>
  <c r="AS226" i="24"/>
  <c r="AT223" i="24"/>
  <c r="AT217" i="24"/>
  <c r="AS212" i="24"/>
  <c r="AT209" i="24"/>
  <c r="AS204" i="24"/>
  <c r="AT201" i="24"/>
  <c r="AS196" i="24"/>
  <c r="AT193" i="24"/>
  <c r="AS188" i="24"/>
  <c r="AT185" i="24"/>
  <c r="AS180" i="24"/>
  <c r="AT177" i="24"/>
  <c r="AS239" i="24"/>
  <c r="AT236" i="24"/>
  <c r="AS231" i="24"/>
  <c r="AT228" i="24"/>
  <c r="AS223" i="24"/>
  <c r="AS217" i="24"/>
  <c r="AT214" i="24"/>
  <c r="AS209" i="24"/>
  <c r="AT206" i="24"/>
  <c r="AS201" i="24"/>
  <c r="AT198" i="24"/>
  <c r="AS193" i="24"/>
  <c r="AT190" i="24"/>
  <c r="AS185" i="24"/>
  <c r="AT182" i="24"/>
  <c r="AS177" i="24"/>
  <c r="AT241" i="24"/>
  <c r="AS236" i="24"/>
  <c r="AT233" i="24"/>
  <c r="AS228" i="24"/>
  <c r="AT225" i="24"/>
  <c r="AS214" i="24"/>
  <c r="AT211" i="24"/>
  <c r="AS206" i="24"/>
  <c r="AT203" i="24"/>
  <c r="AS198" i="24"/>
  <c r="AT195" i="24"/>
  <c r="AS190" i="24"/>
  <c r="AT187" i="24"/>
  <c r="AS182" i="24"/>
  <c r="AT179" i="24"/>
  <c r="AS243" i="24"/>
  <c r="AT240" i="24"/>
  <c r="AS235" i="24"/>
  <c r="AT232" i="24"/>
  <c r="AS227" i="24"/>
  <c r="AT224" i="24"/>
  <c r="AT218" i="24"/>
  <c r="AS213" i="24"/>
  <c r="AT210" i="24"/>
  <c r="AS205" i="24"/>
  <c r="AT202" i="24"/>
  <c r="AS197" i="24"/>
  <c r="AT194" i="24"/>
  <c r="AS189" i="24"/>
  <c r="AT186" i="24"/>
  <c r="AS181" i="24"/>
  <c r="AT178" i="24"/>
  <c r="AS216" i="24"/>
  <c r="AT212" i="24"/>
  <c r="AS208" i="24"/>
  <c r="AT204" i="24"/>
  <c r="AS200" i="24"/>
  <c r="AT196" i="24"/>
  <c r="AS192" i="24"/>
  <c r="AT188" i="24"/>
  <c r="AS184" i="24"/>
  <c r="AT180" i="24"/>
  <c r="AS176" i="24"/>
  <c r="AT173" i="24"/>
  <c r="AS168" i="24"/>
  <c r="AT165" i="24"/>
  <c r="AS160" i="24"/>
  <c r="AT157" i="24"/>
  <c r="AS152" i="24"/>
  <c r="AT149" i="24"/>
  <c r="AS144" i="24"/>
  <c r="AT141" i="24"/>
  <c r="AS136" i="24"/>
  <c r="AT133" i="24"/>
  <c r="AS128" i="24"/>
  <c r="AT125" i="24"/>
  <c r="AS120" i="24"/>
  <c r="AT117" i="24"/>
  <c r="AS112" i="24"/>
  <c r="AT109" i="24"/>
  <c r="AS104" i="24"/>
  <c r="AT101" i="24"/>
  <c r="AS96" i="24"/>
  <c r="AT93" i="24"/>
  <c r="AS88" i="24"/>
  <c r="AT85" i="24"/>
  <c r="AS80" i="24"/>
  <c r="AT77" i="24"/>
  <c r="AS72" i="24"/>
  <c r="AT69" i="24"/>
  <c r="AS64" i="24"/>
  <c r="AT61" i="24"/>
  <c r="AS56" i="24"/>
  <c r="AT53" i="24"/>
  <c r="AS48" i="24"/>
  <c r="AT45" i="24"/>
  <c r="AS40" i="24"/>
  <c r="AT398" i="23"/>
  <c r="AS393" i="23"/>
  <c r="AT390" i="23"/>
  <c r="AS385" i="23"/>
  <c r="AT382" i="23"/>
  <c r="AS377" i="23"/>
  <c r="AT374" i="23"/>
  <c r="AS369" i="23"/>
  <c r="AT366" i="23"/>
  <c r="AS361" i="23"/>
  <c r="AS211" i="24"/>
  <c r="AS207" i="24"/>
  <c r="AS202" i="24"/>
  <c r="AS179" i="24"/>
  <c r="AS175" i="24"/>
  <c r="AS172" i="24"/>
  <c r="AT169" i="24"/>
  <c r="AT166" i="24"/>
  <c r="AT163" i="24"/>
  <c r="AS146" i="24"/>
  <c r="AS143" i="24"/>
  <c r="AS140" i="24"/>
  <c r="AT137" i="24"/>
  <c r="AT134" i="24"/>
  <c r="AT131" i="24"/>
  <c r="AS114" i="24"/>
  <c r="AS111" i="24"/>
  <c r="AS108" i="24"/>
  <c r="AT105" i="24"/>
  <c r="AT102" i="24"/>
  <c r="AT99" i="24"/>
  <c r="AS82" i="24"/>
  <c r="AS79" i="24"/>
  <c r="AS76" i="24"/>
  <c r="AT73" i="24"/>
  <c r="AT70" i="24"/>
  <c r="AT67" i="24"/>
  <c r="AS50" i="24"/>
  <c r="AS47" i="24"/>
  <c r="AS44" i="24"/>
  <c r="AT41" i="24"/>
  <c r="AS387" i="23"/>
  <c r="AS384" i="23"/>
  <c r="AS381" i="23"/>
  <c r="AT378" i="23"/>
  <c r="AT375" i="23"/>
  <c r="AT372" i="23"/>
  <c r="AS358" i="23"/>
  <c r="AT355" i="23"/>
  <c r="AS350" i="23"/>
  <c r="AT347" i="23"/>
  <c r="AS342" i="23"/>
  <c r="AT339" i="23"/>
  <c r="AS334" i="23"/>
  <c r="AT331" i="23"/>
  <c r="AS326" i="23"/>
  <c r="AT323" i="23"/>
  <c r="AS318" i="23"/>
  <c r="AT315" i="23"/>
  <c r="AS310" i="23"/>
  <c r="AT227" i="24"/>
  <c r="AT197" i="24"/>
  <c r="AT192" i="24"/>
  <c r="AT183" i="24"/>
  <c r="AS166" i="24"/>
  <c r="AS163" i="24"/>
  <c r="AS157" i="24"/>
  <c r="AT154" i="24"/>
  <c r="AT148" i="24"/>
  <c r="AS134" i="24"/>
  <c r="AT128" i="24"/>
  <c r="AT122" i="24"/>
  <c r="AT116" i="24"/>
  <c r="AS102" i="24"/>
  <c r="AT96" i="24"/>
  <c r="AS93" i="24"/>
  <c r="AT87" i="24"/>
  <c r="AS70" i="24"/>
  <c r="AT64" i="24"/>
  <c r="AT58" i="24"/>
  <c r="AT52" i="24"/>
  <c r="AT395" i="23"/>
  <c r="AT389" i="23"/>
  <c r="AS378" i="23"/>
  <c r="AS372" i="23"/>
  <c r="AS366" i="23"/>
  <c r="AT360" i="23"/>
  <c r="AS355" i="23"/>
  <c r="AT352" i="23"/>
  <c r="AT344" i="23"/>
  <c r="AS339" i="23"/>
  <c r="AT336" i="23"/>
  <c r="AS331" i="23"/>
  <c r="AT328" i="23"/>
  <c r="AS323" i="23"/>
  <c r="AT320" i="23"/>
  <c r="AT312" i="23"/>
  <c r="AT243" i="24"/>
  <c r="AT235" i="24"/>
  <c r="AT215" i="24"/>
  <c r="AS169" i="24"/>
  <c r="AT160" i="24"/>
  <c r="AT151" i="24"/>
  <c r="AS137" i="24"/>
  <c r="AS131" i="24"/>
  <c r="AS125" i="24"/>
  <c r="AT119" i="24"/>
  <c r="AS105" i="24"/>
  <c r="AS99" i="24"/>
  <c r="AT90" i="24"/>
  <c r="AT84" i="24"/>
  <c r="AS73" i="24"/>
  <c r="AS67" i="24"/>
  <c r="AS61" i="24"/>
  <c r="AT55" i="24"/>
  <c r="AS41" i="24"/>
  <c r="AS398" i="23"/>
  <c r="AT392" i="23"/>
  <c r="AS375" i="23"/>
  <c r="AT369" i="23"/>
  <c r="AT363" i="23"/>
  <c r="AS347" i="23"/>
  <c r="AS315" i="23"/>
  <c r="AT238" i="24"/>
  <c r="AT230" i="24"/>
  <c r="AT222" i="24"/>
  <c r="AS215" i="24"/>
  <c r="AS210" i="24"/>
  <c r="AS187" i="24"/>
  <c r="AS183" i="24"/>
  <c r="AS178" i="24"/>
  <c r="AT174" i="24"/>
  <c r="AT171" i="24"/>
  <c r="AS154" i="24"/>
  <c r="AS151" i="24"/>
  <c r="AS148" i="24"/>
  <c r="AT145" i="24"/>
  <c r="AT142" i="24"/>
  <c r="AT139" i="24"/>
  <c r="AS122" i="24"/>
  <c r="AS119" i="24"/>
  <c r="AS116" i="24"/>
  <c r="AT113" i="24"/>
  <c r="AT110" i="24"/>
  <c r="AT107" i="24"/>
  <c r="AS90" i="24"/>
  <c r="AS87" i="24"/>
  <c r="AS84" i="24"/>
  <c r="AT81" i="24"/>
  <c r="AT78" i="24"/>
  <c r="AT75" i="24"/>
  <c r="AS58" i="24"/>
  <c r="AS55" i="24"/>
  <c r="AS52" i="24"/>
  <c r="AT49" i="24"/>
  <c r="AT46" i="24"/>
  <c r="AT43" i="24"/>
  <c r="AS395" i="23"/>
  <c r="AS392" i="23"/>
  <c r="AS389" i="23"/>
  <c r="AT386" i="23"/>
  <c r="AT383" i="23"/>
  <c r="AT380" i="23"/>
  <c r="AS363" i="23"/>
  <c r="AS360" i="23"/>
  <c r="AT357" i="23"/>
  <c r="AS352" i="23"/>
  <c r="AT349" i="23"/>
  <c r="AS344" i="23"/>
  <c r="AT341" i="23"/>
  <c r="AS336" i="23"/>
  <c r="AT333" i="23"/>
  <c r="AS328" i="23"/>
  <c r="AT325" i="23"/>
  <c r="AS320" i="23"/>
  <c r="AT317" i="23"/>
  <c r="AS312" i="23"/>
  <c r="AT309" i="23"/>
  <c r="AS241" i="24"/>
  <c r="AT237" i="24"/>
  <c r="AS233" i="24"/>
  <c r="AT229" i="24"/>
  <c r="AS225" i="24"/>
  <c r="AT221" i="24"/>
  <c r="AT213" i="24"/>
  <c r="AT208" i="24"/>
  <c r="AT199" i="24"/>
  <c r="AT181" i="24"/>
  <c r="AT176" i="24"/>
  <c r="AS173" i="24"/>
  <c r="AT170" i="24"/>
  <c r="AT167" i="24"/>
  <c r="AT164" i="24"/>
  <c r="AS153" i="24"/>
  <c r="AS150" i="24"/>
  <c r="AS147" i="24"/>
  <c r="AT144" i="24"/>
  <c r="AS141" i="24"/>
  <c r="AT138" i="24"/>
  <c r="AT135" i="24"/>
  <c r="AT132" i="24"/>
  <c r="AS121" i="24"/>
  <c r="AS118" i="24"/>
  <c r="AS115" i="24"/>
  <c r="AT112" i="24"/>
  <c r="AS109" i="24"/>
  <c r="AT106" i="24"/>
  <c r="AT103" i="24"/>
  <c r="AT100" i="24"/>
  <c r="AS89" i="24"/>
  <c r="AS86" i="24"/>
  <c r="AS83" i="24"/>
  <c r="AT80" i="24"/>
  <c r="AS77" i="24"/>
  <c r="AT74" i="24"/>
  <c r="AT71" i="24"/>
  <c r="AT68" i="24"/>
  <c r="AS57" i="24"/>
  <c r="AS54" i="24"/>
  <c r="AS51" i="24"/>
  <c r="AT48" i="24"/>
  <c r="AS45" i="24"/>
  <c r="AT42" i="24"/>
  <c r="AT39" i="24"/>
  <c r="AE17" i="24"/>
  <c r="AS394" i="23"/>
  <c r="AS391" i="23"/>
  <c r="AS388" i="23"/>
  <c r="AT385" i="23"/>
  <c r="AS382" i="23"/>
  <c r="AT379" i="23"/>
  <c r="AT376" i="23"/>
  <c r="AT373" i="23"/>
  <c r="AS362" i="23"/>
  <c r="AS359" i="23"/>
  <c r="AT356" i="23"/>
  <c r="AS351" i="23"/>
  <c r="AT348" i="23"/>
  <c r="AS343" i="23"/>
  <c r="AT340" i="23"/>
  <c r="AS335" i="23"/>
  <c r="AT332" i="23"/>
  <c r="AS327" i="23"/>
  <c r="AT324" i="23"/>
  <c r="AS319" i="23"/>
  <c r="AT316" i="23"/>
  <c r="AS311" i="23"/>
  <c r="AT308" i="23"/>
  <c r="AS237" i="24"/>
  <c r="AS229" i="24"/>
  <c r="AS221" i="24"/>
  <c r="AS203" i="24"/>
  <c r="AS199" i="24"/>
  <c r="AS194" i="24"/>
  <c r="AS170" i="24"/>
  <c r="AS167" i="24"/>
  <c r="AS164" i="24"/>
  <c r="AT161" i="24"/>
  <c r="AT158" i="24"/>
  <c r="AT155" i="24"/>
  <c r="AS138" i="24"/>
  <c r="AS135" i="24"/>
  <c r="AS132" i="24"/>
  <c r="AT129" i="24"/>
  <c r="AT126" i="24"/>
  <c r="AT123" i="24"/>
  <c r="AS106" i="24"/>
  <c r="AS103" i="24"/>
  <c r="AS100" i="24"/>
  <c r="AT97" i="24"/>
  <c r="AT94" i="24"/>
  <c r="AT91" i="24"/>
  <c r="AS74" i="24"/>
  <c r="AS71" i="24"/>
  <c r="AS68" i="24"/>
  <c r="AT65" i="24"/>
  <c r="AT62" i="24"/>
  <c r="AT59" i="24"/>
  <c r="AS42" i="24"/>
  <c r="AS39" i="24"/>
  <c r="AE16" i="24"/>
  <c r="AT399" i="23"/>
  <c r="AT396" i="23"/>
  <c r="AS379" i="23"/>
  <c r="AS376" i="23"/>
  <c r="AS373" i="23"/>
  <c r="AT370" i="23"/>
  <c r="AT367" i="23"/>
  <c r="AT364" i="23"/>
  <c r="AS356" i="23"/>
  <c r="AT353" i="23"/>
  <c r="AS348" i="23"/>
  <c r="AT345" i="23"/>
  <c r="AS340" i="23"/>
  <c r="AT337" i="23"/>
  <c r="AS332" i="23"/>
  <c r="AT329" i="23"/>
  <c r="AS324" i="23"/>
  <c r="AT321" i="23"/>
  <c r="AS316" i="23"/>
  <c r="AT313" i="23"/>
  <c r="AS308" i="23"/>
  <c r="AT130" i="24"/>
  <c r="AT60" i="24"/>
  <c r="AT338" i="23"/>
  <c r="AS240" i="24"/>
  <c r="AT234" i="24"/>
  <c r="AS218" i="24"/>
  <c r="AT205" i="24"/>
  <c r="AS174" i="24"/>
  <c r="AS159" i="24"/>
  <c r="AS155" i="24"/>
  <c r="AT150" i="24"/>
  <c r="AS130" i="24"/>
  <c r="AS126" i="24"/>
  <c r="AS117" i="24"/>
  <c r="AS97" i="24"/>
  <c r="AT79" i="24"/>
  <c r="AS60" i="24"/>
  <c r="AS46" i="24"/>
  <c r="AT394" i="23"/>
  <c r="AS380" i="23"/>
  <c r="AS374" i="23"/>
  <c r="AT365" i="23"/>
  <c r="AT361" i="23"/>
  <c r="AS338" i="23"/>
  <c r="AS329" i="23"/>
  <c r="AS314" i="23"/>
  <c r="AT216" i="24"/>
  <c r="AT82" i="24"/>
  <c r="AS364" i="23"/>
  <c r="AS330" i="23"/>
  <c r="AT159" i="24"/>
  <c r="AS113" i="24"/>
  <c r="AS75" i="24"/>
  <c r="AT334" i="23"/>
  <c r="AS222" i="24"/>
  <c r="AT191" i="24"/>
  <c r="AS186" i="24"/>
  <c r="AT168" i="24"/>
  <c r="AT162" i="24"/>
  <c r="AS145" i="24"/>
  <c r="AT140" i="24"/>
  <c r="AT121" i="24"/>
  <c r="AS107" i="24"/>
  <c r="AS101" i="24"/>
  <c r="AT92" i="24"/>
  <c r="AT88" i="24"/>
  <c r="AT83" i="24"/>
  <c r="AT63" i="24"/>
  <c r="AT50" i="24"/>
  <c r="AT40" i="24"/>
  <c r="AT384" i="23"/>
  <c r="AS365" i="23"/>
  <c r="AT351" i="23"/>
  <c r="AT346" i="23"/>
  <c r="AT342" i="23"/>
  <c r="AS333" i="23"/>
  <c r="AT319" i="23"/>
  <c r="AT314" i="23"/>
  <c r="AT310" i="23"/>
  <c r="AS191" i="24"/>
  <c r="AS162" i="24"/>
  <c r="AS158" i="24"/>
  <c r="AS149" i="24"/>
  <c r="AS129" i="24"/>
  <c r="AT111" i="24"/>
  <c r="AS92" i="24"/>
  <c r="AS78" i="24"/>
  <c r="AS63" i="24"/>
  <c r="AS59" i="24"/>
  <c r="AT54" i="24"/>
  <c r="AT397" i="23"/>
  <c r="AT393" i="23"/>
  <c r="AT388" i="23"/>
  <c r="AT368" i="23"/>
  <c r="AS346" i="23"/>
  <c r="AS337" i="23"/>
  <c r="AS238" i="24"/>
  <c r="AS232" i="24"/>
  <c r="AT226" i="24"/>
  <c r="AT172" i="24"/>
  <c r="AT153" i="24"/>
  <c r="AS139" i="24"/>
  <c r="AS133" i="24"/>
  <c r="AT124" i="24"/>
  <c r="AT120" i="24"/>
  <c r="AT115" i="24"/>
  <c r="AT95" i="24"/>
  <c r="AT72" i="24"/>
  <c r="AT66" i="24"/>
  <c r="AS49" i="24"/>
  <c r="AT44" i="24"/>
  <c r="AS397" i="23"/>
  <c r="AS383" i="23"/>
  <c r="AS368" i="23"/>
  <c r="AT359" i="23"/>
  <c r="AT354" i="23"/>
  <c r="AT350" i="23"/>
  <c r="AS341" i="23"/>
  <c r="AT327" i="23"/>
  <c r="AT322" i="23"/>
  <c r="AT318" i="23"/>
  <c r="AS309" i="23"/>
  <c r="AS321" i="23"/>
  <c r="AT146" i="24"/>
  <c r="AT136" i="24"/>
  <c r="AT108" i="24"/>
  <c r="AT89" i="24"/>
  <c r="AT56" i="24"/>
  <c r="AS325" i="23"/>
  <c r="AS195" i="24"/>
  <c r="AT184" i="24"/>
  <c r="AS161" i="24"/>
  <c r="AT143" i="24"/>
  <c r="AS124" i="24"/>
  <c r="AS110" i="24"/>
  <c r="AS95" i="24"/>
  <c r="AS91" i="24"/>
  <c r="AT86" i="24"/>
  <c r="AS66" i="24"/>
  <c r="AS62" i="24"/>
  <c r="AS53" i="24"/>
  <c r="AT400" i="23"/>
  <c r="AT387" i="23"/>
  <c r="AT377" i="23"/>
  <c r="AT371" i="23"/>
  <c r="AS354" i="23"/>
  <c r="AS345" i="23"/>
  <c r="AS322" i="23"/>
  <c r="AS313" i="23"/>
  <c r="AT242" i="24"/>
  <c r="AT207" i="24"/>
  <c r="AT189" i="24"/>
  <c r="AS171" i="24"/>
  <c r="AS165" i="24"/>
  <c r="AT156" i="24"/>
  <c r="AT152" i="24"/>
  <c r="AT147" i="24"/>
  <c r="AT127" i="24"/>
  <c r="AT114" i="24"/>
  <c r="AT104" i="24"/>
  <c r="AT98" i="24"/>
  <c r="AS81" i="24"/>
  <c r="AT76" i="24"/>
  <c r="AT57" i="24"/>
  <c r="AS43" i="24"/>
  <c r="AS400" i="23"/>
  <c r="AS396" i="23"/>
  <c r="AT391" i="23"/>
  <c r="AS371" i="23"/>
  <c r="AS367" i="23"/>
  <c r="AT358" i="23"/>
  <c r="AS349" i="23"/>
  <c r="AT335" i="23"/>
  <c r="AT330" i="23"/>
  <c r="AT326" i="23"/>
  <c r="AS317" i="23"/>
  <c r="AS230" i="24"/>
  <c r="AS224" i="24"/>
  <c r="AT200" i="24"/>
  <c r="AT175" i="24"/>
  <c r="AS156" i="24"/>
  <c r="AS142" i="24"/>
  <c r="AS127" i="24"/>
  <c r="AS123" i="24"/>
  <c r="AT118" i="24"/>
  <c r="AS98" i="24"/>
  <c r="AS94" i="24"/>
  <c r="AS85" i="24"/>
  <c r="AS65" i="24"/>
  <c r="AT47" i="24"/>
  <c r="AS386" i="23"/>
  <c r="AT381" i="23"/>
  <c r="AT362" i="23"/>
  <c r="AS353" i="23"/>
  <c r="AS69" i="24"/>
  <c r="AT51" i="24"/>
  <c r="AS399" i="23"/>
  <c r="AS390" i="23"/>
  <c r="AS370" i="23"/>
  <c r="AS357" i="23"/>
  <c r="AT343" i="23"/>
  <c r="AT311" i="23"/>
  <c r="AS304" i="23"/>
  <c r="AT301" i="23"/>
  <c r="AS296" i="23"/>
  <c r="AT293" i="23"/>
  <c r="AS288" i="23"/>
  <c r="AT285" i="23"/>
  <c r="AS280" i="23"/>
  <c r="AT277" i="23"/>
  <c r="AS272" i="23"/>
  <c r="AT269" i="23"/>
  <c r="AS264" i="23"/>
  <c r="AT261" i="23"/>
  <c r="AS256" i="23"/>
  <c r="AT253" i="23"/>
  <c r="AS248" i="23"/>
  <c r="AT245" i="23"/>
  <c r="AS240" i="23"/>
  <c r="AT237" i="23"/>
  <c r="AS232" i="23"/>
  <c r="AT229" i="23"/>
  <c r="AS224" i="23"/>
  <c r="AT221" i="23"/>
  <c r="AS218" i="23"/>
  <c r="AT215" i="23"/>
  <c r="AS210" i="23"/>
  <c r="AT207" i="23"/>
  <c r="AS202" i="23"/>
  <c r="AT199" i="23"/>
  <c r="AS194" i="23"/>
  <c r="AT191" i="23"/>
  <c r="AS186" i="23"/>
  <c r="AT183" i="23"/>
  <c r="AS178" i="23"/>
  <c r="AT175" i="23"/>
  <c r="AS170" i="23"/>
  <c r="AT167" i="23"/>
  <c r="AS162" i="23"/>
  <c r="AT306" i="23"/>
  <c r="AS301" i="23"/>
  <c r="AT298" i="23"/>
  <c r="AS293" i="23"/>
  <c r="AT290" i="23"/>
  <c r="AS285" i="23"/>
  <c r="AT282" i="23"/>
  <c r="AS277" i="23"/>
  <c r="AT274" i="23"/>
  <c r="AS269" i="23"/>
  <c r="AT266" i="23"/>
  <c r="AS261" i="23"/>
  <c r="AT258" i="23"/>
  <c r="AS253" i="23"/>
  <c r="AT250" i="23"/>
  <c r="AS245" i="23"/>
  <c r="AT242" i="23"/>
  <c r="AS237" i="23"/>
  <c r="AT234" i="23"/>
  <c r="AS229" i="23"/>
  <c r="AT226" i="23"/>
  <c r="AS221" i="23"/>
  <c r="AS215" i="23"/>
  <c r="AT212" i="23"/>
  <c r="AS207" i="23"/>
  <c r="AT204" i="23"/>
  <c r="AS199" i="23"/>
  <c r="AT196" i="23"/>
  <c r="AS191" i="23"/>
  <c r="AT188" i="23"/>
  <c r="AS183" i="23"/>
  <c r="AT180" i="23"/>
  <c r="AS175" i="23"/>
  <c r="AT172" i="23"/>
  <c r="AS167" i="23"/>
  <c r="AT164" i="23"/>
  <c r="AS306" i="23"/>
  <c r="AT303" i="23"/>
  <c r="AS298" i="23"/>
  <c r="AT295" i="23"/>
  <c r="AS290" i="23"/>
  <c r="AT287" i="23"/>
  <c r="AS282" i="23"/>
  <c r="AT279" i="23"/>
  <c r="AS274" i="23"/>
  <c r="AT271" i="23"/>
  <c r="AS266" i="23"/>
  <c r="AT263" i="23"/>
  <c r="AS258" i="23"/>
  <c r="AT255" i="23"/>
  <c r="AS250" i="23"/>
  <c r="AT247" i="23"/>
  <c r="AS242" i="23"/>
  <c r="AT239" i="23"/>
  <c r="AS234" i="23"/>
  <c r="AT231" i="23"/>
  <c r="AS226" i="23"/>
  <c r="AT223" i="23"/>
  <c r="AT217" i="23"/>
  <c r="AS212" i="23"/>
  <c r="AT209" i="23"/>
  <c r="AS204" i="23"/>
  <c r="AT201" i="23"/>
  <c r="AS196" i="23"/>
  <c r="AT193" i="23"/>
  <c r="AS188" i="23"/>
  <c r="AT185" i="23"/>
  <c r="AS180" i="23"/>
  <c r="AT177" i="23"/>
  <c r="AS172" i="23"/>
  <c r="AT169" i="23"/>
  <c r="AS164" i="23"/>
  <c r="AT161" i="23"/>
  <c r="AS305" i="23"/>
  <c r="AT302" i="23"/>
  <c r="AS297" i="23"/>
  <c r="AT294" i="23"/>
  <c r="AS289" i="23"/>
  <c r="AT286" i="23"/>
  <c r="AS281" i="23"/>
  <c r="AT278" i="23"/>
  <c r="AS273" i="23"/>
  <c r="AT270" i="23"/>
  <c r="AS265" i="23"/>
  <c r="AT262" i="23"/>
  <c r="AS257" i="23"/>
  <c r="AT254" i="23"/>
  <c r="AS249" i="23"/>
  <c r="AT246" i="23"/>
  <c r="AS241" i="23"/>
  <c r="AT238" i="23"/>
  <c r="AS233" i="23"/>
  <c r="AT230" i="23"/>
  <c r="AS225" i="23"/>
  <c r="AT222" i="23"/>
  <c r="AT216" i="23"/>
  <c r="AS211" i="23"/>
  <c r="AT208" i="23"/>
  <c r="AS203" i="23"/>
  <c r="AT200" i="23"/>
  <c r="AS195" i="23"/>
  <c r="AT192" i="23"/>
  <c r="AS187" i="23"/>
  <c r="AT184" i="23"/>
  <c r="AS179" i="23"/>
  <c r="AT176" i="23"/>
  <c r="AS171" i="23"/>
  <c r="AT168" i="23"/>
  <c r="AS163" i="23"/>
  <c r="AT160" i="23"/>
  <c r="AT304" i="23"/>
  <c r="AS300" i="23"/>
  <c r="AT296" i="23"/>
  <c r="AS292" i="23"/>
  <c r="AT288" i="23"/>
  <c r="AS284" i="23"/>
  <c r="AT280" i="23"/>
  <c r="AS276" i="23"/>
  <c r="AT272" i="23"/>
  <c r="AS268" i="23"/>
  <c r="AT264" i="23"/>
  <c r="AS260" i="23"/>
  <c r="AT256" i="23"/>
  <c r="AS252" i="23"/>
  <c r="AT248" i="23"/>
  <c r="AS244" i="23"/>
  <c r="AT240" i="23"/>
  <c r="AS236" i="23"/>
  <c r="AT232" i="23"/>
  <c r="AS228" i="23"/>
  <c r="AT224" i="23"/>
  <c r="AS157" i="23"/>
  <c r="AT154" i="23"/>
  <c r="AS149" i="23"/>
  <c r="AT146" i="23"/>
  <c r="AS141" i="23"/>
  <c r="AT138" i="23"/>
  <c r="AS133" i="23"/>
  <c r="AT130" i="23"/>
  <c r="AS125" i="23"/>
  <c r="AT122" i="23"/>
  <c r="AS117" i="23"/>
  <c r="AT114" i="23"/>
  <c r="AS109" i="23"/>
  <c r="AT106" i="23"/>
  <c r="AS101" i="23"/>
  <c r="AT98" i="23"/>
  <c r="AS93" i="23"/>
  <c r="AT90" i="23"/>
  <c r="AS243" i="23"/>
  <c r="AT218" i="23"/>
  <c r="AT210" i="23"/>
  <c r="AS198" i="23"/>
  <c r="AT186" i="23"/>
  <c r="AS174" i="23"/>
  <c r="AT162" i="23"/>
  <c r="AS156" i="23"/>
  <c r="AS132" i="23"/>
  <c r="AS124" i="23"/>
  <c r="AS116" i="23"/>
  <c r="AT211" i="23"/>
  <c r="AT203" i="23"/>
  <c r="AT195" i="23"/>
  <c r="AT187" i="23"/>
  <c r="AT179" i="23"/>
  <c r="AT171" i="23"/>
  <c r="AT163" i="23"/>
  <c r="AT159" i="23"/>
  <c r="AS154" i="23"/>
  <c r="AT151" i="23"/>
  <c r="AS146" i="23"/>
  <c r="AT143" i="23"/>
  <c r="AS138" i="23"/>
  <c r="AT135" i="23"/>
  <c r="AS130" i="23"/>
  <c r="AT127" i="23"/>
  <c r="AS122" i="23"/>
  <c r="AT119" i="23"/>
  <c r="AS114" i="23"/>
  <c r="AT111" i="23"/>
  <c r="AS106" i="23"/>
  <c r="AT103" i="23"/>
  <c r="AS98" i="23"/>
  <c r="AT95" i="23"/>
  <c r="AS90" i="23"/>
  <c r="AS307" i="23"/>
  <c r="AS299" i="23"/>
  <c r="AS291" i="23"/>
  <c r="AS283" i="23"/>
  <c r="AS275" i="23"/>
  <c r="AS267" i="23"/>
  <c r="AS251" i="23"/>
  <c r="AS227" i="23"/>
  <c r="AS214" i="23"/>
  <c r="AS206" i="23"/>
  <c r="AT194" i="23"/>
  <c r="AS182" i="23"/>
  <c r="AT170" i="23"/>
  <c r="AS148" i="23"/>
  <c r="AS140" i="23"/>
  <c r="AT121" i="23"/>
  <c r="AT113" i="23"/>
  <c r="AT105" i="23"/>
  <c r="AT97" i="23"/>
  <c r="AT307" i="23"/>
  <c r="AS303" i="23"/>
  <c r="AT299" i="23"/>
  <c r="AS295" i="23"/>
  <c r="AT291" i="23"/>
  <c r="AS287" i="23"/>
  <c r="AT283" i="23"/>
  <c r="AS279" i="23"/>
  <c r="AT275" i="23"/>
  <c r="AS271" i="23"/>
  <c r="AT267" i="23"/>
  <c r="AS263" i="23"/>
  <c r="AT259" i="23"/>
  <c r="AS255" i="23"/>
  <c r="AT251" i="23"/>
  <c r="AS247" i="23"/>
  <c r="AT243" i="23"/>
  <c r="AS239" i="23"/>
  <c r="AT235" i="23"/>
  <c r="AS231" i="23"/>
  <c r="AT227" i="23"/>
  <c r="AS223" i="23"/>
  <c r="AT214" i="23"/>
  <c r="AT206" i="23"/>
  <c r="AT198" i="23"/>
  <c r="AT190" i="23"/>
  <c r="AT182" i="23"/>
  <c r="AT174" i="23"/>
  <c r="AT166" i="23"/>
  <c r="AS159" i="23"/>
  <c r="AT156" i="23"/>
  <c r="AS151" i="23"/>
  <c r="AT148" i="23"/>
  <c r="AS143" i="23"/>
  <c r="AT140" i="23"/>
  <c r="AS135" i="23"/>
  <c r="AT132" i="23"/>
  <c r="AS127" i="23"/>
  <c r="AT124" i="23"/>
  <c r="AS119" i="23"/>
  <c r="AT116" i="23"/>
  <c r="AS111" i="23"/>
  <c r="AT108" i="23"/>
  <c r="AS103" i="23"/>
  <c r="AT100" i="23"/>
  <c r="AS95" i="23"/>
  <c r="AT92" i="23"/>
  <c r="AS259" i="23"/>
  <c r="AS235" i="23"/>
  <c r="AT202" i="23"/>
  <c r="AS190" i="23"/>
  <c r="AT178" i="23"/>
  <c r="AS166" i="23"/>
  <c r="AT153" i="23"/>
  <c r="AT145" i="23"/>
  <c r="AT137" i="23"/>
  <c r="AT129" i="23"/>
  <c r="AS108" i="23"/>
  <c r="AS100" i="23"/>
  <c r="AS92" i="23"/>
  <c r="AS217" i="23"/>
  <c r="AT213" i="23"/>
  <c r="AS209" i="23"/>
  <c r="AT205" i="23"/>
  <c r="AS201" i="23"/>
  <c r="AT197" i="23"/>
  <c r="AS193" i="23"/>
  <c r="AT189" i="23"/>
  <c r="AS185" i="23"/>
  <c r="AT181" i="23"/>
  <c r="AS177" i="23"/>
  <c r="AT173" i="23"/>
  <c r="AS169" i="23"/>
  <c r="AT165" i="23"/>
  <c r="AS161" i="23"/>
  <c r="AS158" i="23"/>
  <c r="AT155" i="23"/>
  <c r="AS150" i="23"/>
  <c r="AT147" i="23"/>
  <c r="AS142" i="23"/>
  <c r="AT139" i="23"/>
  <c r="AS134" i="23"/>
  <c r="AT131" i="23"/>
  <c r="AS126" i="23"/>
  <c r="AT123" i="23"/>
  <c r="AS118" i="23"/>
  <c r="AT115" i="23"/>
  <c r="AS110" i="23"/>
  <c r="AT107" i="23"/>
  <c r="AS102" i="23"/>
  <c r="AT99" i="23"/>
  <c r="AS94" i="23"/>
  <c r="AT91" i="23"/>
  <c r="AT305" i="23"/>
  <c r="AT297" i="23"/>
  <c r="AT289" i="23"/>
  <c r="AT281" i="23"/>
  <c r="AT273" i="23"/>
  <c r="AT276" i="23"/>
  <c r="AT252" i="23"/>
  <c r="AS246" i="23"/>
  <c r="AS205" i="23"/>
  <c r="AS192" i="23"/>
  <c r="AS173" i="23"/>
  <c r="AS160" i="23"/>
  <c r="AS155" i="23"/>
  <c r="AS128" i="23"/>
  <c r="AS123" i="23"/>
  <c r="AS96" i="23"/>
  <c r="AS91" i="23"/>
  <c r="AS112" i="23"/>
  <c r="AT260" i="23"/>
  <c r="AT134" i="23"/>
  <c r="AT120" i="23"/>
  <c r="AT102" i="23"/>
  <c r="AT93" i="23"/>
  <c r="AT284" i="23"/>
  <c r="AS294" i="23"/>
  <c r="AT257" i="23"/>
  <c r="AT228" i="23"/>
  <c r="AS222" i="23"/>
  <c r="AT150" i="23"/>
  <c r="AS145" i="23"/>
  <c r="AT141" i="23"/>
  <c r="AT136" i="23"/>
  <c r="AT118" i="23"/>
  <c r="AS113" i="23"/>
  <c r="AT109" i="23"/>
  <c r="AT104" i="23"/>
  <c r="AT292" i="23"/>
  <c r="AS278" i="23"/>
  <c r="AT125" i="23"/>
  <c r="AS97" i="23"/>
  <c r="AT236" i="23"/>
  <c r="AS200" i="23"/>
  <c r="AS181" i="23"/>
  <c r="AS147" i="23"/>
  <c r="AS120" i="23"/>
  <c r="AS270" i="23"/>
  <c r="AS137" i="23"/>
  <c r="AT128" i="23"/>
  <c r="AT101" i="23"/>
  <c r="AT300" i="23"/>
  <c r="AT268" i="23"/>
  <c r="AS262" i="23"/>
  <c r="AT233" i="23"/>
  <c r="AS216" i="23"/>
  <c r="AS197" i="23"/>
  <c r="AS184" i="23"/>
  <c r="AS165" i="23"/>
  <c r="AS136" i="23"/>
  <c r="AS131" i="23"/>
  <c r="AS104" i="23"/>
  <c r="AS99" i="23"/>
  <c r="AS208" i="23"/>
  <c r="AS176" i="23"/>
  <c r="AS144" i="23"/>
  <c r="AS254" i="23"/>
  <c r="AT225" i="23"/>
  <c r="AT152" i="23"/>
  <c r="AS213" i="23"/>
  <c r="AS168" i="23"/>
  <c r="AT142" i="23"/>
  <c r="AS105" i="23"/>
  <c r="AS286" i="23"/>
  <c r="AT244" i="23"/>
  <c r="AS238" i="23"/>
  <c r="AT158" i="23"/>
  <c r="AS153" i="23"/>
  <c r="AT149" i="23"/>
  <c r="AT144" i="23"/>
  <c r="AT126" i="23"/>
  <c r="AS121" i="23"/>
  <c r="AT117" i="23"/>
  <c r="AT112" i="23"/>
  <c r="AT94" i="23"/>
  <c r="AT249" i="23"/>
  <c r="AS189" i="23"/>
  <c r="AS139" i="23"/>
  <c r="AS107" i="23"/>
  <c r="AT157" i="23"/>
  <c r="AS129" i="23"/>
  <c r="AT265" i="23"/>
  <c r="AS230" i="23"/>
  <c r="AS152" i="23"/>
  <c r="AS115" i="23"/>
  <c r="AS302" i="23"/>
  <c r="AT241" i="23"/>
  <c r="AT133" i="23"/>
  <c r="AT110" i="23"/>
  <c r="AT96" i="23"/>
  <c r="AT88" i="23"/>
  <c r="AS83" i="23"/>
  <c r="AT80" i="23"/>
  <c r="AS75" i="23"/>
  <c r="AT72" i="23"/>
  <c r="AS67" i="23"/>
  <c r="AT64" i="23"/>
  <c r="AS59" i="23"/>
  <c r="AT56" i="23"/>
  <c r="AS51" i="23"/>
  <c r="AT48" i="23"/>
  <c r="AS43" i="23"/>
  <c r="AT40" i="23"/>
  <c r="AT396" i="14"/>
  <c r="AU393" i="14"/>
  <c r="AT388" i="14"/>
  <c r="AU385" i="14"/>
  <c r="AT380" i="14"/>
  <c r="AU377" i="14"/>
  <c r="AT372" i="14"/>
  <c r="AU369" i="14"/>
  <c r="AT364" i="14"/>
  <c r="AU361" i="14"/>
  <c r="AT356" i="14"/>
  <c r="AU353" i="14"/>
  <c r="AT348" i="14"/>
  <c r="AU345" i="14"/>
  <c r="AT340" i="14"/>
  <c r="AU337" i="14"/>
  <c r="AT332" i="14"/>
  <c r="AU329" i="14"/>
  <c r="AT324" i="14"/>
  <c r="AU321" i="14"/>
  <c r="AT316" i="14"/>
  <c r="AU313" i="14"/>
  <c r="AT308" i="14"/>
  <c r="AU305" i="14"/>
  <c r="AT300" i="14"/>
  <c r="AU297" i="14"/>
  <c r="AT292" i="14"/>
  <c r="AU289" i="14"/>
  <c r="AT284" i="14"/>
  <c r="AU281" i="14"/>
  <c r="AT276" i="14"/>
  <c r="AU273" i="14"/>
  <c r="AT268" i="14"/>
  <c r="AU265" i="14"/>
  <c r="AT260" i="14"/>
  <c r="AU257" i="14"/>
  <c r="AT252" i="14"/>
  <c r="AU249" i="14"/>
  <c r="AT244" i="14"/>
  <c r="AU241" i="14"/>
  <c r="AT236" i="14"/>
  <c r="AU233" i="14"/>
  <c r="AT228" i="14"/>
  <c r="AU225" i="14"/>
  <c r="AT214" i="14"/>
  <c r="AU211" i="14"/>
  <c r="AT206" i="14"/>
  <c r="AU203" i="14"/>
  <c r="AT198" i="14"/>
  <c r="AU195" i="14"/>
  <c r="AT190" i="14"/>
  <c r="AU187" i="14"/>
  <c r="AT182" i="14"/>
  <c r="AU179" i="14"/>
  <c r="AT174" i="14"/>
  <c r="AU171" i="14"/>
  <c r="AT166" i="14"/>
  <c r="AU163" i="14"/>
  <c r="AT158" i="14"/>
  <c r="AU155" i="14"/>
  <c r="AT150" i="14"/>
  <c r="AU147" i="14"/>
  <c r="AT142" i="14"/>
  <c r="AU139" i="14"/>
  <c r="AT134" i="14"/>
  <c r="AU131" i="14"/>
  <c r="AT126" i="14"/>
  <c r="AU123" i="14"/>
  <c r="AT118" i="14"/>
  <c r="AU115" i="14"/>
  <c r="AT110" i="14"/>
  <c r="AU107" i="14"/>
  <c r="AT102" i="14"/>
  <c r="AU99" i="14"/>
  <c r="AT94" i="14"/>
  <c r="AU91" i="14"/>
  <c r="AT86" i="14"/>
  <c r="AU83" i="14"/>
  <c r="AT78" i="14"/>
  <c r="AU75" i="14"/>
  <c r="AT70" i="14"/>
  <c r="AU67" i="14"/>
  <c r="AT62" i="14"/>
  <c r="AU59" i="14"/>
  <c r="AT54" i="14"/>
  <c r="AU51" i="14"/>
  <c r="AT46" i="14"/>
  <c r="AU43" i="14"/>
  <c r="AT63" i="23"/>
  <c r="AT55" i="23"/>
  <c r="AT47" i="23"/>
  <c r="AT39" i="23"/>
  <c r="AU400" i="14"/>
  <c r="AU392" i="14"/>
  <c r="AU384" i="14"/>
  <c r="AU376" i="14"/>
  <c r="AT371" i="14"/>
  <c r="AT347" i="14"/>
  <c r="AT331" i="14"/>
  <c r="AT323" i="14"/>
  <c r="AT307" i="14"/>
  <c r="AT299" i="14"/>
  <c r="AU256" i="14"/>
  <c r="AU248" i="14"/>
  <c r="AU240" i="14"/>
  <c r="AU232" i="14"/>
  <c r="AU224" i="14"/>
  <c r="AS88" i="23"/>
  <c r="AT85" i="23"/>
  <c r="AS80" i="23"/>
  <c r="AT77" i="23"/>
  <c r="AS72" i="23"/>
  <c r="AT69" i="23"/>
  <c r="AS64" i="23"/>
  <c r="AT61" i="23"/>
  <c r="AS56" i="23"/>
  <c r="AT53" i="23"/>
  <c r="AS48" i="23"/>
  <c r="AT45" i="23"/>
  <c r="AS40" i="23"/>
  <c r="AU398" i="14"/>
  <c r="AT393" i="14"/>
  <c r="AU390" i="14"/>
  <c r="AT385" i="14"/>
  <c r="AU382" i="14"/>
  <c r="AT377" i="14"/>
  <c r="AU374" i="14"/>
  <c r="AT369" i="14"/>
  <c r="AU366" i="14"/>
  <c r="AT361" i="14"/>
  <c r="AU358" i="14"/>
  <c r="AT353" i="14"/>
  <c r="AU350" i="14"/>
  <c r="AT345" i="14"/>
  <c r="AU342" i="14"/>
  <c r="AT337" i="14"/>
  <c r="AU334" i="14"/>
  <c r="AT329" i="14"/>
  <c r="AU326" i="14"/>
  <c r="AT321" i="14"/>
  <c r="AU318" i="14"/>
  <c r="AT313" i="14"/>
  <c r="AU310" i="14"/>
  <c r="AT305" i="14"/>
  <c r="AU302" i="14"/>
  <c r="AT297" i="14"/>
  <c r="AU294" i="14"/>
  <c r="AT289" i="14"/>
  <c r="AU286" i="14"/>
  <c r="AT281" i="14"/>
  <c r="AU278" i="14"/>
  <c r="AT273" i="14"/>
  <c r="AU270" i="14"/>
  <c r="AT265" i="14"/>
  <c r="AU262" i="14"/>
  <c r="AT257" i="14"/>
  <c r="AU254" i="14"/>
  <c r="AT249" i="14"/>
  <c r="AU246" i="14"/>
  <c r="AT241" i="14"/>
  <c r="AU238" i="14"/>
  <c r="AT233" i="14"/>
  <c r="AU230" i="14"/>
  <c r="AT225" i="14"/>
  <c r="AU222" i="14"/>
  <c r="AU216" i="14"/>
  <c r="AT211" i="14"/>
  <c r="AU208" i="14"/>
  <c r="AT203" i="14"/>
  <c r="AU200" i="14"/>
  <c r="AT195" i="14"/>
  <c r="AU192" i="14"/>
  <c r="AT187" i="14"/>
  <c r="AU184" i="14"/>
  <c r="AT179" i="14"/>
  <c r="AU176" i="14"/>
  <c r="AT171" i="14"/>
  <c r="AU168" i="14"/>
  <c r="AT163" i="14"/>
  <c r="AU160" i="14"/>
  <c r="AT155" i="14"/>
  <c r="AU152" i="14"/>
  <c r="AT147" i="14"/>
  <c r="AU144" i="14"/>
  <c r="AT139" i="14"/>
  <c r="AU136" i="14"/>
  <c r="AT131" i="14"/>
  <c r="AU128" i="14"/>
  <c r="AT123" i="14"/>
  <c r="AU120" i="14"/>
  <c r="AT115" i="14"/>
  <c r="AU112" i="14"/>
  <c r="AT107" i="14"/>
  <c r="AU104" i="14"/>
  <c r="AT99" i="14"/>
  <c r="AU96" i="14"/>
  <c r="AT91" i="14"/>
  <c r="AU88" i="14"/>
  <c r="AT83" i="14"/>
  <c r="AU80" i="14"/>
  <c r="AT75" i="14"/>
  <c r="AU72" i="14"/>
  <c r="AT67" i="14"/>
  <c r="AU64" i="14"/>
  <c r="AT59" i="14"/>
  <c r="AU56" i="14"/>
  <c r="AT51" i="14"/>
  <c r="AU48" i="14"/>
  <c r="AT43" i="14"/>
  <c r="AU40" i="14"/>
  <c r="AT87" i="23"/>
  <c r="AT79" i="23"/>
  <c r="AT71" i="23"/>
  <c r="AS66" i="23"/>
  <c r="AT395" i="14"/>
  <c r="AT379" i="14"/>
  <c r="AU368" i="14"/>
  <c r="AT363" i="14"/>
  <c r="AT355" i="14"/>
  <c r="AU352" i="14"/>
  <c r="AU344" i="14"/>
  <c r="AT339" i="14"/>
  <c r="AT315" i="14"/>
  <c r="AU304" i="14"/>
  <c r="AU296" i="14"/>
  <c r="AU288" i="14"/>
  <c r="AU280" i="14"/>
  <c r="AU272" i="14"/>
  <c r="AU264" i="14"/>
  <c r="AT259" i="14"/>
  <c r="AT235" i="14"/>
  <c r="AT227" i="14"/>
  <c r="AS85" i="23"/>
  <c r="AT82" i="23"/>
  <c r="AS77" i="23"/>
  <c r="AT74" i="23"/>
  <c r="AS69" i="23"/>
  <c r="AT66" i="23"/>
  <c r="AS61" i="23"/>
  <c r="AT58" i="23"/>
  <c r="AS53" i="23"/>
  <c r="AT50" i="23"/>
  <c r="AS45" i="23"/>
  <c r="AT42" i="23"/>
  <c r="AT398" i="14"/>
  <c r="AU395" i="14"/>
  <c r="AT390" i="14"/>
  <c r="AU387" i="14"/>
  <c r="AT382" i="14"/>
  <c r="AU379" i="14"/>
  <c r="AT374" i="14"/>
  <c r="AU371" i="14"/>
  <c r="AT366" i="14"/>
  <c r="AU363" i="14"/>
  <c r="AT358" i="14"/>
  <c r="AU355" i="14"/>
  <c r="AT350" i="14"/>
  <c r="AU347" i="14"/>
  <c r="AT342" i="14"/>
  <c r="AU339" i="14"/>
  <c r="AT334" i="14"/>
  <c r="AU331" i="14"/>
  <c r="AT326" i="14"/>
  <c r="AU323" i="14"/>
  <c r="AT318" i="14"/>
  <c r="AU315" i="14"/>
  <c r="AT310" i="14"/>
  <c r="AU307" i="14"/>
  <c r="AT302" i="14"/>
  <c r="AU299" i="14"/>
  <c r="AT294" i="14"/>
  <c r="AU291" i="14"/>
  <c r="AT286" i="14"/>
  <c r="AU283" i="14"/>
  <c r="AT278" i="14"/>
  <c r="AU275" i="14"/>
  <c r="AT270" i="14"/>
  <c r="AU267" i="14"/>
  <c r="AT262" i="14"/>
  <c r="AU259" i="14"/>
  <c r="AT254" i="14"/>
  <c r="AU251" i="14"/>
  <c r="AT246" i="14"/>
  <c r="AU243" i="14"/>
  <c r="AT238" i="14"/>
  <c r="AU235" i="14"/>
  <c r="AT230" i="14"/>
  <c r="AU227" i="14"/>
  <c r="AT222" i="14"/>
  <c r="AT216" i="14"/>
  <c r="AU213" i="14"/>
  <c r="AT208" i="14"/>
  <c r="AU205" i="14"/>
  <c r="AT200" i="14"/>
  <c r="AU197" i="14"/>
  <c r="AT192" i="14"/>
  <c r="AU189" i="14"/>
  <c r="AT184" i="14"/>
  <c r="AU181" i="14"/>
  <c r="AT176" i="14"/>
  <c r="AU173" i="14"/>
  <c r="AT168" i="14"/>
  <c r="AU165" i="14"/>
  <c r="AT160" i="14"/>
  <c r="AU157" i="14"/>
  <c r="AT152" i="14"/>
  <c r="AU149" i="14"/>
  <c r="AT144" i="14"/>
  <c r="AU141" i="14"/>
  <c r="AT136" i="14"/>
  <c r="AU133" i="14"/>
  <c r="AT128" i="14"/>
  <c r="AU125" i="14"/>
  <c r="AT120" i="14"/>
  <c r="AU117" i="14"/>
  <c r="AT112" i="14"/>
  <c r="AU109" i="14"/>
  <c r="AT104" i="14"/>
  <c r="AU101" i="14"/>
  <c r="AT96" i="14"/>
  <c r="AU93" i="14"/>
  <c r="AT88" i="14"/>
  <c r="AU85" i="14"/>
  <c r="AT80" i="14"/>
  <c r="AU77" i="14"/>
  <c r="AT72" i="14"/>
  <c r="AU69" i="14"/>
  <c r="AT64" i="14"/>
  <c r="AU61" i="14"/>
  <c r="AT56" i="14"/>
  <c r="AU53" i="14"/>
  <c r="AT48" i="14"/>
  <c r="AU45" i="14"/>
  <c r="AT40" i="14"/>
  <c r="AS82" i="23"/>
  <c r="AS74" i="23"/>
  <c r="AS58" i="23"/>
  <c r="AS50" i="23"/>
  <c r="AS42" i="23"/>
  <c r="AE17" i="23"/>
  <c r="AT387" i="14"/>
  <c r="AU360" i="14"/>
  <c r="AU336" i="14"/>
  <c r="AU328" i="14"/>
  <c r="AU320" i="14"/>
  <c r="AU312" i="14"/>
  <c r="AT291" i="14"/>
  <c r="AT283" i="14"/>
  <c r="AT275" i="14"/>
  <c r="AT267" i="14"/>
  <c r="AT251" i="14"/>
  <c r="AT243" i="14"/>
  <c r="AU218" i="14"/>
  <c r="AT89" i="23"/>
  <c r="AS84" i="23"/>
  <c r="AT81" i="23"/>
  <c r="AS76" i="23"/>
  <c r="AT73" i="23"/>
  <c r="AS68" i="23"/>
  <c r="AT65" i="23"/>
  <c r="AS60" i="23"/>
  <c r="AT57" i="23"/>
  <c r="AS52" i="23"/>
  <c r="AT49" i="23"/>
  <c r="AS44" i="23"/>
  <c r="AT41" i="23"/>
  <c r="AT397" i="14"/>
  <c r="AU394" i="14"/>
  <c r="AT389" i="14"/>
  <c r="AU386" i="14"/>
  <c r="AT381" i="14"/>
  <c r="AU378" i="14"/>
  <c r="AT373" i="14"/>
  <c r="AU370" i="14"/>
  <c r="AT365" i="14"/>
  <c r="AU362" i="14"/>
  <c r="AT357" i="14"/>
  <c r="AU354" i="14"/>
  <c r="AT349" i="14"/>
  <c r="AU346" i="14"/>
  <c r="AT341" i="14"/>
  <c r="AU338" i="14"/>
  <c r="AT333" i="14"/>
  <c r="AU330" i="14"/>
  <c r="AT325" i="14"/>
  <c r="AU322" i="14"/>
  <c r="AT317" i="14"/>
  <c r="AU314" i="14"/>
  <c r="AT309" i="14"/>
  <c r="AU306" i="14"/>
  <c r="AT301" i="14"/>
  <c r="AU298" i="14"/>
  <c r="AT293" i="14"/>
  <c r="AU290" i="14"/>
  <c r="AT285" i="14"/>
  <c r="AU282" i="14"/>
  <c r="AT277" i="14"/>
  <c r="AU274" i="14"/>
  <c r="AT269" i="14"/>
  <c r="AU266" i="14"/>
  <c r="AT261" i="14"/>
  <c r="AU258" i="14"/>
  <c r="AT253" i="14"/>
  <c r="AU250" i="14"/>
  <c r="AT245" i="14"/>
  <c r="AU242" i="14"/>
  <c r="AT237" i="14"/>
  <c r="AU234" i="14"/>
  <c r="AT229" i="14"/>
  <c r="AU226" i="14"/>
  <c r="AT221" i="14"/>
  <c r="AT215" i="14"/>
  <c r="AU212" i="14"/>
  <c r="AT207" i="14"/>
  <c r="AU204" i="14"/>
  <c r="AT199" i="14"/>
  <c r="AU196" i="14"/>
  <c r="AT191" i="14"/>
  <c r="AU188" i="14"/>
  <c r="AT183" i="14"/>
  <c r="AU180" i="14"/>
  <c r="AT175" i="14"/>
  <c r="AU172" i="14"/>
  <c r="AT167" i="14"/>
  <c r="AU164" i="14"/>
  <c r="AT159" i="14"/>
  <c r="AU156" i="14"/>
  <c r="AT151" i="14"/>
  <c r="AU148" i="14"/>
  <c r="AT143" i="14"/>
  <c r="AU140" i="14"/>
  <c r="AT135" i="14"/>
  <c r="AU132" i="14"/>
  <c r="AT127" i="14"/>
  <c r="AU124" i="14"/>
  <c r="AT119" i="14"/>
  <c r="AU116" i="14"/>
  <c r="AT111" i="14"/>
  <c r="AU108" i="14"/>
  <c r="AT103" i="14"/>
  <c r="AU100" i="14"/>
  <c r="AT95" i="14"/>
  <c r="AU92" i="14"/>
  <c r="AT87" i="14"/>
  <c r="AU84" i="14"/>
  <c r="AT79" i="14"/>
  <c r="AU76" i="14"/>
  <c r="AT71" i="14"/>
  <c r="AU68" i="14"/>
  <c r="AT63" i="14"/>
  <c r="AU60" i="14"/>
  <c r="AT55" i="14"/>
  <c r="AU52" i="14"/>
  <c r="AT47" i="14"/>
  <c r="AU44" i="14"/>
  <c r="AT39" i="14"/>
  <c r="AF16" i="14"/>
  <c r="AS78" i="23"/>
  <c r="AS73" i="23"/>
  <c r="AS46" i="23"/>
  <c r="AS41" i="23"/>
  <c r="AT391" i="14"/>
  <c r="AT386" i="14"/>
  <c r="AT359" i="14"/>
  <c r="AT354" i="14"/>
  <c r="AT327" i="14"/>
  <c r="AT322" i="14"/>
  <c r="AT295" i="14"/>
  <c r="AT290" i="14"/>
  <c r="AT263" i="14"/>
  <c r="AT258" i="14"/>
  <c r="AT231" i="14"/>
  <c r="AT226" i="14"/>
  <c r="AS63" i="23"/>
  <c r="AT54" i="23"/>
  <c r="AU399" i="14"/>
  <c r="AT376" i="14"/>
  <c r="AU372" i="14"/>
  <c r="AU367" i="14"/>
  <c r="AU349" i="14"/>
  <c r="AU340" i="14"/>
  <c r="AU335" i="14"/>
  <c r="AU317" i="14"/>
  <c r="AT312" i="14"/>
  <c r="AU303" i="14"/>
  <c r="AT280" i="14"/>
  <c r="AU276" i="14"/>
  <c r="AU244" i="14"/>
  <c r="AT213" i="14"/>
  <c r="AT205" i="14"/>
  <c r="AT197" i="14"/>
  <c r="AU193" i="14"/>
  <c r="AU185" i="14"/>
  <c r="AU177" i="14"/>
  <c r="AU169" i="14"/>
  <c r="AT165" i="14"/>
  <c r="AT157" i="14"/>
  <c r="AU153" i="14"/>
  <c r="AU145" i="14"/>
  <c r="AT141" i="14"/>
  <c r="AT133" i="14"/>
  <c r="AT125" i="14"/>
  <c r="AT117" i="14"/>
  <c r="AU113" i="14"/>
  <c r="AU105" i="14"/>
  <c r="AU97" i="14"/>
  <c r="AT93" i="14"/>
  <c r="AT85" i="14"/>
  <c r="AU81" i="14"/>
  <c r="AU73" i="14"/>
  <c r="AU65" i="14"/>
  <c r="AT61" i="14"/>
  <c r="AT53" i="14"/>
  <c r="AU49" i="14"/>
  <c r="AU41" i="14"/>
  <c r="AS71" i="23"/>
  <c r="AT44" i="23"/>
  <c r="AT384" i="14"/>
  <c r="AT352" i="14"/>
  <c r="AU343" i="14"/>
  <c r="AU316" i="14"/>
  <c r="AU284" i="14"/>
  <c r="AU252" i="14"/>
  <c r="AT204" i="14"/>
  <c r="AT188" i="14"/>
  <c r="AT172" i="14"/>
  <c r="AT156" i="14"/>
  <c r="AT140" i="14"/>
  <c r="AT124" i="14"/>
  <c r="AT92" i="14"/>
  <c r="AT76" i="14"/>
  <c r="AT44" i="14"/>
  <c r="AS89" i="23"/>
  <c r="AT338" i="14"/>
  <c r="AT306" i="14"/>
  <c r="AT274" i="14"/>
  <c r="AT247" i="14"/>
  <c r="AT86" i="23"/>
  <c r="AT68" i="23"/>
  <c r="AT59" i="23"/>
  <c r="AU381" i="14"/>
  <c r="AT344" i="14"/>
  <c r="AU308" i="14"/>
  <c r="AU285" i="14"/>
  <c r="AU271" i="14"/>
  <c r="AU253" i="14"/>
  <c r="AT248" i="14"/>
  <c r="AU239" i="14"/>
  <c r="AU221" i="14"/>
  <c r="AU217" i="14"/>
  <c r="AU209" i="14"/>
  <c r="AU201" i="14"/>
  <c r="AT189" i="14"/>
  <c r="AT181" i="14"/>
  <c r="AT173" i="14"/>
  <c r="AU161" i="14"/>
  <c r="AT149" i="14"/>
  <c r="AU137" i="14"/>
  <c r="AU129" i="14"/>
  <c r="AU121" i="14"/>
  <c r="AT109" i="14"/>
  <c r="AT101" i="14"/>
  <c r="AU89" i="14"/>
  <c r="AT77" i="14"/>
  <c r="AT69" i="14"/>
  <c r="AU57" i="14"/>
  <c r="AT45" i="14"/>
  <c r="AT76" i="23"/>
  <c r="AT67" i="23"/>
  <c r="AU380" i="14"/>
  <c r="AU348" i="14"/>
  <c r="AU325" i="14"/>
  <c r="AT320" i="14"/>
  <c r="AT288" i="14"/>
  <c r="AT256" i="14"/>
  <c r="AT224" i="14"/>
  <c r="AT196" i="14"/>
  <c r="AT180" i="14"/>
  <c r="AT164" i="14"/>
  <c r="AT132" i="14"/>
  <c r="AT116" i="14"/>
  <c r="AT108" i="14"/>
  <c r="AT100" i="14"/>
  <c r="AT60" i="14"/>
  <c r="AT52" i="14"/>
  <c r="AT311" i="14"/>
  <c r="AS86" i="23"/>
  <c r="AS81" i="23"/>
  <c r="AS54" i="23"/>
  <c r="AS49" i="23"/>
  <c r="AE16" i="23"/>
  <c r="AT399" i="14"/>
  <c r="AT394" i="14"/>
  <c r="AT367" i="14"/>
  <c r="AT362" i="14"/>
  <c r="AT335" i="14"/>
  <c r="AT330" i="14"/>
  <c r="AT303" i="14"/>
  <c r="AT298" i="14"/>
  <c r="AT271" i="14"/>
  <c r="AT266" i="14"/>
  <c r="AT239" i="14"/>
  <c r="AT234" i="14"/>
  <c r="AT217" i="14"/>
  <c r="AT209" i="14"/>
  <c r="AT201" i="14"/>
  <c r="AT193" i="14"/>
  <c r="AT185" i="14"/>
  <c r="AT177" i="14"/>
  <c r="AT169" i="14"/>
  <c r="AT161" i="14"/>
  <c r="AT153" i="14"/>
  <c r="AT145" i="14"/>
  <c r="AT137" i="14"/>
  <c r="AT129" i="14"/>
  <c r="AT121" i="14"/>
  <c r="AT113" i="14"/>
  <c r="AT105" i="14"/>
  <c r="AT97" i="14"/>
  <c r="AT89" i="14"/>
  <c r="AT81" i="14"/>
  <c r="AT73" i="14"/>
  <c r="AT65" i="14"/>
  <c r="AT57" i="14"/>
  <c r="AT49" i="14"/>
  <c r="AT41" i="14"/>
  <c r="AT62" i="23"/>
  <c r="AS39" i="23"/>
  <c r="AU389" i="14"/>
  <c r="AU375" i="14"/>
  <c r="AU357" i="14"/>
  <c r="AU311" i="14"/>
  <c r="AU293" i="14"/>
  <c r="AU279" i="14"/>
  <c r="AU261" i="14"/>
  <c r="AU247" i="14"/>
  <c r="AU229" i="14"/>
  <c r="AT212" i="14"/>
  <c r="AT148" i="14"/>
  <c r="AT84" i="14"/>
  <c r="AT68" i="14"/>
  <c r="AS62" i="23"/>
  <c r="AT370" i="14"/>
  <c r="AT343" i="14"/>
  <c r="AT84" i="23"/>
  <c r="AS79" i="23"/>
  <c r="AT75" i="23"/>
  <c r="AT70" i="23"/>
  <c r="AT52" i="23"/>
  <c r="AS47" i="23"/>
  <c r="AT43" i="23"/>
  <c r="AU397" i="14"/>
  <c r="AT392" i="14"/>
  <c r="AU388" i="14"/>
  <c r="AU383" i="14"/>
  <c r="AU365" i="14"/>
  <c r="AT360" i="14"/>
  <c r="AU356" i="14"/>
  <c r="AU351" i="14"/>
  <c r="AU333" i="14"/>
  <c r="AT328" i="14"/>
  <c r="AU324" i="14"/>
  <c r="AU319" i="14"/>
  <c r="AU301" i="14"/>
  <c r="AT296" i="14"/>
  <c r="AU292" i="14"/>
  <c r="AU287" i="14"/>
  <c r="AU269" i="14"/>
  <c r="AT264" i="14"/>
  <c r="AU260" i="14"/>
  <c r="AU255" i="14"/>
  <c r="AU237" i="14"/>
  <c r="AT232" i="14"/>
  <c r="AU228" i="14"/>
  <c r="AU223" i="14"/>
  <c r="AU215" i="14"/>
  <c r="AU207" i="14"/>
  <c r="AU199" i="14"/>
  <c r="AU191" i="14"/>
  <c r="AU183" i="14"/>
  <c r="AU175" i="14"/>
  <c r="AU167" i="14"/>
  <c r="AU159" i="14"/>
  <c r="AU151" i="14"/>
  <c r="AU143" i="14"/>
  <c r="AU135" i="14"/>
  <c r="AU127" i="14"/>
  <c r="AU119" i="14"/>
  <c r="AU111" i="14"/>
  <c r="AU103" i="14"/>
  <c r="AU95" i="14"/>
  <c r="AU87" i="14"/>
  <c r="AU79" i="14"/>
  <c r="AU71" i="14"/>
  <c r="AU63" i="14"/>
  <c r="AU55" i="14"/>
  <c r="AU47" i="14"/>
  <c r="AU39" i="14"/>
  <c r="AS70" i="23"/>
  <c r="AS65" i="23"/>
  <c r="AT383" i="14"/>
  <c r="AT378" i="14"/>
  <c r="AT351" i="14"/>
  <c r="AT346" i="14"/>
  <c r="AT319" i="14"/>
  <c r="AT314" i="14"/>
  <c r="AT287" i="14"/>
  <c r="AT282" i="14"/>
  <c r="AT255" i="14"/>
  <c r="AT250" i="14"/>
  <c r="AT223" i="14"/>
  <c r="AU210" i="14"/>
  <c r="AU202" i="14"/>
  <c r="AU194" i="14"/>
  <c r="AU186" i="14"/>
  <c r="AU178" i="14"/>
  <c r="AU170" i="14"/>
  <c r="AU162" i="14"/>
  <c r="AU154" i="14"/>
  <c r="AU146" i="14"/>
  <c r="AU138" i="14"/>
  <c r="AU130" i="14"/>
  <c r="AU122" i="14"/>
  <c r="AU114" i="14"/>
  <c r="AU106" i="14"/>
  <c r="AU98" i="14"/>
  <c r="AU90" i="14"/>
  <c r="AU82" i="14"/>
  <c r="AU74" i="14"/>
  <c r="AU66" i="14"/>
  <c r="AU58" i="14"/>
  <c r="AU50" i="14"/>
  <c r="AU42" i="14"/>
  <c r="AS87" i="23"/>
  <c r="AT83" i="23"/>
  <c r="AT78" i="23"/>
  <c r="AT60" i="23"/>
  <c r="AS55" i="23"/>
  <c r="AT51" i="23"/>
  <c r="AT46" i="23"/>
  <c r="AT400" i="14"/>
  <c r="AU396" i="14"/>
  <c r="AU391" i="14"/>
  <c r="AU373" i="14"/>
  <c r="AT368" i="14"/>
  <c r="AU364" i="14"/>
  <c r="AU359" i="14"/>
  <c r="AU341" i="14"/>
  <c r="AT336" i="14"/>
  <c r="AU332" i="14"/>
  <c r="AU327" i="14"/>
  <c r="AU309" i="14"/>
  <c r="AT304" i="14"/>
  <c r="AU300" i="14"/>
  <c r="AU295" i="14"/>
  <c r="AU277" i="14"/>
  <c r="AT272" i="14"/>
  <c r="AU268" i="14"/>
  <c r="AU263" i="14"/>
  <c r="AU245" i="14"/>
  <c r="AT240" i="14"/>
  <c r="AU236" i="14"/>
  <c r="AU231" i="14"/>
  <c r="AT218" i="14"/>
  <c r="AU214" i="14"/>
  <c r="AT210" i="14"/>
  <c r="AU206" i="14"/>
  <c r="AT202" i="14"/>
  <c r="AU198" i="14"/>
  <c r="AT194" i="14"/>
  <c r="AU190" i="14"/>
  <c r="AT186" i="14"/>
  <c r="AU182" i="14"/>
  <c r="AT178" i="14"/>
  <c r="AU174" i="14"/>
  <c r="AT170" i="14"/>
  <c r="AU166" i="14"/>
  <c r="AT162" i="14"/>
  <c r="AU158" i="14"/>
  <c r="AT154" i="14"/>
  <c r="AU150" i="14"/>
  <c r="AT146" i="14"/>
  <c r="AU142" i="14"/>
  <c r="AT138" i="14"/>
  <c r="AU134" i="14"/>
  <c r="AT130" i="14"/>
  <c r="AU126" i="14"/>
  <c r="AT122" i="14"/>
  <c r="AU118" i="14"/>
  <c r="AT114" i="14"/>
  <c r="AU110" i="14"/>
  <c r="AT106" i="14"/>
  <c r="AU102" i="14"/>
  <c r="AT98" i="14"/>
  <c r="AU94" i="14"/>
  <c r="AT90" i="14"/>
  <c r="AU86" i="14"/>
  <c r="AT82" i="14"/>
  <c r="AU78" i="14"/>
  <c r="AT74" i="14"/>
  <c r="AU70" i="14"/>
  <c r="AT66" i="14"/>
  <c r="AU62" i="14"/>
  <c r="AT58" i="14"/>
  <c r="AU54" i="14"/>
  <c r="AT50" i="14"/>
  <c r="AU46" i="14"/>
  <c r="AT42" i="14"/>
  <c r="AS57" i="23"/>
  <c r="AT375" i="14"/>
  <c r="AT279" i="14"/>
  <c r="AT242" i="14"/>
  <c r="AF17" i="14"/>
  <c r="G80" i="4"/>
  <c r="G73" i="4"/>
  <c r="I80" i="4"/>
  <c r="G81" i="4"/>
  <c r="G72" i="4"/>
  <c r="H69" i="4"/>
  <c r="I69" i="4" s="1"/>
  <c r="F69" i="4"/>
  <c r="G69" i="4" s="1"/>
  <c r="H67" i="4"/>
  <c r="I67" i="4" s="1"/>
  <c r="F67" i="4"/>
  <c r="G67" i="4" s="1"/>
  <c r="H66" i="4"/>
  <c r="I66" i="4" s="1"/>
  <c r="H65" i="4"/>
  <c r="I65" i="4" s="1"/>
  <c r="D65" i="4"/>
  <c r="F65" i="4" s="1"/>
  <c r="G65" i="4" s="1"/>
  <c r="H64" i="4"/>
  <c r="I64" i="4" s="1"/>
  <c r="F64" i="4"/>
  <c r="G64" i="4" s="1"/>
  <c r="H63" i="4"/>
  <c r="I63" i="4" s="1"/>
  <c r="F63" i="4"/>
  <c r="G63" i="4" s="1"/>
  <c r="H62" i="4"/>
  <c r="I62" i="4" s="1"/>
  <c r="F62" i="4"/>
  <c r="G62" i="4" s="1"/>
  <c r="H53" i="4"/>
  <c r="I53" i="4" s="1"/>
  <c r="F53" i="4"/>
  <c r="G53" i="4" s="1"/>
  <c r="H52" i="4"/>
  <c r="I52" i="4" s="1"/>
  <c r="F52" i="4"/>
  <c r="G52" i="4" s="1"/>
  <c r="H51" i="4"/>
  <c r="I51" i="4" s="1"/>
  <c r="F51" i="4"/>
  <c r="G51" i="4" s="1"/>
  <c r="B15" i="4"/>
  <c r="G13" i="1" s="1"/>
  <c r="X11" i="4"/>
  <c r="B17" i="4" s="1"/>
  <c r="W11" i="4"/>
  <c r="B14" i="4"/>
  <c r="E13" i="1" s="1"/>
  <c r="C12" i="1"/>
  <c r="B5" i="4"/>
  <c r="M28" i="28"/>
  <c r="B19" i="28"/>
  <c r="B20" i="28"/>
  <c r="B18" i="28"/>
  <c r="B17" i="28"/>
  <c r="E12" i="1"/>
  <c r="F78" i="4"/>
  <c r="G78" i="4" s="1"/>
  <c r="I74" i="4"/>
  <c r="S219" i="29" l="1"/>
  <c r="T219" i="29"/>
  <c r="S37" i="24"/>
  <c r="S219" i="24"/>
  <c r="Q157" i="4"/>
  <c r="R157" i="4" s="1"/>
  <c r="Q154" i="4"/>
  <c r="R154" i="4" s="1"/>
  <c r="Q170" i="4"/>
  <c r="R170" i="4" s="1"/>
  <c r="Q167" i="4"/>
  <c r="R167" i="4" s="1"/>
  <c r="C33" i="4"/>
  <c r="B33" i="4"/>
  <c r="S220" i="29"/>
  <c r="T38" i="23"/>
  <c r="S219" i="23"/>
  <c r="S220" i="23"/>
  <c r="T220" i="23"/>
  <c r="S37" i="29"/>
  <c r="T37" i="29"/>
  <c r="S38" i="29"/>
  <c r="AN389" i="23"/>
  <c r="AO311" i="23"/>
  <c r="AO304" i="23"/>
  <c r="AN234" i="23"/>
  <c r="AO168" i="23"/>
  <c r="AO285" i="23"/>
  <c r="AO227" i="23"/>
  <c r="AO171" i="23"/>
  <c r="AO122" i="23"/>
  <c r="AN127" i="23"/>
  <c r="AO77" i="23"/>
  <c r="AN50" i="23"/>
  <c r="AO75" i="23"/>
  <c r="AO50" i="23"/>
  <c r="AN392" i="23"/>
  <c r="AO295" i="23"/>
  <c r="AN225" i="23"/>
  <c r="AN160" i="23"/>
  <c r="AN284" i="23"/>
  <c r="AN221" i="23"/>
  <c r="AO170" i="23"/>
  <c r="AO121" i="23"/>
  <c r="AO115" i="23"/>
  <c r="AN75" i="23"/>
  <c r="AO48" i="23"/>
  <c r="AO74" i="23"/>
  <c r="AN49" i="23"/>
  <c r="AN384" i="23"/>
  <c r="AO294" i="23"/>
  <c r="AO217" i="23"/>
  <c r="AO159" i="23"/>
  <c r="AN275" i="23"/>
  <c r="AN218" i="23"/>
  <c r="AO169" i="23"/>
  <c r="AO114" i="23"/>
  <c r="AN113" i="23"/>
  <c r="AN73" i="23"/>
  <c r="AO47" i="23"/>
  <c r="AO73" i="23"/>
  <c r="AN46" i="23"/>
  <c r="AO268" i="23"/>
  <c r="AN40" i="23"/>
  <c r="AN400" i="23"/>
  <c r="AN383" i="23"/>
  <c r="AN287" i="23"/>
  <c r="AO215" i="23"/>
  <c r="AO153" i="23"/>
  <c r="AO269" i="23"/>
  <c r="AO210" i="23"/>
  <c r="AO161" i="23"/>
  <c r="AN107" i="23"/>
  <c r="AO108" i="23"/>
  <c r="AN71" i="23"/>
  <c r="AN43" i="23"/>
  <c r="AO69" i="23"/>
  <c r="AO43" i="23"/>
  <c r="AN105" i="23"/>
  <c r="AO376" i="23"/>
  <c r="AO364" i="23"/>
  <c r="AO276" i="23"/>
  <c r="AO208" i="23"/>
  <c r="AN128" i="23"/>
  <c r="AO267" i="23"/>
  <c r="AN209" i="23"/>
  <c r="AO155" i="23"/>
  <c r="AN106" i="23"/>
  <c r="AO106" i="23"/>
  <c r="AN67" i="23"/>
  <c r="AN42" i="23"/>
  <c r="AO67" i="23"/>
  <c r="AO42" i="23"/>
  <c r="AN360" i="23"/>
  <c r="AO66" i="23"/>
  <c r="AO363" i="23"/>
  <c r="AN351" i="23"/>
  <c r="AN267" i="23"/>
  <c r="AO199" i="23"/>
  <c r="AO107" i="23"/>
  <c r="AO259" i="23"/>
  <c r="AO201" i="23"/>
  <c r="AO146" i="23"/>
  <c r="AO97" i="23"/>
  <c r="AO92" i="23"/>
  <c r="AO63" i="23"/>
  <c r="AN89" i="23"/>
  <c r="AN62" i="23"/>
  <c r="AN154" i="23"/>
  <c r="AO355" i="23"/>
  <c r="AO350" i="23"/>
  <c r="AN259" i="23"/>
  <c r="AN192" i="23"/>
  <c r="AO105" i="23"/>
  <c r="AN251" i="23"/>
  <c r="AO194" i="23"/>
  <c r="AN145" i="23"/>
  <c r="AN91" i="23"/>
  <c r="AO90" i="23"/>
  <c r="AO62" i="23"/>
  <c r="AN86" i="23"/>
  <c r="AO61" i="23"/>
  <c r="AN365" i="23"/>
  <c r="AN66" i="23"/>
  <c r="AN343" i="23"/>
  <c r="AO332" i="23"/>
  <c r="AO250" i="23"/>
  <c r="AO185" i="23"/>
  <c r="AO91" i="23"/>
  <c r="AO244" i="23"/>
  <c r="AN193" i="23"/>
  <c r="AO139" i="23"/>
  <c r="AN90" i="23"/>
  <c r="AO89" i="23"/>
  <c r="AN59" i="23"/>
  <c r="AN85" i="23"/>
  <c r="AO59" i="23"/>
  <c r="AO126" i="23"/>
  <c r="AO41" i="23"/>
  <c r="AO333" i="23"/>
  <c r="AN324" i="23"/>
  <c r="AN249" i="23"/>
  <c r="AN184" i="23"/>
  <c r="AN300" i="23"/>
  <c r="AO237" i="23"/>
  <c r="AN186" i="23"/>
  <c r="AN137" i="23"/>
  <c r="AN140" i="23"/>
  <c r="AO85" i="23"/>
  <c r="AO56" i="23"/>
  <c r="AO82" i="23"/>
  <c r="AN57" i="23"/>
  <c r="AO203" i="23"/>
  <c r="AO331" i="23"/>
  <c r="AN323" i="23"/>
  <c r="AO241" i="23"/>
  <c r="AN183" i="23"/>
  <c r="AO299" i="23"/>
  <c r="AO236" i="23"/>
  <c r="AN185" i="23"/>
  <c r="AO130" i="23"/>
  <c r="AN139" i="23"/>
  <c r="AN82" i="23"/>
  <c r="AN55" i="23"/>
  <c r="AN81" i="23"/>
  <c r="AO54" i="23"/>
  <c r="AN207" i="23"/>
  <c r="AO98" i="23"/>
  <c r="AO322" i="23"/>
  <c r="AN322" i="23"/>
  <c r="AN235" i="23"/>
  <c r="AN169" i="23"/>
  <c r="AN291" i="23"/>
  <c r="AO235" i="23"/>
  <c r="AN178" i="23"/>
  <c r="AN129" i="23"/>
  <c r="AN131" i="23"/>
  <c r="AO81" i="23"/>
  <c r="AN54" i="23"/>
  <c r="AO78" i="23"/>
  <c r="AN53" i="23"/>
  <c r="AO260" i="23"/>
  <c r="W22" i="23"/>
  <c r="AL252" i="29"/>
  <c r="AM264" i="29"/>
  <c r="AL204" i="29"/>
  <c r="AL216" i="29"/>
  <c r="AM230" i="29"/>
  <c r="AL242" i="29"/>
  <c r="AM254" i="29"/>
  <c r="AL271" i="29"/>
  <c r="AL276" i="29"/>
  <c r="AL288" i="29"/>
  <c r="AM300" i="29"/>
  <c r="AM312" i="29"/>
  <c r="AL324" i="29"/>
  <c r="AL274" i="29"/>
  <c r="AM286" i="29"/>
  <c r="AM298" i="29"/>
  <c r="AL310" i="29"/>
  <c r="AM322" i="29"/>
  <c r="AL334" i="29"/>
  <c r="AL346" i="29"/>
  <c r="AM358" i="29"/>
  <c r="AL336" i="29"/>
  <c r="AM348" i="29"/>
  <c r="AL360" i="29"/>
  <c r="AM371" i="29"/>
  <c r="AM369" i="29"/>
  <c r="AM381" i="29"/>
  <c r="AM393" i="29"/>
  <c r="AL387" i="29"/>
  <c r="AL399" i="29"/>
  <c r="AM400" i="29"/>
  <c r="AL389" i="29"/>
  <c r="AM268" i="29"/>
  <c r="AM207" i="29"/>
  <c r="AM221" i="29"/>
  <c r="AL233" i="29"/>
  <c r="AM245" i="29"/>
  <c r="AM257" i="29"/>
  <c r="AL267" i="29"/>
  <c r="AL279" i="29"/>
  <c r="AL291" i="29"/>
  <c r="AL303" i="29"/>
  <c r="AL315" i="29"/>
  <c r="AM327" i="29"/>
  <c r="AM277" i="29"/>
  <c r="AL289" i="29"/>
  <c r="AL301" i="29"/>
  <c r="AM313" i="29"/>
  <c r="AM325" i="29"/>
  <c r="AM337" i="29"/>
  <c r="AL349" i="29"/>
  <c r="AL361" i="29"/>
  <c r="AL339" i="29"/>
  <c r="AL351" i="29"/>
  <c r="AM363" i="29"/>
  <c r="AL374" i="29"/>
  <c r="AM372" i="29"/>
  <c r="AM384" i="29"/>
  <c r="AM396" i="29"/>
  <c r="AM390" i="29"/>
  <c r="AM391" i="29"/>
  <c r="AL392" i="29"/>
  <c r="AM307" i="29"/>
  <c r="AM319" i="29"/>
  <c r="AM331" i="29"/>
  <c r="AM281" i="29"/>
  <c r="AL293" i="29"/>
  <c r="AM305" i="29"/>
  <c r="AM317" i="29"/>
  <c r="AL329" i="29"/>
  <c r="AL341" i="29"/>
  <c r="AL353" i="29"/>
  <c r="AL365" i="29"/>
  <c r="AM343" i="29"/>
  <c r="AL355" i="29"/>
  <c r="AM368" i="29"/>
  <c r="AL378" i="29"/>
  <c r="AL376" i="29"/>
  <c r="AM388" i="29"/>
  <c r="AL400" i="29"/>
  <c r="AL394" i="29"/>
  <c r="AL395" i="29"/>
  <c r="AL396" i="29"/>
  <c r="F79" i="4"/>
  <c r="G79" i="4" s="1"/>
  <c r="I78" i="4"/>
  <c r="AR349" i="29"/>
  <c r="AR370" i="29"/>
  <c r="AQ376" i="29"/>
  <c r="AQ400" i="29"/>
  <c r="AU400" i="29" s="1"/>
  <c r="C400" i="29" s="1"/>
  <c r="AR400" i="29"/>
  <c r="AQ351" i="29"/>
  <c r="AQ372" i="29"/>
  <c r="AU372" i="29" s="1"/>
  <c r="C372" i="29" s="1"/>
  <c r="AR378" i="29"/>
  <c r="AQ384" i="29"/>
  <c r="AR353" i="29"/>
  <c r="AQ374" i="29"/>
  <c r="AU374" i="29" s="1"/>
  <c r="C374" i="29" s="1"/>
  <c r="AR382" i="29"/>
  <c r="AQ386" i="29"/>
  <c r="AR366" i="29"/>
  <c r="AQ355" i="29"/>
  <c r="AR376" i="29"/>
  <c r="AR386" i="29"/>
  <c r="AQ388" i="29"/>
  <c r="AU388" i="29" s="1"/>
  <c r="C388" i="29" s="1"/>
  <c r="AR335" i="29"/>
  <c r="AQ357" i="29"/>
  <c r="AR380" i="29"/>
  <c r="AR388" i="29"/>
  <c r="AQ392" i="29"/>
  <c r="AQ339" i="29"/>
  <c r="AQ359" i="29"/>
  <c r="AQ382" i="29"/>
  <c r="AU382" i="29" s="1"/>
  <c r="C382" i="29" s="1"/>
  <c r="AR392" i="29"/>
  <c r="AQ394" i="29"/>
  <c r="AR341" i="29"/>
  <c r="AR363" i="29"/>
  <c r="AR372" i="29"/>
  <c r="AR394" i="29"/>
  <c r="AQ396" i="29"/>
  <c r="AU396" i="29" s="1"/>
  <c r="C396" i="29" s="1"/>
  <c r="Z23" i="24"/>
  <c r="W20" i="24"/>
  <c r="AM385" i="24" s="1"/>
  <c r="Z22" i="24"/>
  <c r="Z21" i="24"/>
  <c r="W23" i="24"/>
  <c r="Z20" i="24"/>
  <c r="W22" i="24"/>
  <c r="Z23" i="23"/>
  <c r="W23" i="23"/>
  <c r="B153" i="4"/>
  <c r="B159" i="4" s="1"/>
  <c r="M121" i="25"/>
  <c r="M113" i="25"/>
  <c r="M112" i="25"/>
  <c r="M120" i="25"/>
  <c r="M109" i="25"/>
  <c r="M108" i="25"/>
  <c r="M116" i="25"/>
  <c r="M117" i="25"/>
  <c r="AS159" i="29"/>
  <c r="AS229" i="29"/>
  <c r="AT274" i="29"/>
  <c r="AS317" i="29"/>
  <c r="AS357" i="29"/>
  <c r="AT148" i="29"/>
  <c r="AT151" i="29"/>
  <c r="AT191" i="29"/>
  <c r="AS232" i="29"/>
  <c r="AT277" i="29"/>
  <c r="AT317" i="29"/>
  <c r="AT397" i="29"/>
  <c r="AT365" i="29"/>
  <c r="AT333" i="29"/>
  <c r="AT301" i="29"/>
  <c r="AT269" i="29"/>
  <c r="AT237" i="29"/>
  <c r="AT207" i="29"/>
  <c r="AT175" i="29"/>
  <c r="AT143" i="29"/>
  <c r="AT156" i="29"/>
  <c r="AS373" i="29"/>
  <c r="AS341" i="29"/>
  <c r="AS309" i="29"/>
  <c r="AS277" i="29"/>
  <c r="AS245" i="29"/>
  <c r="AT212" i="29"/>
  <c r="AS384" i="29"/>
  <c r="AS352" i="29"/>
  <c r="AS320" i="29"/>
  <c r="AS288" i="29"/>
  <c r="AS256" i="29"/>
  <c r="AS224" i="29"/>
  <c r="AS194" i="29"/>
  <c r="AS162" i="29"/>
  <c r="AS183" i="29"/>
  <c r="AT394" i="29"/>
  <c r="AT362" i="29"/>
  <c r="AT330" i="29"/>
  <c r="AT298" i="29"/>
  <c r="AT266" i="29"/>
  <c r="AT234" i="29"/>
  <c r="AT196" i="29"/>
  <c r="AS386" i="29"/>
  <c r="AU386" i="29" s="1"/>
  <c r="C386" i="29" s="1"/>
  <c r="AS191" i="29"/>
  <c r="AT242" i="29"/>
  <c r="AS285" i="29"/>
  <c r="AS325" i="29"/>
  <c r="AT370" i="29"/>
  <c r="AT172" i="29"/>
  <c r="AT159" i="29"/>
  <c r="AS202" i="29"/>
  <c r="AT245" i="29"/>
  <c r="AT285" i="29"/>
  <c r="AS328" i="29"/>
  <c r="AT373" i="29"/>
  <c r="I79" i="4"/>
  <c r="AO277" i="23"/>
  <c r="AO306" i="23"/>
  <c r="AO340" i="23"/>
  <c r="AO372" i="23"/>
  <c r="AO312" i="23"/>
  <c r="AN344" i="23"/>
  <c r="AN377" i="23"/>
  <c r="AO252" i="23"/>
  <c r="AN276" i="23"/>
  <c r="AN301" i="23"/>
  <c r="AO149" i="23"/>
  <c r="AO175" i="23"/>
  <c r="AN200" i="23"/>
  <c r="AO226" i="23"/>
  <c r="AO251" i="23"/>
  <c r="AN285" i="23"/>
  <c r="AN312" i="23"/>
  <c r="AO341" i="23"/>
  <c r="AN373" i="23"/>
  <c r="AN313" i="23"/>
  <c r="AO353" i="23"/>
  <c r="AO386" i="23"/>
  <c r="AO51" i="23"/>
  <c r="AN65" i="23"/>
  <c r="AN77" i="23"/>
  <c r="AO39" i="23"/>
  <c r="AN51" i="23"/>
  <c r="AO64" i="23"/>
  <c r="AO80" i="23"/>
  <c r="AN95" i="23"/>
  <c r="AN130" i="23"/>
  <c r="AN98" i="23"/>
  <c r="AO123" i="23"/>
  <c r="AN153" i="23"/>
  <c r="AN177" i="23"/>
  <c r="AN202" i="23"/>
  <c r="AO228" i="23"/>
  <c r="AO253" i="23"/>
  <c r="AN283" i="23"/>
  <c r="AO307" i="23"/>
  <c r="AO151" i="23"/>
  <c r="AO176" i="23"/>
  <c r="AN201" i="23"/>
  <c r="AO233" i="23"/>
  <c r="AN258" i="23"/>
  <c r="AN286" i="23"/>
  <c r="AN314" i="23"/>
  <c r="AO342" i="23"/>
  <c r="AO382" i="23"/>
  <c r="AN321" i="23"/>
  <c r="AN354" i="23"/>
  <c r="AN398" i="23"/>
  <c r="AN390" i="23"/>
  <c r="AN382" i="23"/>
  <c r="AO374" i="23"/>
  <c r="AN366" i="23"/>
  <c r="AO358" i="23"/>
  <c r="AN350" i="23"/>
  <c r="AN342" i="23"/>
  <c r="AO334" i="23"/>
  <c r="AO326" i="23"/>
  <c r="AO318" i="23"/>
  <c r="AO310" i="23"/>
  <c r="AN395" i="23"/>
  <c r="AO387" i="23"/>
  <c r="AO379" i="23"/>
  <c r="AO371" i="23"/>
  <c r="AN363" i="23"/>
  <c r="AN355" i="23"/>
  <c r="AO347" i="23"/>
  <c r="AO396" i="23"/>
  <c r="AO388" i="23"/>
  <c r="AO380" i="23"/>
  <c r="AN372" i="23"/>
  <c r="AN364" i="23"/>
  <c r="AN356" i="23"/>
  <c r="AN348" i="23"/>
  <c r="AN340" i="23"/>
  <c r="AN332" i="23"/>
  <c r="AO324" i="23"/>
  <c r="AO316" i="23"/>
  <c r="AN308" i="23"/>
  <c r="AO393" i="23"/>
  <c r="AN385" i="23"/>
  <c r="AO377" i="23"/>
  <c r="AO369" i="23"/>
  <c r="AN361" i="23"/>
  <c r="AN353" i="23"/>
  <c r="AO345" i="23"/>
  <c r="AN337" i="23"/>
  <c r="AO329" i="23"/>
  <c r="AO321" i="23"/>
  <c r="AO313" i="23"/>
  <c r="AO305" i="23"/>
  <c r="AO297" i="23"/>
  <c r="AN289" i="23"/>
  <c r="AN281" i="23"/>
  <c r="AN273" i="23"/>
  <c r="AN265" i="23"/>
  <c r="AO257" i="23"/>
  <c r="AO395" i="23"/>
  <c r="AN387" i="23"/>
  <c r="AN379" i="23"/>
  <c r="AN394" i="23"/>
  <c r="AO383" i="23"/>
  <c r="AN370" i="23"/>
  <c r="AO360" i="23"/>
  <c r="AO349" i="23"/>
  <c r="AN338" i="23"/>
  <c r="AN328" i="23"/>
  <c r="AO317" i="23"/>
  <c r="AN399" i="23"/>
  <c r="AO389" i="23"/>
  <c r="AN378" i="23"/>
  <c r="AO367" i="23"/>
  <c r="AO357" i="23"/>
  <c r="AO346" i="23"/>
  <c r="AN336" i="23"/>
  <c r="AO327" i="23"/>
  <c r="AN318" i="23"/>
  <c r="AO309" i="23"/>
  <c r="AO300" i="23"/>
  <c r="AO291" i="23"/>
  <c r="AO282" i="23"/>
  <c r="AN272" i="23"/>
  <c r="AO263" i="23"/>
  <c r="AN254" i="23"/>
  <c r="AO246" i="23"/>
  <c r="AO238" i="23"/>
  <c r="AO230" i="23"/>
  <c r="AN222" i="23"/>
  <c r="AO212" i="23"/>
  <c r="AO204" i="23"/>
  <c r="AN196" i="23"/>
  <c r="AN188" i="23"/>
  <c r="AO180" i="23"/>
  <c r="AN172" i="23"/>
  <c r="AN164" i="23"/>
  <c r="AN156" i="23"/>
  <c r="AO143" i="23"/>
  <c r="AN121" i="23"/>
  <c r="AO101" i="23"/>
  <c r="AN304" i="23"/>
  <c r="AN296" i="23"/>
  <c r="AO288" i="23"/>
  <c r="AN280" i="23"/>
  <c r="AO272" i="23"/>
  <c r="AO264" i="23"/>
  <c r="AO256" i="23"/>
  <c r="AO248" i="23"/>
  <c r="AO240" i="23"/>
  <c r="AO232" i="23"/>
  <c r="AO224" i="23"/>
  <c r="AO214" i="23"/>
  <c r="AO206" i="23"/>
  <c r="AN198" i="23"/>
  <c r="AO190" i="23"/>
  <c r="AO182" i="23"/>
  <c r="AN174" i="23"/>
  <c r="AN166" i="23"/>
  <c r="AN158" i="23"/>
  <c r="AN150" i="23"/>
  <c r="AN142" i="23"/>
  <c r="AO134" i="23"/>
  <c r="AN126" i="23"/>
  <c r="AN118" i="23"/>
  <c r="AN110" i="23"/>
  <c r="AN102" i="23"/>
  <c r="AN94" i="23"/>
  <c r="AO145" i="23"/>
  <c r="AN135" i="23"/>
  <c r="AN120" i="23"/>
  <c r="AO110" i="23"/>
  <c r="AN93" i="23"/>
  <c r="AN84" i="23"/>
  <c r="AO76" i="23"/>
  <c r="AO68" i="23"/>
  <c r="AN393" i="23"/>
  <c r="AO381" i="23"/>
  <c r="AN369" i="23"/>
  <c r="AO359" i="23"/>
  <c r="AN347" i="23"/>
  <c r="AO337" i="23"/>
  <c r="AN327" i="23"/>
  <c r="AO315" i="23"/>
  <c r="AO398" i="23"/>
  <c r="AN388" i="23"/>
  <c r="AN376" i="23"/>
  <c r="AO366" i="23"/>
  <c r="AO356" i="23"/>
  <c r="AO344" i="23"/>
  <c r="AN335" i="23"/>
  <c r="AN326" i="23"/>
  <c r="AN317" i="23"/>
  <c r="AO308" i="23"/>
  <c r="AN299" i="23"/>
  <c r="AO290" i="23"/>
  <c r="AO280" i="23"/>
  <c r="AO271" i="23"/>
  <c r="AO262" i="23"/>
  <c r="AN253" i="23"/>
  <c r="AO245" i="23"/>
  <c r="AN237" i="23"/>
  <c r="AN229" i="23"/>
  <c r="AO221" i="23"/>
  <c r="AN211" i="23"/>
  <c r="AN203" i="23"/>
  <c r="AN195" i="23"/>
  <c r="AN187" i="23"/>
  <c r="AO179" i="23"/>
  <c r="AN171" i="23"/>
  <c r="AN163" i="23"/>
  <c r="AN155" i="23"/>
  <c r="AO137" i="23"/>
  <c r="AO116" i="23"/>
  <c r="AO100" i="23"/>
  <c r="AN303" i="23"/>
  <c r="AN295" i="23"/>
  <c r="AO287" i="23"/>
  <c r="AO279" i="23"/>
  <c r="AN271" i="23"/>
  <c r="AN263" i="23"/>
  <c r="AO255" i="23"/>
  <c r="AN247" i="23"/>
  <c r="AO239" i="23"/>
  <c r="AN231" i="23"/>
  <c r="AO223" i="23"/>
  <c r="AO213" i="23"/>
  <c r="AO205" i="23"/>
  <c r="AO197" i="23"/>
  <c r="AN189" i="23"/>
  <c r="AO181" i="23"/>
  <c r="AO173" i="23"/>
  <c r="AO165" i="23"/>
  <c r="AO157" i="23"/>
  <c r="AN149" i="23"/>
  <c r="AO141" i="23"/>
  <c r="AO133" i="23"/>
  <c r="AN125" i="23"/>
  <c r="AO117" i="23"/>
  <c r="AN109" i="23"/>
  <c r="AN101" i="23"/>
  <c r="AO93" i="23"/>
  <c r="AO144" i="23"/>
  <c r="AN134" i="23"/>
  <c r="AO119" i="23"/>
  <c r="AO392" i="23"/>
  <c r="AO378" i="23"/>
  <c r="AN368" i="23"/>
  <c r="AN357" i="23"/>
  <c r="AN346" i="23"/>
  <c r="AO336" i="23"/>
  <c r="AO325" i="23"/>
  <c r="AO314" i="23"/>
  <c r="AO397" i="23"/>
  <c r="AN386" i="23"/>
  <c r="AN375" i="23"/>
  <c r="AO365" i="23"/>
  <c r="AO354" i="23"/>
  <c r="AO343" i="23"/>
  <c r="AN334" i="23"/>
  <c r="AN325" i="23"/>
  <c r="AN316" i="23"/>
  <c r="AN307" i="23"/>
  <c r="AO298" i="23"/>
  <c r="AN288" i="23"/>
  <c r="AN279" i="23"/>
  <c r="AN270" i="23"/>
  <c r="AN261" i="23"/>
  <c r="AN252" i="23"/>
  <c r="AN244" i="23"/>
  <c r="AN236" i="23"/>
  <c r="AN228" i="23"/>
  <c r="AO218" i="23"/>
  <c r="AN210" i="23"/>
  <c r="AO202" i="23"/>
  <c r="AN194" i="23"/>
  <c r="AO186" i="23"/>
  <c r="AO178" i="23"/>
  <c r="AN170" i="23"/>
  <c r="AO162" i="23"/>
  <c r="AO154" i="23"/>
  <c r="AN133" i="23"/>
  <c r="AN114" i="23"/>
  <c r="AN97" i="23"/>
  <c r="AN302" i="23"/>
  <c r="AN294" i="23"/>
  <c r="AO286" i="23"/>
  <c r="AN278" i="23"/>
  <c r="AO270" i="23"/>
  <c r="AN262" i="23"/>
  <c r="AO254" i="23"/>
  <c r="AN246" i="23"/>
  <c r="AN238" i="23"/>
  <c r="AN230" i="23"/>
  <c r="AO222" i="23"/>
  <c r="AN212" i="23"/>
  <c r="AN204" i="23"/>
  <c r="AO196" i="23"/>
  <c r="AO188" i="23"/>
  <c r="AN180" i="23"/>
  <c r="AO172" i="23"/>
  <c r="AO164" i="23"/>
  <c r="AO156" i="23"/>
  <c r="AN148" i="23"/>
  <c r="AO140" i="23"/>
  <c r="AO132" i="23"/>
  <c r="AN124" i="23"/>
  <c r="AN116" i="23"/>
  <c r="AN108" i="23"/>
  <c r="AN100" i="23"/>
  <c r="AN92" i="23"/>
  <c r="AO142" i="23"/>
  <c r="AN132" i="23"/>
  <c r="AO118" i="23"/>
  <c r="AN397" i="23"/>
  <c r="AO384" i="23"/>
  <c r="AN371" i="23"/>
  <c r="AO361" i="23"/>
  <c r="AO351" i="23"/>
  <c r="AN339" i="23"/>
  <c r="AN329" i="23"/>
  <c r="AN319" i="23"/>
  <c r="AO400" i="23"/>
  <c r="AO390" i="23"/>
  <c r="AN380" i="23"/>
  <c r="AO368" i="23"/>
  <c r="AN358" i="23"/>
  <c r="AO348" i="23"/>
  <c r="AO338" i="23"/>
  <c r="AO328" i="23"/>
  <c r="AO319" i="23"/>
  <c r="AN310" i="23"/>
  <c r="AO301" i="23"/>
  <c r="AN292" i="23"/>
  <c r="AO283" i="23"/>
  <c r="AO274" i="23"/>
  <c r="AN264" i="23"/>
  <c r="AN255" i="23"/>
  <c r="AO247" i="23"/>
  <c r="AN239" i="23"/>
  <c r="AO231" i="23"/>
  <c r="AN223" i="23"/>
  <c r="AN213" i="23"/>
  <c r="AN205" i="23"/>
  <c r="AN197" i="23"/>
  <c r="AO189" i="23"/>
  <c r="AN181" i="23"/>
  <c r="AN173" i="23"/>
  <c r="AN165" i="23"/>
  <c r="AN157" i="23"/>
  <c r="AN146" i="23"/>
  <c r="AO124" i="23"/>
  <c r="AO102" i="23"/>
  <c r="AN305" i="23"/>
  <c r="AN297" i="23"/>
  <c r="AO289" i="23"/>
  <c r="AO281" i="23"/>
  <c r="AO273" i="23"/>
  <c r="AO265" i="23"/>
  <c r="AN257" i="23"/>
  <c r="AO249" i="23"/>
  <c r="AN241" i="23"/>
  <c r="AN233" i="23"/>
  <c r="AO225" i="23"/>
  <c r="AN215" i="23"/>
  <c r="AO207" i="23"/>
  <c r="AN199" i="23"/>
  <c r="AN191" i="23"/>
  <c r="AO183" i="23"/>
  <c r="AN175" i="23"/>
  <c r="AN167" i="23"/>
  <c r="AN159" i="23"/>
  <c r="AN151" i="23"/>
  <c r="AN143" i="23"/>
  <c r="AO135" i="23"/>
  <c r="AO127" i="23"/>
  <c r="AN119" i="23"/>
  <c r="AO111" i="23"/>
  <c r="AN103" i="23"/>
  <c r="AO95" i="23"/>
  <c r="AN147" i="23"/>
  <c r="AN136" i="23"/>
  <c r="AN122" i="23"/>
  <c r="AO385" i="23"/>
  <c r="AO362" i="23"/>
  <c r="AN341" i="23"/>
  <c r="AN320" i="23"/>
  <c r="AO391" i="23"/>
  <c r="AO370" i="23"/>
  <c r="AN349" i="23"/>
  <c r="AO330" i="23"/>
  <c r="AN311" i="23"/>
  <c r="AN293" i="23"/>
  <c r="AO275" i="23"/>
  <c r="AN256" i="23"/>
  <c r="AN240" i="23"/>
  <c r="AN224" i="23"/>
  <c r="AN206" i="23"/>
  <c r="AN190" i="23"/>
  <c r="AO174" i="23"/>
  <c r="AO158" i="23"/>
  <c r="AO125" i="23"/>
  <c r="AN306" i="23"/>
  <c r="AN290" i="23"/>
  <c r="AN274" i="23"/>
  <c r="AO258" i="23"/>
  <c r="AO242" i="23"/>
  <c r="AN226" i="23"/>
  <c r="AN208" i="23"/>
  <c r="AO192" i="23"/>
  <c r="AN176" i="23"/>
  <c r="AO160" i="23"/>
  <c r="AN144" i="23"/>
  <c r="AO128" i="23"/>
  <c r="AO112" i="23"/>
  <c r="AO96" i="23"/>
  <c r="AN138" i="23"/>
  <c r="AN112" i="23"/>
  <c r="AO94" i="23"/>
  <c r="AN83" i="23"/>
  <c r="AN74" i="23"/>
  <c r="AO65" i="23"/>
  <c r="AO57" i="23"/>
  <c r="AO49" i="23"/>
  <c r="AN41" i="23"/>
  <c r="AO84" i="23"/>
  <c r="AN76" i="23"/>
  <c r="AN68" i="23"/>
  <c r="AN60" i="23"/>
  <c r="AO52" i="23"/>
  <c r="AO44" i="23"/>
  <c r="AO399" i="23"/>
  <c r="AO373" i="23"/>
  <c r="AO352" i="23"/>
  <c r="AN330" i="23"/>
  <c r="AN309" i="23"/>
  <c r="AN381" i="23"/>
  <c r="AN359" i="23"/>
  <c r="AO339" i="23"/>
  <c r="AO320" i="23"/>
  <c r="AO302" i="23"/>
  <c r="AO284" i="23"/>
  <c r="AN266" i="23"/>
  <c r="AN248" i="23"/>
  <c r="AN232" i="23"/>
  <c r="AN214" i="23"/>
  <c r="AO198" i="23"/>
  <c r="AN182" i="23"/>
  <c r="AO166" i="23"/>
  <c r="AO148" i="23"/>
  <c r="AN104" i="23"/>
  <c r="AN298" i="23"/>
  <c r="AN282" i="23"/>
  <c r="AO266" i="23"/>
  <c r="AN250" i="23"/>
  <c r="AO234" i="23"/>
  <c r="AN216" i="23"/>
  <c r="AO200" i="23"/>
  <c r="AO184" i="23"/>
  <c r="AN168" i="23"/>
  <c r="AN152" i="23"/>
  <c r="AO136" i="23"/>
  <c r="AO120" i="23"/>
  <c r="AO104" i="23"/>
  <c r="AO150" i="23"/>
  <c r="AN123" i="23"/>
  <c r="AO103" i="23"/>
  <c r="AN88" i="23"/>
  <c r="AO79" i="23"/>
  <c r="AN70" i="23"/>
  <c r="AN61" i="23"/>
  <c r="AO53" i="23"/>
  <c r="AN45" i="23"/>
  <c r="AO88" i="23"/>
  <c r="AN80" i="23"/>
  <c r="AN72" i="23"/>
  <c r="AN64" i="23"/>
  <c r="AN56" i="23"/>
  <c r="AN48" i="23"/>
  <c r="AO40" i="23"/>
  <c r="AN391" i="23"/>
  <c r="AN367" i="23"/>
  <c r="AN345" i="23"/>
  <c r="AO323" i="23"/>
  <c r="AN396" i="23"/>
  <c r="AN374" i="23"/>
  <c r="AN352" i="23"/>
  <c r="AN333" i="23"/>
  <c r="AN315" i="23"/>
  <c r="AO296" i="23"/>
  <c r="AO278" i="23"/>
  <c r="AN260" i="23"/>
  <c r="AN243" i="23"/>
  <c r="AN227" i="23"/>
  <c r="AO209" i="23"/>
  <c r="AO193" i="23"/>
  <c r="AO177" i="23"/>
  <c r="AN161" i="23"/>
  <c r="AO129" i="23"/>
  <c r="AN96" i="23"/>
  <c r="AO293" i="23"/>
  <c r="AN277" i="23"/>
  <c r="AO261" i="23"/>
  <c r="AN245" i="23"/>
  <c r="AO229" i="23"/>
  <c r="AO211" i="23"/>
  <c r="AO195" i="23"/>
  <c r="AN179" i="23"/>
  <c r="AO163" i="23"/>
  <c r="AO147" i="23"/>
  <c r="AO131" i="23"/>
  <c r="AN115" i="23"/>
  <c r="AO99" i="23"/>
  <c r="AN141" i="23"/>
  <c r="AN117" i="23"/>
  <c r="AN99" i="23"/>
  <c r="AN87" i="23"/>
  <c r="AN78" i="23"/>
  <c r="AN69" i="23"/>
  <c r="AO60" i="23"/>
  <c r="AN52" i="23"/>
  <c r="AN44" i="23"/>
  <c r="AO87" i="23"/>
  <c r="AN79" i="23"/>
  <c r="AO71" i="23"/>
  <c r="AN63" i="23"/>
  <c r="AO55" i="23"/>
  <c r="AN47" i="23"/>
  <c r="AN39" i="23"/>
  <c r="AO45" i="23"/>
  <c r="AO58" i="23"/>
  <c r="AO70" i="23"/>
  <c r="AO83" i="23"/>
  <c r="AO46" i="23"/>
  <c r="AN58" i="23"/>
  <c r="AO72" i="23"/>
  <c r="AO86" i="23"/>
  <c r="AN111" i="23"/>
  <c r="AO152" i="23"/>
  <c r="AO113" i="23"/>
  <c r="AO138" i="23"/>
  <c r="AN162" i="23"/>
  <c r="AO187" i="23"/>
  <c r="AN217" i="23"/>
  <c r="AO243" i="23"/>
  <c r="AN268" i="23"/>
  <c r="AO292" i="23"/>
  <c r="AO109" i="23"/>
  <c r="AO167" i="23"/>
  <c r="AO191" i="23"/>
  <c r="AO216" i="23"/>
  <c r="AN242" i="23"/>
  <c r="AN269" i="23"/>
  <c r="AO303" i="23"/>
  <c r="AN331" i="23"/>
  <c r="AN362" i="23"/>
  <c r="AO394" i="23"/>
  <c r="AO335" i="23"/>
  <c r="AO375" i="23"/>
  <c r="Z21" i="23"/>
  <c r="W20" i="23"/>
  <c r="Z20" i="23"/>
  <c r="AM383" i="24"/>
  <c r="AM379" i="24"/>
  <c r="AM315" i="24"/>
  <c r="AL338" i="24"/>
  <c r="AM274" i="24"/>
  <c r="AL218" i="24"/>
  <c r="AM154" i="24"/>
  <c r="AM190" i="24"/>
  <c r="AL127" i="24"/>
  <c r="AL63" i="24"/>
  <c r="AM371" i="24"/>
  <c r="AL367" i="24"/>
  <c r="AM303" i="24"/>
  <c r="AL326" i="24"/>
  <c r="AM262" i="24"/>
  <c r="AL206" i="24"/>
  <c r="AL142" i="24"/>
  <c r="AM178" i="24"/>
  <c r="AM115" i="24"/>
  <c r="AR345" i="29"/>
  <c r="AR361" i="29"/>
  <c r="AQ378" i="29"/>
  <c r="AU378" i="29" s="1"/>
  <c r="C378" i="29" s="1"/>
  <c r="AQ380" i="29"/>
  <c r="AU380" i="29" s="1"/>
  <c r="C380" i="29" s="1"/>
  <c r="AQ398" i="29"/>
  <c r="AU398" i="29" s="1"/>
  <c r="C398" i="29" s="1"/>
  <c r="W21" i="24"/>
  <c r="AR390" i="29"/>
  <c r="AQ390" i="29"/>
  <c r="AQ370" i="29"/>
  <c r="AU370" i="29" s="1"/>
  <c r="C370" i="29" s="1"/>
  <c r="AR365" i="29"/>
  <c r="AQ347" i="29"/>
  <c r="AN70" i="29"/>
  <c r="AO78" i="29"/>
  <c r="AN86" i="29"/>
  <c r="AO94" i="29"/>
  <c r="AO92" i="29"/>
  <c r="AN100" i="29"/>
  <c r="AN108" i="29"/>
  <c r="AO116" i="29"/>
  <c r="AO124" i="29"/>
  <c r="AN132" i="29"/>
  <c r="AO140" i="29"/>
  <c r="AO105" i="29"/>
  <c r="AN113" i="29"/>
  <c r="AN121" i="29"/>
  <c r="AO129" i="29"/>
  <c r="AO137" i="29"/>
  <c r="AO145" i="29"/>
  <c r="AO153" i="29"/>
  <c r="AO161" i="29"/>
  <c r="AN169" i="29"/>
  <c r="AO177" i="29"/>
  <c r="AN185" i="29"/>
  <c r="AN193" i="29"/>
  <c r="AN146" i="29"/>
  <c r="AN154" i="29"/>
  <c r="AN162" i="29"/>
  <c r="AO170" i="29"/>
  <c r="AN178" i="29"/>
  <c r="AN186" i="29"/>
  <c r="AN194" i="29"/>
  <c r="AN202" i="29"/>
  <c r="AN210" i="29"/>
  <c r="AN218" i="29"/>
  <c r="AN228" i="29"/>
  <c r="AN236" i="29"/>
  <c r="AN244" i="29"/>
  <c r="AN252" i="29"/>
  <c r="AO260" i="29"/>
  <c r="AN199" i="29"/>
  <c r="AO207" i="29"/>
  <c r="AN215" i="29"/>
  <c r="AO225" i="29"/>
  <c r="AN233" i="29"/>
  <c r="AN241" i="29"/>
  <c r="AO249" i="29"/>
  <c r="AO257" i="29"/>
  <c r="AO266" i="29"/>
  <c r="AN268" i="29"/>
  <c r="AN276" i="29"/>
  <c r="AO284" i="29"/>
  <c r="AO292" i="29"/>
  <c r="AO300" i="29"/>
  <c r="AN308" i="29"/>
  <c r="AO316" i="29"/>
  <c r="AN324" i="29"/>
  <c r="AN332" i="29"/>
  <c r="AN278" i="29"/>
  <c r="AO286" i="29"/>
  <c r="AN294" i="29"/>
  <c r="AN302" i="29"/>
  <c r="AN310" i="29"/>
  <c r="AN318" i="29"/>
  <c r="AN326" i="29"/>
  <c r="AN334" i="29"/>
  <c r="AN342" i="29"/>
  <c r="AN350" i="29"/>
  <c r="AO358" i="29"/>
  <c r="AO366" i="29"/>
  <c r="AN340" i="29"/>
  <c r="AO348" i="29"/>
  <c r="AN356" i="29"/>
  <c r="AN364" i="29"/>
  <c r="AO371" i="29"/>
  <c r="AO379" i="29"/>
  <c r="AN371" i="29"/>
  <c r="AN379" i="29"/>
  <c r="AO389" i="29"/>
  <c r="AN397" i="29"/>
  <c r="AN387" i="29"/>
  <c r="AN395" i="29"/>
  <c r="AO71" i="29"/>
  <c r="AN79" i="29"/>
  <c r="AN87" i="29"/>
  <c r="AO95" i="29"/>
  <c r="AO93" i="29"/>
  <c r="AN101" i="29"/>
  <c r="AO109" i="29"/>
  <c r="AN117" i="29"/>
  <c r="AN125" i="29"/>
  <c r="AN133" i="29"/>
  <c r="AN141" i="29"/>
  <c r="AN106" i="29"/>
  <c r="AO114" i="29"/>
  <c r="AN122" i="29"/>
  <c r="AN130" i="29"/>
  <c r="AN138" i="29"/>
  <c r="AO146" i="29"/>
  <c r="AO154" i="29"/>
  <c r="AO162" i="29"/>
  <c r="AN170" i="29"/>
  <c r="AO178" i="29"/>
  <c r="AO186" i="29"/>
  <c r="AO194" i="29"/>
  <c r="AO147" i="29"/>
  <c r="AN155" i="29"/>
  <c r="AO163" i="29"/>
  <c r="AN171" i="29"/>
  <c r="AN179" i="29"/>
  <c r="AN187" i="29"/>
  <c r="AO195" i="29"/>
  <c r="AO203" i="29"/>
  <c r="AN211" i="29"/>
  <c r="AN221" i="29"/>
  <c r="AN229" i="29"/>
  <c r="AO237" i="29"/>
  <c r="AN245" i="29"/>
  <c r="AO253" i="29"/>
  <c r="AN261" i="29"/>
  <c r="AN200" i="29"/>
  <c r="AN208" i="29"/>
  <c r="AN216" i="29"/>
  <c r="AO226" i="29"/>
  <c r="AO234" i="29"/>
  <c r="AN242" i="29"/>
  <c r="AO250" i="29"/>
  <c r="AO258" i="29"/>
  <c r="AO267" i="29"/>
  <c r="AN269" i="29"/>
  <c r="AN277" i="29"/>
  <c r="AN285" i="29"/>
  <c r="AO293" i="29"/>
  <c r="AO301" i="29"/>
  <c r="AO309" i="29"/>
  <c r="AN317" i="29"/>
  <c r="AN325" i="29"/>
  <c r="AN333" i="29"/>
  <c r="AO279" i="29"/>
  <c r="AO287" i="29"/>
  <c r="AN295" i="29"/>
  <c r="AO303" i="29"/>
  <c r="AN311" i="29"/>
  <c r="AN319" i="29"/>
  <c r="AN327" i="29"/>
  <c r="AN335" i="29"/>
  <c r="AN343" i="29"/>
  <c r="AO351" i="29"/>
  <c r="AO359" i="29"/>
  <c r="AO368" i="29"/>
  <c r="AO341" i="29"/>
  <c r="AO349" i="29"/>
  <c r="AN357" i="29"/>
  <c r="AO365" i="29"/>
  <c r="AN372" i="29"/>
  <c r="AO380" i="29"/>
  <c r="AO372" i="29"/>
  <c r="AN380" i="29"/>
  <c r="AN390" i="29"/>
  <c r="AN398" i="29"/>
  <c r="AN388" i="29"/>
  <c r="AN396" i="29"/>
  <c r="AO56" i="29"/>
  <c r="AO64" i="29"/>
  <c r="AO72" i="29"/>
  <c r="AN80" i="29"/>
  <c r="AN88" i="29"/>
  <c r="AN96" i="29"/>
  <c r="AN94" i="29"/>
  <c r="AO102" i="29"/>
  <c r="AN110" i="29"/>
  <c r="AO118" i="29"/>
  <c r="AN126" i="29"/>
  <c r="AO134" i="29"/>
  <c r="AN142" i="29"/>
  <c r="AO107" i="29"/>
  <c r="AO115" i="29"/>
  <c r="AO123" i="29"/>
  <c r="AN131" i="29"/>
  <c r="AO139" i="29"/>
  <c r="AN147" i="29"/>
  <c r="AO155" i="29"/>
  <c r="AN163" i="29"/>
  <c r="AO171" i="29"/>
  <c r="AO179" i="29"/>
  <c r="AO187" i="29"/>
  <c r="AN195" i="29"/>
  <c r="AO148" i="29"/>
  <c r="AO156" i="29"/>
  <c r="AN164" i="29"/>
  <c r="AO172" i="29"/>
  <c r="AO180" i="29"/>
  <c r="AO188" i="29"/>
  <c r="AO196" i="29"/>
  <c r="AO204" i="29"/>
  <c r="AO212" i="29"/>
  <c r="AN222" i="29"/>
  <c r="AN230" i="29"/>
  <c r="AN238" i="29"/>
  <c r="AN246" i="29"/>
  <c r="AN254" i="29"/>
  <c r="AN262" i="29"/>
  <c r="AN201" i="29"/>
  <c r="AN209" i="29"/>
  <c r="AN217" i="29"/>
  <c r="AN227" i="29"/>
  <c r="AO235" i="29"/>
  <c r="AN243" i="29"/>
  <c r="AO251" i="29"/>
  <c r="AN259" i="29"/>
  <c r="AO268" i="29"/>
  <c r="AN270" i="29"/>
  <c r="AO278" i="29"/>
  <c r="AN286" i="29"/>
  <c r="AO294" i="29"/>
  <c r="AO302" i="29"/>
  <c r="AO310" i="29"/>
  <c r="AO318" i="29"/>
  <c r="AO326" i="29"/>
  <c r="AO272" i="29"/>
  <c r="AO280" i="29"/>
  <c r="AO288" i="29"/>
  <c r="AO296" i="29"/>
  <c r="AN304" i="29"/>
  <c r="AN312" i="29"/>
  <c r="AO320" i="29"/>
  <c r="AN328" i="29"/>
  <c r="AO336" i="29"/>
  <c r="AO344" i="29"/>
  <c r="AO352" i="29"/>
  <c r="AO360" i="29"/>
  <c r="AO334" i="29"/>
  <c r="AO342" i="29"/>
  <c r="AO350" i="29"/>
  <c r="AN358" i="29"/>
  <c r="AN366" i="29"/>
  <c r="AO373" i="29"/>
  <c r="AN381" i="29"/>
  <c r="AN373" i="29"/>
  <c r="AO381" i="29"/>
  <c r="AN391" i="29"/>
  <c r="AO399" i="29"/>
  <c r="AN389" i="29"/>
  <c r="AO397" i="29"/>
  <c r="AO313" i="29"/>
  <c r="AN321" i="29"/>
  <c r="AN329" i="29"/>
  <c r="AO337" i="29"/>
  <c r="AN345" i="29"/>
  <c r="AN353" i="29"/>
  <c r="AN361" i="29"/>
  <c r="AO335" i="29"/>
  <c r="AO343" i="29"/>
  <c r="AN351" i="29"/>
  <c r="AN359" i="29"/>
  <c r="AN367" i="29"/>
  <c r="AN374" i="29"/>
  <c r="AN382" i="29"/>
  <c r="AO374" i="29"/>
  <c r="AO382" i="29"/>
  <c r="AO392" i="29"/>
  <c r="AN400" i="29"/>
  <c r="AO390" i="29"/>
  <c r="AO398" i="29"/>
  <c r="F66" i="4"/>
  <c r="G66" i="4" s="1"/>
  <c r="AN331" i="29"/>
  <c r="AO339" i="29"/>
  <c r="AO347" i="29"/>
  <c r="AO355" i="29"/>
  <c r="AN363" i="29"/>
  <c r="AN337" i="29"/>
  <c r="AO345" i="29"/>
  <c r="AO353" i="29"/>
  <c r="AO361" i="29"/>
  <c r="AN368" i="29"/>
  <c r="AO376" i="29"/>
  <c r="AO384" i="29"/>
  <c r="AN376" i="29"/>
  <c r="AO386" i="29"/>
  <c r="AO394" i="29"/>
  <c r="AN384" i="29"/>
  <c r="AN392" i="29"/>
  <c r="AO400" i="29"/>
  <c r="AN84" i="29"/>
  <c r="AN92" i="29"/>
  <c r="AN90" i="29"/>
  <c r="AN98" i="29"/>
  <c r="AO106" i="29"/>
  <c r="AN114" i="29"/>
  <c r="AO122" i="29"/>
  <c r="AO130" i="29"/>
  <c r="AO138" i="29"/>
  <c r="AN103" i="29"/>
  <c r="AN111" i="29"/>
  <c r="AO119" i="29"/>
  <c r="AO127" i="29"/>
  <c r="AO135" i="29"/>
  <c r="AN143" i="29"/>
  <c r="AO151" i="29"/>
  <c r="AN159" i="29"/>
  <c r="AN167" i="29"/>
  <c r="AO175" i="29"/>
  <c r="AO183" i="29"/>
  <c r="AO191" i="29"/>
  <c r="AN144" i="29"/>
  <c r="AN152" i="29"/>
  <c r="AO160" i="29"/>
  <c r="AO168" i="29"/>
  <c r="AN176" i="29"/>
  <c r="AO184" i="29"/>
  <c r="AN192" i="29"/>
  <c r="AO200" i="29"/>
  <c r="AO208" i="29"/>
  <c r="AO216" i="29"/>
  <c r="AN226" i="29"/>
  <c r="AN234" i="29"/>
  <c r="AO242" i="29"/>
  <c r="AN250" i="29"/>
  <c r="AN258" i="29"/>
  <c r="AN271" i="29"/>
  <c r="AO205" i="29"/>
  <c r="AN213" i="29"/>
  <c r="AN223" i="29"/>
  <c r="AO231" i="29"/>
  <c r="AN239" i="29"/>
  <c r="AO247" i="29"/>
  <c r="AO255" i="29"/>
  <c r="AN263" i="29"/>
  <c r="AN266" i="29"/>
  <c r="AO274" i="29"/>
  <c r="AN282" i="29"/>
  <c r="AO290" i="29"/>
  <c r="AN298" i="29"/>
  <c r="AN306" i="29"/>
  <c r="AN314" i="29"/>
  <c r="AN322" i="29"/>
  <c r="AO330" i="29"/>
  <c r="AO276" i="29"/>
  <c r="AN284" i="29"/>
  <c r="AN292" i="29"/>
  <c r="AN300" i="29"/>
  <c r="AO308" i="29"/>
  <c r="AN316" i="29"/>
  <c r="AO324" i="29"/>
  <c r="AO332" i="29"/>
  <c r="AO340" i="29"/>
  <c r="AN348" i="29"/>
  <c r="AO356" i="29"/>
  <c r="AO364" i="29"/>
  <c r="AO338" i="29"/>
  <c r="AO346" i="29"/>
  <c r="AO354" i="29"/>
  <c r="AO362" i="29"/>
  <c r="AN369" i="29"/>
  <c r="AN377" i="29"/>
  <c r="AO369" i="29"/>
  <c r="AO377" i="29"/>
  <c r="AO387" i="29"/>
  <c r="AO395" i="29"/>
  <c r="AO385" i="29"/>
  <c r="L111" i="4"/>
  <c r="L101" i="4"/>
  <c r="K67" i="25" s="1"/>
  <c r="L119" i="4"/>
  <c r="L109" i="4"/>
  <c r="L118" i="4"/>
  <c r="L108" i="4"/>
  <c r="L117" i="4"/>
  <c r="L107" i="4"/>
  <c r="K74" i="25" s="1"/>
  <c r="U74" i="25" s="1"/>
  <c r="L114" i="4"/>
  <c r="L103" i="4"/>
  <c r="L112" i="4"/>
  <c r="K80" i="25" s="1"/>
  <c r="L116" i="4"/>
  <c r="L106" i="4"/>
  <c r="K73" i="25" s="1"/>
  <c r="U73" i="25" s="1"/>
  <c r="L104" i="4"/>
  <c r="L113" i="4"/>
  <c r="L102" i="4"/>
  <c r="AA21" i="14"/>
  <c r="AA20" i="14"/>
  <c r="X22" i="14"/>
  <c r="X21" i="14"/>
  <c r="X20" i="14"/>
  <c r="X23" i="14"/>
  <c r="AQ48" i="29"/>
  <c r="AQ64" i="29"/>
  <c r="AR80" i="29"/>
  <c r="AQ45" i="29"/>
  <c r="AQ61" i="29"/>
  <c r="AR77" i="29"/>
  <c r="AQ93" i="29"/>
  <c r="AR99" i="29"/>
  <c r="AQ114" i="29"/>
  <c r="AR130" i="29"/>
  <c r="AQ102" i="29"/>
  <c r="AQ118" i="29"/>
  <c r="AQ134" i="29"/>
  <c r="AR150" i="29"/>
  <c r="AQ166" i="29"/>
  <c r="AQ182" i="29"/>
  <c r="AR143" i="29"/>
  <c r="AR159" i="29"/>
  <c r="AQ175" i="29"/>
  <c r="AQ191" i="29"/>
  <c r="AQ206" i="29"/>
  <c r="AQ224" i="29"/>
  <c r="AQ240" i="29"/>
  <c r="AR256" i="29"/>
  <c r="AR269" i="29"/>
  <c r="AR210" i="29"/>
  <c r="AR228" i="29"/>
  <c r="AR244" i="29"/>
  <c r="AQ260" i="29"/>
  <c r="AR273" i="29"/>
  <c r="AR289" i="29"/>
  <c r="AQ305" i="29"/>
  <c r="AR321" i="29"/>
  <c r="AR275" i="29"/>
  <c r="AR291" i="29"/>
  <c r="AQ307" i="29"/>
  <c r="AR323" i="29"/>
  <c r="AQ338" i="29"/>
  <c r="AQ354" i="29"/>
  <c r="AR334" i="29"/>
  <c r="AR350" i="29"/>
  <c r="AQ366" i="29"/>
  <c r="AU366" i="29" s="1"/>
  <c r="C366" i="29" s="1"/>
  <c r="AR379" i="29"/>
  <c r="AR381" i="29"/>
  <c r="AR395" i="29"/>
  <c r="AQ393" i="29"/>
  <c r="AQ49" i="29"/>
  <c r="AR65" i="29"/>
  <c r="AQ81" i="29"/>
  <c r="AQ46" i="29"/>
  <c r="AQ62" i="29"/>
  <c r="AR78" i="29"/>
  <c r="AR94" i="29"/>
  <c r="AQ101" i="29"/>
  <c r="AQ117" i="29"/>
  <c r="AQ133" i="29"/>
  <c r="AR107" i="29"/>
  <c r="AR123" i="29"/>
  <c r="AR139" i="29"/>
  <c r="AR155" i="29"/>
  <c r="AR171" i="29"/>
  <c r="AR187" i="29"/>
  <c r="AR148" i="29"/>
  <c r="AQ164" i="29"/>
  <c r="AR180" i="29"/>
  <c r="AR196" i="29"/>
  <c r="AR213" i="29"/>
  <c r="AQ231" i="29"/>
  <c r="AQ247" i="29"/>
  <c r="AR263" i="29"/>
  <c r="AQ213" i="29"/>
  <c r="AR231" i="29"/>
  <c r="AR247" i="29"/>
  <c r="AQ263" i="29"/>
  <c r="AU263" i="29" s="1"/>
  <c r="C263" i="29" s="1"/>
  <c r="AR278" i="29"/>
  <c r="AR294" i="29"/>
  <c r="AR310" i="29"/>
  <c r="AR326" i="29"/>
  <c r="AR280" i="29"/>
  <c r="AR296" i="29"/>
  <c r="AQ312" i="29"/>
  <c r="AQ328" i="29"/>
  <c r="AQ345" i="29"/>
  <c r="AQ362" i="29"/>
  <c r="AQ50" i="29"/>
  <c r="AQ66" i="29"/>
  <c r="AR82" i="29"/>
  <c r="AR47" i="29"/>
  <c r="AQ63" i="29"/>
  <c r="AQ79" i="29"/>
  <c r="AR95" i="29"/>
  <c r="AQ100" i="29"/>
  <c r="AR116" i="29"/>
  <c r="AQ132" i="29"/>
  <c r="AR104" i="29"/>
  <c r="AQ120" i="29"/>
  <c r="AR136" i="29"/>
  <c r="AR152" i="29"/>
  <c r="AQ168" i="29"/>
  <c r="AQ184" i="29"/>
  <c r="AQ145" i="29"/>
  <c r="AQ161" i="29"/>
  <c r="AQ177" i="29"/>
  <c r="AR193" i="29"/>
  <c r="AR208" i="29"/>
  <c r="AQ226" i="29"/>
  <c r="AR242" i="29"/>
  <c r="AQ258" i="29"/>
  <c r="AR270" i="29"/>
  <c r="AQ212" i="29"/>
  <c r="AR230" i="29"/>
  <c r="AR246" i="29"/>
  <c r="AR262" i="29"/>
  <c r="AQ275" i="29"/>
  <c r="AU275" i="29" s="1"/>
  <c r="C275" i="29" s="1"/>
  <c r="AQ291" i="29"/>
  <c r="AU291" i="29" s="1"/>
  <c r="C291" i="29" s="1"/>
  <c r="AR307" i="29"/>
  <c r="AQ323" i="29"/>
  <c r="AR277" i="29"/>
  <c r="AQ293" i="29"/>
  <c r="AQ309" i="29"/>
  <c r="AR325" i="29"/>
  <c r="AR340" i="29"/>
  <c r="AR356" i="29"/>
  <c r="AQ336" i="29"/>
  <c r="AQ352" i="29"/>
  <c r="AR368" i="29"/>
  <c r="AU368" i="29" s="1"/>
  <c r="C368" i="29" s="1"/>
  <c r="AQ381" i="29"/>
  <c r="AU381" i="29" s="1"/>
  <c r="C381" i="29" s="1"/>
  <c r="AR383" i="29"/>
  <c r="AQ397" i="29"/>
  <c r="AQ395" i="29"/>
  <c r="AQ51" i="29"/>
  <c r="AQ67" i="29"/>
  <c r="AR83" i="29"/>
  <c r="AR48" i="29"/>
  <c r="AR64" i="29"/>
  <c r="AQ80" i="29"/>
  <c r="AU80" i="29" s="1"/>
  <c r="C80" i="29" s="1"/>
  <c r="AQ96" i="29"/>
  <c r="AR103" i="29"/>
  <c r="AQ119" i="29"/>
  <c r="AQ135" i="29"/>
  <c r="AQ109" i="29"/>
  <c r="AR125" i="29"/>
  <c r="AR141" i="29"/>
  <c r="AQ157" i="29"/>
  <c r="AR173" i="29"/>
  <c r="AQ189" i="29"/>
  <c r="AQ150" i="29"/>
  <c r="AU150" i="29" s="1"/>
  <c r="C150" i="29" s="1"/>
  <c r="AR166" i="29"/>
  <c r="AR182" i="29"/>
  <c r="AR199" i="29"/>
  <c r="AR215" i="29"/>
  <c r="AR233" i="29"/>
  <c r="AQ249" i="29"/>
  <c r="AQ199" i="29"/>
  <c r="AQ215" i="29"/>
  <c r="AQ233" i="29"/>
  <c r="AR249" i="29"/>
  <c r="AQ265" i="29"/>
  <c r="AQ280" i="29"/>
  <c r="AU280" i="29" s="1"/>
  <c r="C280" i="29" s="1"/>
  <c r="AQ296" i="29"/>
  <c r="AU296" i="29" s="1"/>
  <c r="C296" i="29" s="1"/>
  <c r="AR312" i="29"/>
  <c r="AR328" i="29"/>
  <c r="AR282" i="29"/>
  <c r="AR298" i="29"/>
  <c r="AR314" i="29"/>
  <c r="AQ330" i="29"/>
  <c r="AR347" i="29"/>
  <c r="AU347" i="29" s="1"/>
  <c r="C347" i="29" s="1"/>
  <c r="AR364" i="29"/>
  <c r="AR52" i="29"/>
  <c r="AQ68" i="29"/>
  <c r="AR84" i="29"/>
  <c r="AR49" i="29"/>
  <c r="AQ65" i="29"/>
  <c r="AR81" i="29"/>
  <c r="AR97" i="29"/>
  <c r="AR102" i="29"/>
  <c r="AR118" i="29"/>
  <c r="AR134" i="29"/>
  <c r="AQ106" i="29"/>
  <c r="AQ122" i="29"/>
  <c r="AQ138" i="29"/>
  <c r="AR154" i="29"/>
  <c r="AQ170" i="29"/>
  <c r="AR186" i="29"/>
  <c r="AR147" i="29"/>
  <c r="AR163" i="29"/>
  <c r="AQ179" i="29"/>
  <c r="AR195" i="29"/>
  <c r="AQ210" i="29"/>
  <c r="AU210" i="29" s="1"/>
  <c r="C210" i="29" s="1"/>
  <c r="AQ228" i="29"/>
  <c r="AU228" i="29" s="1"/>
  <c r="C228" i="29" s="1"/>
  <c r="AQ244" i="29"/>
  <c r="AU244" i="29" s="1"/>
  <c r="C244" i="29" s="1"/>
  <c r="AR260" i="29"/>
  <c r="AQ198" i="29"/>
  <c r="AQ214" i="29"/>
  <c r="AQ232" i="29"/>
  <c r="AQ248" i="29"/>
  <c r="AQ264" i="29"/>
  <c r="AQ277" i="29"/>
  <c r="AR293" i="29"/>
  <c r="AR309" i="29"/>
  <c r="AQ325" i="29"/>
  <c r="AR279" i="29"/>
  <c r="AQ295" i="29"/>
  <c r="AQ311" i="29"/>
  <c r="AQ327" i="29"/>
  <c r="AQ342" i="29"/>
  <c r="AR358" i="29"/>
  <c r="AR338" i="29"/>
  <c r="AR354" i="29"/>
  <c r="AR367" i="29"/>
  <c r="AR369" i="29"/>
  <c r="AR384" i="29"/>
  <c r="AR399" i="29"/>
  <c r="AR397" i="29"/>
  <c r="AR53" i="29"/>
  <c r="AR69" i="29"/>
  <c r="AQ85" i="29"/>
  <c r="AR50" i="29"/>
  <c r="AR66" i="29"/>
  <c r="AQ82" i="29"/>
  <c r="AU82" i="29" s="1"/>
  <c r="C82" i="29" s="1"/>
  <c r="AR98" i="29"/>
  <c r="AQ105" i="29"/>
  <c r="AR121" i="29"/>
  <c r="AQ137" i="29"/>
  <c r="AQ111" i="29"/>
  <c r="AR127" i="29"/>
  <c r="AQ143" i="29"/>
  <c r="AQ159" i="29"/>
  <c r="AR175" i="29"/>
  <c r="AR191" i="29"/>
  <c r="AQ152" i="29"/>
  <c r="AU152" i="29" s="1"/>
  <c r="C152" i="29" s="1"/>
  <c r="AR168" i="29"/>
  <c r="AR184" i="29"/>
  <c r="AR201" i="29"/>
  <c r="AR217" i="29"/>
  <c r="AQ235" i="29"/>
  <c r="AQ251" i="29"/>
  <c r="AQ201" i="29"/>
  <c r="AQ217" i="29"/>
  <c r="AR235" i="29"/>
  <c r="AR251" i="29"/>
  <c r="AQ266" i="29"/>
  <c r="AQ282" i="29"/>
  <c r="AU282" i="29" s="1"/>
  <c r="C282" i="29" s="1"/>
  <c r="AQ298" i="29"/>
  <c r="AU298" i="29" s="1"/>
  <c r="C298" i="29" s="1"/>
  <c r="AQ314" i="29"/>
  <c r="AR330" i="29"/>
  <c r="AQ284" i="29"/>
  <c r="AQ300" i="29"/>
  <c r="AQ316" i="29"/>
  <c r="AR332" i="29"/>
  <c r="AQ349" i="29"/>
  <c r="AU349" i="29" s="1"/>
  <c r="C349" i="29" s="1"/>
  <c r="AQ399" i="29"/>
  <c r="AU399" i="29" s="1"/>
  <c r="C399" i="29" s="1"/>
  <c r="AR54" i="29"/>
  <c r="AR70" i="29"/>
  <c r="AR86" i="29"/>
  <c r="AR51" i="29"/>
  <c r="AR67" i="29"/>
  <c r="AQ83" i="29"/>
  <c r="AQ99" i="29"/>
  <c r="AU99" i="29" s="1"/>
  <c r="C99" i="29" s="1"/>
  <c r="AQ104" i="29"/>
  <c r="AU104" i="29" s="1"/>
  <c r="C104" i="29" s="1"/>
  <c r="AR120" i="29"/>
  <c r="AQ136" i="29"/>
  <c r="AR108" i="29"/>
  <c r="AQ124" i="29"/>
  <c r="AQ140" i="29"/>
  <c r="AQ156" i="29"/>
  <c r="AQ172" i="29"/>
  <c r="AQ188" i="29"/>
  <c r="AR149" i="29"/>
  <c r="AQ165" i="29"/>
  <c r="AR181" i="29"/>
  <c r="AQ197" i="29"/>
  <c r="AR212" i="29"/>
  <c r="AQ230" i="29"/>
  <c r="AU230" i="29" s="1"/>
  <c r="C230" i="29" s="1"/>
  <c r="AQ246" i="29"/>
  <c r="AU246" i="29" s="1"/>
  <c r="C246" i="29" s="1"/>
  <c r="AQ262" i="29"/>
  <c r="AQ200" i="29"/>
  <c r="AQ216" i="29"/>
  <c r="AR234" i="29"/>
  <c r="AR250" i="29"/>
  <c r="AQ271" i="29"/>
  <c r="AQ279" i="29"/>
  <c r="AU279" i="29" s="1"/>
  <c r="C279" i="29" s="1"/>
  <c r="AR295" i="29"/>
  <c r="AR311" i="29"/>
  <c r="AR327" i="29"/>
  <c r="AR281" i="29"/>
  <c r="AR297" i="29"/>
  <c r="AR313" i="29"/>
  <c r="AQ329" i="29"/>
  <c r="AR344" i="29"/>
  <c r="AR359" i="29"/>
  <c r="AU359" i="29" s="1"/>
  <c r="C359" i="29" s="1"/>
  <c r="AQ340" i="29"/>
  <c r="AU340" i="29" s="1"/>
  <c r="C340" i="29" s="1"/>
  <c r="AQ356" i="29"/>
  <c r="AU356" i="29" s="1"/>
  <c r="C356" i="29" s="1"/>
  <c r="AQ369" i="29"/>
  <c r="AU369" i="29" s="1"/>
  <c r="C369" i="29" s="1"/>
  <c r="AQ371" i="29"/>
  <c r="AQ385" i="29"/>
  <c r="AQ383" i="29"/>
  <c r="AU383" i="29" s="1"/>
  <c r="C383" i="29" s="1"/>
  <c r="AQ39" i="29"/>
  <c r="AQ55" i="29"/>
  <c r="AQ71" i="29"/>
  <c r="AR87" i="29"/>
  <c r="AQ52" i="29"/>
  <c r="AR68" i="29"/>
  <c r="AQ84" i="29"/>
  <c r="AU84" i="29" s="1"/>
  <c r="C84" i="29" s="1"/>
  <c r="AQ90" i="29"/>
  <c r="AQ107" i="29"/>
  <c r="AQ123" i="29"/>
  <c r="AU123" i="29" s="1"/>
  <c r="C123" i="29" s="1"/>
  <c r="AQ139" i="29"/>
  <c r="AU139" i="29" s="1"/>
  <c r="C139" i="29" s="1"/>
  <c r="AQ113" i="29"/>
  <c r="AR129" i="29"/>
  <c r="AR145" i="29"/>
  <c r="AR161" i="29"/>
  <c r="AR177" i="29"/>
  <c r="AQ193" i="29"/>
  <c r="AU193" i="29" s="1"/>
  <c r="C193" i="29" s="1"/>
  <c r="AQ154" i="29"/>
  <c r="AU154" i="29" s="1"/>
  <c r="C154" i="29" s="1"/>
  <c r="AR170" i="29"/>
  <c r="AQ186" i="29"/>
  <c r="AU186" i="29" s="1"/>
  <c r="C186" i="29" s="1"/>
  <c r="AR203" i="29"/>
  <c r="AQ221" i="29"/>
  <c r="AR237" i="29"/>
  <c r="AR253" i="29"/>
  <c r="AQ203" i="29"/>
  <c r="AR221" i="29"/>
  <c r="AQ237" i="29"/>
  <c r="AU237" i="29" s="1"/>
  <c r="C237" i="29" s="1"/>
  <c r="AQ253" i="29"/>
  <c r="AQ268" i="29"/>
  <c r="AR284" i="29"/>
  <c r="AR300" i="29"/>
  <c r="AR316" i="29"/>
  <c r="AQ332" i="29"/>
  <c r="AU332" i="29" s="1"/>
  <c r="C332" i="29" s="1"/>
  <c r="AR286" i="29"/>
  <c r="AQ302" i="29"/>
  <c r="AQ318" i="29"/>
  <c r="AQ335" i="29"/>
  <c r="AR351" i="29"/>
  <c r="AU351" i="29" s="1"/>
  <c r="C351" i="29" s="1"/>
  <c r="AQ40" i="29"/>
  <c r="AQ56" i="29"/>
  <c r="AQ72" i="29"/>
  <c r="AR88" i="29"/>
  <c r="AQ53" i="29"/>
  <c r="AU53" i="29" s="1"/>
  <c r="C53" i="29" s="1"/>
  <c r="AQ69" i="29"/>
  <c r="AR85" i="29"/>
  <c r="AR91" i="29"/>
  <c r="AR106" i="29"/>
  <c r="AR122" i="29"/>
  <c r="AR138" i="29"/>
  <c r="AR110" i="29"/>
  <c r="AR126" i="29"/>
  <c r="AR142" i="29"/>
  <c r="AR158" i="29"/>
  <c r="AR174" i="29"/>
  <c r="AQ190" i="29"/>
  <c r="AQ151" i="29"/>
  <c r="AR167" i="29"/>
  <c r="AQ183" i="29"/>
  <c r="AR198" i="29"/>
  <c r="AR214" i="29"/>
  <c r="AR232" i="29"/>
  <c r="AR248" i="29"/>
  <c r="AR264" i="29"/>
  <c r="AR202" i="29"/>
  <c r="AR218" i="29"/>
  <c r="AR236" i="29"/>
  <c r="AR252" i="29"/>
  <c r="AR265" i="29"/>
  <c r="AQ281" i="29"/>
  <c r="AU281" i="29" s="1"/>
  <c r="C281" i="29" s="1"/>
  <c r="AQ297" i="29"/>
  <c r="AU297" i="29" s="1"/>
  <c r="C297" i="29" s="1"/>
  <c r="AQ313" i="29"/>
  <c r="AR329" i="29"/>
  <c r="AQ283" i="29"/>
  <c r="AQ299" i="29"/>
  <c r="AR315" i="29"/>
  <c r="AQ331" i="29"/>
  <c r="AQ346" i="29"/>
  <c r="AQ361" i="29"/>
  <c r="AU361" i="29" s="1"/>
  <c r="C361" i="29" s="1"/>
  <c r="AR342" i="29"/>
  <c r="AQ358" i="29"/>
  <c r="AU358" i="29" s="1"/>
  <c r="C358" i="29" s="1"/>
  <c r="AR371" i="29"/>
  <c r="AQ373" i="29"/>
  <c r="AR387" i="29"/>
  <c r="AR385" i="29"/>
  <c r="AR41" i="29"/>
  <c r="AQ57" i="29"/>
  <c r="AR73" i="29"/>
  <c r="AQ89" i="29"/>
  <c r="AQ54" i="29"/>
  <c r="AQ70" i="29"/>
  <c r="AU70" i="29" s="1"/>
  <c r="C70" i="29" s="1"/>
  <c r="AQ86" i="29"/>
  <c r="AU86" i="29" s="1"/>
  <c r="C86" i="29" s="1"/>
  <c r="AR92" i="29"/>
  <c r="AR109" i="29"/>
  <c r="AQ125" i="29"/>
  <c r="AU125" i="29" s="1"/>
  <c r="C125" i="29" s="1"/>
  <c r="AQ141" i="29"/>
  <c r="AU141" i="29" s="1"/>
  <c r="C141" i="29" s="1"/>
  <c r="AR115" i="29"/>
  <c r="AQ131" i="29"/>
  <c r="AQ147" i="29"/>
  <c r="AQ163" i="29"/>
  <c r="AU163" i="29" s="1"/>
  <c r="C163" i="29" s="1"/>
  <c r="AR179" i="29"/>
  <c r="AQ195" i="29"/>
  <c r="AU195" i="29" s="1"/>
  <c r="C195" i="29" s="1"/>
  <c r="AR156" i="29"/>
  <c r="AR172" i="29"/>
  <c r="AR188" i="29"/>
  <c r="AQ205" i="29"/>
  <c r="AU205" i="29" s="1"/>
  <c r="C205" i="29" s="1"/>
  <c r="AR223" i="29"/>
  <c r="AR239" i="29"/>
  <c r="AQ255" i="29"/>
  <c r="AR205" i="29"/>
  <c r="AQ223" i="29"/>
  <c r="AQ239" i="29"/>
  <c r="AR255" i="29"/>
  <c r="AQ270" i="29"/>
  <c r="AQ286" i="29"/>
  <c r="AU286" i="29" s="1"/>
  <c r="C286" i="29" s="1"/>
  <c r="AR302" i="29"/>
  <c r="AR318" i="29"/>
  <c r="AR272" i="29"/>
  <c r="AR288" i="29"/>
  <c r="AQ304" i="29"/>
  <c r="AR320" i="29"/>
  <c r="AR337" i="29"/>
  <c r="AQ353" i="29"/>
  <c r="AU353" i="29" s="1"/>
  <c r="C353" i="29" s="1"/>
  <c r="AQ337" i="29"/>
  <c r="AR42" i="29"/>
  <c r="AR58" i="29"/>
  <c r="AR74" i="29"/>
  <c r="AR39" i="29"/>
  <c r="AR55" i="29"/>
  <c r="AR71" i="29"/>
  <c r="AQ87" i="29"/>
  <c r="AR93" i="29"/>
  <c r="AQ108" i="29"/>
  <c r="AU108" i="29" s="1"/>
  <c r="C108" i="29" s="1"/>
  <c r="AR124" i="29"/>
  <c r="AR140" i="29"/>
  <c r="AR112" i="29"/>
  <c r="AR128" i="29"/>
  <c r="AR144" i="29"/>
  <c r="AQ160" i="29"/>
  <c r="AR176" i="29"/>
  <c r="AR192" i="29"/>
  <c r="AQ153" i="29"/>
  <c r="AR169" i="29"/>
  <c r="AR185" i="29"/>
  <c r="AR200" i="29"/>
  <c r="AR216" i="29"/>
  <c r="AQ234" i="29"/>
  <c r="AU234" i="29" s="1"/>
  <c r="C234" i="29" s="1"/>
  <c r="AQ250" i="29"/>
  <c r="AU250" i="29" s="1"/>
  <c r="C250" i="29" s="1"/>
  <c r="AR266" i="29"/>
  <c r="AQ204" i="29"/>
  <c r="AR222" i="29"/>
  <c r="AR238" i="29"/>
  <c r="AR254" i="29"/>
  <c r="AQ267" i="29"/>
  <c r="AR283" i="29"/>
  <c r="AR299" i="29"/>
  <c r="AQ315" i="29"/>
  <c r="AR331" i="29"/>
  <c r="AR285" i="29"/>
  <c r="AQ301" i="29"/>
  <c r="AR317" i="29"/>
  <c r="AR333" i="29"/>
  <c r="AQ348" i="29"/>
  <c r="AQ363" i="29"/>
  <c r="AU363" i="29" s="1"/>
  <c r="C363" i="29" s="1"/>
  <c r="AQ344" i="29"/>
  <c r="AU344" i="29" s="1"/>
  <c r="C344" i="29" s="1"/>
  <c r="AQ360" i="29"/>
  <c r="AR373" i="29"/>
  <c r="AQ375" i="29"/>
  <c r="AR389" i="29"/>
  <c r="AQ387" i="29"/>
  <c r="AU387" i="29" s="1"/>
  <c r="C387" i="29" s="1"/>
  <c r="AR43" i="29"/>
  <c r="AQ59" i="29"/>
  <c r="AR75" i="29"/>
  <c r="AR40" i="29"/>
  <c r="AR56" i="29"/>
  <c r="AR72" i="29"/>
  <c r="AQ88" i="29"/>
  <c r="AU88" i="29" s="1"/>
  <c r="C88" i="29" s="1"/>
  <c r="AQ94" i="29"/>
  <c r="AU94" i="29" s="1"/>
  <c r="C94" i="29" s="1"/>
  <c r="AR111" i="29"/>
  <c r="AQ127" i="29"/>
  <c r="AU127" i="29" s="1"/>
  <c r="C127" i="29" s="1"/>
  <c r="AR101" i="29"/>
  <c r="AR117" i="29"/>
  <c r="AR133" i="29"/>
  <c r="AQ149" i="29"/>
  <c r="AU149" i="29" s="1"/>
  <c r="C149" i="29" s="1"/>
  <c r="AR165" i="29"/>
  <c r="AQ181" i="29"/>
  <c r="AU181" i="29" s="1"/>
  <c r="C181" i="29" s="1"/>
  <c r="AR197" i="29"/>
  <c r="AQ158" i="29"/>
  <c r="AU158" i="29" s="1"/>
  <c r="C158" i="29" s="1"/>
  <c r="AQ174" i="29"/>
  <c r="AU174" i="29" s="1"/>
  <c r="C174" i="29" s="1"/>
  <c r="AR190" i="29"/>
  <c r="AQ207" i="29"/>
  <c r="AQ225" i="29"/>
  <c r="AR241" i="29"/>
  <c r="AQ257" i="29"/>
  <c r="AU257" i="29" s="1"/>
  <c r="C257" i="29" s="1"/>
  <c r="AR207" i="29"/>
  <c r="AR225" i="29"/>
  <c r="AQ241" i="29"/>
  <c r="AR257" i="29"/>
  <c r="AQ272" i="29"/>
  <c r="AU272" i="29" s="1"/>
  <c r="C272" i="29" s="1"/>
  <c r="AQ288" i="29"/>
  <c r="AU288" i="29" s="1"/>
  <c r="C288" i="29" s="1"/>
  <c r="AR304" i="29"/>
  <c r="AQ320" i="29"/>
  <c r="AQ274" i="29"/>
  <c r="AQ290" i="29"/>
  <c r="AR306" i="29"/>
  <c r="AR322" i="29"/>
  <c r="AR339" i="29"/>
  <c r="AU339" i="29" s="1"/>
  <c r="C339" i="29" s="1"/>
  <c r="AR355" i="29"/>
  <c r="AU355" i="29" s="1"/>
  <c r="C355" i="29" s="1"/>
  <c r="AQ44" i="29"/>
  <c r="AR60" i="29"/>
  <c r="AQ76" i="29"/>
  <c r="AQ41" i="29"/>
  <c r="AU41" i="29" s="1"/>
  <c r="C41" i="29" s="1"/>
  <c r="AR57" i="29"/>
  <c r="AQ73" i="29"/>
  <c r="AR89" i="29"/>
  <c r="AQ95" i="29"/>
  <c r="AU95" i="29" s="1"/>
  <c r="C95" i="29" s="1"/>
  <c r="AQ110" i="29"/>
  <c r="AU110" i="29" s="1"/>
  <c r="C110" i="29" s="1"/>
  <c r="AQ126" i="29"/>
  <c r="AQ142" i="29"/>
  <c r="AR114" i="29"/>
  <c r="AQ130" i="29"/>
  <c r="AU130" i="29" s="1"/>
  <c r="C130" i="29" s="1"/>
  <c r="AR146" i="29"/>
  <c r="AR162" i="29"/>
  <c r="AR178" i="29"/>
  <c r="AR194" i="29"/>
  <c r="AQ155" i="29"/>
  <c r="AQ171" i="29"/>
  <c r="AQ187" i="29"/>
  <c r="AU187" i="29" s="1"/>
  <c r="C187" i="29" s="1"/>
  <c r="AQ202" i="29"/>
  <c r="AQ218" i="29"/>
  <c r="AQ236" i="29"/>
  <c r="AU236" i="29" s="1"/>
  <c r="C236" i="29" s="1"/>
  <c r="AQ252" i="29"/>
  <c r="AU252" i="29" s="1"/>
  <c r="C252" i="29" s="1"/>
  <c r="AR267" i="29"/>
  <c r="AR206" i="29"/>
  <c r="AR224" i="29"/>
  <c r="AR240" i="29"/>
  <c r="AQ256" i="29"/>
  <c r="AQ269" i="29"/>
  <c r="AQ285" i="29"/>
  <c r="AR301" i="29"/>
  <c r="AQ317" i="29"/>
  <c r="AQ333" i="29"/>
  <c r="AU333" i="29" s="1"/>
  <c r="C333" i="29" s="1"/>
  <c r="AR287" i="29"/>
  <c r="AR303" i="29"/>
  <c r="AQ319" i="29"/>
  <c r="AQ334" i="29"/>
  <c r="AU334" i="29" s="1"/>
  <c r="C334" i="29" s="1"/>
  <c r="AQ350" i="29"/>
  <c r="AQ365" i="29"/>
  <c r="AU365" i="29" s="1"/>
  <c r="C365" i="29" s="1"/>
  <c r="AR346" i="29"/>
  <c r="AR362" i="29"/>
  <c r="AR375" i="29"/>
  <c r="AR377" i="29"/>
  <c r="AQ391" i="29"/>
  <c r="AQ389" i="29"/>
  <c r="AR45" i="29"/>
  <c r="AR61" i="29"/>
  <c r="AQ77" i="29"/>
  <c r="AU77" i="29" s="1"/>
  <c r="C77" i="29" s="1"/>
  <c r="AQ42" i="29"/>
  <c r="AQ58" i="29"/>
  <c r="AU58" i="29" s="1"/>
  <c r="C58" i="29" s="1"/>
  <c r="AQ74" i="29"/>
  <c r="AU74" i="29" s="1"/>
  <c r="C74" i="29" s="1"/>
  <c r="AR90" i="29"/>
  <c r="AR96" i="29"/>
  <c r="AR113" i="29"/>
  <c r="AQ129" i="29"/>
  <c r="AU129" i="29" s="1"/>
  <c r="C129" i="29" s="1"/>
  <c r="AQ103" i="29"/>
  <c r="AU103" i="29" s="1"/>
  <c r="C103" i="29" s="1"/>
  <c r="AR119" i="29"/>
  <c r="AR135" i="29"/>
  <c r="AR151" i="29"/>
  <c r="AQ167" i="29"/>
  <c r="AU167" i="29" s="1"/>
  <c r="C167" i="29" s="1"/>
  <c r="AR183" i="29"/>
  <c r="AQ144" i="29"/>
  <c r="AU144" i="29" s="1"/>
  <c r="C144" i="29" s="1"/>
  <c r="AR160" i="29"/>
  <c r="AQ176" i="29"/>
  <c r="AU176" i="29" s="1"/>
  <c r="C176" i="29" s="1"/>
  <c r="AQ192" i="29"/>
  <c r="AU192" i="29" s="1"/>
  <c r="C192" i="29" s="1"/>
  <c r="AR209" i="29"/>
  <c r="AR227" i="29"/>
  <c r="AR243" i="29"/>
  <c r="AR259" i="29"/>
  <c r="AQ209" i="29"/>
  <c r="AQ227" i="29"/>
  <c r="AQ243" i="29"/>
  <c r="AQ259" i="29"/>
  <c r="AR274" i="29"/>
  <c r="AR290" i="29"/>
  <c r="AQ306" i="29"/>
  <c r="AQ322" i="29"/>
  <c r="AU322" i="29" s="1"/>
  <c r="C322" i="29" s="1"/>
  <c r="AR276" i="29"/>
  <c r="AQ292" i="29"/>
  <c r="AR308" i="29"/>
  <c r="AR324" i="29"/>
  <c r="AQ341" i="29"/>
  <c r="AR357" i="29"/>
  <c r="AU357" i="29" s="1"/>
  <c r="C357" i="29" s="1"/>
  <c r="AR46" i="29"/>
  <c r="AR62" i="29"/>
  <c r="AQ78" i="29"/>
  <c r="AU78" i="29" s="1"/>
  <c r="C78" i="29" s="1"/>
  <c r="AQ43" i="29"/>
  <c r="AU43" i="29" s="1"/>
  <c r="C43" i="29" s="1"/>
  <c r="AR59" i="29"/>
  <c r="AQ75" i="29"/>
  <c r="AQ91" i="29"/>
  <c r="AU91" i="29" s="1"/>
  <c r="C91" i="29" s="1"/>
  <c r="AQ97" i="29"/>
  <c r="AU97" i="29" s="1"/>
  <c r="C97" i="29" s="1"/>
  <c r="AQ112" i="29"/>
  <c r="AQ128" i="29"/>
  <c r="AR100" i="29"/>
  <c r="AQ116" i="29"/>
  <c r="AU116" i="29" s="1"/>
  <c r="C116" i="29" s="1"/>
  <c r="AR132" i="29"/>
  <c r="AQ148" i="29"/>
  <c r="AR164" i="29"/>
  <c r="AQ180" i="29"/>
  <c r="AQ196" i="29"/>
  <c r="AU196" i="29" s="1"/>
  <c r="C196" i="29" s="1"/>
  <c r="AR157" i="29"/>
  <c r="AQ173" i="29"/>
  <c r="AR189" i="29"/>
  <c r="AR204" i="29"/>
  <c r="AQ222" i="29"/>
  <c r="AU222" i="29" s="1"/>
  <c r="C222" i="29" s="1"/>
  <c r="AQ238" i="29"/>
  <c r="AU238" i="29" s="1"/>
  <c r="C238" i="29" s="1"/>
  <c r="AQ254" i="29"/>
  <c r="AR268" i="29"/>
  <c r="AQ208" i="29"/>
  <c r="AR226" i="29"/>
  <c r="AQ242" i="29"/>
  <c r="AU242" i="29" s="1"/>
  <c r="C242" i="29" s="1"/>
  <c r="AR258" i="29"/>
  <c r="AR271" i="29"/>
  <c r="AQ287" i="29"/>
  <c r="AU287" i="29" s="1"/>
  <c r="C287" i="29" s="1"/>
  <c r="AQ303" i="29"/>
  <c r="AR319" i="29"/>
  <c r="AQ273" i="29"/>
  <c r="AU273" i="29" s="1"/>
  <c r="C273" i="29" s="1"/>
  <c r="AQ289" i="29"/>
  <c r="AU289" i="29" s="1"/>
  <c r="C289" i="29" s="1"/>
  <c r="AR305" i="29"/>
  <c r="AQ321" i="29"/>
  <c r="AU321" i="29" s="1"/>
  <c r="C321" i="29" s="1"/>
  <c r="AR336" i="29"/>
  <c r="AR352" i="29"/>
  <c r="AQ367" i="29"/>
  <c r="AU367" i="29" s="1"/>
  <c r="C367" i="29" s="1"/>
  <c r="AR348" i="29"/>
  <c r="AQ364" i="29"/>
  <c r="AQ377" i="29"/>
  <c r="AQ379" i="29"/>
  <c r="AU379" i="29" s="1"/>
  <c r="C379" i="29" s="1"/>
  <c r="AR393" i="29"/>
  <c r="AR391" i="29"/>
  <c r="AQ47" i="29"/>
  <c r="AU47" i="29" s="1"/>
  <c r="C47" i="29" s="1"/>
  <c r="AR63" i="29"/>
  <c r="AR79" i="29"/>
  <c r="AR44" i="29"/>
  <c r="AQ60" i="29"/>
  <c r="AU60" i="29" s="1"/>
  <c r="C60" i="29" s="1"/>
  <c r="AR76" i="29"/>
  <c r="AQ92" i="29"/>
  <c r="AU92" i="29" s="1"/>
  <c r="C92" i="29" s="1"/>
  <c r="AQ98" i="29"/>
  <c r="AU98" i="29" s="1"/>
  <c r="C98" i="29" s="1"/>
  <c r="AQ115" i="29"/>
  <c r="AR131" i="29"/>
  <c r="AR105" i="29"/>
  <c r="AQ121" i="29"/>
  <c r="AU121" i="29" s="1"/>
  <c r="C121" i="29" s="1"/>
  <c r="AR137" i="29"/>
  <c r="AR153" i="29"/>
  <c r="AQ169" i="29"/>
  <c r="AU169" i="29" s="1"/>
  <c r="C169" i="29" s="1"/>
  <c r="AQ185" i="29"/>
  <c r="AU185" i="29" s="1"/>
  <c r="C185" i="29" s="1"/>
  <c r="AQ146" i="29"/>
  <c r="AU146" i="29" s="1"/>
  <c r="C146" i="29" s="1"/>
  <c r="AQ162" i="29"/>
  <c r="AQ178" i="29"/>
  <c r="AU178" i="29" s="1"/>
  <c r="C178" i="29" s="1"/>
  <c r="AQ194" i="29"/>
  <c r="AQ211" i="29"/>
  <c r="AQ229" i="29"/>
  <c r="AQ245" i="29"/>
  <c r="AQ261" i="29"/>
  <c r="AU261" i="29" s="1"/>
  <c r="C261" i="29" s="1"/>
  <c r="AR211" i="29"/>
  <c r="AR229" i="29"/>
  <c r="AR245" i="29"/>
  <c r="AR261" i="29"/>
  <c r="AQ276" i="29"/>
  <c r="AU276" i="29" s="1"/>
  <c r="C276" i="29" s="1"/>
  <c r="AR292" i="29"/>
  <c r="AQ308" i="29"/>
  <c r="AQ324" i="29"/>
  <c r="AU324" i="29" s="1"/>
  <c r="C324" i="29" s="1"/>
  <c r="AQ278" i="29"/>
  <c r="AU278" i="29" s="1"/>
  <c r="C278" i="29" s="1"/>
  <c r="AQ294" i="29"/>
  <c r="AU294" i="29" s="1"/>
  <c r="C294" i="29" s="1"/>
  <c r="AQ310" i="29"/>
  <c r="AU310" i="29" s="1"/>
  <c r="C310" i="29" s="1"/>
  <c r="AQ326" i="29"/>
  <c r="AU326" i="29" s="1"/>
  <c r="C326" i="29" s="1"/>
  <c r="AQ343" i="29"/>
  <c r="AU343" i="29" s="1"/>
  <c r="C343" i="29" s="1"/>
  <c r="AR360" i="29"/>
  <c r="AA23" i="14"/>
  <c r="C68" i="4"/>
  <c r="C77" i="4" s="1"/>
  <c r="I77" i="4" s="1"/>
  <c r="C46" i="4"/>
  <c r="C43" i="4"/>
  <c r="B172" i="4"/>
  <c r="G55" i="4"/>
  <c r="AF15" i="14"/>
  <c r="AE15" i="23"/>
  <c r="AE15" i="24"/>
  <c r="I57" i="4"/>
  <c r="G59" i="4"/>
  <c r="F56" i="4"/>
  <c r="G56" i="4" s="1"/>
  <c r="H58" i="4"/>
  <c r="I58" i="4" s="1"/>
  <c r="I56" i="4"/>
  <c r="G58" i="4"/>
  <c r="G54" i="4"/>
  <c r="H59" i="4"/>
  <c r="I59" i="4" s="1"/>
  <c r="H55" i="4"/>
  <c r="I55" i="4" s="1"/>
  <c r="F57" i="4"/>
  <c r="G57" i="4" s="1"/>
  <c r="H54" i="4"/>
  <c r="I54" i="4" s="1"/>
  <c r="I61" i="4"/>
  <c r="U38" i="14"/>
  <c r="T219" i="23"/>
  <c r="S37" i="23"/>
  <c r="T37" i="24"/>
  <c r="T219" i="24"/>
  <c r="T38" i="29"/>
  <c r="T220" i="29"/>
  <c r="T37" i="14"/>
  <c r="T37" i="23"/>
  <c r="S38" i="24"/>
  <c r="S220" i="24"/>
  <c r="U37" i="14"/>
  <c r="S38" i="23"/>
  <c r="T38" i="24"/>
  <c r="F60" i="4"/>
  <c r="G60" i="4" s="1"/>
  <c r="C32" i="4"/>
  <c r="B46" i="4"/>
  <c r="H46" i="4" s="1"/>
  <c r="C35" i="4"/>
  <c r="B39" i="4"/>
  <c r="F39" i="4" s="1"/>
  <c r="C42" i="4"/>
  <c r="B42" i="4"/>
  <c r="F42" i="4" s="1"/>
  <c r="B45" i="4"/>
  <c r="F45" i="4" s="1"/>
  <c r="B50" i="4"/>
  <c r="H50" i="4" s="1"/>
  <c r="E29" i="1"/>
  <c r="E35" i="1" s="1"/>
  <c r="P134" i="4"/>
  <c r="M91" i="25" s="1"/>
  <c r="F77" i="4"/>
  <c r="C47" i="4"/>
  <c r="B41" i="4"/>
  <c r="H41" i="4" s="1"/>
  <c r="C39" i="4"/>
  <c r="C48" i="4"/>
  <c r="B47" i="4"/>
  <c r="H47" i="4" s="1"/>
  <c r="C44" i="4"/>
  <c r="B36" i="4"/>
  <c r="Y56" i="4"/>
  <c r="C71" i="4"/>
  <c r="C45" i="4"/>
  <c r="B35" i="4"/>
  <c r="B48" i="4"/>
  <c r="H48" i="4" s="1"/>
  <c r="B34" i="4"/>
  <c r="H34" i="4" s="1"/>
  <c r="B10" i="4"/>
  <c r="G12" i="1" s="1"/>
  <c r="B32" i="4"/>
  <c r="B43" i="4"/>
  <c r="B38" i="4"/>
  <c r="C40" i="4"/>
  <c r="B37" i="4"/>
  <c r="C36" i="4"/>
  <c r="C41" i="4"/>
  <c r="B44" i="4"/>
  <c r="C34" i="4"/>
  <c r="C38" i="4"/>
  <c r="B40" i="4"/>
  <c r="B49" i="4"/>
  <c r="C50" i="4"/>
  <c r="F61" i="4"/>
  <c r="G61" i="4" s="1"/>
  <c r="H60" i="4"/>
  <c r="I60" i="4" s="1"/>
  <c r="F68" i="4"/>
  <c r="Y68" i="4"/>
  <c r="Y67" i="4"/>
  <c r="B167" i="4" l="1"/>
  <c r="Q168" i="4"/>
  <c r="R168" i="4" s="1"/>
  <c r="Q138" i="4"/>
  <c r="R138" i="4" s="1"/>
  <c r="Q165" i="4"/>
  <c r="R165" i="4" s="1"/>
  <c r="Q152" i="4"/>
  <c r="R152" i="4" s="1"/>
  <c r="Q155" i="4"/>
  <c r="R155" i="4" s="1"/>
  <c r="Q137" i="4"/>
  <c r="R137" i="4" s="1"/>
  <c r="AU259" i="29"/>
  <c r="C259" i="29" s="1"/>
  <c r="AU42" i="29"/>
  <c r="C42" i="29" s="1"/>
  <c r="AU270" i="29"/>
  <c r="C270" i="29" s="1"/>
  <c r="AU54" i="29"/>
  <c r="C54" i="29" s="1"/>
  <c r="AU376" i="29"/>
  <c r="C376" i="29" s="1"/>
  <c r="AU341" i="29"/>
  <c r="C341" i="29" s="1"/>
  <c r="AU142" i="29"/>
  <c r="C142" i="29" s="1"/>
  <c r="AU217" i="29"/>
  <c r="C217" i="29" s="1"/>
  <c r="AU213" i="29"/>
  <c r="C213" i="29" s="1"/>
  <c r="AU126" i="29"/>
  <c r="C126" i="29" s="1"/>
  <c r="AU203" i="29"/>
  <c r="C203" i="29" s="1"/>
  <c r="AU199" i="29"/>
  <c r="C199" i="29" s="1"/>
  <c r="AU395" i="29"/>
  <c r="C395" i="29" s="1"/>
  <c r="AU323" i="29"/>
  <c r="C323" i="29" s="1"/>
  <c r="AU303" i="29"/>
  <c r="C303" i="29" s="1"/>
  <c r="AU313" i="29"/>
  <c r="C313" i="29" s="1"/>
  <c r="AU317" i="29"/>
  <c r="C317" i="29" s="1"/>
  <c r="AU325" i="29"/>
  <c r="C325" i="29" s="1"/>
  <c r="AU285" i="29"/>
  <c r="C285" i="29" s="1"/>
  <c r="AU171" i="29"/>
  <c r="C171" i="29" s="1"/>
  <c r="AU87" i="29"/>
  <c r="C87" i="29" s="1"/>
  <c r="AU364" i="29"/>
  <c r="C364" i="29" s="1"/>
  <c r="AU75" i="29"/>
  <c r="C75" i="29" s="1"/>
  <c r="AU155" i="29"/>
  <c r="C155" i="29" s="1"/>
  <c r="AU83" i="29"/>
  <c r="C83" i="29" s="1"/>
  <c r="AU277" i="29"/>
  <c r="C277" i="29" s="1"/>
  <c r="AU308" i="29"/>
  <c r="C308" i="29" s="1"/>
  <c r="AU306" i="29"/>
  <c r="C306" i="29" s="1"/>
  <c r="AU256" i="29"/>
  <c r="C256" i="29" s="1"/>
  <c r="AU69" i="29"/>
  <c r="C69" i="29" s="1"/>
  <c r="AU314" i="29"/>
  <c r="C314" i="29" s="1"/>
  <c r="AU65" i="29"/>
  <c r="C65" i="29" s="1"/>
  <c r="AU112" i="29"/>
  <c r="C112" i="29" s="1"/>
  <c r="AU162" i="29"/>
  <c r="C162" i="29" s="1"/>
  <c r="AU394" i="29"/>
  <c r="C394" i="29" s="1"/>
  <c r="AU390" i="29"/>
  <c r="C390" i="29" s="1"/>
  <c r="AL59" i="24"/>
  <c r="AL123" i="24"/>
  <c r="AM186" i="24"/>
  <c r="AL150" i="24"/>
  <c r="AM214" i="24"/>
  <c r="AM270" i="24"/>
  <c r="AM334" i="24"/>
  <c r="AM311" i="24"/>
  <c r="AL375" i="24"/>
  <c r="AL379" i="24"/>
  <c r="AL71" i="24"/>
  <c r="AM134" i="24"/>
  <c r="AM198" i="24"/>
  <c r="AL162" i="24"/>
  <c r="AM228" i="24"/>
  <c r="AM282" i="24"/>
  <c r="AM259" i="24"/>
  <c r="AL323" i="24"/>
  <c r="AL387" i="24"/>
  <c r="AM391" i="24"/>
  <c r="AU173" i="29"/>
  <c r="C173" i="29" s="1"/>
  <c r="AU350" i="29"/>
  <c r="C350" i="29" s="1"/>
  <c r="AM67" i="24"/>
  <c r="AM130" i="24"/>
  <c r="AL194" i="24"/>
  <c r="AM158" i="24"/>
  <c r="AL224" i="24"/>
  <c r="AM278" i="24"/>
  <c r="AL255" i="24"/>
  <c r="AM319" i="24"/>
  <c r="AL383" i="24"/>
  <c r="AM387" i="24"/>
  <c r="AM79" i="24"/>
  <c r="AM142" i="24"/>
  <c r="AM206" i="24"/>
  <c r="AM170" i="24"/>
  <c r="AM236" i="24"/>
  <c r="AL290" i="24"/>
  <c r="AM267" i="24"/>
  <c r="AM331" i="24"/>
  <c r="AL395" i="24"/>
  <c r="AL399" i="24"/>
  <c r="AU194" i="29"/>
  <c r="C194" i="29" s="1"/>
  <c r="AU208" i="29"/>
  <c r="C208" i="29" s="1"/>
  <c r="AU128" i="29"/>
  <c r="C128" i="29" s="1"/>
  <c r="AU269" i="29"/>
  <c r="C269" i="29" s="1"/>
  <c r="AU335" i="29"/>
  <c r="C335" i="29" s="1"/>
  <c r="AU52" i="29"/>
  <c r="C52" i="29" s="1"/>
  <c r="AU136" i="29"/>
  <c r="C136" i="29" s="1"/>
  <c r="AM75" i="24"/>
  <c r="AL138" i="24"/>
  <c r="AL202" i="24"/>
  <c r="AL166" i="24"/>
  <c r="AM232" i="24"/>
  <c r="AM286" i="24"/>
  <c r="AM263" i="24"/>
  <c r="AL327" i="24"/>
  <c r="AL391" i="24"/>
  <c r="AM395" i="24"/>
  <c r="AM87" i="24"/>
  <c r="AM150" i="24"/>
  <c r="AL214" i="24"/>
  <c r="AL178" i="24"/>
  <c r="AM244" i="24"/>
  <c r="AM298" i="24"/>
  <c r="AL275" i="24"/>
  <c r="AM339" i="24"/>
  <c r="AL343" i="24"/>
  <c r="AL396" i="24"/>
  <c r="AL389" i="24"/>
  <c r="AM377" i="24"/>
  <c r="AL365" i="24"/>
  <c r="AL352" i="24"/>
  <c r="AL341" i="24"/>
  <c r="AM390" i="24"/>
  <c r="AM380" i="24"/>
  <c r="AM369" i="24"/>
  <c r="AM358" i="24"/>
  <c r="AM348" i="24"/>
  <c r="AL337" i="24"/>
  <c r="AM326" i="24"/>
  <c r="AL316" i="24"/>
  <c r="AM305" i="24"/>
  <c r="AL294" i="24"/>
  <c r="AM284" i="24"/>
  <c r="AL273" i="24"/>
  <c r="AL262" i="24"/>
  <c r="AL339" i="24"/>
  <c r="AL328" i="24"/>
  <c r="AL317" i="24"/>
  <c r="AL307" i="24"/>
  <c r="AL296" i="24"/>
  <c r="AL285" i="24"/>
  <c r="AM275" i="24"/>
  <c r="AL264" i="24"/>
  <c r="AL253" i="24"/>
  <c r="AM253" i="24"/>
  <c r="AM242" i="24"/>
  <c r="AL231" i="24"/>
  <c r="AL221" i="24"/>
  <c r="AL208" i="24"/>
  <c r="AM197" i="24"/>
  <c r="AM187" i="24"/>
  <c r="AL176" i="24"/>
  <c r="AL165" i="24"/>
  <c r="AM155" i="24"/>
  <c r="AM144" i="24"/>
  <c r="AL235" i="24"/>
  <c r="AL225" i="24"/>
  <c r="AL212" i="24"/>
  <c r="AL201" i="24"/>
  <c r="AM191" i="24"/>
  <c r="AL180" i="24"/>
  <c r="AL169" i="24"/>
  <c r="AM159" i="24"/>
  <c r="AM148" i="24"/>
  <c r="AM137" i="24"/>
  <c r="AL128" i="24"/>
  <c r="AM117" i="24"/>
  <c r="AL106" i="24"/>
  <c r="AM96" i="24"/>
  <c r="AM85" i="24"/>
  <c r="AL74" i="24"/>
  <c r="AM64" i="24"/>
  <c r="AM53" i="24"/>
  <c r="AM44" i="24"/>
  <c r="AM138" i="24"/>
  <c r="AM128" i="24"/>
  <c r="AM120" i="24"/>
  <c r="AL112" i="24"/>
  <c r="AM104" i="24"/>
  <c r="AL96" i="24"/>
  <c r="AM88" i="24"/>
  <c r="AL80" i="24"/>
  <c r="AL72" i="24"/>
  <c r="AL64" i="24"/>
  <c r="AM56" i="24"/>
  <c r="AM48" i="24"/>
  <c r="AL40" i="24"/>
  <c r="AL400" i="24"/>
  <c r="AL388" i="24"/>
  <c r="AM376" i="24"/>
  <c r="AM362" i="24"/>
  <c r="AM350" i="24"/>
  <c r="AM400" i="24"/>
  <c r="AM389" i="24"/>
  <c r="AM378" i="24"/>
  <c r="AL368" i="24"/>
  <c r="AL357" i="24"/>
  <c r="AM346" i="24"/>
  <c r="AM336" i="24"/>
  <c r="AL325" i="24"/>
  <c r="AL314" i="24"/>
  <c r="AM304" i="24"/>
  <c r="AM293" i="24"/>
  <c r="AL282" i="24"/>
  <c r="AL272" i="24"/>
  <c r="AL261" i="24"/>
  <c r="AM337" i="24"/>
  <c r="AM327" i="24"/>
  <c r="AM316" i="24"/>
  <c r="AL305" i="24"/>
  <c r="AL295" i="24"/>
  <c r="AL284" i="24"/>
  <c r="AM273" i="24"/>
  <c r="AL263" i="24"/>
  <c r="AM252" i="24"/>
  <c r="AM251" i="24"/>
  <c r="AM241" i="24"/>
  <c r="AM230" i="24"/>
  <c r="AM217" i="24"/>
  <c r="AL207" i="24"/>
  <c r="AM196" i="24"/>
  <c r="AM185" i="24"/>
  <c r="AL175" i="24"/>
  <c r="AM164" i="24"/>
  <c r="AL153" i="24"/>
  <c r="AM143" i="24"/>
  <c r="AL234" i="24"/>
  <c r="AM223" i="24"/>
  <c r="AL211" i="24"/>
  <c r="AL200" i="24"/>
  <c r="AM189" i="24"/>
  <c r="AM179" i="24"/>
  <c r="AL168" i="24"/>
  <c r="AM157" i="24"/>
  <c r="AM147" i="24"/>
  <c r="AL136" i="24"/>
  <c r="AM126" i="24"/>
  <c r="AL116" i="24"/>
  <c r="AM105" i="24"/>
  <c r="AM94" i="24"/>
  <c r="AM84" i="24"/>
  <c r="AL73" i="24"/>
  <c r="AM62" i="24"/>
  <c r="AL52" i="24"/>
  <c r="AL43" i="24"/>
  <c r="AL137" i="24"/>
  <c r="AM127" i="24"/>
  <c r="AM119" i="24"/>
  <c r="AM111" i="24"/>
  <c r="AM103" i="24"/>
  <c r="AL95" i="24"/>
  <c r="AL87" i="24"/>
  <c r="AL79" i="24"/>
  <c r="AM71" i="24"/>
  <c r="AM63" i="24"/>
  <c r="AL55" i="24"/>
  <c r="AM47" i="24"/>
  <c r="AL39" i="24"/>
  <c r="AL398" i="24"/>
  <c r="AM386" i="24"/>
  <c r="AL373" i="24"/>
  <c r="AM361" i="24"/>
  <c r="AL349" i="24"/>
  <c r="AM398" i="24"/>
  <c r="AM388" i="24"/>
  <c r="AL377" i="24"/>
  <c r="AL366" i="24"/>
  <c r="AM356" i="24"/>
  <c r="AL345" i="24"/>
  <c r="AL334" i="24"/>
  <c r="AM324" i="24"/>
  <c r="AL313" i="24"/>
  <c r="AM302" i="24"/>
  <c r="AM292" i="24"/>
  <c r="AL281" i="24"/>
  <c r="AL270" i="24"/>
  <c r="AM260" i="24"/>
  <c r="AL336" i="24"/>
  <c r="AM325" i="24"/>
  <c r="AL315" i="24"/>
  <c r="AL304" i="24"/>
  <c r="AL293" i="24"/>
  <c r="AM283" i="24"/>
  <c r="AM272" i="24"/>
  <c r="AM261" i="24"/>
  <c r="AL251" i="24"/>
  <c r="AL250" i="24"/>
  <c r="AL239" i="24"/>
  <c r="AL229" i="24"/>
  <c r="AM216" i="24"/>
  <c r="AL205" i="24"/>
  <c r="AL195" i="24"/>
  <c r="AL184" i="24"/>
  <c r="AM173" i="24"/>
  <c r="AL163" i="24"/>
  <c r="AM152" i="24"/>
  <c r="AL243" i="24"/>
  <c r="AM233" i="24"/>
  <c r="AM222" i="24"/>
  <c r="AL209" i="24"/>
  <c r="AM199" i="24"/>
  <c r="AM188" i="24"/>
  <c r="AL177" i="24"/>
  <c r="AM167" i="24"/>
  <c r="AM156" i="24"/>
  <c r="AL145" i="24"/>
  <c r="AM135" i="24"/>
  <c r="AL125" i="24"/>
  <c r="AM114" i="24"/>
  <c r="AL104" i="24"/>
  <c r="AM93" i="24"/>
  <c r="AL82" i="24"/>
  <c r="AM72" i="24"/>
  <c r="AL61" i="24"/>
  <c r="AL51" i="24"/>
  <c r="AL42" i="24"/>
  <c r="AM136" i="24"/>
  <c r="AL126" i="24"/>
  <c r="AM118" i="24"/>
  <c r="AM110" i="24"/>
  <c r="AL102" i="24"/>
  <c r="AL94" i="24"/>
  <c r="AM86" i="24"/>
  <c r="AL78" i="24"/>
  <c r="AL70" i="24"/>
  <c r="AL62" i="24"/>
  <c r="AM54" i="24"/>
  <c r="AL46" i="24"/>
  <c r="AL397" i="24"/>
  <c r="AM384" i="24"/>
  <c r="AM372" i="24"/>
  <c r="AM360" i="24"/>
  <c r="AL348" i="24"/>
  <c r="AM397" i="24"/>
  <c r="AL386" i="24"/>
  <c r="AL376" i="24"/>
  <c r="AM365" i="24"/>
  <c r="AM354" i="24"/>
  <c r="AM344" i="24"/>
  <c r="AL333" i="24"/>
  <c r="AL322" i="24"/>
  <c r="AM312" i="24"/>
  <c r="AL301" i="24"/>
  <c r="AM290" i="24"/>
  <c r="AM280" i="24"/>
  <c r="AL269" i="24"/>
  <c r="AM258" i="24"/>
  <c r="AL335" i="24"/>
  <c r="AL324" i="24"/>
  <c r="AM313" i="24"/>
  <c r="AL303" i="24"/>
  <c r="AL292" i="24"/>
  <c r="AM281" i="24"/>
  <c r="AM271" i="24"/>
  <c r="AL260" i="24"/>
  <c r="AM249" i="24"/>
  <c r="AL249" i="24"/>
  <c r="AL238" i="24"/>
  <c r="AM227" i="24"/>
  <c r="AM215" i="24"/>
  <c r="AL204" i="24"/>
  <c r="AM193" i="24"/>
  <c r="AM183" i="24"/>
  <c r="AM172" i="24"/>
  <c r="AL161" i="24"/>
  <c r="AL151" i="24"/>
  <c r="AL242" i="24"/>
  <c r="AM231" i="24"/>
  <c r="AM221" i="24"/>
  <c r="AM208" i="24"/>
  <c r="AL197" i="24"/>
  <c r="AL187" i="24"/>
  <c r="AM176" i="24"/>
  <c r="AM165" i="24"/>
  <c r="AL155" i="24"/>
  <c r="AL144" i="24"/>
  <c r="AM133" i="24"/>
  <c r="AL124" i="24"/>
  <c r="AL113" i="24"/>
  <c r="AM102" i="24"/>
  <c r="AL92" i="24"/>
  <c r="AM81" i="24"/>
  <c r="AM70" i="24"/>
  <c r="AM60" i="24"/>
  <c r="AL50" i="24"/>
  <c r="AM41" i="24"/>
  <c r="AL135" i="24"/>
  <c r="AM125" i="24"/>
  <c r="AL117" i="24"/>
  <c r="AM109" i="24"/>
  <c r="AL101" i="24"/>
  <c r="AL93" i="24"/>
  <c r="AL85" i="24"/>
  <c r="AL77" i="24"/>
  <c r="AL69" i="24"/>
  <c r="AM61" i="24"/>
  <c r="AL53" i="24"/>
  <c r="AL45" i="24"/>
  <c r="AL394" i="24"/>
  <c r="AM382" i="24"/>
  <c r="AM370" i="24"/>
  <c r="AL358" i="24"/>
  <c r="AL346" i="24"/>
  <c r="AM396" i="24"/>
  <c r="AL385" i="24"/>
  <c r="AM374" i="24"/>
  <c r="AL364" i="24"/>
  <c r="AL353" i="24"/>
  <c r="AM342" i="24"/>
  <c r="AL332" i="24"/>
  <c r="AM321" i="24"/>
  <c r="AM310" i="24"/>
  <c r="AM300" i="24"/>
  <c r="AL289" i="24"/>
  <c r="AL278" i="24"/>
  <c r="AM268" i="24"/>
  <c r="AM257" i="24"/>
  <c r="AM333" i="24"/>
  <c r="AM323" i="24"/>
  <c r="AL312" i="24"/>
  <c r="AM301" i="24"/>
  <c r="AM291" i="24"/>
  <c r="AL280" i="24"/>
  <c r="AM269" i="24"/>
  <c r="AL259" i="24"/>
  <c r="AM248" i="24"/>
  <c r="AM247" i="24"/>
  <c r="AM237" i="24"/>
  <c r="AL226" i="24"/>
  <c r="AM213" i="24"/>
  <c r="AL203" i="24"/>
  <c r="AM192" i="24"/>
  <c r="AL181" i="24"/>
  <c r="AL171" i="24"/>
  <c r="AL160" i="24"/>
  <c r="AL149" i="24"/>
  <c r="AL241" i="24"/>
  <c r="AL230" i="24"/>
  <c r="AL217" i="24"/>
  <c r="AM207" i="24"/>
  <c r="AL196" i="24"/>
  <c r="AL185" i="24"/>
  <c r="AM175" i="24"/>
  <c r="AL164" i="24"/>
  <c r="AM153" i="24"/>
  <c r="AL143" i="24"/>
  <c r="AL132" i="24"/>
  <c r="AL122" i="24"/>
  <c r="AM112" i="24"/>
  <c r="AM101" i="24"/>
  <c r="AL90" i="24"/>
  <c r="AM80" i="24"/>
  <c r="AM69" i="24"/>
  <c r="AL58" i="24"/>
  <c r="AL49" i="24"/>
  <c r="AM40" i="24"/>
  <c r="AL133" i="24"/>
  <c r="AM124" i="24"/>
  <c r="AM116" i="24"/>
  <c r="AM108" i="24"/>
  <c r="AL100" i="24"/>
  <c r="AM92" i="24"/>
  <c r="AL84" i="24"/>
  <c r="AM76" i="24"/>
  <c r="AL68" i="24"/>
  <c r="AL60" i="24"/>
  <c r="AM52" i="24"/>
  <c r="AL44" i="24"/>
  <c r="AM393" i="24"/>
  <c r="AM381" i="24"/>
  <c r="AL369" i="24"/>
  <c r="AM357" i="24"/>
  <c r="AM345" i="24"/>
  <c r="AM394" i="24"/>
  <c r="AL384" i="24"/>
  <c r="AM373" i="24"/>
  <c r="AL362" i="24"/>
  <c r="AM352" i="24"/>
  <c r="AM341" i="24"/>
  <c r="AM330" i="24"/>
  <c r="AM320" i="24"/>
  <c r="AM309" i="24"/>
  <c r="AL298" i="24"/>
  <c r="AM288" i="24"/>
  <c r="AL277" i="24"/>
  <c r="AL266" i="24"/>
  <c r="AL256" i="24"/>
  <c r="AM332" i="24"/>
  <c r="AL321" i="24"/>
  <c r="AL311" i="24"/>
  <c r="AL300" i="24"/>
  <c r="AM289" i="24"/>
  <c r="AL279" i="24"/>
  <c r="AL268" i="24"/>
  <c r="AL257" i="24"/>
  <c r="AL247" i="24"/>
  <c r="AM246" i="24"/>
  <c r="AM235" i="24"/>
  <c r="AM225" i="24"/>
  <c r="AM212" i="24"/>
  <c r="AM201" i="24"/>
  <c r="AL191" i="24"/>
  <c r="AM180" i="24"/>
  <c r="AM169" i="24"/>
  <c r="AL159" i="24"/>
  <c r="AL148" i="24"/>
  <c r="AM239" i="24"/>
  <c r="AM229" i="24"/>
  <c r="AL216" i="24"/>
  <c r="AM205" i="24"/>
  <c r="AM195" i="24"/>
  <c r="AM184" i="24"/>
  <c r="AL173" i="24"/>
  <c r="AM163" i="24"/>
  <c r="AL152" i="24"/>
  <c r="AL141" i="24"/>
  <c r="AL131" i="24"/>
  <c r="AL121" i="24"/>
  <c r="AL110" i="24"/>
  <c r="AM100" i="24"/>
  <c r="AM89" i="24"/>
  <c r="AM78" i="24"/>
  <c r="AM68" i="24"/>
  <c r="AM57" i="24"/>
  <c r="AL48" i="24"/>
  <c r="AM141" i="24"/>
  <c r="AM132" i="24"/>
  <c r="AM123" i="24"/>
  <c r="AL115" i="24"/>
  <c r="AL107" i="24"/>
  <c r="AM99" i="24"/>
  <c r="AL91" i="24"/>
  <c r="AM83" i="24"/>
  <c r="AL75" i="24"/>
  <c r="AL67" i="24"/>
  <c r="AM59" i="24"/>
  <c r="AM51" i="24"/>
  <c r="AM43" i="24"/>
  <c r="AL392" i="24"/>
  <c r="AL380" i="24"/>
  <c r="AM368" i="24"/>
  <c r="AL356" i="24"/>
  <c r="AL344" i="24"/>
  <c r="AL393" i="24"/>
  <c r="AL382" i="24"/>
  <c r="AL372" i="24"/>
  <c r="AL361" i="24"/>
  <c r="AL350" i="24"/>
  <c r="AL340" i="24"/>
  <c r="AM329" i="24"/>
  <c r="AL318" i="24"/>
  <c r="AM308" i="24"/>
  <c r="AL297" i="24"/>
  <c r="AL286" i="24"/>
  <c r="AM276" i="24"/>
  <c r="AL265" i="24"/>
  <c r="AM254" i="24"/>
  <c r="AL331" i="24"/>
  <c r="AL320" i="24"/>
  <c r="AL309" i="24"/>
  <c r="AM299" i="24"/>
  <c r="AL288" i="24"/>
  <c r="AM277" i="24"/>
  <c r="AL267" i="24"/>
  <c r="AM256" i="24"/>
  <c r="AL245" i="24"/>
  <c r="AM245" i="24"/>
  <c r="AM234" i="24"/>
  <c r="AL223" i="24"/>
  <c r="AM211" i="24"/>
  <c r="AM200" i="24"/>
  <c r="AL189" i="24"/>
  <c r="AL179" i="24"/>
  <c r="AM168" i="24"/>
  <c r="AL157" i="24"/>
  <c r="AL147" i="24"/>
  <c r="AM238" i="24"/>
  <c r="AL227" i="24"/>
  <c r="AL215" i="24"/>
  <c r="AM204" i="24"/>
  <c r="AL193" i="24"/>
  <c r="AL183" i="24"/>
  <c r="AL172" i="24"/>
  <c r="AM161" i="24"/>
  <c r="AM151" i="24"/>
  <c r="AL140" i="24"/>
  <c r="AM129" i="24"/>
  <c r="AL120" i="24"/>
  <c r="AL109" i="24"/>
  <c r="AM98" i="24"/>
  <c r="AL88" i="24"/>
  <c r="AM77" i="24"/>
  <c r="AM66" i="24"/>
  <c r="AL56" i="24"/>
  <c r="AM46" i="24"/>
  <c r="AM140" i="24"/>
  <c r="AM131" i="24"/>
  <c r="AM122" i="24"/>
  <c r="AL114" i="24"/>
  <c r="AM106" i="24"/>
  <c r="AL98" i="24"/>
  <c r="AM90" i="24"/>
  <c r="AM82" i="24"/>
  <c r="AM74" i="24"/>
  <c r="AL66" i="24"/>
  <c r="AM58" i="24"/>
  <c r="AM50" i="24"/>
  <c r="AM42" i="24"/>
  <c r="AL370" i="24"/>
  <c r="AM285" i="24"/>
  <c r="AM287" i="24"/>
  <c r="AM209" i="24"/>
  <c r="AM226" i="24"/>
  <c r="AM139" i="24"/>
  <c r="AL54" i="24"/>
  <c r="AL89" i="24"/>
  <c r="AL390" i="24"/>
  <c r="AL360" i="24"/>
  <c r="AL274" i="24"/>
  <c r="AL276" i="24"/>
  <c r="AL199" i="24"/>
  <c r="AL213" i="24"/>
  <c r="AL129" i="24"/>
  <c r="AM45" i="24"/>
  <c r="AL81" i="24"/>
  <c r="AL378" i="24"/>
  <c r="AM349" i="24"/>
  <c r="AM264" i="24"/>
  <c r="AM265" i="24"/>
  <c r="AL188" i="24"/>
  <c r="AM203" i="24"/>
  <c r="AL118" i="24"/>
  <c r="AL139" i="24"/>
  <c r="AM73" i="24"/>
  <c r="AM366" i="24"/>
  <c r="AM338" i="24"/>
  <c r="AM340" i="24"/>
  <c r="AM255" i="24"/>
  <c r="AM177" i="24"/>
  <c r="AL192" i="24"/>
  <c r="AL108" i="24"/>
  <c r="AL130" i="24"/>
  <c r="AM65" i="24"/>
  <c r="AL354" i="24"/>
  <c r="AM328" i="24"/>
  <c r="AL329" i="24"/>
  <c r="AL244" i="24"/>
  <c r="AL167" i="24"/>
  <c r="AM181" i="24"/>
  <c r="AL97" i="24"/>
  <c r="AM121" i="24"/>
  <c r="AL57" i="24"/>
  <c r="AL308" i="24"/>
  <c r="AM171" i="24"/>
  <c r="AM97" i="24"/>
  <c r="AL342" i="24"/>
  <c r="AM297" i="24"/>
  <c r="AM160" i="24"/>
  <c r="AM49" i="24"/>
  <c r="AM392" i="24"/>
  <c r="AM243" i="24"/>
  <c r="AM149" i="24"/>
  <c r="AL41" i="24"/>
  <c r="AL381" i="24"/>
  <c r="AL233" i="24"/>
  <c r="AL86" i="24"/>
  <c r="AM317" i="24"/>
  <c r="AL222" i="24"/>
  <c r="AL76" i="24"/>
  <c r="AL306" i="24"/>
  <c r="AL156" i="24"/>
  <c r="AL65" i="24"/>
  <c r="AM296" i="24"/>
  <c r="AM145" i="24"/>
  <c r="AM113" i="24"/>
  <c r="AL319" i="24"/>
  <c r="AL237" i="24"/>
  <c r="AL105" i="24"/>
  <c r="AU202" i="29"/>
  <c r="C202" i="29" s="1"/>
  <c r="AU241" i="29"/>
  <c r="C241" i="29" s="1"/>
  <c r="AU255" i="29"/>
  <c r="C255" i="29" s="1"/>
  <c r="AU253" i="29"/>
  <c r="C253" i="29" s="1"/>
  <c r="AU251" i="29"/>
  <c r="C251" i="29" s="1"/>
  <c r="AL83" i="24"/>
  <c r="AL146" i="24"/>
  <c r="AL210" i="24"/>
  <c r="AL174" i="24"/>
  <c r="AM240" i="24"/>
  <c r="AM294" i="24"/>
  <c r="AL271" i="24"/>
  <c r="AM335" i="24"/>
  <c r="AM399" i="24"/>
  <c r="AL134" i="24"/>
  <c r="AM95" i="24"/>
  <c r="AL158" i="24"/>
  <c r="AM224" i="24"/>
  <c r="AL186" i="24"/>
  <c r="AL252" i="24"/>
  <c r="AM306" i="24"/>
  <c r="AL283" i="24"/>
  <c r="AL347" i="24"/>
  <c r="AL351" i="24"/>
  <c r="AL374" i="24"/>
  <c r="AQ400" i="24"/>
  <c r="AU392" i="29"/>
  <c r="C392" i="29" s="1"/>
  <c r="AU254" i="29"/>
  <c r="C254" i="29" s="1"/>
  <c r="AU180" i="29"/>
  <c r="C180" i="29" s="1"/>
  <c r="AU262" i="29"/>
  <c r="C262" i="29" s="1"/>
  <c r="AU159" i="29"/>
  <c r="C159" i="29" s="1"/>
  <c r="AU384" i="29"/>
  <c r="C384" i="29" s="1"/>
  <c r="AM91" i="24"/>
  <c r="AL154" i="24"/>
  <c r="AM218" i="24"/>
  <c r="AM182" i="24"/>
  <c r="AL248" i="24"/>
  <c r="AL302" i="24"/>
  <c r="AM279" i="24"/>
  <c r="AM343" i="24"/>
  <c r="AM347" i="24"/>
  <c r="AM39" i="24"/>
  <c r="AL103" i="24"/>
  <c r="AM166" i="24"/>
  <c r="AL232" i="24"/>
  <c r="AM194" i="24"/>
  <c r="AM250" i="24"/>
  <c r="AM314" i="24"/>
  <c r="AL291" i="24"/>
  <c r="AL355" i="24"/>
  <c r="AL359" i="24"/>
  <c r="AM364" i="24"/>
  <c r="AQ53" i="24"/>
  <c r="AU53" i="24" s="1"/>
  <c r="C53" i="24" s="1"/>
  <c r="AQ69" i="24"/>
  <c r="AQ85" i="24"/>
  <c r="AQ101" i="24"/>
  <c r="AQ117" i="24"/>
  <c r="AQ133" i="24"/>
  <c r="AR46" i="24"/>
  <c r="AQ39" i="24"/>
  <c r="AQ55" i="24"/>
  <c r="AR71" i="24"/>
  <c r="AQ87" i="24"/>
  <c r="AR103" i="24"/>
  <c r="AR119" i="24"/>
  <c r="AQ135" i="24"/>
  <c r="AQ48" i="24"/>
  <c r="AQ41" i="24"/>
  <c r="AQ57" i="24"/>
  <c r="AR73" i="24"/>
  <c r="AQ89" i="24"/>
  <c r="AQ105" i="24"/>
  <c r="AR121" i="24"/>
  <c r="AQ137" i="24"/>
  <c r="AQ50" i="24"/>
  <c r="AR43" i="24"/>
  <c r="AR59" i="24"/>
  <c r="AQ75" i="24"/>
  <c r="AQ91" i="24"/>
  <c r="AQ107" i="24"/>
  <c r="AR123" i="24"/>
  <c r="AQ139" i="24"/>
  <c r="AQ52" i="24"/>
  <c r="AQ45" i="24"/>
  <c r="AR61" i="24"/>
  <c r="AQ77" i="24"/>
  <c r="AQ93" i="24"/>
  <c r="AR109" i="24"/>
  <c r="AR125" i="24"/>
  <c r="AR141" i="24"/>
  <c r="AQ54" i="24"/>
  <c r="AR49" i="24"/>
  <c r="AQ67" i="24"/>
  <c r="AR113" i="24"/>
  <c r="AQ56" i="24"/>
  <c r="AR72" i="24"/>
  <c r="AQ88" i="24"/>
  <c r="AQ104" i="24"/>
  <c r="AQ120" i="24"/>
  <c r="AQ136" i="24"/>
  <c r="AQ152" i="24"/>
  <c r="AU152" i="24" s="1"/>
  <c r="C152" i="24" s="1"/>
  <c r="AQ168" i="24"/>
  <c r="AR184" i="24"/>
  <c r="AQ200" i="24"/>
  <c r="AQ216" i="24"/>
  <c r="AQ234" i="24"/>
  <c r="AQ148" i="24"/>
  <c r="AR164" i="24"/>
  <c r="AR180" i="24"/>
  <c r="AR196" i="24"/>
  <c r="AR212" i="24"/>
  <c r="AR230" i="24"/>
  <c r="AR246" i="24"/>
  <c r="AR252" i="24"/>
  <c r="AQ268" i="24"/>
  <c r="AQ284" i="24"/>
  <c r="AQ300" i="24"/>
  <c r="AR316" i="24"/>
  <c r="AR332" i="24"/>
  <c r="AQ261" i="24"/>
  <c r="AQ277" i="24"/>
  <c r="AR293" i="24"/>
  <c r="AR309" i="24"/>
  <c r="AQ325" i="24"/>
  <c r="AR341" i="24"/>
  <c r="AQ357" i="24"/>
  <c r="AR373" i="24"/>
  <c r="AR389" i="24"/>
  <c r="AR345" i="24"/>
  <c r="AR361" i="24"/>
  <c r="AR377" i="24"/>
  <c r="AR393" i="24"/>
  <c r="AQ44" i="24"/>
  <c r="AQ60" i="24"/>
  <c r="AR76" i="24"/>
  <c r="AR92" i="24"/>
  <c r="AR108" i="24"/>
  <c r="AR124" i="24"/>
  <c r="AR140" i="24"/>
  <c r="AR53" i="24"/>
  <c r="AR69" i="24"/>
  <c r="AR85" i="24"/>
  <c r="AR101" i="24"/>
  <c r="AR117" i="24"/>
  <c r="AR133" i="24"/>
  <c r="AR149" i="24"/>
  <c r="AR165" i="24"/>
  <c r="AR181" i="24"/>
  <c r="AQ197" i="24"/>
  <c r="AU197" i="24" s="1"/>
  <c r="C197" i="24" s="1"/>
  <c r="AQ213" i="24"/>
  <c r="AR231" i="24"/>
  <c r="AR145" i="24"/>
  <c r="AQ161" i="24"/>
  <c r="AR177" i="24"/>
  <c r="AR193" i="24"/>
  <c r="AR209" i="24"/>
  <c r="AR227" i="24"/>
  <c r="AR243" i="24"/>
  <c r="AR249" i="24"/>
  <c r="AR265" i="24"/>
  <c r="AR281" i="24"/>
  <c r="AR297" i="24"/>
  <c r="AR313" i="24"/>
  <c r="AQ329" i="24"/>
  <c r="AR258" i="24"/>
  <c r="AQ274" i="24"/>
  <c r="AR290" i="24"/>
  <c r="AQ306" i="24"/>
  <c r="AQ322" i="24"/>
  <c r="AQ79" i="24"/>
  <c r="AQ115" i="24"/>
  <c r="AQ58" i="24"/>
  <c r="AQ74" i="24"/>
  <c r="AU74" i="24" s="1"/>
  <c r="C74" i="24" s="1"/>
  <c r="AQ90" i="24"/>
  <c r="AQ106" i="24"/>
  <c r="AQ122" i="24"/>
  <c r="AQ138" i="24"/>
  <c r="AQ154" i="24"/>
  <c r="AQ170" i="24"/>
  <c r="AR186" i="24"/>
  <c r="AQ202" i="24"/>
  <c r="AR218" i="24"/>
  <c r="AQ236" i="24"/>
  <c r="AQ150" i="24"/>
  <c r="AQ166" i="24"/>
  <c r="AU166" i="24" s="1"/>
  <c r="C166" i="24" s="1"/>
  <c r="AR182" i="24"/>
  <c r="AQ198" i="24"/>
  <c r="AR214" i="24"/>
  <c r="AR232" i="24"/>
  <c r="AQ248" i="24"/>
  <c r="AQ254" i="24"/>
  <c r="AR270" i="24"/>
  <c r="AR286" i="24"/>
  <c r="AQ302" i="24"/>
  <c r="AR318" i="24"/>
  <c r="AR334" i="24"/>
  <c r="AR263" i="24"/>
  <c r="AR279" i="24"/>
  <c r="AR295" i="24"/>
  <c r="AR311" i="24"/>
  <c r="AQ327" i="24"/>
  <c r="AR343" i="24"/>
  <c r="AR359" i="24"/>
  <c r="AQ375" i="24"/>
  <c r="AQ391" i="24"/>
  <c r="AR347" i="24"/>
  <c r="AR363" i="24"/>
  <c r="AQ379" i="24"/>
  <c r="AR395" i="24"/>
  <c r="AQ46" i="24"/>
  <c r="AU46" i="24" s="1"/>
  <c r="C46" i="24" s="1"/>
  <c r="AQ62" i="24"/>
  <c r="AQ78" i="24"/>
  <c r="AQ94" i="24"/>
  <c r="AR110" i="24"/>
  <c r="AQ126" i="24"/>
  <c r="AR39" i="24"/>
  <c r="AR55" i="24"/>
  <c r="AQ71" i="24"/>
  <c r="AU71" i="24" s="1"/>
  <c r="C71" i="24" s="1"/>
  <c r="AR87" i="24"/>
  <c r="AQ103" i="24"/>
  <c r="AU103" i="24" s="1"/>
  <c r="C103" i="24" s="1"/>
  <c r="AQ119" i="24"/>
  <c r="AU119" i="24" s="1"/>
  <c r="C119" i="24" s="1"/>
  <c r="AR135" i="24"/>
  <c r="AR151" i="24"/>
  <c r="AR167" i="24"/>
  <c r="AQ183" i="24"/>
  <c r="AR199" i="24"/>
  <c r="AQ215" i="24"/>
  <c r="AR233" i="24"/>
  <c r="AQ147" i="24"/>
  <c r="AQ163" i="24"/>
  <c r="AQ179" i="24"/>
  <c r="AQ195" i="24"/>
  <c r="AR211" i="24"/>
  <c r="AQ229" i="24"/>
  <c r="AR245" i="24"/>
  <c r="AQ251" i="24"/>
  <c r="AQ267" i="24"/>
  <c r="AR283" i="24"/>
  <c r="AR299" i="24"/>
  <c r="AQ315" i="24"/>
  <c r="AQ331" i="24"/>
  <c r="AR260" i="24"/>
  <c r="AR276" i="24"/>
  <c r="AR292" i="24"/>
  <c r="AR308" i="24"/>
  <c r="AU308" i="24" s="1"/>
  <c r="C308" i="24" s="1"/>
  <c r="AR83" i="24"/>
  <c r="AQ129" i="24"/>
  <c r="AR62" i="24"/>
  <c r="AR78" i="24"/>
  <c r="AR94" i="24"/>
  <c r="AQ110" i="24"/>
  <c r="AU110" i="24" s="1"/>
  <c r="C110" i="24" s="1"/>
  <c r="AR126" i="24"/>
  <c r="AR142" i="24"/>
  <c r="AQ158" i="24"/>
  <c r="AR174" i="24"/>
  <c r="AR190" i="24"/>
  <c r="AR206" i="24"/>
  <c r="AR224" i="24"/>
  <c r="AQ240" i="24"/>
  <c r="AR154" i="24"/>
  <c r="AR170" i="24"/>
  <c r="AQ186" i="24"/>
  <c r="AU186" i="24" s="1"/>
  <c r="C186" i="24" s="1"/>
  <c r="AR202" i="24"/>
  <c r="AQ218" i="24"/>
  <c r="AU218" i="24" s="1"/>
  <c r="C218" i="24" s="1"/>
  <c r="AR236" i="24"/>
  <c r="AQ252" i="24"/>
  <c r="AQ258" i="24"/>
  <c r="AU258" i="24" s="1"/>
  <c r="C258" i="24" s="1"/>
  <c r="AR274" i="24"/>
  <c r="AQ290" i="24"/>
  <c r="AU290" i="24" s="1"/>
  <c r="C290" i="24" s="1"/>
  <c r="AR306" i="24"/>
  <c r="AR322" i="24"/>
  <c r="AQ338" i="24"/>
  <c r="AR267" i="24"/>
  <c r="AQ283" i="24"/>
  <c r="AU283" i="24" s="1"/>
  <c r="C283" i="24" s="1"/>
  <c r="AQ299" i="24"/>
  <c r="AU299" i="24" s="1"/>
  <c r="C299" i="24" s="1"/>
  <c r="AR315" i="24"/>
  <c r="AR331" i="24"/>
  <c r="AQ347" i="24"/>
  <c r="AU347" i="24" s="1"/>
  <c r="C347" i="24" s="1"/>
  <c r="AQ363" i="24"/>
  <c r="AU363" i="24" s="1"/>
  <c r="C363" i="24" s="1"/>
  <c r="AR379" i="24"/>
  <c r="AQ395" i="24"/>
  <c r="AU395" i="24" s="1"/>
  <c r="C395" i="24" s="1"/>
  <c r="AQ351" i="24"/>
  <c r="AR367" i="24"/>
  <c r="AR383" i="24"/>
  <c r="AQ399" i="24"/>
  <c r="AR50" i="24"/>
  <c r="AQ66" i="24"/>
  <c r="AR82" i="24"/>
  <c r="AQ98" i="24"/>
  <c r="AQ114" i="24"/>
  <c r="AQ130" i="24"/>
  <c r="AQ43" i="24"/>
  <c r="AU43" i="24" s="1"/>
  <c r="C43" i="24" s="1"/>
  <c r="AQ59" i="24"/>
  <c r="AU59" i="24" s="1"/>
  <c r="C59" i="24" s="1"/>
  <c r="AR75" i="24"/>
  <c r="AR91" i="24"/>
  <c r="AR107" i="24"/>
  <c r="AQ123" i="24"/>
  <c r="AR139" i="24"/>
  <c r="AQ155" i="24"/>
  <c r="AR171" i="24"/>
  <c r="AQ187" i="24"/>
  <c r="AR203" i="24"/>
  <c r="AR221" i="24"/>
  <c r="AQ237" i="24"/>
  <c r="AQ151" i="24"/>
  <c r="AQ167" i="24"/>
  <c r="AR183" i="24"/>
  <c r="AQ199" i="24"/>
  <c r="AU199" i="24" s="1"/>
  <c r="C199" i="24" s="1"/>
  <c r="AR215" i="24"/>
  <c r="AQ233" i="24"/>
  <c r="AU233" i="24" s="1"/>
  <c r="C233" i="24" s="1"/>
  <c r="AQ249" i="24"/>
  <c r="AR255" i="24"/>
  <c r="AR271" i="24"/>
  <c r="AR287" i="24"/>
  <c r="AQ303" i="24"/>
  <c r="AQ319" i="24"/>
  <c r="AQ335" i="24"/>
  <c r="AU335" i="24" s="1"/>
  <c r="C335" i="24" s="1"/>
  <c r="AR264" i="24"/>
  <c r="AR280" i="24"/>
  <c r="AR296" i="24"/>
  <c r="AR312" i="24"/>
  <c r="AR47" i="24"/>
  <c r="AQ95" i="24"/>
  <c r="AR131" i="24"/>
  <c r="AR64" i="24"/>
  <c r="AR80" i="24"/>
  <c r="AR96" i="24"/>
  <c r="AR112" i="24"/>
  <c r="AQ128" i="24"/>
  <c r="AU128" i="24" s="1"/>
  <c r="C128" i="24" s="1"/>
  <c r="AQ144" i="24"/>
  <c r="AR160" i="24"/>
  <c r="AR176" i="24"/>
  <c r="AQ192" i="24"/>
  <c r="AR208" i="24"/>
  <c r="AR226" i="24"/>
  <c r="AQ242" i="24"/>
  <c r="AQ156" i="24"/>
  <c r="AR172" i="24"/>
  <c r="AQ188" i="24"/>
  <c r="AQ204" i="24"/>
  <c r="AQ222" i="24"/>
  <c r="AU222" i="24" s="1"/>
  <c r="C222" i="24" s="1"/>
  <c r="AQ238" i="24"/>
  <c r="AQ244" i="24"/>
  <c r="AQ260" i="24"/>
  <c r="AU260" i="24" s="1"/>
  <c r="C260" i="24" s="1"/>
  <c r="AQ276" i="24"/>
  <c r="AU276" i="24" s="1"/>
  <c r="C276" i="24" s="1"/>
  <c r="AQ292" i="24"/>
  <c r="AU292" i="24" s="1"/>
  <c r="C292" i="24" s="1"/>
  <c r="AQ308" i="24"/>
  <c r="AQ324" i="24"/>
  <c r="AR340" i="24"/>
  <c r="AQ269" i="24"/>
  <c r="AR285" i="24"/>
  <c r="AQ301" i="24"/>
  <c r="AR317" i="24"/>
  <c r="AQ333" i="24"/>
  <c r="AR349" i="24"/>
  <c r="AR365" i="24"/>
  <c r="AQ381" i="24"/>
  <c r="AR397" i="24"/>
  <c r="AR353" i="24"/>
  <c r="AQ369" i="24"/>
  <c r="AR385" i="24"/>
  <c r="AR52" i="24"/>
  <c r="AQ68" i="24"/>
  <c r="AQ84" i="24"/>
  <c r="AQ100" i="24"/>
  <c r="AU100" i="24" s="1"/>
  <c r="C100" i="24" s="1"/>
  <c r="AR116" i="24"/>
  <c r="AR132" i="24"/>
  <c r="AR45" i="24"/>
  <c r="AQ61" i="24"/>
  <c r="AU61" i="24" s="1"/>
  <c r="C61" i="24" s="1"/>
  <c r="AR77" i="24"/>
  <c r="AR93" i="24"/>
  <c r="AQ109" i="24"/>
  <c r="AU109" i="24" s="1"/>
  <c r="C109" i="24" s="1"/>
  <c r="AQ125" i="24"/>
  <c r="AQ141" i="24"/>
  <c r="AU141" i="24" s="1"/>
  <c r="C141" i="24" s="1"/>
  <c r="AR157" i="24"/>
  <c r="AQ173" i="24"/>
  <c r="AR189" i="24"/>
  <c r="AR205" i="24"/>
  <c r="AR223" i="24"/>
  <c r="AR239" i="24"/>
  <c r="AQ153" i="24"/>
  <c r="AR169" i="24"/>
  <c r="AR185" i="24"/>
  <c r="AR201" i="24"/>
  <c r="AR217" i="24"/>
  <c r="AR235" i="24"/>
  <c r="AR251" i="24"/>
  <c r="AQ257" i="24"/>
  <c r="AR273" i="24"/>
  <c r="AR289" i="24"/>
  <c r="AQ305" i="24"/>
  <c r="AQ321" i="24"/>
  <c r="AR337" i="24"/>
  <c r="AQ266" i="24"/>
  <c r="AQ282" i="24"/>
  <c r="AQ298" i="24"/>
  <c r="AQ314" i="24"/>
  <c r="AR51" i="24"/>
  <c r="AR40" i="24"/>
  <c r="AQ82" i="24"/>
  <c r="AU82" i="24" s="1"/>
  <c r="C82" i="24" s="1"/>
  <c r="AR114" i="24"/>
  <c r="AQ146" i="24"/>
  <c r="AR178" i="24"/>
  <c r="AQ210" i="24"/>
  <c r="AQ142" i="24"/>
  <c r="AU142" i="24" s="1"/>
  <c r="C142" i="24" s="1"/>
  <c r="AQ174" i="24"/>
  <c r="AU174" i="24" s="1"/>
  <c r="C174" i="24" s="1"/>
  <c r="AQ206" i="24"/>
  <c r="AR240" i="24"/>
  <c r="AR262" i="24"/>
  <c r="AR294" i="24"/>
  <c r="AQ326" i="24"/>
  <c r="AQ271" i="24"/>
  <c r="AU271" i="24" s="1"/>
  <c r="C271" i="24" s="1"/>
  <c r="AR303" i="24"/>
  <c r="AR335" i="24"/>
  <c r="AQ367" i="24"/>
  <c r="AU367" i="24" s="1"/>
  <c r="C367" i="24" s="1"/>
  <c r="AR399" i="24"/>
  <c r="AR371" i="24"/>
  <c r="AQ64" i="24"/>
  <c r="AU64" i="24" s="1"/>
  <c r="C64" i="24" s="1"/>
  <c r="AQ96" i="24"/>
  <c r="AU96" i="24" s="1"/>
  <c r="C96" i="24" s="1"/>
  <c r="AR128" i="24"/>
  <c r="AR57" i="24"/>
  <c r="AR89" i="24"/>
  <c r="AQ121" i="24"/>
  <c r="AU121" i="24" s="1"/>
  <c r="C121" i="24" s="1"/>
  <c r="AR153" i="24"/>
  <c r="AQ185" i="24"/>
  <c r="AU185" i="24" s="1"/>
  <c r="C185" i="24" s="1"/>
  <c r="AQ217" i="24"/>
  <c r="AU217" i="24" s="1"/>
  <c r="C217" i="24" s="1"/>
  <c r="AQ149" i="24"/>
  <c r="AU149" i="24" s="1"/>
  <c r="C149" i="24" s="1"/>
  <c r="AQ181" i="24"/>
  <c r="AU181" i="24" s="1"/>
  <c r="C181" i="24" s="1"/>
  <c r="AR213" i="24"/>
  <c r="AR247" i="24"/>
  <c r="AR269" i="24"/>
  <c r="AR301" i="24"/>
  <c r="AR333" i="24"/>
  <c r="AQ278" i="24"/>
  <c r="AU278" i="24" s="1"/>
  <c r="C278" i="24" s="1"/>
  <c r="AR310" i="24"/>
  <c r="AQ332" i="24"/>
  <c r="AU332" i="24" s="1"/>
  <c r="C332" i="24" s="1"/>
  <c r="AR348" i="24"/>
  <c r="AQ364" i="24"/>
  <c r="AR380" i="24"/>
  <c r="AR396" i="24"/>
  <c r="AQ352" i="24"/>
  <c r="AR368" i="24"/>
  <c r="AR384" i="24"/>
  <c r="AR63" i="24"/>
  <c r="AQ42" i="24"/>
  <c r="AR84" i="24"/>
  <c r="AQ116" i="24"/>
  <c r="AU116" i="24" s="1"/>
  <c r="C116" i="24" s="1"/>
  <c r="AR148" i="24"/>
  <c r="AQ180" i="24"/>
  <c r="AU180" i="24" s="1"/>
  <c r="C180" i="24" s="1"/>
  <c r="AQ212" i="24"/>
  <c r="AU212" i="24" s="1"/>
  <c r="C212" i="24" s="1"/>
  <c r="AR144" i="24"/>
  <c r="AQ176" i="24"/>
  <c r="AU176" i="24" s="1"/>
  <c r="C176" i="24" s="1"/>
  <c r="AQ208" i="24"/>
  <c r="AU208" i="24" s="1"/>
  <c r="C208" i="24" s="1"/>
  <c r="AR242" i="24"/>
  <c r="AQ264" i="24"/>
  <c r="AU264" i="24" s="1"/>
  <c r="C264" i="24" s="1"/>
  <c r="AQ296" i="24"/>
  <c r="AU296" i="24" s="1"/>
  <c r="C296" i="24" s="1"/>
  <c r="AQ328" i="24"/>
  <c r="AQ273" i="24"/>
  <c r="AR305" i="24"/>
  <c r="AQ337" i="24"/>
  <c r="AU337" i="24" s="1"/>
  <c r="C337" i="24" s="1"/>
  <c r="AR369" i="24"/>
  <c r="AQ341" i="24"/>
  <c r="AQ373" i="24"/>
  <c r="AU373" i="24" s="1"/>
  <c r="C373" i="24" s="1"/>
  <c r="AQ70" i="24"/>
  <c r="AQ102" i="24"/>
  <c r="AQ134" i="24"/>
  <c r="AQ63" i="24"/>
  <c r="AU63" i="24" s="1"/>
  <c r="C63" i="24" s="1"/>
  <c r="AR95" i="24"/>
  <c r="AQ127" i="24"/>
  <c r="AR159" i="24"/>
  <c r="AR191" i="24"/>
  <c r="AQ225" i="24"/>
  <c r="AR155" i="24"/>
  <c r="AR187" i="24"/>
  <c r="AQ221" i="24"/>
  <c r="AU221" i="24" s="1"/>
  <c r="C221" i="24" s="1"/>
  <c r="AR253" i="24"/>
  <c r="AR275" i="24"/>
  <c r="AQ307" i="24"/>
  <c r="AU307" i="24" s="1"/>
  <c r="C307" i="24" s="1"/>
  <c r="AQ339" i="24"/>
  <c r="AR284" i="24"/>
  <c r="AQ316" i="24"/>
  <c r="AU316" i="24" s="1"/>
  <c r="C316" i="24" s="1"/>
  <c r="AQ334" i="24"/>
  <c r="AU334" i="24" s="1"/>
  <c r="C334" i="24" s="1"/>
  <c r="AQ350" i="24"/>
  <c r="AQ366" i="24"/>
  <c r="AQ382" i="24"/>
  <c r="AU382" i="24" s="1"/>
  <c r="C382" i="24" s="1"/>
  <c r="AR398" i="24"/>
  <c r="AQ354" i="24"/>
  <c r="AR370" i="24"/>
  <c r="AR386" i="24"/>
  <c r="AR65" i="24"/>
  <c r="AR44" i="24"/>
  <c r="AQ86" i="24"/>
  <c r="AQ118" i="24"/>
  <c r="AR150" i="24"/>
  <c r="AQ182" i="24"/>
  <c r="AU182" i="24" s="1"/>
  <c r="C182" i="24" s="1"/>
  <c r="AQ214" i="24"/>
  <c r="AU214" i="24" s="1"/>
  <c r="C214" i="24" s="1"/>
  <c r="AR146" i="24"/>
  <c r="AQ178" i="24"/>
  <c r="AR210" i="24"/>
  <c r="AR244" i="24"/>
  <c r="AR266" i="24"/>
  <c r="AR298" i="24"/>
  <c r="AQ330" i="24"/>
  <c r="AQ275" i="24"/>
  <c r="AR307" i="24"/>
  <c r="AR339" i="24"/>
  <c r="AQ371" i="24"/>
  <c r="AU371" i="24" s="1"/>
  <c r="C371" i="24" s="1"/>
  <c r="AQ343" i="24"/>
  <c r="AU343" i="24" s="1"/>
  <c r="C343" i="24" s="1"/>
  <c r="AR375" i="24"/>
  <c r="AQ40" i="24"/>
  <c r="AU40" i="24" s="1"/>
  <c r="C40" i="24" s="1"/>
  <c r="AQ72" i="24"/>
  <c r="AU72" i="24" s="1"/>
  <c r="C72" i="24" s="1"/>
  <c r="AR104" i="24"/>
  <c r="AR136" i="24"/>
  <c r="AQ65" i="24"/>
  <c r="AU65" i="24" s="1"/>
  <c r="C65" i="24" s="1"/>
  <c r="AQ97" i="24"/>
  <c r="AR129" i="24"/>
  <c r="AR161" i="24"/>
  <c r="AQ193" i="24"/>
  <c r="AU193" i="24" s="1"/>
  <c r="C193" i="24" s="1"/>
  <c r="AQ227" i="24"/>
  <c r="AU227" i="24" s="1"/>
  <c r="C227" i="24" s="1"/>
  <c r="AQ157" i="24"/>
  <c r="AU157" i="24" s="1"/>
  <c r="C157" i="24" s="1"/>
  <c r="AQ189" i="24"/>
  <c r="AU189" i="24" s="1"/>
  <c r="C189" i="24" s="1"/>
  <c r="AQ223" i="24"/>
  <c r="AU223" i="24" s="1"/>
  <c r="C223" i="24" s="1"/>
  <c r="AQ245" i="24"/>
  <c r="AU245" i="24" s="1"/>
  <c r="C245" i="24" s="1"/>
  <c r="AR277" i="24"/>
  <c r="AQ309" i="24"/>
  <c r="AU309" i="24" s="1"/>
  <c r="C309" i="24" s="1"/>
  <c r="AR254" i="24"/>
  <c r="AQ286" i="24"/>
  <c r="AU286" i="24" s="1"/>
  <c r="C286" i="24" s="1"/>
  <c r="AQ318" i="24"/>
  <c r="AU318" i="24" s="1"/>
  <c r="C318" i="24" s="1"/>
  <c r="AR336" i="24"/>
  <c r="AR352" i="24"/>
  <c r="AQ368" i="24"/>
  <c r="AU368" i="24" s="1"/>
  <c r="C368" i="24" s="1"/>
  <c r="AQ384" i="24"/>
  <c r="AU384" i="24" s="1"/>
  <c r="C384" i="24" s="1"/>
  <c r="AR400" i="24"/>
  <c r="AQ356" i="24"/>
  <c r="AR372" i="24"/>
  <c r="AQ388" i="24"/>
  <c r="AQ81" i="24"/>
  <c r="AR60" i="24"/>
  <c r="AQ92" i="24"/>
  <c r="AU92" i="24" s="1"/>
  <c r="C92" i="24" s="1"/>
  <c r="AQ124" i="24"/>
  <c r="AU124" i="24" s="1"/>
  <c r="C124" i="24" s="1"/>
  <c r="AR156" i="24"/>
  <c r="AR188" i="24"/>
  <c r="AR222" i="24"/>
  <c r="AR152" i="24"/>
  <c r="AQ184" i="24"/>
  <c r="AU184" i="24" s="1"/>
  <c r="C184" i="24" s="1"/>
  <c r="AR216" i="24"/>
  <c r="AQ250" i="24"/>
  <c r="AR272" i="24"/>
  <c r="AQ304" i="24"/>
  <c r="AQ336" i="24"/>
  <c r="AU336" i="24" s="1"/>
  <c r="C336" i="24" s="1"/>
  <c r="AQ281" i="24"/>
  <c r="AQ313" i="24"/>
  <c r="AQ345" i="24"/>
  <c r="AU345" i="24" s="1"/>
  <c r="C345" i="24" s="1"/>
  <c r="AQ377" i="24"/>
  <c r="AU377" i="24" s="1"/>
  <c r="C377" i="24" s="1"/>
  <c r="AQ349" i="24"/>
  <c r="AU349" i="24" s="1"/>
  <c r="C349" i="24" s="1"/>
  <c r="AR381" i="24"/>
  <c r="AR42" i="24"/>
  <c r="AU42" i="24" s="1"/>
  <c r="C42" i="24" s="1"/>
  <c r="AR74" i="24"/>
  <c r="AR106" i="24"/>
  <c r="AR138" i="24"/>
  <c r="AR67" i="24"/>
  <c r="AQ99" i="24"/>
  <c r="AQ131" i="24"/>
  <c r="AU131" i="24" s="1"/>
  <c r="C131" i="24" s="1"/>
  <c r="AR163" i="24"/>
  <c r="AR195" i="24"/>
  <c r="AR229" i="24"/>
  <c r="AQ159" i="24"/>
  <c r="AQ191" i="24"/>
  <c r="AR225" i="24"/>
  <c r="AQ247" i="24"/>
  <c r="AU247" i="24" s="1"/>
  <c r="C247" i="24" s="1"/>
  <c r="AQ279" i="24"/>
  <c r="AU279" i="24" s="1"/>
  <c r="C279" i="24" s="1"/>
  <c r="AQ311" i="24"/>
  <c r="AU311" i="24" s="1"/>
  <c r="C311" i="24" s="1"/>
  <c r="AQ256" i="24"/>
  <c r="AR288" i="24"/>
  <c r="AR320" i="24"/>
  <c r="AR338" i="24"/>
  <c r="AR354" i="24"/>
  <c r="AQ370" i="24"/>
  <c r="AU370" i="24" s="1"/>
  <c r="C370" i="24" s="1"/>
  <c r="AQ386" i="24"/>
  <c r="AQ342" i="24"/>
  <c r="AQ358" i="24"/>
  <c r="AU358" i="24" s="1"/>
  <c r="C358" i="24" s="1"/>
  <c r="AQ374" i="24"/>
  <c r="AQ390" i="24"/>
  <c r="AR97" i="24"/>
  <c r="AR66" i="24"/>
  <c r="AR98" i="24"/>
  <c r="AR130" i="24"/>
  <c r="AR162" i="24"/>
  <c r="AQ194" i="24"/>
  <c r="AQ228" i="24"/>
  <c r="AU228" i="24" s="1"/>
  <c r="C228" i="24" s="1"/>
  <c r="AR158" i="24"/>
  <c r="AQ190" i="24"/>
  <c r="AU190" i="24" s="1"/>
  <c r="C190" i="24" s="1"/>
  <c r="AQ224" i="24"/>
  <c r="AU224" i="24" s="1"/>
  <c r="C224" i="24" s="1"/>
  <c r="AQ246" i="24"/>
  <c r="AR278" i="24"/>
  <c r="AQ310" i="24"/>
  <c r="AU310" i="24" s="1"/>
  <c r="C310" i="24" s="1"/>
  <c r="AQ255" i="24"/>
  <c r="AU255" i="24" s="1"/>
  <c r="C255" i="24" s="1"/>
  <c r="AQ287" i="24"/>
  <c r="AU287" i="24" s="1"/>
  <c r="C287" i="24" s="1"/>
  <c r="AR319" i="24"/>
  <c r="AR351" i="24"/>
  <c r="AQ383" i="24"/>
  <c r="AU383" i="24" s="1"/>
  <c r="C383" i="24" s="1"/>
  <c r="AR355" i="24"/>
  <c r="AR387" i="24"/>
  <c r="AR48" i="24"/>
  <c r="AQ80" i="24"/>
  <c r="AU80" i="24" s="1"/>
  <c r="C80" i="24" s="1"/>
  <c r="AQ112" i="24"/>
  <c r="AU112" i="24" s="1"/>
  <c r="C112" i="24" s="1"/>
  <c r="AR41" i="24"/>
  <c r="AQ73" i="24"/>
  <c r="AU73" i="24" s="1"/>
  <c r="C73" i="24" s="1"/>
  <c r="AR105" i="24"/>
  <c r="AR137" i="24"/>
  <c r="AQ169" i="24"/>
  <c r="AU169" i="24" s="1"/>
  <c r="C169" i="24" s="1"/>
  <c r="AQ201" i="24"/>
  <c r="AQ235" i="24"/>
  <c r="AQ165" i="24"/>
  <c r="AU165" i="24" s="1"/>
  <c r="C165" i="24" s="1"/>
  <c r="AR197" i="24"/>
  <c r="AQ231" i="24"/>
  <c r="AU231" i="24" s="1"/>
  <c r="C231" i="24" s="1"/>
  <c r="AQ253" i="24"/>
  <c r="AU253" i="24" s="1"/>
  <c r="C253" i="24" s="1"/>
  <c r="AQ285" i="24"/>
  <c r="AU285" i="24" s="1"/>
  <c r="C285" i="24" s="1"/>
  <c r="AQ317" i="24"/>
  <c r="AQ262" i="24"/>
  <c r="AU262" i="24" s="1"/>
  <c r="C262" i="24" s="1"/>
  <c r="AQ294" i="24"/>
  <c r="AR324" i="24"/>
  <c r="AQ340" i="24"/>
  <c r="AR356" i="24"/>
  <c r="AQ372" i="24"/>
  <c r="AU372" i="24" s="1"/>
  <c r="C372" i="24" s="1"/>
  <c r="AR388" i="24"/>
  <c r="AQ344" i="24"/>
  <c r="AR360" i="24"/>
  <c r="AR376" i="24"/>
  <c r="AQ392" i="24"/>
  <c r="AR99" i="24"/>
  <c r="AR68" i="24"/>
  <c r="AR100" i="24"/>
  <c r="AQ132" i="24"/>
  <c r="AQ164" i="24"/>
  <c r="AU164" i="24" s="1"/>
  <c r="C164" i="24" s="1"/>
  <c r="AQ196" i="24"/>
  <c r="AU196" i="24" s="1"/>
  <c r="C196" i="24" s="1"/>
  <c r="AQ230" i="24"/>
  <c r="AU230" i="24" s="1"/>
  <c r="C230" i="24" s="1"/>
  <c r="AQ160" i="24"/>
  <c r="AU160" i="24" s="1"/>
  <c r="C160" i="24" s="1"/>
  <c r="AR192" i="24"/>
  <c r="AQ226" i="24"/>
  <c r="AU226" i="24" s="1"/>
  <c r="C226" i="24" s="1"/>
  <c r="AR248" i="24"/>
  <c r="AU248" i="24" s="1"/>
  <c r="C248" i="24" s="1"/>
  <c r="AQ280" i="24"/>
  <c r="AU280" i="24" s="1"/>
  <c r="C280" i="24" s="1"/>
  <c r="AQ312" i="24"/>
  <c r="AR257" i="24"/>
  <c r="AQ289" i="24"/>
  <c r="AU289" i="24" s="1"/>
  <c r="C289" i="24" s="1"/>
  <c r="AR321" i="24"/>
  <c r="AQ353" i="24"/>
  <c r="AQ385" i="24"/>
  <c r="AU385" i="24" s="1"/>
  <c r="C385" i="24" s="1"/>
  <c r="AR357" i="24"/>
  <c r="AQ389" i="24"/>
  <c r="AU389" i="24" s="1"/>
  <c r="C389" i="24" s="1"/>
  <c r="AR54" i="24"/>
  <c r="AR86" i="24"/>
  <c r="AR118" i="24"/>
  <c r="AQ47" i="24"/>
  <c r="AU47" i="24" s="1"/>
  <c r="C47" i="24" s="1"/>
  <c r="AR79" i="24"/>
  <c r="AQ111" i="24"/>
  <c r="AQ143" i="24"/>
  <c r="AR175" i="24"/>
  <c r="AR207" i="24"/>
  <c r="AQ241" i="24"/>
  <c r="AQ171" i="24"/>
  <c r="AU171" i="24" s="1"/>
  <c r="C171" i="24" s="1"/>
  <c r="AQ203" i="24"/>
  <c r="AU203" i="24" s="1"/>
  <c r="C203" i="24" s="1"/>
  <c r="AR237" i="24"/>
  <c r="AQ259" i="24"/>
  <c r="AU259" i="24" s="1"/>
  <c r="C259" i="24" s="1"/>
  <c r="AR291" i="24"/>
  <c r="AR323" i="24"/>
  <c r="AR268" i="24"/>
  <c r="AR300" i="24"/>
  <c r="AR326" i="24"/>
  <c r="AR342" i="24"/>
  <c r="AR358" i="24"/>
  <c r="AR374" i="24"/>
  <c r="AR390" i="24"/>
  <c r="AQ346" i="24"/>
  <c r="AU346" i="24" s="1"/>
  <c r="C346" i="24" s="1"/>
  <c r="AR362" i="24"/>
  <c r="AQ378" i="24"/>
  <c r="AQ394" i="24"/>
  <c r="AU394" i="24" s="1"/>
  <c r="C394" i="24" s="1"/>
  <c r="AR111" i="24"/>
  <c r="AR70" i="24"/>
  <c r="AR102" i="24"/>
  <c r="AR134" i="24"/>
  <c r="AR166" i="24"/>
  <c r="AR198" i="24"/>
  <c r="AQ232" i="24"/>
  <c r="AU232" i="24" s="1"/>
  <c r="C232" i="24" s="1"/>
  <c r="AQ162" i="24"/>
  <c r="AU162" i="24" s="1"/>
  <c r="C162" i="24" s="1"/>
  <c r="AR194" i="24"/>
  <c r="AR228" i="24"/>
  <c r="AR250" i="24"/>
  <c r="AR282" i="24"/>
  <c r="AR314" i="24"/>
  <c r="AR259" i="24"/>
  <c r="AQ291" i="24"/>
  <c r="AQ323" i="24"/>
  <c r="AU323" i="24" s="1"/>
  <c r="C323" i="24" s="1"/>
  <c r="AQ355" i="24"/>
  <c r="AQ387" i="24"/>
  <c r="AU387" i="24" s="1"/>
  <c r="C387" i="24" s="1"/>
  <c r="AQ359" i="24"/>
  <c r="AR391" i="24"/>
  <c r="AR56" i="24"/>
  <c r="AR88" i="24"/>
  <c r="AR120" i="24"/>
  <c r="AQ49" i="24"/>
  <c r="AU49" i="24" s="1"/>
  <c r="C49" i="24" s="1"/>
  <c r="AR81" i="24"/>
  <c r="AQ113" i="24"/>
  <c r="AU113" i="24" s="1"/>
  <c r="C113" i="24" s="1"/>
  <c r="AQ145" i="24"/>
  <c r="AU145" i="24" s="1"/>
  <c r="C145" i="24" s="1"/>
  <c r="AQ177" i="24"/>
  <c r="AU177" i="24" s="1"/>
  <c r="C177" i="24" s="1"/>
  <c r="AQ209" i="24"/>
  <c r="AQ243" i="24"/>
  <c r="AU243" i="24" s="1"/>
  <c r="C243" i="24" s="1"/>
  <c r="AR173" i="24"/>
  <c r="AQ205" i="24"/>
  <c r="AU205" i="24" s="1"/>
  <c r="C205" i="24" s="1"/>
  <c r="AQ239" i="24"/>
  <c r="AU239" i="24" s="1"/>
  <c r="C239" i="24" s="1"/>
  <c r="AR261" i="24"/>
  <c r="AQ293" i="24"/>
  <c r="AU293" i="24" s="1"/>
  <c r="C293" i="24" s="1"/>
  <c r="AR325" i="24"/>
  <c r="AQ270" i="24"/>
  <c r="AU270" i="24" s="1"/>
  <c r="C270" i="24" s="1"/>
  <c r="AR302" i="24"/>
  <c r="AR328" i="24"/>
  <c r="AR344" i="24"/>
  <c r="AQ360" i="24"/>
  <c r="AU360" i="24" s="1"/>
  <c r="C360" i="24" s="1"/>
  <c r="AQ376" i="24"/>
  <c r="AR392" i="24"/>
  <c r="AQ348" i="24"/>
  <c r="AR364" i="24"/>
  <c r="AQ380" i="24"/>
  <c r="AU380" i="24" s="1"/>
  <c r="C380" i="24" s="1"/>
  <c r="AQ396" i="24"/>
  <c r="AU396" i="24" s="1"/>
  <c r="C396" i="24" s="1"/>
  <c r="AR168" i="24"/>
  <c r="AU168" i="24" s="1"/>
  <c r="C168" i="24" s="1"/>
  <c r="AR329" i="24"/>
  <c r="AR90" i="24"/>
  <c r="AR143" i="24"/>
  <c r="AR304" i="24"/>
  <c r="AR382" i="24"/>
  <c r="AR127" i="24"/>
  <c r="AR200" i="24"/>
  <c r="AQ361" i="24"/>
  <c r="AR122" i="24"/>
  <c r="AQ175" i="24"/>
  <c r="AU175" i="24" s="1"/>
  <c r="C175" i="24" s="1"/>
  <c r="AR330" i="24"/>
  <c r="AQ398" i="24"/>
  <c r="AU398" i="24" s="1"/>
  <c r="C398" i="24" s="1"/>
  <c r="AQ76" i="24"/>
  <c r="AU76" i="24" s="1"/>
  <c r="C76" i="24" s="1"/>
  <c r="AR234" i="24"/>
  <c r="AQ393" i="24"/>
  <c r="AU393" i="24" s="1"/>
  <c r="C393" i="24" s="1"/>
  <c r="AQ51" i="24"/>
  <c r="AQ207" i="24"/>
  <c r="AU207" i="24" s="1"/>
  <c r="C207" i="24" s="1"/>
  <c r="AR346" i="24"/>
  <c r="AQ108" i="24"/>
  <c r="AR256" i="24"/>
  <c r="AQ365" i="24"/>
  <c r="AU365" i="24" s="1"/>
  <c r="C365" i="24" s="1"/>
  <c r="AQ83" i="24"/>
  <c r="AU83" i="24" s="1"/>
  <c r="C83" i="24" s="1"/>
  <c r="AR241" i="24"/>
  <c r="AQ362" i="24"/>
  <c r="AU362" i="24" s="1"/>
  <c r="C362" i="24" s="1"/>
  <c r="AQ140" i="24"/>
  <c r="AU140" i="24" s="1"/>
  <c r="C140" i="24" s="1"/>
  <c r="AQ288" i="24"/>
  <c r="AU288" i="24" s="1"/>
  <c r="C288" i="24" s="1"/>
  <c r="AQ397" i="24"/>
  <c r="AU397" i="24" s="1"/>
  <c r="C397" i="24" s="1"/>
  <c r="AR115" i="24"/>
  <c r="AQ263" i="24"/>
  <c r="AR378" i="24"/>
  <c r="AQ172" i="24"/>
  <c r="AU172" i="24" s="1"/>
  <c r="C172" i="24" s="1"/>
  <c r="AQ320" i="24"/>
  <c r="AU320" i="24" s="1"/>
  <c r="C320" i="24" s="1"/>
  <c r="AR147" i="24"/>
  <c r="AQ295" i="24"/>
  <c r="AU295" i="24" s="1"/>
  <c r="C295" i="24" s="1"/>
  <c r="AR394" i="24"/>
  <c r="AR204" i="24"/>
  <c r="AQ265" i="24"/>
  <c r="AU265" i="24" s="1"/>
  <c r="C265" i="24" s="1"/>
  <c r="AR179" i="24"/>
  <c r="AR327" i="24"/>
  <c r="AR350" i="24"/>
  <c r="AR58" i="24"/>
  <c r="AQ211" i="24"/>
  <c r="AQ272" i="24"/>
  <c r="AU272" i="24" s="1"/>
  <c r="C272" i="24" s="1"/>
  <c r="AR366" i="24"/>
  <c r="AR238" i="24"/>
  <c r="AQ297" i="24"/>
  <c r="AU297" i="24" s="1"/>
  <c r="C297" i="24" s="1"/>
  <c r="AU252" i="24"/>
  <c r="C252" i="24" s="1"/>
  <c r="AU359" i="24"/>
  <c r="C359" i="24" s="1"/>
  <c r="AU353" i="24"/>
  <c r="C353" i="24" s="1"/>
  <c r="AU257" i="24"/>
  <c r="C257" i="24" s="1"/>
  <c r="AU249" i="24"/>
  <c r="C249" i="24" s="1"/>
  <c r="AU305" i="24"/>
  <c r="C305" i="24" s="1"/>
  <c r="AU200" i="24"/>
  <c r="C200" i="24" s="1"/>
  <c r="AU44" i="24"/>
  <c r="C44" i="24" s="1"/>
  <c r="AU191" i="24"/>
  <c r="C191" i="24" s="1"/>
  <c r="AU95" i="24"/>
  <c r="C95" i="24" s="1"/>
  <c r="AU79" i="24"/>
  <c r="C79" i="24" s="1"/>
  <c r="AU115" i="29"/>
  <c r="C115" i="29" s="1"/>
  <c r="AU147" i="29"/>
  <c r="C147" i="29" s="1"/>
  <c r="AU143" i="29"/>
  <c r="C143" i="29" s="1"/>
  <c r="AU345" i="29"/>
  <c r="C345" i="29" s="1"/>
  <c r="AL99" i="24"/>
  <c r="AM162" i="24"/>
  <c r="AL228" i="24"/>
  <c r="AL190" i="24"/>
  <c r="AL246" i="24"/>
  <c r="AL310" i="24"/>
  <c r="AL287" i="24"/>
  <c r="AM351" i="24"/>
  <c r="AM355" i="24"/>
  <c r="AL47" i="24"/>
  <c r="AL111" i="24"/>
  <c r="AM174" i="24"/>
  <c r="AL240" i="24"/>
  <c r="AM202" i="24"/>
  <c r="AL258" i="24"/>
  <c r="AM322" i="24"/>
  <c r="AL299" i="24"/>
  <c r="AL363" i="24"/>
  <c r="AM367" i="24"/>
  <c r="AM353" i="24"/>
  <c r="AU178" i="24"/>
  <c r="C178" i="24" s="1"/>
  <c r="AU354" i="24"/>
  <c r="C354" i="24" s="1"/>
  <c r="AU361" i="24"/>
  <c r="C361" i="24" s="1"/>
  <c r="AU312" i="24"/>
  <c r="C312" i="24" s="1"/>
  <c r="AU340" i="24"/>
  <c r="C340" i="24" s="1"/>
  <c r="AU268" i="24"/>
  <c r="C268" i="24" s="1"/>
  <c r="AU167" i="24"/>
  <c r="C167" i="24" s="1"/>
  <c r="AU123" i="24"/>
  <c r="C123" i="24" s="1"/>
  <c r="AU201" i="24"/>
  <c r="C201" i="24" s="1"/>
  <c r="AU66" i="24"/>
  <c r="C66" i="24" s="1"/>
  <c r="AU151" i="24"/>
  <c r="C151" i="24" s="1"/>
  <c r="AU148" i="29"/>
  <c r="C148" i="29" s="1"/>
  <c r="AU320" i="29"/>
  <c r="C320" i="29" s="1"/>
  <c r="AU107" i="29"/>
  <c r="C107" i="29" s="1"/>
  <c r="AM107" i="24"/>
  <c r="AL170" i="24"/>
  <c r="AL236" i="24"/>
  <c r="AL198" i="24"/>
  <c r="AL254" i="24"/>
  <c r="AM318" i="24"/>
  <c r="AM295" i="24"/>
  <c r="AM359" i="24"/>
  <c r="AM363" i="24"/>
  <c r="AM55" i="24"/>
  <c r="AL119" i="24"/>
  <c r="AL182" i="24"/>
  <c r="AM146" i="24"/>
  <c r="AM210" i="24"/>
  <c r="AM266" i="24"/>
  <c r="AL330" i="24"/>
  <c r="AM307" i="24"/>
  <c r="AL371" i="24"/>
  <c r="AM375" i="24"/>
  <c r="AU313" i="24"/>
  <c r="C313" i="24" s="1"/>
  <c r="AU386" i="24"/>
  <c r="C386" i="24" s="1"/>
  <c r="AU366" i="24"/>
  <c r="C366" i="24" s="1"/>
  <c r="AU136" i="24"/>
  <c r="C136" i="24" s="1"/>
  <c r="AU39" i="24"/>
  <c r="C39" i="24" s="1"/>
  <c r="AU209" i="24"/>
  <c r="C209" i="24" s="1"/>
  <c r="AU236" i="24"/>
  <c r="C236" i="24" s="1"/>
  <c r="AU156" i="24"/>
  <c r="C156" i="24" s="1"/>
  <c r="AU75" i="24"/>
  <c r="C75" i="24" s="1"/>
  <c r="AU132" i="24"/>
  <c r="C132" i="24" s="1"/>
  <c r="H36" i="4"/>
  <c r="I36" i="4" s="1"/>
  <c r="M119" i="25"/>
  <c r="M102" i="4"/>
  <c r="B102" i="4" s="1"/>
  <c r="Z11" i="29" s="1"/>
  <c r="K68" i="25"/>
  <c r="M114" i="4"/>
  <c r="B114" i="4" s="1"/>
  <c r="K83" i="25"/>
  <c r="M113" i="4"/>
  <c r="B113" i="4" s="1"/>
  <c r="AB13" i="14" s="1"/>
  <c r="K82" i="25"/>
  <c r="U82" i="25" s="1"/>
  <c r="M117" i="4"/>
  <c r="B117" i="4" s="1"/>
  <c r="Z14" i="23" s="1"/>
  <c r="K86" i="25"/>
  <c r="F35" i="4"/>
  <c r="G35" i="4" s="1"/>
  <c r="M107" i="25"/>
  <c r="C49" i="4"/>
  <c r="M104" i="4"/>
  <c r="B104" i="4" s="1"/>
  <c r="K71" i="25"/>
  <c r="M108" i="4"/>
  <c r="B108" i="4" s="1"/>
  <c r="K76" i="25"/>
  <c r="U76" i="25" s="1"/>
  <c r="M118" i="4"/>
  <c r="B118" i="4" s="1"/>
  <c r="K88" i="25"/>
  <c r="M116" i="4"/>
  <c r="B116" i="4" s="1"/>
  <c r="AB14" i="29" s="1"/>
  <c r="K85" i="25"/>
  <c r="M109" i="4"/>
  <c r="B109" i="4" s="1"/>
  <c r="K77" i="25"/>
  <c r="U77" i="25" s="1"/>
  <c r="M111" i="25"/>
  <c r="M115" i="25"/>
  <c r="M119" i="4"/>
  <c r="B119" i="4" s="1"/>
  <c r="K89" i="25"/>
  <c r="M111" i="4"/>
  <c r="B111" i="4" s="1"/>
  <c r="K79" i="25"/>
  <c r="U79" i="25" s="1"/>
  <c r="M103" i="4"/>
  <c r="B103" i="4" s="1"/>
  <c r="K70" i="25"/>
  <c r="AU389" i="29"/>
  <c r="C389" i="29" s="1"/>
  <c r="AU218" i="29"/>
  <c r="C218" i="29" s="1"/>
  <c r="AU73" i="29"/>
  <c r="C73" i="29" s="1"/>
  <c r="AN400" i="24"/>
  <c r="AN392" i="24"/>
  <c r="AO384" i="24"/>
  <c r="AO376" i="24"/>
  <c r="AO368" i="24"/>
  <c r="AO360" i="24"/>
  <c r="AN352" i="24"/>
  <c r="AN344" i="24"/>
  <c r="AO396" i="24"/>
  <c r="AO388" i="24"/>
  <c r="AO380" i="24"/>
  <c r="AN372" i="24"/>
  <c r="AN364" i="24"/>
  <c r="AO356" i="24"/>
  <c r="AO348" i="24"/>
  <c r="AN340" i="24"/>
  <c r="AN332" i="24"/>
  <c r="AO324" i="24"/>
  <c r="AN316" i="24"/>
  <c r="AO308" i="24"/>
  <c r="AO300" i="24"/>
  <c r="AO292" i="24"/>
  <c r="AO284" i="24"/>
  <c r="AO276" i="24"/>
  <c r="AO268" i="24"/>
  <c r="AO260" i="24"/>
  <c r="AN339" i="24"/>
  <c r="AN331" i="24"/>
  <c r="AO323" i="24"/>
  <c r="AN315" i="24"/>
  <c r="AN307" i="24"/>
  <c r="AO299" i="24"/>
  <c r="AO291" i="24"/>
  <c r="AO283" i="24"/>
  <c r="AO275" i="24"/>
  <c r="AN267" i="24"/>
  <c r="AN259" i="24"/>
  <c r="AN251" i="24"/>
  <c r="AO253" i="24"/>
  <c r="AO245" i="24"/>
  <c r="AO237" i="24"/>
  <c r="AN229" i="24"/>
  <c r="AN221" i="24"/>
  <c r="AO211" i="24"/>
  <c r="AN203" i="24"/>
  <c r="AN195" i="24"/>
  <c r="AO187" i="24"/>
  <c r="AN179" i="24"/>
  <c r="AN171" i="24"/>
  <c r="AN163" i="24"/>
  <c r="AO155" i="24"/>
  <c r="AN147" i="24"/>
  <c r="AN241" i="24"/>
  <c r="AO233" i="24"/>
  <c r="AN225" i="24"/>
  <c r="AN215" i="24"/>
  <c r="AO207" i="24"/>
  <c r="AO199" i="24"/>
  <c r="AO191" i="24"/>
  <c r="AN183" i="24"/>
  <c r="AO175" i="24"/>
  <c r="AO167" i="24"/>
  <c r="AO159" i="24"/>
  <c r="AO151" i="24"/>
  <c r="AN143" i="24"/>
  <c r="AO135" i="24"/>
  <c r="AN127" i="24"/>
  <c r="AN119" i="24"/>
  <c r="AN111" i="24"/>
  <c r="AN103" i="24"/>
  <c r="AO95" i="24"/>
  <c r="AN399" i="24"/>
  <c r="AO391" i="24"/>
  <c r="AO383" i="24"/>
  <c r="AO375" i="24"/>
  <c r="AO367" i="24"/>
  <c r="AN359" i="24"/>
  <c r="AN398" i="24"/>
  <c r="AN390" i="24"/>
  <c r="AO382" i="24"/>
  <c r="AN374" i="24"/>
  <c r="AO366" i="24"/>
  <c r="AN358" i="24"/>
  <c r="AO350" i="24"/>
  <c r="AN342" i="24"/>
  <c r="AO394" i="24"/>
  <c r="AN386" i="24"/>
  <c r="AO378" i="24"/>
  <c r="AN370" i="24"/>
  <c r="AN362" i="24"/>
  <c r="AO354" i="24"/>
  <c r="AO346" i="24"/>
  <c r="AO338" i="24"/>
  <c r="AO330" i="24"/>
  <c r="AN322" i="24"/>
  <c r="AN314" i="24"/>
  <c r="AN306" i="24"/>
  <c r="AN298" i="24"/>
  <c r="AO290" i="24"/>
  <c r="AN396" i="24"/>
  <c r="AN388" i="24"/>
  <c r="AN380" i="24"/>
  <c r="AO372" i="24"/>
  <c r="AO364" i="24"/>
  <c r="AN356" i="24"/>
  <c r="AN348" i="24"/>
  <c r="AO400" i="24"/>
  <c r="AO392" i="24"/>
  <c r="AN384" i="24"/>
  <c r="AN376" i="24"/>
  <c r="AN368" i="24"/>
  <c r="AN360" i="24"/>
  <c r="AO352" i="24"/>
  <c r="AO344" i="24"/>
  <c r="AO336" i="24"/>
  <c r="AO328" i="24"/>
  <c r="AO320" i="24"/>
  <c r="AO312" i="24"/>
  <c r="AO304" i="24"/>
  <c r="AO296" i="24"/>
  <c r="AO288" i="24"/>
  <c r="AO280" i="24"/>
  <c r="AN272" i="24"/>
  <c r="AO264" i="24"/>
  <c r="AN256" i="24"/>
  <c r="AN335" i="24"/>
  <c r="AO327" i="24"/>
  <c r="AN319" i="24"/>
  <c r="AN311" i="24"/>
  <c r="AN303" i="24"/>
  <c r="AN295" i="24"/>
  <c r="AO287" i="24"/>
  <c r="AN279" i="24"/>
  <c r="AO271" i="24"/>
  <c r="AN263" i="24"/>
  <c r="AO255" i="24"/>
  <c r="AN247" i="24"/>
  <c r="AN249" i="24"/>
  <c r="AO241" i="24"/>
  <c r="AN233" i="24"/>
  <c r="AO225" i="24"/>
  <c r="AO215" i="24"/>
  <c r="AN207" i="24"/>
  <c r="AN199" i="24"/>
  <c r="AN191" i="24"/>
  <c r="AO183" i="24"/>
  <c r="AN175" i="24"/>
  <c r="AN167" i="24"/>
  <c r="AN159" i="24"/>
  <c r="AN151" i="24"/>
  <c r="AO143" i="24"/>
  <c r="AN237" i="24"/>
  <c r="AO229" i="24"/>
  <c r="AO221" i="24"/>
  <c r="AN211" i="24"/>
  <c r="AO203" i="24"/>
  <c r="AO195" i="24"/>
  <c r="AN187" i="24"/>
  <c r="AO179" i="24"/>
  <c r="AO171" i="24"/>
  <c r="AO163" i="24"/>
  <c r="AN155" i="24"/>
  <c r="AO147" i="24"/>
  <c r="AO139" i="24"/>
  <c r="AN131" i="24"/>
  <c r="AN123" i="24"/>
  <c r="AO115" i="24"/>
  <c r="AO107" i="24"/>
  <c r="AN99" i="24"/>
  <c r="AO91" i="24"/>
  <c r="AN83" i="24"/>
  <c r="AO75" i="24"/>
  <c r="AO67" i="24"/>
  <c r="AN59" i="24"/>
  <c r="AN51" i="24"/>
  <c r="AN43" i="24"/>
  <c r="AO138" i="24"/>
  <c r="AN130" i="24"/>
  <c r="AO122" i="24"/>
  <c r="AO393" i="24"/>
  <c r="AO385" i="24"/>
  <c r="AO377" i="24"/>
  <c r="AN369" i="24"/>
  <c r="AO361" i="24"/>
  <c r="AO353" i="24"/>
  <c r="AO345" i="24"/>
  <c r="AO397" i="24"/>
  <c r="AO389" i="24"/>
  <c r="AN381" i="24"/>
  <c r="AO373" i="24"/>
  <c r="AO365" i="24"/>
  <c r="AN357" i="24"/>
  <c r="AO349" i="24"/>
  <c r="AO341" i="24"/>
  <c r="AN333" i="24"/>
  <c r="AN325" i="24"/>
  <c r="AO317" i="24"/>
  <c r="AO309" i="24"/>
  <c r="AO386" i="24"/>
  <c r="AO363" i="24"/>
  <c r="AN346" i="24"/>
  <c r="AO390" i="24"/>
  <c r="AO374" i="24"/>
  <c r="AO358" i="24"/>
  <c r="AO342" i="24"/>
  <c r="AO326" i="24"/>
  <c r="AO310" i="24"/>
  <c r="AO295" i="24"/>
  <c r="AN283" i="24"/>
  <c r="AN273" i="24"/>
  <c r="AN262" i="24"/>
  <c r="AN338" i="24"/>
  <c r="AN328" i="24"/>
  <c r="AN317" i="24"/>
  <c r="AO306" i="24"/>
  <c r="AN296" i="24"/>
  <c r="AN285" i="24"/>
  <c r="AO274" i="24"/>
  <c r="AN264" i="24"/>
  <c r="AN253" i="24"/>
  <c r="AN252" i="24"/>
  <c r="AO242" i="24"/>
  <c r="AN231" i="24"/>
  <c r="AN218" i="24"/>
  <c r="AN208" i="24"/>
  <c r="AO197" i="24"/>
  <c r="AN186" i="24"/>
  <c r="AN176" i="24"/>
  <c r="AN165" i="24"/>
  <c r="AO154" i="24"/>
  <c r="AO144" i="24"/>
  <c r="AN235" i="24"/>
  <c r="AO224" i="24"/>
  <c r="AN212" i="24"/>
  <c r="AN201" i="24"/>
  <c r="AO190" i="24"/>
  <c r="AN180" i="24"/>
  <c r="AN169" i="24"/>
  <c r="AN158" i="24"/>
  <c r="AO148" i="24"/>
  <c r="AO137" i="24"/>
  <c r="AO126" i="24"/>
  <c r="AN116" i="24"/>
  <c r="AO105" i="24"/>
  <c r="AO94" i="24"/>
  <c r="AO85" i="24"/>
  <c r="AN76" i="24"/>
  <c r="AO66" i="24"/>
  <c r="AO57" i="24"/>
  <c r="AN48" i="24"/>
  <c r="AO39" i="24"/>
  <c r="AN133" i="24"/>
  <c r="AO124" i="24"/>
  <c r="AN115" i="24"/>
  <c r="AN107" i="24"/>
  <c r="AO99" i="24"/>
  <c r="AN91" i="24"/>
  <c r="AO83" i="24"/>
  <c r="AN75" i="24"/>
  <c r="AN67" i="24"/>
  <c r="AO59" i="24"/>
  <c r="AO51" i="24"/>
  <c r="AO43" i="24"/>
  <c r="AO381" i="24"/>
  <c r="AO362" i="24"/>
  <c r="AN343" i="24"/>
  <c r="AN387" i="24"/>
  <c r="AN371" i="24"/>
  <c r="AN355" i="24"/>
  <c r="AO339" i="24"/>
  <c r="AN323" i="24"/>
  <c r="AO307" i="24"/>
  <c r="AN294" i="24"/>
  <c r="AN282" i="24"/>
  <c r="AN271" i="24"/>
  <c r="AN261" i="24"/>
  <c r="AO337" i="24"/>
  <c r="AN326" i="24"/>
  <c r="AO316" i="24"/>
  <c r="AN305" i="24"/>
  <c r="AO294" i="24"/>
  <c r="AN284" i="24"/>
  <c r="AO273" i="24"/>
  <c r="AO262" i="24"/>
  <c r="AO252" i="24"/>
  <c r="AO251" i="24"/>
  <c r="AO240" i="24"/>
  <c r="AO230" i="24"/>
  <c r="AO217" i="24"/>
  <c r="AN206" i="24"/>
  <c r="AO196" i="24"/>
  <c r="AO185" i="24"/>
  <c r="AN174" i="24"/>
  <c r="AO164" i="24"/>
  <c r="AN153" i="24"/>
  <c r="AN142" i="24"/>
  <c r="AN234" i="24"/>
  <c r="AO223" i="24"/>
  <c r="AN210" i="24"/>
  <c r="AN200" i="24"/>
  <c r="AO189" i="24"/>
  <c r="AO178" i="24"/>
  <c r="AN168" i="24"/>
  <c r="AO157" i="24"/>
  <c r="AN146" i="24"/>
  <c r="AN136" i="24"/>
  <c r="AN125" i="24"/>
  <c r="AO114" i="24"/>
  <c r="AN104" i="24"/>
  <c r="AO93" i="24"/>
  <c r="AO84" i="24"/>
  <c r="AN74" i="24"/>
  <c r="AN65" i="24"/>
  <c r="AN56" i="24"/>
  <c r="AN47" i="24"/>
  <c r="AO141" i="24"/>
  <c r="AO132" i="24"/>
  <c r="AO123" i="24"/>
  <c r="AN114" i="24"/>
  <c r="AO106" i="24"/>
  <c r="AN98" i="24"/>
  <c r="AO90" i="24"/>
  <c r="AO82" i="24"/>
  <c r="AO74" i="24"/>
  <c r="AN66" i="24"/>
  <c r="AO58" i="24"/>
  <c r="AO50" i="24"/>
  <c r="AO42" i="24"/>
  <c r="AN379" i="24"/>
  <c r="AO357" i="24"/>
  <c r="AN341" i="24"/>
  <c r="AN385" i="24"/>
  <c r="AO369" i="24"/>
  <c r="AN353" i="24"/>
  <c r="AN337" i="24"/>
  <c r="AO321" i="24"/>
  <c r="AO305" i="24"/>
  <c r="AO293" i="24"/>
  <c r="AN281" i="24"/>
  <c r="AN270" i="24"/>
  <c r="AO259" i="24"/>
  <c r="AN336" i="24"/>
  <c r="AO325" i="24"/>
  <c r="AO314" i="24"/>
  <c r="AN304" i="24"/>
  <c r="AN293" i="24"/>
  <c r="AO282" i="24"/>
  <c r="AO272" i="24"/>
  <c r="AO261" i="24"/>
  <c r="AO250" i="24"/>
  <c r="AN250" i="24"/>
  <c r="AN239" i="24"/>
  <c r="AO228" i="24"/>
  <c r="AO216" i="24"/>
  <c r="AN205" i="24"/>
  <c r="AO194" i="24"/>
  <c r="AN184" i="24"/>
  <c r="AO173" i="24"/>
  <c r="AN162" i="24"/>
  <c r="AO152" i="24"/>
  <c r="AN243" i="24"/>
  <c r="AN232" i="24"/>
  <c r="AO222" i="24"/>
  <c r="AN209" i="24"/>
  <c r="AO198" i="24"/>
  <c r="AO188" i="24"/>
  <c r="AN177" i="24"/>
  <c r="AO166" i="24"/>
  <c r="AO156" i="24"/>
  <c r="AN145" i="24"/>
  <c r="AO134" i="24"/>
  <c r="AN124" i="24"/>
  <c r="AN113" i="24"/>
  <c r="AO102" i="24"/>
  <c r="AN92" i="24"/>
  <c r="AN82" i="24"/>
  <c r="AN73" i="24"/>
  <c r="AO64" i="24"/>
  <c r="AO55" i="24"/>
  <c r="AO46" i="24"/>
  <c r="AO140" i="24"/>
  <c r="AO131" i="24"/>
  <c r="AO121" i="24"/>
  <c r="AO113" i="24"/>
  <c r="AN105" i="24"/>
  <c r="AO97" i="24"/>
  <c r="AN89" i="24"/>
  <c r="AN81" i="24"/>
  <c r="AO73" i="24"/>
  <c r="AO65" i="24"/>
  <c r="AN57" i="24"/>
  <c r="AO49" i="24"/>
  <c r="AN41" i="24"/>
  <c r="AN397" i="24"/>
  <c r="AN378" i="24"/>
  <c r="AO355" i="24"/>
  <c r="AO399" i="24"/>
  <c r="AN383" i="24"/>
  <c r="AN367" i="24"/>
  <c r="AO351" i="24"/>
  <c r="AO335" i="24"/>
  <c r="AO319" i="24"/>
  <c r="AO303" i="24"/>
  <c r="AN291" i="24"/>
  <c r="AO279" i="24"/>
  <c r="AN269" i="24"/>
  <c r="AO258" i="24"/>
  <c r="AO334" i="24"/>
  <c r="AN324" i="24"/>
  <c r="AO313" i="24"/>
  <c r="AN302" i="24"/>
  <c r="AN292" i="24"/>
  <c r="AO281" i="24"/>
  <c r="AO270" i="24"/>
  <c r="AN260" i="24"/>
  <c r="AO249" i="24"/>
  <c r="AN248" i="24"/>
  <c r="AN238" i="24"/>
  <c r="AO227" i="24"/>
  <c r="AO214" i="24"/>
  <c r="AN204" i="24"/>
  <c r="AO193" i="24"/>
  <c r="AO182" i="24"/>
  <c r="AO172" i="24"/>
  <c r="AN161" i="24"/>
  <c r="AN150" i="24"/>
  <c r="AN242" i="24"/>
  <c r="AO231" i="24"/>
  <c r="AO218" i="24"/>
  <c r="AO208" i="24"/>
  <c r="AN197" i="24"/>
  <c r="AO186" i="24"/>
  <c r="AO176" i="24"/>
  <c r="AO165" i="24"/>
  <c r="AN154" i="24"/>
  <c r="AN144" i="24"/>
  <c r="AO133" i="24"/>
  <c r="AN122" i="24"/>
  <c r="AO112" i="24"/>
  <c r="AO101" i="24"/>
  <c r="AN90" i="24"/>
  <c r="AO81" i="24"/>
  <c r="AO72" i="24"/>
  <c r="AN63" i="24"/>
  <c r="AN54" i="24"/>
  <c r="AO45" i="24"/>
  <c r="AN139" i="24"/>
  <c r="AN129" i="24"/>
  <c r="AO120" i="24"/>
  <c r="AN112" i="24"/>
  <c r="AO104" i="24"/>
  <c r="AN96" i="24"/>
  <c r="AO88" i="24"/>
  <c r="AN80" i="24"/>
  <c r="AN72" i="24"/>
  <c r="AN64" i="24"/>
  <c r="AO56" i="24"/>
  <c r="AO48" i="24"/>
  <c r="AN40" i="24"/>
  <c r="AO395" i="24"/>
  <c r="AN373" i="24"/>
  <c r="AN354" i="24"/>
  <c r="AO398" i="24"/>
  <c r="AN382" i="24"/>
  <c r="AN366" i="24"/>
  <c r="AN350" i="24"/>
  <c r="AN334" i="24"/>
  <c r="AN318" i="24"/>
  <c r="AO302" i="24"/>
  <c r="AN289" i="24"/>
  <c r="AN278" i="24"/>
  <c r="AO267" i="24"/>
  <c r="AO257" i="24"/>
  <c r="AO333" i="24"/>
  <c r="AO322" i="24"/>
  <c r="AN312" i="24"/>
  <c r="AO301" i="24"/>
  <c r="AN290" i="24"/>
  <c r="AN280" i="24"/>
  <c r="AO269" i="24"/>
  <c r="AN258" i="24"/>
  <c r="AO248" i="24"/>
  <c r="AO247" i="24"/>
  <c r="AO236" i="24"/>
  <c r="AN226" i="24"/>
  <c r="AO213" i="24"/>
  <c r="AO202" i="24"/>
  <c r="AO192" i="24"/>
  <c r="AN181" i="24"/>
  <c r="AO170" i="24"/>
  <c r="AN160" i="24"/>
  <c r="AN149" i="24"/>
  <c r="AN240" i="24"/>
  <c r="AN230" i="24"/>
  <c r="AN217" i="24"/>
  <c r="AO206" i="24"/>
  <c r="AN196" i="24"/>
  <c r="AN185" i="24"/>
  <c r="AO174" i="24"/>
  <c r="AN164" i="24"/>
  <c r="AO153" i="24"/>
  <c r="AO142" i="24"/>
  <c r="AN132" i="24"/>
  <c r="AN121" i="24"/>
  <c r="AN110" i="24"/>
  <c r="AO100" i="24"/>
  <c r="AO89" i="24"/>
  <c r="AO80" i="24"/>
  <c r="AN71" i="24"/>
  <c r="AO62" i="24"/>
  <c r="AO53" i="24"/>
  <c r="AO44" i="24"/>
  <c r="AN137" i="24"/>
  <c r="AO128" i="24"/>
  <c r="AO119" i="24"/>
  <c r="AO111" i="24"/>
  <c r="AO103" i="24"/>
  <c r="AN95" i="24"/>
  <c r="AN87" i="24"/>
  <c r="AN79" i="24"/>
  <c r="AO71" i="24"/>
  <c r="AO63" i="24"/>
  <c r="AN55" i="24"/>
  <c r="AO47" i="24"/>
  <c r="AN39" i="24"/>
  <c r="AN394" i="24"/>
  <c r="AO371" i="24"/>
  <c r="AN351" i="24"/>
  <c r="AN395" i="24"/>
  <c r="AO379" i="24"/>
  <c r="AN363" i="24"/>
  <c r="AN347" i="24"/>
  <c r="AO331" i="24"/>
  <c r="AO315" i="24"/>
  <c r="AN301" i="24"/>
  <c r="AN287" i="24"/>
  <c r="AN277" i="24"/>
  <c r="AN266" i="24"/>
  <c r="AN255" i="24"/>
  <c r="AO332" i="24"/>
  <c r="AN321" i="24"/>
  <c r="AN310" i="24"/>
  <c r="AN300" i="24"/>
  <c r="AO289" i="24"/>
  <c r="AO278" i="24"/>
  <c r="AN268" i="24"/>
  <c r="AN257" i="24"/>
  <c r="AN246" i="24"/>
  <c r="AO246" i="24"/>
  <c r="AO235" i="24"/>
  <c r="AN224" i="24"/>
  <c r="AO212" i="24"/>
  <c r="AO201" i="24"/>
  <c r="AN190" i="24"/>
  <c r="AO180" i="24"/>
  <c r="AO169" i="24"/>
  <c r="AO158" i="24"/>
  <c r="AN148" i="24"/>
  <c r="AO239" i="24"/>
  <c r="AN228" i="24"/>
  <c r="AN216" i="24"/>
  <c r="AO205" i="24"/>
  <c r="AN194" i="24"/>
  <c r="AO184" i="24"/>
  <c r="AN173" i="24"/>
  <c r="AO162" i="24"/>
  <c r="AN152" i="24"/>
  <c r="AN141" i="24"/>
  <c r="AO130" i="24"/>
  <c r="AN120" i="24"/>
  <c r="AN109" i="24"/>
  <c r="AO98" i="24"/>
  <c r="AN88" i="24"/>
  <c r="AO79" i="24"/>
  <c r="AO70" i="24"/>
  <c r="AN61" i="24"/>
  <c r="AN52" i="24"/>
  <c r="AN42" i="24"/>
  <c r="AO136" i="24"/>
  <c r="AO127" i="24"/>
  <c r="AO118" i="24"/>
  <c r="AO110" i="24"/>
  <c r="AN102" i="24"/>
  <c r="AN94" i="24"/>
  <c r="AO86" i="24"/>
  <c r="AN78" i="24"/>
  <c r="AN70" i="24"/>
  <c r="AN62" i="24"/>
  <c r="AO54" i="24"/>
  <c r="AN46" i="24"/>
  <c r="AO347" i="24"/>
  <c r="AO343" i="24"/>
  <c r="AO285" i="24"/>
  <c r="AN329" i="24"/>
  <c r="AO286" i="24"/>
  <c r="AN244" i="24"/>
  <c r="AO209" i="24"/>
  <c r="AN166" i="24"/>
  <c r="AO226" i="24"/>
  <c r="AO181" i="24"/>
  <c r="AN138" i="24"/>
  <c r="AO96" i="24"/>
  <c r="AN58" i="24"/>
  <c r="AO125" i="24"/>
  <c r="AO92" i="24"/>
  <c r="AN60" i="24"/>
  <c r="AN393" i="24"/>
  <c r="AO329" i="24"/>
  <c r="AN275" i="24"/>
  <c r="AN320" i="24"/>
  <c r="AO277" i="24"/>
  <c r="AO244" i="24"/>
  <c r="AO200" i="24"/>
  <c r="AN157" i="24"/>
  <c r="AN214" i="24"/>
  <c r="AN172" i="24"/>
  <c r="AO129" i="24"/>
  <c r="AO87" i="24"/>
  <c r="AN50" i="24"/>
  <c r="AN117" i="24"/>
  <c r="AN85" i="24"/>
  <c r="AN53" i="24"/>
  <c r="AN391" i="24"/>
  <c r="AN327" i="24"/>
  <c r="AN274" i="24"/>
  <c r="AO318" i="24"/>
  <c r="AN276" i="24"/>
  <c r="AO243" i="24"/>
  <c r="AN198" i="24"/>
  <c r="AN156" i="24"/>
  <c r="AN213" i="24"/>
  <c r="AN170" i="24"/>
  <c r="AN128" i="24"/>
  <c r="AN86" i="24"/>
  <c r="AN49" i="24"/>
  <c r="AO116" i="24"/>
  <c r="AN84" i="24"/>
  <c r="AO52" i="24"/>
  <c r="AN389" i="24"/>
  <c r="AN377" i="24"/>
  <c r="AN313" i="24"/>
  <c r="AN265" i="24"/>
  <c r="AN309" i="24"/>
  <c r="AO266" i="24"/>
  <c r="AO234" i="24"/>
  <c r="AN189" i="24"/>
  <c r="AO146" i="24"/>
  <c r="AO204" i="24"/>
  <c r="AO161" i="24"/>
  <c r="AN118" i="24"/>
  <c r="AO78" i="24"/>
  <c r="AO41" i="24"/>
  <c r="AO109" i="24"/>
  <c r="AN77" i="24"/>
  <c r="AN45" i="24"/>
  <c r="AO387" i="24"/>
  <c r="AN375" i="24"/>
  <c r="AO311" i="24"/>
  <c r="AO263" i="24"/>
  <c r="AN308" i="24"/>
  <c r="AO265" i="24"/>
  <c r="AO232" i="24"/>
  <c r="AN188" i="24"/>
  <c r="AO145" i="24"/>
  <c r="AN202" i="24"/>
  <c r="AO160" i="24"/>
  <c r="AO117" i="24"/>
  <c r="AO77" i="24"/>
  <c r="AO40" i="24"/>
  <c r="AO108" i="24"/>
  <c r="AO76" i="24"/>
  <c r="AN44" i="24"/>
  <c r="AN349" i="24"/>
  <c r="AN345" i="24"/>
  <c r="AN286" i="24"/>
  <c r="AN330" i="24"/>
  <c r="AN288" i="24"/>
  <c r="AN245" i="24"/>
  <c r="AO210" i="24"/>
  <c r="AO168" i="24"/>
  <c r="AN227" i="24"/>
  <c r="AN182" i="24"/>
  <c r="AN140" i="24"/>
  <c r="AN97" i="24"/>
  <c r="AO60" i="24"/>
  <c r="AN126" i="24"/>
  <c r="AN93" i="24"/>
  <c r="AO61" i="24"/>
  <c r="AN297" i="24"/>
  <c r="AN222" i="24"/>
  <c r="AO149" i="24"/>
  <c r="AN100" i="24"/>
  <c r="AO254" i="24"/>
  <c r="AN178" i="24"/>
  <c r="AN108" i="24"/>
  <c r="AN69" i="24"/>
  <c r="AO340" i="24"/>
  <c r="AO177" i="24"/>
  <c r="AN106" i="24"/>
  <c r="AN68" i="24"/>
  <c r="AO370" i="24"/>
  <c r="AO298" i="24"/>
  <c r="AO238" i="24"/>
  <c r="AO69" i="24"/>
  <c r="AN365" i="24"/>
  <c r="AO297" i="24"/>
  <c r="AN236" i="24"/>
  <c r="AO68" i="24"/>
  <c r="AN361" i="24"/>
  <c r="AO256" i="24"/>
  <c r="AN193" i="24"/>
  <c r="AN135" i="24"/>
  <c r="AO150" i="24"/>
  <c r="AN134" i="24"/>
  <c r="AO359" i="24"/>
  <c r="AN299" i="24"/>
  <c r="AN254" i="24"/>
  <c r="AN223" i="24"/>
  <c r="AN192" i="24"/>
  <c r="AN101" i="24"/>
  <c r="G77" i="4"/>
  <c r="AU337" i="29"/>
  <c r="C337" i="29" s="1"/>
  <c r="AU235" i="29"/>
  <c r="C235" i="29" s="1"/>
  <c r="AU215" i="29"/>
  <c r="C215" i="29" s="1"/>
  <c r="AR399" i="23"/>
  <c r="AQ391" i="23"/>
  <c r="AR383" i="23"/>
  <c r="AR375" i="23"/>
  <c r="AQ367" i="23"/>
  <c r="AR359" i="23"/>
  <c r="AR351" i="23"/>
  <c r="AQ343" i="23"/>
  <c r="AR335" i="23"/>
  <c r="AQ327" i="23"/>
  <c r="AQ319" i="23"/>
  <c r="AR311" i="23"/>
  <c r="AQ396" i="23"/>
  <c r="AQ388" i="23"/>
  <c r="AQ380" i="23"/>
  <c r="AR372" i="23"/>
  <c r="AR364" i="23"/>
  <c r="AR356" i="23"/>
  <c r="AR348" i="23"/>
  <c r="AR340" i="23"/>
  <c r="AR332" i="23"/>
  <c r="AQ324" i="23"/>
  <c r="AQ316" i="23"/>
  <c r="AR308" i="23"/>
  <c r="AR300" i="23"/>
  <c r="AQ292" i="23"/>
  <c r="AR284" i="23"/>
  <c r="AR276" i="23"/>
  <c r="AR268" i="23"/>
  <c r="AQ260" i="23"/>
  <c r="AQ252" i="23"/>
  <c r="AQ244" i="23"/>
  <c r="AQ236" i="23"/>
  <c r="AQ228" i="23"/>
  <c r="AR218" i="23"/>
  <c r="AQ210" i="23"/>
  <c r="AR202" i="23"/>
  <c r="AQ194" i="23"/>
  <c r="AR186" i="23"/>
  <c r="AR178" i="23"/>
  <c r="AQ170" i="23"/>
  <c r="AR162" i="23"/>
  <c r="AR154" i="23"/>
  <c r="AR137" i="23"/>
  <c r="AR395" i="23"/>
  <c r="AQ387" i="23"/>
  <c r="AQ379" i="23"/>
  <c r="AQ371" i="23"/>
  <c r="AR363" i="23"/>
  <c r="AR355" i="23"/>
  <c r="AQ347" i="23"/>
  <c r="AQ339" i="23"/>
  <c r="AR331" i="23"/>
  <c r="AR323" i="23"/>
  <c r="AR315" i="23"/>
  <c r="AR400" i="23"/>
  <c r="AQ392" i="23"/>
  <c r="AQ384" i="23"/>
  <c r="AQ376" i="23"/>
  <c r="AR368" i="23"/>
  <c r="AQ360" i="23"/>
  <c r="AQ352" i="23"/>
  <c r="AR344" i="23"/>
  <c r="AQ336" i="23"/>
  <c r="AR328" i="23"/>
  <c r="AR320" i="23"/>
  <c r="AQ312" i="23"/>
  <c r="AR304" i="23"/>
  <c r="AR296" i="23"/>
  <c r="AQ288" i="23"/>
  <c r="AR280" i="23"/>
  <c r="AQ272" i="23"/>
  <c r="AQ264" i="23"/>
  <c r="AQ256" i="23"/>
  <c r="AQ248" i="23"/>
  <c r="AQ240" i="23"/>
  <c r="AQ232" i="23"/>
  <c r="AQ224" i="23"/>
  <c r="AQ214" i="23"/>
  <c r="AQ206" i="23"/>
  <c r="AR198" i="23"/>
  <c r="AQ190" i="23"/>
  <c r="AQ182" i="23"/>
  <c r="AR174" i="23"/>
  <c r="AR166" i="23"/>
  <c r="AR158" i="23"/>
  <c r="AR150" i="23"/>
  <c r="AR124" i="23"/>
  <c r="AQ394" i="23"/>
  <c r="AR386" i="23"/>
  <c r="AR378" i="23"/>
  <c r="AQ370" i="23"/>
  <c r="AR362" i="23"/>
  <c r="AQ354" i="23"/>
  <c r="AQ346" i="23"/>
  <c r="AQ338" i="23"/>
  <c r="AQ330" i="23"/>
  <c r="AR322" i="23"/>
  <c r="AR314" i="23"/>
  <c r="AQ399" i="23"/>
  <c r="AU399" i="23" s="1"/>
  <c r="C399" i="23" s="1"/>
  <c r="AR391" i="23"/>
  <c r="AQ383" i="23"/>
  <c r="AU383" i="23" s="1"/>
  <c r="C383" i="23" s="1"/>
  <c r="AQ375" i="23"/>
  <c r="AU375" i="23" s="1"/>
  <c r="C375" i="23" s="1"/>
  <c r="AR367" i="23"/>
  <c r="AQ359" i="23"/>
  <c r="AU359" i="23" s="1"/>
  <c r="C359" i="23" s="1"/>
  <c r="AQ351" i="23"/>
  <c r="AU351" i="23" s="1"/>
  <c r="C351" i="23" s="1"/>
  <c r="AR343" i="23"/>
  <c r="AQ335" i="23"/>
  <c r="AU335" i="23" s="1"/>
  <c r="C335" i="23" s="1"/>
  <c r="AR327" i="23"/>
  <c r="AR319" i="23"/>
  <c r="AQ311" i="23"/>
  <c r="AU311" i="23" s="1"/>
  <c r="C311" i="23" s="1"/>
  <c r="AR303" i="23"/>
  <c r="AR295" i="23"/>
  <c r="AQ287" i="23"/>
  <c r="AQ279" i="23"/>
  <c r="AR271" i="23"/>
  <c r="AR263" i="23"/>
  <c r="AQ255" i="23"/>
  <c r="AR247" i="23"/>
  <c r="AQ239" i="23"/>
  <c r="AR396" i="23"/>
  <c r="AQ382" i="23"/>
  <c r="AQ369" i="23"/>
  <c r="AQ357" i="23"/>
  <c r="AQ344" i="23"/>
  <c r="AU344" i="23" s="1"/>
  <c r="C344" i="23" s="1"/>
  <c r="AQ332" i="23"/>
  <c r="AU332" i="23" s="1"/>
  <c r="C332" i="23" s="1"/>
  <c r="AR318" i="23"/>
  <c r="AR398" i="23"/>
  <c r="AQ386" i="23"/>
  <c r="AU386" i="23" s="1"/>
  <c r="C386" i="23" s="1"/>
  <c r="AQ373" i="23"/>
  <c r="AQ361" i="23"/>
  <c r="AR347" i="23"/>
  <c r="AQ334" i="23"/>
  <c r="AQ322" i="23"/>
  <c r="AU322" i="23" s="1"/>
  <c r="C322" i="23" s="1"/>
  <c r="AR309" i="23"/>
  <c r="AR297" i="23"/>
  <c r="AR283" i="23"/>
  <c r="AQ270" i="23"/>
  <c r="AQ258" i="23"/>
  <c r="AR245" i="23"/>
  <c r="AR233" i="23"/>
  <c r="AQ222" i="23"/>
  <c r="AR209" i="23"/>
  <c r="AR199" i="23"/>
  <c r="AQ188" i="23"/>
  <c r="AR177" i="23"/>
  <c r="AR167" i="23"/>
  <c r="AQ156" i="23"/>
  <c r="AQ133" i="23"/>
  <c r="AR110" i="23"/>
  <c r="AR94" i="23"/>
  <c r="AQ301" i="23"/>
  <c r="AR293" i="23"/>
  <c r="AR285" i="23"/>
  <c r="AQ277" i="23"/>
  <c r="AR269" i="23"/>
  <c r="AR261" i="23"/>
  <c r="AR253" i="23"/>
  <c r="AQ245" i="23"/>
  <c r="AR237" i="23"/>
  <c r="AR229" i="23"/>
  <c r="AQ221" i="23"/>
  <c r="AR211" i="23"/>
  <c r="AR203" i="23"/>
  <c r="AR195" i="23"/>
  <c r="AR187" i="23"/>
  <c r="AQ179" i="23"/>
  <c r="AR171" i="23"/>
  <c r="AR163" i="23"/>
  <c r="AR155" i="23"/>
  <c r="AR147" i="23"/>
  <c r="AR139" i="23"/>
  <c r="AR131" i="23"/>
  <c r="AR123" i="23"/>
  <c r="AQ115" i="23"/>
  <c r="AQ107" i="23"/>
  <c r="AR99" i="23"/>
  <c r="AQ91" i="23"/>
  <c r="AQ140" i="23"/>
  <c r="AQ130" i="23"/>
  <c r="AR116" i="23"/>
  <c r="AR101" i="23"/>
  <c r="AQ88" i="23"/>
  <c r="AR80" i="23"/>
  <c r="AR72" i="23"/>
  <c r="AR64" i="23"/>
  <c r="AR56" i="23"/>
  <c r="AR48" i="23"/>
  <c r="AQ40" i="23"/>
  <c r="AR83" i="23"/>
  <c r="AR75" i="23"/>
  <c r="AR67" i="23"/>
  <c r="AR59" i="23"/>
  <c r="AR51" i="23"/>
  <c r="AR43" i="23"/>
  <c r="AL397" i="23"/>
  <c r="AL389" i="23"/>
  <c r="AM381" i="23"/>
  <c r="AM373" i="23"/>
  <c r="AL365" i="23"/>
  <c r="AL357" i="23"/>
  <c r="AM349" i="23"/>
  <c r="AL341" i="23"/>
  <c r="AM333" i="23"/>
  <c r="AM325" i="23"/>
  <c r="AM317" i="23"/>
  <c r="AL309" i="23"/>
  <c r="AM394" i="23"/>
  <c r="AL386" i="23"/>
  <c r="AL378" i="23"/>
  <c r="AM370" i="23"/>
  <c r="AL362" i="23"/>
  <c r="AM354" i="23"/>
  <c r="AM346" i="23"/>
  <c r="AM338" i="23"/>
  <c r="AM330" i="23"/>
  <c r="AL322" i="23"/>
  <c r="AL314" i="23"/>
  <c r="AM306" i="23"/>
  <c r="AM298" i="23"/>
  <c r="AM290" i="23"/>
  <c r="AM282" i="23"/>
  <c r="AM274" i="23"/>
  <c r="AL266" i="23"/>
  <c r="AL258" i="23"/>
  <c r="AM250" i="23"/>
  <c r="AL242" i="23"/>
  <c r="AL234" i="23"/>
  <c r="AM226" i="23"/>
  <c r="AM216" i="23"/>
  <c r="AM208" i="23"/>
  <c r="AL200" i="23"/>
  <c r="AL192" i="23"/>
  <c r="AL184" i="23"/>
  <c r="AM176" i="23"/>
  <c r="AM168" i="23"/>
  <c r="AL160" i="23"/>
  <c r="AM150" i="23"/>
  <c r="AM119" i="23"/>
  <c r="AM103" i="23"/>
  <c r="AL304" i="23"/>
  <c r="AL296" i="23"/>
  <c r="AM288" i="23"/>
  <c r="AL280" i="23"/>
  <c r="AM272" i="23"/>
  <c r="AM264" i="23"/>
  <c r="AM256" i="23"/>
  <c r="AM248" i="23"/>
  <c r="AM240" i="23"/>
  <c r="AM232" i="23"/>
  <c r="AM224" i="23"/>
  <c r="AM214" i="23"/>
  <c r="AM206" i="23"/>
  <c r="AL198" i="23"/>
  <c r="AM190" i="23"/>
  <c r="AM182" i="23"/>
  <c r="AL174" i="23"/>
  <c r="AL166" i="23"/>
  <c r="AL158" i="23"/>
  <c r="AQ389" i="23"/>
  <c r="AR376" i="23"/>
  <c r="AQ364" i="23"/>
  <c r="AU364" i="23" s="1"/>
  <c r="C364" i="23" s="1"/>
  <c r="AQ350" i="23"/>
  <c r="AR337" i="23"/>
  <c r="AR325" i="23"/>
  <c r="AR312" i="23"/>
  <c r="AR393" i="23"/>
  <c r="AR379" i="23"/>
  <c r="AR366" i="23"/>
  <c r="AR354" i="23"/>
  <c r="AR341" i="23"/>
  <c r="AR329" i="23"/>
  <c r="AQ315" i="23"/>
  <c r="AU315" i="23" s="1"/>
  <c r="C315" i="23" s="1"/>
  <c r="AR302" i="23"/>
  <c r="AR290" i="23"/>
  <c r="AR277" i="23"/>
  <c r="AQ265" i="23"/>
  <c r="AR251" i="23"/>
  <c r="AR238" i="23"/>
  <c r="AQ227" i="23"/>
  <c r="AR215" i="23"/>
  <c r="AR204" i="23"/>
  <c r="AR193" i="23"/>
  <c r="AQ183" i="23"/>
  <c r="AQ172" i="23"/>
  <c r="AQ161" i="23"/>
  <c r="AR151" i="23"/>
  <c r="AR119" i="23"/>
  <c r="AR103" i="23"/>
  <c r="AQ305" i="23"/>
  <c r="AQ297" i="23"/>
  <c r="AU297" i="23" s="1"/>
  <c r="C297" i="23" s="1"/>
  <c r="AR289" i="23"/>
  <c r="AR281" i="23"/>
  <c r="AR273" i="23"/>
  <c r="AR265" i="23"/>
  <c r="AQ257" i="23"/>
  <c r="AR249" i="23"/>
  <c r="AQ241" i="23"/>
  <c r="AQ233" i="23"/>
  <c r="AU233" i="23" s="1"/>
  <c r="C233" i="23" s="1"/>
  <c r="AR225" i="23"/>
  <c r="AQ215" i="23"/>
  <c r="AU215" i="23" s="1"/>
  <c r="C215" i="23" s="1"/>
  <c r="AR207" i="23"/>
  <c r="AQ199" i="23"/>
  <c r="AU199" i="23" s="1"/>
  <c r="C199" i="23" s="1"/>
  <c r="AQ191" i="23"/>
  <c r="AR183" i="23"/>
  <c r="AQ175" i="23"/>
  <c r="AQ167" i="23"/>
  <c r="AU167" i="23" s="1"/>
  <c r="C167" i="23" s="1"/>
  <c r="AQ159" i="23"/>
  <c r="AQ151" i="23"/>
  <c r="AQ143" i="23"/>
  <c r="AR135" i="23"/>
  <c r="AR127" i="23"/>
  <c r="AQ119" i="23"/>
  <c r="AU119" i="23" s="1"/>
  <c r="C119" i="23" s="1"/>
  <c r="AR111" i="23"/>
  <c r="AQ103" i="23"/>
  <c r="AU103" i="23" s="1"/>
  <c r="C103" i="23" s="1"/>
  <c r="AR95" i="23"/>
  <c r="AQ147" i="23"/>
  <c r="AU147" i="23" s="1"/>
  <c r="C147" i="23" s="1"/>
  <c r="AQ135" i="23"/>
  <c r="AQ123" i="23"/>
  <c r="AU123" i="23" s="1"/>
  <c r="C123" i="23" s="1"/>
  <c r="AR109" i="23"/>
  <c r="AQ93" i="23"/>
  <c r="AQ84" i="23"/>
  <c r="AR76" i="23"/>
  <c r="AR68" i="23"/>
  <c r="AR60" i="23"/>
  <c r="AQ52" i="23"/>
  <c r="AQ44" i="23"/>
  <c r="AR87" i="23"/>
  <c r="AQ79" i="23"/>
  <c r="AR71" i="23"/>
  <c r="AQ63" i="23"/>
  <c r="AR55" i="23"/>
  <c r="AQ47" i="23"/>
  <c r="AQ39" i="23"/>
  <c r="AL393" i="23"/>
  <c r="AM385" i="23"/>
  <c r="AL377" i="23"/>
  <c r="AL369" i="23"/>
  <c r="AM361" i="23"/>
  <c r="AM353" i="23"/>
  <c r="AL345" i="23"/>
  <c r="AM337" i="23"/>
  <c r="AL329" i="23"/>
  <c r="AL321" i="23"/>
  <c r="AL313" i="23"/>
  <c r="AM398" i="23"/>
  <c r="AM390" i="23"/>
  <c r="AM382" i="23"/>
  <c r="AL374" i="23"/>
  <c r="AM366" i="23"/>
  <c r="AL358" i="23"/>
  <c r="AM350" i="23"/>
  <c r="AM342" i="23"/>
  <c r="AL334" i="23"/>
  <c r="AL326" i="23"/>
  <c r="AL318" i="23"/>
  <c r="AL310" i="23"/>
  <c r="AM302" i="23"/>
  <c r="AM294" i="23"/>
  <c r="AL286" i="23"/>
  <c r="AM278" i="23"/>
  <c r="AL270" i="23"/>
  <c r="AM262" i="23"/>
  <c r="AL254" i="23"/>
  <c r="AM246" i="23"/>
  <c r="AM238" i="23"/>
  <c r="AM230" i="23"/>
  <c r="AL222" i="23"/>
  <c r="AM212" i="23"/>
  <c r="AM204" i="23"/>
  <c r="AL196" i="23"/>
  <c r="AL188" i="23"/>
  <c r="AM180" i="23"/>
  <c r="AL172" i="23"/>
  <c r="AL164" i="23"/>
  <c r="AL155" i="23"/>
  <c r="AM142" i="23"/>
  <c r="AM110" i="23"/>
  <c r="AM92" i="23"/>
  <c r="AL300" i="23"/>
  <c r="AM292" i="23"/>
  <c r="AL284" i="23"/>
  <c r="AL276" i="23"/>
  <c r="AL268" i="23"/>
  <c r="AM260" i="23"/>
  <c r="AM252" i="23"/>
  <c r="AM244" i="23"/>
  <c r="AM236" i="23"/>
  <c r="AM228" i="23"/>
  <c r="AL218" i="23"/>
  <c r="AM210" i="23"/>
  <c r="AL202" i="23"/>
  <c r="AM194" i="23"/>
  <c r="AL186" i="23"/>
  <c r="AL178" i="23"/>
  <c r="AM170" i="23"/>
  <c r="AL162" i="23"/>
  <c r="AL154" i="23"/>
  <c r="AQ400" i="23"/>
  <c r="AR388" i="23"/>
  <c r="AR374" i="23"/>
  <c r="AR361" i="23"/>
  <c r="AR349" i="23"/>
  <c r="AR336" i="23"/>
  <c r="AR324" i="23"/>
  <c r="AR310" i="23"/>
  <c r="AR390" i="23"/>
  <c r="AQ378" i="23"/>
  <c r="AU378" i="23" s="1"/>
  <c r="C378" i="23" s="1"/>
  <c r="AR365" i="23"/>
  <c r="AQ353" i="23"/>
  <c r="AR339" i="23"/>
  <c r="AQ326" i="23"/>
  <c r="AQ314" i="23"/>
  <c r="AU314" i="23" s="1"/>
  <c r="C314" i="23" s="1"/>
  <c r="AR301" i="23"/>
  <c r="AQ289" i="23"/>
  <c r="AU289" i="23" s="1"/>
  <c r="C289" i="23" s="1"/>
  <c r="AR275" i="23"/>
  <c r="AR262" i="23"/>
  <c r="AR250" i="23"/>
  <c r="AQ237" i="23"/>
  <c r="AU237" i="23" s="1"/>
  <c r="C237" i="23" s="1"/>
  <c r="AR226" i="23"/>
  <c r="AQ213" i="23"/>
  <c r="AQ203" i="23"/>
  <c r="AQ192" i="23"/>
  <c r="AQ181" i="23"/>
  <c r="AQ171" i="23"/>
  <c r="AU171" i="23" s="1"/>
  <c r="C171" i="23" s="1"/>
  <c r="AQ160" i="23"/>
  <c r="AQ146" i="23"/>
  <c r="AR118" i="23"/>
  <c r="AR98" i="23"/>
  <c r="AQ304" i="23"/>
  <c r="AQ296" i="23"/>
  <c r="AU296" i="23" s="1"/>
  <c r="C296" i="23" s="1"/>
  <c r="AR288" i="23"/>
  <c r="AQ280" i="23"/>
  <c r="AR272" i="23"/>
  <c r="AR264" i="23"/>
  <c r="AR256" i="23"/>
  <c r="AR248" i="23"/>
  <c r="AR240" i="23"/>
  <c r="AR232" i="23"/>
  <c r="AR224" i="23"/>
  <c r="AR214" i="23"/>
  <c r="AR206" i="23"/>
  <c r="AQ198" i="23"/>
  <c r="AU198" i="23" s="1"/>
  <c r="C198" i="23" s="1"/>
  <c r="AR190" i="23"/>
  <c r="AR182" i="23"/>
  <c r="AQ174" i="23"/>
  <c r="AU174" i="23" s="1"/>
  <c r="C174" i="23" s="1"/>
  <c r="AQ166" i="23"/>
  <c r="AU166" i="23" s="1"/>
  <c r="C166" i="23" s="1"/>
  <c r="AQ158" i="23"/>
  <c r="AU158" i="23" s="1"/>
  <c r="C158" i="23" s="1"/>
  <c r="AQ150" i="23"/>
  <c r="AU150" i="23" s="1"/>
  <c r="C150" i="23" s="1"/>
  <c r="AQ142" i="23"/>
  <c r="AR134" i="23"/>
  <c r="AQ126" i="23"/>
  <c r="AQ118" i="23"/>
  <c r="AQ110" i="23"/>
  <c r="AU110" i="23" s="1"/>
  <c r="C110" i="23" s="1"/>
  <c r="AQ102" i="23"/>
  <c r="AQ94" i="23"/>
  <c r="AU94" i="23" s="1"/>
  <c r="C94" i="23" s="1"/>
  <c r="AR143" i="23"/>
  <c r="AQ134" i="23"/>
  <c r="AQ122" i="23"/>
  <c r="AR107" i="23"/>
  <c r="AR92" i="23"/>
  <c r="AQ83" i="23"/>
  <c r="AU83" i="23" s="1"/>
  <c r="C83" i="23" s="1"/>
  <c r="AQ75" i="23"/>
  <c r="AQ67" i="23"/>
  <c r="AU67" i="23" s="1"/>
  <c r="C67" i="23" s="1"/>
  <c r="AQ59" i="23"/>
  <c r="AU59" i="23" s="1"/>
  <c r="C59" i="23" s="1"/>
  <c r="AQ51" i="23"/>
  <c r="AU51" i="23" s="1"/>
  <c r="C51" i="23" s="1"/>
  <c r="AQ43" i="23"/>
  <c r="AU43" i="23" s="1"/>
  <c r="C43" i="23" s="1"/>
  <c r="AQ86" i="23"/>
  <c r="AR78" i="23"/>
  <c r="AR70" i="23"/>
  <c r="AQ62" i="23"/>
  <c r="AR54" i="23"/>
  <c r="AQ46" i="23"/>
  <c r="AL400" i="23"/>
  <c r="AM392" i="23"/>
  <c r="AM384" i="23"/>
  <c r="AM376" i="23"/>
  <c r="AL368" i="23"/>
  <c r="AM360" i="23"/>
  <c r="AM352" i="23"/>
  <c r="AL344" i="23"/>
  <c r="AM336" i="23"/>
  <c r="AL328" i="23"/>
  <c r="AQ398" i="23"/>
  <c r="AR385" i="23"/>
  <c r="AR373" i="23"/>
  <c r="AR360" i="23"/>
  <c r="AQ348" i="23"/>
  <c r="AU348" i="23" s="1"/>
  <c r="C348" i="23" s="1"/>
  <c r="AR334" i="23"/>
  <c r="AQ321" i="23"/>
  <c r="AQ309" i="23"/>
  <c r="AU309" i="23" s="1"/>
  <c r="C309" i="23" s="1"/>
  <c r="AR389" i="23"/>
  <c r="AR377" i="23"/>
  <c r="AQ363" i="23"/>
  <c r="AU363" i="23" s="1"/>
  <c r="C363" i="23" s="1"/>
  <c r="AR350" i="23"/>
  <c r="AR338" i="23"/>
  <c r="AQ325" i="23"/>
  <c r="AU325" i="23" s="1"/>
  <c r="C325" i="23" s="1"/>
  <c r="AR313" i="23"/>
  <c r="AQ299" i="23"/>
  <c r="AQ286" i="23"/>
  <c r="AR274" i="23"/>
  <c r="AQ261" i="23"/>
  <c r="AU261" i="23" s="1"/>
  <c r="C261" i="23" s="1"/>
  <c r="AQ249" i="23"/>
  <c r="AU249" i="23" s="1"/>
  <c r="C249" i="23" s="1"/>
  <c r="AQ235" i="23"/>
  <c r="AQ225" i="23"/>
  <c r="AU225" i="23" s="1"/>
  <c r="C225" i="23" s="1"/>
  <c r="AR212" i="23"/>
  <c r="AQ201" i="23"/>
  <c r="AR191" i="23"/>
  <c r="AR180" i="23"/>
  <c r="AQ169" i="23"/>
  <c r="AR159" i="23"/>
  <c r="AR145" i="23"/>
  <c r="AR115" i="23"/>
  <c r="AQ97" i="23"/>
  <c r="AQ303" i="23"/>
  <c r="AU303" i="23" s="1"/>
  <c r="C303" i="23" s="1"/>
  <c r="AQ295" i="23"/>
  <c r="AU295" i="23" s="1"/>
  <c r="C295" i="23" s="1"/>
  <c r="AR287" i="23"/>
  <c r="AR279" i="23"/>
  <c r="AQ271" i="23"/>
  <c r="AQ263" i="23"/>
  <c r="AU263" i="23" s="1"/>
  <c r="C263" i="23" s="1"/>
  <c r="AR255" i="23"/>
  <c r="AQ247" i="23"/>
  <c r="AR239" i="23"/>
  <c r="AQ231" i="23"/>
  <c r="AR223" i="23"/>
  <c r="AR213" i="23"/>
  <c r="AR205" i="23"/>
  <c r="AR197" i="23"/>
  <c r="AQ189" i="23"/>
  <c r="AR181" i="23"/>
  <c r="AR173" i="23"/>
  <c r="AR165" i="23"/>
  <c r="AR157" i="23"/>
  <c r="AQ149" i="23"/>
  <c r="AR141" i="23"/>
  <c r="AR133" i="23"/>
  <c r="AQ125" i="23"/>
  <c r="AR117" i="23"/>
  <c r="AQ109" i="23"/>
  <c r="AU109" i="23" s="1"/>
  <c r="C109" i="23" s="1"/>
  <c r="AQ101" i="23"/>
  <c r="AU101" i="23" s="1"/>
  <c r="C101" i="23" s="1"/>
  <c r="AR93" i="23"/>
  <c r="AR142" i="23"/>
  <c r="AQ132" i="23"/>
  <c r="AQ120" i="23"/>
  <c r="AR105" i="23"/>
  <c r="AR90" i="23"/>
  <c r="AQ82" i="23"/>
  <c r="AQ74" i="23"/>
  <c r="AQ66" i="23"/>
  <c r="AQ58" i="23"/>
  <c r="AQ50" i="23"/>
  <c r="AQ42" i="23"/>
  <c r="AQ85" i="23"/>
  <c r="AQ77" i="23"/>
  <c r="AR69" i="23"/>
  <c r="AR61" i="23"/>
  <c r="AQ53" i="23"/>
  <c r="AR45" i="23"/>
  <c r="AM399" i="23"/>
  <c r="AL391" i="23"/>
  <c r="AM383" i="23"/>
  <c r="AM375" i="23"/>
  <c r="AL367" i="23"/>
  <c r="AM359" i="23"/>
  <c r="AM351" i="23"/>
  <c r="AL343" i="23"/>
  <c r="AQ390" i="23"/>
  <c r="AQ365" i="23"/>
  <c r="AU365" i="23" s="1"/>
  <c r="C365" i="23" s="1"/>
  <c r="AQ340" i="23"/>
  <c r="AQ313" i="23"/>
  <c r="AU313" i="23" s="1"/>
  <c r="C313" i="23" s="1"/>
  <c r="AQ381" i="23"/>
  <c r="AQ355" i="23"/>
  <c r="AU355" i="23" s="1"/>
  <c r="C355" i="23" s="1"/>
  <c r="AR330" i="23"/>
  <c r="AR305" i="23"/>
  <c r="AR278" i="23"/>
  <c r="AQ253" i="23"/>
  <c r="AU253" i="23" s="1"/>
  <c r="C253" i="23" s="1"/>
  <c r="AQ229" i="23"/>
  <c r="AU229" i="23" s="1"/>
  <c r="C229" i="23" s="1"/>
  <c r="AQ205" i="23"/>
  <c r="AQ184" i="23"/>
  <c r="AQ163" i="23"/>
  <c r="AU163" i="23" s="1"/>
  <c r="C163" i="23" s="1"/>
  <c r="AQ121" i="23"/>
  <c r="AQ306" i="23"/>
  <c r="AQ290" i="23"/>
  <c r="AQ274" i="23"/>
  <c r="AU274" i="23" s="1"/>
  <c r="C274" i="23" s="1"/>
  <c r="AR258" i="23"/>
  <c r="AR242" i="23"/>
  <c r="AQ226" i="23"/>
  <c r="AU226" i="23" s="1"/>
  <c r="C226" i="23" s="1"/>
  <c r="AQ208" i="23"/>
  <c r="AR192" i="23"/>
  <c r="AQ176" i="23"/>
  <c r="AR160" i="23"/>
  <c r="AQ144" i="23"/>
  <c r="AR128" i="23"/>
  <c r="AR112" i="23"/>
  <c r="AR96" i="23"/>
  <c r="AQ136" i="23"/>
  <c r="AQ111" i="23"/>
  <c r="AU111" i="23" s="1"/>
  <c r="C111" i="23" s="1"/>
  <c r="AR85" i="23"/>
  <c r="AQ69" i="23"/>
  <c r="AU69" i="23" s="1"/>
  <c r="C69" i="23" s="1"/>
  <c r="AR53" i="23"/>
  <c r="AR88" i="23"/>
  <c r="AQ72" i="23"/>
  <c r="AU72" i="23" s="1"/>
  <c r="C72" i="23" s="1"/>
  <c r="AQ56" i="23"/>
  <c r="AU56" i="23" s="1"/>
  <c r="C56" i="23" s="1"/>
  <c r="AR40" i="23"/>
  <c r="AM386" i="23"/>
  <c r="AL370" i="23"/>
  <c r="AL354" i="23"/>
  <c r="AL338" i="23"/>
  <c r="AM324" i="23"/>
  <c r="AM314" i="23"/>
  <c r="AL396" i="23"/>
  <c r="AL385" i="23"/>
  <c r="AL375" i="23"/>
  <c r="AM364" i="23"/>
  <c r="AL353" i="23"/>
  <c r="AM343" i="23"/>
  <c r="AM332" i="23"/>
  <c r="AM321" i="23"/>
  <c r="AL311" i="23"/>
  <c r="AM300" i="23"/>
  <c r="AL289" i="23"/>
  <c r="AL279" i="23"/>
  <c r="AM268" i="23"/>
  <c r="AM257" i="23"/>
  <c r="AM247" i="23"/>
  <c r="AL236" i="23"/>
  <c r="AL225" i="23"/>
  <c r="AL213" i="23"/>
  <c r="AM202" i="23"/>
  <c r="AM191" i="23"/>
  <c r="AL181" i="23"/>
  <c r="AL170" i="23"/>
  <c r="AM159" i="23"/>
  <c r="AM144" i="23"/>
  <c r="AM106" i="23"/>
  <c r="AL303" i="23"/>
  <c r="AM293" i="23"/>
  <c r="AL282" i="23"/>
  <c r="AL271" i="23"/>
  <c r="AM261" i="23"/>
  <c r="AL250" i="23"/>
  <c r="AM239" i="23"/>
  <c r="AM229" i="23"/>
  <c r="AL216" i="23"/>
  <c r="AM205" i="23"/>
  <c r="AM195" i="23"/>
  <c r="AM184" i="23"/>
  <c r="AM173" i="23"/>
  <c r="AM163" i="23"/>
  <c r="AL152" i="23"/>
  <c r="AL144" i="23"/>
  <c r="AM136" i="23"/>
  <c r="AM128" i="23"/>
  <c r="AM120" i="23"/>
  <c r="AM112" i="23"/>
  <c r="AM104" i="23"/>
  <c r="AM96" i="23"/>
  <c r="AM151" i="23"/>
  <c r="AL138" i="23"/>
  <c r="AL130" i="23"/>
  <c r="AL117" i="23"/>
  <c r="AM102" i="23"/>
  <c r="AM90" i="23"/>
  <c r="AL82" i="23"/>
  <c r="AL74" i="23"/>
  <c r="AL66" i="23"/>
  <c r="AL58" i="23"/>
  <c r="AL50" i="23"/>
  <c r="AL42" i="23"/>
  <c r="AL85" i="23"/>
  <c r="AL77" i="23"/>
  <c r="AM69" i="23"/>
  <c r="AM61" i="23"/>
  <c r="AL53" i="23"/>
  <c r="AM45" i="23"/>
  <c r="AR384" i="23"/>
  <c r="AR358" i="23"/>
  <c r="AR333" i="23"/>
  <c r="AQ308" i="23"/>
  <c r="AU308" i="23" s="1"/>
  <c r="C308" i="23" s="1"/>
  <c r="AQ374" i="23"/>
  <c r="AU374" i="23" s="1"/>
  <c r="C374" i="23" s="1"/>
  <c r="AQ349" i="23"/>
  <c r="AU349" i="23" s="1"/>
  <c r="C349" i="23" s="1"/>
  <c r="AQ323" i="23"/>
  <c r="AU323" i="23" s="1"/>
  <c r="C323" i="23" s="1"/>
  <c r="AR298" i="23"/>
  <c r="AQ273" i="23"/>
  <c r="AU273" i="23" s="1"/>
  <c r="C273" i="23" s="1"/>
  <c r="AR246" i="23"/>
  <c r="AQ223" i="23"/>
  <c r="AU223" i="23" s="1"/>
  <c r="C223" i="23" s="1"/>
  <c r="AQ200" i="23"/>
  <c r="AR179" i="23"/>
  <c r="AQ157" i="23"/>
  <c r="AU157" i="23" s="1"/>
  <c r="C157" i="23" s="1"/>
  <c r="AQ114" i="23"/>
  <c r="AQ302" i="23"/>
  <c r="AU302" i="23" s="1"/>
  <c r="C302" i="23" s="1"/>
  <c r="AR286" i="23"/>
  <c r="AR270" i="23"/>
  <c r="AR254" i="23"/>
  <c r="AQ238" i="23"/>
  <c r="AU238" i="23" s="1"/>
  <c r="C238" i="23" s="1"/>
  <c r="AR222" i="23"/>
  <c r="AQ204" i="23"/>
  <c r="AU204" i="23" s="1"/>
  <c r="C204" i="23" s="1"/>
  <c r="AR188" i="23"/>
  <c r="AR172" i="23"/>
  <c r="AR156" i="23"/>
  <c r="AR140" i="23"/>
  <c r="AQ124" i="23"/>
  <c r="AU124" i="23" s="1"/>
  <c r="C124" i="23" s="1"/>
  <c r="AQ108" i="23"/>
  <c r="AQ92" i="23"/>
  <c r="AU92" i="23" s="1"/>
  <c r="C92" i="23" s="1"/>
  <c r="AQ131" i="23"/>
  <c r="AU131" i="23" s="1"/>
  <c r="C131" i="23" s="1"/>
  <c r="AR102" i="23"/>
  <c r="AR81" i="23"/>
  <c r="AR65" i="23"/>
  <c r="AR49" i="23"/>
  <c r="AR84" i="23"/>
  <c r="AQ68" i="23"/>
  <c r="AU68" i="23" s="1"/>
  <c r="C68" i="23" s="1"/>
  <c r="AR52" i="23"/>
  <c r="AL398" i="23"/>
  <c r="AL382" i="23"/>
  <c r="AL366" i="23"/>
  <c r="AL350" i="23"/>
  <c r="AM335" i="23"/>
  <c r="AM323" i="23"/>
  <c r="AM312" i="23"/>
  <c r="AL395" i="23"/>
  <c r="AL384" i="23"/>
  <c r="AL373" i="23"/>
  <c r="AL363" i="23"/>
  <c r="AL352" i="23"/>
  <c r="AM341" i="23"/>
  <c r="AL331" i="23"/>
  <c r="AM320" i="23"/>
  <c r="AM309" i="23"/>
  <c r="AL299" i="23"/>
  <c r="AL288" i="23"/>
  <c r="AM277" i="23"/>
  <c r="AL267" i="23"/>
  <c r="AL256" i="23"/>
  <c r="AM245" i="23"/>
  <c r="AL235" i="23"/>
  <c r="AL224" i="23"/>
  <c r="AL211" i="23"/>
  <c r="AL201" i="23"/>
  <c r="AL190" i="23"/>
  <c r="AM179" i="23"/>
  <c r="AL169" i="23"/>
  <c r="AM158" i="23"/>
  <c r="AM129" i="23"/>
  <c r="AL104" i="23"/>
  <c r="AL302" i="23"/>
  <c r="AL291" i="23"/>
  <c r="AM281" i="23"/>
  <c r="AM270" i="23"/>
  <c r="AM259" i="23"/>
  <c r="AM249" i="23"/>
  <c r="AL238" i="23"/>
  <c r="AM227" i="23"/>
  <c r="AL215" i="23"/>
  <c r="AL204" i="23"/>
  <c r="AL193" i="23"/>
  <c r="AM183" i="23"/>
  <c r="AM172" i="23"/>
  <c r="AM161" i="23"/>
  <c r="AL151" i="23"/>
  <c r="AL143" i="23"/>
  <c r="AR381" i="23"/>
  <c r="AQ356" i="23"/>
  <c r="AU356" i="23" s="1"/>
  <c r="C356" i="23" s="1"/>
  <c r="AQ329" i="23"/>
  <c r="AR397" i="23"/>
  <c r="AR371" i="23"/>
  <c r="AR346" i="23"/>
  <c r="AR321" i="23"/>
  <c r="AR294" i="23"/>
  <c r="AQ269" i="23"/>
  <c r="AU269" i="23" s="1"/>
  <c r="C269" i="23" s="1"/>
  <c r="AQ243" i="23"/>
  <c r="AR221" i="23"/>
  <c r="AQ197" i="23"/>
  <c r="AU197" i="23" s="1"/>
  <c r="C197" i="23" s="1"/>
  <c r="AR176" i="23"/>
  <c r="AQ155" i="23"/>
  <c r="AU155" i="23" s="1"/>
  <c r="C155" i="23" s="1"/>
  <c r="AR108" i="23"/>
  <c r="AQ300" i="23"/>
  <c r="AU300" i="23" s="1"/>
  <c r="C300" i="23" s="1"/>
  <c r="AQ284" i="23"/>
  <c r="AU284" i="23" s="1"/>
  <c r="C284" i="23" s="1"/>
  <c r="AQ268" i="23"/>
  <c r="AU268" i="23" s="1"/>
  <c r="C268" i="23" s="1"/>
  <c r="AR252" i="23"/>
  <c r="AR236" i="23"/>
  <c r="AQ218" i="23"/>
  <c r="AQ202" i="23"/>
  <c r="AU202" i="23" s="1"/>
  <c r="C202" i="23" s="1"/>
  <c r="AQ186" i="23"/>
  <c r="AU186" i="23" s="1"/>
  <c r="C186" i="23" s="1"/>
  <c r="AR170" i="23"/>
  <c r="AQ154" i="23"/>
  <c r="AU154" i="23" s="1"/>
  <c r="C154" i="23" s="1"/>
  <c r="AR138" i="23"/>
  <c r="AR122" i="23"/>
  <c r="AQ106" i="23"/>
  <c r="AQ90" i="23"/>
  <c r="AU90" i="23" s="1"/>
  <c r="C90" i="23" s="1"/>
  <c r="AQ127" i="23"/>
  <c r="AU127" i="23" s="1"/>
  <c r="C127" i="23" s="1"/>
  <c r="AR100" i="23"/>
  <c r="AR79" i="23"/>
  <c r="AR63" i="23"/>
  <c r="AR47" i="23"/>
  <c r="AR82" i="23"/>
  <c r="AR66" i="23"/>
  <c r="AR50" i="23"/>
  <c r="AM396" i="23"/>
  <c r="AM380" i="23"/>
  <c r="AL364" i="23"/>
  <c r="AL348" i="23"/>
  <c r="AM334" i="23"/>
  <c r="AM322" i="23"/>
  <c r="AM311" i="23"/>
  <c r="AM393" i="23"/>
  <c r="AL383" i="23"/>
  <c r="AM372" i="23"/>
  <c r="AL361" i="23"/>
  <c r="AL351" i="23"/>
  <c r="AM340" i="23"/>
  <c r="AM329" i="23"/>
  <c r="AM319" i="23"/>
  <c r="AM308" i="23"/>
  <c r="AM297" i="23"/>
  <c r="AL287" i="23"/>
  <c r="AM276" i="23"/>
  <c r="AL265" i="23"/>
  <c r="AL255" i="23"/>
  <c r="AL244" i="23"/>
  <c r="AM233" i="23"/>
  <c r="AL223" i="23"/>
  <c r="AL210" i="23"/>
  <c r="AM199" i="23"/>
  <c r="AM189" i="23"/>
  <c r="AM178" i="23"/>
  <c r="AM167" i="23"/>
  <c r="AL157" i="23"/>
  <c r="AL128" i="23"/>
  <c r="AM98" i="23"/>
  <c r="AL301" i="23"/>
  <c r="AL290" i="23"/>
  <c r="AM279" i="23"/>
  <c r="AM269" i="23"/>
  <c r="AM258" i="23"/>
  <c r="AL247" i="23"/>
  <c r="AM237" i="23"/>
  <c r="AL226" i="23"/>
  <c r="AM213" i="23"/>
  <c r="AM203" i="23"/>
  <c r="AM192" i="23"/>
  <c r="AM181" i="23"/>
  <c r="AM171" i="23"/>
  <c r="AM160" i="23"/>
  <c r="AL150" i="23"/>
  <c r="AL142" i="23"/>
  <c r="AM134" i="23"/>
  <c r="AL126" i="23"/>
  <c r="AL118" i="23"/>
  <c r="AL110" i="23"/>
  <c r="AL102" i="23"/>
  <c r="AL94" i="23"/>
  <c r="AM148" i="23"/>
  <c r="AL136" i="23"/>
  <c r="AM126" i="23"/>
  <c r="AL113" i="23"/>
  <c r="AM100" i="23"/>
  <c r="AL88" i="23"/>
  <c r="AM80" i="23"/>
  <c r="AM72" i="23"/>
  <c r="AM64" i="23"/>
  <c r="AM56" i="23"/>
  <c r="AM48" i="23"/>
  <c r="AL40" i="23"/>
  <c r="AM83" i="23"/>
  <c r="AM75" i="23"/>
  <c r="AM67" i="23"/>
  <c r="AM59" i="23"/>
  <c r="AM51" i="23"/>
  <c r="AM43" i="23"/>
  <c r="AR380" i="23"/>
  <c r="AR353" i="23"/>
  <c r="AQ328" i="23"/>
  <c r="AU328" i="23" s="1"/>
  <c r="C328" i="23" s="1"/>
  <c r="AQ395" i="23"/>
  <c r="AU395" i="23" s="1"/>
  <c r="C395" i="23" s="1"/>
  <c r="AR370" i="23"/>
  <c r="AR345" i="23"/>
  <c r="AQ318" i="23"/>
  <c r="AU318" i="23" s="1"/>
  <c r="C318" i="23" s="1"/>
  <c r="AQ293" i="23"/>
  <c r="AU293" i="23" s="1"/>
  <c r="C293" i="23" s="1"/>
  <c r="AQ267" i="23"/>
  <c r="AQ242" i="23"/>
  <c r="AU242" i="23" s="1"/>
  <c r="C242" i="23" s="1"/>
  <c r="AR217" i="23"/>
  <c r="AQ196" i="23"/>
  <c r="AR175" i="23"/>
  <c r="AR153" i="23"/>
  <c r="AR106" i="23"/>
  <c r="AR299" i="23"/>
  <c r="AQ283" i="23"/>
  <c r="AU283" i="23" s="1"/>
  <c r="C283" i="23" s="1"/>
  <c r="AR267" i="23"/>
  <c r="AQ251" i="23"/>
  <c r="AU251" i="23" s="1"/>
  <c r="C251" i="23" s="1"/>
  <c r="AR235" i="23"/>
  <c r="AQ217" i="23"/>
  <c r="AR201" i="23"/>
  <c r="AQ185" i="23"/>
  <c r="AR169" i="23"/>
  <c r="AQ153" i="23"/>
  <c r="AQ137" i="23"/>
  <c r="AU137" i="23" s="1"/>
  <c r="C137" i="23" s="1"/>
  <c r="AR121" i="23"/>
  <c r="AQ105" i="23"/>
  <c r="AU105" i="23" s="1"/>
  <c r="C105" i="23" s="1"/>
  <c r="AR149" i="23"/>
  <c r="AR126" i="23"/>
  <c r="AQ99" i="23"/>
  <c r="AU99" i="23" s="1"/>
  <c r="C99" i="23" s="1"/>
  <c r="AQ78" i="23"/>
  <c r="AU78" i="23" s="1"/>
  <c r="C78" i="23" s="1"/>
  <c r="AR62" i="23"/>
  <c r="AR46" i="23"/>
  <c r="AQ81" i="23"/>
  <c r="AQ65" i="23"/>
  <c r="AU65" i="23" s="1"/>
  <c r="C65" i="23" s="1"/>
  <c r="AQ49" i="23"/>
  <c r="AU49" i="23" s="1"/>
  <c r="C49" i="23" s="1"/>
  <c r="AM395" i="23"/>
  <c r="AL379" i="23"/>
  <c r="AM363" i="23"/>
  <c r="AL347" i="23"/>
  <c r="AL332" i="23"/>
  <c r="AL320" i="23"/>
  <c r="AM310" i="23"/>
  <c r="AL392" i="23"/>
  <c r="AL381" i="23"/>
  <c r="AM371" i="23"/>
  <c r="AL360" i="23"/>
  <c r="AL349" i="23"/>
  <c r="AM339" i="23"/>
  <c r="AM328" i="23"/>
  <c r="AL317" i="23"/>
  <c r="AL307" i="23"/>
  <c r="AM296" i="23"/>
  <c r="AL285" i="23"/>
  <c r="AM275" i="23"/>
  <c r="AL264" i="23"/>
  <c r="AL253" i="23"/>
  <c r="AL243" i="23"/>
  <c r="AL232" i="23"/>
  <c r="AM221" i="23"/>
  <c r="AM209" i="23"/>
  <c r="AM198" i="23"/>
  <c r="AL187" i="23"/>
  <c r="AM177" i="23"/>
  <c r="AM166" i="23"/>
  <c r="AM154" i="23"/>
  <c r="AL121" i="23"/>
  <c r="AL96" i="23"/>
  <c r="AM299" i="23"/>
  <c r="AM289" i="23"/>
  <c r="AL278" i="23"/>
  <c r="AM267" i="23"/>
  <c r="AL257" i="23"/>
  <c r="AL246" i="23"/>
  <c r="AM235" i="23"/>
  <c r="AM225" i="23"/>
  <c r="AL212" i="23"/>
  <c r="AM201" i="23"/>
  <c r="AL191" i="23"/>
  <c r="AQ377" i="23"/>
  <c r="AU377" i="23" s="1"/>
  <c r="C377" i="23" s="1"/>
  <c r="AR352" i="23"/>
  <c r="AR326" i="23"/>
  <c r="AR394" i="23"/>
  <c r="AR369" i="23"/>
  <c r="AR342" i="23"/>
  <c r="AQ317" i="23"/>
  <c r="AR291" i="23"/>
  <c r="AQ266" i="23"/>
  <c r="AR241" i="23"/>
  <c r="AR216" i="23"/>
  <c r="AQ195" i="23"/>
  <c r="AU195" i="23" s="1"/>
  <c r="C195" i="23" s="1"/>
  <c r="AQ173" i="23"/>
  <c r="AU173" i="23" s="1"/>
  <c r="C173" i="23" s="1"/>
  <c r="AR152" i="23"/>
  <c r="AQ104" i="23"/>
  <c r="AQ298" i="23"/>
  <c r="AQ282" i="23"/>
  <c r="AR266" i="23"/>
  <c r="AQ250" i="23"/>
  <c r="AU250" i="23" s="1"/>
  <c r="C250" i="23" s="1"/>
  <c r="AR234" i="23"/>
  <c r="AQ216" i="23"/>
  <c r="AR200" i="23"/>
  <c r="AR184" i="23"/>
  <c r="AQ168" i="23"/>
  <c r="AQ152" i="23"/>
  <c r="AR136" i="23"/>
  <c r="AR120" i="23"/>
  <c r="AR104" i="23"/>
  <c r="AR148" i="23"/>
  <c r="AR125" i="23"/>
  <c r="AQ95" i="23"/>
  <c r="AU95" i="23" s="1"/>
  <c r="C95" i="23" s="1"/>
  <c r="AR77" i="23"/>
  <c r="AQ61" i="23"/>
  <c r="AU61" i="23" s="1"/>
  <c r="C61" i="23" s="1"/>
  <c r="AQ45" i="23"/>
  <c r="AU45" i="23" s="1"/>
  <c r="C45" i="23" s="1"/>
  <c r="AQ80" i="23"/>
  <c r="AU80" i="23" s="1"/>
  <c r="C80" i="23" s="1"/>
  <c r="AQ64" i="23"/>
  <c r="AU64" i="23" s="1"/>
  <c r="C64" i="23" s="1"/>
  <c r="AQ48" i="23"/>
  <c r="AL394" i="23"/>
  <c r="AM378" i="23"/>
  <c r="AM362" i="23"/>
  <c r="AL346" i="23"/>
  <c r="AM331" i="23"/>
  <c r="AL319" i="23"/>
  <c r="AL308" i="23"/>
  <c r="AM391" i="23"/>
  <c r="AL380" i="23"/>
  <c r="AM369" i="23"/>
  <c r="AL359" i="23"/>
  <c r="AM348" i="23"/>
  <c r="AL337" i="23"/>
  <c r="AM327" i="23"/>
  <c r="AL316" i="23"/>
  <c r="AM305" i="23"/>
  <c r="AM295" i="23"/>
  <c r="AM284" i="23"/>
  <c r="AL273" i="23"/>
  <c r="AM263" i="23"/>
  <c r="AL252" i="23"/>
  <c r="AM241" i="23"/>
  <c r="AM231" i="23"/>
  <c r="AM218" i="23"/>
  <c r="AL207" i="23"/>
  <c r="AL197" i="23"/>
  <c r="AM186" i="23"/>
  <c r="AM175" i="23"/>
  <c r="AL165" i="23"/>
  <c r="AQ397" i="23"/>
  <c r="AU397" i="23" s="1"/>
  <c r="C397" i="23" s="1"/>
  <c r="AQ372" i="23"/>
  <c r="AU372" i="23" s="1"/>
  <c r="C372" i="23" s="1"/>
  <c r="AQ345" i="23"/>
  <c r="AQ320" i="23"/>
  <c r="AU320" i="23" s="1"/>
  <c r="C320" i="23" s="1"/>
  <c r="AR387" i="23"/>
  <c r="AQ362" i="23"/>
  <c r="AU362" i="23" s="1"/>
  <c r="C362" i="23" s="1"/>
  <c r="AQ337" i="23"/>
  <c r="AU337" i="23" s="1"/>
  <c r="C337" i="23" s="1"/>
  <c r="AQ310" i="23"/>
  <c r="AU310" i="23" s="1"/>
  <c r="C310" i="23" s="1"/>
  <c r="AQ285" i="23"/>
  <c r="AU285" i="23" s="1"/>
  <c r="C285" i="23" s="1"/>
  <c r="AQ259" i="23"/>
  <c r="AQ234" i="23"/>
  <c r="AQ211" i="23"/>
  <c r="AU211" i="23" s="1"/>
  <c r="C211" i="23" s="1"/>
  <c r="AR189" i="23"/>
  <c r="AR168" i="23"/>
  <c r="AR144" i="23"/>
  <c r="AQ96" i="23"/>
  <c r="AU96" i="23" s="1"/>
  <c r="C96" i="23" s="1"/>
  <c r="AQ294" i="23"/>
  <c r="AU294" i="23" s="1"/>
  <c r="C294" i="23" s="1"/>
  <c r="AQ278" i="23"/>
  <c r="AQ262" i="23"/>
  <c r="AU262" i="23" s="1"/>
  <c r="C262" i="23" s="1"/>
  <c r="AQ246" i="23"/>
  <c r="AU246" i="23" s="1"/>
  <c r="C246" i="23" s="1"/>
  <c r="AQ230" i="23"/>
  <c r="AQ212" i="23"/>
  <c r="AU212" i="23" s="1"/>
  <c r="C212" i="23" s="1"/>
  <c r="AR196" i="23"/>
  <c r="AQ180" i="23"/>
  <c r="AU180" i="23" s="1"/>
  <c r="C180" i="23" s="1"/>
  <c r="AR164" i="23"/>
  <c r="AQ148" i="23"/>
  <c r="AU148" i="23" s="1"/>
  <c r="C148" i="23" s="1"/>
  <c r="AR132" i="23"/>
  <c r="AQ116" i="23"/>
  <c r="AU116" i="23" s="1"/>
  <c r="C116" i="23" s="1"/>
  <c r="AQ100" i="23"/>
  <c r="AQ141" i="23"/>
  <c r="AU141" i="23" s="1"/>
  <c r="C141" i="23" s="1"/>
  <c r="AQ117" i="23"/>
  <c r="AU117" i="23" s="1"/>
  <c r="C117" i="23" s="1"/>
  <c r="AR89" i="23"/>
  <c r="AQ73" i="23"/>
  <c r="AR57" i="23"/>
  <c r="AQ41" i="23"/>
  <c r="AQ76" i="23"/>
  <c r="AQ60" i="23"/>
  <c r="AU60" i="23" s="1"/>
  <c r="C60" i="23" s="1"/>
  <c r="AR44" i="23"/>
  <c r="AL390" i="23"/>
  <c r="AM374" i="23"/>
  <c r="AM358" i="23"/>
  <c r="AL342" i="23"/>
  <c r="AL330" i="23"/>
  <c r="AM318" i="23"/>
  <c r="AM400" i="23"/>
  <c r="AM389" i="23"/>
  <c r="AM379" i="23"/>
  <c r="AM368" i="23"/>
  <c r="AM357" i="23"/>
  <c r="AM347" i="23"/>
  <c r="AL336" i="23"/>
  <c r="AL325" i="23"/>
  <c r="AL315" i="23"/>
  <c r="AM304" i="23"/>
  <c r="AL293" i="23"/>
  <c r="AM283" i="23"/>
  <c r="AL272" i="23"/>
  <c r="AL261" i="23"/>
  <c r="AM251" i="23"/>
  <c r="AL240" i="23"/>
  <c r="AL229" i="23"/>
  <c r="AM217" i="23"/>
  <c r="AL206" i="23"/>
  <c r="AL195" i="23"/>
  <c r="AM185" i="23"/>
  <c r="AM174" i="23"/>
  <c r="AL163" i="23"/>
  <c r="AM152" i="23"/>
  <c r="AM115" i="23"/>
  <c r="AM307" i="23"/>
  <c r="AL297" i="23"/>
  <c r="AM286" i="23"/>
  <c r="AL275" i="23"/>
  <c r="AM265" i="23"/>
  <c r="AM254" i="23"/>
  <c r="AM243" i="23"/>
  <c r="AL233" i="23"/>
  <c r="AM222" i="23"/>
  <c r="AL209" i="23"/>
  <c r="AL199" i="23"/>
  <c r="AM188" i="23"/>
  <c r="AL177" i="23"/>
  <c r="AL167" i="23"/>
  <c r="AM156" i="23"/>
  <c r="AM147" i="23"/>
  <c r="AM139" i="23"/>
  <c r="AM131" i="23"/>
  <c r="AM123" i="23"/>
  <c r="AL115" i="23"/>
  <c r="AL107" i="23"/>
  <c r="AM99" i="23"/>
  <c r="AL91" i="23"/>
  <c r="AL141" i="23"/>
  <c r="AL133" i="23"/>
  <c r="AL123" i="23"/>
  <c r="AM109" i="23"/>
  <c r="AL95" i="23"/>
  <c r="AM85" i="23"/>
  <c r="AM77" i="23"/>
  <c r="AL69" i="23"/>
  <c r="AL61" i="23"/>
  <c r="AM53" i="23"/>
  <c r="AL45" i="23"/>
  <c r="AM88" i="23"/>
  <c r="AL80" i="23"/>
  <c r="AL72" i="23"/>
  <c r="AL64" i="23"/>
  <c r="AL56" i="23"/>
  <c r="AL48" i="23"/>
  <c r="AM40" i="23"/>
  <c r="AR392" i="23"/>
  <c r="AQ366" i="23"/>
  <c r="AU366" i="23" s="1"/>
  <c r="C366" i="23" s="1"/>
  <c r="AQ341" i="23"/>
  <c r="AU341" i="23" s="1"/>
  <c r="C341" i="23" s="1"/>
  <c r="AR316" i="23"/>
  <c r="AR382" i="23"/>
  <c r="AR357" i="23"/>
  <c r="AQ331" i="23"/>
  <c r="AU331" i="23" s="1"/>
  <c r="C331" i="23" s="1"/>
  <c r="AR306" i="23"/>
  <c r="AQ281" i="23"/>
  <c r="AU281" i="23" s="1"/>
  <c r="C281" i="23" s="1"/>
  <c r="AQ254" i="23"/>
  <c r="AU254" i="23" s="1"/>
  <c r="C254" i="23" s="1"/>
  <c r="AR230" i="23"/>
  <c r="AQ207" i="23"/>
  <c r="AU207" i="23" s="1"/>
  <c r="C207" i="23" s="1"/>
  <c r="AR185" i="23"/>
  <c r="AQ164" i="23"/>
  <c r="AU164" i="23" s="1"/>
  <c r="C164" i="23" s="1"/>
  <c r="AQ128" i="23"/>
  <c r="AU128" i="23" s="1"/>
  <c r="C128" i="23" s="1"/>
  <c r="AR307" i="23"/>
  <c r="AQ291" i="23"/>
  <c r="AU291" i="23" s="1"/>
  <c r="C291" i="23" s="1"/>
  <c r="AQ275" i="23"/>
  <c r="AR259" i="23"/>
  <c r="AR243" i="23"/>
  <c r="AR227" i="23"/>
  <c r="AQ209" i="23"/>
  <c r="AQ193" i="23"/>
  <c r="AU193" i="23" s="1"/>
  <c r="C193" i="23" s="1"/>
  <c r="AQ177" i="23"/>
  <c r="AU177" i="23" s="1"/>
  <c r="C177" i="23" s="1"/>
  <c r="AR161" i="23"/>
  <c r="AQ145" i="23"/>
  <c r="AU145" i="23" s="1"/>
  <c r="C145" i="23" s="1"/>
  <c r="AQ129" i="23"/>
  <c r="AR113" i="23"/>
  <c r="AR97" i="23"/>
  <c r="AQ138" i="23"/>
  <c r="AU138" i="23" s="1"/>
  <c r="C138" i="23" s="1"/>
  <c r="AQ112" i="23"/>
  <c r="AU112" i="23" s="1"/>
  <c r="C112" i="23" s="1"/>
  <c r="AR86" i="23"/>
  <c r="AQ70" i="23"/>
  <c r="AU70" i="23" s="1"/>
  <c r="C70" i="23" s="1"/>
  <c r="AQ54" i="23"/>
  <c r="AU54" i="23" s="1"/>
  <c r="C54" i="23" s="1"/>
  <c r="AQ89" i="23"/>
  <c r="AU89" i="23" s="1"/>
  <c r="C89" i="23" s="1"/>
  <c r="AR73" i="23"/>
  <c r="AQ57" i="23"/>
  <c r="AR41" i="23"/>
  <c r="AL387" i="23"/>
  <c r="AL371" i="23"/>
  <c r="AM355" i="23"/>
  <c r="AL339" i="23"/>
  <c r="AM326" i="23"/>
  <c r="AM315" i="23"/>
  <c r="AM397" i="23"/>
  <c r="AM387" i="23"/>
  <c r="AL376" i="23"/>
  <c r="AM365" i="23"/>
  <c r="AL355" i="23"/>
  <c r="AM344" i="23"/>
  <c r="AL333" i="23"/>
  <c r="AL323" i="23"/>
  <c r="AL312" i="23"/>
  <c r="AM301" i="23"/>
  <c r="AM291" i="23"/>
  <c r="AM280" i="23"/>
  <c r="AL269" i="23"/>
  <c r="AL259" i="23"/>
  <c r="AL248" i="23"/>
  <c r="AL237" i="23"/>
  <c r="AL227" i="23"/>
  <c r="AL214" i="23"/>
  <c r="AL203" i="23"/>
  <c r="AM193" i="23"/>
  <c r="AL182" i="23"/>
  <c r="AL171" i="23"/>
  <c r="AL161" i="23"/>
  <c r="AM145" i="23"/>
  <c r="AQ358" i="23"/>
  <c r="AU358" i="23" s="1"/>
  <c r="C358" i="23" s="1"/>
  <c r="AQ165" i="23"/>
  <c r="AU165" i="23" s="1"/>
  <c r="C165" i="23" s="1"/>
  <c r="AR210" i="23"/>
  <c r="AQ139" i="23"/>
  <c r="AU139" i="23" s="1"/>
  <c r="C139" i="23" s="1"/>
  <c r="AR42" i="23"/>
  <c r="AL388" i="23"/>
  <c r="AM303" i="23"/>
  <c r="AM215" i="23"/>
  <c r="AM118" i="23"/>
  <c r="AL294" i="23"/>
  <c r="AL263" i="23"/>
  <c r="AM234" i="23"/>
  <c r="AM207" i="23"/>
  <c r="AL179" i="23"/>
  <c r="AM157" i="23"/>
  <c r="AM140" i="23"/>
  <c r="AM127" i="23"/>
  <c r="AM114" i="23"/>
  <c r="AL101" i="23"/>
  <c r="AL156" i="23"/>
  <c r="AL134" i="23"/>
  <c r="AM116" i="23"/>
  <c r="AL93" i="23"/>
  <c r="AM79" i="23"/>
  <c r="AL67" i="23"/>
  <c r="AL54" i="23"/>
  <c r="AL41" i="23"/>
  <c r="AL79" i="23"/>
  <c r="AM66" i="23"/>
  <c r="AM54" i="23"/>
  <c r="AM41" i="23"/>
  <c r="AQ333" i="23"/>
  <c r="AU333" i="23" s="1"/>
  <c r="C333" i="23" s="1"/>
  <c r="AR129" i="23"/>
  <c r="AR194" i="23"/>
  <c r="AQ113" i="23"/>
  <c r="AM388" i="23"/>
  <c r="AM377" i="23"/>
  <c r="AL292" i="23"/>
  <c r="AL205" i="23"/>
  <c r="AL114" i="23"/>
  <c r="AM287" i="23"/>
  <c r="AL262" i="23"/>
  <c r="AL231" i="23"/>
  <c r="AM200" i="23"/>
  <c r="AL176" i="23"/>
  <c r="AM155" i="23"/>
  <c r="AM138" i="23"/>
  <c r="AL125" i="23"/>
  <c r="AM113" i="23"/>
  <c r="AL100" i="23"/>
  <c r="AM149" i="23"/>
  <c r="AL132" i="23"/>
  <c r="AL112" i="23"/>
  <c r="AM91" i="23"/>
  <c r="AL78" i="23"/>
  <c r="AM65" i="23"/>
  <c r="AL52" i="23"/>
  <c r="AM39" i="23"/>
  <c r="AM78" i="23"/>
  <c r="AL65" i="23"/>
  <c r="AM52" i="23"/>
  <c r="AL39" i="23"/>
  <c r="AQ307" i="23"/>
  <c r="AU307" i="23" s="1"/>
  <c r="C307" i="23" s="1"/>
  <c r="AR91" i="23"/>
  <c r="AQ178" i="23"/>
  <c r="AU178" i="23" s="1"/>
  <c r="C178" i="23" s="1"/>
  <c r="AQ87" i="23"/>
  <c r="AU87" i="23" s="1"/>
  <c r="C87" i="23" s="1"/>
  <c r="AL372" i="23"/>
  <c r="AM367" i="23"/>
  <c r="AL281" i="23"/>
  <c r="AL194" i="23"/>
  <c r="AM108" i="23"/>
  <c r="AM285" i="23"/>
  <c r="AM255" i="23"/>
  <c r="AL230" i="23"/>
  <c r="AM197" i="23"/>
  <c r="AL175" i="23"/>
  <c r="AL153" i="23"/>
  <c r="AL137" i="23"/>
  <c r="AL124" i="23"/>
  <c r="AM111" i="23"/>
  <c r="AL98" i="23"/>
  <c r="AL147" i="23"/>
  <c r="AL131" i="23"/>
  <c r="AL111" i="23"/>
  <c r="AM89" i="23"/>
  <c r="AM76" i="23"/>
  <c r="AM63" i="23"/>
  <c r="AL51" i="23"/>
  <c r="AL89" i="23"/>
  <c r="AL76" i="23"/>
  <c r="AL63" i="23"/>
  <c r="AM50" i="23"/>
  <c r="AQ393" i="23"/>
  <c r="AU393" i="23" s="1"/>
  <c r="C393" i="23" s="1"/>
  <c r="AR282" i="23"/>
  <c r="AR292" i="23"/>
  <c r="AQ162" i="23"/>
  <c r="AU162" i="23" s="1"/>
  <c r="C162" i="23" s="1"/>
  <c r="AQ71" i="23"/>
  <c r="AU71" i="23" s="1"/>
  <c r="C71" i="23" s="1"/>
  <c r="AL356" i="23"/>
  <c r="AM356" i="23"/>
  <c r="AM271" i="23"/>
  <c r="AL183" i="23"/>
  <c r="AM94" i="23"/>
  <c r="AL283" i="23"/>
  <c r="AM253" i="23"/>
  <c r="AM223" i="23"/>
  <c r="AM196" i="23"/>
  <c r="AM169" i="23"/>
  <c r="AL149" i="23"/>
  <c r="AM135" i="23"/>
  <c r="AM122" i="23"/>
  <c r="AL109" i="23"/>
  <c r="AM97" i="23"/>
  <c r="AM143" i="23"/>
  <c r="AL127" i="23"/>
  <c r="AM107" i="23"/>
  <c r="AL87" i="23"/>
  <c r="AL75" i="23"/>
  <c r="AM62" i="23"/>
  <c r="AM49" i="23"/>
  <c r="AM87" i="23"/>
  <c r="AM74" i="23"/>
  <c r="AL62" i="23"/>
  <c r="AL49" i="23"/>
  <c r="AQ368" i="23"/>
  <c r="AU368" i="23" s="1"/>
  <c r="C368" i="23" s="1"/>
  <c r="AR257" i="23"/>
  <c r="AQ276" i="23"/>
  <c r="AU276" i="23" s="1"/>
  <c r="C276" i="23" s="1"/>
  <c r="AR146" i="23"/>
  <c r="AQ55" i="23"/>
  <c r="AU55" i="23" s="1"/>
  <c r="C55" i="23" s="1"/>
  <c r="AL340" i="23"/>
  <c r="AM345" i="23"/>
  <c r="AL260" i="23"/>
  <c r="AL173" i="23"/>
  <c r="AL306" i="23"/>
  <c r="AL277" i="23"/>
  <c r="AL251" i="23"/>
  <c r="AL221" i="23"/>
  <c r="AL189" i="23"/>
  <c r="AL168" i="23"/>
  <c r="AL148" i="23"/>
  <c r="AM133" i="23"/>
  <c r="AM121" i="23"/>
  <c r="AL108" i="23"/>
  <c r="AM95" i="23"/>
  <c r="AL140" i="23"/>
  <c r="AM125" i="23"/>
  <c r="AM105" i="23"/>
  <c r="AM86" i="23"/>
  <c r="AL73" i="23"/>
  <c r="AM60" i="23"/>
  <c r="AM47" i="23"/>
  <c r="AL86" i="23"/>
  <c r="AM73" i="23"/>
  <c r="AL60" i="23"/>
  <c r="AL47" i="23"/>
  <c r="AQ342" i="23"/>
  <c r="AU342" i="23" s="1"/>
  <c r="C342" i="23" s="1"/>
  <c r="AR231" i="23"/>
  <c r="AR260" i="23"/>
  <c r="AR130" i="23"/>
  <c r="AR39" i="23"/>
  <c r="AL327" i="23"/>
  <c r="AL335" i="23"/>
  <c r="AL249" i="23"/>
  <c r="AM162" i="23"/>
  <c r="AL305" i="23"/>
  <c r="AL274" i="23"/>
  <c r="AL245" i="23"/>
  <c r="AL217" i="23"/>
  <c r="AM187" i="23"/>
  <c r="AM165" i="23"/>
  <c r="AM146" i="23"/>
  <c r="AM132" i="23"/>
  <c r="AL119" i="23"/>
  <c r="AL106" i="23"/>
  <c r="AM93" i="23"/>
  <c r="AL139" i="23"/>
  <c r="AM124" i="23"/>
  <c r="AM101" i="23"/>
  <c r="AL84" i="23"/>
  <c r="AL71" i="23"/>
  <c r="AL59" i="23"/>
  <c r="AM46" i="23"/>
  <c r="AM84" i="23"/>
  <c r="AM71" i="23"/>
  <c r="AM58" i="23"/>
  <c r="AL46" i="23"/>
  <c r="AQ385" i="23"/>
  <c r="AU385" i="23" s="1"/>
  <c r="C385" i="23" s="1"/>
  <c r="AQ187" i="23"/>
  <c r="AU187" i="23" s="1"/>
  <c r="C187" i="23" s="1"/>
  <c r="AR228" i="23"/>
  <c r="AQ98" i="23"/>
  <c r="AU98" i="23" s="1"/>
  <c r="C98" i="23" s="1"/>
  <c r="AR58" i="23"/>
  <c r="AL399" i="23"/>
  <c r="AM313" i="23"/>
  <c r="AL228" i="23"/>
  <c r="AL146" i="23"/>
  <c r="AL295" i="23"/>
  <c r="AM266" i="23"/>
  <c r="AL241" i="23"/>
  <c r="AL208" i="23"/>
  <c r="AL180" i="23"/>
  <c r="AL159" i="23"/>
  <c r="AM141" i="23"/>
  <c r="AL129" i="23"/>
  <c r="AL116" i="23"/>
  <c r="AL103" i="23"/>
  <c r="AL90" i="23"/>
  <c r="AL135" i="23"/>
  <c r="AL120" i="23"/>
  <c r="AL97" i="23"/>
  <c r="AM81" i="23"/>
  <c r="AM68" i="23"/>
  <c r="AL55" i="23"/>
  <c r="AL43" i="23"/>
  <c r="AL81" i="23"/>
  <c r="AL68" i="23"/>
  <c r="AM55" i="23"/>
  <c r="AM42" i="23"/>
  <c r="AM316" i="23"/>
  <c r="AL185" i="23"/>
  <c r="AL122" i="23"/>
  <c r="AL57" i="23"/>
  <c r="AR114" i="23"/>
  <c r="AM82" i="23"/>
  <c r="AL324" i="23"/>
  <c r="AM164" i="23"/>
  <c r="AL99" i="23"/>
  <c r="AM44" i="23"/>
  <c r="AL239" i="23"/>
  <c r="AL145" i="23"/>
  <c r="AL83" i="23"/>
  <c r="AM242" i="23"/>
  <c r="AL92" i="23"/>
  <c r="AR317" i="23"/>
  <c r="AM153" i="23"/>
  <c r="AM130" i="23"/>
  <c r="AL70" i="23"/>
  <c r="AR208" i="23"/>
  <c r="AL298" i="23"/>
  <c r="AM117" i="23"/>
  <c r="AM57" i="23"/>
  <c r="AR244" i="23"/>
  <c r="AM273" i="23"/>
  <c r="AL105" i="23"/>
  <c r="AL44" i="23"/>
  <c r="AR74" i="23"/>
  <c r="AM211" i="23"/>
  <c r="AM137" i="23"/>
  <c r="AM70" i="23"/>
  <c r="Y11" i="23"/>
  <c r="Y11" i="24"/>
  <c r="Y11" i="29"/>
  <c r="Z11" i="14"/>
  <c r="AA12" i="29"/>
  <c r="AA12" i="23"/>
  <c r="AA12" i="24"/>
  <c r="AB12" i="14"/>
  <c r="M106" i="4"/>
  <c r="B106" i="4" s="1"/>
  <c r="K46" i="1"/>
  <c r="E46" i="1"/>
  <c r="M46" i="1"/>
  <c r="AA14" i="24"/>
  <c r="AA14" i="29"/>
  <c r="AA14" i="23"/>
  <c r="AB14" i="14"/>
  <c r="Y12" i="23"/>
  <c r="Y12" i="24"/>
  <c r="Y12" i="29"/>
  <c r="Z12" i="14"/>
  <c r="M112" i="4"/>
  <c r="B112" i="4" s="1"/>
  <c r="E48" i="1"/>
  <c r="M48" i="1"/>
  <c r="K48" i="1"/>
  <c r="Y14" i="23"/>
  <c r="Y14" i="24"/>
  <c r="Y14" i="29"/>
  <c r="Z14" i="14"/>
  <c r="AA11" i="23"/>
  <c r="AA11" i="24"/>
  <c r="AA11" i="29"/>
  <c r="AB11" i="14"/>
  <c r="M101" i="4"/>
  <c r="B101" i="4" s="1"/>
  <c r="M45" i="1"/>
  <c r="K45" i="1"/>
  <c r="E45" i="1"/>
  <c r="Y13" i="23"/>
  <c r="Y13" i="24"/>
  <c r="Y13" i="29"/>
  <c r="Z13" i="14"/>
  <c r="AB13" i="23"/>
  <c r="AB13" i="24"/>
  <c r="AB13" i="29"/>
  <c r="AC13" i="14"/>
  <c r="Z11" i="24"/>
  <c r="M107" i="4"/>
  <c r="B107" i="4" s="1"/>
  <c r="M49" i="1"/>
  <c r="K49" i="1"/>
  <c r="E49" i="1"/>
  <c r="AU59" i="29"/>
  <c r="C59" i="29" s="1"/>
  <c r="AU233" i="29"/>
  <c r="C233" i="29" s="1"/>
  <c r="AU76" i="29"/>
  <c r="C76" i="29" s="1"/>
  <c r="AU274" i="29"/>
  <c r="C274" i="29" s="1"/>
  <c r="AU348" i="29"/>
  <c r="C348" i="29" s="1"/>
  <c r="AU160" i="29"/>
  <c r="C160" i="29" s="1"/>
  <c r="AU373" i="29"/>
  <c r="C373" i="29" s="1"/>
  <c r="AU299" i="29"/>
  <c r="C299" i="29" s="1"/>
  <c r="AU183" i="29"/>
  <c r="C183" i="29" s="1"/>
  <c r="AU55" i="29"/>
  <c r="C55" i="29" s="1"/>
  <c r="AU172" i="29"/>
  <c r="C172" i="29" s="1"/>
  <c r="AU295" i="29"/>
  <c r="C295" i="29" s="1"/>
  <c r="AU232" i="29"/>
  <c r="C232" i="29" s="1"/>
  <c r="AU179" i="29"/>
  <c r="C179" i="29" s="1"/>
  <c r="AU106" i="29"/>
  <c r="C106" i="29" s="1"/>
  <c r="AU119" i="29"/>
  <c r="C119" i="29" s="1"/>
  <c r="AU51" i="29"/>
  <c r="C51" i="29" s="1"/>
  <c r="AU168" i="29"/>
  <c r="C168" i="29" s="1"/>
  <c r="AU62" i="29"/>
  <c r="C62" i="29" s="1"/>
  <c r="AU175" i="29"/>
  <c r="C175" i="29" s="1"/>
  <c r="AU102" i="29"/>
  <c r="C102" i="29" s="1"/>
  <c r="AU267" i="29"/>
  <c r="C267" i="29" s="1"/>
  <c r="AU131" i="29"/>
  <c r="C131" i="29" s="1"/>
  <c r="AU283" i="29"/>
  <c r="C283" i="29" s="1"/>
  <c r="AU72" i="29"/>
  <c r="C72" i="29" s="1"/>
  <c r="AU39" i="29"/>
  <c r="C39" i="29" s="1"/>
  <c r="AU156" i="29"/>
  <c r="C156" i="29" s="1"/>
  <c r="AU266" i="29"/>
  <c r="C266" i="29" s="1"/>
  <c r="AU214" i="29"/>
  <c r="C214" i="29" s="1"/>
  <c r="AU68" i="29"/>
  <c r="C68" i="29" s="1"/>
  <c r="AU189" i="29"/>
  <c r="C189" i="29" s="1"/>
  <c r="AU226" i="29"/>
  <c r="C226" i="29" s="1"/>
  <c r="AU79" i="29"/>
  <c r="C79" i="29" s="1"/>
  <c r="AU328" i="29"/>
  <c r="C328" i="29" s="1"/>
  <c r="AU46" i="29"/>
  <c r="C46" i="29" s="1"/>
  <c r="AU64" i="29"/>
  <c r="C64" i="29" s="1"/>
  <c r="AU245" i="29"/>
  <c r="C245" i="29" s="1"/>
  <c r="AU243" i="29"/>
  <c r="C243" i="29" s="1"/>
  <c r="AU44" i="29"/>
  <c r="C44" i="29" s="1"/>
  <c r="AU89" i="29"/>
  <c r="C89" i="29" s="1"/>
  <c r="AU151" i="29"/>
  <c r="C151" i="29" s="1"/>
  <c r="AU56" i="29"/>
  <c r="C56" i="29" s="1"/>
  <c r="AU90" i="29"/>
  <c r="C90" i="29" s="1"/>
  <c r="AU329" i="29"/>
  <c r="C329" i="29" s="1"/>
  <c r="AU271" i="29"/>
  <c r="C271" i="29" s="1"/>
  <c r="AU140" i="29"/>
  <c r="C140" i="29" s="1"/>
  <c r="AU316" i="29"/>
  <c r="C316" i="29" s="1"/>
  <c r="AU111" i="29"/>
  <c r="C111" i="29" s="1"/>
  <c r="AU85" i="29"/>
  <c r="C85" i="29" s="1"/>
  <c r="AU198" i="29"/>
  <c r="C198" i="29" s="1"/>
  <c r="AU249" i="29"/>
  <c r="C249" i="29" s="1"/>
  <c r="AU96" i="29"/>
  <c r="C96" i="29" s="1"/>
  <c r="AU397" i="29"/>
  <c r="C397" i="29" s="1"/>
  <c r="AU63" i="29"/>
  <c r="C63" i="29" s="1"/>
  <c r="AU312" i="29"/>
  <c r="C312" i="29" s="1"/>
  <c r="AU81" i="29"/>
  <c r="C81" i="29" s="1"/>
  <c r="AU114" i="29"/>
  <c r="C114" i="29" s="1"/>
  <c r="AU48" i="29"/>
  <c r="C48" i="29" s="1"/>
  <c r="AU229" i="29"/>
  <c r="C229" i="29" s="1"/>
  <c r="AU292" i="29"/>
  <c r="C292" i="29" s="1"/>
  <c r="AU227" i="29"/>
  <c r="C227" i="29" s="1"/>
  <c r="AU225" i="29"/>
  <c r="C225" i="29" s="1"/>
  <c r="AU375" i="29"/>
  <c r="C375" i="29" s="1"/>
  <c r="AU301" i="29"/>
  <c r="C301" i="29" s="1"/>
  <c r="AU304" i="29"/>
  <c r="C304" i="29" s="1"/>
  <c r="AU239" i="29"/>
  <c r="C239" i="29" s="1"/>
  <c r="AU190" i="29"/>
  <c r="C190" i="29" s="1"/>
  <c r="AU40" i="29"/>
  <c r="C40" i="29" s="1"/>
  <c r="AU385" i="29"/>
  <c r="C385" i="29" s="1"/>
  <c r="AU197" i="29"/>
  <c r="C197" i="29" s="1"/>
  <c r="AU124" i="29"/>
  <c r="C124" i="29" s="1"/>
  <c r="AU300" i="29"/>
  <c r="C300" i="29" s="1"/>
  <c r="AU137" i="29"/>
  <c r="C137" i="29" s="1"/>
  <c r="AU157" i="29"/>
  <c r="C157" i="29" s="1"/>
  <c r="AU309" i="29"/>
  <c r="C309" i="29" s="1"/>
  <c r="AU120" i="29"/>
  <c r="C120" i="29" s="1"/>
  <c r="AU164" i="29"/>
  <c r="C164" i="29" s="1"/>
  <c r="AU133" i="29"/>
  <c r="C133" i="29" s="1"/>
  <c r="AU305" i="29"/>
  <c r="C305" i="29" s="1"/>
  <c r="AU182" i="29"/>
  <c r="C182" i="29" s="1"/>
  <c r="AS40" i="14"/>
  <c r="AS56" i="14"/>
  <c r="AS72" i="14"/>
  <c r="AS88" i="14"/>
  <c r="AS104" i="14"/>
  <c r="AS120" i="14"/>
  <c r="AR136" i="14"/>
  <c r="AR152" i="14"/>
  <c r="AS168" i="14"/>
  <c r="AS184" i="14"/>
  <c r="AR200" i="14"/>
  <c r="AR216" i="14"/>
  <c r="AS39" i="14"/>
  <c r="AS55" i="14"/>
  <c r="AS71" i="14"/>
  <c r="AR87" i="14"/>
  <c r="AR103" i="14"/>
  <c r="AS119" i="14"/>
  <c r="AS135" i="14"/>
  <c r="AR151" i="14"/>
  <c r="AS167" i="14"/>
  <c r="AS183" i="14"/>
  <c r="AR199" i="14"/>
  <c r="AR215" i="14"/>
  <c r="AS233" i="14"/>
  <c r="AS249" i="14"/>
  <c r="AS265" i="14"/>
  <c r="AR281" i="14"/>
  <c r="AR297" i="14"/>
  <c r="AS313" i="14"/>
  <c r="AR329" i="14"/>
  <c r="AR345" i="14"/>
  <c r="AS361" i="14"/>
  <c r="AR377" i="14"/>
  <c r="AR393" i="14"/>
  <c r="AS242" i="14"/>
  <c r="AR258" i="14"/>
  <c r="AS274" i="14"/>
  <c r="AS290" i="14"/>
  <c r="AS306" i="14"/>
  <c r="AS321" i="14"/>
  <c r="AR337" i="14"/>
  <c r="AS353" i="14"/>
  <c r="AR369" i="14"/>
  <c r="AR385" i="14"/>
  <c r="AR42" i="14"/>
  <c r="AS58" i="14"/>
  <c r="AR74" i="14"/>
  <c r="AR90" i="14"/>
  <c r="AR106" i="14"/>
  <c r="AR122" i="14"/>
  <c r="AR138" i="14"/>
  <c r="AR154" i="14"/>
  <c r="AR170" i="14"/>
  <c r="AR186" i="14"/>
  <c r="AS202" i="14"/>
  <c r="AS218" i="14"/>
  <c r="AR41" i="14"/>
  <c r="AS57" i="14"/>
  <c r="AR73" i="14"/>
  <c r="AS89" i="14"/>
  <c r="AR105" i="14"/>
  <c r="AS121" i="14"/>
  <c r="AR137" i="14"/>
  <c r="AR153" i="14"/>
  <c r="AS169" i="14"/>
  <c r="AR185" i="14"/>
  <c r="AS201" i="14"/>
  <c r="AS217" i="14"/>
  <c r="AR235" i="14"/>
  <c r="AR251" i="14"/>
  <c r="AR267" i="14"/>
  <c r="AS283" i="14"/>
  <c r="AS299" i="14"/>
  <c r="AS315" i="14"/>
  <c r="AR331" i="14"/>
  <c r="AS347" i="14"/>
  <c r="AR363" i="14"/>
  <c r="AS379" i="14"/>
  <c r="AR395" i="14"/>
  <c r="AS244" i="14"/>
  <c r="AR260" i="14"/>
  <c r="AS276" i="14"/>
  <c r="AS292" i="14"/>
  <c r="AR308" i="14"/>
  <c r="AS323" i="14"/>
  <c r="AR339" i="14"/>
  <c r="AS355" i="14"/>
  <c r="AS371" i="14"/>
  <c r="AS387" i="14"/>
  <c r="AR44" i="14"/>
  <c r="AS60" i="14"/>
  <c r="AR76" i="14"/>
  <c r="AS92" i="14"/>
  <c r="AS108" i="14"/>
  <c r="AR124" i="14"/>
  <c r="AR140" i="14"/>
  <c r="AS156" i="14"/>
  <c r="AR172" i="14"/>
  <c r="AR188" i="14"/>
  <c r="AR204" i="14"/>
  <c r="AR222" i="14"/>
  <c r="AS43" i="14"/>
  <c r="AR59" i="14"/>
  <c r="AR75" i="14"/>
  <c r="AS91" i="14"/>
  <c r="AR107" i="14"/>
  <c r="AR123" i="14"/>
  <c r="AS139" i="14"/>
  <c r="AS155" i="14"/>
  <c r="AR171" i="14"/>
  <c r="AS187" i="14"/>
  <c r="AR203" i="14"/>
  <c r="AS221" i="14"/>
  <c r="AS237" i="14"/>
  <c r="AS253" i="14"/>
  <c r="AS269" i="14"/>
  <c r="AS285" i="14"/>
  <c r="AS301" i="14"/>
  <c r="AS317" i="14"/>
  <c r="AS333" i="14"/>
  <c r="AS349" i="14"/>
  <c r="AS365" i="14"/>
  <c r="AS381" i="14"/>
  <c r="AS397" i="14"/>
  <c r="AR246" i="14"/>
  <c r="AS262" i="14"/>
  <c r="AR278" i="14"/>
  <c r="AS294" i="14"/>
  <c r="AR310" i="14"/>
  <c r="AS325" i="14"/>
  <c r="AS341" i="14"/>
  <c r="AS357" i="14"/>
  <c r="AR373" i="14"/>
  <c r="AR389" i="14"/>
  <c r="AS46" i="14"/>
  <c r="AR62" i="14"/>
  <c r="AS78" i="14"/>
  <c r="AR94" i="14"/>
  <c r="AR110" i="14"/>
  <c r="AS126" i="14"/>
  <c r="AS142" i="14"/>
  <c r="AS158" i="14"/>
  <c r="AR174" i="14"/>
  <c r="AS190" i="14"/>
  <c r="AS206" i="14"/>
  <c r="AR224" i="14"/>
  <c r="AS45" i="14"/>
  <c r="AR61" i="14"/>
  <c r="AS77" i="14"/>
  <c r="AR93" i="14"/>
  <c r="AS109" i="14"/>
  <c r="AR125" i="14"/>
  <c r="AS141" i="14"/>
  <c r="AR157" i="14"/>
  <c r="AR173" i="14"/>
  <c r="AR189" i="14"/>
  <c r="AS205" i="14"/>
  <c r="AS223" i="14"/>
  <c r="AS239" i="14"/>
  <c r="AS255" i="14"/>
  <c r="AR271" i="14"/>
  <c r="AR287" i="14"/>
  <c r="AR303" i="14"/>
  <c r="AR319" i="14"/>
  <c r="AS335" i="14"/>
  <c r="AS351" i="14"/>
  <c r="AR367" i="14"/>
  <c r="AR383" i="14"/>
  <c r="AS399" i="14"/>
  <c r="AS248" i="14"/>
  <c r="AS264" i="14"/>
  <c r="AS280" i="14"/>
  <c r="AR296" i="14"/>
  <c r="AR311" i="14"/>
  <c r="AS327" i="14"/>
  <c r="AR343" i="14"/>
  <c r="AR359" i="14"/>
  <c r="AS375" i="14"/>
  <c r="AS391" i="14"/>
  <c r="AR48" i="14"/>
  <c r="AR64" i="14"/>
  <c r="AR80" i="14"/>
  <c r="AS96" i="14"/>
  <c r="AR112" i="14"/>
  <c r="AR128" i="14"/>
  <c r="AS144" i="14"/>
  <c r="AR160" i="14"/>
  <c r="AS176" i="14"/>
  <c r="AS192" i="14"/>
  <c r="AR208" i="14"/>
  <c r="AS226" i="14"/>
  <c r="AS47" i="14"/>
  <c r="AR63" i="14"/>
  <c r="AS79" i="14"/>
  <c r="AR95" i="14"/>
  <c r="AS111" i="14"/>
  <c r="AR127" i="14"/>
  <c r="AS143" i="14"/>
  <c r="AS159" i="14"/>
  <c r="AR175" i="14"/>
  <c r="AR191" i="14"/>
  <c r="AR207" i="14"/>
  <c r="AR225" i="14"/>
  <c r="AS241" i="14"/>
  <c r="AS257" i="14"/>
  <c r="AR273" i="14"/>
  <c r="AR289" i="14"/>
  <c r="AR305" i="14"/>
  <c r="AR321" i="14"/>
  <c r="AV321" i="14" s="1"/>
  <c r="C321" i="14" s="1"/>
  <c r="AS337" i="14"/>
  <c r="AR353" i="14"/>
  <c r="AV353" i="14" s="1"/>
  <c r="C353" i="14" s="1"/>
  <c r="AS369" i="14"/>
  <c r="AS385" i="14"/>
  <c r="AR234" i="14"/>
  <c r="AR250" i="14"/>
  <c r="AS266" i="14"/>
  <c r="AR282" i="14"/>
  <c r="AS298" i="14"/>
  <c r="AR313" i="14"/>
  <c r="AS329" i="14"/>
  <c r="AS345" i="14"/>
  <c r="AR361" i="14"/>
  <c r="AV361" i="14" s="1"/>
  <c r="C361" i="14" s="1"/>
  <c r="AS377" i="14"/>
  <c r="AS393" i="14"/>
  <c r="AR50" i="14"/>
  <c r="AS66" i="14"/>
  <c r="AS82" i="14"/>
  <c r="AR98" i="14"/>
  <c r="AS114" i="14"/>
  <c r="AR130" i="14"/>
  <c r="AS146" i="14"/>
  <c r="AS162" i="14"/>
  <c r="AR178" i="14"/>
  <c r="AR194" i="14"/>
  <c r="AS210" i="14"/>
  <c r="AS228" i="14"/>
  <c r="AR49" i="14"/>
  <c r="AS65" i="14"/>
  <c r="AS81" i="14"/>
  <c r="AS97" i="14"/>
  <c r="AS113" i="14"/>
  <c r="AS129" i="14"/>
  <c r="AS145" i="14"/>
  <c r="AS161" i="14"/>
  <c r="AS177" i="14"/>
  <c r="AR193" i="14"/>
  <c r="AS209" i="14"/>
  <c r="AS227" i="14"/>
  <c r="AR243" i="14"/>
  <c r="AS259" i="14"/>
  <c r="AS275" i="14"/>
  <c r="AR291" i="14"/>
  <c r="AS307" i="14"/>
  <c r="AR323" i="14"/>
  <c r="AS339" i="14"/>
  <c r="AR355" i="14"/>
  <c r="AV355" i="14" s="1"/>
  <c r="C355" i="14" s="1"/>
  <c r="AR371" i="14"/>
  <c r="AV371" i="14" s="1"/>
  <c r="C371" i="14" s="1"/>
  <c r="AR387" i="14"/>
  <c r="AV387" i="14" s="1"/>
  <c r="C387" i="14" s="1"/>
  <c r="AR236" i="14"/>
  <c r="AS252" i="14"/>
  <c r="AR268" i="14"/>
  <c r="AR284" i="14"/>
  <c r="AR300" i="14"/>
  <c r="AR315" i="14"/>
  <c r="AS331" i="14"/>
  <c r="AR347" i="14"/>
  <c r="AS363" i="14"/>
  <c r="AR379" i="14"/>
  <c r="AV379" i="14" s="1"/>
  <c r="C379" i="14" s="1"/>
  <c r="AS395" i="14"/>
  <c r="AS52" i="14"/>
  <c r="AR68" i="14"/>
  <c r="AS84" i="14"/>
  <c r="AR100" i="14"/>
  <c r="AS116" i="14"/>
  <c r="AR132" i="14"/>
  <c r="AS148" i="14"/>
  <c r="AR164" i="14"/>
  <c r="AR180" i="14"/>
  <c r="AS196" i="14"/>
  <c r="AS212" i="14"/>
  <c r="AS230" i="14"/>
  <c r="AS51" i="14"/>
  <c r="AS67" i="14"/>
  <c r="AR83" i="14"/>
  <c r="AS99" i="14"/>
  <c r="AR115" i="14"/>
  <c r="AR131" i="14"/>
  <c r="AS147" i="14"/>
  <c r="AS163" i="14"/>
  <c r="AS179" i="14"/>
  <c r="AR195" i="14"/>
  <c r="AR211" i="14"/>
  <c r="AS229" i="14"/>
  <c r="AR245" i="14"/>
  <c r="AS261" i="14"/>
  <c r="AR277" i="14"/>
  <c r="AR293" i="14"/>
  <c r="AS309" i="14"/>
  <c r="AR325" i="14"/>
  <c r="AV325" i="14" s="1"/>
  <c r="C325" i="14" s="1"/>
  <c r="AR341" i="14"/>
  <c r="AR357" i="14"/>
  <c r="AV357" i="14" s="1"/>
  <c r="C357" i="14" s="1"/>
  <c r="AS373" i="14"/>
  <c r="AS389" i="14"/>
  <c r="AS238" i="14"/>
  <c r="AS254" i="14"/>
  <c r="AR270" i="14"/>
  <c r="AR286" i="14"/>
  <c r="AR302" i="14"/>
  <c r="AR317" i="14"/>
  <c r="AR333" i="14"/>
  <c r="AV333" i="14" s="1"/>
  <c r="C333" i="14" s="1"/>
  <c r="AR349" i="14"/>
  <c r="AV349" i="14" s="1"/>
  <c r="C349" i="14" s="1"/>
  <c r="AR365" i="14"/>
  <c r="AR381" i="14"/>
  <c r="AV381" i="14" s="1"/>
  <c r="C381" i="14" s="1"/>
  <c r="AR397" i="14"/>
  <c r="AS54" i="14"/>
  <c r="AR70" i="14"/>
  <c r="AS86" i="14"/>
  <c r="AR102" i="14"/>
  <c r="AR118" i="14"/>
  <c r="AR134" i="14"/>
  <c r="AR150" i="14"/>
  <c r="AR166" i="14"/>
  <c r="AR182" i="14"/>
  <c r="AR198" i="14"/>
  <c r="AS214" i="14"/>
  <c r="AS232" i="14"/>
  <c r="AS53" i="14"/>
  <c r="AR69" i="14"/>
  <c r="AR85" i="14"/>
  <c r="AS101" i="14"/>
  <c r="AR117" i="14"/>
  <c r="AS133" i="14"/>
  <c r="AS149" i="14"/>
  <c r="AR165" i="14"/>
  <c r="AS181" i="14"/>
  <c r="AS197" i="14"/>
  <c r="AR213" i="14"/>
  <c r="AS231" i="14"/>
  <c r="AS247" i="14"/>
  <c r="AS263" i="14"/>
  <c r="AS279" i="14"/>
  <c r="AS295" i="14"/>
  <c r="AS311" i="14"/>
  <c r="AR327" i="14"/>
  <c r="AV327" i="14" s="1"/>
  <c r="C327" i="14" s="1"/>
  <c r="AS343" i="14"/>
  <c r="AS359" i="14"/>
  <c r="AR375" i="14"/>
  <c r="AV375" i="14" s="1"/>
  <c r="C375" i="14" s="1"/>
  <c r="AR391" i="14"/>
  <c r="AS240" i="14"/>
  <c r="AS256" i="14"/>
  <c r="AS272" i="14"/>
  <c r="AS288" i="14"/>
  <c r="AR304" i="14"/>
  <c r="AS319" i="14"/>
  <c r="AR335" i="14"/>
  <c r="AR351" i="14"/>
  <c r="AV351" i="14" s="1"/>
  <c r="C351" i="14" s="1"/>
  <c r="AS367" i="14"/>
  <c r="AS383" i="14"/>
  <c r="AR399" i="14"/>
  <c r="AV399" i="14" s="1"/>
  <c r="C399" i="14" s="1"/>
  <c r="AS41" i="14"/>
  <c r="AR57" i="14"/>
  <c r="AV57" i="14" s="1"/>
  <c r="C57" i="14" s="1"/>
  <c r="AS73" i="14"/>
  <c r="AR89" i="14"/>
  <c r="AS105" i="14"/>
  <c r="AR121" i="14"/>
  <c r="AS137" i="14"/>
  <c r="AS153" i="14"/>
  <c r="AR169" i="14"/>
  <c r="AV169" i="14" s="1"/>
  <c r="C169" i="14" s="1"/>
  <c r="AS185" i="14"/>
  <c r="AR201" i="14"/>
  <c r="AV201" i="14" s="1"/>
  <c r="C201" i="14" s="1"/>
  <c r="AR217" i="14"/>
  <c r="AR40" i="14"/>
  <c r="AV40" i="14" s="1"/>
  <c r="C40" i="14" s="1"/>
  <c r="AR56" i="14"/>
  <c r="AV56" i="14" s="1"/>
  <c r="C56" i="14" s="1"/>
  <c r="AR72" i="14"/>
  <c r="AV72" i="14" s="1"/>
  <c r="C72" i="14" s="1"/>
  <c r="AR88" i="14"/>
  <c r="AV88" i="14" s="1"/>
  <c r="C88" i="14" s="1"/>
  <c r="AR104" i="14"/>
  <c r="AR120" i="14"/>
  <c r="AS136" i="14"/>
  <c r="AS152" i="14"/>
  <c r="AR168" i="14"/>
  <c r="AV168" i="14" s="1"/>
  <c r="C168" i="14" s="1"/>
  <c r="AR184" i="14"/>
  <c r="AV184" i="14" s="1"/>
  <c r="C184" i="14" s="1"/>
  <c r="AS200" i="14"/>
  <c r="AS216" i="14"/>
  <c r="AS234" i="14"/>
  <c r="AR43" i="14"/>
  <c r="AV43" i="14" s="1"/>
  <c r="C43" i="14" s="1"/>
  <c r="AS59" i="14"/>
  <c r="AS75" i="14"/>
  <c r="AR91" i="14"/>
  <c r="AV91" i="14" s="1"/>
  <c r="C91" i="14" s="1"/>
  <c r="AS107" i="14"/>
  <c r="AS123" i="14"/>
  <c r="AR139" i="14"/>
  <c r="AR155" i="14"/>
  <c r="AS171" i="14"/>
  <c r="AR187" i="14"/>
  <c r="AV187" i="14" s="1"/>
  <c r="C187" i="14" s="1"/>
  <c r="AS203" i="14"/>
  <c r="AR221" i="14"/>
  <c r="AV221" i="14" s="1"/>
  <c r="C221" i="14" s="1"/>
  <c r="AS42" i="14"/>
  <c r="AR58" i="14"/>
  <c r="AV58" i="14" s="1"/>
  <c r="C58" i="14" s="1"/>
  <c r="AS74" i="14"/>
  <c r="AS90" i="14"/>
  <c r="AS106" i="14"/>
  <c r="AS122" i="14"/>
  <c r="AS138" i="14"/>
  <c r="AS154" i="14"/>
  <c r="AS170" i="14"/>
  <c r="AS186" i="14"/>
  <c r="AR202" i="14"/>
  <c r="AV202" i="14" s="1"/>
  <c r="C202" i="14" s="1"/>
  <c r="AR218" i="14"/>
  <c r="AV218" i="14" s="1"/>
  <c r="C218" i="14" s="1"/>
  <c r="AR45" i="14"/>
  <c r="AV45" i="14" s="1"/>
  <c r="C45" i="14" s="1"/>
  <c r="AS61" i="14"/>
  <c r="AR77" i="14"/>
  <c r="AS93" i="14"/>
  <c r="AR109" i="14"/>
  <c r="AV109" i="14" s="1"/>
  <c r="C109" i="14" s="1"/>
  <c r="AS125" i="14"/>
  <c r="AR141" i="14"/>
  <c r="AV141" i="14" s="1"/>
  <c r="C141" i="14" s="1"/>
  <c r="AS157" i="14"/>
  <c r="AS173" i="14"/>
  <c r="AS189" i="14"/>
  <c r="AR205" i="14"/>
  <c r="AR223" i="14"/>
  <c r="AS44" i="14"/>
  <c r="AR60" i="14"/>
  <c r="AV60" i="14" s="1"/>
  <c r="C60" i="14" s="1"/>
  <c r="AS76" i="14"/>
  <c r="AR92" i="14"/>
  <c r="AR108" i="14"/>
  <c r="AV108" i="14" s="1"/>
  <c r="C108" i="14" s="1"/>
  <c r="AS124" i="14"/>
  <c r="AS140" i="14"/>
  <c r="AR156" i="14"/>
  <c r="AV156" i="14" s="1"/>
  <c r="C156" i="14" s="1"/>
  <c r="AS172" i="14"/>
  <c r="AS188" i="14"/>
  <c r="AS204" i="14"/>
  <c r="AS222" i="14"/>
  <c r="AR238" i="14"/>
  <c r="AV238" i="14" s="1"/>
  <c r="C238" i="14" s="1"/>
  <c r="AR254" i="14"/>
  <c r="AV254" i="14" s="1"/>
  <c r="C254" i="14" s="1"/>
  <c r="AS49" i="14"/>
  <c r="AR65" i="14"/>
  <c r="AV65" i="14" s="1"/>
  <c r="C65" i="14" s="1"/>
  <c r="AR81" i="14"/>
  <c r="AR97" i="14"/>
  <c r="AV97" i="14" s="1"/>
  <c r="C97" i="14" s="1"/>
  <c r="AR113" i="14"/>
  <c r="AV113" i="14" s="1"/>
  <c r="C113" i="14" s="1"/>
  <c r="AR129" i="14"/>
  <c r="AR145" i="14"/>
  <c r="AV145" i="14" s="1"/>
  <c r="C145" i="14" s="1"/>
  <c r="AR161" i="14"/>
  <c r="AR177" i="14"/>
  <c r="AS193" i="14"/>
  <c r="AR209" i="14"/>
  <c r="AV209" i="14" s="1"/>
  <c r="C209" i="14" s="1"/>
  <c r="AR227" i="14"/>
  <c r="AV227" i="14" s="1"/>
  <c r="C227" i="14" s="1"/>
  <c r="AS48" i="14"/>
  <c r="AS64" i="14"/>
  <c r="AS80" i="14"/>
  <c r="AR96" i="14"/>
  <c r="AV96" i="14" s="1"/>
  <c r="C96" i="14" s="1"/>
  <c r="AS112" i="14"/>
  <c r="AS128" i="14"/>
  <c r="AR144" i="14"/>
  <c r="AV144" i="14" s="1"/>
  <c r="C144" i="14" s="1"/>
  <c r="AS160" i="14"/>
  <c r="AR176" i="14"/>
  <c r="AR192" i="14"/>
  <c r="AS208" i="14"/>
  <c r="AR226" i="14"/>
  <c r="AV226" i="14" s="1"/>
  <c r="C226" i="14" s="1"/>
  <c r="AR51" i="14"/>
  <c r="AV51" i="14" s="1"/>
  <c r="C51" i="14" s="1"/>
  <c r="AR67" i="14"/>
  <c r="AV67" i="14" s="1"/>
  <c r="C67" i="14" s="1"/>
  <c r="AS83" i="14"/>
  <c r="AR99" i="14"/>
  <c r="AS115" i="14"/>
  <c r="AS131" i="14"/>
  <c r="AR147" i="14"/>
  <c r="AV147" i="14" s="1"/>
  <c r="C147" i="14" s="1"/>
  <c r="AR163" i="14"/>
  <c r="AV163" i="14" s="1"/>
  <c r="C163" i="14" s="1"/>
  <c r="AR179" i="14"/>
  <c r="AS195" i="14"/>
  <c r="AS211" i="14"/>
  <c r="AR229" i="14"/>
  <c r="AS50" i="14"/>
  <c r="AR66" i="14"/>
  <c r="AV66" i="14" s="1"/>
  <c r="C66" i="14" s="1"/>
  <c r="AR82" i="14"/>
  <c r="AS98" i="14"/>
  <c r="AR114" i="14"/>
  <c r="AS130" i="14"/>
  <c r="AR146" i="14"/>
  <c r="AV146" i="14" s="1"/>
  <c r="C146" i="14" s="1"/>
  <c r="AR162" i="14"/>
  <c r="AV162" i="14" s="1"/>
  <c r="C162" i="14" s="1"/>
  <c r="AS178" i="14"/>
  <c r="AS194" i="14"/>
  <c r="AR210" i="14"/>
  <c r="AV210" i="14" s="1"/>
  <c r="C210" i="14" s="1"/>
  <c r="AR228" i="14"/>
  <c r="AR53" i="14"/>
  <c r="AV53" i="14" s="1"/>
  <c r="C53" i="14" s="1"/>
  <c r="AS69" i="14"/>
  <c r="AS85" i="14"/>
  <c r="AR101" i="14"/>
  <c r="AV101" i="14" s="1"/>
  <c r="C101" i="14" s="1"/>
  <c r="AS117" i="14"/>
  <c r="AR133" i="14"/>
  <c r="AR149" i="14"/>
  <c r="AS165" i="14"/>
  <c r="AR181" i="14"/>
  <c r="AV181" i="14" s="1"/>
  <c r="C181" i="14" s="1"/>
  <c r="AR197" i="14"/>
  <c r="AV197" i="14" s="1"/>
  <c r="C197" i="14" s="1"/>
  <c r="AS213" i="14"/>
  <c r="AR231" i="14"/>
  <c r="AV231" i="14" s="1"/>
  <c r="C231" i="14" s="1"/>
  <c r="AR52" i="14"/>
  <c r="AV52" i="14" s="1"/>
  <c r="C52" i="14" s="1"/>
  <c r="AS68" i="14"/>
  <c r="AR84" i="14"/>
  <c r="AV84" i="14" s="1"/>
  <c r="C84" i="14" s="1"/>
  <c r="AS100" i="14"/>
  <c r="AR116" i="14"/>
  <c r="AV116" i="14" s="1"/>
  <c r="C116" i="14" s="1"/>
  <c r="AS132" i="14"/>
  <c r="AR148" i="14"/>
  <c r="AV148" i="14" s="1"/>
  <c r="C148" i="14" s="1"/>
  <c r="AS164" i="14"/>
  <c r="AS180" i="14"/>
  <c r="AR196" i="14"/>
  <c r="AV196" i="14" s="1"/>
  <c r="C196" i="14" s="1"/>
  <c r="AR212" i="14"/>
  <c r="AV212" i="14" s="1"/>
  <c r="C212" i="14" s="1"/>
  <c r="AR230" i="14"/>
  <c r="AV230" i="14" s="1"/>
  <c r="C230" i="14" s="1"/>
  <c r="AS246" i="14"/>
  <c r="AR262" i="14"/>
  <c r="AV262" i="14" s="1"/>
  <c r="C262" i="14" s="1"/>
  <c r="AR79" i="14"/>
  <c r="AR143" i="14"/>
  <c r="AV143" i="14" s="1"/>
  <c r="C143" i="14" s="1"/>
  <c r="AS207" i="14"/>
  <c r="AR78" i="14"/>
  <c r="AV78" i="14" s="1"/>
  <c r="C78" i="14" s="1"/>
  <c r="AR142" i="14"/>
  <c r="AR206" i="14"/>
  <c r="AV206" i="14" s="1"/>
  <c r="C206" i="14" s="1"/>
  <c r="AR248" i="14"/>
  <c r="AS268" i="14"/>
  <c r="AS284" i="14"/>
  <c r="AS300" i="14"/>
  <c r="AS316" i="14"/>
  <c r="AS332" i="14"/>
  <c r="AR348" i="14"/>
  <c r="AS364" i="14"/>
  <c r="AS380" i="14"/>
  <c r="AS396" i="14"/>
  <c r="AS245" i="14"/>
  <c r="AR261" i="14"/>
  <c r="AV261" i="14" s="1"/>
  <c r="C261" i="14" s="1"/>
  <c r="AS277" i="14"/>
  <c r="AS293" i="14"/>
  <c r="AR309" i="14"/>
  <c r="AV309" i="14" s="1"/>
  <c r="C309" i="14" s="1"/>
  <c r="AR326" i="14"/>
  <c r="AS342" i="14"/>
  <c r="AS358" i="14"/>
  <c r="AR374" i="14"/>
  <c r="AS390" i="14"/>
  <c r="AS87" i="14"/>
  <c r="AS151" i="14"/>
  <c r="AS215" i="14"/>
  <c r="AR86" i="14"/>
  <c r="AS150" i="14"/>
  <c r="AR214" i="14"/>
  <c r="AS250" i="14"/>
  <c r="AS270" i="14"/>
  <c r="AS286" i="14"/>
  <c r="AS302" i="14"/>
  <c r="AS318" i="14"/>
  <c r="AR334" i="14"/>
  <c r="AS350" i="14"/>
  <c r="AS366" i="14"/>
  <c r="AR382" i="14"/>
  <c r="AR398" i="14"/>
  <c r="AR247" i="14"/>
  <c r="AV247" i="14" s="1"/>
  <c r="C247" i="14" s="1"/>
  <c r="AR263" i="14"/>
  <c r="AR279" i="14"/>
  <c r="AR295" i="14"/>
  <c r="AV295" i="14" s="1"/>
  <c r="C295" i="14" s="1"/>
  <c r="AR312" i="14"/>
  <c r="AR328" i="14"/>
  <c r="AR344" i="14"/>
  <c r="AS360" i="14"/>
  <c r="AS376" i="14"/>
  <c r="AS392" i="14"/>
  <c r="AS95" i="14"/>
  <c r="AR159" i="14"/>
  <c r="AV159" i="14" s="1"/>
  <c r="C159" i="14" s="1"/>
  <c r="AS225" i="14"/>
  <c r="AS94" i="14"/>
  <c r="AR158" i="14"/>
  <c r="AV158" i="14" s="1"/>
  <c r="C158" i="14" s="1"/>
  <c r="AS224" i="14"/>
  <c r="AR252" i="14"/>
  <c r="AR272" i="14"/>
  <c r="AV272" i="14" s="1"/>
  <c r="C272" i="14" s="1"/>
  <c r="AR288" i="14"/>
  <c r="AV288" i="14" s="1"/>
  <c r="C288" i="14" s="1"/>
  <c r="AS304" i="14"/>
  <c r="AR320" i="14"/>
  <c r="AS336" i="14"/>
  <c r="AR352" i="14"/>
  <c r="AR368" i="14"/>
  <c r="AR384" i="14"/>
  <c r="AR400" i="14"/>
  <c r="AR249" i="14"/>
  <c r="AV249" i="14" s="1"/>
  <c r="C249" i="14" s="1"/>
  <c r="AR265" i="14"/>
  <c r="AV265" i="14" s="1"/>
  <c r="C265" i="14" s="1"/>
  <c r="AS281" i="14"/>
  <c r="AS297" i="14"/>
  <c r="AR314" i="14"/>
  <c r="AR330" i="14"/>
  <c r="AR346" i="14"/>
  <c r="AS362" i="14"/>
  <c r="AS378" i="14"/>
  <c r="AR394" i="14"/>
  <c r="AR39" i="14"/>
  <c r="AS103" i="14"/>
  <c r="AR167" i="14"/>
  <c r="AV167" i="14" s="1"/>
  <c r="C167" i="14" s="1"/>
  <c r="AR233" i="14"/>
  <c r="AV233" i="14" s="1"/>
  <c r="C233" i="14" s="1"/>
  <c r="AS102" i="14"/>
  <c r="AS166" i="14"/>
  <c r="AR232" i="14"/>
  <c r="AR256" i="14"/>
  <c r="AR274" i="14"/>
  <c r="AR290" i="14"/>
  <c r="AR306" i="14"/>
  <c r="AV306" i="14" s="1"/>
  <c r="C306" i="14" s="1"/>
  <c r="AS322" i="14"/>
  <c r="AR338" i="14"/>
  <c r="AS354" i="14"/>
  <c r="AS370" i="14"/>
  <c r="AS386" i="14"/>
  <c r="AS235" i="14"/>
  <c r="AS251" i="14"/>
  <c r="AS267" i="14"/>
  <c r="AR283" i="14"/>
  <c r="AV283" i="14" s="1"/>
  <c r="C283" i="14" s="1"/>
  <c r="AR299" i="14"/>
  <c r="AV299" i="14" s="1"/>
  <c r="C299" i="14" s="1"/>
  <c r="AR316" i="14"/>
  <c r="AR332" i="14"/>
  <c r="AV332" i="14" s="1"/>
  <c r="C332" i="14" s="1"/>
  <c r="AS348" i="14"/>
  <c r="AR364" i="14"/>
  <c r="AV364" i="14" s="1"/>
  <c r="C364" i="14" s="1"/>
  <c r="AR380" i="14"/>
  <c r="AV380" i="14" s="1"/>
  <c r="C380" i="14" s="1"/>
  <c r="AR396" i="14"/>
  <c r="AV396" i="14" s="1"/>
  <c r="C396" i="14" s="1"/>
  <c r="AR47" i="14"/>
  <c r="AV47" i="14" s="1"/>
  <c r="C47" i="14" s="1"/>
  <c r="AR111" i="14"/>
  <c r="AS175" i="14"/>
  <c r="AR46" i="14"/>
  <c r="AV46" i="14" s="1"/>
  <c r="C46" i="14" s="1"/>
  <c r="AS110" i="14"/>
  <c r="AS174" i="14"/>
  <c r="AS236" i="14"/>
  <c r="AS258" i="14"/>
  <c r="AR276" i="14"/>
  <c r="AV276" i="14" s="1"/>
  <c r="C276" i="14" s="1"/>
  <c r="AR292" i="14"/>
  <c r="AV292" i="14" s="1"/>
  <c r="C292" i="14" s="1"/>
  <c r="AS308" i="14"/>
  <c r="AR324" i="14"/>
  <c r="AS340" i="14"/>
  <c r="AS356" i="14"/>
  <c r="AS372" i="14"/>
  <c r="AS388" i="14"/>
  <c r="AR237" i="14"/>
  <c r="AV237" i="14" s="1"/>
  <c r="C237" i="14" s="1"/>
  <c r="AR253" i="14"/>
  <c r="AV253" i="14" s="1"/>
  <c r="C253" i="14" s="1"/>
  <c r="AR269" i="14"/>
  <c r="AR285" i="14"/>
  <c r="AR301" i="14"/>
  <c r="AV301" i="14" s="1"/>
  <c r="C301" i="14" s="1"/>
  <c r="AR318" i="14"/>
  <c r="AV318" i="14" s="1"/>
  <c r="C318" i="14" s="1"/>
  <c r="AS334" i="14"/>
  <c r="AR350" i="14"/>
  <c r="AV350" i="14" s="1"/>
  <c r="C350" i="14" s="1"/>
  <c r="AR366" i="14"/>
  <c r="AS382" i="14"/>
  <c r="AS398" i="14"/>
  <c r="AR55" i="14"/>
  <c r="AR119" i="14"/>
  <c r="AV119" i="14" s="1"/>
  <c r="C119" i="14" s="1"/>
  <c r="AR183" i="14"/>
  <c r="AR54" i="14"/>
  <c r="AV54" i="14" s="1"/>
  <c r="C54" i="14" s="1"/>
  <c r="AS118" i="14"/>
  <c r="AS182" i="14"/>
  <c r="AR240" i="14"/>
  <c r="AS260" i="14"/>
  <c r="AS278" i="14"/>
  <c r="AR294" i="14"/>
  <c r="AV294" i="14" s="1"/>
  <c r="C294" i="14" s="1"/>
  <c r="AS310" i="14"/>
  <c r="AS326" i="14"/>
  <c r="AR342" i="14"/>
  <c r="AV342" i="14" s="1"/>
  <c r="C342" i="14" s="1"/>
  <c r="AR358" i="14"/>
  <c r="AS374" i="14"/>
  <c r="AR390" i="14"/>
  <c r="AV390" i="14" s="1"/>
  <c r="C390" i="14" s="1"/>
  <c r="AR239" i="14"/>
  <c r="AV239" i="14" s="1"/>
  <c r="C239" i="14" s="1"/>
  <c r="AR255" i="14"/>
  <c r="AV255" i="14" s="1"/>
  <c r="C255" i="14" s="1"/>
  <c r="AS271" i="14"/>
  <c r="AS287" i="14"/>
  <c r="AS303" i="14"/>
  <c r="AS320" i="14"/>
  <c r="AR336" i="14"/>
  <c r="AS352" i="14"/>
  <c r="AS368" i="14"/>
  <c r="AS384" i="14"/>
  <c r="AS400" i="14"/>
  <c r="AS63" i="14"/>
  <c r="AS127" i="14"/>
  <c r="AS191" i="14"/>
  <c r="AS62" i="14"/>
  <c r="AR126" i="14"/>
  <c r="AR190" i="14"/>
  <c r="AV190" i="14" s="1"/>
  <c r="C190" i="14" s="1"/>
  <c r="AR242" i="14"/>
  <c r="AV242" i="14" s="1"/>
  <c r="C242" i="14" s="1"/>
  <c r="AR264" i="14"/>
  <c r="AV264" i="14" s="1"/>
  <c r="C264" i="14" s="1"/>
  <c r="AR280" i="14"/>
  <c r="AV280" i="14" s="1"/>
  <c r="C280" i="14" s="1"/>
  <c r="AS296" i="14"/>
  <c r="AS312" i="14"/>
  <c r="AS328" i="14"/>
  <c r="AS344" i="14"/>
  <c r="AR360" i="14"/>
  <c r="AV360" i="14" s="1"/>
  <c r="C360" i="14" s="1"/>
  <c r="AR376" i="14"/>
  <c r="AV376" i="14" s="1"/>
  <c r="C376" i="14" s="1"/>
  <c r="AR392" i="14"/>
  <c r="AV392" i="14" s="1"/>
  <c r="C392" i="14" s="1"/>
  <c r="AR241" i="14"/>
  <c r="AV241" i="14" s="1"/>
  <c r="C241" i="14" s="1"/>
  <c r="AR257" i="14"/>
  <c r="AV257" i="14" s="1"/>
  <c r="C257" i="14" s="1"/>
  <c r="AS273" i="14"/>
  <c r="AS289" i="14"/>
  <c r="AS305" i="14"/>
  <c r="AR322" i="14"/>
  <c r="AV322" i="14" s="1"/>
  <c r="C322" i="14" s="1"/>
  <c r="AS338" i="14"/>
  <c r="AR354" i="14"/>
  <c r="AV354" i="14" s="1"/>
  <c r="C354" i="14" s="1"/>
  <c r="AR370" i="14"/>
  <c r="AV370" i="14" s="1"/>
  <c r="C370" i="14" s="1"/>
  <c r="AR386" i="14"/>
  <c r="AR71" i="14"/>
  <c r="AR135" i="14"/>
  <c r="AV135" i="14" s="1"/>
  <c r="C135" i="14" s="1"/>
  <c r="AS199" i="14"/>
  <c r="AS70" i="14"/>
  <c r="AS134" i="14"/>
  <c r="AS198" i="14"/>
  <c r="AR244" i="14"/>
  <c r="AV244" i="14" s="1"/>
  <c r="C244" i="14" s="1"/>
  <c r="AR266" i="14"/>
  <c r="AV266" i="14" s="1"/>
  <c r="C266" i="14" s="1"/>
  <c r="AS282" i="14"/>
  <c r="AR298" i="14"/>
  <c r="AS314" i="14"/>
  <c r="AS330" i="14"/>
  <c r="AS346" i="14"/>
  <c r="AR362" i="14"/>
  <c r="AV362" i="14" s="1"/>
  <c r="C362" i="14" s="1"/>
  <c r="AR378" i="14"/>
  <c r="AV378" i="14" s="1"/>
  <c r="C378" i="14" s="1"/>
  <c r="AS394" i="14"/>
  <c r="AS243" i="14"/>
  <c r="AR259" i="14"/>
  <c r="AV259" i="14" s="1"/>
  <c r="C259" i="14" s="1"/>
  <c r="AR275" i="14"/>
  <c r="AS291" i="14"/>
  <c r="AR307" i="14"/>
  <c r="AS324" i="14"/>
  <c r="AR340" i="14"/>
  <c r="AR356" i="14"/>
  <c r="AV356" i="14" s="1"/>
  <c r="C356" i="14" s="1"/>
  <c r="AR372" i="14"/>
  <c r="AR388" i="14"/>
  <c r="AU211" i="29"/>
  <c r="C211" i="29" s="1"/>
  <c r="AU377" i="29"/>
  <c r="C377" i="29" s="1"/>
  <c r="AU209" i="29"/>
  <c r="C209" i="29" s="1"/>
  <c r="AU207" i="29"/>
  <c r="C207" i="29" s="1"/>
  <c r="AU223" i="29"/>
  <c r="C223" i="29" s="1"/>
  <c r="AU57" i="29"/>
  <c r="C57" i="29" s="1"/>
  <c r="AU221" i="29"/>
  <c r="C221" i="29" s="1"/>
  <c r="AU371" i="29"/>
  <c r="C371" i="29" s="1"/>
  <c r="AU284" i="29"/>
  <c r="C284" i="29" s="1"/>
  <c r="AU170" i="29"/>
  <c r="C170" i="29" s="1"/>
  <c r="AU293" i="29"/>
  <c r="C293" i="29" s="1"/>
  <c r="AU177" i="29"/>
  <c r="C177" i="29" s="1"/>
  <c r="AU117" i="29"/>
  <c r="C117" i="29" s="1"/>
  <c r="AU49" i="29"/>
  <c r="C49" i="29" s="1"/>
  <c r="AU354" i="29"/>
  <c r="C354" i="29" s="1"/>
  <c r="AU240" i="29"/>
  <c r="C240" i="29" s="1"/>
  <c r="AU166" i="29"/>
  <c r="C166" i="29" s="1"/>
  <c r="AU93" i="29"/>
  <c r="C93" i="29" s="1"/>
  <c r="AN395" i="14"/>
  <c r="AN387" i="14"/>
  <c r="AM379" i="14"/>
  <c r="AN371" i="14"/>
  <c r="AN363" i="14"/>
  <c r="AN355" i="14"/>
  <c r="AM347" i="14"/>
  <c r="AM339" i="14"/>
  <c r="AN331" i="14"/>
  <c r="AN323" i="14"/>
  <c r="AM315" i="14"/>
  <c r="AM307" i="14"/>
  <c r="AM299" i="14"/>
  <c r="AN291" i="14"/>
  <c r="AM283" i="14"/>
  <c r="AM275" i="14"/>
  <c r="AN267" i="14"/>
  <c r="AM259" i="14"/>
  <c r="AN251" i="14"/>
  <c r="AN243" i="14"/>
  <c r="AN235" i="14"/>
  <c r="AN394" i="14"/>
  <c r="AN386" i="14"/>
  <c r="AM378" i="14"/>
  <c r="AN370" i="14"/>
  <c r="AM362" i="14"/>
  <c r="AN354" i="14"/>
  <c r="AN346" i="14"/>
  <c r="AM338" i="14"/>
  <c r="AN330" i="14"/>
  <c r="AN322" i="14"/>
  <c r="AN314" i="14"/>
  <c r="AM306" i="14"/>
  <c r="AM298" i="14"/>
  <c r="AM290" i="14"/>
  <c r="AN282" i="14"/>
  <c r="AM274" i="14"/>
  <c r="AM266" i="14"/>
  <c r="AN258" i="14"/>
  <c r="AN250" i="14"/>
  <c r="AM242" i="14"/>
  <c r="AN234" i="14"/>
  <c r="AM226" i="14"/>
  <c r="AN216" i="14"/>
  <c r="AN208" i="14"/>
  <c r="AN200" i="14"/>
  <c r="AM192" i="14"/>
  <c r="AM184" i="14"/>
  <c r="AM176" i="14"/>
  <c r="AM168" i="14"/>
  <c r="AN160" i="14"/>
  <c r="AN152" i="14"/>
  <c r="AM144" i="14"/>
  <c r="AN136" i="14"/>
  <c r="AN128" i="14"/>
  <c r="AM120" i="14"/>
  <c r="AN112" i="14"/>
  <c r="AM104" i="14"/>
  <c r="AM96" i="14"/>
  <c r="AM88" i="14"/>
  <c r="AN80" i="14"/>
  <c r="AM72" i="14"/>
  <c r="AN64" i="14"/>
  <c r="AM56" i="14"/>
  <c r="AN48" i="14"/>
  <c r="AM40" i="14"/>
  <c r="AM227" i="14"/>
  <c r="AM217" i="14"/>
  <c r="AM209" i="14"/>
  <c r="AM201" i="14"/>
  <c r="AN193" i="14"/>
  <c r="AN185" i="14"/>
  <c r="AM177" i="14"/>
  <c r="AM169" i="14"/>
  <c r="AM161" i="14"/>
  <c r="AN153" i="14"/>
  <c r="AM145" i="14"/>
  <c r="AN137" i="14"/>
  <c r="AM129" i="14"/>
  <c r="AM121" i="14"/>
  <c r="AM113" i="14"/>
  <c r="AN105" i="14"/>
  <c r="AM97" i="14"/>
  <c r="AM394" i="14"/>
  <c r="AM386" i="14"/>
  <c r="AN378" i="14"/>
  <c r="AM370" i="14"/>
  <c r="AN362" i="14"/>
  <c r="AM354" i="14"/>
  <c r="AM346" i="14"/>
  <c r="AN338" i="14"/>
  <c r="AM330" i="14"/>
  <c r="AM322" i="14"/>
  <c r="AM314" i="14"/>
  <c r="AN306" i="14"/>
  <c r="AN298" i="14"/>
  <c r="AN290" i="14"/>
  <c r="AM282" i="14"/>
  <c r="AN274" i="14"/>
  <c r="AN266" i="14"/>
  <c r="AM258" i="14"/>
  <c r="AM250" i="14"/>
  <c r="AN242" i="14"/>
  <c r="AM234" i="14"/>
  <c r="AM393" i="14"/>
  <c r="AN385" i="14"/>
  <c r="AM377" i="14"/>
  <c r="AN369" i="14"/>
  <c r="AN361" i="14"/>
  <c r="AM353" i="14"/>
  <c r="AM345" i="14"/>
  <c r="AN337" i="14"/>
  <c r="AM329" i="14"/>
  <c r="AM321" i="14"/>
  <c r="AN313" i="14"/>
  <c r="AM305" i="14"/>
  <c r="AM297" i="14"/>
  <c r="AM289" i="14"/>
  <c r="AM281" i="14"/>
  <c r="AM273" i="14"/>
  <c r="AN265" i="14"/>
  <c r="AN257" i="14"/>
  <c r="AN249" i="14"/>
  <c r="AN241" i="14"/>
  <c r="AN233" i="14"/>
  <c r="AM225" i="14"/>
  <c r="AM215" i="14"/>
  <c r="AM207" i="14"/>
  <c r="AM199" i="14"/>
  <c r="AM191" i="14"/>
  <c r="AN183" i="14"/>
  <c r="AM175" i="14"/>
  <c r="AN167" i="14"/>
  <c r="AN159" i="14"/>
  <c r="AM151" i="14"/>
  <c r="AN143" i="14"/>
  <c r="AN135" i="14"/>
  <c r="AM127" i="14"/>
  <c r="AN119" i="14"/>
  <c r="AN111" i="14"/>
  <c r="AM103" i="14"/>
  <c r="AM95" i="14"/>
  <c r="AM87" i="14"/>
  <c r="AN79" i="14"/>
  <c r="AN71" i="14"/>
  <c r="AM63" i="14"/>
  <c r="AN55" i="14"/>
  <c r="AN47" i="14"/>
  <c r="AN39" i="14"/>
  <c r="AN226" i="14"/>
  <c r="AM216" i="14"/>
  <c r="AM208" i="14"/>
  <c r="AM200" i="14"/>
  <c r="AN192" i="14"/>
  <c r="AN184" i="14"/>
  <c r="AN176" i="14"/>
  <c r="AN168" i="14"/>
  <c r="AM160" i="14"/>
  <c r="AM152" i="14"/>
  <c r="AN144" i="14"/>
  <c r="AM136" i="14"/>
  <c r="AM128" i="14"/>
  <c r="AN120" i="14"/>
  <c r="AM112" i="14"/>
  <c r="AN104" i="14"/>
  <c r="AN96" i="14"/>
  <c r="AN393" i="14"/>
  <c r="AM385" i="14"/>
  <c r="AN377" i="14"/>
  <c r="AM369" i="14"/>
  <c r="AM361" i="14"/>
  <c r="AN353" i="14"/>
  <c r="AN345" i="14"/>
  <c r="AM337" i="14"/>
  <c r="AN329" i="14"/>
  <c r="AN321" i="14"/>
  <c r="AM313" i="14"/>
  <c r="AN305" i="14"/>
  <c r="AN297" i="14"/>
  <c r="AN289" i="14"/>
  <c r="AN281" i="14"/>
  <c r="AN273" i="14"/>
  <c r="AM265" i="14"/>
  <c r="AM257" i="14"/>
  <c r="AM249" i="14"/>
  <c r="AM241" i="14"/>
  <c r="AM400" i="14"/>
  <c r="AM392" i="14"/>
  <c r="AM384" i="14"/>
  <c r="AM376" i="14"/>
  <c r="AM368" i="14"/>
  <c r="AM360" i="14"/>
  <c r="AM352" i="14"/>
  <c r="AN344" i="14"/>
  <c r="AN336" i="14"/>
  <c r="AN328" i="14"/>
  <c r="AM320" i="14"/>
  <c r="AN312" i="14"/>
  <c r="AN304" i="14"/>
  <c r="AN296" i="14"/>
  <c r="AM288" i="14"/>
  <c r="AM280" i="14"/>
  <c r="AM272" i="14"/>
  <c r="AM264" i="14"/>
  <c r="AM256" i="14"/>
  <c r="AM248" i="14"/>
  <c r="AM240" i="14"/>
  <c r="AM232" i="14"/>
  <c r="AN224" i="14"/>
  <c r="AM214" i="14"/>
  <c r="AM206" i="14"/>
  <c r="AN198" i="14"/>
  <c r="AM190" i="14"/>
  <c r="AN182" i="14"/>
  <c r="AN174" i="14"/>
  <c r="AN166" i="14"/>
  <c r="AM158" i="14"/>
  <c r="AN150" i="14"/>
  <c r="AM142" i="14"/>
  <c r="AN134" i="14"/>
  <c r="AM126" i="14"/>
  <c r="AN118" i="14"/>
  <c r="AN110" i="14"/>
  <c r="AN102" i="14"/>
  <c r="AN94" i="14"/>
  <c r="AM86" i="14"/>
  <c r="AM78" i="14"/>
  <c r="AN70" i="14"/>
  <c r="AN62" i="14"/>
  <c r="AM54" i="14"/>
  <c r="AM46" i="14"/>
  <c r="AM233" i="14"/>
  <c r="AN225" i="14"/>
  <c r="AN215" i="14"/>
  <c r="AN207" i="14"/>
  <c r="AN199" i="14"/>
  <c r="AN191" i="14"/>
  <c r="AM183" i="14"/>
  <c r="AN175" i="14"/>
  <c r="AM167" i="14"/>
  <c r="AM159" i="14"/>
  <c r="AN151" i="14"/>
  <c r="AM143" i="14"/>
  <c r="AM135" i="14"/>
  <c r="AN127" i="14"/>
  <c r="AM119" i="14"/>
  <c r="AM111" i="14"/>
  <c r="AN103" i="14"/>
  <c r="AN95" i="14"/>
  <c r="AN400" i="14"/>
  <c r="AN392" i="14"/>
  <c r="AN384" i="14"/>
  <c r="AN376" i="14"/>
  <c r="AN368" i="14"/>
  <c r="AN360" i="14"/>
  <c r="AN352" i="14"/>
  <c r="AM344" i="14"/>
  <c r="AM336" i="14"/>
  <c r="AM328" i="14"/>
  <c r="AN320" i="14"/>
  <c r="AM312" i="14"/>
  <c r="AM304" i="14"/>
  <c r="AM296" i="14"/>
  <c r="AN288" i="14"/>
  <c r="AN280" i="14"/>
  <c r="AN272" i="14"/>
  <c r="AN264" i="14"/>
  <c r="AN256" i="14"/>
  <c r="AN248" i="14"/>
  <c r="AN240" i="14"/>
  <c r="AN399" i="14"/>
  <c r="AM391" i="14"/>
  <c r="AM383" i="14"/>
  <c r="AM375" i="14"/>
  <c r="AM367" i="14"/>
  <c r="AN359" i="14"/>
  <c r="AN351" i="14"/>
  <c r="AN343" i="14"/>
  <c r="AN335" i="14"/>
  <c r="AM327" i="14"/>
  <c r="AM319" i="14"/>
  <c r="AN311" i="14"/>
  <c r="AM303" i="14"/>
  <c r="AN295" i="14"/>
  <c r="AM287" i="14"/>
  <c r="AN279" i="14"/>
  <c r="AM271" i="14"/>
  <c r="AN263" i="14"/>
  <c r="AN255" i="14"/>
  <c r="AN247" i="14"/>
  <c r="AN239" i="14"/>
  <c r="AN231" i="14"/>
  <c r="AN223" i="14"/>
  <c r="AM213" i="14"/>
  <c r="AN205" i="14"/>
  <c r="AN197" i="14"/>
  <c r="AM189" i="14"/>
  <c r="AN181" i="14"/>
  <c r="AM173" i="14"/>
  <c r="AM165" i="14"/>
  <c r="AM157" i="14"/>
  <c r="AN149" i="14"/>
  <c r="AN141" i="14"/>
  <c r="AN133" i="14"/>
  <c r="AM125" i="14"/>
  <c r="AM117" i="14"/>
  <c r="AN109" i="14"/>
  <c r="AN101" i="14"/>
  <c r="AM93" i="14"/>
  <c r="AM85" i="14"/>
  <c r="AN77" i="14"/>
  <c r="AM69" i="14"/>
  <c r="AM61" i="14"/>
  <c r="AN53" i="14"/>
  <c r="AN45" i="14"/>
  <c r="AN232" i="14"/>
  <c r="AM224" i="14"/>
  <c r="AN214" i="14"/>
  <c r="AN206" i="14"/>
  <c r="AM198" i="14"/>
  <c r="AN190" i="14"/>
  <c r="AM182" i="14"/>
  <c r="AM174" i="14"/>
  <c r="AM166" i="14"/>
  <c r="AN158" i="14"/>
  <c r="AM150" i="14"/>
  <c r="AN142" i="14"/>
  <c r="AM134" i="14"/>
  <c r="AN126" i="14"/>
  <c r="AM118" i="14"/>
  <c r="AM110" i="14"/>
  <c r="AM102" i="14"/>
  <c r="AM94" i="14"/>
  <c r="AM399" i="14"/>
  <c r="AN391" i="14"/>
  <c r="AN383" i="14"/>
  <c r="AN375" i="14"/>
  <c r="AN367" i="14"/>
  <c r="AM359" i="14"/>
  <c r="AM351" i="14"/>
  <c r="AM343" i="14"/>
  <c r="AM335" i="14"/>
  <c r="AN327" i="14"/>
  <c r="AN319" i="14"/>
  <c r="AM311" i="14"/>
  <c r="AN303" i="14"/>
  <c r="AM295" i="14"/>
  <c r="AN287" i="14"/>
  <c r="AM279" i="14"/>
  <c r="AN271" i="14"/>
  <c r="AM263" i="14"/>
  <c r="AM255" i="14"/>
  <c r="AM247" i="14"/>
  <c r="AM239" i="14"/>
  <c r="AM398" i="14"/>
  <c r="AM390" i="14"/>
  <c r="AM382" i="14"/>
  <c r="AN374" i="14"/>
  <c r="AN366" i="14"/>
  <c r="AM358" i="14"/>
  <c r="AN350" i="14"/>
  <c r="AM342" i="14"/>
  <c r="AM334" i="14"/>
  <c r="AN326" i="14"/>
  <c r="AN318" i="14"/>
  <c r="AN310" i="14"/>
  <c r="AN302" i="14"/>
  <c r="AM294" i="14"/>
  <c r="AN286" i="14"/>
  <c r="AN278" i="14"/>
  <c r="AN270" i="14"/>
  <c r="AM262" i="14"/>
  <c r="AM254" i="14"/>
  <c r="AN246" i="14"/>
  <c r="AM238" i="14"/>
  <c r="AM230" i="14"/>
  <c r="AN222" i="14"/>
  <c r="AM212" i="14"/>
  <c r="AN204" i="14"/>
  <c r="AM196" i="14"/>
  <c r="AN188" i="14"/>
  <c r="AN180" i="14"/>
  <c r="AN172" i="14"/>
  <c r="AN164" i="14"/>
  <c r="AM156" i="14"/>
  <c r="AM148" i="14"/>
  <c r="AN140" i="14"/>
  <c r="AN132" i="14"/>
  <c r="AN124" i="14"/>
  <c r="AM116" i="14"/>
  <c r="AM108" i="14"/>
  <c r="AN100" i="14"/>
  <c r="AM92" i="14"/>
  <c r="AM84" i="14"/>
  <c r="AN76" i="14"/>
  <c r="AN68" i="14"/>
  <c r="AM60" i="14"/>
  <c r="AM52" i="14"/>
  <c r="AN44" i="14"/>
  <c r="AM231" i="14"/>
  <c r="AM223" i="14"/>
  <c r="AN213" i="14"/>
  <c r="AM205" i="14"/>
  <c r="AM197" i="14"/>
  <c r="AN189" i="14"/>
  <c r="AM181" i="14"/>
  <c r="AN173" i="14"/>
  <c r="AN165" i="14"/>
  <c r="AN157" i="14"/>
  <c r="AM149" i="14"/>
  <c r="AM141" i="14"/>
  <c r="AM133" i="14"/>
  <c r="AN125" i="14"/>
  <c r="AN117" i="14"/>
  <c r="AM109" i="14"/>
  <c r="AM101" i="14"/>
  <c r="AN93" i="14"/>
  <c r="AN398" i="14"/>
  <c r="AN390" i="14"/>
  <c r="AN382" i="14"/>
  <c r="AM374" i="14"/>
  <c r="AM366" i="14"/>
  <c r="AN358" i="14"/>
  <c r="AM350" i="14"/>
  <c r="AN342" i="14"/>
  <c r="AN334" i="14"/>
  <c r="AM326" i="14"/>
  <c r="AM318" i="14"/>
  <c r="AM310" i="14"/>
  <c r="AM302" i="14"/>
  <c r="AN294" i="14"/>
  <c r="AM286" i="14"/>
  <c r="AM278" i="14"/>
  <c r="AM270" i="14"/>
  <c r="AN262" i="14"/>
  <c r="AN254" i="14"/>
  <c r="AM246" i="14"/>
  <c r="AN238" i="14"/>
  <c r="AN397" i="14"/>
  <c r="AN389" i="14"/>
  <c r="AN381" i="14"/>
  <c r="AN373" i="14"/>
  <c r="AN365" i="14"/>
  <c r="AM357" i="14"/>
  <c r="AN349" i="14"/>
  <c r="AM341" i="14"/>
  <c r="AN333" i="14"/>
  <c r="AM325" i="14"/>
  <c r="AN317" i="14"/>
  <c r="AN309" i="14"/>
  <c r="AN301" i="14"/>
  <c r="AM293" i="14"/>
  <c r="AN285" i="14"/>
  <c r="AM277" i="14"/>
  <c r="AN269" i="14"/>
  <c r="AN261" i="14"/>
  <c r="AN253" i="14"/>
  <c r="AM245" i="14"/>
  <c r="AN237" i="14"/>
  <c r="AN229" i="14"/>
  <c r="AN221" i="14"/>
  <c r="AM211" i="14"/>
  <c r="AM203" i="14"/>
  <c r="AM195" i="14"/>
  <c r="AN187" i="14"/>
  <c r="AN179" i="14"/>
  <c r="AM171" i="14"/>
  <c r="AN163" i="14"/>
  <c r="AN155" i="14"/>
  <c r="AN147" i="14"/>
  <c r="AN139" i="14"/>
  <c r="AM131" i="14"/>
  <c r="AM123" i="14"/>
  <c r="AM115" i="14"/>
  <c r="AM107" i="14"/>
  <c r="AN99" i="14"/>
  <c r="AN91" i="14"/>
  <c r="AM83" i="14"/>
  <c r="AM75" i="14"/>
  <c r="AN67" i="14"/>
  <c r="AM59" i="14"/>
  <c r="AN51" i="14"/>
  <c r="AN43" i="14"/>
  <c r="AN230" i="14"/>
  <c r="AM222" i="14"/>
  <c r="AN212" i="14"/>
  <c r="AM204" i="14"/>
  <c r="AN196" i="14"/>
  <c r="AM188" i="14"/>
  <c r="AM180" i="14"/>
  <c r="AM172" i="14"/>
  <c r="AM164" i="14"/>
  <c r="AN156" i="14"/>
  <c r="AN148" i="14"/>
  <c r="AM140" i="14"/>
  <c r="AM132" i="14"/>
  <c r="AM124" i="14"/>
  <c r="AN116" i="14"/>
  <c r="AN108" i="14"/>
  <c r="AM100" i="14"/>
  <c r="AM397" i="14"/>
  <c r="AM389" i="14"/>
  <c r="AM381" i="14"/>
  <c r="AM373" i="14"/>
  <c r="AM365" i="14"/>
  <c r="AN357" i="14"/>
  <c r="AM349" i="14"/>
  <c r="AN341" i="14"/>
  <c r="AM333" i="14"/>
  <c r="AN325" i="14"/>
  <c r="AM317" i="14"/>
  <c r="AM309" i="14"/>
  <c r="AM301" i="14"/>
  <c r="AN293" i="14"/>
  <c r="AM285" i="14"/>
  <c r="AN277" i="14"/>
  <c r="AM269" i="14"/>
  <c r="AM261" i="14"/>
  <c r="AM253" i="14"/>
  <c r="AN245" i="14"/>
  <c r="AM237" i="14"/>
  <c r="AN396" i="14"/>
  <c r="AN388" i="14"/>
  <c r="AN380" i="14"/>
  <c r="AN372" i="14"/>
  <c r="AN364" i="14"/>
  <c r="AN356" i="14"/>
  <c r="AM348" i="14"/>
  <c r="AN340" i="14"/>
  <c r="AN332" i="14"/>
  <c r="AM324" i="14"/>
  <c r="AN316" i="14"/>
  <c r="AN308" i="14"/>
  <c r="AN300" i="14"/>
  <c r="AM292" i="14"/>
  <c r="AN284" i="14"/>
  <c r="AM276" i="14"/>
  <c r="AN268" i="14"/>
  <c r="AN260" i="14"/>
  <c r="AM252" i="14"/>
  <c r="AM244" i="14"/>
  <c r="AN236" i="14"/>
  <c r="AM228" i="14"/>
  <c r="AM218" i="14"/>
  <c r="AM210" i="14"/>
  <c r="AM202" i="14"/>
  <c r="AN194" i="14"/>
  <c r="AN186" i="14"/>
  <c r="AN178" i="14"/>
  <c r="AN170" i="14"/>
  <c r="AM162" i="14"/>
  <c r="AN154" i="14"/>
  <c r="AM146" i="14"/>
  <c r="AN138" i="14"/>
  <c r="AN130" i="14"/>
  <c r="AN122" i="14"/>
  <c r="AM114" i="14"/>
  <c r="AN106" i="14"/>
  <c r="AN98" i="14"/>
  <c r="AN90" i="14"/>
  <c r="AM82" i="14"/>
  <c r="AN74" i="14"/>
  <c r="AM66" i="14"/>
  <c r="AM58" i="14"/>
  <c r="AN50" i="14"/>
  <c r="AN42" i="14"/>
  <c r="AM229" i="14"/>
  <c r="AM221" i="14"/>
  <c r="AN211" i="14"/>
  <c r="AN203" i="14"/>
  <c r="AN195" i="14"/>
  <c r="AM187" i="14"/>
  <c r="AM179" i="14"/>
  <c r="AN171" i="14"/>
  <c r="AM163" i="14"/>
  <c r="AM155" i="14"/>
  <c r="AM147" i="14"/>
  <c r="AM139" i="14"/>
  <c r="AN131" i="14"/>
  <c r="AN123" i="14"/>
  <c r="AN115" i="14"/>
  <c r="AN107" i="14"/>
  <c r="AM99" i="14"/>
  <c r="AM396" i="14"/>
  <c r="AM388" i="14"/>
  <c r="AM380" i="14"/>
  <c r="AM372" i="14"/>
  <c r="AM364" i="14"/>
  <c r="AM356" i="14"/>
  <c r="AN348" i="14"/>
  <c r="AM340" i="14"/>
  <c r="AM332" i="14"/>
  <c r="AN324" i="14"/>
  <c r="AM316" i="14"/>
  <c r="AM308" i="14"/>
  <c r="AM300" i="14"/>
  <c r="AN292" i="14"/>
  <c r="AM284" i="14"/>
  <c r="AN276" i="14"/>
  <c r="AM268" i="14"/>
  <c r="AM260" i="14"/>
  <c r="AN252" i="14"/>
  <c r="AN244" i="14"/>
  <c r="AM236" i="14"/>
  <c r="AM395" i="14"/>
  <c r="AM387" i="14"/>
  <c r="AN379" i="14"/>
  <c r="AM371" i="14"/>
  <c r="AM363" i="14"/>
  <c r="AM355" i="14"/>
  <c r="AN347" i="14"/>
  <c r="AN339" i="14"/>
  <c r="AM331" i="14"/>
  <c r="AM323" i="14"/>
  <c r="AN315" i="14"/>
  <c r="AN307" i="14"/>
  <c r="AN299" i="14"/>
  <c r="AM291" i="14"/>
  <c r="AN283" i="14"/>
  <c r="AN275" i="14"/>
  <c r="AM267" i="14"/>
  <c r="AN259" i="14"/>
  <c r="AM251" i="14"/>
  <c r="AM243" i="14"/>
  <c r="AM235" i="14"/>
  <c r="AN227" i="14"/>
  <c r="AN217" i="14"/>
  <c r="AN209" i="14"/>
  <c r="AN201" i="14"/>
  <c r="AM193" i="14"/>
  <c r="AM185" i="14"/>
  <c r="AN177" i="14"/>
  <c r="AN169" i="14"/>
  <c r="AN161" i="14"/>
  <c r="AM153" i="14"/>
  <c r="AN145" i="14"/>
  <c r="AM137" i="14"/>
  <c r="AN129" i="14"/>
  <c r="AN121" i="14"/>
  <c r="AN113" i="14"/>
  <c r="AM105" i="14"/>
  <c r="AN97" i="14"/>
  <c r="AN89" i="14"/>
  <c r="AN81" i="14"/>
  <c r="AM73" i="14"/>
  <c r="AN65" i="14"/>
  <c r="AN57" i="14"/>
  <c r="AM49" i="14"/>
  <c r="AM41" i="14"/>
  <c r="AN228" i="14"/>
  <c r="AN218" i="14"/>
  <c r="AN210" i="14"/>
  <c r="AN202" i="14"/>
  <c r="AM194" i="14"/>
  <c r="AM186" i="14"/>
  <c r="AM178" i="14"/>
  <c r="AM170" i="14"/>
  <c r="AN162" i="14"/>
  <c r="AM154" i="14"/>
  <c r="AN146" i="14"/>
  <c r="AM138" i="14"/>
  <c r="AM130" i="14"/>
  <c r="AM122" i="14"/>
  <c r="AN114" i="14"/>
  <c r="AM106" i="14"/>
  <c r="AM98" i="14"/>
  <c r="AN86" i="14"/>
  <c r="AN78" i="14"/>
  <c r="AM70" i="14"/>
  <c r="AM62" i="14"/>
  <c r="AN54" i="14"/>
  <c r="AN46" i="14"/>
  <c r="AN85" i="14"/>
  <c r="AM77" i="14"/>
  <c r="AN69" i="14"/>
  <c r="AN61" i="14"/>
  <c r="AM53" i="14"/>
  <c r="AM45" i="14"/>
  <c r="AN92" i="14"/>
  <c r="AN84" i="14"/>
  <c r="AM76" i="14"/>
  <c r="AM68" i="14"/>
  <c r="AN60" i="14"/>
  <c r="AN52" i="14"/>
  <c r="AM44" i="14"/>
  <c r="AM91" i="14"/>
  <c r="AN83" i="14"/>
  <c r="AN75" i="14"/>
  <c r="AM67" i="14"/>
  <c r="AN59" i="14"/>
  <c r="AM51" i="14"/>
  <c r="AM43" i="14"/>
  <c r="AM90" i="14"/>
  <c r="AN82" i="14"/>
  <c r="AM74" i="14"/>
  <c r="AN66" i="14"/>
  <c r="AN58" i="14"/>
  <c r="AM50" i="14"/>
  <c r="AM42" i="14"/>
  <c r="AM89" i="14"/>
  <c r="AM81" i="14"/>
  <c r="AN73" i="14"/>
  <c r="AM65" i="14"/>
  <c r="AM57" i="14"/>
  <c r="AN49" i="14"/>
  <c r="AN41" i="14"/>
  <c r="AN88" i="14"/>
  <c r="AM80" i="14"/>
  <c r="AN72" i="14"/>
  <c r="AM64" i="14"/>
  <c r="AN56" i="14"/>
  <c r="AM48" i="14"/>
  <c r="AN40" i="14"/>
  <c r="AN87" i="14"/>
  <c r="AM79" i="14"/>
  <c r="AM71" i="14"/>
  <c r="AN63" i="14"/>
  <c r="AM55" i="14"/>
  <c r="AM47" i="14"/>
  <c r="AM39" i="14"/>
  <c r="AU360" i="29"/>
  <c r="C360" i="29" s="1"/>
  <c r="AU204" i="29"/>
  <c r="C204" i="29" s="1"/>
  <c r="AU153" i="29"/>
  <c r="C153" i="29" s="1"/>
  <c r="AU346" i="29"/>
  <c r="C346" i="29" s="1"/>
  <c r="AU268" i="29"/>
  <c r="C268" i="29" s="1"/>
  <c r="AU216" i="29"/>
  <c r="C216" i="29" s="1"/>
  <c r="AU165" i="29"/>
  <c r="C165" i="29" s="1"/>
  <c r="AU201" i="29"/>
  <c r="C201" i="29" s="1"/>
  <c r="AU105" i="29"/>
  <c r="C105" i="29" s="1"/>
  <c r="AU342" i="29"/>
  <c r="C342" i="29" s="1"/>
  <c r="AU330" i="29"/>
  <c r="C330" i="29" s="1"/>
  <c r="AU265" i="29"/>
  <c r="C265" i="29" s="1"/>
  <c r="AU212" i="29"/>
  <c r="C212" i="29" s="1"/>
  <c r="AU161" i="29"/>
  <c r="C161" i="29" s="1"/>
  <c r="AU132" i="29"/>
  <c r="C132" i="29" s="1"/>
  <c r="AU66" i="29"/>
  <c r="C66" i="29" s="1"/>
  <c r="AU101" i="29"/>
  <c r="C101" i="29" s="1"/>
  <c r="AU393" i="29"/>
  <c r="C393" i="29" s="1"/>
  <c r="AU338" i="29"/>
  <c r="C338" i="29" s="1"/>
  <c r="AU224" i="29"/>
  <c r="C224" i="29" s="1"/>
  <c r="AP400" i="14"/>
  <c r="AP392" i="14"/>
  <c r="AP384" i="14"/>
  <c r="AP376" i="14"/>
  <c r="AP368" i="14"/>
  <c r="AP360" i="14"/>
  <c r="AP352" i="14"/>
  <c r="AO344" i="14"/>
  <c r="AO336" i="14"/>
  <c r="AO328" i="14"/>
  <c r="AP320" i="14"/>
  <c r="AO312" i="14"/>
  <c r="AO304" i="14"/>
  <c r="AO296" i="14"/>
  <c r="AP288" i="14"/>
  <c r="AP280" i="14"/>
  <c r="AP272" i="14"/>
  <c r="AP264" i="14"/>
  <c r="AP256" i="14"/>
  <c r="AO399" i="14"/>
  <c r="AP391" i="14"/>
  <c r="AP383" i="14"/>
  <c r="AP375" i="14"/>
  <c r="AP367" i="14"/>
  <c r="AO359" i="14"/>
  <c r="AO351" i="14"/>
  <c r="AO343" i="14"/>
  <c r="AO335" i="14"/>
  <c r="AP327" i="14"/>
  <c r="AP319" i="14"/>
  <c r="AO311" i="14"/>
  <c r="AP303" i="14"/>
  <c r="AO295" i="14"/>
  <c r="AP287" i="14"/>
  <c r="AO279" i="14"/>
  <c r="AP271" i="14"/>
  <c r="AO263" i="14"/>
  <c r="AO255" i="14"/>
  <c r="AO247" i="14"/>
  <c r="AO239" i="14"/>
  <c r="AO398" i="14"/>
  <c r="AO390" i="14"/>
  <c r="AO382" i="14"/>
  <c r="AP374" i="14"/>
  <c r="AP366" i="14"/>
  <c r="AO358" i="14"/>
  <c r="AP350" i="14"/>
  <c r="AO342" i="14"/>
  <c r="AO334" i="14"/>
  <c r="AP326" i="14"/>
  <c r="AP318" i="14"/>
  <c r="AP310" i="14"/>
  <c r="AP398" i="14"/>
  <c r="AP390" i="14"/>
  <c r="AP382" i="14"/>
  <c r="AO374" i="14"/>
  <c r="AO366" i="14"/>
  <c r="AP358" i="14"/>
  <c r="AO350" i="14"/>
  <c r="AP342" i="14"/>
  <c r="AP334" i="14"/>
  <c r="AO326" i="14"/>
  <c r="AO318" i="14"/>
  <c r="AO310" i="14"/>
  <c r="AO302" i="14"/>
  <c r="AP294" i="14"/>
  <c r="AO286" i="14"/>
  <c r="AO278" i="14"/>
  <c r="AO270" i="14"/>
  <c r="AP262" i="14"/>
  <c r="AP254" i="14"/>
  <c r="AO246" i="14"/>
  <c r="AP238" i="14"/>
  <c r="AP397" i="14"/>
  <c r="AP389" i="14"/>
  <c r="AP381" i="14"/>
  <c r="AP373" i="14"/>
  <c r="AP365" i="14"/>
  <c r="AO357" i="14"/>
  <c r="AP349" i="14"/>
  <c r="AO341" i="14"/>
  <c r="AP333" i="14"/>
  <c r="AO325" i="14"/>
  <c r="AP317" i="14"/>
  <c r="AP309" i="14"/>
  <c r="AO397" i="14"/>
  <c r="AO389" i="14"/>
  <c r="AO381" i="14"/>
  <c r="AO373" i="14"/>
  <c r="AO365" i="14"/>
  <c r="AP357" i="14"/>
  <c r="AO349" i="14"/>
  <c r="AP341" i="14"/>
  <c r="AO333" i="14"/>
  <c r="AP325" i="14"/>
  <c r="AO317" i="14"/>
  <c r="AO309" i="14"/>
  <c r="AO301" i="14"/>
  <c r="AP293" i="14"/>
  <c r="AO285" i="14"/>
  <c r="AP277" i="14"/>
  <c r="AO269" i="14"/>
  <c r="AO261" i="14"/>
  <c r="AO253" i="14"/>
  <c r="AP245" i="14"/>
  <c r="AO237" i="14"/>
  <c r="AP396" i="14"/>
  <c r="AP388" i="14"/>
  <c r="AP380" i="14"/>
  <c r="AP372" i="14"/>
  <c r="AP364" i="14"/>
  <c r="AP356" i="14"/>
  <c r="AO348" i="14"/>
  <c r="AP340" i="14"/>
  <c r="AP332" i="14"/>
  <c r="AO324" i="14"/>
  <c r="AP316" i="14"/>
  <c r="AP308" i="14"/>
  <c r="AP300" i="14"/>
  <c r="AO396" i="14"/>
  <c r="AO388" i="14"/>
  <c r="AO380" i="14"/>
  <c r="AO372" i="14"/>
  <c r="AO364" i="14"/>
  <c r="AO356" i="14"/>
  <c r="AP348" i="14"/>
  <c r="AO340" i="14"/>
  <c r="AO332" i="14"/>
  <c r="AP324" i="14"/>
  <c r="AO316" i="14"/>
  <c r="AO308" i="14"/>
  <c r="AO300" i="14"/>
  <c r="AP292" i="14"/>
  <c r="AO284" i="14"/>
  <c r="AP276" i="14"/>
  <c r="AO268" i="14"/>
  <c r="AO260" i="14"/>
  <c r="AP395" i="14"/>
  <c r="AP387" i="14"/>
  <c r="AO379" i="14"/>
  <c r="AP371" i="14"/>
  <c r="AP363" i="14"/>
  <c r="AP355" i="14"/>
  <c r="AO347" i="14"/>
  <c r="AO339" i="14"/>
  <c r="AP331" i="14"/>
  <c r="AP323" i="14"/>
  <c r="AO315" i="14"/>
  <c r="AO307" i="14"/>
  <c r="AO299" i="14"/>
  <c r="AP291" i="14"/>
  <c r="AO283" i="14"/>
  <c r="AO275" i="14"/>
  <c r="AP267" i="14"/>
  <c r="AO259" i="14"/>
  <c r="AP251" i="14"/>
  <c r="AP243" i="14"/>
  <c r="AP235" i="14"/>
  <c r="AP394" i="14"/>
  <c r="AP386" i="14"/>
  <c r="AO378" i="14"/>
  <c r="AP370" i="14"/>
  <c r="AO362" i="14"/>
  <c r="AP354" i="14"/>
  <c r="AP346" i="14"/>
  <c r="AO338" i="14"/>
  <c r="AP330" i="14"/>
  <c r="AP322" i="14"/>
  <c r="AP314" i="14"/>
  <c r="AO394" i="14"/>
  <c r="AO386" i="14"/>
  <c r="AP378" i="14"/>
  <c r="AO370" i="14"/>
  <c r="AP362" i="14"/>
  <c r="AO354" i="14"/>
  <c r="AO346" i="14"/>
  <c r="AP338" i="14"/>
  <c r="AO330" i="14"/>
  <c r="AO322" i="14"/>
  <c r="AO314" i="14"/>
  <c r="AP306" i="14"/>
  <c r="AP298" i="14"/>
  <c r="AP290" i="14"/>
  <c r="AO282" i="14"/>
  <c r="AP274" i="14"/>
  <c r="AP266" i="14"/>
  <c r="AO258" i="14"/>
  <c r="AO250" i="14"/>
  <c r="AP242" i="14"/>
  <c r="AO234" i="14"/>
  <c r="AO393" i="14"/>
  <c r="AP385" i="14"/>
  <c r="AO377" i="14"/>
  <c r="AP369" i="14"/>
  <c r="AP361" i="14"/>
  <c r="AO353" i="14"/>
  <c r="AO345" i="14"/>
  <c r="AP337" i="14"/>
  <c r="AO329" i="14"/>
  <c r="AO321" i="14"/>
  <c r="AP313" i="14"/>
  <c r="AP393" i="14"/>
  <c r="AO385" i="14"/>
  <c r="AP377" i="14"/>
  <c r="AO369" i="14"/>
  <c r="AO361" i="14"/>
  <c r="AP353" i="14"/>
  <c r="AP345" i="14"/>
  <c r="AO337" i="14"/>
  <c r="AP329" i="14"/>
  <c r="AP321" i="14"/>
  <c r="AO313" i="14"/>
  <c r="AP305" i="14"/>
  <c r="AP297" i="14"/>
  <c r="AP289" i="14"/>
  <c r="AP281" i="14"/>
  <c r="AP273" i="14"/>
  <c r="AO265" i="14"/>
  <c r="AO257" i="14"/>
  <c r="AO249" i="14"/>
  <c r="AO241" i="14"/>
  <c r="AO400" i="14"/>
  <c r="AO392" i="14"/>
  <c r="AO384" i="14"/>
  <c r="AO376" i="14"/>
  <c r="AO368" i="14"/>
  <c r="AO360" i="14"/>
  <c r="AO352" i="14"/>
  <c r="AP344" i="14"/>
  <c r="AP336" i="14"/>
  <c r="AP328" i="14"/>
  <c r="AO320" i="14"/>
  <c r="AP312" i="14"/>
  <c r="AP304" i="14"/>
  <c r="AO395" i="14"/>
  <c r="AO363" i="14"/>
  <c r="AO331" i="14"/>
  <c r="AO305" i="14"/>
  <c r="AP295" i="14"/>
  <c r="AO287" i="14"/>
  <c r="AP279" i="14"/>
  <c r="AO271" i="14"/>
  <c r="AP263" i="14"/>
  <c r="AP255" i="14"/>
  <c r="AP247" i="14"/>
  <c r="AP239" i="14"/>
  <c r="AP231" i="14"/>
  <c r="AP223" i="14"/>
  <c r="AO213" i="14"/>
  <c r="AP205" i="14"/>
  <c r="AP197" i="14"/>
  <c r="AO189" i="14"/>
  <c r="AP181" i="14"/>
  <c r="AO173" i="14"/>
  <c r="AO165" i="14"/>
  <c r="AO157" i="14"/>
  <c r="AP149" i="14"/>
  <c r="AP141" i="14"/>
  <c r="AP133" i="14"/>
  <c r="AO125" i="14"/>
  <c r="AO117" i="14"/>
  <c r="AP109" i="14"/>
  <c r="AO391" i="14"/>
  <c r="AP359" i="14"/>
  <c r="AO327" i="14"/>
  <c r="AO303" i="14"/>
  <c r="AO294" i="14"/>
  <c r="AP286" i="14"/>
  <c r="AP278" i="14"/>
  <c r="AP270" i="14"/>
  <c r="AO262" i="14"/>
  <c r="AO254" i="14"/>
  <c r="AP246" i="14"/>
  <c r="AO238" i="14"/>
  <c r="AO230" i="14"/>
  <c r="AP222" i="14"/>
  <c r="AO212" i="14"/>
  <c r="AP204" i="14"/>
  <c r="AO196" i="14"/>
  <c r="AP188" i="14"/>
  <c r="AP180" i="14"/>
  <c r="AP172" i="14"/>
  <c r="AP164" i="14"/>
  <c r="AO156" i="14"/>
  <c r="AO148" i="14"/>
  <c r="AP140" i="14"/>
  <c r="AP132" i="14"/>
  <c r="AP124" i="14"/>
  <c r="AO116" i="14"/>
  <c r="AO108" i="14"/>
  <c r="AP100" i="14"/>
  <c r="AO92" i="14"/>
  <c r="AO84" i="14"/>
  <c r="AP76" i="14"/>
  <c r="AP68" i="14"/>
  <c r="AO60" i="14"/>
  <c r="AO52" i="14"/>
  <c r="AP44" i="14"/>
  <c r="AO231" i="14"/>
  <c r="AO223" i="14"/>
  <c r="AP213" i="14"/>
  <c r="AO205" i="14"/>
  <c r="AO197" i="14"/>
  <c r="AP189" i="14"/>
  <c r="AO181" i="14"/>
  <c r="AP173" i="14"/>
  <c r="AP165" i="14"/>
  <c r="AP157" i="14"/>
  <c r="AO149" i="14"/>
  <c r="AO141" i="14"/>
  <c r="AO133" i="14"/>
  <c r="AP125" i="14"/>
  <c r="AP117" i="14"/>
  <c r="AO109" i="14"/>
  <c r="AO101" i="14"/>
  <c r="AP93" i="14"/>
  <c r="AP85" i="14"/>
  <c r="AO77" i="14"/>
  <c r="AP69" i="14"/>
  <c r="AP61" i="14"/>
  <c r="AO53" i="14"/>
  <c r="AO45" i="14"/>
  <c r="AP252" i="14"/>
  <c r="AO387" i="14"/>
  <c r="AO355" i="14"/>
  <c r="AO323" i="14"/>
  <c r="AP302" i="14"/>
  <c r="AO293" i="14"/>
  <c r="AP285" i="14"/>
  <c r="AO277" i="14"/>
  <c r="AP269" i="14"/>
  <c r="AP261" i="14"/>
  <c r="AP253" i="14"/>
  <c r="AO245" i="14"/>
  <c r="AP237" i="14"/>
  <c r="AP229" i="14"/>
  <c r="AP221" i="14"/>
  <c r="AO211" i="14"/>
  <c r="AO203" i="14"/>
  <c r="AO195" i="14"/>
  <c r="AP187" i="14"/>
  <c r="AP179" i="14"/>
  <c r="AO171" i="14"/>
  <c r="AP163" i="14"/>
  <c r="AP155" i="14"/>
  <c r="AP147" i="14"/>
  <c r="AP139" i="14"/>
  <c r="AO131" i="14"/>
  <c r="AO123" i="14"/>
  <c r="AO115" i="14"/>
  <c r="AO107" i="14"/>
  <c r="AP99" i="14"/>
  <c r="AP91" i="14"/>
  <c r="AO83" i="14"/>
  <c r="AO75" i="14"/>
  <c r="AP67" i="14"/>
  <c r="AO59" i="14"/>
  <c r="AP51" i="14"/>
  <c r="AP43" i="14"/>
  <c r="AP230" i="14"/>
  <c r="AO222" i="14"/>
  <c r="AP212" i="14"/>
  <c r="AO204" i="14"/>
  <c r="AP196" i="14"/>
  <c r="AO188" i="14"/>
  <c r="AO180" i="14"/>
  <c r="AO172" i="14"/>
  <c r="AO164" i="14"/>
  <c r="AP156" i="14"/>
  <c r="AP148" i="14"/>
  <c r="AO140" i="14"/>
  <c r="AO132" i="14"/>
  <c r="AO124" i="14"/>
  <c r="AP116" i="14"/>
  <c r="AP108" i="14"/>
  <c r="AO100" i="14"/>
  <c r="AP92" i="14"/>
  <c r="AP84" i="14"/>
  <c r="AO76" i="14"/>
  <c r="AO68" i="14"/>
  <c r="AP60" i="14"/>
  <c r="AP52" i="14"/>
  <c r="AO44" i="14"/>
  <c r="AP248" i="14"/>
  <c r="AO383" i="14"/>
  <c r="AP351" i="14"/>
  <c r="AO319" i="14"/>
  <c r="AP301" i="14"/>
  <c r="AO292" i="14"/>
  <c r="AP284" i="14"/>
  <c r="AO276" i="14"/>
  <c r="AP268" i="14"/>
  <c r="AP260" i="14"/>
  <c r="AO252" i="14"/>
  <c r="AO244" i="14"/>
  <c r="AP236" i="14"/>
  <c r="AO228" i="14"/>
  <c r="AO218" i="14"/>
  <c r="AO210" i="14"/>
  <c r="AO202" i="14"/>
  <c r="AP194" i="14"/>
  <c r="AP186" i="14"/>
  <c r="AP178" i="14"/>
  <c r="AP170" i="14"/>
  <c r="AO162" i="14"/>
  <c r="AP154" i="14"/>
  <c r="AO146" i="14"/>
  <c r="AP138" i="14"/>
  <c r="AP130" i="14"/>
  <c r="AP122" i="14"/>
  <c r="AO114" i="14"/>
  <c r="AP106" i="14"/>
  <c r="AP98" i="14"/>
  <c r="AP90" i="14"/>
  <c r="AO82" i="14"/>
  <c r="AP74" i="14"/>
  <c r="AO66" i="14"/>
  <c r="AO58" i="14"/>
  <c r="AP50" i="14"/>
  <c r="AP42" i="14"/>
  <c r="AO229" i="14"/>
  <c r="AO221" i="14"/>
  <c r="AP211" i="14"/>
  <c r="AP203" i="14"/>
  <c r="AP195" i="14"/>
  <c r="AO187" i="14"/>
  <c r="AO179" i="14"/>
  <c r="AP171" i="14"/>
  <c r="AO163" i="14"/>
  <c r="AO155" i="14"/>
  <c r="AO147" i="14"/>
  <c r="AO139" i="14"/>
  <c r="AP131" i="14"/>
  <c r="AP123" i="14"/>
  <c r="AP115" i="14"/>
  <c r="AP107" i="14"/>
  <c r="AO99" i="14"/>
  <c r="AO91" i="14"/>
  <c r="AP83" i="14"/>
  <c r="AP75" i="14"/>
  <c r="AO67" i="14"/>
  <c r="AP59" i="14"/>
  <c r="AO51" i="14"/>
  <c r="AO43" i="14"/>
  <c r="AP244" i="14"/>
  <c r="AP379" i="14"/>
  <c r="AP347" i="14"/>
  <c r="AP315" i="14"/>
  <c r="AP299" i="14"/>
  <c r="AO291" i="14"/>
  <c r="AP283" i="14"/>
  <c r="AP275" i="14"/>
  <c r="AO267" i="14"/>
  <c r="AP259" i="14"/>
  <c r="AO251" i="14"/>
  <c r="AO243" i="14"/>
  <c r="AO235" i="14"/>
  <c r="AP227" i="14"/>
  <c r="AP217" i="14"/>
  <c r="AP209" i="14"/>
  <c r="AP201" i="14"/>
  <c r="AO193" i="14"/>
  <c r="AO185" i="14"/>
  <c r="AP177" i="14"/>
  <c r="AP169" i="14"/>
  <c r="AP161" i="14"/>
  <c r="AO153" i="14"/>
  <c r="AP145" i="14"/>
  <c r="AO137" i="14"/>
  <c r="AP129" i="14"/>
  <c r="AP121" i="14"/>
  <c r="AP113" i="14"/>
  <c r="AP240" i="14"/>
  <c r="AO375" i="14"/>
  <c r="AP343" i="14"/>
  <c r="AP311" i="14"/>
  <c r="AO298" i="14"/>
  <c r="AO290" i="14"/>
  <c r="AP282" i="14"/>
  <c r="AO274" i="14"/>
  <c r="AO266" i="14"/>
  <c r="AP258" i="14"/>
  <c r="AP250" i="14"/>
  <c r="AO242" i="14"/>
  <c r="AP234" i="14"/>
  <c r="AO226" i="14"/>
  <c r="AP216" i="14"/>
  <c r="AP208" i="14"/>
  <c r="AP200" i="14"/>
  <c r="AO192" i="14"/>
  <c r="AO184" i="14"/>
  <c r="AO176" i="14"/>
  <c r="AO168" i="14"/>
  <c r="AP160" i="14"/>
  <c r="AP152" i="14"/>
  <c r="AO144" i="14"/>
  <c r="AP136" i="14"/>
  <c r="AP128" i="14"/>
  <c r="AO120" i="14"/>
  <c r="AP112" i="14"/>
  <c r="AO104" i="14"/>
  <c r="AO96" i="14"/>
  <c r="AO88" i="14"/>
  <c r="AP80" i="14"/>
  <c r="AO72" i="14"/>
  <c r="AP64" i="14"/>
  <c r="AO56" i="14"/>
  <c r="AP48" i="14"/>
  <c r="AO40" i="14"/>
  <c r="AO227" i="14"/>
  <c r="AO217" i="14"/>
  <c r="AO209" i="14"/>
  <c r="AO201" i="14"/>
  <c r="AP193" i="14"/>
  <c r="AP185" i="14"/>
  <c r="AO177" i="14"/>
  <c r="AO169" i="14"/>
  <c r="AO161" i="14"/>
  <c r="AP153" i="14"/>
  <c r="AO145" i="14"/>
  <c r="AP137" i="14"/>
  <c r="AO129" i="14"/>
  <c r="AO121" i="14"/>
  <c r="AO113" i="14"/>
  <c r="AP105" i="14"/>
  <c r="AO97" i="14"/>
  <c r="AO89" i="14"/>
  <c r="AO81" i="14"/>
  <c r="AP73" i="14"/>
  <c r="AO65" i="14"/>
  <c r="AO57" i="14"/>
  <c r="AP49" i="14"/>
  <c r="AP41" i="14"/>
  <c r="AO236" i="14"/>
  <c r="AO371" i="14"/>
  <c r="AP339" i="14"/>
  <c r="AP307" i="14"/>
  <c r="AO297" i="14"/>
  <c r="AO289" i="14"/>
  <c r="AO281" i="14"/>
  <c r="AO273" i="14"/>
  <c r="AP265" i="14"/>
  <c r="AP257" i="14"/>
  <c r="AP249" i="14"/>
  <c r="AP241" i="14"/>
  <c r="AP233" i="14"/>
  <c r="AO225" i="14"/>
  <c r="AO215" i="14"/>
  <c r="AO207" i="14"/>
  <c r="AO199" i="14"/>
  <c r="AO191" i="14"/>
  <c r="AP183" i="14"/>
  <c r="AO175" i="14"/>
  <c r="AP167" i="14"/>
  <c r="AP159" i="14"/>
  <c r="AO151" i="14"/>
  <c r="AP143" i="14"/>
  <c r="AP135" i="14"/>
  <c r="AO127" i="14"/>
  <c r="AP119" i="14"/>
  <c r="AP111" i="14"/>
  <c r="AO103" i="14"/>
  <c r="AO95" i="14"/>
  <c r="AO87" i="14"/>
  <c r="AP79" i="14"/>
  <c r="AP71" i="14"/>
  <c r="AO63" i="14"/>
  <c r="AP55" i="14"/>
  <c r="AP47" i="14"/>
  <c r="AP39" i="14"/>
  <c r="AP226" i="14"/>
  <c r="AO216" i="14"/>
  <c r="AO208" i="14"/>
  <c r="AO200" i="14"/>
  <c r="AP192" i="14"/>
  <c r="AP184" i="14"/>
  <c r="AP176" i="14"/>
  <c r="AP168" i="14"/>
  <c r="AO160" i="14"/>
  <c r="AO152" i="14"/>
  <c r="AP144" i="14"/>
  <c r="AO136" i="14"/>
  <c r="AO128" i="14"/>
  <c r="AP120" i="14"/>
  <c r="AO112" i="14"/>
  <c r="AP104" i="14"/>
  <c r="AP96" i="14"/>
  <c r="AP88" i="14"/>
  <c r="AO80" i="14"/>
  <c r="AP72" i="14"/>
  <c r="AO64" i="14"/>
  <c r="AP56" i="14"/>
  <c r="AO48" i="14"/>
  <c r="AP40" i="14"/>
  <c r="AP399" i="14"/>
  <c r="AO367" i="14"/>
  <c r="AP335" i="14"/>
  <c r="AO306" i="14"/>
  <c r="AP296" i="14"/>
  <c r="AO288" i="14"/>
  <c r="AO280" i="14"/>
  <c r="AO272" i="14"/>
  <c r="AO264" i="14"/>
  <c r="AO256" i="14"/>
  <c r="AO248" i="14"/>
  <c r="AO240" i="14"/>
  <c r="AO232" i="14"/>
  <c r="AP224" i="14"/>
  <c r="AO214" i="14"/>
  <c r="AO206" i="14"/>
  <c r="AP198" i="14"/>
  <c r="AO190" i="14"/>
  <c r="AP182" i="14"/>
  <c r="AP174" i="14"/>
  <c r="AP166" i="14"/>
  <c r="AO158" i="14"/>
  <c r="AP150" i="14"/>
  <c r="AO142" i="14"/>
  <c r="AP134" i="14"/>
  <c r="AO126" i="14"/>
  <c r="AP118" i="14"/>
  <c r="AP110" i="14"/>
  <c r="AP102" i="14"/>
  <c r="AP94" i="14"/>
  <c r="AO86" i="14"/>
  <c r="AO78" i="14"/>
  <c r="AP70" i="14"/>
  <c r="AP62" i="14"/>
  <c r="AO54" i="14"/>
  <c r="AO46" i="14"/>
  <c r="AO233" i="14"/>
  <c r="AP225" i="14"/>
  <c r="AP215" i="14"/>
  <c r="AP207" i="14"/>
  <c r="AP199" i="14"/>
  <c r="AP191" i="14"/>
  <c r="AO183" i="14"/>
  <c r="AP175" i="14"/>
  <c r="AO167" i="14"/>
  <c r="AO159" i="14"/>
  <c r="AP151" i="14"/>
  <c r="AO143" i="14"/>
  <c r="AO135" i="14"/>
  <c r="AP127" i="14"/>
  <c r="AO119" i="14"/>
  <c r="AO111" i="14"/>
  <c r="AP103" i="14"/>
  <c r="AP95" i="14"/>
  <c r="AP87" i="14"/>
  <c r="AO79" i="14"/>
  <c r="AO71" i="14"/>
  <c r="AP63" i="14"/>
  <c r="AO55" i="14"/>
  <c r="AO47" i="14"/>
  <c r="AO39" i="14"/>
  <c r="AP81" i="14"/>
  <c r="AO49" i="14"/>
  <c r="AP210" i="14"/>
  <c r="AO178" i="14"/>
  <c r="AP146" i="14"/>
  <c r="AP114" i="14"/>
  <c r="AP82" i="14"/>
  <c r="AO50" i="14"/>
  <c r="AP77" i="14"/>
  <c r="AP45" i="14"/>
  <c r="AP206" i="14"/>
  <c r="AO174" i="14"/>
  <c r="AP142" i="14"/>
  <c r="AO110" i="14"/>
  <c r="AP78" i="14"/>
  <c r="AP46" i="14"/>
  <c r="AO105" i="14"/>
  <c r="AO73" i="14"/>
  <c r="AO41" i="14"/>
  <c r="AP202" i="14"/>
  <c r="AO170" i="14"/>
  <c r="AO138" i="14"/>
  <c r="AO106" i="14"/>
  <c r="AO74" i="14"/>
  <c r="AO42" i="14"/>
  <c r="AP101" i="14"/>
  <c r="AO69" i="14"/>
  <c r="AP232" i="14"/>
  <c r="AO198" i="14"/>
  <c r="AO166" i="14"/>
  <c r="AO134" i="14"/>
  <c r="AO102" i="14"/>
  <c r="AO70" i="14"/>
  <c r="AP97" i="14"/>
  <c r="AP65" i="14"/>
  <c r="AP228" i="14"/>
  <c r="AO194" i="14"/>
  <c r="AP162" i="14"/>
  <c r="AO130" i="14"/>
  <c r="AO98" i="14"/>
  <c r="AP66" i="14"/>
  <c r="AO93" i="14"/>
  <c r="AO61" i="14"/>
  <c r="AO224" i="14"/>
  <c r="AP190" i="14"/>
  <c r="AP158" i="14"/>
  <c r="AP126" i="14"/>
  <c r="AO94" i="14"/>
  <c r="AO62" i="14"/>
  <c r="AP89" i="14"/>
  <c r="AP57" i="14"/>
  <c r="AP218" i="14"/>
  <c r="AO186" i="14"/>
  <c r="AO154" i="14"/>
  <c r="AO122" i="14"/>
  <c r="AO90" i="14"/>
  <c r="AP58" i="14"/>
  <c r="AO85" i="14"/>
  <c r="AP53" i="14"/>
  <c r="AP214" i="14"/>
  <c r="AO182" i="14"/>
  <c r="AO150" i="14"/>
  <c r="AO118" i="14"/>
  <c r="AP86" i="14"/>
  <c r="AP54" i="14"/>
  <c r="AU391" i="29"/>
  <c r="C391" i="29" s="1"/>
  <c r="AU319" i="29"/>
  <c r="C319" i="29" s="1"/>
  <c r="AU315" i="29"/>
  <c r="C315" i="29" s="1"/>
  <c r="AU331" i="29"/>
  <c r="C331" i="29" s="1"/>
  <c r="AU318" i="29"/>
  <c r="C318" i="29" s="1"/>
  <c r="AU113" i="29"/>
  <c r="C113" i="29" s="1"/>
  <c r="AU200" i="29"/>
  <c r="C200" i="29" s="1"/>
  <c r="AU327" i="29"/>
  <c r="C327" i="29" s="1"/>
  <c r="AU264" i="29"/>
  <c r="C264" i="29" s="1"/>
  <c r="AU138" i="29"/>
  <c r="C138" i="29" s="1"/>
  <c r="AU109" i="29"/>
  <c r="C109" i="29" s="1"/>
  <c r="AU352" i="29"/>
  <c r="C352" i="29" s="1"/>
  <c r="AU145" i="29"/>
  <c r="C145" i="29" s="1"/>
  <c r="AU50" i="29"/>
  <c r="C50" i="29" s="1"/>
  <c r="AU247" i="29"/>
  <c r="C247" i="29" s="1"/>
  <c r="AU260" i="29"/>
  <c r="C260" i="29" s="1"/>
  <c r="AU206" i="29"/>
  <c r="C206" i="29" s="1"/>
  <c r="AU134" i="29"/>
  <c r="C134" i="29" s="1"/>
  <c r="AU61" i="29"/>
  <c r="C61" i="29" s="1"/>
  <c r="AU290" i="29"/>
  <c r="C290" i="29" s="1"/>
  <c r="AU302" i="29"/>
  <c r="C302" i="29" s="1"/>
  <c r="AU71" i="29"/>
  <c r="C71" i="29" s="1"/>
  <c r="AU188" i="29"/>
  <c r="C188" i="29" s="1"/>
  <c r="AU311" i="29"/>
  <c r="C311" i="29" s="1"/>
  <c r="AU248" i="29"/>
  <c r="C248" i="29" s="1"/>
  <c r="AU122" i="29"/>
  <c r="C122" i="29" s="1"/>
  <c r="AU135" i="29"/>
  <c r="C135" i="29" s="1"/>
  <c r="AU67" i="29"/>
  <c r="C67" i="29" s="1"/>
  <c r="AU336" i="29"/>
  <c r="C336" i="29" s="1"/>
  <c r="AU258" i="29"/>
  <c r="C258" i="29" s="1"/>
  <c r="AU184" i="29"/>
  <c r="C184" i="29" s="1"/>
  <c r="AU100" i="29"/>
  <c r="C100" i="29" s="1"/>
  <c r="AU362" i="29"/>
  <c r="C362" i="29" s="1"/>
  <c r="AU231" i="29"/>
  <c r="C231" i="29" s="1"/>
  <c r="AU307" i="29"/>
  <c r="C307" i="29" s="1"/>
  <c r="AU191" i="29"/>
  <c r="C191" i="29" s="1"/>
  <c r="AU118" i="29"/>
  <c r="C118" i="29" s="1"/>
  <c r="AU45" i="29"/>
  <c r="C45" i="29" s="1"/>
  <c r="I68" i="4"/>
  <c r="R74" i="4"/>
  <c r="H39" i="4"/>
  <c r="I39" i="4" s="1"/>
  <c r="F46" i="4"/>
  <c r="G46" i="4" s="1"/>
  <c r="F34" i="4"/>
  <c r="G34" i="4" s="1"/>
  <c r="H42" i="4"/>
  <c r="I42" i="4" s="1"/>
  <c r="F36" i="4"/>
  <c r="G36" i="4" s="1"/>
  <c r="G39" i="4"/>
  <c r="I48" i="4"/>
  <c r="I50" i="4"/>
  <c r="H45" i="4"/>
  <c r="I45" i="4" s="1"/>
  <c r="G45" i="4"/>
  <c r="F50" i="4"/>
  <c r="G50" i="4" s="1"/>
  <c r="G42" i="4"/>
  <c r="B154" i="4"/>
  <c r="B157" i="4"/>
  <c r="B170" i="4"/>
  <c r="I47" i="4"/>
  <c r="F47" i="4"/>
  <c r="G47" i="4" s="1"/>
  <c r="F41" i="4"/>
  <c r="G41" i="4" s="1"/>
  <c r="H35" i="4"/>
  <c r="I35" i="4" s="1"/>
  <c r="F48" i="4"/>
  <c r="G48" i="4" s="1"/>
  <c r="H33" i="4"/>
  <c r="I33" i="4" s="1"/>
  <c r="F33" i="4"/>
  <c r="G33" i="4" s="1"/>
  <c r="H32" i="4"/>
  <c r="I32" i="4" s="1"/>
  <c r="F32" i="4"/>
  <c r="I41" i="4"/>
  <c r="F49" i="4"/>
  <c r="H49" i="4"/>
  <c r="F37" i="4"/>
  <c r="H37" i="4"/>
  <c r="F40" i="4"/>
  <c r="G40" i="4" s="1"/>
  <c r="H40" i="4"/>
  <c r="I40" i="4" s="1"/>
  <c r="H44" i="4"/>
  <c r="I44" i="4" s="1"/>
  <c r="F44" i="4"/>
  <c r="G44" i="4" s="1"/>
  <c r="I34" i="4"/>
  <c r="I46" i="4"/>
  <c r="F38" i="4"/>
  <c r="G38" i="4" s="1"/>
  <c r="H38" i="4"/>
  <c r="I38" i="4" s="1"/>
  <c r="H43" i="4"/>
  <c r="I43" i="4" s="1"/>
  <c r="F43" i="4"/>
  <c r="G43" i="4" s="1"/>
  <c r="G68" i="4"/>
  <c r="AV358" i="14" l="1"/>
  <c r="C358" i="14" s="1"/>
  <c r="AV229" i="14"/>
  <c r="C229" i="14" s="1"/>
  <c r="AV99" i="14"/>
  <c r="C99" i="14" s="1"/>
  <c r="AV323" i="14"/>
  <c r="C323" i="14" s="1"/>
  <c r="AV214" i="14"/>
  <c r="C214" i="14" s="1"/>
  <c r="AV183" i="14"/>
  <c r="C183" i="14" s="1"/>
  <c r="AV274" i="14"/>
  <c r="C274" i="14" s="1"/>
  <c r="AV39" i="14"/>
  <c r="C39" i="14" s="1"/>
  <c r="AV114" i="14"/>
  <c r="C114" i="14" s="1"/>
  <c r="AV177" i="14"/>
  <c r="C177" i="14" s="1"/>
  <c r="AV205" i="14"/>
  <c r="C205" i="14" s="1"/>
  <c r="AV77" i="14"/>
  <c r="C77" i="14" s="1"/>
  <c r="AV217" i="14"/>
  <c r="C217" i="14" s="1"/>
  <c r="AV89" i="14"/>
  <c r="C89" i="14" s="1"/>
  <c r="AV335" i="14"/>
  <c r="C335" i="14" s="1"/>
  <c r="AV313" i="14"/>
  <c r="C313" i="14" s="1"/>
  <c r="AV307" i="14"/>
  <c r="C307" i="14" s="1"/>
  <c r="AV86" i="14"/>
  <c r="C86" i="14" s="1"/>
  <c r="AV228" i="14"/>
  <c r="C228" i="14" s="1"/>
  <c r="AV161" i="14"/>
  <c r="C161" i="14" s="1"/>
  <c r="AV397" i="14"/>
  <c r="C397" i="14" s="1"/>
  <c r="AV347" i="14"/>
  <c r="C347" i="14" s="1"/>
  <c r="AV55" i="14"/>
  <c r="C55" i="14" s="1"/>
  <c r="AV285" i="14"/>
  <c r="C285" i="14" s="1"/>
  <c r="AV279" i="14"/>
  <c r="C279" i="14" s="1"/>
  <c r="AV142" i="14"/>
  <c r="C142" i="14" s="1"/>
  <c r="AV149" i="14"/>
  <c r="C149" i="14" s="1"/>
  <c r="AV120" i="14"/>
  <c r="C120" i="14" s="1"/>
  <c r="AV126" i="14"/>
  <c r="C126" i="14" s="1"/>
  <c r="AV269" i="14"/>
  <c r="C269" i="14" s="1"/>
  <c r="AV263" i="14"/>
  <c r="C263" i="14" s="1"/>
  <c r="AV133" i="14"/>
  <c r="C133" i="14" s="1"/>
  <c r="AV192" i="14"/>
  <c r="C192" i="14" s="1"/>
  <c r="AV92" i="14"/>
  <c r="C92" i="14" s="1"/>
  <c r="AV155" i="14"/>
  <c r="C155" i="14" s="1"/>
  <c r="AV104" i="14"/>
  <c r="C104" i="14" s="1"/>
  <c r="AV388" i="14"/>
  <c r="C388" i="14" s="1"/>
  <c r="AV336" i="14"/>
  <c r="C336" i="14" s="1"/>
  <c r="AV240" i="14"/>
  <c r="C240" i="14" s="1"/>
  <c r="AV111" i="14"/>
  <c r="C111" i="14" s="1"/>
  <c r="AV252" i="14"/>
  <c r="C252" i="14" s="1"/>
  <c r="AV176" i="14"/>
  <c r="C176" i="14" s="1"/>
  <c r="AV139" i="14"/>
  <c r="C139" i="14" s="1"/>
  <c r="AA11" i="14"/>
  <c r="Z11" i="23"/>
  <c r="AA14" i="14"/>
  <c r="X14" i="14" s="1"/>
  <c r="Z14" i="29"/>
  <c r="W14" i="29" s="1"/>
  <c r="Z14" i="24"/>
  <c r="AC14" i="14"/>
  <c r="Y14" i="14" s="1"/>
  <c r="AB14" i="24"/>
  <c r="AB14" i="23"/>
  <c r="X14" i="23" s="1"/>
  <c r="AU100" i="23"/>
  <c r="C100" i="23" s="1"/>
  <c r="AU392" i="24"/>
  <c r="C392" i="24" s="1"/>
  <c r="AU246" i="24"/>
  <c r="C246" i="24" s="1"/>
  <c r="AU374" i="24"/>
  <c r="C374" i="24" s="1"/>
  <c r="AU356" i="24"/>
  <c r="C356" i="24" s="1"/>
  <c r="AU341" i="24"/>
  <c r="C341" i="24" s="1"/>
  <c r="AU364" i="24"/>
  <c r="C364" i="24" s="1"/>
  <c r="AU146" i="24"/>
  <c r="C146" i="24" s="1"/>
  <c r="AU333" i="24"/>
  <c r="C333" i="24" s="1"/>
  <c r="AU238" i="24"/>
  <c r="C238" i="24" s="1"/>
  <c r="AU144" i="24"/>
  <c r="C144" i="24" s="1"/>
  <c r="AU351" i="24"/>
  <c r="C351" i="24" s="1"/>
  <c r="AU229" i="24"/>
  <c r="C229" i="24" s="1"/>
  <c r="AU90" i="24"/>
  <c r="C90" i="24" s="1"/>
  <c r="AU213" i="24"/>
  <c r="C213" i="24" s="1"/>
  <c r="AU357" i="24"/>
  <c r="C357" i="24" s="1"/>
  <c r="AU135" i="24"/>
  <c r="C135" i="24" s="1"/>
  <c r="AU345" i="23"/>
  <c r="C345" i="23" s="1"/>
  <c r="AU304" i="23"/>
  <c r="C304" i="23" s="1"/>
  <c r="AU378" i="24"/>
  <c r="C378" i="24" s="1"/>
  <c r="AU342" i="24"/>
  <c r="C342" i="24" s="1"/>
  <c r="AU225" i="24"/>
  <c r="C225" i="24" s="1"/>
  <c r="AU173" i="24"/>
  <c r="C173" i="24" s="1"/>
  <c r="AU84" i="24"/>
  <c r="C84" i="24" s="1"/>
  <c r="AU301" i="24"/>
  <c r="C301" i="24" s="1"/>
  <c r="AU204" i="24"/>
  <c r="C204" i="24" s="1"/>
  <c r="AU319" i="24"/>
  <c r="C319" i="24" s="1"/>
  <c r="AU237" i="24"/>
  <c r="C237" i="24" s="1"/>
  <c r="AU195" i="24"/>
  <c r="C195" i="24" s="1"/>
  <c r="AU379" i="24"/>
  <c r="C379" i="24" s="1"/>
  <c r="AU150" i="24"/>
  <c r="C150" i="24" s="1"/>
  <c r="AU58" i="24"/>
  <c r="C58" i="24" s="1"/>
  <c r="AU325" i="24"/>
  <c r="C325" i="24" s="1"/>
  <c r="AV223" i="14"/>
  <c r="C223" i="14" s="1"/>
  <c r="AV391" i="14"/>
  <c r="C391" i="14" s="1"/>
  <c r="AV365" i="14"/>
  <c r="C365" i="14" s="1"/>
  <c r="AV341" i="14"/>
  <c r="C341" i="14" s="1"/>
  <c r="AV315" i="14"/>
  <c r="C315" i="14" s="1"/>
  <c r="AU118" i="23"/>
  <c r="C118" i="23" s="1"/>
  <c r="AU151" i="23"/>
  <c r="C151" i="23" s="1"/>
  <c r="AU344" i="24"/>
  <c r="C344" i="24" s="1"/>
  <c r="AU159" i="24"/>
  <c r="C159" i="24" s="1"/>
  <c r="AU350" i="24"/>
  <c r="C350" i="24" s="1"/>
  <c r="AU326" i="24"/>
  <c r="C326" i="24" s="1"/>
  <c r="AU68" i="24"/>
  <c r="C68" i="24" s="1"/>
  <c r="AU188" i="24"/>
  <c r="C188" i="24" s="1"/>
  <c r="AU303" i="24"/>
  <c r="C303" i="24" s="1"/>
  <c r="AU130" i="24"/>
  <c r="C130" i="24" s="1"/>
  <c r="AU179" i="24"/>
  <c r="C179" i="24" s="1"/>
  <c r="AU115" i="24"/>
  <c r="C115" i="24" s="1"/>
  <c r="AU120" i="24"/>
  <c r="C120" i="24" s="1"/>
  <c r="AU93" i="24"/>
  <c r="C93" i="24" s="1"/>
  <c r="AU50" i="24"/>
  <c r="C50" i="24" s="1"/>
  <c r="AU87" i="24"/>
  <c r="C87" i="24" s="1"/>
  <c r="AV248" i="14"/>
  <c r="C248" i="14" s="1"/>
  <c r="AV179" i="14"/>
  <c r="C179" i="14" s="1"/>
  <c r="AU273" i="24"/>
  <c r="C273" i="24" s="1"/>
  <c r="AU269" i="24"/>
  <c r="C269" i="24" s="1"/>
  <c r="AU114" i="24"/>
  <c r="C114" i="24" s="1"/>
  <c r="AU158" i="24"/>
  <c r="C158" i="24" s="1"/>
  <c r="AU163" i="24"/>
  <c r="C163" i="24" s="1"/>
  <c r="AU302" i="24"/>
  <c r="C302" i="24" s="1"/>
  <c r="AU60" i="24"/>
  <c r="C60" i="24" s="1"/>
  <c r="AU77" i="24"/>
  <c r="C77" i="24" s="1"/>
  <c r="AU137" i="24"/>
  <c r="C137" i="24" s="1"/>
  <c r="AU400" i="24"/>
  <c r="C400" i="24" s="1"/>
  <c r="AV71" i="14"/>
  <c r="C71" i="14" s="1"/>
  <c r="AU209" i="23"/>
  <c r="C209" i="23" s="1"/>
  <c r="AU76" i="23"/>
  <c r="C76" i="23" s="1"/>
  <c r="AU329" i="23"/>
  <c r="C329" i="23" s="1"/>
  <c r="AU290" i="23"/>
  <c r="C290" i="23" s="1"/>
  <c r="AU75" i="23"/>
  <c r="C75" i="23" s="1"/>
  <c r="AU348" i="24"/>
  <c r="C348" i="24" s="1"/>
  <c r="AU235" i="24"/>
  <c r="C235" i="24" s="1"/>
  <c r="AU194" i="24"/>
  <c r="C194" i="24" s="1"/>
  <c r="AU118" i="24"/>
  <c r="C118" i="24" s="1"/>
  <c r="AU127" i="24"/>
  <c r="C127" i="24" s="1"/>
  <c r="AU328" i="24"/>
  <c r="C328" i="24" s="1"/>
  <c r="AU314" i="24"/>
  <c r="C314" i="24" s="1"/>
  <c r="AU125" i="24"/>
  <c r="C125" i="24" s="1"/>
  <c r="AU187" i="24"/>
  <c r="C187" i="24" s="1"/>
  <c r="AU98" i="24"/>
  <c r="C98" i="24" s="1"/>
  <c r="AU331" i="24"/>
  <c r="C331" i="24" s="1"/>
  <c r="AU147" i="24"/>
  <c r="C147" i="24" s="1"/>
  <c r="AU391" i="24"/>
  <c r="C391" i="24" s="1"/>
  <c r="AU322" i="24"/>
  <c r="C322" i="24" s="1"/>
  <c r="AU277" i="24"/>
  <c r="C277" i="24" s="1"/>
  <c r="AU88" i="24"/>
  <c r="C88" i="24" s="1"/>
  <c r="AU55" i="24"/>
  <c r="C55" i="24" s="1"/>
  <c r="AV386" i="14"/>
  <c r="C386" i="14" s="1"/>
  <c r="AV317" i="14"/>
  <c r="C317" i="14" s="1"/>
  <c r="AU247" i="23"/>
  <c r="C247" i="23" s="1"/>
  <c r="AU108" i="24"/>
  <c r="C108" i="24" s="1"/>
  <c r="AU241" i="24"/>
  <c r="C241" i="24" s="1"/>
  <c r="AU275" i="24"/>
  <c r="C275" i="24" s="1"/>
  <c r="AU86" i="24"/>
  <c r="C86" i="24" s="1"/>
  <c r="AU298" i="24"/>
  <c r="C298" i="24" s="1"/>
  <c r="AU369" i="24"/>
  <c r="C369" i="24" s="1"/>
  <c r="AU324" i="24"/>
  <c r="C324" i="24" s="1"/>
  <c r="AU242" i="24"/>
  <c r="C242" i="24" s="1"/>
  <c r="AU315" i="24"/>
  <c r="C315" i="24" s="1"/>
  <c r="AU375" i="24"/>
  <c r="C375" i="24" s="1"/>
  <c r="AU306" i="24"/>
  <c r="C306" i="24" s="1"/>
  <c r="AU261" i="24"/>
  <c r="C261" i="24" s="1"/>
  <c r="AU45" i="24"/>
  <c r="C45" i="24" s="1"/>
  <c r="AU105" i="24"/>
  <c r="C105" i="24" s="1"/>
  <c r="AV340" i="14"/>
  <c r="C340" i="14" s="1"/>
  <c r="AV290" i="14"/>
  <c r="C290" i="14" s="1"/>
  <c r="AV129" i="14"/>
  <c r="C129" i="14" s="1"/>
  <c r="AU298" i="23"/>
  <c r="C298" i="23" s="1"/>
  <c r="AU340" i="23"/>
  <c r="C340" i="23" s="1"/>
  <c r="AU211" i="24"/>
  <c r="C211" i="24" s="1"/>
  <c r="AU376" i="24"/>
  <c r="C376" i="24" s="1"/>
  <c r="AU281" i="24"/>
  <c r="C281" i="24" s="1"/>
  <c r="AU97" i="24"/>
  <c r="C97" i="24" s="1"/>
  <c r="AU330" i="24"/>
  <c r="C330" i="24" s="1"/>
  <c r="AU206" i="24"/>
  <c r="C206" i="24" s="1"/>
  <c r="AU282" i="24"/>
  <c r="C282" i="24" s="1"/>
  <c r="AU155" i="24"/>
  <c r="C155" i="24" s="1"/>
  <c r="AU215" i="24"/>
  <c r="C215" i="24" s="1"/>
  <c r="AU126" i="24"/>
  <c r="C126" i="24" s="1"/>
  <c r="AU254" i="24"/>
  <c r="C254" i="24" s="1"/>
  <c r="AU148" i="24"/>
  <c r="C148" i="24" s="1"/>
  <c r="AU56" i="24"/>
  <c r="C56" i="24" s="1"/>
  <c r="AU52" i="24"/>
  <c r="C52" i="24" s="1"/>
  <c r="AU89" i="24"/>
  <c r="C89" i="24" s="1"/>
  <c r="AV298" i="14"/>
  <c r="C298" i="14" s="1"/>
  <c r="AU81" i="23"/>
  <c r="C81" i="23" s="1"/>
  <c r="AU398" i="23"/>
  <c r="C398" i="23" s="1"/>
  <c r="AU263" i="24"/>
  <c r="C263" i="24" s="1"/>
  <c r="AU355" i="24"/>
  <c r="C355" i="24" s="1"/>
  <c r="AU99" i="24"/>
  <c r="C99" i="24" s="1"/>
  <c r="AU134" i="24"/>
  <c r="C134" i="24" s="1"/>
  <c r="AU266" i="24"/>
  <c r="C266" i="24" s="1"/>
  <c r="AU154" i="24"/>
  <c r="C154" i="24" s="1"/>
  <c r="AU274" i="24"/>
  <c r="C274" i="24" s="1"/>
  <c r="AU234" i="24"/>
  <c r="C234" i="24" s="1"/>
  <c r="AU139" i="24"/>
  <c r="C139" i="24" s="1"/>
  <c r="AU133" i="24"/>
  <c r="C133" i="24" s="1"/>
  <c r="AV256" i="14"/>
  <c r="C256" i="14" s="1"/>
  <c r="AU275" i="23"/>
  <c r="C275" i="23" s="1"/>
  <c r="AU390" i="23"/>
  <c r="C390" i="23" s="1"/>
  <c r="AU271" i="23"/>
  <c r="C271" i="23" s="1"/>
  <c r="AU400" i="23"/>
  <c r="C400" i="23" s="1"/>
  <c r="AU245" i="23"/>
  <c r="C245" i="23" s="1"/>
  <c r="AU51" i="24"/>
  <c r="C51" i="24" s="1"/>
  <c r="AU143" i="24"/>
  <c r="C143" i="24" s="1"/>
  <c r="AU294" i="24"/>
  <c r="C294" i="24" s="1"/>
  <c r="AU256" i="24"/>
  <c r="C256" i="24" s="1"/>
  <c r="AU304" i="24"/>
  <c r="C304" i="24" s="1"/>
  <c r="AU81" i="24"/>
  <c r="C81" i="24" s="1"/>
  <c r="AU102" i="24"/>
  <c r="C102" i="24" s="1"/>
  <c r="AU352" i="24"/>
  <c r="C352" i="24" s="1"/>
  <c r="AU153" i="24"/>
  <c r="C153" i="24" s="1"/>
  <c r="AU381" i="24"/>
  <c r="C381" i="24" s="1"/>
  <c r="AU192" i="24"/>
  <c r="C192" i="24" s="1"/>
  <c r="AU399" i="24"/>
  <c r="C399" i="24" s="1"/>
  <c r="AU267" i="24"/>
  <c r="C267" i="24" s="1"/>
  <c r="AU183" i="24"/>
  <c r="C183" i="24" s="1"/>
  <c r="AU94" i="24"/>
  <c r="C94" i="24" s="1"/>
  <c r="AU327" i="24"/>
  <c r="C327" i="24" s="1"/>
  <c r="AU138" i="24"/>
  <c r="C138" i="24" s="1"/>
  <c r="AU161" i="24"/>
  <c r="C161" i="24" s="1"/>
  <c r="AU300" i="24"/>
  <c r="C300" i="24" s="1"/>
  <c r="AU216" i="24"/>
  <c r="C216" i="24" s="1"/>
  <c r="AU67" i="24"/>
  <c r="C67" i="24" s="1"/>
  <c r="AU57" i="24"/>
  <c r="C57" i="24" s="1"/>
  <c r="AU117" i="24"/>
  <c r="C117" i="24" s="1"/>
  <c r="AV232" i="14"/>
  <c r="C232" i="14" s="1"/>
  <c r="AV79" i="14"/>
  <c r="C79" i="14" s="1"/>
  <c r="AV82" i="14"/>
  <c r="C82" i="14" s="1"/>
  <c r="AV81" i="14"/>
  <c r="C81" i="14" s="1"/>
  <c r="AV121" i="14"/>
  <c r="C121" i="14" s="1"/>
  <c r="AU48" i="23"/>
  <c r="AU203" i="23"/>
  <c r="C203" i="23" s="1"/>
  <c r="AU291" i="24"/>
  <c r="C291" i="24" s="1"/>
  <c r="AU111" i="24"/>
  <c r="C111" i="24" s="1"/>
  <c r="AU388" i="24"/>
  <c r="C388" i="24" s="1"/>
  <c r="AU70" i="24"/>
  <c r="C70" i="24" s="1"/>
  <c r="AU210" i="24"/>
  <c r="C210" i="24" s="1"/>
  <c r="AU321" i="24"/>
  <c r="C321" i="24" s="1"/>
  <c r="AU338" i="24"/>
  <c r="C338" i="24" s="1"/>
  <c r="AU251" i="24"/>
  <c r="C251" i="24" s="1"/>
  <c r="AU78" i="24"/>
  <c r="C78" i="24" s="1"/>
  <c r="AU122" i="24"/>
  <c r="C122" i="24" s="1"/>
  <c r="AU329" i="24"/>
  <c r="C329" i="24" s="1"/>
  <c r="AU284" i="24"/>
  <c r="C284" i="24" s="1"/>
  <c r="AU107" i="24"/>
  <c r="C107" i="24" s="1"/>
  <c r="AU41" i="24"/>
  <c r="C41" i="24" s="1"/>
  <c r="AU101" i="24"/>
  <c r="C101" i="24" s="1"/>
  <c r="I49" i="4"/>
  <c r="G49" i="4"/>
  <c r="AV275" i="14"/>
  <c r="C275" i="14" s="1"/>
  <c r="AU278" i="23"/>
  <c r="C278" i="23" s="1"/>
  <c r="AU218" i="23"/>
  <c r="C218" i="23" s="1"/>
  <c r="AU280" i="23"/>
  <c r="C280" i="23" s="1"/>
  <c r="AU317" i="24"/>
  <c r="C317" i="24" s="1"/>
  <c r="AU390" i="24"/>
  <c r="C390" i="24" s="1"/>
  <c r="AU250" i="24"/>
  <c r="C250" i="24" s="1"/>
  <c r="AU240" i="24"/>
  <c r="C240" i="24" s="1"/>
  <c r="AU129" i="24"/>
  <c r="C129" i="24" s="1"/>
  <c r="AU62" i="24"/>
  <c r="C62" i="24" s="1"/>
  <c r="AU198" i="24"/>
  <c r="C198" i="24" s="1"/>
  <c r="AU106" i="24"/>
  <c r="C106" i="24" s="1"/>
  <c r="AU54" i="24"/>
  <c r="C54" i="24" s="1"/>
  <c r="AU91" i="24"/>
  <c r="C91" i="24" s="1"/>
  <c r="AU48" i="24"/>
  <c r="C48" i="24" s="1"/>
  <c r="AU85" i="24"/>
  <c r="C85" i="24" s="1"/>
  <c r="AU202" i="24"/>
  <c r="C202" i="24" s="1"/>
  <c r="AU170" i="24"/>
  <c r="C170" i="24" s="1"/>
  <c r="AU113" i="23"/>
  <c r="C113" i="23" s="1"/>
  <c r="AU104" i="24"/>
  <c r="C104" i="24" s="1"/>
  <c r="AU57" i="23"/>
  <c r="C57" i="23" s="1"/>
  <c r="AU234" i="23"/>
  <c r="C234" i="23" s="1"/>
  <c r="AU205" i="23"/>
  <c r="C205" i="23" s="1"/>
  <c r="AU339" i="24"/>
  <c r="C339" i="24" s="1"/>
  <c r="AU244" i="24"/>
  <c r="C244" i="24" s="1"/>
  <c r="AU69" i="24"/>
  <c r="C69" i="24" s="1"/>
  <c r="AA13" i="23"/>
  <c r="X13" i="23" s="1"/>
  <c r="M70" i="25"/>
  <c r="L234" i="25"/>
  <c r="M76" i="25"/>
  <c r="L235" i="25"/>
  <c r="U71" i="25"/>
  <c r="W211" i="25"/>
  <c r="M82" i="25"/>
  <c r="L237" i="25"/>
  <c r="AA13" i="29"/>
  <c r="X13" i="29" s="1"/>
  <c r="G237" i="25"/>
  <c r="M79" i="25"/>
  <c r="N235" i="25"/>
  <c r="M77" i="25"/>
  <c r="M71" i="25"/>
  <c r="N234" i="25"/>
  <c r="W218" i="25"/>
  <c r="V214" i="25"/>
  <c r="AA13" i="24"/>
  <c r="I237" i="25"/>
  <c r="M80" i="25"/>
  <c r="G235" i="25"/>
  <c r="M73" i="25"/>
  <c r="X214" i="25"/>
  <c r="N237" i="25"/>
  <c r="M83" i="25"/>
  <c r="M89" i="25"/>
  <c r="N236" i="25"/>
  <c r="M85" i="25"/>
  <c r="G236" i="25"/>
  <c r="U68" i="25"/>
  <c r="W212" i="25"/>
  <c r="W217" i="25"/>
  <c r="M68" i="25"/>
  <c r="I234" i="25"/>
  <c r="V215" i="25"/>
  <c r="M88" i="25"/>
  <c r="L236" i="25"/>
  <c r="X215" i="25"/>
  <c r="I235" i="25"/>
  <c r="M74" i="25"/>
  <c r="G234" i="25"/>
  <c r="M67" i="25"/>
  <c r="I236" i="25"/>
  <c r="M86" i="25"/>
  <c r="AV316" i="14"/>
  <c r="C316" i="14" s="1"/>
  <c r="AU259" i="23"/>
  <c r="C259" i="23" s="1"/>
  <c r="AU196" i="23"/>
  <c r="C196" i="23" s="1"/>
  <c r="AU85" i="23"/>
  <c r="C85" i="23" s="1"/>
  <c r="AU125" i="23"/>
  <c r="C125" i="23" s="1"/>
  <c r="AU189" i="23"/>
  <c r="C189" i="23" s="1"/>
  <c r="AU46" i="23"/>
  <c r="C46" i="23" s="1"/>
  <c r="AU79" i="23"/>
  <c r="C79" i="23" s="1"/>
  <c r="AU93" i="23"/>
  <c r="C93" i="23" s="1"/>
  <c r="AU188" i="23"/>
  <c r="C188" i="23" s="1"/>
  <c r="AU330" i="23"/>
  <c r="C330" i="23" s="1"/>
  <c r="AU394" i="23"/>
  <c r="C394" i="23" s="1"/>
  <c r="AU264" i="23"/>
  <c r="C264" i="23" s="1"/>
  <c r="AU392" i="23"/>
  <c r="C392" i="23" s="1"/>
  <c r="AU170" i="23"/>
  <c r="C170" i="23" s="1"/>
  <c r="AU236" i="23"/>
  <c r="C236" i="23" s="1"/>
  <c r="AU129" i="23"/>
  <c r="C129" i="23" s="1"/>
  <c r="AU73" i="23"/>
  <c r="C73" i="23" s="1"/>
  <c r="AU144" i="23"/>
  <c r="C144" i="23" s="1"/>
  <c r="AU42" i="23"/>
  <c r="C42" i="23" s="1"/>
  <c r="AU120" i="23"/>
  <c r="C120" i="23" s="1"/>
  <c r="AU235" i="23"/>
  <c r="C235" i="23" s="1"/>
  <c r="AU181" i="23"/>
  <c r="C181" i="23" s="1"/>
  <c r="AU191" i="23"/>
  <c r="C191" i="23" s="1"/>
  <c r="AU257" i="23"/>
  <c r="C257" i="23" s="1"/>
  <c r="AU227" i="23"/>
  <c r="C227" i="23" s="1"/>
  <c r="AU107" i="23"/>
  <c r="C107" i="23" s="1"/>
  <c r="AU301" i="23"/>
  <c r="C301" i="23" s="1"/>
  <c r="AU239" i="23"/>
  <c r="C239" i="23" s="1"/>
  <c r="AU338" i="23"/>
  <c r="C338" i="23" s="1"/>
  <c r="AU206" i="23"/>
  <c r="C206" i="23" s="1"/>
  <c r="AU272" i="23"/>
  <c r="C272" i="23" s="1"/>
  <c r="AU336" i="23"/>
  <c r="C336" i="23" s="1"/>
  <c r="AU371" i="23"/>
  <c r="C371" i="23" s="1"/>
  <c r="AU244" i="23"/>
  <c r="C244" i="23" s="1"/>
  <c r="AU343" i="23"/>
  <c r="C343" i="23" s="1"/>
  <c r="AV372" i="14"/>
  <c r="C372" i="14" s="1"/>
  <c r="AV366" i="14"/>
  <c r="C366" i="14" s="1"/>
  <c r="AU108" i="23"/>
  <c r="C108" i="23" s="1"/>
  <c r="AU200" i="23"/>
  <c r="C200" i="23" s="1"/>
  <c r="AU50" i="23"/>
  <c r="C50" i="23" s="1"/>
  <c r="AU132" i="23"/>
  <c r="C132" i="23" s="1"/>
  <c r="AU62" i="23"/>
  <c r="C62" i="23" s="1"/>
  <c r="AU102" i="23"/>
  <c r="C102" i="23" s="1"/>
  <c r="AU192" i="23"/>
  <c r="C192" i="23" s="1"/>
  <c r="AU44" i="23"/>
  <c r="C44" i="23" s="1"/>
  <c r="AU350" i="23"/>
  <c r="C350" i="23" s="1"/>
  <c r="AU88" i="23"/>
  <c r="C88" i="23" s="1"/>
  <c r="AU115" i="23"/>
  <c r="C115" i="23" s="1"/>
  <c r="AU179" i="23"/>
  <c r="C179" i="23" s="1"/>
  <c r="AU346" i="23"/>
  <c r="C346" i="23" s="1"/>
  <c r="AU214" i="23"/>
  <c r="C214" i="23" s="1"/>
  <c r="AU379" i="23"/>
  <c r="C379" i="23" s="1"/>
  <c r="AU252" i="23"/>
  <c r="C252" i="23" s="1"/>
  <c r="AU316" i="23"/>
  <c r="C316" i="23" s="1"/>
  <c r="AU380" i="23"/>
  <c r="C380" i="23" s="1"/>
  <c r="AU152" i="23"/>
  <c r="C152" i="23" s="1"/>
  <c r="AU282" i="23"/>
  <c r="C282" i="23" s="1"/>
  <c r="AU266" i="23"/>
  <c r="C266" i="23" s="1"/>
  <c r="AU153" i="23"/>
  <c r="C153" i="23" s="1"/>
  <c r="AU267" i="23"/>
  <c r="C267" i="23" s="1"/>
  <c r="AU176" i="23"/>
  <c r="C176" i="23" s="1"/>
  <c r="AU306" i="23"/>
  <c r="C306" i="23" s="1"/>
  <c r="AU58" i="23"/>
  <c r="C58" i="23" s="1"/>
  <c r="AU149" i="23"/>
  <c r="C149" i="23" s="1"/>
  <c r="AU169" i="23"/>
  <c r="C169" i="23" s="1"/>
  <c r="AU39" i="23"/>
  <c r="AU52" i="23"/>
  <c r="C52" i="23" s="1"/>
  <c r="AU135" i="23"/>
  <c r="C135" i="23" s="1"/>
  <c r="AU143" i="23"/>
  <c r="C143" i="23" s="1"/>
  <c r="AU161" i="23"/>
  <c r="C161" i="23" s="1"/>
  <c r="AU222" i="23"/>
  <c r="C222" i="23" s="1"/>
  <c r="AU255" i="23"/>
  <c r="C255" i="23" s="1"/>
  <c r="AU354" i="23"/>
  <c r="C354" i="23" s="1"/>
  <c r="AU224" i="23"/>
  <c r="C224" i="23" s="1"/>
  <c r="AU288" i="23"/>
  <c r="C288" i="23" s="1"/>
  <c r="AU352" i="23"/>
  <c r="C352" i="23" s="1"/>
  <c r="AU387" i="23"/>
  <c r="C387" i="23" s="1"/>
  <c r="AU194" i="23"/>
  <c r="C194" i="23" s="1"/>
  <c r="AU260" i="23"/>
  <c r="C260" i="23" s="1"/>
  <c r="AU324" i="23"/>
  <c r="C324" i="23" s="1"/>
  <c r="AU388" i="23"/>
  <c r="C388" i="23" s="1"/>
  <c r="AU168" i="23"/>
  <c r="C168" i="23" s="1"/>
  <c r="AU121" i="23"/>
  <c r="C121" i="23" s="1"/>
  <c r="AU53" i="23"/>
  <c r="C53" i="23" s="1"/>
  <c r="AU66" i="23"/>
  <c r="C66" i="23" s="1"/>
  <c r="AU213" i="23"/>
  <c r="C213" i="23" s="1"/>
  <c r="AU47" i="23"/>
  <c r="C47" i="23" s="1"/>
  <c r="AU172" i="23"/>
  <c r="C172" i="23" s="1"/>
  <c r="AU265" i="23"/>
  <c r="C265" i="23" s="1"/>
  <c r="AU40" i="23"/>
  <c r="C40" i="23" s="1"/>
  <c r="AU133" i="23"/>
  <c r="C133" i="23" s="1"/>
  <c r="AU334" i="23"/>
  <c r="C334" i="23" s="1"/>
  <c r="AU232" i="23"/>
  <c r="C232" i="23" s="1"/>
  <c r="AU360" i="23"/>
  <c r="C360" i="23" s="1"/>
  <c r="AU396" i="23"/>
  <c r="C396" i="23" s="1"/>
  <c r="AU367" i="23"/>
  <c r="C367" i="23" s="1"/>
  <c r="AU230" i="23"/>
  <c r="C230" i="23" s="1"/>
  <c r="AU104" i="23"/>
  <c r="C104" i="23" s="1"/>
  <c r="AU317" i="23"/>
  <c r="C317" i="23" s="1"/>
  <c r="AU185" i="23"/>
  <c r="C185" i="23" s="1"/>
  <c r="AU106" i="23"/>
  <c r="C106" i="23" s="1"/>
  <c r="AU136" i="23"/>
  <c r="C136" i="23" s="1"/>
  <c r="AU208" i="23"/>
  <c r="C208" i="23" s="1"/>
  <c r="AU74" i="23"/>
  <c r="C74" i="23" s="1"/>
  <c r="AU231" i="23"/>
  <c r="C231" i="23" s="1"/>
  <c r="AU286" i="23"/>
  <c r="C286" i="23" s="1"/>
  <c r="AU86" i="23"/>
  <c r="C86" i="23" s="1"/>
  <c r="AU126" i="23"/>
  <c r="C126" i="23" s="1"/>
  <c r="AU326" i="23"/>
  <c r="C326" i="23" s="1"/>
  <c r="AU159" i="23"/>
  <c r="C159" i="23" s="1"/>
  <c r="AU183" i="23"/>
  <c r="C183" i="23" s="1"/>
  <c r="AU389" i="23"/>
  <c r="C389" i="23" s="1"/>
  <c r="AU130" i="23"/>
  <c r="C130" i="23" s="1"/>
  <c r="AU156" i="23"/>
  <c r="C156" i="23" s="1"/>
  <c r="AU357" i="23"/>
  <c r="C357" i="23" s="1"/>
  <c r="AU370" i="23"/>
  <c r="C370" i="23" s="1"/>
  <c r="AU240" i="23"/>
  <c r="C240" i="23" s="1"/>
  <c r="AU339" i="23"/>
  <c r="C339" i="23" s="1"/>
  <c r="AU210" i="23"/>
  <c r="C210" i="23" s="1"/>
  <c r="AU184" i="23"/>
  <c r="C184" i="23" s="1"/>
  <c r="AU381" i="23"/>
  <c r="C381" i="23" s="1"/>
  <c r="AU82" i="23"/>
  <c r="C82" i="23" s="1"/>
  <c r="AU201" i="23"/>
  <c r="C201" i="23" s="1"/>
  <c r="AU299" i="23"/>
  <c r="C299" i="23" s="1"/>
  <c r="AU122" i="23"/>
  <c r="C122" i="23" s="1"/>
  <c r="AU146" i="23"/>
  <c r="C146" i="23" s="1"/>
  <c r="AU63" i="23"/>
  <c r="C63" i="23" s="1"/>
  <c r="AU140" i="23"/>
  <c r="C140" i="23" s="1"/>
  <c r="AU277" i="23"/>
  <c r="C277" i="23" s="1"/>
  <c r="AU258" i="23"/>
  <c r="C258" i="23" s="1"/>
  <c r="AU361" i="23"/>
  <c r="C361" i="23" s="1"/>
  <c r="AU369" i="23"/>
  <c r="C369" i="23" s="1"/>
  <c r="AU279" i="23"/>
  <c r="C279" i="23" s="1"/>
  <c r="AU182" i="23"/>
  <c r="C182" i="23" s="1"/>
  <c r="AU248" i="23"/>
  <c r="C248" i="23" s="1"/>
  <c r="AU312" i="23"/>
  <c r="C312" i="23" s="1"/>
  <c r="AU376" i="23"/>
  <c r="C376" i="23" s="1"/>
  <c r="AU347" i="23"/>
  <c r="C347" i="23" s="1"/>
  <c r="AU319" i="23"/>
  <c r="C319" i="23" s="1"/>
  <c r="AU41" i="23"/>
  <c r="C41" i="23" s="1"/>
  <c r="AU216" i="23"/>
  <c r="C216" i="23" s="1"/>
  <c r="AU217" i="23"/>
  <c r="C217" i="23" s="1"/>
  <c r="AU243" i="23"/>
  <c r="C243" i="23" s="1"/>
  <c r="AU114" i="23"/>
  <c r="C114" i="23" s="1"/>
  <c r="AU77" i="23"/>
  <c r="C77" i="23" s="1"/>
  <c r="AU97" i="23"/>
  <c r="C97" i="23" s="1"/>
  <c r="AU321" i="23"/>
  <c r="C321" i="23" s="1"/>
  <c r="AU134" i="23"/>
  <c r="C134" i="23" s="1"/>
  <c r="AU142" i="23"/>
  <c r="C142" i="23" s="1"/>
  <c r="AU160" i="23"/>
  <c r="C160" i="23" s="1"/>
  <c r="AU353" i="23"/>
  <c r="C353" i="23" s="1"/>
  <c r="AU84" i="23"/>
  <c r="C84" i="23" s="1"/>
  <c r="AU175" i="23"/>
  <c r="C175" i="23" s="1"/>
  <c r="AU241" i="23"/>
  <c r="C241" i="23" s="1"/>
  <c r="AU305" i="23"/>
  <c r="C305" i="23" s="1"/>
  <c r="AU91" i="23"/>
  <c r="C91" i="23" s="1"/>
  <c r="AU221" i="23"/>
  <c r="C221" i="23" s="1"/>
  <c r="AU270" i="23"/>
  <c r="C270" i="23" s="1"/>
  <c r="AU373" i="23"/>
  <c r="C373" i="23" s="1"/>
  <c r="AU382" i="23"/>
  <c r="C382" i="23" s="1"/>
  <c r="AU287" i="23"/>
  <c r="C287" i="23" s="1"/>
  <c r="AU190" i="23"/>
  <c r="C190" i="23" s="1"/>
  <c r="AU256" i="23"/>
  <c r="C256" i="23" s="1"/>
  <c r="AU384" i="23"/>
  <c r="C384" i="23" s="1"/>
  <c r="AU228" i="23"/>
  <c r="C228" i="23" s="1"/>
  <c r="AU292" i="23"/>
  <c r="C292" i="23" s="1"/>
  <c r="AU327" i="23"/>
  <c r="C327" i="23" s="1"/>
  <c r="AU391" i="23"/>
  <c r="C391" i="23" s="1"/>
  <c r="Z12" i="24"/>
  <c r="W12" i="24" s="1"/>
  <c r="Z12" i="29"/>
  <c r="Z12" i="23"/>
  <c r="W12" i="23" s="1"/>
  <c r="AA12" i="14"/>
  <c r="X12" i="14" s="1"/>
  <c r="AB12" i="29"/>
  <c r="X12" i="29" s="1"/>
  <c r="AB12" i="23"/>
  <c r="X12" i="23" s="1"/>
  <c r="AB12" i="24"/>
  <c r="X12" i="24" s="1"/>
  <c r="AC12" i="14"/>
  <c r="Y12" i="14" s="1"/>
  <c r="AB11" i="23"/>
  <c r="X11" i="23" s="1"/>
  <c r="X15" i="23" s="1"/>
  <c r="AB11" i="24"/>
  <c r="X11" i="24" s="1"/>
  <c r="X15" i="24" s="1"/>
  <c r="AB11" i="29"/>
  <c r="X11" i="29" s="1"/>
  <c r="X15" i="29" s="1"/>
  <c r="AC11" i="14"/>
  <c r="Y11" i="14" s="1"/>
  <c r="Y15" i="14" s="1"/>
  <c r="Z13" i="23"/>
  <c r="W13" i="23" s="1"/>
  <c r="Z13" i="24"/>
  <c r="Z13" i="29"/>
  <c r="W13" i="29" s="1"/>
  <c r="AA13" i="14"/>
  <c r="X13" i="14" s="1"/>
  <c r="AV328" i="14"/>
  <c r="C328" i="14" s="1"/>
  <c r="AV198" i="14"/>
  <c r="C198" i="14" s="1"/>
  <c r="AV70" i="14"/>
  <c r="C70" i="14" s="1"/>
  <c r="AV302" i="14"/>
  <c r="C302" i="14" s="1"/>
  <c r="AV211" i="14"/>
  <c r="C211" i="14" s="1"/>
  <c r="AV83" i="14"/>
  <c r="C83" i="14" s="1"/>
  <c r="AV291" i="14"/>
  <c r="C291" i="14" s="1"/>
  <c r="AV98" i="14"/>
  <c r="C98" i="14" s="1"/>
  <c r="AV48" i="14"/>
  <c r="C48" i="14" s="1"/>
  <c r="AV319" i="14"/>
  <c r="C319" i="14" s="1"/>
  <c r="AV189" i="14"/>
  <c r="C189" i="14" s="1"/>
  <c r="AV61" i="14"/>
  <c r="C61" i="14" s="1"/>
  <c r="AV204" i="14"/>
  <c r="C204" i="14" s="1"/>
  <c r="AV76" i="14"/>
  <c r="C76" i="14" s="1"/>
  <c r="AV308" i="14"/>
  <c r="C308" i="14" s="1"/>
  <c r="AV154" i="14"/>
  <c r="C154" i="14" s="1"/>
  <c r="AV385" i="14"/>
  <c r="C385" i="14" s="1"/>
  <c r="AV258" i="14"/>
  <c r="C258" i="14" s="1"/>
  <c r="AV297" i="14"/>
  <c r="C297" i="14" s="1"/>
  <c r="AV320" i="14"/>
  <c r="C320" i="14" s="1"/>
  <c r="AV312" i="14"/>
  <c r="C312" i="14" s="1"/>
  <c r="AV117" i="14"/>
  <c r="C117" i="14" s="1"/>
  <c r="AV182" i="14"/>
  <c r="C182" i="14" s="1"/>
  <c r="AV286" i="14"/>
  <c r="C286" i="14" s="1"/>
  <c r="AV195" i="14"/>
  <c r="C195" i="14" s="1"/>
  <c r="AV132" i="14"/>
  <c r="C132" i="14" s="1"/>
  <c r="AV236" i="14"/>
  <c r="C236" i="14" s="1"/>
  <c r="AV225" i="14"/>
  <c r="C225" i="14" s="1"/>
  <c r="AV95" i="14"/>
  <c r="C95" i="14" s="1"/>
  <c r="AV160" i="14"/>
  <c r="C160" i="14" s="1"/>
  <c r="AV303" i="14"/>
  <c r="C303" i="14" s="1"/>
  <c r="AV173" i="14"/>
  <c r="C173" i="14" s="1"/>
  <c r="AV110" i="14"/>
  <c r="C110" i="14" s="1"/>
  <c r="AV123" i="14"/>
  <c r="C123" i="14" s="1"/>
  <c r="AV188" i="14"/>
  <c r="C188" i="14" s="1"/>
  <c r="AV331" i="14"/>
  <c r="C331" i="14" s="1"/>
  <c r="AV73" i="14"/>
  <c r="C73" i="14" s="1"/>
  <c r="AV138" i="14"/>
  <c r="C138" i="14" s="1"/>
  <c r="AV369" i="14"/>
  <c r="C369" i="14" s="1"/>
  <c r="AV281" i="14"/>
  <c r="C281" i="14" s="1"/>
  <c r="AV151" i="14"/>
  <c r="C151" i="14" s="1"/>
  <c r="AV216" i="14"/>
  <c r="C216" i="14" s="1"/>
  <c r="AV394" i="14"/>
  <c r="C394" i="14" s="1"/>
  <c r="AV334" i="14"/>
  <c r="C334" i="14" s="1"/>
  <c r="AV326" i="14"/>
  <c r="C326" i="14" s="1"/>
  <c r="AV166" i="14"/>
  <c r="C166" i="14" s="1"/>
  <c r="AV270" i="14"/>
  <c r="C270" i="14" s="1"/>
  <c r="AV194" i="14"/>
  <c r="C194" i="14" s="1"/>
  <c r="AV207" i="14"/>
  <c r="C207" i="14" s="1"/>
  <c r="AV287" i="14"/>
  <c r="C287" i="14" s="1"/>
  <c r="AV157" i="14"/>
  <c r="C157" i="14" s="1"/>
  <c r="AV224" i="14"/>
  <c r="C224" i="14" s="1"/>
  <c r="AV94" i="14"/>
  <c r="C94" i="14" s="1"/>
  <c r="AV107" i="14"/>
  <c r="C107" i="14" s="1"/>
  <c r="AV172" i="14"/>
  <c r="C172" i="14" s="1"/>
  <c r="AV44" i="14"/>
  <c r="C44" i="14" s="1"/>
  <c r="AV185" i="14"/>
  <c r="C185" i="14" s="1"/>
  <c r="AV122" i="14"/>
  <c r="C122" i="14" s="1"/>
  <c r="AV393" i="14"/>
  <c r="C393" i="14" s="1"/>
  <c r="AV200" i="14"/>
  <c r="C200" i="14" s="1"/>
  <c r="AV324" i="14"/>
  <c r="C324" i="14" s="1"/>
  <c r="AV348" i="14"/>
  <c r="C348" i="14" s="1"/>
  <c r="AV304" i="14"/>
  <c r="C304" i="14" s="1"/>
  <c r="AV213" i="14"/>
  <c r="C213" i="14" s="1"/>
  <c r="AV85" i="14"/>
  <c r="C85" i="14" s="1"/>
  <c r="AV150" i="14"/>
  <c r="C150" i="14" s="1"/>
  <c r="AV293" i="14"/>
  <c r="C293" i="14" s="1"/>
  <c r="AV100" i="14"/>
  <c r="C100" i="14" s="1"/>
  <c r="AV243" i="14"/>
  <c r="C243" i="14" s="1"/>
  <c r="AV178" i="14"/>
  <c r="C178" i="14" s="1"/>
  <c r="AV50" i="14"/>
  <c r="C50" i="14" s="1"/>
  <c r="AV282" i="14"/>
  <c r="C282" i="14" s="1"/>
  <c r="AV191" i="14"/>
  <c r="C191" i="14" s="1"/>
  <c r="AV63" i="14"/>
  <c r="C63" i="14" s="1"/>
  <c r="AV128" i="14"/>
  <c r="C128" i="14" s="1"/>
  <c r="AV359" i="14"/>
  <c r="C359" i="14" s="1"/>
  <c r="AV271" i="14"/>
  <c r="C271" i="14" s="1"/>
  <c r="AV310" i="14"/>
  <c r="C310" i="14" s="1"/>
  <c r="AV260" i="14"/>
  <c r="C260" i="14" s="1"/>
  <c r="AV41" i="14"/>
  <c r="C41" i="14" s="1"/>
  <c r="AV106" i="14"/>
  <c r="C106" i="14" s="1"/>
  <c r="AV337" i="14"/>
  <c r="C337" i="14" s="1"/>
  <c r="AV377" i="14"/>
  <c r="C377" i="14" s="1"/>
  <c r="AV400" i="14"/>
  <c r="C400" i="14" s="1"/>
  <c r="AV69" i="14"/>
  <c r="C69" i="14" s="1"/>
  <c r="AV134" i="14"/>
  <c r="C134" i="14" s="1"/>
  <c r="AV277" i="14"/>
  <c r="C277" i="14" s="1"/>
  <c r="AV305" i="14"/>
  <c r="C305" i="14" s="1"/>
  <c r="AV175" i="14"/>
  <c r="C175" i="14" s="1"/>
  <c r="AV112" i="14"/>
  <c r="C112" i="14" s="1"/>
  <c r="AV343" i="14"/>
  <c r="C343" i="14" s="1"/>
  <c r="AV383" i="14"/>
  <c r="C383" i="14" s="1"/>
  <c r="AV125" i="14"/>
  <c r="C125" i="14" s="1"/>
  <c r="AV62" i="14"/>
  <c r="C62" i="14" s="1"/>
  <c r="AV203" i="14"/>
  <c r="C203" i="14" s="1"/>
  <c r="AV75" i="14"/>
  <c r="C75" i="14" s="1"/>
  <c r="AV140" i="14"/>
  <c r="C140" i="14" s="1"/>
  <c r="AV153" i="14"/>
  <c r="C153" i="14" s="1"/>
  <c r="AV90" i="14"/>
  <c r="C90" i="14" s="1"/>
  <c r="AV103" i="14"/>
  <c r="C103" i="14" s="1"/>
  <c r="AV338" i="14"/>
  <c r="C338" i="14" s="1"/>
  <c r="AV346" i="14"/>
  <c r="C346" i="14" s="1"/>
  <c r="AV384" i="14"/>
  <c r="C384" i="14" s="1"/>
  <c r="AV118" i="14"/>
  <c r="C118" i="14" s="1"/>
  <c r="AV131" i="14"/>
  <c r="C131" i="14" s="1"/>
  <c r="AV68" i="14"/>
  <c r="C68" i="14" s="1"/>
  <c r="AV300" i="14"/>
  <c r="C300" i="14" s="1"/>
  <c r="AV250" i="14"/>
  <c r="C250" i="14" s="1"/>
  <c r="AV289" i="14"/>
  <c r="C289" i="14" s="1"/>
  <c r="AV367" i="14"/>
  <c r="C367" i="14" s="1"/>
  <c r="AV174" i="14"/>
  <c r="C174" i="14" s="1"/>
  <c r="AV278" i="14"/>
  <c r="C278" i="14" s="1"/>
  <c r="AV59" i="14"/>
  <c r="C59" i="14" s="1"/>
  <c r="AV124" i="14"/>
  <c r="C124" i="14" s="1"/>
  <c r="AV395" i="14"/>
  <c r="C395" i="14" s="1"/>
  <c r="AV267" i="14"/>
  <c r="C267" i="14" s="1"/>
  <c r="AV137" i="14"/>
  <c r="C137" i="14" s="1"/>
  <c r="AV74" i="14"/>
  <c r="C74" i="14" s="1"/>
  <c r="AV345" i="14"/>
  <c r="C345" i="14" s="1"/>
  <c r="AV215" i="14"/>
  <c r="C215" i="14" s="1"/>
  <c r="AV87" i="14"/>
  <c r="C87" i="14" s="1"/>
  <c r="AV152" i="14"/>
  <c r="C152" i="14" s="1"/>
  <c r="AV330" i="14"/>
  <c r="C330" i="14" s="1"/>
  <c r="AV368" i="14"/>
  <c r="C368" i="14" s="1"/>
  <c r="AV398" i="14"/>
  <c r="C398" i="14" s="1"/>
  <c r="AV165" i="14"/>
  <c r="C165" i="14" s="1"/>
  <c r="AV102" i="14"/>
  <c r="C102" i="14" s="1"/>
  <c r="AV245" i="14"/>
  <c r="C245" i="14" s="1"/>
  <c r="AV115" i="14"/>
  <c r="C115" i="14" s="1"/>
  <c r="AV180" i="14"/>
  <c r="C180" i="14" s="1"/>
  <c r="AV284" i="14"/>
  <c r="C284" i="14" s="1"/>
  <c r="AV193" i="14"/>
  <c r="C193" i="14" s="1"/>
  <c r="AV130" i="14"/>
  <c r="C130" i="14" s="1"/>
  <c r="AV234" i="14"/>
  <c r="C234" i="14" s="1"/>
  <c r="AV273" i="14"/>
  <c r="C273" i="14" s="1"/>
  <c r="AV208" i="14"/>
  <c r="C208" i="14" s="1"/>
  <c r="AV80" i="14"/>
  <c r="C80" i="14" s="1"/>
  <c r="AV311" i="14"/>
  <c r="C311" i="14" s="1"/>
  <c r="AV93" i="14"/>
  <c r="C93" i="14" s="1"/>
  <c r="AV389" i="14"/>
  <c r="C389" i="14" s="1"/>
  <c r="AV171" i="14"/>
  <c r="C171" i="14" s="1"/>
  <c r="AV339" i="14"/>
  <c r="C339" i="14" s="1"/>
  <c r="AV251" i="14"/>
  <c r="C251" i="14" s="1"/>
  <c r="AV186" i="14"/>
  <c r="C186" i="14" s="1"/>
  <c r="AV329" i="14"/>
  <c r="C329" i="14" s="1"/>
  <c r="AV199" i="14"/>
  <c r="C199" i="14" s="1"/>
  <c r="AV136" i="14"/>
  <c r="C136" i="14" s="1"/>
  <c r="AV314" i="14"/>
  <c r="C314" i="14" s="1"/>
  <c r="AV352" i="14"/>
  <c r="C352" i="14" s="1"/>
  <c r="AV344" i="14"/>
  <c r="C344" i="14" s="1"/>
  <c r="AV382" i="14"/>
  <c r="C382" i="14" s="1"/>
  <c r="AV374" i="14"/>
  <c r="C374" i="14" s="1"/>
  <c r="AV164" i="14"/>
  <c r="C164" i="14" s="1"/>
  <c r="AV268" i="14"/>
  <c r="C268" i="14" s="1"/>
  <c r="AV49" i="14"/>
  <c r="C49" i="14" s="1"/>
  <c r="AV127" i="14"/>
  <c r="C127" i="14" s="1"/>
  <c r="AV64" i="14"/>
  <c r="C64" i="14" s="1"/>
  <c r="AV296" i="14"/>
  <c r="C296" i="14" s="1"/>
  <c r="AV373" i="14"/>
  <c r="C373" i="14" s="1"/>
  <c r="AV246" i="14"/>
  <c r="C246" i="14" s="1"/>
  <c r="AV222" i="14"/>
  <c r="C222" i="14" s="1"/>
  <c r="AV363" i="14"/>
  <c r="C363" i="14" s="1"/>
  <c r="AV235" i="14"/>
  <c r="C235" i="14" s="1"/>
  <c r="AV105" i="14"/>
  <c r="C105" i="14" s="1"/>
  <c r="AV170" i="14"/>
  <c r="C170" i="14" s="1"/>
  <c r="AV42" i="14"/>
  <c r="C42" i="14" s="1"/>
  <c r="C37" i="4"/>
  <c r="I37" i="4" s="1"/>
  <c r="W12" i="29"/>
  <c r="W14" i="24"/>
  <c r="X13" i="24"/>
  <c r="X14" i="29"/>
  <c r="X14" i="24"/>
  <c r="AE9" i="29"/>
  <c r="AF9" i="14"/>
  <c r="AE9" i="23"/>
  <c r="AE9" i="24"/>
  <c r="W13" i="24"/>
  <c r="W14" i="23"/>
  <c r="B168" i="4"/>
  <c r="BA39" i="14" s="1"/>
  <c r="B138" i="4"/>
  <c r="B173" i="4"/>
  <c r="B137" i="4"/>
  <c r="B160" i="4"/>
  <c r="B152" i="4"/>
  <c r="B155" i="4"/>
  <c r="AY66" i="14" s="1"/>
  <c r="B165" i="4"/>
  <c r="Y13" i="14"/>
  <c r="Y32" i="4"/>
  <c r="Y33" i="4"/>
  <c r="W11" i="29"/>
  <c r="W11" i="23"/>
  <c r="X11" i="14"/>
  <c r="W11" i="24"/>
  <c r="Z47" i="4"/>
  <c r="Z49" i="4" s="1"/>
  <c r="G32" i="4"/>
  <c r="AC29" i="29" l="1"/>
  <c r="AE29" i="29" s="1"/>
  <c r="AF169" i="29" s="1"/>
  <c r="AC29" i="23"/>
  <c r="AE29" i="23" s="1"/>
  <c r="AF121" i="23" s="1"/>
  <c r="G37" i="4"/>
  <c r="Y38" i="4" s="1"/>
  <c r="Y37" i="4" s="1"/>
  <c r="AG29" i="29"/>
  <c r="AI29" i="29" s="1"/>
  <c r="AH326" i="29" s="1"/>
  <c r="AI326" i="29" s="1"/>
  <c r="AD29" i="14"/>
  <c r="AF29" i="14" s="1"/>
  <c r="AE260" i="14" s="1"/>
  <c r="AF260" i="14" s="1"/>
  <c r="AG29" i="23"/>
  <c r="AI29" i="23" s="1"/>
  <c r="AJ70" i="23" s="1"/>
  <c r="AF80" i="23"/>
  <c r="AD136" i="23"/>
  <c r="AE136" i="23" s="1"/>
  <c r="AD108" i="23"/>
  <c r="AE108" i="23" s="1"/>
  <c r="AD164" i="23"/>
  <c r="AE164" i="23" s="1"/>
  <c r="AF398" i="23"/>
  <c r="AF199" i="29"/>
  <c r="AF88" i="23"/>
  <c r="AD331" i="23"/>
  <c r="AE331" i="23" s="1"/>
  <c r="AD209" i="23"/>
  <c r="AE209" i="23" s="1"/>
  <c r="AD42" i="23"/>
  <c r="AE42" i="23" s="1"/>
  <c r="AD92" i="23"/>
  <c r="AE92" i="23" s="1"/>
  <c r="AF320" i="23"/>
  <c r="AD148" i="23"/>
  <c r="AE148" i="23" s="1"/>
  <c r="AF78" i="23"/>
  <c r="AF349" i="23"/>
  <c r="AF350" i="23"/>
  <c r="AD154" i="23"/>
  <c r="AE154" i="23" s="1"/>
  <c r="AF106" i="23"/>
  <c r="AD67" i="23"/>
  <c r="AE67" i="23" s="1"/>
  <c r="AF193" i="23"/>
  <c r="AD244" i="23"/>
  <c r="AE244" i="23" s="1"/>
  <c r="AD334" i="23"/>
  <c r="AE334" i="23" s="1"/>
  <c r="AF149" i="23"/>
  <c r="AD64" i="23"/>
  <c r="AE64" i="23" s="1"/>
  <c r="AD243" i="23"/>
  <c r="AE243" i="23" s="1"/>
  <c r="AF74" i="23"/>
  <c r="AD73" i="23"/>
  <c r="AE73" i="23" s="1"/>
  <c r="AF112" i="23"/>
  <c r="AF242" i="23"/>
  <c r="AD323" i="23"/>
  <c r="AE323" i="23" s="1"/>
  <c r="AD120" i="23"/>
  <c r="AE120" i="23" s="1"/>
  <c r="AF385" i="23"/>
  <c r="AD161" i="23"/>
  <c r="AE161" i="23" s="1"/>
  <c r="AD110" i="23"/>
  <c r="AE110" i="23" s="1"/>
  <c r="AF52" i="23"/>
  <c r="AF75" i="23"/>
  <c r="AF307" i="23"/>
  <c r="AD213" i="23"/>
  <c r="AE213" i="23" s="1"/>
  <c r="AF51" i="23"/>
  <c r="AF321" i="23"/>
  <c r="AF131" i="23"/>
  <c r="AD353" i="23"/>
  <c r="AE353" i="23" s="1"/>
  <c r="AF288" i="23"/>
  <c r="AD206" i="23"/>
  <c r="AE206" i="23" s="1"/>
  <c r="AF267" i="23"/>
  <c r="AD147" i="23"/>
  <c r="AE147" i="23" s="1"/>
  <c r="AF197" i="23"/>
  <c r="AF323" i="23"/>
  <c r="AF342" i="23"/>
  <c r="AF337" i="23"/>
  <c r="AF389" i="23"/>
  <c r="AD188" i="23"/>
  <c r="AE188" i="23" s="1"/>
  <c r="AD351" i="23"/>
  <c r="AE351" i="23" s="1"/>
  <c r="AF152" i="23"/>
  <c r="AF266" i="23"/>
  <c r="AD376" i="23"/>
  <c r="AE376" i="23" s="1"/>
  <c r="AD186" i="23"/>
  <c r="AE186" i="23" s="1"/>
  <c r="AF291" i="23"/>
  <c r="AD169" i="23"/>
  <c r="AE169" i="23" s="1"/>
  <c r="AF113" i="23"/>
  <c r="AD114" i="23"/>
  <c r="AE114" i="23" s="1"/>
  <c r="AF62" i="23"/>
  <c r="AF259" i="23"/>
  <c r="AD231" i="23"/>
  <c r="AE231" i="23" s="1"/>
  <c r="AF344" i="23"/>
  <c r="AD159" i="23"/>
  <c r="AE159" i="23" s="1"/>
  <c r="AD350" i="23"/>
  <c r="AE350" i="23" s="1"/>
  <c r="AD82" i="23"/>
  <c r="AE82" i="23" s="1"/>
  <c r="AD173" i="23"/>
  <c r="AE173" i="23" s="1"/>
  <c r="AD341" i="23"/>
  <c r="AE341" i="23" s="1"/>
  <c r="AF178" i="23"/>
  <c r="AF216" i="23"/>
  <c r="AF316" i="23"/>
  <c r="AF308" i="23"/>
  <c r="AD122" i="23"/>
  <c r="AE122" i="23" s="1"/>
  <c r="AF274" i="23"/>
  <c r="AF165" i="23"/>
  <c r="AF298" i="23"/>
  <c r="AD208" i="23"/>
  <c r="AE208" i="23" s="1"/>
  <c r="AD81" i="23"/>
  <c r="AE81" i="23" s="1"/>
  <c r="AF343" i="23"/>
  <c r="AD357" i="23"/>
  <c r="AE357" i="23" s="1"/>
  <c r="AF171" i="23"/>
  <c r="AF255" i="23"/>
  <c r="AF161" i="23"/>
  <c r="AF227" i="23"/>
  <c r="AD105" i="23"/>
  <c r="AE105" i="23" s="1"/>
  <c r="AD69" i="23"/>
  <c r="AE69" i="23" s="1"/>
  <c r="AF212" i="23"/>
  <c r="AD230" i="23"/>
  <c r="AE230" i="23" s="1"/>
  <c r="AF270" i="23"/>
  <c r="AH29" i="14"/>
  <c r="AJ29" i="14" s="1"/>
  <c r="AI296" i="14" s="1"/>
  <c r="AJ296" i="14" s="1"/>
  <c r="AD293" i="23"/>
  <c r="AE293" i="23" s="1"/>
  <c r="AD257" i="23"/>
  <c r="AE257" i="23" s="1"/>
  <c r="AD111" i="23"/>
  <c r="AE111" i="23" s="1"/>
  <c r="AF147" i="23"/>
  <c r="AF370" i="23"/>
  <c r="AF177" i="23"/>
  <c r="AF247" i="23"/>
  <c r="AD223" i="23"/>
  <c r="AE223" i="23" s="1"/>
  <c r="AF332" i="23"/>
  <c r="AD127" i="23"/>
  <c r="AE127" i="23" s="1"/>
  <c r="AD326" i="23"/>
  <c r="AE326" i="23" s="1"/>
  <c r="AF221" i="23"/>
  <c r="AD157" i="23"/>
  <c r="AE157" i="23" s="1"/>
  <c r="AD360" i="23"/>
  <c r="AE360" i="23" s="1"/>
  <c r="AD333" i="23"/>
  <c r="AE333" i="23" s="1"/>
  <c r="AD193" i="23"/>
  <c r="AE193" i="23" s="1"/>
  <c r="AF56" i="23"/>
  <c r="AF118" i="23"/>
  <c r="Y29" i="23"/>
  <c r="AA29" i="23" s="1"/>
  <c r="Z319" i="23" s="1"/>
  <c r="AA319" i="23" s="1"/>
  <c r="AF117" i="23"/>
  <c r="AF173" i="23"/>
  <c r="AF377" i="23"/>
  <c r="AD104" i="23"/>
  <c r="AE104" i="23" s="1"/>
  <c r="AF61" i="23"/>
  <c r="AF241" i="23"/>
  <c r="AD365" i="23"/>
  <c r="AE365" i="23" s="1"/>
  <c r="AF194" i="23"/>
  <c r="AF124" i="29"/>
  <c r="AD179" i="29"/>
  <c r="AE179" i="29" s="1"/>
  <c r="AF279" i="29"/>
  <c r="AD53" i="29"/>
  <c r="AE53" i="29" s="1"/>
  <c r="AD66" i="29"/>
  <c r="AE66" i="29" s="1"/>
  <c r="AF50" i="29"/>
  <c r="AF83" i="29"/>
  <c r="AF313" i="29"/>
  <c r="AG75" i="14"/>
  <c r="AE140" i="14"/>
  <c r="AF140" i="14" s="1"/>
  <c r="AF75" i="29"/>
  <c r="AG104" i="14"/>
  <c r="AD217" i="29"/>
  <c r="AE217" i="29" s="1"/>
  <c r="AF172" i="29"/>
  <c r="Y29" i="24"/>
  <c r="AA29" i="24" s="1"/>
  <c r="Z222" i="24" s="1"/>
  <c r="AA222" i="24" s="1"/>
  <c r="AC29" i="24"/>
  <c r="AE29" i="24" s="1"/>
  <c r="AD42" i="29"/>
  <c r="AE42" i="29" s="1"/>
  <c r="AD295" i="29"/>
  <c r="AE295" i="29" s="1"/>
  <c r="AJ197" i="29"/>
  <c r="AH200" i="29"/>
  <c r="AI200" i="29" s="1"/>
  <c r="AD310" i="29"/>
  <c r="AE310" i="29" s="1"/>
  <c r="AF45" i="29"/>
  <c r="AD88" i="29"/>
  <c r="AE88" i="29" s="1"/>
  <c r="AF331" i="29"/>
  <c r="AD264" i="29"/>
  <c r="AE264" i="29" s="1"/>
  <c r="AF261" i="29"/>
  <c r="AD245" i="29"/>
  <c r="AE245" i="29" s="1"/>
  <c r="AF206" i="29"/>
  <c r="AF129" i="29"/>
  <c r="AF256" i="29"/>
  <c r="AF352" i="29"/>
  <c r="AD234" i="29"/>
  <c r="AE234" i="29" s="1"/>
  <c r="AD292" i="29"/>
  <c r="AE292" i="29" s="1"/>
  <c r="AD281" i="29"/>
  <c r="AE281" i="29" s="1"/>
  <c r="AD354" i="29"/>
  <c r="AE354" i="29" s="1"/>
  <c r="Y29" i="29"/>
  <c r="AA29" i="29" s="1"/>
  <c r="Y32" i="29" s="1"/>
  <c r="AY45" i="14"/>
  <c r="AY135" i="14"/>
  <c r="AY174" i="14"/>
  <c r="AY179" i="14"/>
  <c r="AY68" i="14"/>
  <c r="AY173" i="14"/>
  <c r="AY84" i="14"/>
  <c r="AY160" i="14"/>
  <c r="AY64" i="14"/>
  <c r="AY141" i="14"/>
  <c r="AY196" i="14"/>
  <c r="AY72" i="14"/>
  <c r="AY110" i="14"/>
  <c r="AY192" i="14"/>
  <c r="AY132" i="14"/>
  <c r="AY111" i="14"/>
  <c r="AY60" i="14"/>
  <c r="AY104" i="14"/>
  <c r="AY129" i="14"/>
  <c r="AY55" i="14"/>
  <c r="AY171" i="14"/>
  <c r="AY112" i="14"/>
  <c r="AY116" i="14"/>
  <c r="AY215" i="14"/>
  <c r="AY136" i="14"/>
  <c r="AY178" i="14"/>
  <c r="AY189" i="14"/>
  <c r="AY106" i="14"/>
  <c r="AY39" i="14"/>
  <c r="AY93" i="14"/>
  <c r="AY158" i="14"/>
  <c r="AY201" i="14"/>
  <c r="AY207" i="14"/>
  <c r="AY74" i="14"/>
  <c r="AY40" i="14"/>
  <c r="AY57" i="14"/>
  <c r="AY165" i="14"/>
  <c r="AY153" i="14"/>
  <c r="AY164" i="14"/>
  <c r="AY155" i="14"/>
  <c r="AY62" i="14"/>
  <c r="AY46" i="14"/>
  <c r="AY217" i="14"/>
  <c r="AY121" i="14"/>
  <c r="AY120" i="14"/>
  <c r="AY113" i="14"/>
  <c r="AY206" i="14"/>
  <c r="AY76" i="14"/>
  <c r="AY65" i="14"/>
  <c r="AY212" i="14"/>
  <c r="AY167" i="14"/>
  <c r="AY127" i="14"/>
  <c r="AY125" i="14"/>
  <c r="AY175" i="14"/>
  <c r="AY144" i="14"/>
  <c r="AY181" i="14"/>
  <c r="AY134" i="14"/>
  <c r="AY71" i="14"/>
  <c r="AY185" i="14"/>
  <c r="AY81" i="14"/>
  <c r="AY184" i="14"/>
  <c r="AY169" i="14"/>
  <c r="AY188" i="14"/>
  <c r="AY73" i="14"/>
  <c r="AY58" i="14"/>
  <c r="AY147" i="14"/>
  <c r="AY200" i="14"/>
  <c r="AY170" i="14"/>
  <c r="AY148" i="14"/>
  <c r="AY80" i="14"/>
  <c r="AY118" i="14"/>
  <c r="AY205" i="14"/>
  <c r="AY47" i="14"/>
  <c r="AY128" i="14"/>
  <c r="AY131" i="14"/>
  <c r="AY187" i="14"/>
  <c r="AY150" i="14"/>
  <c r="AY172" i="14"/>
  <c r="AY56" i="14"/>
  <c r="AY154" i="14"/>
  <c r="AY70" i="14"/>
  <c r="AY94" i="14"/>
  <c r="AY191" i="14"/>
  <c r="AY97" i="14"/>
  <c r="AY95" i="14"/>
  <c r="AY87" i="14"/>
  <c r="AY182" i="14"/>
  <c r="AY105" i="14"/>
  <c r="AY101" i="14"/>
  <c r="AY86" i="14"/>
  <c r="AY140" i="14"/>
  <c r="AY107" i="14"/>
  <c r="AY122" i="14"/>
  <c r="AY194" i="14"/>
  <c r="AY197" i="14"/>
  <c r="AY119" i="14"/>
  <c r="AY43" i="14"/>
  <c r="AY183" i="14"/>
  <c r="AY96" i="14"/>
  <c r="AY83" i="14"/>
  <c r="AY90" i="14"/>
  <c r="AY162" i="14"/>
  <c r="J394" i="29"/>
  <c r="J377" i="29"/>
  <c r="J385" i="29"/>
  <c r="J369" i="29"/>
  <c r="J364" i="29"/>
  <c r="J355" i="29"/>
  <c r="J339" i="29"/>
  <c r="J324" i="29"/>
  <c r="J308" i="29"/>
  <c r="J292" i="29"/>
  <c r="J276" i="29"/>
  <c r="J329" i="29"/>
  <c r="J305" i="29"/>
  <c r="J281" i="29"/>
  <c r="J273" i="29"/>
  <c r="J272" i="29"/>
  <c r="J264" i="29"/>
  <c r="J256" i="29"/>
  <c r="J232" i="29"/>
  <c r="J224" i="29"/>
  <c r="J214" i="29"/>
  <c r="J265" i="29"/>
  <c r="J225" i="29"/>
  <c r="J215" i="29"/>
  <c r="J199" i="29"/>
  <c r="J192" i="29"/>
  <c r="J184" i="29"/>
  <c r="J176" i="29"/>
  <c r="J168" i="29"/>
  <c r="J160" i="29"/>
  <c r="J144" i="29"/>
  <c r="J190" i="29"/>
  <c r="J174" i="29"/>
  <c r="J158" i="29"/>
  <c r="J150" i="29"/>
  <c r="J134" i="29"/>
  <c r="J118" i="29"/>
  <c r="J110" i="29"/>
  <c r="J102" i="29"/>
  <c r="J137" i="29"/>
  <c r="J121" i="29"/>
  <c r="J100" i="29"/>
  <c r="J92" i="29"/>
  <c r="J84" i="29"/>
  <c r="J399" i="29"/>
  <c r="J392" i="29"/>
  <c r="J382" i="29"/>
  <c r="J374" i="29"/>
  <c r="J358" i="29"/>
  <c r="J342" i="29"/>
  <c r="J361" i="29"/>
  <c r="J344" i="29"/>
  <c r="J321" i="29"/>
  <c r="J313" i="29"/>
  <c r="J297" i="29"/>
  <c r="J289" i="29"/>
  <c r="J326" i="29"/>
  <c r="J318" i="29"/>
  <c r="J294" i="29"/>
  <c r="J286" i="29"/>
  <c r="J270" i="29"/>
  <c r="J261" i="29"/>
  <c r="J253" i="29"/>
  <c r="J237" i="29"/>
  <c r="J229" i="29"/>
  <c r="J203" i="29"/>
  <c r="J254" i="29"/>
  <c r="J238" i="29"/>
  <c r="J230" i="29"/>
  <c r="J222" i="29"/>
  <c r="J212" i="29"/>
  <c r="J204" i="29"/>
  <c r="J165" i="29"/>
  <c r="J187" i="29"/>
  <c r="J171" i="29"/>
  <c r="J163" i="29"/>
  <c r="J155" i="29"/>
  <c r="J147" i="29"/>
  <c r="J139" i="29"/>
  <c r="J142" i="29"/>
  <c r="J126" i="29"/>
  <c r="J94" i="29"/>
  <c r="J97" i="29"/>
  <c r="J391" i="29"/>
  <c r="J381" i="29"/>
  <c r="J373" i="29"/>
  <c r="J368" i="29"/>
  <c r="J360" i="29"/>
  <c r="J351" i="29"/>
  <c r="J343" i="29"/>
  <c r="J320" i="29"/>
  <c r="J288" i="29"/>
  <c r="J280" i="29"/>
  <c r="J333" i="29"/>
  <c r="J325" i="29"/>
  <c r="J285" i="29"/>
  <c r="J277" i="29"/>
  <c r="J269" i="29"/>
  <c r="J260" i="29"/>
  <c r="J252" i="29"/>
  <c r="J244" i="29"/>
  <c r="J228" i="29"/>
  <c r="J218" i="29"/>
  <c r="J210" i="29"/>
  <c r="J202" i="29"/>
  <c r="J245" i="29"/>
  <c r="J221" i="29"/>
  <c r="J211" i="29"/>
  <c r="J196" i="29"/>
  <c r="J188" i="29"/>
  <c r="J164" i="29"/>
  <c r="J156" i="29"/>
  <c r="J148" i="29"/>
  <c r="J194" i="29"/>
  <c r="J178" i="29"/>
  <c r="J170" i="29"/>
  <c r="J138" i="29"/>
  <c r="J130" i="29"/>
  <c r="J114" i="29"/>
  <c r="J106" i="29"/>
  <c r="J141" i="29"/>
  <c r="J133" i="29"/>
  <c r="J117" i="29"/>
  <c r="J109" i="29"/>
  <c r="J101" i="29"/>
  <c r="J93" i="29"/>
  <c r="J96" i="29"/>
  <c r="J88" i="29"/>
  <c r="J72" i="29"/>
  <c r="J395" i="29"/>
  <c r="J387" i="29"/>
  <c r="J396" i="29"/>
  <c r="J388" i="29"/>
  <c r="J378" i="29"/>
  <c r="J370" i="29"/>
  <c r="J346" i="29"/>
  <c r="J365" i="29"/>
  <c r="J356" i="29"/>
  <c r="J348" i="29"/>
  <c r="J317" i="29"/>
  <c r="J309" i="29"/>
  <c r="J301" i="29"/>
  <c r="J293" i="29"/>
  <c r="J330" i="29"/>
  <c r="J298" i="29"/>
  <c r="J282" i="29"/>
  <c r="J257" i="29"/>
  <c r="J249" i="29"/>
  <c r="J241" i="29"/>
  <c r="J233" i="29"/>
  <c r="J207" i="29"/>
  <c r="J258" i="29"/>
  <c r="J250" i="29"/>
  <c r="J234" i="29"/>
  <c r="J208" i="29"/>
  <c r="J193" i="29"/>
  <c r="J161" i="29"/>
  <c r="J153" i="29"/>
  <c r="J183" i="29"/>
  <c r="J175" i="29"/>
  <c r="J159" i="29"/>
  <c r="J151" i="29"/>
  <c r="J143" i="29"/>
  <c r="J127" i="29"/>
  <c r="J119" i="29"/>
  <c r="J111" i="29"/>
  <c r="J103" i="29"/>
  <c r="J122" i="29"/>
  <c r="J98" i="29"/>
  <c r="J90" i="29"/>
  <c r="J69" i="29"/>
  <c r="J390" i="29"/>
  <c r="J372" i="29"/>
  <c r="J340" i="29"/>
  <c r="J327" i="29"/>
  <c r="J295" i="29"/>
  <c r="J279" i="29"/>
  <c r="J251" i="29"/>
  <c r="J235" i="29"/>
  <c r="J217" i="29"/>
  <c r="J201" i="29"/>
  <c r="J236" i="29"/>
  <c r="J177" i="29"/>
  <c r="J145" i="29"/>
  <c r="J129" i="29"/>
  <c r="J113" i="29"/>
  <c r="J140" i="29"/>
  <c r="J124" i="29"/>
  <c r="J87" i="29"/>
  <c r="J62" i="29"/>
  <c r="J46" i="29"/>
  <c r="J89" i="29"/>
  <c r="J81" i="29"/>
  <c r="J73" i="29"/>
  <c r="J49" i="29"/>
  <c r="J41" i="29"/>
  <c r="J390" i="24"/>
  <c r="J382" i="24"/>
  <c r="J374" i="24"/>
  <c r="J366" i="24"/>
  <c r="J350" i="24"/>
  <c r="J342" i="24"/>
  <c r="J385" i="24"/>
  <c r="J377" i="24"/>
  <c r="J369" i="24"/>
  <c r="J297" i="24"/>
  <c r="J289" i="24"/>
  <c r="J273" i="24"/>
  <c r="J265" i="24"/>
  <c r="J257" i="24"/>
  <c r="J336" i="24"/>
  <c r="J320" i="24"/>
  <c r="J312" i="24"/>
  <c r="J296" i="24"/>
  <c r="J389" i="29"/>
  <c r="J371" i="29"/>
  <c r="J357" i="29"/>
  <c r="J341" i="29"/>
  <c r="J310" i="29"/>
  <c r="J278" i="29"/>
  <c r="J323" i="29"/>
  <c r="J291" i="29"/>
  <c r="J266" i="29"/>
  <c r="J216" i="29"/>
  <c r="J200" i="29"/>
  <c r="J186" i="29"/>
  <c r="J154" i="29"/>
  <c r="J128" i="29"/>
  <c r="J112" i="29"/>
  <c r="J123" i="29"/>
  <c r="J107" i="29"/>
  <c r="J91" i="29"/>
  <c r="J70" i="29"/>
  <c r="J80" i="29"/>
  <c r="J64" i="29"/>
  <c r="J56" i="29"/>
  <c r="J48" i="29"/>
  <c r="J40" i="29"/>
  <c r="J397" i="24"/>
  <c r="J389" i="24"/>
  <c r="J381" i="24"/>
  <c r="J357" i="24"/>
  <c r="J349" i="24"/>
  <c r="J392" i="24"/>
  <c r="J384" i="24"/>
  <c r="J376" i="24"/>
  <c r="J368" i="24"/>
  <c r="J328" i="24"/>
  <c r="J304" i="24"/>
  <c r="J288" i="24"/>
  <c r="J272" i="24"/>
  <c r="J311" i="24"/>
  <c r="J386" i="29"/>
  <c r="J352" i="29"/>
  <c r="J336" i="29"/>
  <c r="J354" i="29"/>
  <c r="J338" i="29"/>
  <c r="J307" i="29"/>
  <c r="J275" i="29"/>
  <c r="J304" i="29"/>
  <c r="J263" i="29"/>
  <c r="J247" i="29"/>
  <c r="J231" i="29"/>
  <c r="J248" i="29"/>
  <c r="J167" i="29"/>
  <c r="J189" i="29"/>
  <c r="J173" i="29"/>
  <c r="J157" i="29"/>
  <c r="J125" i="29"/>
  <c r="J136" i="29"/>
  <c r="J120" i="29"/>
  <c r="J60" i="29"/>
  <c r="J52" i="29"/>
  <c r="J79" i="29"/>
  <c r="J71" i="29"/>
  <c r="J63" i="29"/>
  <c r="J47" i="29"/>
  <c r="J380" i="24"/>
  <c r="J391" i="24"/>
  <c r="J383" i="24"/>
  <c r="J367" i="24"/>
  <c r="J351" i="24"/>
  <c r="J335" i="24"/>
  <c r="J327" i="24"/>
  <c r="J319" i="24"/>
  <c r="J303" i="24"/>
  <c r="J295" i="24"/>
  <c r="J287" i="24"/>
  <c r="J271" i="24"/>
  <c r="J263" i="24"/>
  <c r="J318" i="24"/>
  <c r="J302" i="24"/>
  <c r="J294" i="24"/>
  <c r="J286" i="24"/>
  <c r="J400" i="29"/>
  <c r="J384" i="29"/>
  <c r="J383" i="29"/>
  <c r="J367" i="29"/>
  <c r="J335" i="29"/>
  <c r="J353" i="29"/>
  <c r="J337" i="29"/>
  <c r="J322" i="29"/>
  <c r="J306" i="29"/>
  <c r="J290" i="29"/>
  <c r="J274" i="29"/>
  <c r="J271" i="29"/>
  <c r="J262" i="29"/>
  <c r="J246" i="29"/>
  <c r="J213" i="29"/>
  <c r="J198" i="29"/>
  <c r="J182" i="29"/>
  <c r="J166" i="29"/>
  <c r="J172" i="29"/>
  <c r="J108" i="29"/>
  <c r="J135" i="29"/>
  <c r="J67" i="29"/>
  <c r="J59" i="29"/>
  <c r="J86" i="29"/>
  <c r="J78" i="29"/>
  <c r="J54" i="29"/>
  <c r="J379" i="24"/>
  <c r="J355" i="24"/>
  <c r="J398" i="24"/>
  <c r="J358" i="24"/>
  <c r="J334" i="24"/>
  <c r="J326" i="24"/>
  <c r="J310" i="24"/>
  <c r="J278" i="24"/>
  <c r="J270" i="24"/>
  <c r="J262" i="24"/>
  <c r="J341" i="24"/>
  <c r="J333" i="24"/>
  <c r="J325" i="24"/>
  <c r="J301" i="24"/>
  <c r="J393" i="29"/>
  <c r="J376" i="29"/>
  <c r="J363" i="29"/>
  <c r="J331" i="29"/>
  <c r="J328" i="29"/>
  <c r="J296" i="29"/>
  <c r="J239" i="29"/>
  <c r="J205" i="29"/>
  <c r="J240" i="29"/>
  <c r="J206" i="29"/>
  <c r="J197" i="29"/>
  <c r="J83" i="29"/>
  <c r="J51" i="29"/>
  <c r="J353" i="24"/>
  <c r="J396" i="24"/>
  <c r="J364" i="24"/>
  <c r="J348" i="24"/>
  <c r="J300" i="24"/>
  <c r="J284" i="24"/>
  <c r="J339" i="24"/>
  <c r="J291" i="24"/>
  <c r="J280" i="24"/>
  <c r="J264" i="24"/>
  <c r="J256" i="24"/>
  <c r="J248" i="24"/>
  <c r="J250" i="24"/>
  <c r="J234" i="24"/>
  <c r="J200" i="24"/>
  <c r="J192" i="24"/>
  <c r="J184" i="24"/>
  <c r="J176" i="24"/>
  <c r="J144" i="24"/>
  <c r="J238" i="24"/>
  <c r="J222" i="24"/>
  <c r="J212" i="24"/>
  <c r="J204" i="24"/>
  <c r="J196" i="24"/>
  <c r="J180" i="24"/>
  <c r="J172" i="24"/>
  <c r="J164" i="24"/>
  <c r="J156" i="24"/>
  <c r="J140" i="24"/>
  <c r="J116" i="24"/>
  <c r="J108" i="24"/>
  <c r="J92" i="24"/>
  <c r="J76" i="24"/>
  <c r="J68" i="24"/>
  <c r="J60" i="24"/>
  <c r="J52" i="24"/>
  <c r="J359" i="29"/>
  <c r="J362" i="29"/>
  <c r="J132" i="29"/>
  <c r="J82" i="29"/>
  <c r="J50" i="29"/>
  <c r="J400" i="24"/>
  <c r="J352" i="24"/>
  <c r="J395" i="24"/>
  <c r="J363" i="24"/>
  <c r="J347" i="24"/>
  <c r="J315" i="24"/>
  <c r="J299" i="24"/>
  <c r="J267" i="24"/>
  <c r="J322" i="24"/>
  <c r="J306" i="24"/>
  <c r="J290" i="24"/>
  <c r="J279" i="24"/>
  <c r="J255" i="24"/>
  <c r="J241" i="24"/>
  <c r="J233" i="24"/>
  <c r="J183" i="24"/>
  <c r="J167" i="24"/>
  <c r="J159" i="24"/>
  <c r="J143" i="24"/>
  <c r="J229" i="24"/>
  <c r="J221" i="24"/>
  <c r="J211" i="24"/>
  <c r="J187" i="24"/>
  <c r="J179" i="24"/>
  <c r="J171" i="24"/>
  <c r="J139" i="24"/>
  <c r="J115" i="24"/>
  <c r="J99" i="24"/>
  <c r="J91" i="24"/>
  <c r="J67" i="24"/>
  <c r="J398" i="29"/>
  <c r="J350" i="29"/>
  <c r="J319" i="29"/>
  <c r="J287" i="29"/>
  <c r="J316" i="29"/>
  <c r="J284" i="29"/>
  <c r="J259" i="29"/>
  <c r="J227" i="29"/>
  <c r="J195" i="29"/>
  <c r="J185" i="29"/>
  <c r="J42" i="29"/>
  <c r="J77" i="29"/>
  <c r="J61" i="29"/>
  <c r="J45" i="29"/>
  <c r="J399" i="24"/>
  <c r="J394" i="24"/>
  <c r="J378" i="24"/>
  <c r="J346" i="24"/>
  <c r="J314" i="24"/>
  <c r="J282" i="24"/>
  <c r="J266" i="24"/>
  <c r="J337" i="24"/>
  <c r="J321" i="24"/>
  <c r="J305" i="24"/>
  <c r="J254" i="24"/>
  <c r="J246" i="24"/>
  <c r="J240" i="24"/>
  <c r="J232" i="24"/>
  <c r="J198" i="24"/>
  <c r="J182" i="24"/>
  <c r="J166" i="24"/>
  <c r="J158" i="24"/>
  <c r="J244" i="24"/>
  <c r="J236" i="24"/>
  <c r="J228" i="24"/>
  <c r="J178" i="24"/>
  <c r="J170" i="24"/>
  <c r="J162" i="24"/>
  <c r="J146" i="24"/>
  <c r="J122" i="24"/>
  <c r="J114" i="24"/>
  <c r="J98" i="24"/>
  <c r="J90" i="24"/>
  <c r="J82" i="24"/>
  <c r="J397" i="29"/>
  <c r="J347" i="29"/>
  <c r="J349" i="29"/>
  <c r="J315" i="29"/>
  <c r="J226" i="29"/>
  <c r="J162" i="29"/>
  <c r="J152" i="29"/>
  <c r="J131" i="29"/>
  <c r="J99" i="29"/>
  <c r="J57" i="29"/>
  <c r="J76" i="29"/>
  <c r="J44" i="29"/>
  <c r="J362" i="24"/>
  <c r="J373" i="24"/>
  <c r="J309" i="24"/>
  <c r="J293" i="24"/>
  <c r="J332" i="24"/>
  <c r="J316" i="24"/>
  <c r="J285" i="24"/>
  <c r="J277" i="24"/>
  <c r="J269" i="24"/>
  <c r="J261" i="24"/>
  <c r="J253" i="24"/>
  <c r="J245" i="24"/>
  <c r="J247" i="24"/>
  <c r="J231" i="24"/>
  <c r="J213" i="24"/>
  <c r="J197" i="24"/>
  <c r="J181" i="24"/>
  <c r="J173" i="24"/>
  <c r="J165" i="24"/>
  <c r="J217" i="24"/>
  <c r="J209" i="24"/>
  <c r="J177" i="24"/>
  <c r="J169" i="24"/>
  <c r="J161" i="24"/>
  <c r="J129" i="24"/>
  <c r="J121" i="24"/>
  <c r="J113" i="24"/>
  <c r="J89" i="24"/>
  <c r="J375" i="29"/>
  <c r="J345" i="29"/>
  <c r="J39" i="29"/>
  <c r="J58" i="29"/>
  <c r="J393" i="24"/>
  <c r="J361" i="24"/>
  <c r="J388" i="24"/>
  <c r="J356" i="24"/>
  <c r="J324" i="24"/>
  <c r="J268" i="24"/>
  <c r="J230" i="24"/>
  <c r="J148" i="24"/>
  <c r="J216" i="24"/>
  <c r="J168" i="24"/>
  <c r="J152" i="24"/>
  <c r="J136" i="24"/>
  <c r="J120" i="24"/>
  <c r="J104" i="24"/>
  <c r="J42" i="24"/>
  <c r="J138" i="24"/>
  <c r="J130" i="24"/>
  <c r="J106" i="24"/>
  <c r="J74" i="24"/>
  <c r="J50" i="24"/>
  <c r="J388" i="14"/>
  <c r="J380" i="14"/>
  <c r="J372" i="14"/>
  <c r="J356" i="14"/>
  <c r="J324" i="14"/>
  <c r="J316" i="14"/>
  <c r="J299" i="14"/>
  <c r="J283" i="14"/>
  <c r="J259" i="14"/>
  <c r="J251" i="14"/>
  <c r="J386" i="14"/>
  <c r="J354" i="14"/>
  <c r="J332" i="29"/>
  <c r="J268" i="29"/>
  <c r="J209" i="29"/>
  <c r="J116" i="29"/>
  <c r="J66" i="29"/>
  <c r="J85" i="29"/>
  <c r="J53" i="29"/>
  <c r="J360" i="24"/>
  <c r="J387" i="24"/>
  <c r="J323" i="24"/>
  <c r="J283" i="24"/>
  <c r="J195" i="24"/>
  <c r="J163" i="24"/>
  <c r="J147" i="24"/>
  <c r="J215" i="24"/>
  <c r="J199" i="24"/>
  <c r="J151" i="24"/>
  <c r="J135" i="24"/>
  <c r="J61" i="24"/>
  <c r="J137" i="24"/>
  <c r="J105" i="24"/>
  <c r="J97" i="24"/>
  <c r="J81" i="24"/>
  <c r="J73" i="24"/>
  <c r="J65" i="24"/>
  <c r="J57" i="24"/>
  <c r="J49" i="24"/>
  <c r="J41" i="24"/>
  <c r="J395" i="14"/>
  <c r="J379" i="14"/>
  <c r="J355" i="14"/>
  <c r="J347" i="14"/>
  <c r="J339" i="14"/>
  <c r="J323" i="14"/>
  <c r="J306" i="14"/>
  <c r="J298" i="14"/>
  <c r="J290" i="14"/>
  <c r="J274" i="14"/>
  <c r="J266" i="14"/>
  <c r="J250" i="14"/>
  <c r="J242" i="14"/>
  <c r="J393" i="14"/>
  <c r="J369" i="14"/>
  <c r="J334" i="29"/>
  <c r="J267" i="29"/>
  <c r="J146" i="29"/>
  <c r="J115" i="29"/>
  <c r="J65" i="29"/>
  <c r="J359" i="24"/>
  <c r="J386" i="24"/>
  <c r="J354" i="24"/>
  <c r="J313" i="24"/>
  <c r="J210" i="24"/>
  <c r="J194" i="24"/>
  <c r="J214" i="24"/>
  <c r="J150" i="24"/>
  <c r="J134" i="24"/>
  <c r="J118" i="24"/>
  <c r="J102" i="24"/>
  <c r="J86" i="24"/>
  <c r="J71" i="24"/>
  <c r="J58" i="24"/>
  <c r="J48" i="24"/>
  <c r="J128" i="24"/>
  <c r="J88" i="24"/>
  <c r="J80" i="24"/>
  <c r="J72" i="24"/>
  <c r="J40" i="24"/>
  <c r="J39" i="14"/>
  <c r="J394" i="14"/>
  <c r="J378" i="14"/>
  <c r="J370" i="14"/>
  <c r="J362" i="14"/>
  <c r="J346" i="14"/>
  <c r="J322" i="14"/>
  <c r="J314" i="14"/>
  <c r="J305" i="14"/>
  <c r="J289" i="14"/>
  <c r="J281" i="14"/>
  <c r="J273" i="14"/>
  <c r="J257" i="14"/>
  <c r="J249" i="14"/>
  <c r="J241" i="14"/>
  <c r="J392" i="14"/>
  <c r="J376" i="14"/>
  <c r="J360" i="14"/>
  <c r="J312" i="29"/>
  <c r="J255" i="29"/>
  <c r="J191" i="29"/>
  <c r="J181" i="29"/>
  <c r="J75" i="29"/>
  <c r="J43" i="29"/>
  <c r="J317" i="24"/>
  <c r="J340" i="24"/>
  <c r="J308" i="24"/>
  <c r="J281" i="24"/>
  <c r="J249" i="24"/>
  <c r="J243" i="24"/>
  <c r="J227" i="24"/>
  <c r="J193" i="24"/>
  <c r="J145" i="24"/>
  <c r="J149" i="24"/>
  <c r="J117" i="24"/>
  <c r="J85" i="24"/>
  <c r="J70" i="24"/>
  <c r="J56" i="24"/>
  <c r="J127" i="24"/>
  <c r="J119" i="24"/>
  <c r="J111" i="24"/>
  <c r="J103" i="24"/>
  <c r="J87" i="24"/>
  <c r="J79" i="24"/>
  <c r="J63" i="24"/>
  <c r="J47" i="24"/>
  <c r="J39" i="24"/>
  <c r="J385" i="14"/>
  <c r="J377" i="14"/>
  <c r="J361" i="14"/>
  <c r="J353" i="14"/>
  <c r="J345" i="14"/>
  <c r="J337" i="14"/>
  <c r="J329" i="14"/>
  <c r="J321" i="14"/>
  <c r="J313" i="14"/>
  <c r="J288" i="14"/>
  <c r="J272" i="14"/>
  <c r="J256" i="14"/>
  <c r="J399" i="14"/>
  <c r="J375" i="14"/>
  <c r="J149" i="29"/>
  <c r="J365" i="24"/>
  <c r="J251" i="24"/>
  <c r="J185" i="24"/>
  <c r="J153" i="24"/>
  <c r="J223" i="24"/>
  <c r="J189" i="24"/>
  <c r="J157" i="24"/>
  <c r="J93" i="24"/>
  <c r="J131" i="24"/>
  <c r="J83" i="24"/>
  <c r="J51" i="24"/>
  <c r="J391" i="14"/>
  <c r="J359" i="14"/>
  <c r="J343" i="14"/>
  <c r="J327" i="14"/>
  <c r="J294" i="14"/>
  <c r="J397" i="14"/>
  <c r="J381" i="14"/>
  <c r="J351" i="14"/>
  <c r="J335" i="14"/>
  <c r="J311" i="14"/>
  <c r="J303" i="14"/>
  <c r="J263" i="14"/>
  <c r="J255" i="14"/>
  <c r="J247" i="14"/>
  <c r="J239" i="14"/>
  <c r="J231" i="14"/>
  <c r="J205" i="14"/>
  <c r="J189" i="14"/>
  <c r="J181" i="14"/>
  <c r="J157" i="14"/>
  <c r="J141" i="14"/>
  <c r="J133" i="14"/>
  <c r="J125" i="14"/>
  <c r="J117" i="14"/>
  <c r="J93" i="14"/>
  <c r="J61" i="14"/>
  <c r="J223" i="14"/>
  <c r="J213" i="14"/>
  <c r="J197" i="14"/>
  <c r="J314" i="29"/>
  <c r="J55" i="29"/>
  <c r="J345" i="24"/>
  <c r="J276" i="24"/>
  <c r="J260" i="24"/>
  <c r="J242" i="24"/>
  <c r="J208" i="24"/>
  <c r="J112" i="24"/>
  <c r="J55" i="24"/>
  <c r="J142" i="24"/>
  <c r="J126" i="24"/>
  <c r="J62" i="24"/>
  <c r="J46" i="24"/>
  <c r="J380" i="29"/>
  <c r="J303" i="29"/>
  <c r="J243" i="29"/>
  <c r="J179" i="29"/>
  <c r="J105" i="29"/>
  <c r="J344" i="24"/>
  <c r="J298" i="24"/>
  <c r="J259" i="24"/>
  <c r="J237" i="24"/>
  <c r="J203" i="24"/>
  <c r="J207" i="24"/>
  <c r="J175" i="24"/>
  <c r="J54" i="24"/>
  <c r="J141" i="24"/>
  <c r="J125" i="24"/>
  <c r="J373" i="14"/>
  <c r="J325" i="14"/>
  <c r="J308" i="14"/>
  <c r="J292" i="14"/>
  <c r="J244" i="14"/>
  <c r="J363" i="14"/>
  <c r="J341" i="14"/>
  <c r="J309" i="14"/>
  <c r="J301" i="14"/>
  <c r="J293" i="14"/>
  <c r="J277" i="14"/>
  <c r="J261" i="14"/>
  <c r="J237" i="14"/>
  <c r="J229" i="14"/>
  <c r="J195" i="14"/>
  <c r="J187" i="14"/>
  <c r="J179" i="14"/>
  <c r="J171" i="14"/>
  <c r="J155" i="14"/>
  <c r="J147" i="14"/>
  <c r="J139" i="14"/>
  <c r="J131" i="14"/>
  <c r="J91" i="14"/>
  <c r="J75" i="14"/>
  <c r="J67" i="14"/>
  <c r="J43" i="14"/>
  <c r="J221" i="14"/>
  <c r="J211" i="14"/>
  <c r="J203" i="14"/>
  <c r="J311" i="29"/>
  <c r="J180" i="29"/>
  <c r="J74" i="29"/>
  <c r="J372" i="24"/>
  <c r="J331" i="24"/>
  <c r="J188" i="24"/>
  <c r="J226" i="24"/>
  <c r="J160" i="24"/>
  <c r="J96" i="24"/>
  <c r="J69" i="24"/>
  <c r="J398" i="14"/>
  <c r="J382" i="14"/>
  <c r="J334" i="14"/>
  <c r="J318" i="14"/>
  <c r="J285" i="14"/>
  <c r="J269" i="14"/>
  <c r="J253" i="14"/>
  <c r="J338" i="14"/>
  <c r="J330" i="14"/>
  <c r="J282" i="14"/>
  <c r="J258" i="14"/>
  <c r="J234" i="14"/>
  <c r="J226" i="14"/>
  <c r="J176" i="14"/>
  <c r="J168" i="14"/>
  <c r="J160" i="14"/>
  <c r="J152" i="14"/>
  <c r="J144" i="14"/>
  <c r="J120" i="14"/>
  <c r="J104" i="14"/>
  <c r="J96" i="14"/>
  <c r="J72" i="14"/>
  <c r="J64" i="14"/>
  <c r="J48" i="14"/>
  <c r="J40" i="14"/>
  <c r="J216" i="14"/>
  <c r="J208" i="14"/>
  <c r="J200" i="14"/>
  <c r="J299" i="29"/>
  <c r="J68" i="29"/>
  <c r="J371" i="24"/>
  <c r="J330" i="24"/>
  <c r="J225" i="24"/>
  <c r="J95" i="24"/>
  <c r="J45" i="24"/>
  <c r="J53" i="24"/>
  <c r="J383" i="14"/>
  <c r="J358" i="14"/>
  <c r="J333" i="14"/>
  <c r="J279" i="14"/>
  <c r="J396" i="14"/>
  <c r="J371" i="14"/>
  <c r="J348" i="14"/>
  <c r="J336" i="14"/>
  <c r="J310" i="14"/>
  <c r="J297" i="14"/>
  <c r="J284" i="14"/>
  <c r="J246" i="14"/>
  <c r="J233" i="14"/>
  <c r="J218" i="14"/>
  <c r="J193" i="14"/>
  <c r="J154" i="14"/>
  <c r="J116" i="14"/>
  <c r="J103" i="14"/>
  <c r="J65" i="14"/>
  <c r="J52" i="14"/>
  <c r="J206" i="14"/>
  <c r="J185" i="14"/>
  <c r="J169" i="14"/>
  <c r="J153" i="14"/>
  <c r="J129" i="14"/>
  <c r="J113" i="14"/>
  <c r="J89" i="14"/>
  <c r="J81" i="14"/>
  <c r="J73" i="14"/>
  <c r="J57" i="14"/>
  <c r="J49" i="14"/>
  <c r="AX70" i="14"/>
  <c r="AX102" i="14"/>
  <c r="AX134" i="14"/>
  <c r="AX166" i="14"/>
  <c r="AX198" i="14"/>
  <c r="AX75" i="14"/>
  <c r="AX107" i="14"/>
  <c r="AX139" i="14"/>
  <c r="AX171" i="14"/>
  <c r="AX203" i="14"/>
  <c r="J379" i="29"/>
  <c r="J242" i="29"/>
  <c r="J104" i="29"/>
  <c r="J370" i="24"/>
  <c r="J329" i="24"/>
  <c r="J252" i="24"/>
  <c r="J186" i="24"/>
  <c r="J224" i="24"/>
  <c r="J94" i="24"/>
  <c r="J84" i="24"/>
  <c r="J328" i="14"/>
  <c r="J252" i="14"/>
  <c r="J366" i="14"/>
  <c r="J296" i="14"/>
  <c r="J232" i="14"/>
  <c r="J217" i="14"/>
  <c r="J178" i="14"/>
  <c r="J140" i="14"/>
  <c r="J127" i="14"/>
  <c r="J63" i="14"/>
  <c r="J50" i="14"/>
  <c r="J204" i="14"/>
  <c r="J192" i="14"/>
  <c r="J184" i="14"/>
  <c r="J136" i="14"/>
  <c r="J128" i="14"/>
  <c r="J112" i="14"/>
  <c r="J88" i="14"/>
  <c r="J80" i="14"/>
  <c r="J56" i="14"/>
  <c r="AX74" i="14"/>
  <c r="AX106" i="14"/>
  <c r="AX138" i="14"/>
  <c r="AX170" i="14"/>
  <c r="AX202" i="14"/>
  <c r="AX79" i="14"/>
  <c r="AX111" i="14"/>
  <c r="AX143" i="14"/>
  <c r="AX175" i="14"/>
  <c r="AX207" i="14"/>
  <c r="J223" i="29"/>
  <c r="J338" i="24"/>
  <c r="J206" i="24"/>
  <c r="J78" i="24"/>
  <c r="J44" i="24"/>
  <c r="J400" i="14"/>
  <c r="J300" i="14"/>
  <c r="J271" i="14"/>
  <c r="J389" i="14"/>
  <c r="J364" i="14"/>
  <c r="J332" i="14"/>
  <c r="J320" i="14"/>
  <c r="J307" i="14"/>
  <c r="J243" i="14"/>
  <c r="J230" i="14"/>
  <c r="J215" i="14"/>
  <c r="J190" i="14"/>
  <c r="J177" i="14"/>
  <c r="J164" i="14"/>
  <c r="J138" i="14"/>
  <c r="J100" i="14"/>
  <c r="J74" i="14"/>
  <c r="J62" i="14"/>
  <c r="J202" i="14"/>
  <c r="J191" i="14"/>
  <c r="J183" i="14"/>
  <c r="J167" i="14"/>
  <c r="J151" i="14"/>
  <c r="J119" i="14"/>
  <c r="J111" i="14"/>
  <c r="J95" i="14"/>
  <c r="J87" i="14"/>
  <c r="J71" i="14"/>
  <c r="J55" i="14"/>
  <c r="J47" i="14"/>
  <c r="AX78" i="14"/>
  <c r="AX110" i="14"/>
  <c r="AX142" i="14"/>
  <c r="AX174" i="14"/>
  <c r="AX206" i="14"/>
  <c r="AX83" i="14"/>
  <c r="AX115" i="14"/>
  <c r="AX147" i="14"/>
  <c r="AX179" i="14"/>
  <c r="AX211" i="14"/>
  <c r="J283" i="29"/>
  <c r="J343" i="24"/>
  <c r="J274" i="24"/>
  <c r="J258" i="24"/>
  <c r="J202" i="24"/>
  <c r="J174" i="24"/>
  <c r="J110" i="24"/>
  <c r="J124" i="24"/>
  <c r="J390" i="14"/>
  <c r="J365" i="14"/>
  <c r="J312" i="14"/>
  <c r="J286" i="14"/>
  <c r="J236" i="14"/>
  <c r="J352" i="14"/>
  <c r="J326" i="14"/>
  <c r="J275" i="14"/>
  <c r="J262" i="14"/>
  <c r="J224" i="14"/>
  <c r="J209" i="14"/>
  <c r="J196" i="14"/>
  <c r="J158" i="14"/>
  <c r="J145" i="14"/>
  <c r="J106" i="14"/>
  <c r="J42" i="14"/>
  <c r="J163" i="14"/>
  <c r="J123" i="14"/>
  <c r="J115" i="14"/>
  <c r="J107" i="14"/>
  <c r="J99" i="14"/>
  <c r="J83" i="14"/>
  <c r="J59" i="14"/>
  <c r="J51" i="14"/>
  <c r="AX94" i="14"/>
  <c r="AX126" i="14"/>
  <c r="AX158" i="14"/>
  <c r="AX190" i="14"/>
  <c r="AX43" i="14"/>
  <c r="AX67" i="14"/>
  <c r="AX99" i="14"/>
  <c r="AX131" i="14"/>
  <c r="AX163" i="14"/>
  <c r="AX195" i="14"/>
  <c r="J169" i="29"/>
  <c r="J275" i="24"/>
  <c r="J155" i="24"/>
  <c r="J133" i="24"/>
  <c r="J367" i="14"/>
  <c r="J317" i="14"/>
  <c r="J340" i="14"/>
  <c r="J315" i="14"/>
  <c r="J264" i="14"/>
  <c r="J238" i="14"/>
  <c r="J159" i="14"/>
  <c r="J134" i="14"/>
  <c r="J82" i="14"/>
  <c r="J225" i="14"/>
  <c r="J198" i="14"/>
  <c r="J180" i="14"/>
  <c r="J148" i="14"/>
  <c r="J132" i="14"/>
  <c r="J68" i="14"/>
  <c r="AX114" i="14"/>
  <c r="AX178" i="14"/>
  <c r="AX119" i="14"/>
  <c r="AX183" i="14"/>
  <c r="AX85" i="14"/>
  <c r="AX117" i="14"/>
  <c r="AX149" i="14"/>
  <c r="AX181" i="14"/>
  <c r="AX213" i="14"/>
  <c r="AX55" i="14"/>
  <c r="AX80" i="14"/>
  <c r="AX54" i="14"/>
  <c r="AX60" i="14"/>
  <c r="AX140" i="14"/>
  <c r="J395" i="23"/>
  <c r="J375" i="23"/>
  <c r="J363" i="23"/>
  <c r="J359" i="23"/>
  <c r="J335" i="23"/>
  <c r="J323" i="23"/>
  <c r="J319" i="23"/>
  <c r="J311" i="23"/>
  <c r="J178" i="23"/>
  <c r="J174" i="23"/>
  <c r="J154" i="23"/>
  <c r="J107" i="23"/>
  <c r="J93" i="23"/>
  <c r="J293" i="23"/>
  <c r="J289" i="23"/>
  <c r="J285" i="23"/>
  <c r="J281" i="23"/>
  <c r="J277" i="23"/>
  <c r="J269" i="23"/>
  <c r="J253" i="23"/>
  <c r="J249" i="23"/>
  <c r="J245" i="23"/>
  <c r="J241" i="23"/>
  <c r="J237" i="23"/>
  <c r="J233" i="23"/>
  <c r="J229" i="23"/>
  <c r="J225" i="23"/>
  <c r="J215" i="23"/>
  <c r="J211" i="23"/>
  <c r="J207" i="23"/>
  <c r="J195" i="23"/>
  <c r="J183" i="23"/>
  <c r="J90" i="23"/>
  <c r="J86" i="23"/>
  <c r="J82" i="23"/>
  <c r="J78" i="23"/>
  <c r="J70" i="23"/>
  <c r="J66" i="23"/>
  <c r="J58" i="23"/>
  <c r="J54" i="23"/>
  <c r="J50" i="23"/>
  <c r="J85" i="23"/>
  <c r="J57" i="23"/>
  <c r="J53" i="23"/>
  <c r="J45" i="23"/>
  <c r="J41" i="23"/>
  <c r="J95" i="29"/>
  <c r="J375" i="24"/>
  <c r="J154" i="24"/>
  <c r="J132" i="24"/>
  <c r="J260" i="14"/>
  <c r="J235" i="14"/>
  <c r="J182" i="14"/>
  <c r="J156" i="14"/>
  <c r="J105" i="14"/>
  <c r="J79" i="14"/>
  <c r="J146" i="14"/>
  <c r="J130" i="14"/>
  <c r="J114" i="14"/>
  <c r="J98" i="14"/>
  <c r="J66" i="14"/>
  <c r="AX118" i="14"/>
  <c r="AX182" i="14"/>
  <c r="AX123" i="14"/>
  <c r="AX187" i="14"/>
  <c r="AX89" i="14"/>
  <c r="AX121" i="14"/>
  <c r="AX153" i="14"/>
  <c r="AX185" i="14"/>
  <c r="AX217" i="14"/>
  <c r="AX64" i="14"/>
  <c r="AX104" i="14"/>
  <c r="AX148" i="14"/>
  <c r="AX88" i="14"/>
  <c r="AX57" i="14"/>
  <c r="AX132" i="14"/>
  <c r="AX176" i="14"/>
  <c r="J399" i="23"/>
  <c r="J391" i="23"/>
  <c r="J387" i="23"/>
  <c r="J383" i="23"/>
  <c r="J379" i="23"/>
  <c r="J371" i="23"/>
  <c r="J367" i="23"/>
  <c r="J355" i="23"/>
  <c r="J351" i="23"/>
  <c r="J347" i="23"/>
  <c r="J343" i="23"/>
  <c r="J339" i="23"/>
  <c r="J331" i="23"/>
  <c r="J327" i="23"/>
  <c r="J315" i="23"/>
  <c r="J307" i="23"/>
  <c r="J303" i="23"/>
  <c r="J299" i="23"/>
  <c r="J295" i="23"/>
  <c r="J291" i="23"/>
  <c r="J271" i="23"/>
  <c r="J267" i="23"/>
  <c r="J259" i="23"/>
  <c r="J243" i="23"/>
  <c r="J235" i="23"/>
  <c r="J223" i="23"/>
  <c r="J217" i="23"/>
  <c r="J213" i="23"/>
  <c r="J209" i="23"/>
  <c r="J205" i="23"/>
  <c r="J124" i="23"/>
  <c r="J170" i="23"/>
  <c r="J166" i="23"/>
  <c r="J162" i="23"/>
  <c r="J158" i="23"/>
  <c r="J142" i="23"/>
  <c r="J134" i="23"/>
  <c r="J130" i="23"/>
  <c r="J122" i="23"/>
  <c r="J118" i="23"/>
  <c r="J114" i="23"/>
  <c r="J98" i="23"/>
  <c r="J146" i="23"/>
  <c r="J127" i="23"/>
  <c r="J104" i="23"/>
  <c r="J366" i="29"/>
  <c r="J239" i="24"/>
  <c r="J109" i="24"/>
  <c r="J123" i="24"/>
  <c r="J59" i="24"/>
  <c r="J349" i="14"/>
  <c r="J295" i="14"/>
  <c r="J245" i="14"/>
  <c r="J331" i="14"/>
  <c r="J280" i="14"/>
  <c r="J254" i="14"/>
  <c r="J228" i="14"/>
  <c r="J175" i="14"/>
  <c r="J214" i="14"/>
  <c r="J142" i="14"/>
  <c r="J126" i="14"/>
  <c r="J110" i="14"/>
  <c r="J94" i="14"/>
  <c r="J78" i="14"/>
  <c r="AX122" i="14"/>
  <c r="AX186" i="14"/>
  <c r="AX127" i="14"/>
  <c r="AX191" i="14"/>
  <c r="AX93" i="14"/>
  <c r="AX125" i="14"/>
  <c r="AX157" i="14"/>
  <c r="AX189" i="14"/>
  <c r="AX42" i="14"/>
  <c r="AX136" i="14"/>
  <c r="AX76" i="14"/>
  <c r="AX184" i="14"/>
  <c r="AX62" i="14"/>
  <c r="AX63" i="14"/>
  <c r="J394" i="23"/>
  <c r="J374" i="23"/>
  <c r="J362" i="23"/>
  <c r="J350" i="23"/>
  <c r="J338" i="23"/>
  <c r="J334" i="23"/>
  <c r="J326" i="23"/>
  <c r="J318" i="23"/>
  <c r="J181" i="23"/>
  <c r="J177" i="23"/>
  <c r="J169" i="23"/>
  <c r="J106" i="23"/>
  <c r="J308" i="23"/>
  <c r="J300" i="23"/>
  <c r="J292" i="23"/>
  <c r="J276" i="23"/>
  <c r="J272" i="23"/>
  <c r="J264" i="23"/>
  <c r="J252" i="23"/>
  <c r="J244" i="23"/>
  <c r="J240" i="23"/>
  <c r="J236" i="23"/>
  <c r="J232" i="23"/>
  <c r="J228" i="23"/>
  <c r="J224" i="23"/>
  <c r="J218" i="23"/>
  <c r="J214" i="23"/>
  <c r="J190" i="23"/>
  <c r="J182" i="23"/>
  <c r="J153" i="23"/>
  <c r="J145" i="23"/>
  <c r="J120" i="23"/>
  <c r="J95" i="23"/>
  <c r="J89" i="23"/>
  <c r="J81" i="23"/>
  <c r="J77" i="23"/>
  <c r="J73" i="23"/>
  <c r="J69" i="23"/>
  <c r="J65" i="23"/>
  <c r="J61" i="23"/>
  <c r="J49" i="23"/>
  <c r="J88" i="23"/>
  <c r="J84" i="23"/>
  <c r="J76" i="23"/>
  <c r="J72" i="23"/>
  <c r="J68" i="23"/>
  <c r="J60" i="23"/>
  <c r="J56" i="23"/>
  <c r="J52" i="23"/>
  <c r="J44" i="23"/>
  <c r="J40" i="23"/>
  <c r="J218" i="24"/>
  <c r="J190" i="24"/>
  <c r="J64" i="24"/>
  <c r="J100" i="24"/>
  <c r="J384" i="14"/>
  <c r="J350" i="14"/>
  <c r="J248" i="14"/>
  <c r="J222" i="14"/>
  <c r="J194" i="14"/>
  <c r="J143" i="14"/>
  <c r="J118" i="14"/>
  <c r="J92" i="14"/>
  <c r="J41" i="14"/>
  <c r="J207" i="14"/>
  <c r="J170" i="14"/>
  <c r="J90" i="14"/>
  <c r="J58" i="14"/>
  <c r="AX86" i="14"/>
  <c r="AX150" i="14"/>
  <c r="AX214" i="14"/>
  <c r="AX91" i="14"/>
  <c r="AX155" i="14"/>
  <c r="AX73" i="14"/>
  <c r="AX105" i="14"/>
  <c r="AX137" i="14"/>
  <c r="AX169" i="14"/>
  <c r="AX201" i="14"/>
  <c r="AX92" i="14"/>
  <c r="AX168" i="14"/>
  <c r="AX212" i="14"/>
  <c r="AX46" i="14"/>
  <c r="AX41" i="14"/>
  <c r="AX215" i="14"/>
  <c r="AX58" i="14"/>
  <c r="AX216" i="14"/>
  <c r="AX156" i="14"/>
  <c r="J397" i="23"/>
  <c r="J393" i="23"/>
  <c r="J389" i="23"/>
  <c r="J385" i="23"/>
  <c r="J381" i="23"/>
  <c r="J377" i="23"/>
  <c r="J373" i="23"/>
  <c r="J369" i="23"/>
  <c r="J365" i="23"/>
  <c r="J357" i="23"/>
  <c r="J349" i="23"/>
  <c r="J345" i="23"/>
  <c r="J341" i="23"/>
  <c r="J333" i="23"/>
  <c r="J329" i="23"/>
  <c r="J321" i="23"/>
  <c r="J309" i="23"/>
  <c r="J305" i="23"/>
  <c r="J301" i="23"/>
  <c r="J297" i="23"/>
  <c r="J273" i="23"/>
  <c r="J265" i="23"/>
  <c r="J261" i="23"/>
  <c r="J257" i="23"/>
  <c r="J221" i="23"/>
  <c r="J203" i="23"/>
  <c r="J199" i="23"/>
  <c r="J191" i="23"/>
  <c r="J187" i="23"/>
  <c r="J150" i="23"/>
  <c r="J129" i="23"/>
  <c r="J109" i="23"/>
  <c r="J172" i="23"/>
  <c r="J164" i="23"/>
  <c r="J156" i="23"/>
  <c r="J148" i="23"/>
  <c r="J140" i="23"/>
  <c r="J136" i="23"/>
  <c r="J132" i="23"/>
  <c r="J128" i="23"/>
  <c r="J112" i="23"/>
  <c r="J100" i="23"/>
  <c r="J96" i="23"/>
  <c r="J117" i="23"/>
  <c r="J111" i="23"/>
  <c r="J101" i="23"/>
  <c r="J92" i="23"/>
  <c r="J201" i="24"/>
  <c r="J368" i="14"/>
  <c r="J268" i="14"/>
  <c r="J342" i="14"/>
  <c r="J291" i="14"/>
  <c r="J240" i="14"/>
  <c r="J186" i="14"/>
  <c r="J135" i="14"/>
  <c r="J84" i="14"/>
  <c r="J227" i="14"/>
  <c r="J149" i="14"/>
  <c r="J85" i="14"/>
  <c r="J53" i="14"/>
  <c r="AX66" i="14"/>
  <c r="AX194" i="14"/>
  <c r="AX135" i="14"/>
  <c r="AX65" i="14"/>
  <c r="AX129" i="14"/>
  <c r="AX193" i="14"/>
  <c r="AX59" i="14"/>
  <c r="AX108" i="14"/>
  <c r="AX56" i="14"/>
  <c r="AX68" i="14"/>
  <c r="AX50" i="14"/>
  <c r="AX160" i="14"/>
  <c r="J396" i="23"/>
  <c r="J348" i="23"/>
  <c r="J284" i="23"/>
  <c r="J268" i="23"/>
  <c r="J202" i="23"/>
  <c r="J186" i="23"/>
  <c r="J137" i="23"/>
  <c r="J121" i="23"/>
  <c r="J105" i="23"/>
  <c r="J151" i="23"/>
  <c r="J87" i="23"/>
  <c r="J39" i="23"/>
  <c r="J79" i="23"/>
  <c r="J74" i="23"/>
  <c r="J42" i="23"/>
  <c r="J300" i="29"/>
  <c r="J205" i="24"/>
  <c r="J276" i="14"/>
  <c r="J70" i="14"/>
  <c r="J172" i="14"/>
  <c r="J108" i="14"/>
  <c r="AX218" i="14"/>
  <c r="AX141" i="14"/>
  <c r="AX200" i="14"/>
  <c r="AX100" i="14"/>
  <c r="AX44" i="14"/>
  <c r="J400" i="23"/>
  <c r="J304" i="23"/>
  <c r="J256" i="23"/>
  <c r="J144" i="23"/>
  <c r="J94" i="23"/>
  <c r="J157" i="23"/>
  <c r="J141" i="23"/>
  <c r="J102" i="23"/>
  <c r="J64" i="23"/>
  <c r="J48" i="23"/>
  <c r="J62" i="23"/>
  <c r="J267" i="14"/>
  <c r="J360" i="23"/>
  <c r="J312" i="23"/>
  <c r="J314" i="23"/>
  <c r="J179" i="23"/>
  <c r="J216" i="23"/>
  <c r="J200" i="23"/>
  <c r="J302" i="29"/>
  <c r="J278" i="14"/>
  <c r="J174" i="14"/>
  <c r="J122" i="14"/>
  <c r="J173" i="14"/>
  <c r="J109" i="14"/>
  <c r="J77" i="14"/>
  <c r="J45" i="14"/>
  <c r="AX82" i="14"/>
  <c r="AX210" i="14"/>
  <c r="AX151" i="14"/>
  <c r="AX69" i="14"/>
  <c r="AX133" i="14"/>
  <c r="AX197" i="14"/>
  <c r="AX180" i="14"/>
  <c r="AX120" i="14"/>
  <c r="AX53" i="14"/>
  <c r="AX208" i="14"/>
  <c r="AX192" i="14"/>
  <c r="J388" i="23"/>
  <c r="J361" i="23"/>
  <c r="J356" i="23"/>
  <c r="J324" i="23"/>
  <c r="J313" i="23"/>
  <c r="J390" i="23"/>
  <c r="J358" i="23"/>
  <c r="J342" i="23"/>
  <c r="J310" i="23"/>
  <c r="J262" i="23"/>
  <c r="J246" i="23"/>
  <c r="J212" i="23"/>
  <c r="J180" i="23"/>
  <c r="J175" i="23"/>
  <c r="J159" i="23"/>
  <c r="J294" i="23"/>
  <c r="J283" i="23"/>
  <c r="J278" i="23"/>
  <c r="J251" i="23"/>
  <c r="J230" i="23"/>
  <c r="J201" i="23"/>
  <c r="J196" i="23"/>
  <c r="J185" i="23"/>
  <c r="J147" i="23"/>
  <c r="J131" i="23"/>
  <c r="J115" i="23"/>
  <c r="J125" i="23"/>
  <c r="J116" i="23"/>
  <c r="B158" i="4"/>
  <c r="J107" i="24"/>
  <c r="J121" i="14"/>
  <c r="J210" i="14"/>
  <c r="J76" i="14"/>
  <c r="AX90" i="14"/>
  <c r="AX159" i="14"/>
  <c r="AX77" i="14"/>
  <c r="AX205" i="14"/>
  <c r="AX96" i="14"/>
  <c r="J368" i="23"/>
  <c r="J320" i="23"/>
  <c r="J288" i="23"/>
  <c r="J206" i="23"/>
  <c r="J126" i="23"/>
  <c r="J173" i="23"/>
  <c r="J91" i="23"/>
  <c r="J80" i="23"/>
  <c r="J83" i="23"/>
  <c r="J67" i="23"/>
  <c r="J51" i="23"/>
  <c r="J46" i="23"/>
  <c r="AX209" i="14"/>
  <c r="J317" i="23"/>
  <c r="J282" i="23"/>
  <c r="J250" i="23"/>
  <c r="J103" i="23"/>
  <c r="J287" i="23"/>
  <c r="J255" i="23"/>
  <c r="J184" i="23"/>
  <c r="J135" i="23"/>
  <c r="J292" i="24"/>
  <c r="J75" i="24"/>
  <c r="J357" i="14"/>
  <c r="J304" i="14"/>
  <c r="J199" i="14"/>
  <c r="J97" i="14"/>
  <c r="J46" i="14"/>
  <c r="AX146" i="14"/>
  <c r="AX87" i="14"/>
  <c r="AX39" i="14"/>
  <c r="AX101" i="14"/>
  <c r="AX165" i="14"/>
  <c r="AX45" i="14"/>
  <c r="AX172" i="14"/>
  <c r="AX164" i="14"/>
  <c r="J380" i="23"/>
  <c r="J364" i="23"/>
  <c r="J353" i="23"/>
  <c r="J337" i="23"/>
  <c r="J332" i="23"/>
  <c r="J316" i="23"/>
  <c r="J398" i="23"/>
  <c r="J382" i="23"/>
  <c r="J366" i="23"/>
  <c r="J302" i="23"/>
  <c r="J270" i="23"/>
  <c r="J222" i="23"/>
  <c r="J204" i="23"/>
  <c r="J167" i="23"/>
  <c r="J149" i="23"/>
  <c r="J286" i="23"/>
  <c r="J275" i="23"/>
  <c r="J254" i="23"/>
  <c r="J238" i="23"/>
  <c r="J227" i="23"/>
  <c r="J193" i="23"/>
  <c r="J188" i="23"/>
  <c r="J171" i="23"/>
  <c r="J139" i="23"/>
  <c r="J123" i="23"/>
  <c r="J137" i="14"/>
  <c r="AX113" i="14"/>
  <c r="AX48" i="14"/>
  <c r="AX40" i="14"/>
  <c r="J352" i="23"/>
  <c r="J325" i="23"/>
  <c r="J386" i="23"/>
  <c r="J370" i="23"/>
  <c r="J306" i="23"/>
  <c r="J208" i="23"/>
  <c r="J176" i="23"/>
  <c r="J155" i="23"/>
  <c r="J290" i="23"/>
  <c r="J279" i="23"/>
  <c r="J258" i="23"/>
  <c r="J247" i="23"/>
  <c r="J231" i="23"/>
  <c r="J197" i="23"/>
  <c r="J307" i="24"/>
  <c r="J101" i="24"/>
  <c r="J201" i="14"/>
  <c r="J166" i="14"/>
  <c r="J102" i="14"/>
  <c r="AX98" i="14"/>
  <c r="AX167" i="14"/>
  <c r="AX81" i="14"/>
  <c r="AX204" i="14"/>
  <c r="J378" i="23"/>
  <c r="J330" i="23"/>
  <c r="J298" i="23"/>
  <c r="J266" i="23"/>
  <c r="J168" i="23"/>
  <c r="J143" i="23"/>
  <c r="J239" i="23"/>
  <c r="J319" i="14"/>
  <c r="J212" i="14"/>
  <c r="J101" i="14"/>
  <c r="J235" i="24"/>
  <c r="J77" i="24"/>
  <c r="J43" i="24"/>
  <c r="J287" i="14"/>
  <c r="J302" i="14"/>
  <c r="J44" i="14"/>
  <c r="J188" i="14"/>
  <c r="J124" i="14"/>
  <c r="J60" i="14"/>
  <c r="AX154" i="14"/>
  <c r="AX95" i="14"/>
  <c r="AX109" i="14"/>
  <c r="AX173" i="14"/>
  <c r="AX128" i="14"/>
  <c r="AX116" i="14"/>
  <c r="AX61" i="14"/>
  <c r="AX144" i="14"/>
  <c r="J392" i="23"/>
  <c r="J344" i="23"/>
  <c r="J328" i="23"/>
  <c r="J296" i="23"/>
  <c r="J280" i="23"/>
  <c r="J248" i="23"/>
  <c r="J198" i="23"/>
  <c r="J108" i="23"/>
  <c r="J165" i="23"/>
  <c r="J133" i="23"/>
  <c r="J119" i="23"/>
  <c r="J75" i="23"/>
  <c r="J59" i="23"/>
  <c r="J43" i="23"/>
  <c r="J66" i="24"/>
  <c r="J374" i="14"/>
  <c r="J270" i="14"/>
  <c r="J344" i="14"/>
  <c r="J86" i="14"/>
  <c r="J150" i="14"/>
  <c r="J54" i="14"/>
  <c r="AX162" i="14"/>
  <c r="AX103" i="14"/>
  <c r="AX177" i="14"/>
  <c r="AX124" i="14"/>
  <c r="AX196" i="14"/>
  <c r="AX188" i="14"/>
  <c r="J384" i="23"/>
  <c r="J336" i="23"/>
  <c r="J354" i="23"/>
  <c r="J322" i="23"/>
  <c r="J274" i="23"/>
  <c r="J226" i="23"/>
  <c r="J160" i="23"/>
  <c r="J263" i="23"/>
  <c r="J242" i="23"/>
  <c r="J192" i="23"/>
  <c r="J152" i="23"/>
  <c r="J191" i="24"/>
  <c r="J387" i="14"/>
  <c r="J162" i="14"/>
  <c r="AX47" i="14"/>
  <c r="AX145" i="14"/>
  <c r="AX72" i="14"/>
  <c r="AX152" i="14"/>
  <c r="AX49" i="14"/>
  <c r="J376" i="23"/>
  <c r="J346" i="23"/>
  <c r="J163" i="23"/>
  <c r="J234" i="23"/>
  <c r="J189" i="23"/>
  <c r="J161" i="14"/>
  <c r="J165" i="14"/>
  <c r="J69" i="14"/>
  <c r="AX130" i="14"/>
  <c r="AX51" i="14"/>
  <c r="J340" i="23"/>
  <c r="J210" i="23"/>
  <c r="AX84" i="14"/>
  <c r="J63" i="23"/>
  <c r="J55" i="23"/>
  <c r="AX97" i="14"/>
  <c r="J260" i="23"/>
  <c r="J265" i="14"/>
  <c r="AX71" i="14"/>
  <c r="AX52" i="14"/>
  <c r="J194" i="23"/>
  <c r="J99" i="23"/>
  <c r="J161" i="23"/>
  <c r="AX199" i="14"/>
  <c r="J71" i="23"/>
  <c r="J110" i="23"/>
  <c r="J113" i="23"/>
  <c r="J47" i="23"/>
  <c r="J97" i="23"/>
  <c r="AX161" i="14"/>
  <c r="AX112" i="14"/>
  <c r="J372" i="23"/>
  <c r="J138" i="23"/>
  <c r="AY211" i="14"/>
  <c r="AY49" i="14"/>
  <c r="AY103" i="14"/>
  <c r="AY218" i="14"/>
  <c r="AY123" i="14"/>
  <c r="AY115" i="14"/>
  <c r="AY151" i="14"/>
  <c r="AY161" i="14"/>
  <c r="AY180" i="14"/>
  <c r="AY89" i="14"/>
  <c r="AY156" i="14"/>
  <c r="AY44" i="14"/>
  <c r="AY213" i="14"/>
  <c r="AY100" i="14"/>
  <c r="AY91" i="14"/>
  <c r="AY204" i="14"/>
  <c r="AY199" i="14"/>
  <c r="AY137" i="14"/>
  <c r="AY168" i="14"/>
  <c r="AY186" i="14"/>
  <c r="AY138" i="14"/>
  <c r="AY102" i="14"/>
  <c r="K386" i="29"/>
  <c r="K395" i="29"/>
  <c r="K387" i="29"/>
  <c r="K377" i="29"/>
  <c r="K361" i="29"/>
  <c r="K353" i="29"/>
  <c r="K345" i="29"/>
  <c r="K337" i="29"/>
  <c r="K347" i="29"/>
  <c r="K332" i="29"/>
  <c r="K316" i="29"/>
  <c r="K300" i="29"/>
  <c r="K284" i="29"/>
  <c r="K321" i="29"/>
  <c r="K313" i="29"/>
  <c r="K297" i="29"/>
  <c r="K289" i="29"/>
  <c r="K248" i="29"/>
  <c r="K240" i="29"/>
  <c r="K206" i="29"/>
  <c r="K257" i="29"/>
  <c r="K249" i="29"/>
  <c r="K241" i="29"/>
  <c r="K233" i="29"/>
  <c r="K207" i="29"/>
  <c r="K152" i="29"/>
  <c r="K182" i="29"/>
  <c r="K166" i="29"/>
  <c r="K142" i="29"/>
  <c r="K126" i="29"/>
  <c r="K129" i="29"/>
  <c r="K113" i="29"/>
  <c r="K105" i="29"/>
  <c r="K97" i="29"/>
  <c r="K76" i="29"/>
  <c r="K391" i="29"/>
  <c r="K400" i="29"/>
  <c r="K382" i="29"/>
  <c r="K374" i="29"/>
  <c r="K366" i="29"/>
  <c r="K350" i="29"/>
  <c r="K369" i="29"/>
  <c r="K352" i="29"/>
  <c r="K336" i="29"/>
  <c r="K329" i="29"/>
  <c r="K305" i="29"/>
  <c r="K281" i="29"/>
  <c r="K273" i="29"/>
  <c r="K310" i="29"/>
  <c r="K302" i="29"/>
  <c r="K278" i="29"/>
  <c r="K269" i="29"/>
  <c r="K245" i="29"/>
  <c r="K221" i="29"/>
  <c r="K211" i="29"/>
  <c r="K262" i="29"/>
  <c r="K246" i="29"/>
  <c r="K197" i="29"/>
  <c r="K189" i="29"/>
  <c r="K181" i="29"/>
  <c r="K173" i="29"/>
  <c r="K157" i="29"/>
  <c r="K149" i="29"/>
  <c r="K195" i="29"/>
  <c r="K179" i="29"/>
  <c r="K131" i="29"/>
  <c r="K123" i="29"/>
  <c r="K115" i="29"/>
  <c r="K107" i="29"/>
  <c r="K134" i="29"/>
  <c r="K118" i="29"/>
  <c r="K110" i="29"/>
  <c r="K102" i="29"/>
  <c r="K89" i="29"/>
  <c r="K81" i="29"/>
  <c r="K73" i="29"/>
  <c r="K398" i="29"/>
  <c r="K390" i="29"/>
  <c r="K399" i="29"/>
  <c r="K373" i="29"/>
  <c r="K381" i="29"/>
  <c r="K365" i="29"/>
  <c r="K357" i="29"/>
  <c r="K349" i="29"/>
  <c r="K341" i="29"/>
  <c r="K335" i="29"/>
  <c r="K328" i="29"/>
  <c r="K312" i="29"/>
  <c r="K304" i="29"/>
  <c r="K296" i="29"/>
  <c r="K317" i="29"/>
  <c r="K309" i="29"/>
  <c r="K301" i="29"/>
  <c r="K293" i="29"/>
  <c r="K268" i="29"/>
  <c r="K236" i="29"/>
  <c r="K261" i="29"/>
  <c r="K253" i="29"/>
  <c r="K237" i="29"/>
  <c r="K229" i="29"/>
  <c r="K203" i="29"/>
  <c r="K180" i="29"/>
  <c r="K172" i="29"/>
  <c r="K186" i="29"/>
  <c r="K162" i="29"/>
  <c r="K154" i="29"/>
  <c r="K146" i="29"/>
  <c r="K122" i="29"/>
  <c r="K125" i="29"/>
  <c r="K80" i="29"/>
  <c r="K378" i="29"/>
  <c r="K370" i="29"/>
  <c r="K362" i="29"/>
  <c r="K354" i="29"/>
  <c r="K338" i="29"/>
  <c r="K340" i="29"/>
  <c r="K333" i="29"/>
  <c r="K325" i="29"/>
  <c r="K285" i="29"/>
  <c r="K277" i="29"/>
  <c r="K322" i="29"/>
  <c r="K314" i="29"/>
  <c r="K306" i="29"/>
  <c r="K290" i="29"/>
  <c r="K274" i="29"/>
  <c r="K266" i="29"/>
  <c r="K265" i="29"/>
  <c r="K225" i="29"/>
  <c r="K215" i="29"/>
  <c r="K199" i="29"/>
  <c r="K242" i="29"/>
  <c r="K226" i="29"/>
  <c r="K216" i="29"/>
  <c r="K200" i="29"/>
  <c r="K185" i="29"/>
  <c r="K177" i="29"/>
  <c r="K169" i="29"/>
  <c r="K145" i="29"/>
  <c r="K191" i="29"/>
  <c r="K167" i="29"/>
  <c r="K135" i="29"/>
  <c r="K138" i="29"/>
  <c r="K130" i="29"/>
  <c r="K114" i="29"/>
  <c r="K106" i="29"/>
  <c r="K93" i="29"/>
  <c r="K85" i="29"/>
  <c r="K77" i="29"/>
  <c r="K389" i="29"/>
  <c r="K372" i="29"/>
  <c r="K356" i="29"/>
  <c r="K358" i="29"/>
  <c r="K342" i="29"/>
  <c r="K311" i="29"/>
  <c r="K324" i="29"/>
  <c r="K308" i="29"/>
  <c r="K292" i="29"/>
  <c r="K276" i="29"/>
  <c r="K267" i="29"/>
  <c r="K252" i="29"/>
  <c r="K218" i="29"/>
  <c r="K202" i="29"/>
  <c r="K187" i="29"/>
  <c r="K171" i="29"/>
  <c r="K155" i="29"/>
  <c r="K193" i="29"/>
  <c r="K161" i="29"/>
  <c r="K108" i="29"/>
  <c r="K92" i="29"/>
  <c r="K71" i="29"/>
  <c r="K54" i="29"/>
  <c r="K65" i="29"/>
  <c r="K57" i="29"/>
  <c r="K398" i="24"/>
  <c r="K358" i="24"/>
  <c r="K393" i="24"/>
  <c r="K361" i="24"/>
  <c r="K353" i="24"/>
  <c r="K345" i="24"/>
  <c r="K337" i="24"/>
  <c r="K329" i="24"/>
  <c r="K321" i="24"/>
  <c r="K313" i="24"/>
  <c r="K305" i="24"/>
  <c r="K281" i="24"/>
  <c r="K328" i="24"/>
  <c r="K304" i="24"/>
  <c r="K288" i="24"/>
  <c r="K388" i="29"/>
  <c r="K371" i="29"/>
  <c r="K355" i="29"/>
  <c r="K339" i="29"/>
  <c r="K326" i="29"/>
  <c r="K294" i="29"/>
  <c r="K307" i="29"/>
  <c r="K275" i="29"/>
  <c r="K250" i="29"/>
  <c r="K234" i="29"/>
  <c r="K251" i="29"/>
  <c r="K235" i="29"/>
  <c r="K217" i="29"/>
  <c r="K201" i="29"/>
  <c r="K170" i="29"/>
  <c r="K192" i="29"/>
  <c r="K176" i="29"/>
  <c r="K160" i="29"/>
  <c r="K144" i="29"/>
  <c r="K139" i="29"/>
  <c r="K86" i="29"/>
  <c r="K61" i="29"/>
  <c r="K53" i="29"/>
  <c r="K45" i="29"/>
  <c r="K88" i="29"/>
  <c r="K72" i="29"/>
  <c r="K373" i="24"/>
  <c r="K365" i="24"/>
  <c r="K400" i="24"/>
  <c r="K360" i="24"/>
  <c r="K352" i="24"/>
  <c r="K344" i="24"/>
  <c r="K336" i="24"/>
  <c r="K320" i="24"/>
  <c r="K312" i="24"/>
  <c r="K296" i="24"/>
  <c r="K280" i="24"/>
  <c r="K264" i="24"/>
  <c r="K256" i="24"/>
  <c r="K335" i="24"/>
  <c r="K327" i="24"/>
  <c r="K319" i="24"/>
  <c r="K303" i="24"/>
  <c r="K295" i="24"/>
  <c r="K287" i="24"/>
  <c r="K385" i="29"/>
  <c r="K384" i="29"/>
  <c r="K368" i="29"/>
  <c r="K323" i="29"/>
  <c r="K291" i="29"/>
  <c r="K320" i="29"/>
  <c r="K288" i="29"/>
  <c r="K272" i="29"/>
  <c r="K213" i="29"/>
  <c r="K264" i="29"/>
  <c r="K232" i="29"/>
  <c r="K214" i="29"/>
  <c r="K198" i="29"/>
  <c r="K183" i="29"/>
  <c r="K151" i="29"/>
  <c r="K141" i="29"/>
  <c r="K109" i="29"/>
  <c r="K104" i="29"/>
  <c r="K99" i="29"/>
  <c r="K83" i="29"/>
  <c r="K68" i="29"/>
  <c r="K44" i="29"/>
  <c r="K87" i="29"/>
  <c r="K55" i="29"/>
  <c r="K39" i="29"/>
  <c r="K396" i="24"/>
  <c r="K388" i="24"/>
  <c r="K372" i="24"/>
  <c r="K364" i="24"/>
  <c r="K356" i="24"/>
  <c r="K348" i="24"/>
  <c r="K399" i="24"/>
  <c r="K375" i="24"/>
  <c r="K359" i="24"/>
  <c r="K343" i="24"/>
  <c r="K311" i="24"/>
  <c r="K279" i="24"/>
  <c r="K255" i="24"/>
  <c r="K334" i="24"/>
  <c r="K326" i="24"/>
  <c r="K310" i="24"/>
  <c r="K383" i="29"/>
  <c r="K351" i="29"/>
  <c r="K319" i="29"/>
  <c r="K303" i="29"/>
  <c r="K287" i="29"/>
  <c r="K230" i="29"/>
  <c r="K212" i="29"/>
  <c r="K263" i="29"/>
  <c r="K247" i="29"/>
  <c r="K231" i="29"/>
  <c r="K150" i="29"/>
  <c r="K188" i="29"/>
  <c r="K156" i="29"/>
  <c r="K140" i="29"/>
  <c r="K124" i="29"/>
  <c r="K119" i="29"/>
  <c r="K103" i="29"/>
  <c r="K98" i="29"/>
  <c r="K82" i="29"/>
  <c r="K51" i="29"/>
  <c r="K43" i="29"/>
  <c r="K70" i="29"/>
  <c r="K62" i="29"/>
  <c r="K46" i="29"/>
  <c r="K395" i="24"/>
  <c r="K387" i="24"/>
  <c r="K371" i="24"/>
  <c r="K363" i="24"/>
  <c r="K347" i="24"/>
  <c r="K390" i="24"/>
  <c r="K382" i="24"/>
  <c r="K374" i="24"/>
  <c r="K366" i="24"/>
  <c r="K350" i="24"/>
  <c r="K342" i="24"/>
  <c r="K318" i="24"/>
  <c r="K302" i="24"/>
  <c r="K294" i="24"/>
  <c r="K286" i="24"/>
  <c r="K317" i="24"/>
  <c r="K309" i="24"/>
  <c r="K293" i="24"/>
  <c r="K360" i="29"/>
  <c r="K299" i="29"/>
  <c r="K271" i="29"/>
  <c r="K175" i="29"/>
  <c r="K165" i="29"/>
  <c r="K133" i="29"/>
  <c r="K101" i="29"/>
  <c r="K112" i="29"/>
  <c r="K91" i="29"/>
  <c r="K64" i="29"/>
  <c r="K48" i="29"/>
  <c r="K67" i="29"/>
  <c r="K385" i="24"/>
  <c r="K369" i="24"/>
  <c r="K380" i="24"/>
  <c r="K332" i="24"/>
  <c r="K316" i="24"/>
  <c r="K268" i="24"/>
  <c r="K323" i="24"/>
  <c r="K307" i="24"/>
  <c r="K272" i="24"/>
  <c r="K242" i="24"/>
  <c r="K226" i="24"/>
  <c r="K216" i="24"/>
  <c r="K208" i="24"/>
  <c r="K168" i="24"/>
  <c r="K160" i="24"/>
  <c r="K152" i="24"/>
  <c r="K230" i="24"/>
  <c r="K188" i="24"/>
  <c r="K148" i="24"/>
  <c r="K132" i="24"/>
  <c r="K124" i="24"/>
  <c r="K100" i="24"/>
  <c r="K84" i="24"/>
  <c r="K392" i="29"/>
  <c r="K375" i="29"/>
  <c r="K330" i="29"/>
  <c r="K298" i="29"/>
  <c r="K327" i="29"/>
  <c r="K295" i="29"/>
  <c r="K270" i="29"/>
  <c r="K238" i="29"/>
  <c r="K204" i="29"/>
  <c r="K239" i="29"/>
  <c r="K205" i="29"/>
  <c r="K174" i="29"/>
  <c r="K196" i="29"/>
  <c r="K164" i="29"/>
  <c r="K143" i="29"/>
  <c r="K111" i="29"/>
  <c r="K90" i="29"/>
  <c r="K63" i="29"/>
  <c r="K47" i="29"/>
  <c r="K66" i="29"/>
  <c r="K384" i="24"/>
  <c r="K368" i="24"/>
  <c r="K379" i="24"/>
  <c r="K331" i="24"/>
  <c r="K283" i="24"/>
  <c r="K338" i="24"/>
  <c r="K271" i="24"/>
  <c r="K263" i="24"/>
  <c r="K247" i="24"/>
  <c r="K249" i="24"/>
  <c r="K225" i="24"/>
  <c r="K215" i="24"/>
  <c r="K207" i="24"/>
  <c r="K199" i="24"/>
  <c r="K191" i="24"/>
  <c r="K175" i="24"/>
  <c r="K151" i="24"/>
  <c r="K237" i="24"/>
  <c r="K203" i="24"/>
  <c r="K195" i="24"/>
  <c r="K163" i="24"/>
  <c r="K155" i="24"/>
  <c r="K147" i="24"/>
  <c r="K131" i="24"/>
  <c r="K123" i="24"/>
  <c r="K107" i="24"/>
  <c r="K83" i="24"/>
  <c r="K75" i="24"/>
  <c r="K59" i="24"/>
  <c r="K380" i="29"/>
  <c r="K348" i="29"/>
  <c r="K260" i="29"/>
  <c r="K228" i="29"/>
  <c r="K163" i="29"/>
  <c r="K153" i="29"/>
  <c r="K121" i="29"/>
  <c r="K132" i="29"/>
  <c r="K100" i="29"/>
  <c r="K79" i="29"/>
  <c r="K58" i="29"/>
  <c r="K383" i="24"/>
  <c r="K367" i="24"/>
  <c r="K351" i="24"/>
  <c r="K362" i="24"/>
  <c r="K330" i="24"/>
  <c r="K298" i="24"/>
  <c r="K289" i="24"/>
  <c r="K278" i="24"/>
  <c r="K270" i="24"/>
  <c r="K262" i="24"/>
  <c r="K248" i="24"/>
  <c r="K224" i="24"/>
  <c r="K214" i="24"/>
  <c r="K206" i="24"/>
  <c r="K190" i="24"/>
  <c r="K174" i="24"/>
  <c r="K150" i="24"/>
  <c r="K218" i="24"/>
  <c r="K210" i="24"/>
  <c r="K202" i="24"/>
  <c r="K194" i="24"/>
  <c r="K186" i="24"/>
  <c r="K154" i="24"/>
  <c r="K138" i="24"/>
  <c r="K130" i="24"/>
  <c r="K106" i="24"/>
  <c r="K379" i="29"/>
  <c r="K318" i="29"/>
  <c r="K286" i="29"/>
  <c r="K283" i="29"/>
  <c r="K258" i="29"/>
  <c r="K259" i="29"/>
  <c r="K227" i="29"/>
  <c r="K194" i="29"/>
  <c r="K184" i="29"/>
  <c r="K120" i="29"/>
  <c r="K78" i="29"/>
  <c r="K41" i="29"/>
  <c r="K60" i="29"/>
  <c r="K394" i="24"/>
  <c r="K378" i="24"/>
  <c r="K346" i="24"/>
  <c r="K389" i="24"/>
  <c r="K357" i="24"/>
  <c r="K341" i="24"/>
  <c r="K325" i="24"/>
  <c r="K277" i="24"/>
  <c r="K261" i="24"/>
  <c r="K300" i="24"/>
  <c r="K239" i="24"/>
  <c r="K223" i="24"/>
  <c r="K205" i="24"/>
  <c r="K189" i="24"/>
  <c r="K157" i="24"/>
  <c r="K149" i="24"/>
  <c r="K243" i="24"/>
  <c r="K235" i="24"/>
  <c r="K227" i="24"/>
  <c r="K201" i="24"/>
  <c r="K193" i="24"/>
  <c r="K185" i="24"/>
  <c r="K153" i="24"/>
  <c r="K145" i="24"/>
  <c r="K137" i="24"/>
  <c r="K105" i="24"/>
  <c r="K97" i="24"/>
  <c r="K81" i="24"/>
  <c r="K73" i="24"/>
  <c r="K65" i="24"/>
  <c r="K57" i="24"/>
  <c r="K282" i="29"/>
  <c r="K279" i="29"/>
  <c r="K222" i="29"/>
  <c r="K223" i="29"/>
  <c r="K158" i="29"/>
  <c r="K148" i="29"/>
  <c r="K127" i="29"/>
  <c r="K74" i="29"/>
  <c r="K292" i="24"/>
  <c r="K260" i="24"/>
  <c r="K315" i="24"/>
  <c r="K284" i="24"/>
  <c r="K252" i="24"/>
  <c r="K246" i="24"/>
  <c r="K212" i="24"/>
  <c r="K196" i="24"/>
  <c r="K180" i="24"/>
  <c r="K164" i="24"/>
  <c r="K234" i="24"/>
  <c r="K200" i="24"/>
  <c r="K184" i="24"/>
  <c r="K88" i="24"/>
  <c r="K74" i="24"/>
  <c r="K62" i="24"/>
  <c r="K50" i="24"/>
  <c r="K122" i="24"/>
  <c r="K114" i="24"/>
  <c r="K98" i="24"/>
  <c r="K90" i="24"/>
  <c r="K82" i="24"/>
  <c r="K66" i="24"/>
  <c r="K58" i="24"/>
  <c r="K42" i="24"/>
  <c r="K396" i="14"/>
  <c r="K364" i="14"/>
  <c r="K348" i="14"/>
  <c r="K340" i="14"/>
  <c r="K332" i="14"/>
  <c r="K307" i="14"/>
  <c r="K291" i="14"/>
  <c r="K275" i="14"/>
  <c r="K267" i="14"/>
  <c r="K243" i="14"/>
  <c r="K235" i="14"/>
  <c r="K394" i="14"/>
  <c r="K378" i="14"/>
  <c r="K370" i="14"/>
  <c r="K362" i="14"/>
  <c r="K397" i="29"/>
  <c r="K364" i="29"/>
  <c r="K334" i="29"/>
  <c r="K210" i="29"/>
  <c r="K147" i="29"/>
  <c r="K137" i="29"/>
  <c r="K392" i="24"/>
  <c r="K355" i="24"/>
  <c r="K291" i="24"/>
  <c r="K259" i="24"/>
  <c r="K314" i="24"/>
  <c r="K267" i="24"/>
  <c r="K251" i="24"/>
  <c r="K245" i="24"/>
  <c r="K229" i="24"/>
  <c r="K211" i="24"/>
  <c r="K179" i="24"/>
  <c r="K233" i="24"/>
  <c r="K183" i="24"/>
  <c r="K167" i="24"/>
  <c r="K119" i="24"/>
  <c r="K103" i="24"/>
  <c r="K87" i="24"/>
  <c r="K72" i="24"/>
  <c r="K49" i="24"/>
  <c r="K41" i="24"/>
  <c r="K129" i="24"/>
  <c r="K121" i="24"/>
  <c r="K113" i="24"/>
  <c r="K89" i="24"/>
  <c r="K387" i="14"/>
  <c r="K371" i="14"/>
  <c r="K363" i="14"/>
  <c r="K331" i="14"/>
  <c r="K315" i="14"/>
  <c r="K282" i="14"/>
  <c r="K258" i="14"/>
  <c r="K234" i="14"/>
  <c r="K385" i="14"/>
  <c r="K377" i="14"/>
  <c r="K361" i="14"/>
  <c r="K353" i="14"/>
  <c r="K396" i="29"/>
  <c r="K363" i="29"/>
  <c r="K331" i="29"/>
  <c r="K208" i="29"/>
  <c r="K209" i="29"/>
  <c r="K136" i="29"/>
  <c r="K84" i="29"/>
  <c r="K52" i="29"/>
  <c r="K391" i="24"/>
  <c r="K322" i="24"/>
  <c r="K290" i="24"/>
  <c r="K258" i="24"/>
  <c r="K282" i="24"/>
  <c r="K266" i="24"/>
  <c r="K250" i="24"/>
  <c r="K244" i="24"/>
  <c r="K228" i="24"/>
  <c r="K178" i="24"/>
  <c r="K162" i="24"/>
  <c r="K146" i="24"/>
  <c r="K232" i="24"/>
  <c r="K198" i="24"/>
  <c r="K182" i="24"/>
  <c r="K166" i="24"/>
  <c r="K40" i="24"/>
  <c r="K136" i="24"/>
  <c r="K120" i="24"/>
  <c r="K112" i="24"/>
  <c r="K104" i="24"/>
  <c r="K96" i="24"/>
  <c r="K64" i="24"/>
  <c r="K56" i="24"/>
  <c r="K48" i="24"/>
  <c r="K386" i="14"/>
  <c r="K354" i="14"/>
  <c r="K338" i="14"/>
  <c r="K330" i="14"/>
  <c r="K297" i="14"/>
  <c r="K265" i="14"/>
  <c r="K400" i="14"/>
  <c r="K384" i="14"/>
  <c r="K368" i="14"/>
  <c r="K394" i="29"/>
  <c r="K344" i="29"/>
  <c r="K315" i="29"/>
  <c r="K256" i="29"/>
  <c r="K117" i="29"/>
  <c r="K96" i="29"/>
  <c r="K56" i="29"/>
  <c r="K386" i="24"/>
  <c r="K354" i="24"/>
  <c r="K381" i="24"/>
  <c r="K349" i="24"/>
  <c r="K285" i="24"/>
  <c r="K265" i="24"/>
  <c r="K209" i="24"/>
  <c r="K177" i="24"/>
  <c r="K161" i="24"/>
  <c r="K231" i="24"/>
  <c r="K213" i="24"/>
  <c r="K197" i="24"/>
  <c r="K181" i="24"/>
  <c r="K165" i="24"/>
  <c r="K133" i="24"/>
  <c r="K101" i="24"/>
  <c r="K47" i="24"/>
  <c r="K39" i="24"/>
  <c r="K135" i="24"/>
  <c r="K95" i="24"/>
  <c r="K71" i="24"/>
  <c r="K55" i="24"/>
  <c r="K39" i="14"/>
  <c r="K393" i="14"/>
  <c r="K369" i="14"/>
  <c r="K304" i="14"/>
  <c r="K296" i="14"/>
  <c r="K280" i="14"/>
  <c r="K264" i="14"/>
  <c r="K248" i="14"/>
  <c r="K240" i="14"/>
  <c r="K391" i="14"/>
  <c r="K383" i="14"/>
  <c r="K367" i="14"/>
  <c r="K359" i="14"/>
  <c r="K346" i="29"/>
  <c r="K280" i="29"/>
  <c r="K224" i="29"/>
  <c r="K75" i="29"/>
  <c r="K59" i="29"/>
  <c r="K370" i="24"/>
  <c r="K301" i="24"/>
  <c r="K324" i="24"/>
  <c r="K273" i="24"/>
  <c r="K217" i="24"/>
  <c r="K125" i="24"/>
  <c r="K63" i="24"/>
  <c r="K43" i="24"/>
  <c r="K115" i="24"/>
  <c r="K99" i="24"/>
  <c r="K67" i="24"/>
  <c r="K375" i="14"/>
  <c r="K310" i="14"/>
  <c r="K278" i="14"/>
  <c r="K262" i="14"/>
  <c r="K246" i="14"/>
  <c r="K365" i="14"/>
  <c r="K343" i="14"/>
  <c r="K327" i="14"/>
  <c r="K319" i="14"/>
  <c r="K295" i="14"/>
  <c r="K287" i="14"/>
  <c r="K279" i="14"/>
  <c r="K271" i="14"/>
  <c r="K223" i="14"/>
  <c r="K213" i="14"/>
  <c r="K197" i="14"/>
  <c r="K173" i="14"/>
  <c r="K165" i="14"/>
  <c r="K149" i="14"/>
  <c r="K109" i="14"/>
  <c r="K101" i="14"/>
  <c r="K85" i="14"/>
  <c r="K77" i="14"/>
  <c r="K69" i="14"/>
  <c r="K53" i="14"/>
  <c r="K45" i="14"/>
  <c r="K231" i="14"/>
  <c r="K205" i="14"/>
  <c r="K393" i="29"/>
  <c r="K254" i="29"/>
  <c r="K190" i="29"/>
  <c r="K116" i="29"/>
  <c r="K42" i="29"/>
  <c r="K340" i="24"/>
  <c r="K299" i="24"/>
  <c r="K238" i="24"/>
  <c r="K204" i="24"/>
  <c r="K172" i="24"/>
  <c r="K176" i="24"/>
  <c r="K144" i="24"/>
  <c r="K80" i="24"/>
  <c r="K110" i="24"/>
  <c r="K94" i="24"/>
  <c r="K78" i="24"/>
  <c r="K50" i="29"/>
  <c r="K339" i="24"/>
  <c r="K275" i="24"/>
  <c r="K171" i="24"/>
  <c r="K241" i="24"/>
  <c r="K143" i="24"/>
  <c r="K111" i="24"/>
  <c r="K79" i="24"/>
  <c r="K109" i="24"/>
  <c r="K93" i="24"/>
  <c r="K77" i="24"/>
  <c r="K61" i="24"/>
  <c r="K45" i="24"/>
  <c r="K389" i="14"/>
  <c r="K357" i="14"/>
  <c r="K341" i="14"/>
  <c r="K276" i="14"/>
  <c r="K260" i="14"/>
  <c r="K395" i="14"/>
  <c r="K379" i="14"/>
  <c r="K349" i="14"/>
  <c r="K333" i="14"/>
  <c r="K325" i="14"/>
  <c r="K317" i="14"/>
  <c r="K285" i="14"/>
  <c r="K269" i="14"/>
  <c r="K253" i="14"/>
  <c r="K245" i="14"/>
  <c r="K221" i="14"/>
  <c r="K211" i="14"/>
  <c r="K203" i="14"/>
  <c r="K163" i="14"/>
  <c r="K123" i="14"/>
  <c r="K115" i="14"/>
  <c r="K107" i="14"/>
  <c r="K99" i="14"/>
  <c r="K83" i="14"/>
  <c r="K59" i="14"/>
  <c r="K51" i="14"/>
  <c r="K229" i="14"/>
  <c r="K195" i="14"/>
  <c r="K343" i="29"/>
  <c r="K255" i="29"/>
  <c r="K95" i="29"/>
  <c r="K377" i="24"/>
  <c r="K308" i="24"/>
  <c r="K276" i="24"/>
  <c r="K254" i="24"/>
  <c r="K222" i="24"/>
  <c r="K156" i="24"/>
  <c r="K192" i="24"/>
  <c r="K128" i="24"/>
  <c r="K46" i="24"/>
  <c r="K134" i="24"/>
  <c r="K118" i="24"/>
  <c r="K102" i="24"/>
  <c r="K86" i="24"/>
  <c r="K70" i="24"/>
  <c r="K54" i="24"/>
  <c r="K366" i="14"/>
  <c r="K350" i="14"/>
  <c r="K301" i="14"/>
  <c r="K237" i="14"/>
  <c r="K388" i="14"/>
  <c r="K372" i="14"/>
  <c r="K356" i="14"/>
  <c r="K346" i="14"/>
  <c r="K322" i="14"/>
  <c r="K314" i="14"/>
  <c r="K306" i="14"/>
  <c r="K298" i="14"/>
  <c r="K290" i="14"/>
  <c r="K274" i="14"/>
  <c r="K266" i="14"/>
  <c r="K250" i="14"/>
  <c r="K242" i="14"/>
  <c r="K216" i="14"/>
  <c r="K208" i="14"/>
  <c r="K200" i="14"/>
  <c r="K192" i="14"/>
  <c r="K184" i="14"/>
  <c r="K136" i="14"/>
  <c r="K128" i="14"/>
  <c r="K112" i="14"/>
  <c r="K88" i="14"/>
  <c r="K80" i="14"/>
  <c r="K56" i="14"/>
  <c r="K226" i="14"/>
  <c r="K168" i="29"/>
  <c r="K253" i="24"/>
  <c r="K187" i="24"/>
  <c r="K159" i="24"/>
  <c r="K117" i="24"/>
  <c r="K85" i="24"/>
  <c r="K303" i="14"/>
  <c r="K254" i="14"/>
  <c r="K323" i="14"/>
  <c r="K272" i="14"/>
  <c r="K259" i="14"/>
  <c r="K206" i="14"/>
  <c r="K180" i="14"/>
  <c r="K167" i="14"/>
  <c r="K142" i="14"/>
  <c r="K129" i="14"/>
  <c r="K90" i="14"/>
  <c r="K78" i="14"/>
  <c r="K233" i="14"/>
  <c r="K218" i="14"/>
  <c r="K193" i="14"/>
  <c r="K177" i="14"/>
  <c r="K161" i="14"/>
  <c r="K145" i="14"/>
  <c r="K137" i="14"/>
  <c r="K121" i="14"/>
  <c r="K105" i="14"/>
  <c r="K97" i="14"/>
  <c r="K65" i="14"/>
  <c r="K41" i="14"/>
  <c r="K158" i="24"/>
  <c r="K44" i="24"/>
  <c r="K116" i="24"/>
  <c r="K52" i="24"/>
  <c r="K381" i="14"/>
  <c r="K352" i="14"/>
  <c r="K302" i="14"/>
  <c r="K277" i="14"/>
  <c r="K390" i="14"/>
  <c r="K347" i="14"/>
  <c r="K334" i="14"/>
  <c r="K321" i="14"/>
  <c r="K308" i="14"/>
  <c r="K283" i="14"/>
  <c r="K270" i="14"/>
  <c r="K257" i="14"/>
  <c r="K244" i="14"/>
  <c r="K204" i="14"/>
  <c r="K191" i="14"/>
  <c r="K166" i="14"/>
  <c r="K153" i="14"/>
  <c r="K114" i="14"/>
  <c r="K102" i="14"/>
  <c r="K89" i="14"/>
  <c r="K76" i="14"/>
  <c r="K232" i="14"/>
  <c r="K217" i="14"/>
  <c r="K176" i="14"/>
  <c r="K168" i="14"/>
  <c r="K160" i="14"/>
  <c r="K152" i="14"/>
  <c r="K144" i="14"/>
  <c r="K120" i="14"/>
  <c r="K104" i="14"/>
  <c r="K96" i="14"/>
  <c r="K72" i="14"/>
  <c r="K64" i="14"/>
  <c r="K48" i="14"/>
  <c r="K40" i="14"/>
  <c r="K376" i="29"/>
  <c r="K128" i="29"/>
  <c r="K297" i="24"/>
  <c r="K236" i="24"/>
  <c r="K170" i="24"/>
  <c r="K142" i="24"/>
  <c r="K140" i="24"/>
  <c r="K108" i="24"/>
  <c r="K76" i="24"/>
  <c r="K376" i="14"/>
  <c r="K351" i="14"/>
  <c r="K326" i="14"/>
  <c r="K247" i="14"/>
  <c r="K345" i="14"/>
  <c r="K294" i="14"/>
  <c r="K281" i="14"/>
  <c r="K268" i="14"/>
  <c r="K256" i="14"/>
  <c r="K202" i="14"/>
  <c r="K151" i="14"/>
  <c r="K126" i="14"/>
  <c r="K113" i="14"/>
  <c r="K87" i="14"/>
  <c r="K49" i="14"/>
  <c r="K230" i="14"/>
  <c r="K215" i="14"/>
  <c r="K175" i="14"/>
  <c r="K159" i="14"/>
  <c r="K143" i="14"/>
  <c r="K135" i="14"/>
  <c r="K127" i="14"/>
  <c r="K103" i="14"/>
  <c r="K79" i="14"/>
  <c r="K63" i="14"/>
  <c r="K159" i="29"/>
  <c r="K40" i="29"/>
  <c r="K240" i="24"/>
  <c r="K53" i="24"/>
  <c r="K92" i="24"/>
  <c r="K60" i="24"/>
  <c r="K336" i="14"/>
  <c r="K261" i="14"/>
  <c r="K374" i="14"/>
  <c r="K339" i="14"/>
  <c r="K313" i="14"/>
  <c r="K300" i="14"/>
  <c r="K288" i="14"/>
  <c r="K249" i="14"/>
  <c r="K236" i="14"/>
  <c r="K183" i="14"/>
  <c r="K170" i="14"/>
  <c r="K132" i="14"/>
  <c r="K119" i="14"/>
  <c r="K94" i="14"/>
  <c r="K81" i="14"/>
  <c r="K68" i="14"/>
  <c r="K55" i="14"/>
  <c r="K224" i="14"/>
  <c r="K209" i="14"/>
  <c r="K196" i="14"/>
  <c r="K187" i="14"/>
  <c r="K179" i="14"/>
  <c r="K171" i="14"/>
  <c r="K155" i="14"/>
  <c r="K147" i="14"/>
  <c r="K139" i="14"/>
  <c r="K131" i="14"/>
  <c r="K91" i="14"/>
  <c r="K75" i="14"/>
  <c r="K67" i="14"/>
  <c r="K43" i="14"/>
  <c r="K376" i="24"/>
  <c r="K127" i="24"/>
  <c r="K69" i="24"/>
  <c r="K263" i="14"/>
  <c r="K380" i="14"/>
  <c r="K289" i="14"/>
  <c r="K210" i="14"/>
  <c r="K185" i="14"/>
  <c r="K108" i="14"/>
  <c r="K57" i="14"/>
  <c r="K164" i="14"/>
  <c r="K116" i="14"/>
  <c r="K100" i="14"/>
  <c r="K84" i="14"/>
  <c r="K52" i="14"/>
  <c r="K399" i="23"/>
  <c r="K391" i="23"/>
  <c r="K387" i="23"/>
  <c r="K383" i="23"/>
  <c r="K379" i="23"/>
  <c r="K371" i="23"/>
  <c r="K367" i="23"/>
  <c r="K355" i="23"/>
  <c r="K351" i="23"/>
  <c r="K347" i="23"/>
  <c r="K343" i="23"/>
  <c r="K339" i="23"/>
  <c r="K331" i="23"/>
  <c r="K327" i="23"/>
  <c r="K315" i="23"/>
  <c r="K170" i="23"/>
  <c r="K166" i="23"/>
  <c r="K162" i="23"/>
  <c r="K158" i="23"/>
  <c r="K134" i="23"/>
  <c r="K115" i="23"/>
  <c r="K305" i="23"/>
  <c r="K301" i="23"/>
  <c r="K297" i="23"/>
  <c r="K273" i="23"/>
  <c r="K265" i="23"/>
  <c r="K261" i="23"/>
  <c r="K257" i="23"/>
  <c r="K221" i="23"/>
  <c r="K203" i="23"/>
  <c r="K199" i="23"/>
  <c r="K191" i="23"/>
  <c r="K187" i="23"/>
  <c r="K135" i="23"/>
  <c r="K122" i="23"/>
  <c r="K114" i="23"/>
  <c r="K74" i="23"/>
  <c r="K62" i="23"/>
  <c r="K46" i="23"/>
  <c r="K42" i="23"/>
  <c r="K89" i="23"/>
  <c r="K81" i="23"/>
  <c r="K77" i="23"/>
  <c r="K73" i="23"/>
  <c r="K69" i="23"/>
  <c r="K65" i="23"/>
  <c r="K61" i="23"/>
  <c r="K49" i="23"/>
  <c r="K367" i="29"/>
  <c r="K274" i="24"/>
  <c r="K126" i="24"/>
  <c r="K68" i="24"/>
  <c r="K360" i="14"/>
  <c r="K309" i="14"/>
  <c r="K255" i="14"/>
  <c r="K373" i="14"/>
  <c r="K337" i="14"/>
  <c r="K312" i="14"/>
  <c r="K286" i="14"/>
  <c r="K207" i="14"/>
  <c r="K130" i="14"/>
  <c r="K54" i="14"/>
  <c r="K222" i="14"/>
  <c r="K194" i="14"/>
  <c r="K178" i="14"/>
  <c r="K162" i="14"/>
  <c r="K82" i="14"/>
  <c r="K50" i="14"/>
  <c r="AZ39" i="14"/>
  <c r="K395" i="23"/>
  <c r="K375" i="23"/>
  <c r="K363" i="23"/>
  <c r="K359" i="23"/>
  <c r="K335" i="23"/>
  <c r="K323" i="23"/>
  <c r="K319" i="23"/>
  <c r="K311" i="23"/>
  <c r="K287" i="23"/>
  <c r="K283" i="23"/>
  <c r="K279" i="23"/>
  <c r="K275" i="23"/>
  <c r="K263" i="23"/>
  <c r="K255" i="23"/>
  <c r="K251" i="23"/>
  <c r="K247" i="23"/>
  <c r="K239" i="23"/>
  <c r="K231" i="23"/>
  <c r="K227" i="23"/>
  <c r="K201" i="23"/>
  <c r="K197" i="23"/>
  <c r="K193" i="23"/>
  <c r="K189" i="23"/>
  <c r="K185" i="23"/>
  <c r="K181" i="23"/>
  <c r="K98" i="23"/>
  <c r="K178" i="23"/>
  <c r="K174" i="23"/>
  <c r="K154" i="23"/>
  <c r="K150" i="23"/>
  <c r="K146" i="23"/>
  <c r="K138" i="23"/>
  <c r="K126" i="23"/>
  <c r="K110" i="23"/>
  <c r="K106" i="23"/>
  <c r="K102" i="23"/>
  <c r="K94" i="23"/>
  <c r="K90" i="23"/>
  <c r="K94" i="29"/>
  <c r="K397" i="24"/>
  <c r="K257" i="24"/>
  <c r="K399" i="14"/>
  <c r="K358" i="14"/>
  <c r="K305" i="14"/>
  <c r="K201" i="14"/>
  <c r="K150" i="14"/>
  <c r="K124" i="14"/>
  <c r="K98" i="14"/>
  <c r="K73" i="14"/>
  <c r="K47" i="14"/>
  <c r="K190" i="14"/>
  <c r="K174" i="14"/>
  <c r="K158" i="14"/>
  <c r="K62" i="14"/>
  <c r="K46" i="14"/>
  <c r="K398" i="23"/>
  <c r="K390" i="23"/>
  <c r="K386" i="23"/>
  <c r="K382" i="23"/>
  <c r="K378" i="23"/>
  <c r="K370" i="23"/>
  <c r="K366" i="23"/>
  <c r="K358" i="23"/>
  <c r="K354" i="23"/>
  <c r="K346" i="23"/>
  <c r="K342" i="23"/>
  <c r="K330" i="23"/>
  <c r="K322" i="23"/>
  <c r="K314" i="23"/>
  <c r="K310" i="23"/>
  <c r="K173" i="23"/>
  <c r="K165" i="23"/>
  <c r="K161" i="23"/>
  <c r="K157" i="23"/>
  <c r="K131" i="23"/>
  <c r="K113" i="23"/>
  <c r="K304" i="23"/>
  <c r="K296" i="23"/>
  <c r="K288" i="23"/>
  <c r="K284" i="23"/>
  <c r="K280" i="23"/>
  <c r="K268" i="23"/>
  <c r="K260" i="23"/>
  <c r="K256" i="23"/>
  <c r="K248" i="23"/>
  <c r="K210" i="23"/>
  <c r="K206" i="23"/>
  <c r="K202" i="23"/>
  <c r="K198" i="23"/>
  <c r="K194" i="23"/>
  <c r="K186" i="23"/>
  <c r="K139" i="23"/>
  <c r="K133" i="23"/>
  <c r="K85" i="23"/>
  <c r="K57" i="23"/>
  <c r="K53" i="23"/>
  <c r="K45" i="23"/>
  <c r="K41" i="23"/>
  <c r="K80" i="23"/>
  <c r="K64" i="23"/>
  <c r="K48" i="23"/>
  <c r="K244" i="29"/>
  <c r="K306" i="24"/>
  <c r="K335" i="14"/>
  <c r="K284" i="14"/>
  <c r="K398" i="14"/>
  <c r="K324" i="14"/>
  <c r="K299" i="14"/>
  <c r="K273" i="14"/>
  <c r="K169" i="14"/>
  <c r="K66" i="14"/>
  <c r="K186" i="14"/>
  <c r="K154" i="14"/>
  <c r="K138" i="14"/>
  <c r="K122" i="14"/>
  <c r="K106" i="14"/>
  <c r="K74" i="14"/>
  <c r="K42" i="14"/>
  <c r="K361" i="23"/>
  <c r="K353" i="23"/>
  <c r="K337" i="23"/>
  <c r="K325" i="23"/>
  <c r="K317" i="23"/>
  <c r="K313" i="23"/>
  <c r="K293" i="23"/>
  <c r="K289" i="23"/>
  <c r="K285" i="23"/>
  <c r="K281" i="23"/>
  <c r="K277" i="23"/>
  <c r="K269" i="23"/>
  <c r="K253" i="23"/>
  <c r="K249" i="23"/>
  <c r="K245" i="23"/>
  <c r="K241" i="23"/>
  <c r="K237" i="23"/>
  <c r="K233" i="23"/>
  <c r="K229" i="23"/>
  <c r="K225" i="23"/>
  <c r="K215" i="23"/>
  <c r="K211" i="23"/>
  <c r="K207" i="23"/>
  <c r="K195" i="23"/>
  <c r="K183" i="23"/>
  <c r="K140" i="23"/>
  <c r="K96" i="23"/>
  <c r="K180" i="23"/>
  <c r="K176" i="23"/>
  <c r="K168" i="23"/>
  <c r="K160" i="23"/>
  <c r="K152" i="23"/>
  <c r="K144" i="23"/>
  <c r="K124" i="23"/>
  <c r="K120" i="23"/>
  <c r="K116" i="23"/>
  <c r="K108" i="23"/>
  <c r="K104" i="23"/>
  <c r="K92" i="23"/>
  <c r="K142" i="23"/>
  <c r="K51" i="24"/>
  <c r="K181" i="14"/>
  <c r="K117" i="14"/>
  <c r="K380" i="23"/>
  <c r="K364" i="23"/>
  <c r="K332" i="23"/>
  <c r="K316" i="23"/>
  <c r="K300" i="23"/>
  <c r="K252" i="23"/>
  <c r="K236" i="23"/>
  <c r="K218" i="23"/>
  <c r="K118" i="23"/>
  <c r="K105" i="23"/>
  <c r="K169" i="23"/>
  <c r="K153" i="23"/>
  <c r="K141" i="23"/>
  <c r="K76" i="23"/>
  <c r="K71" i="23"/>
  <c r="K60" i="23"/>
  <c r="K55" i="23"/>
  <c r="K44" i="23"/>
  <c r="K63" i="23"/>
  <c r="K58" i="23"/>
  <c r="K47" i="23"/>
  <c r="K238" i="14"/>
  <c r="K172" i="14"/>
  <c r="K44" i="14"/>
  <c r="K352" i="23"/>
  <c r="K336" i="23"/>
  <c r="K240" i="23"/>
  <c r="K190" i="23"/>
  <c r="K109" i="23"/>
  <c r="K132" i="23"/>
  <c r="K75" i="23"/>
  <c r="K78" i="23"/>
  <c r="K397" i="23"/>
  <c r="K333" i="23"/>
  <c r="K216" i="23"/>
  <c r="K200" i="23"/>
  <c r="K282" i="23"/>
  <c r="K266" i="23"/>
  <c r="K151" i="23"/>
  <c r="K169" i="24"/>
  <c r="K139" i="24"/>
  <c r="K344" i="14"/>
  <c r="K239" i="14"/>
  <c r="K329" i="14"/>
  <c r="K227" i="14"/>
  <c r="K71" i="14"/>
  <c r="K212" i="14"/>
  <c r="K141" i="14"/>
  <c r="K393" i="23"/>
  <c r="K377" i="23"/>
  <c r="K372" i="23"/>
  <c r="K345" i="23"/>
  <c r="K340" i="23"/>
  <c r="K329" i="23"/>
  <c r="K374" i="23"/>
  <c r="K326" i="23"/>
  <c r="K294" i="23"/>
  <c r="K278" i="23"/>
  <c r="K230" i="23"/>
  <c r="K196" i="23"/>
  <c r="K164" i="23"/>
  <c r="K299" i="23"/>
  <c r="K267" i="23"/>
  <c r="K262" i="23"/>
  <c r="K246" i="23"/>
  <c r="K235" i="23"/>
  <c r="K217" i="23"/>
  <c r="K212" i="23"/>
  <c r="K179" i="23"/>
  <c r="K163" i="23"/>
  <c r="K99" i="23"/>
  <c r="K333" i="24"/>
  <c r="K342" i="14"/>
  <c r="K328" i="14"/>
  <c r="K225" i="14"/>
  <c r="K140" i="14"/>
  <c r="K384" i="23"/>
  <c r="K272" i="23"/>
  <c r="K224" i="23"/>
  <c r="K125" i="23"/>
  <c r="K93" i="23"/>
  <c r="K59" i="23"/>
  <c r="K43" i="23"/>
  <c r="K311" i="14"/>
  <c r="K381" i="23"/>
  <c r="K349" i="23"/>
  <c r="K223" i="23"/>
  <c r="K103" i="23"/>
  <c r="K123" i="23"/>
  <c r="K49" i="29"/>
  <c r="K141" i="24"/>
  <c r="K397" i="14"/>
  <c r="K293" i="14"/>
  <c r="K252" i="14"/>
  <c r="K148" i="14"/>
  <c r="K189" i="14"/>
  <c r="K157" i="14"/>
  <c r="K125" i="14"/>
  <c r="K93" i="14"/>
  <c r="K61" i="14"/>
  <c r="K396" i="23"/>
  <c r="K385" i="23"/>
  <c r="K369" i="23"/>
  <c r="K348" i="23"/>
  <c r="K321" i="23"/>
  <c r="K350" i="23"/>
  <c r="K334" i="23"/>
  <c r="K318" i="23"/>
  <c r="K286" i="23"/>
  <c r="K254" i="23"/>
  <c r="K238" i="23"/>
  <c r="K188" i="23"/>
  <c r="K172" i="23"/>
  <c r="K156" i="23"/>
  <c r="K137" i="23"/>
  <c r="K121" i="23"/>
  <c r="K307" i="23"/>
  <c r="K302" i="23"/>
  <c r="K291" i="23"/>
  <c r="K270" i="23"/>
  <c r="K259" i="23"/>
  <c r="K243" i="23"/>
  <c r="K222" i="23"/>
  <c r="K209" i="23"/>
  <c r="K204" i="23"/>
  <c r="K155" i="23"/>
  <c r="K107" i="23"/>
  <c r="K91" i="23"/>
  <c r="K128" i="23"/>
  <c r="K100" i="23"/>
  <c r="K389" i="23"/>
  <c r="K373" i="23"/>
  <c r="K357" i="23"/>
  <c r="K341" i="23"/>
  <c r="K320" i="23"/>
  <c r="K309" i="23"/>
  <c r="K338" i="23"/>
  <c r="K290" i="23"/>
  <c r="K242" i="23"/>
  <c r="K306" i="23"/>
  <c r="K208" i="23"/>
  <c r="K159" i="23"/>
  <c r="K143" i="23"/>
  <c r="K95" i="23"/>
  <c r="K320" i="14"/>
  <c r="K318" i="14"/>
  <c r="K214" i="14"/>
  <c r="K111" i="14"/>
  <c r="K392" i="23"/>
  <c r="K365" i="23"/>
  <c r="K344" i="23"/>
  <c r="K394" i="23"/>
  <c r="K303" i="23"/>
  <c r="K271" i="23"/>
  <c r="K205" i="23"/>
  <c r="K148" i="23"/>
  <c r="K269" i="24"/>
  <c r="K91" i="24"/>
  <c r="K110" i="14"/>
  <c r="K199" i="14"/>
  <c r="K133" i="14"/>
  <c r="K69" i="29"/>
  <c r="K392" i="14"/>
  <c r="K355" i="14"/>
  <c r="K251" i="14"/>
  <c r="K198" i="14"/>
  <c r="K146" i="14"/>
  <c r="K95" i="14"/>
  <c r="K156" i="14"/>
  <c r="K92" i="14"/>
  <c r="K376" i="23"/>
  <c r="K360" i="23"/>
  <c r="K312" i="23"/>
  <c r="K264" i="23"/>
  <c r="K232" i="23"/>
  <c r="K214" i="23"/>
  <c r="K182" i="23"/>
  <c r="K147" i="23"/>
  <c r="K149" i="23"/>
  <c r="K117" i="23"/>
  <c r="K101" i="23"/>
  <c r="K136" i="23"/>
  <c r="K88" i="23"/>
  <c r="K83" i="23"/>
  <c r="K72" i="23"/>
  <c r="K67" i="23"/>
  <c r="K51" i="23"/>
  <c r="K40" i="23"/>
  <c r="K86" i="23"/>
  <c r="K70" i="23"/>
  <c r="K54" i="23"/>
  <c r="B171" i="4"/>
  <c r="K221" i="24"/>
  <c r="K292" i="14"/>
  <c r="K241" i="14"/>
  <c r="K188" i="14"/>
  <c r="K228" i="14"/>
  <c r="K182" i="14"/>
  <c r="K118" i="14"/>
  <c r="K86" i="14"/>
  <c r="K400" i="23"/>
  <c r="K368" i="23"/>
  <c r="K258" i="23"/>
  <c r="K192" i="23"/>
  <c r="K171" i="23"/>
  <c r="K130" i="23"/>
  <c r="K97" i="23"/>
  <c r="K295" i="23"/>
  <c r="K274" i="23"/>
  <c r="K226" i="23"/>
  <c r="K213" i="23"/>
  <c r="K175" i="23"/>
  <c r="K127" i="23"/>
  <c r="K111" i="23"/>
  <c r="K359" i="29"/>
  <c r="K243" i="29"/>
  <c r="K60" i="14"/>
  <c r="K134" i="14"/>
  <c r="K70" i="14"/>
  <c r="K328" i="23"/>
  <c r="K362" i="23"/>
  <c r="K234" i="23"/>
  <c r="K184" i="23"/>
  <c r="K298" i="23"/>
  <c r="K250" i="23"/>
  <c r="K167" i="23"/>
  <c r="K119" i="23"/>
  <c r="K178" i="29"/>
  <c r="K173" i="24"/>
  <c r="K382" i="14"/>
  <c r="K58" i="14"/>
  <c r="K356" i="23"/>
  <c r="K228" i="23"/>
  <c r="K112" i="23"/>
  <c r="K316" i="14"/>
  <c r="K177" i="23"/>
  <c r="K79" i="23"/>
  <c r="K87" i="23"/>
  <c r="K66" i="23"/>
  <c r="K145" i="23"/>
  <c r="K68" i="23"/>
  <c r="K324" i="23"/>
  <c r="K308" i="23"/>
  <c r="K84" i="23"/>
  <c r="K50" i="23"/>
  <c r="K292" i="23"/>
  <c r="K276" i="23"/>
  <c r="K388" i="23"/>
  <c r="K244" i="23"/>
  <c r="K52" i="23"/>
  <c r="K82" i="23"/>
  <c r="K39" i="23"/>
  <c r="K129" i="23"/>
  <c r="AY59" i="14"/>
  <c r="AY193" i="14"/>
  <c r="AY114" i="14"/>
  <c r="AY143" i="14"/>
  <c r="AY61" i="14"/>
  <c r="AY75" i="14"/>
  <c r="AY149" i="14"/>
  <c r="AY210" i="14"/>
  <c r="AY52" i="14"/>
  <c r="AY203" i="14"/>
  <c r="AY142" i="14"/>
  <c r="AY124" i="14"/>
  <c r="AY88" i="14"/>
  <c r="AY130" i="14"/>
  <c r="B139" i="4"/>
  <c r="B140" i="4"/>
  <c r="B141" i="4" s="1"/>
  <c r="M102" i="25" s="1"/>
  <c r="AY126" i="14"/>
  <c r="AY216" i="14"/>
  <c r="AY54" i="14"/>
  <c r="AY139" i="14"/>
  <c r="AY48" i="14"/>
  <c r="AY63" i="14"/>
  <c r="AY85" i="14"/>
  <c r="AY214" i="14"/>
  <c r="AY99" i="14"/>
  <c r="AY208" i="14"/>
  <c r="AY157" i="14"/>
  <c r="AY51" i="14"/>
  <c r="AY146" i="14"/>
  <c r="AY163" i="14"/>
  <c r="AY145" i="14"/>
  <c r="AY78" i="14"/>
  <c r="AY92" i="14"/>
  <c r="AY198" i="14"/>
  <c r="AY98" i="14"/>
  <c r="AY195" i="14"/>
  <c r="AY67" i="14"/>
  <c r="AY42" i="14"/>
  <c r="AY69" i="14"/>
  <c r="AY50" i="14"/>
  <c r="AY152" i="14"/>
  <c r="AY79" i="14"/>
  <c r="AY190" i="14"/>
  <c r="AY109" i="14"/>
  <c r="AY133" i="14"/>
  <c r="AY41" i="14"/>
  <c r="AY117" i="14"/>
  <c r="AY159" i="14"/>
  <c r="AY176" i="14"/>
  <c r="AY209" i="14"/>
  <c r="AY177" i="14"/>
  <c r="AY82" i="14"/>
  <c r="AY77" i="14"/>
  <c r="AY53" i="14"/>
  <c r="AY108" i="14"/>
  <c r="AY202" i="14"/>
  <c r="AY166" i="14"/>
  <c r="AD393" i="23"/>
  <c r="AE393" i="23" s="1"/>
  <c r="AF217" i="23"/>
  <c r="AD103" i="23"/>
  <c r="AE103" i="23" s="1"/>
  <c r="AD318" i="23"/>
  <c r="AE318" i="23" s="1"/>
  <c r="AD66" i="23"/>
  <c r="AE66" i="23" s="1"/>
  <c r="AF141" i="23"/>
  <c r="AF326" i="23"/>
  <c r="AD121" i="23"/>
  <c r="AE121" i="23" s="1"/>
  <c r="AF229" i="23"/>
  <c r="AD235" i="23"/>
  <c r="AE235" i="23" s="1"/>
  <c r="AD301" i="23"/>
  <c r="AE301" i="23" s="1"/>
  <c r="AF195" i="23"/>
  <c r="AF192" i="23"/>
  <c r="AF90" i="23"/>
  <c r="AD56" i="23"/>
  <c r="AE56" i="23" s="1"/>
  <c r="AF114" i="23"/>
  <c r="AD344" i="23"/>
  <c r="AE344" i="23" s="1"/>
  <c r="AF395" i="23"/>
  <c r="AD299" i="23"/>
  <c r="AE299" i="23" s="1"/>
  <c r="AD204" i="23"/>
  <c r="AE204" i="23" s="1"/>
  <c r="AD279" i="23"/>
  <c r="AE279" i="23" s="1"/>
  <c r="AF191" i="23"/>
  <c r="AF228" i="23"/>
  <c r="AF49" i="23"/>
  <c r="AF246" i="23"/>
  <c r="AD96" i="23"/>
  <c r="AE96" i="23" s="1"/>
  <c r="AD277" i="23"/>
  <c r="AE277" i="23" s="1"/>
  <c r="AF235" i="23"/>
  <c r="AF367" i="23"/>
  <c r="AF283" i="23"/>
  <c r="AF198" i="23"/>
  <c r="AF361" i="23"/>
  <c r="AF137" i="23"/>
  <c r="AF73" i="23"/>
  <c r="AD187" i="23"/>
  <c r="AE187" i="23" s="1"/>
  <c r="AD143" i="23"/>
  <c r="AE143" i="23" s="1"/>
  <c r="AD87" i="23"/>
  <c r="AE87" i="23" s="1"/>
  <c r="Z29" i="14"/>
  <c r="AB29" i="14" s="1"/>
  <c r="AA40" i="14" s="1"/>
  <c r="AB40" i="14" s="1"/>
  <c r="AE195" i="14"/>
  <c r="AF195" i="14" s="1"/>
  <c r="AE212" i="14"/>
  <c r="AF212" i="14" s="1"/>
  <c r="AG271" i="14"/>
  <c r="AE136" i="14"/>
  <c r="AF136" i="14" s="1"/>
  <c r="AE288" i="14"/>
  <c r="AF288" i="14" s="1"/>
  <c r="AG114" i="14"/>
  <c r="AE347" i="14"/>
  <c r="AF347" i="14" s="1"/>
  <c r="AG386" i="14"/>
  <c r="AG53" i="14"/>
  <c r="AE122" i="14"/>
  <c r="AF122" i="14" s="1"/>
  <c r="AG398" i="14"/>
  <c r="AG340" i="14"/>
  <c r="AE47" i="14"/>
  <c r="AF47" i="14" s="1"/>
  <c r="AE311" i="14"/>
  <c r="AF311" i="14" s="1"/>
  <c r="AG157" i="14"/>
  <c r="AG180" i="14"/>
  <c r="AG46" i="14"/>
  <c r="AE285" i="14"/>
  <c r="AF285" i="14" s="1"/>
  <c r="AE333" i="14"/>
  <c r="AF333" i="14" s="1"/>
  <c r="AE300" i="14"/>
  <c r="AF300" i="14" s="1"/>
  <c r="AE237" i="14"/>
  <c r="AF237" i="14" s="1"/>
  <c r="AF121" i="29"/>
  <c r="AD355" i="29"/>
  <c r="AE355" i="29" s="1"/>
  <c r="AD147" i="29"/>
  <c r="AE147" i="29" s="1"/>
  <c r="AD238" i="29"/>
  <c r="AE238" i="29" s="1"/>
  <c r="AF343" i="29"/>
  <c r="AD130" i="29"/>
  <c r="AE130" i="29" s="1"/>
  <c r="AF277" i="29"/>
  <c r="AD267" i="29"/>
  <c r="AE267" i="29" s="1"/>
  <c r="AF241" i="29"/>
  <c r="AF309" i="29"/>
  <c r="AF341" i="29"/>
  <c r="AF262" i="29"/>
  <c r="AD127" i="29"/>
  <c r="AE127" i="29" s="1"/>
  <c r="AD366" i="29"/>
  <c r="AE366" i="29" s="1"/>
  <c r="AD118" i="29"/>
  <c r="AE118" i="29" s="1"/>
  <c r="AD389" i="29"/>
  <c r="AE389" i="29" s="1"/>
  <c r="AD99" i="29"/>
  <c r="AE99" i="29" s="1"/>
  <c r="AF72" i="29"/>
  <c r="AF54" i="29"/>
  <c r="AF377" i="29"/>
  <c r="AF114" i="29"/>
  <c r="AD313" i="29"/>
  <c r="AE313" i="29" s="1"/>
  <c r="AD109" i="29"/>
  <c r="AE109" i="29" s="1"/>
  <c r="AD341" i="29"/>
  <c r="AE341" i="29" s="1"/>
  <c r="AF66" i="29"/>
  <c r="AF166" i="29"/>
  <c r="AD167" i="29"/>
  <c r="AE167" i="29" s="1"/>
  <c r="AD210" i="29"/>
  <c r="AE210" i="29" s="1"/>
  <c r="AF122" i="29"/>
  <c r="AD311" i="29"/>
  <c r="AE311" i="29" s="1"/>
  <c r="AD374" i="29"/>
  <c r="AE374" i="29" s="1"/>
  <c r="AD390" i="29"/>
  <c r="AE390" i="29" s="1"/>
  <c r="AD299" i="29"/>
  <c r="AE299" i="29" s="1"/>
  <c r="AD55" i="29"/>
  <c r="AE55" i="29" s="1"/>
  <c r="AD308" i="29"/>
  <c r="AE308" i="29" s="1"/>
  <c r="AF111" i="29"/>
  <c r="AF307" i="29"/>
  <c r="AD133" i="29"/>
  <c r="AE133" i="29" s="1"/>
  <c r="AD347" i="29"/>
  <c r="AE347" i="29" s="1"/>
  <c r="AD393" i="29"/>
  <c r="AE393" i="29" s="1"/>
  <c r="AF245" i="29"/>
  <c r="AF160" i="29"/>
  <c r="AD398" i="29"/>
  <c r="AE398" i="29" s="1"/>
  <c r="AD200" i="29"/>
  <c r="AE200" i="29" s="1"/>
  <c r="AD203" i="29"/>
  <c r="AE203" i="29" s="1"/>
  <c r="AD324" i="29"/>
  <c r="AE324" i="29" s="1"/>
  <c r="AD134" i="29"/>
  <c r="AE134" i="29" s="1"/>
  <c r="AF55" i="29"/>
  <c r="AF373" i="29"/>
  <c r="AD191" i="29"/>
  <c r="AE191" i="29" s="1"/>
  <c r="AF69" i="29"/>
  <c r="AF371" i="29"/>
  <c r="AF109" i="29"/>
  <c r="AD331" i="29"/>
  <c r="AE331" i="29" s="1"/>
  <c r="AF350" i="29"/>
  <c r="AF62" i="29"/>
  <c r="AD363" i="29"/>
  <c r="AE363" i="29" s="1"/>
  <c r="AD257" i="29"/>
  <c r="AE257" i="29" s="1"/>
  <c r="AF312" i="29"/>
  <c r="AD392" i="29"/>
  <c r="AE392" i="29" s="1"/>
  <c r="AD44" i="29"/>
  <c r="AE44" i="29" s="1"/>
  <c r="AF348" i="29"/>
  <c r="AD110" i="29"/>
  <c r="AE110" i="29" s="1"/>
  <c r="AF86" i="29"/>
  <c r="AF96" i="29"/>
  <c r="AF44" i="29"/>
  <c r="AD82" i="29"/>
  <c r="AE82" i="29" s="1"/>
  <c r="AF266" i="29"/>
  <c r="AD206" i="29"/>
  <c r="AE206" i="29" s="1"/>
  <c r="AF288" i="29"/>
  <c r="AD251" i="29"/>
  <c r="AE251" i="29" s="1"/>
  <c r="AD68" i="29"/>
  <c r="AE68" i="29" s="1"/>
  <c r="AF205" i="29"/>
  <c r="AF113" i="29"/>
  <c r="AF276" i="29"/>
  <c r="AF270" i="29"/>
  <c r="AF89" i="29"/>
  <c r="AD183" i="29"/>
  <c r="AE183" i="29" s="1"/>
  <c r="AF49" i="29"/>
  <c r="AF367" i="29"/>
  <c r="AD198" i="29"/>
  <c r="AE198" i="29" s="1"/>
  <c r="AD297" i="29"/>
  <c r="AE297" i="29" s="1"/>
  <c r="AF59" i="29"/>
  <c r="AD145" i="29"/>
  <c r="AE145" i="29" s="1"/>
  <c r="AF110" i="29"/>
  <c r="AF388" i="29"/>
  <c r="AF391" i="29"/>
  <c r="AF255" i="29"/>
  <c r="AF137" i="29"/>
  <c r="AF73" i="29"/>
  <c r="AD340" i="29"/>
  <c r="AE340" i="29" s="1"/>
  <c r="AF179" i="29"/>
  <c r="AF102" i="29"/>
  <c r="AD77" i="29"/>
  <c r="AE77" i="29" s="1"/>
  <c r="AF364" i="29"/>
  <c r="AD351" i="29"/>
  <c r="AE351" i="29" s="1"/>
  <c r="AD255" i="29"/>
  <c r="AE255" i="29" s="1"/>
  <c r="AF174" i="29"/>
  <c r="AF214" i="29"/>
  <c r="AD236" i="29"/>
  <c r="AE236" i="29" s="1"/>
  <c r="AF218" i="29"/>
  <c r="AF381" i="29"/>
  <c r="AF233" i="29"/>
  <c r="AD262" i="29"/>
  <c r="AE262" i="29" s="1"/>
  <c r="AD186" i="29"/>
  <c r="AE186" i="29" s="1"/>
  <c r="AF393" i="29"/>
  <c r="AF43" i="29"/>
  <c r="AD225" i="29"/>
  <c r="AE225" i="29" s="1"/>
  <c r="AF264" i="29"/>
  <c r="AF64" i="29"/>
  <c r="AF370" i="29"/>
  <c r="AF311" i="29"/>
  <c r="AF119" i="29"/>
  <c r="AD373" i="29"/>
  <c r="AE373" i="29" s="1"/>
  <c r="AD125" i="29"/>
  <c r="AE125" i="29" s="1"/>
  <c r="AF74" i="29"/>
  <c r="AF329" i="29"/>
  <c r="AD122" i="29"/>
  <c r="AE122" i="29" s="1"/>
  <c r="AF216" i="29"/>
  <c r="G22" i="29"/>
  <c r="AF398" i="29"/>
  <c r="AF228" i="29"/>
  <c r="AD150" i="29"/>
  <c r="AE150" i="29" s="1"/>
  <c r="AD49" i="29"/>
  <c r="AE49" i="29" s="1"/>
  <c r="AF139" i="29"/>
  <c r="AF332" i="29"/>
  <c r="AD258" i="29"/>
  <c r="AE258" i="29" s="1"/>
  <c r="AD397" i="29"/>
  <c r="AE397" i="29" s="1"/>
  <c r="AD51" i="29"/>
  <c r="AE51" i="29" s="1"/>
  <c r="AF106" i="29"/>
  <c r="AD158" i="29"/>
  <c r="AE158" i="29" s="1"/>
  <c r="AF99" i="29"/>
  <c r="AD138" i="29"/>
  <c r="AE138" i="29" s="1"/>
  <c r="AF250" i="29"/>
  <c r="AF302" i="29"/>
  <c r="AD367" i="29"/>
  <c r="AE367" i="29" s="1"/>
  <c r="AF130" i="29"/>
  <c r="AF155" i="29"/>
  <c r="AF159" i="29"/>
  <c r="AD337" i="29"/>
  <c r="AE337" i="29" s="1"/>
  <c r="AD128" i="29"/>
  <c r="AE128" i="29" s="1"/>
  <c r="AF209" i="29"/>
  <c r="AF103" i="29"/>
  <c r="AF293" i="29"/>
  <c r="AD244" i="29"/>
  <c r="AE244" i="29" s="1"/>
  <c r="AD353" i="29"/>
  <c r="AE353" i="29" s="1"/>
  <c r="AD149" i="29"/>
  <c r="AE149" i="29" s="1"/>
  <c r="AD50" i="29"/>
  <c r="AE50" i="29" s="1"/>
  <c r="AD383" i="29"/>
  <c r="AE383" i="29" s="1"/>
  <c r="AD368" i="29"/>
  <c r="AE368" i="29" s="1"/>
  <c r="AF399" i="29"/>
  <c r="AF87" i="29"/>
  <c r="AF281" i="29"/>
  <c r="AF356" i="29"/>
  <c r="AF394" i="29"/>
  <c r="AD227" i="29"/>
  <c r="AE227" i="29" s="1"/>
  <c r="AF150" i="29"/>
  <c r="AF112" i="29"/>
  <c r="AF299" i="29"/>
  <c r="AF149" i="29"/>
  <c r="AD90" i="29"/>
  <c r="AE90" i="29" s="1"/>
  <c r="AD381" i="29"/>
  <c r="AE381" i="29" s="1"/>
  <c r="AF156" i="29"/>
  <c r="AF392" i="29"/>
  <c r="AD61" i="29"/>
  <c r="AE61" i="29" s="1"/>
  <c r="AF259" i="29"/>
  <c r="AD317" i="29"/>
  <c r="AE317" i="29" s="1"/>
  <c r="AF326" i="29"/>
  <c r="AD350" i="29"/>
  <c r="AE350" i="29" s="1"/>
  <c r="AD329" i="29"/>
  <c r="AE329" i="29" s="1"/>
  <c r="AD172" i="29"/>
  <c r="AE172" i="29" s="1"/>
  <c r="AF389" i="29"/>
  <c r="AF187" i="29"/>
  <c r="AF385" i="29"/>
  <c r="AF230" i="29"/>
  <c r="AD302" i="29"/>
  <c r="AE302" i="29" s="1"/>
  <c r="AF263" i="29"/>
  <c r="AF46" i="29"/>
  <c r="AF147" i="29"/>
  <c r="AF306" i="29"/>
  <c r="AF134" i="29"/>
  <c r="AF126" i="29"/>
  <c r="AD364" i="29"/>
  <c r="AE364" i="29" s="1"/>
  <c r="AD142" i="29"/>
  <c r="AE142" i="29" s="1"/>
  <c r="AD136" i="29"/>
  <c r="AE136" i="29" s="1"/>
  <c r="AF135" i="29"/>
  <c r="AD334" i="29"/>
  <c r="AE334" i="29" s="1"/>
  <c r="AF363" i="29"/>
  <c r="AF173" i="29"/>
  <c r="AD160" i="29"/>
  <c r="AE160" i="29" s="1"/>
  <c r="AF248" i="29"/>
  <c r="AF175" i="29"/>
  <c r="AD115" i="29"/>
  <c r="AE115" i="29" s="1"/>
  <c r="AD260" i="29"/>
  <c r="AE260" i="29" s="1"/>
  <c r="AF40" i="29"/>
  <c r="AF132" i="29"/>
  <c r="AF375" i="29"/>
  <c r="AD185" i="29"/>
  <c r="AE185" i="29" s="1"/>
  <c r="AF107" i="29"/>
  <c r="AD67" i="29"/>
  <c r="AE67" i="29" s="1"/>
  <c r="AD214" i="29"/>
  <c r="AE214" i="29" s="1"/>
  <c r="AF221" i="29"/>
  <c r="AD92" i="29"/>
  <c r="AE92" i="29" s="1"/>
  <c r="AF194" i="29"/>
  <c r="AF372" i="29"/>
  <c r="AF182" i="23"/>
  <c r="AF351" i="23"/>
  <c r="AF234" i="23"/>
  <c r="AF184" i="23"/>
  <c r="AF162" i="23"/>
  <c r="AF369" i="23"/>
  <c r="AF282" i="23"/>
  <c r="AF213" i="23"/>
  <c r="AF327" i="23"/>
  <c r="AD329" i="23"/>
  <c r="AE329" i="23" s="1"/>
  <c r="AF331" i="23"/>
  <c r="AD313" i="23"/>
  <c r="AE313" i="23" s="1"/>
  <c r="AF318" i="23"/>
  <c r="AD296" i="23"/>
  <c r="AE296" i="23" s="1"/>
  <c r="AF258" i="23"/>
  <c r="AD248" i="23"/>
  <c r="AE248" i="23" s="1"/>
  <c r="G22" i="23"/>
  <c r="AD305" i="23"/>
  <c r="AE305" i="23" s="1"/>
  <c r="AF352" i="23"/>
  <c r="AF93" i="23"/>
  <c r="AF140" i="23"/>
  <c r="AF334" i="23"/>
  <c r="AD391" i="23"/>
  <c r="AE391" i="23" s="1"/>
  <c r="AD162" i="23"/>
  <c r="AE162" i="23" s="1"/>
  <c r="AD286" i="23"/>
  <c r="AE286" i="23" s="1"/>
  <c r="AF379" i="23"/>
  <c r="AF133" i="23"/>
  <c r="AD130" i="23"/>
  <c r="AE130" i="23" s="1"/>
  <c r="AD233" i="23"/>
  <c r="AE233" i="23" s="1"/>
  <c r="AD109" i="23"/>
  <c r="AE109" i="23" s="1"/>
  <c r="AF48" i="23"/>
  <c r="AF362" i="23"/>
  <c r="AD252" i="23"/>
  <c r="AE252" i="23" s="1"/>
  <c r="AF263" i="23"/>
  <c r="AD192" i="23"/>
  <c r="AE192" i="23" s="1"/>
  <c r="AF348" i="23"/>
  <c r="AD355" i="23"/>
  <c r="AE355" i="23" s="1"/>
  <c r="AF94" i="23"/>
  <c r="AF57" i="23"/>
  <c r="AF84" i="23"/>
  <c r="AF208" i="23"/>
  <c r="AD375" i="23"/>
  <c r="AE375" i="23" s="1"/>
  <c r="AD265" i="23"/>
  <c r="AE265" i="23" s="1"/>
  <c r="AD202" i="23"/>
  <c r="AE202" i="23" s="1"/>
  <c r="AD314" i="23"/>
  <c r="AE314" i="23" s="1"/>
  <c r="AD48" i="23"/>
  <c r="AE48" i="23" s="1"/>
  <c r="AF99" i="23"/>
  <c r="AF314" i="23"/>
  <c r="AF211" i="23"/>
  <c r="AF365" i="23"/>
  <c r="AF104" i="23"/>
  <c r="AF146" i="23"/>
  <c r="AD349" i="23"/>
  <c r="AE349" i="23" s="1"/>
  <c r="AF354" i="23"/>
  <c r="AD332" i="23"/>
  <c r="AE332" i="23" s="1"/>
  <c r="AF294" i="23"/>
  <c r="AD284" i="23"/>
  <c r="AE284" i="23" s="1"/>
  <c r="AF391" i="23"/>
  <c r="AD246" i="23"/>
  <c r="AE246" i="23" s="1"/>
  <c r="AD374" i="23"/>
  <c r="AE374" i="23" s="1"/>
  <c r="AF139" i="23"/>
  <c r="AF187" i="23"/>
  <c r="AF315" i="23"/>
  <c r="AC32" i="23"/>
  <c r="AD180" i="23"/>
  <c r="AE180" i="23" s="1"/>
  <c r="AD298" i="23"/>
  <c r="AE298" i="23" s="1"/>
  <c r="AF97" i="23"/>
  <c r="AD44" i="23"/>
  <c r="AE44" i="23" s="1"/>
  <c r="AD144" i="23"/>
  <c r="AE144" i="23" s="1"/>
  <c r="AD241" i="23"/>
  <c r="AE241" i="23" s="1"/>
  <c r="AD149" i="23"/>
  <c r="AE149" i="23" s="1"/>
  <c r="AD70" i="23"/>
  <c r="AE70" i="23" s="1"/>
  <c r="AF168" i="23"/>
  <c r="AD288" i="23"/>
  <c r="AE288" i="23" s="1"/>
  <c r="AF275" i="23"/>
  <c r="AD210" i="23"/>
  <c r="AE210" i="23" s="1"/>
  <c r="AF360" i="23"/>
  <c r="AD369" i="23"/>
  <c r="AE369" i="23" s="1"/>
  <c r="AF122" i="23"/>
  <c r="AF83" i="23"/>
  <c r="AF346" i="23"/>
  <c r="AF158" i="23"/>
  <c r="AF142" i="23"/>
  <c r="AF200" i="23"/>
  <c r="AF188" i="23"/>
  <c r="AF393" i="23"/>
  <c r="AF390" i="23"/>
  <c r="AD368" i="23"/>
  <c r="AE368" i="23" s="1"/>
  <c r="AF330" i="23"/>
  <c r="AD320" i="23"/>
  <c r="AE320" i="23" s="1"/>
  <c r="AF236" i="23"/>
  <c r="AF256" i="23"/>
  <c r="AF384" i="23"/>
  <c r="AF179" i="23"/>
  <c r="AF203" i="23"/>
  <c r="AF128" i="23"/>
  <c r="AF224" i="23"/>
  <c r="AD200" i="23"/>
  <c r="AE200" i="23" s="1"/>
  <c r="AF396" i="23"/>
  <c r="AF155" i="23"/>
  <c r="AD68" i="23"/>
  <c r="AE68" i="23" s="1"/>
  <c r="AD181" i="23"/>
  <c r="AE181" i="23" s="1"/>
  <c r="AD251" i="23"/>
  <c r="AE251" i="23" s="1"/>
  <c r="AD125" i="23"/>
  <c r="AE125" i="23" s="1"/>
  <c r="AF82" i="23"/>
  <c r="AD300" i="23"/>
  <c r="AE300" i="23" s="1"/>
  <c r="AD345" i="23"/>
  <c r="AE345" i="23" s="1"/>
  <c r="AF287" i="23"/>
  <c r="AD222" i="23"/>
  <c r="AE222" i="23" s="1"/>
  <c r="AF372" i="23"/>
  <c r="AF105" i="23"/>
  <c r="AF150" i="23"/>
  <c r="AD263" i="23"/>
  <c r="AE263" i="23" s="1"/>
  <c r="AF67" i="23"/>
  <c r="AF358" i="23"/>
  <c r="AD397" i="23"/>
  <c r="AE397" i="23" s="1"/>
  <c r="AD289" i="23"/>
  <c r="AE289" i="23" s="1"/>
  <c r="AD232" i="23"/>
  <c r="AE232" i="23" s="1"/>
  <c r="AD338" i="23"/>
  <c r="AE338" i="23" s="1"/>
  <c r="AD59" i="23"/>
  <c r="AE59" i="23" s="1"/>
  <c r="AD52" i="23"/>
  <c r="AE52" i="23" s="1"/>
  <c r="AD134" i="23"/>
  <c r="AE134" i="23" s="1"/>
  <c r="AF145" i="23"/>
  <c r="AF116" i="23"/>
  <c r="AF306" i="23"/>
  <c r="AD328" i="23"/>
  <c r="AE328" i="23" s="1"/>
  <c r="AF310" i="23"/>
  <c r="AD312" i="23"/>
  <c r="AE312" i="23" s="1"/>
  <c r="AF204" i="23"/>
  <c r="AF156" i="23"/>
  <c r="AF132" i="23"/>
  <c r="AF347" i="23"/>
  <c r="AD321" i="23"/>
  <c r="AE321" i="23" s="1"/>
  <c r="AF251" i="23"/>
  <c r="AD310" i="23"/>
  <c r="AE310" i="23" s="1"/>
  <c r="AD347" i="23"/>
  <c r="AE347" i="23" s="1"/>
  <c r="AF85" i="23"/>
  <c r="AF46" i="23"/>
  <c r="AD396" i="23"/>
  <c r="AE396" i="23" s="1"/>
  <c r="AD261" i="23"/>
  <c r="AE261" i="23" s="1"/>
  <c r="AD250" i="23"/>
  <c r="AE250" i="23" s="1"/>
  <c r="AF341" i="23"/>
  <c r="AF148" i="23"/>
  <c r="AD94" i="23"/>
  <c r="AE94" i="23" s="1"/>
  <c r="AD205" i="23"/>
  <c r="AE205" i="23" s="1"/>
  <c r="AF293" i="23"/>
  <c r="AD165" i="23"/>
  <c r="AE165" i="23" s="1"/>
  <c r="AD77" i="23"/>
  <c r="AE77" i="23" s="1"/>
  <c r="AF338" i="23"/>
  <c r="AF387" i="23"/>
  <c r="AD135" i="23"/>
  <c r="AE135" i="23" s="1"/>
  <c r="AF312" i="23"/>
  <c r="AD319" i="23"/>
  <c r="AE319" i="23" s="1"/>
  <c r="AF66" i="23"/>
  <c r="AF151" i="23"/>
  <c r="AF305" i="23"/>
  <c r="AD264" i="23"/>
  <c r="AE264" i="23" s="1"/>
  <c r="AD372" i="23"/>
  <c r="AE372" i="23" s="1"/>
  <c r="AF215" i="23"/>
  <c r="AD138" i="23"/>
  <c r="AE138" i="23" s="1"/>
  <c r="AF276" i="23"/>
  <c r="AF371" i="23"/>
  <c r="AF124" i="23"/>
  <c r="AF89" i="23"/>
  <c r="AD191" i="23"/>
  <c r="AE191" i="23" s="1"/>
  <c r="AD275" i="23"/>
  <c r="AE275" i="23" s="1"/>
  <c r="AD151" i="23"/>
  <c r="AE151" i="23" s="1"/>
  <c r="AF47" i="23"/>
  <c r="AF322" i="23"/>
  <c r="AD387" i="23"/>
  <c r="AE387" i="23" s="1"/>
  <c r="AD178" i="23"/>
  <c r="AE178" i="23" s="1"/>
  <c r="AF380" i="23"/>
  <c r="AD311" i="23"/>
  <c r="AE311" i="23" s="1"/>
  <c r="AF136" i="23"/>
  <c r="AD100" i="23"/>
  <c r="AE100" i="23" s="1"/>
  <c r="AD211" i="23"/>
  <c r="AE211" i="23" s="1"/>
  <c r="AD129" i="23"/>
  <c r="AE129" i="23" s="1"/>
  <c r="AD171" i="23"/>
  <c r="AE171" i="23" s="1"/>
  <c r="AD107" i="23"/>
  <c r="AE107" i="23" s="1"/>
  <c r="AD337" i="23"/>
  <c r="AE337" i="23" s="1"/>
  <c r="AD285" i="23"/>
  <c r="AE285" i="23" s="1"/>
  <c r="AD228" i="23"/>
  <c r="AE228" i="23" s="1"/>
  <c r="AD322" i="23"/>
  <c r="AE322" i="23" s="1"/>
  <c r="AD40" i="23"/>
  <c r="AE40" i="23" s="1"/>
  <c r="AF209" i="23"/>
  <c r="AF226" i="23"/>
  <c r="AD306" i="23"/>
  <c r="AE306" i="23" s="1"/>
  <c r="AF54" i="23"/>
  <c r="AD112" i="23"/>
  <c r="AE112" i="23" s="1"/>
  <c r="AD390" i="23"/>
  <c r="AE390" i="23" s="1"/>
  <c r="AF383" i="23"/>
  <c r="AD378" i="23"/>
  <c r="AE378" i="23" s="1"/>
  <c r="AD255" i="23"/>
  <c r="AE255" i="23" s="1"/>
  <c r="AF279" i="23"/>
  <c r="AD41" i="23"/>
  <c r="AE41" i="23" s="1"/>
  <c r="AF243" i="23"/>
  <c r="AF50" i="23"/>
  <c r="AD185" i="23"/>
  <c r="AE185" i="23" s="1"/>
  <c r="AD153" i="23"/>
  <c r="AE153" i="23" s="1"/>
  <c r="AD308" i="23"/>
  <c r="AE308" i="23" s="1"/>
  <c r="AD335" i="23"/>
  <c r="AE335" i="23" s="1"/>
  <c r="AD71" i="23"/>
  <c r="AE71" i="23" s="1"/>
  <c r="AF355" i="23"/>
  <c r="AD184" i="23"/>
  <c r="AE184" i="23" s="1"/>
  <c r="AF199" i="23"/>
  <c r="AD229" i="23"/>
  <c r="AE229" i="23" s="1"/>
  <c r="AD177" i="23"/>
  <c r="AE177" i="23" s="1"/>
  <c r="AF225" i="23"/>
  <c r="AF345" i="23"/>
  <c r="AD247" i="23"/>
  <c r="AE247" i="23" s="1"/>
  <c r="AD156" i="23"/>
  <c r="AE156" i="23" s="1"/>
  <c r="AD303" i="23"/>
  <c r="AE303" i="23" s="1"/>
  <c r="AF375" i="23"/>
  <c r="AD150" i="23"/>
  <c r="AE150" i="23" s="1"/>
  <c r="AD373" i="23"/>
  <c r="AE373" i="23" s="1"/>
  <c r="AD282" i="23"/>
  <c r="AE282" i="23" s="1"/>
  <c r="AF280" i="23"/>
  <c r="AF129" i="23"/>
  <c r="AF296" i="23"/>
  <c r="AD46" i="23"/>
  <c r="AE46" i="23" s="1"/>
  <c r="AF69" i="23"/>
  <c r="AF394" i="23"/>
  <c r="AD106" i="23"/>
  <c r="AE106" i="23" s="1"/>
  <c r="AD317" i="23"/>
  <c r="AE317" i="23" s="1"/>
  <c r="AD141" i="23"/>
  <c r="AE141" i="23" s="1"/>
  <c r="AD278" i="23"/>
  <c r="AE278" i="23" s="1"/>
  <c r="AD309" i="23"/>
  <c r="AE309" i="23" s="1"/>
  <c r="AD366" i="23"/>
  <c r="AE366" i="23" s="1"/>
  <c r="AD354" i="23"/>
  <c r="AE354" i="23" s="1"/>
  <c r="AD176" i="23"/>
  <c r="AE176" i="23" s="1"/>
  <c r="AF180" i="23"/>
  <c r="AF176" i="23"/>
  <c r="AD160" i="23"/>
  <c r="AE160" i="23" s="1"/>
  <c r="AF301" i="23"/>
  <c r="AF45" i="23"/>
  <c r="AF232" i="23"/>
  <c r="AD115" i="23"/>
  <c r="AE115" i="23" s="1"/>
  <c r="AD290" i="23"/>
  <c r="AE290" i="23" s="1"/>
  <c r="AF77" i="23"/>
  <c r="AF123" i="23"/>
  <c r="AF262" i="23"/>
  <c r="AD384" i="23"/>
  <c r="AE384" i="23" s="1"/>
  <c r="AD258" i="23"/>
  <c r="AE258" i="23" s="1"/>
  <c r="AD98" i="23"/>
  <c r="AE98" i="23" s="1"/>
  <c r="AD83" i="23"/>
  <c r="AE83" i="23" s="1"/>
  <c r="AF210" i="23"/>
  <c r="AF249" i="23"/>
  <c r="AF272" i="23"/>
  <c r="AD163" i="23"/>
  <c r="AE163" i="23" s="1"/>
  <c r="AF313" i="23"/>
  <c r="AD62" i="23"/>
  <c r="AE62" i="23" s="1"/>
  <c r="AD72" i="23"/>
  <c r="AE72" i="23" s="1"/>
  <c r="AD50" i="23"/>
  <c r="AE50" i="23" s="1"/>
  <c r="AF218" i="23"/>
  <c r="AF353" i="23"/>
  <c r="AF186" i="23"/>
  <c r="AF120" i="23"/>
  <c r="AD348" i="23"/>
  <c r="AE348" i="23" s="1"/>
  <c r="AF68" i="23"/>
  <c r="AD281" i="23"/>
  <c r="AE281" i="23" s="1"/>
  <c r="AD86" i="23"/>
  <c r="AE86" i="23" s="1"/>
  <c r="AD270" i="23"/>
  <c r="AE270" i="23" s="1"/>
  <c r="AF154" i="23"/>
  <c r="AF101" i="23"/>
  <c r="AF107" i="23"/>
  <c r="AF268" i="23"/>
  <c r="AF138" i="23"/>
  <c r="AF167" i="23"/>
  <c r="AD294" i="23"/>
  <c r="AE294" i="23" s="1"/>
  <c r="AD61" i="23"/>
  <c r="AE61" i="23" s="1"/>
  <c r="AD237" i="23"/>
  <c r="AE237" i="23" s="1"/>
  <c r="AF134" i="23"/>
  <c r="AD142" i="23"/>
  <c r="AE142" i="23" s="1"/>
  <c r="AF44" i="23"/>
  <c r="AD325" i="23"/>
  <c r="AE325" i="23" s="1"/>
  <c r="AF103" i="23"/>
  <c r="AD196" i="23"/>
  <c r="AE196" i="23" s="1"/>
  <c r="AF43" i="23"/>
  <c r="AF388" i="23"/>
  <c r="AF41" i="23"/>
  <c r="AD194" i="23"/>
  <c r="AE194" i="23" s="1"/>
  <c r="AD55" i="23"/>
  <c r="AE55" i="23" s="1"/>
  <c r="AF108" i="23"/>
  <c r="AD370" i="23"/>
  <c r="AE370" i="23" s="1"/>
  <c r="AF260" i="23"/>
  <c r="AD101" i="23"/>
  <c r="AE101" i="23" s="1"/>
  <c r="AF202" i="23"/>
  <c r="AD85" i="23"/>
  <c r="AE85" i="23" s="1"/>
  <c r="AD155" i="23"/>
  <c r="AE155" i="23" s="1"/>
  <c r="AF269" i="23"/>
  <c r="AD152" i="23"/>
  <c r="AE152" i="23" s="1"/>
  <c r="AF111" i="23"/>
  <c r="AF79" i="23"/>
  <c r="AF392" i="23"/>
  <c r="AD168" i="23"/>
  <c r="AE168" i="23" s="1"/>
  <c r="AD352" i="23"/>
  <c r="AE352" i="23" s="1"/>
  <c r="AF381" i="23"/>
  <c r="AF40" i="23"/>
  <c r="AF359" i="23"/>
  <c r="AD207" i="23"/>
  <c r="AE207" i="23" s="1"/>
  <c r="AD63" i="23"/>
  <c r="AE63" i="23" s="1"/>
  <c r="AF163" i="23"/>
  <c r="AF252" i="23"/>
  <c r="AF237" i="23"/>
  <c r="AF286" i="23"/>
  <c r="AD295" i="23"/>
  <c r="AE295" i="23" s="1"/>
  <c r="AF42" i="23"/>
  <c r="AF300" i="23"/>
  <c r="AF399" i="23"/>
  <c r="AF55" i="23"/>
  <c r="AD283" i="23"/>
  <c r="AE283" i="23" s="1"/>
  <c r="AD131" i="23"/>
  <c r="AE131" i="23" s="1"/>
  <c r="AF329" i="23"/>
  <c r="AD249" i="23"/>
  <c r="AE249" i="23" s="1"/>
  <c r="AF159" i="23"/>
  <c r="AF325" i="23"/>
  <c r="AF239" i="23"/>
  <c r="AF309" i="23"/>
  <c r="AF373" i="23"/>
  <c r="AD276" i="23"/>
  <c r="AE276" i="23" s="1"/>
  <c r="AD292" i="23"/>
  <c r="AE292" i="23" s="1"/>
  <c r="AF319" i="23"/>
  <c r="AF333" i="23"/>
  <c r="AD133" i="23"/>
  <c r="AE133" i="23" s="1"/>
  <c r="AD287" i="23"/>
  <c r="AE287" i="23" s="1"/>
  <c r="AD90" i="23"/>
  <c r="AE90" i="23" s="1"/>
  <c r="AF297" i="23"/>
  <c r="AD58" i="23"/>
  <c r="AE58" i="23" s="1"/>
  <c r="AF127" i="23"/>
  <c r="AF231" i="23"/>
  <c r="AD203" i="23"/>
  <c r="AE203" i="23" s="1"/>
  <c r="AD236" i="23"/>
  <c r="AE236" i="23" s="1"/>
  <c r="AD95" i="23"/>
  <c r="AE95" i="23" s="1"/>
  <c r="AF96" i="23"/>
  <c r="AD57" i="23"/>
  <c r="AE57" i="23" s="1"/>
  <c r="AF299" i="23"/>
  <c r="AD189" i="23"/>
  <c r="AE189" i="23" s="1"/>
  <c r="AD218" i="23"/>
  <c r="AE218" i="23" s="1"/>
  <c r="AD340" i="23"/>
  <c r="AE340" i="23" s="1"/>
  <c r="AF238" i="23"/>
  <c r="AF289" i="23"/>
  <c r="AD124" i="23"/>
  <c r="AE124" i="23" s="1"/>
  <c r="AF364" i="23"/>
  <c r="AD254" i="23"/>
  <c r="AE254" i="23" s="1"/>
  <c r="AF244" i="23"/>
  <c r="AF376" i="23"/>
  <c r="AF284" i="23"/>
  <c r="AD179" i="23"/>
  <c r="AE179" i="23" s="1"/>
  <c r="AD327" i="23"/>
  <c r="AE327" i="23" s="1"/>
  <c r="AD227" i="23"/>
  <c r="AE227" i="23" s="1"/>
  <c r="AF60" i="23"/>
  <c r="AD118" i="23"/>
  <c r="AE118" i="23" s="1"/>
  <c r="AD260" i="23"/>
  <c r="AE260" i="23" s="1"/>
  <c r="AD65" i="23"/>
  <c r="AE65" i="23" s="1"/>
  <c r="AD113" i="23"/>
  <c r="AE113" i="23" s="1"/>
  <c r="AD221" i="23"/>
  <c r="AE221" i="23" s="1"/>
  <c r="AD383" i="23"/>
  <c r="AE383" i="23" s="1"/>
  <c r="AD84" i="23"/>
  <c r="AE84" i="23" s="1"/>
  <c r="AF277" i="23"/>
  <c r="AD174" i="23"/>
  <c r="AE174" i="23" s="1"/>
  <c r="AD60" i="23"/>
  <c r="AE60" i="23" s="1"/>
  <c r="AF230" i="23"/>
  <c r="AF340" i="23"/>
  <c r="AD382" i="23"/>
  <c r="AE382" i="23" s="1"/>
  <c r="AD389" i="23"/>
  <c r="AE389" i="23" s="1"/>
  <c r="AD291" i="23"/>
  <c r="AE291" i="23" s="1"/>
  <c r="AF58" i="23"/>
  <c r="AD367" i="23"/>
  <c r="AE367" i="23" s="1"/>
  <c r="AD99" i="23"/>
  <c r="AE99" i="23" s="1"/>
  <c r="AD253" i="23"/>
  <c r="AE253" i="23" s="1"/>
  <c r="AF53" i="23"/>
  <c r="AD102" i="23"/>
  <c r="AE102" i="23" s="1"/>
  <c r="AF357" i="23"/>
  <c r="AF164" i="23"/>
  <c r="AF206" i="23"/>
  <c r="AD242" i="23"/>
  <c r="AE242" i="23" s="1"/>
  <c r="AF169" i="23"/>
  <c r="AD266" i="23"/>
  <c r="AE266" i="23" s="1"/>
  <c r="AF91" i="23"/>
  <c r="AF257" i="23"/>
  <c r="AF130" i="23"/>
  <c r="AF303" i="23"/>
  <c r="AF281" i="23"/>
  <c r="AF205" i="23"/>
  <c r="AD166" i="23"/>
  <c r="AE166" i="23" s="1"/>
  <c r="AD88" i="23"/>
  <c r="AE88" i="23" s="1"/>
  <c r="AF143" i="23"/>
  <c r="AD358" i="23"/>
  <c r="AE358" i="23" s="1"/>
  <c r="AF248" i="23"/>
  <c r="AD297" i="23"/>
  <c r="AE297" i="23" s="1"/>
  <c r="AD392" i="23"/>
  <c r="AE392" i="23" s="1"/>
  <c r="AF63" i="23"/>
  <c r="AD139" i="23"/>
  <c r="AE139" i="23" s="1"/>
  <c r="AD259" i="23"/>
  <c r="AE259" i="23" s="1"/>
  <c r="AD140" i="23"/>
  <c r="AE140" i="23" s="1"/>
  <c r="AF207" i="23"/>
  <c r="AF125" i="23"/>
  <c r="AF368" i="23"/>
  <c r="AD145" i="23"/>
  <c r="AE145" i="23" s="1"/>
  <c r="AD316" i="23"/>
  <c r="AE316" i="23" s="1"/>
  <c r="AF290" i="23"/>
  <c r="AD175" i="23"/>
  <c r="AE175" i="23" s="1"/>
  <c r="AD307" i="23"/>
  <c r="AE307" i="23" s="1"/>
  <c r="AD199" i="23"/>
  <c r="AE199" i="23" s="1"/>
  <c r="AF70" i="23"/>
  <c r="AF109" i="23"/>
  <c r="AD212" i="23"/>
  <c r="AE212" i="23" s="1"/>
  <c r="AF214" i="23"/>
  <c r="AF119" i="23"/>
  <c r="AF273" i="23"/>
  <c r="AF157" i="23"/>
  <c r="AD240" i="23"/>
  <c r="AE240" i="23" s="1"/>
  <c r="AD395" i="23"/>
  <c r="AE395" i="23" s="1"/>
  <c r="AD45" i="23"/>
  <c r="AE45" i="23" s="1"/>
  <c r="AF261" i="23"/>
  <c r="AF81" i="23"/>
  <c r="AF317" i="23"/>
  <c r="AF233" i="23"/>
  <c r="AF115" i="23"/>
  <c r="AD315" i="23"/>
  <c r="AE315" i="23" s="1"/>
  <c r="AF223" i="23"/>
  <c r="AF366" i="23"/>
  <c r="AF335" i="23"/>
  <c r="AD256" i="23"/>
  <c r="AE256" i="23" s="1"/>
  <c r="AD272" i="23"/>
  <c r="AE272" i="23" s="1"/>
  <c r="AF378" i="23"/>
  <c r="AF76" i="23"/>
  <c r="AF400" i="23"/>
  <c r="AF374" i="23"/>
  <c r="AF363" i="23"/>
  <c r="AD380" i="23"/>
  <c r="AE380" i="23" s="1"/>
  <c r="AF397" i="23"/>
  <c r="AD170" i="23"/>
  <c r="AE170" i="23" s="1"/>
  <c r="AD93" i="23"/>
  <c r="AE93" i="23" s="1"/>
  <c r="AD339" i="23"/>
  <c r="AE339" i="23" s="1"/>
  <c r="AF86" i="23"/>
  <c r="AD302" i="23"/>
  <c r="AE302" i="23" s="1"/>
  <c r="AD386" i="23"/>
  <c r="AE386" i="23" s="1"/>
  <c r="AD324" i="23"/>
  <c r="AE324" i="23" s="1"/>
  <c r="AD388" i="23"/>
  <c r="AE388" i="23" s="1"/>
  <c r="AF196" i="23"/>
  <c r="AF292" i="23"/>
  <c r="AD137" i="23"/>
  <c r="AE137" i="23" s="1"/>
  <c r="AF265" i="23"/>
  <c r="AD76" i="23"/>
  <c r="AE76" i="23" s="1"/>
  <c r="AD47" i="23"/>
  <c r="AE47" i="23" s="1"/>
  <c r="AD271" i="23"/>
  <c r="AE271" i="23" s="1"/>
  <c r="AD394" i="23"/>
  <c r="AE394" i="23" s="1"/>
  <c r="AF254" i="23"/>
  <c r="AD195" i="23"/>
  <c r="AE195" i="23" s="1"/>
  <c r="AD216" i="23"/>
  <c r="AE216" i="23" s="1"/>
  <c r="AF72" i="23"/>
  <c r="AF87" i="23"/>
  <c r="AF160" i="23"/>
  <c r="AF336" i="23"/>
  <c r="AD97" i="23"/>
  <c r="AE97" i="23" s="1"/>
  <c r="AD146" i="23"/>
  <c r="AE146" i="23" s="1"/>
  <c r="AD381" i="23"/>
  <c r="AE381" i="23" s="1"/>
  <c r="AF172" i="23"/>
  <c r="AD400" i="23"/>
  <c r="AE400" i="23" s="1"/>
  <c r="AF304" i="23"/>
  <c r="AD330" i="23"/>
  <c r="AE330" i="23" s="1"/>
  <c r="AF328" i="23"/>
  <c r="AD304" i="23"/>
  <c r="AE304" i="23" s="1"/>
  <c r="AD224" i="23"/>
  <c r="AE224" i="23" s="1"/>
  <c r="AF181" i="23"/>
  <c r="AF144" i="23"/>
  <c r="AD132" i="23"/>
  <c r="AE132" i="23" s="1"/>
  <c r="AF174" i="23"/>
  <c r="AF175" i="23"/>
  <c r="AD198" i="23"/>
  <c r="AE198" i="23" s="1"/>
  <c r="AF170" i="23"/>
  <c r="AD215" i="23"/>
  <c r="AE215" i="23" s="1"/>
  <c r="AF264" i="23"/>
  <c r="AF339" i="23"/>
  <c r="AF324" i="23"/>
  <c r="AD190" i="23"/>
  <c r="AE190" i="23" s="1"/>
  <c r="AD119" i="23"/>
  <c r="AE119" i="23" s="1"/>
  <c r="AD273" i="23"/>
  <c r="AE273" i="23" s="1"/>
  <c r="AD364" i="23"/>
  <c r="AE364" i="23" s="1"/>
  <c r="AD78" i="23"/>
  <c r="AE78" i="23" s="1"/>
  <c r="AF201" i="23"/>
  <c r="AD91" i="23"/>
  <c r="AE91" i="23" s="1"/>
  <c r="AD267" i="23"/>
  <c r="AE267" i="23" s="1"/>
  <c r="AD158" i="23"/>
  <c r="AE158" i="23" s="1"/>
  <c r="AD49" i="23"/>
  <c r="AE49" i="23" s="1"/>
  <c r="AF185" i="23"/>
  <c r="AF39" i="23"/>
  <c r="AD217" i="23"/>
  <c r="AE217" i="23" s="1"/>
  <c r="AF240" i="23"/>
  <c r="AF302" i="23"/>
  <c r="AD226" i="23"/>
  <c r="AE226" i="23" s="1"/>
  <c r="AF183" i="23"/>
  <c r="AD363" i="23"/>
  <c r="AE363" i="23" s="1"/>
  <c r="AF102" i="23"/>
  <c r="AD214" i="23"/>
  <c r="AE214" i="23" s="1"/>
  <c r="AF71" i="23"/>
  <c r="AF245" i="23"/>
  <c r="AF100" i="23"/>
  <c r="AD123" i="23"/>
  <c r="AE123" i="23" s="1"/>
  <c r="AD74" i="23"/>
  <c r="AE74" i="23" s="1"/>
  <c r="AF98" i="23"/>
  <c r="AD234" i="23"/>
  <c r="AE234" i="23" s="1"/>
  <c r="AF64" i="23"/>
  <c r="AD201" i="23"/>
  <c r="AE201" i="23" s="1"/>
  <c r="AD361" i="23"/>
  <c r="AE361" i="23" s="1"/>
  <c r="AD268" i="23"/>
  <c r="AE268" i="23" s="1"/>
  <c r="AF95" i="23"/>
  <c r="AF59" i="23"/>
  <c r="AD359" i="23"/>
  <c r="AE359" i="23" s="1"/>
  <c r="AD269" i="23"/>
  <c r="AE269" i="23" s="1"/>
  <c r="AF65" i="23"/>
  <c r="AD245" i="23"/>
  <c r="AE245" i="23" s="1"/>
  <c r="AF126" i="23"/>
  <c r="AD128" i="23"/>
  <c r="AE128" i="23" s="1"/>
  <c r="AD80" i="23"/>
  <c r="AE80" i="23" s="1"/>
  <c r="AD75" i="23"/>
  <c r="AE75" i="23" s="1"/>
  <c r="AD346" i="23"/>
  <c r="AE346" i="23" s="1"/>
  <c r="AD238" i="23"/>
  <c r="AE238" i="23" s="1"/>
  <c r="AF271" i="23"/>
  <c r="AD356" i="23"/>
  <c r="AE356" i="23" s="1"/>
  <c r="AD53" i="23"/>
  <c r="AE53" i="23" s="1"/>
  <c r="AD117" i="23"/>
  <c r="AE117" i="23" s="1"/>
  <c r="AD239" i="23"/>
  <c r="AE239" i="23" s="1"/>
  <c r="AD126" i="23"/>
  <c r="AE126" i="23" s="1"/>
  <c r="AF189" i="23"/>
  <c r="AD377" i="23"/>
  <c r="AE377" i="23" s="1"/>
  <c r="AF356" i="23"/>
  <c r="AD116" i="23"/>
  <c r="AE116" i="23" s="1"/>
  <c r="AD280" i="23"/>
  <c r="AE280" i="23" s="1"/>
  <c r="AD89" i="23"/>
  <c r="AE89" i="23" s="1"/>
  <c r="AD167" i="23"/>
  <c r="AE167" i="23" s="1"/>
  <c r="AF285" i="23"/>
  <c r="AD183" i="23"/>
  <c r="AE183" i="23" s="1"/>
  <c r="AF153" i="23"/>
  <c r="AD362" i="23"/>
  <c r="AE362" i="23" s="1"/>
  <c r="AD182" i="23"/>
  <c r="AE182" i="23" s="1"/>
  <c r="AD385" i="23"/>
  <c r="AE385" i="23" s="1"/>
  <c r="AD336" i="23"/>
  <c r="AE336" i="23" s="1"/>
  <c r="AD39" i="23"/>
  <c r="AE39" i="23" s="1"/>
  <c r="AD343" i="23"/>
  <c r="AE343" i="23" s="1"/>
  <c r="AD172" i="23"/>
  <c r="AE172" i="23" s="1"/>
  <c r="AF135" i="23"/>
  <c r="AD79" i="23"/>
  <c r="AE79" i="23" s="1"/>
  <c r="AD225" i="23"/>
  <c r="AE225" i="23" s="1"/>
  <c r="AF190" i="23"/>
  <c r="AD274" i="23"/>
  <c r="AE274" i="23" s="1"/>
  <c r="AD371" i="23"/>
  <c r="AE371" i="23" s="1"/>
  <c r="AF110" i="23"/>
  <c r="AD342" i="23"/>
  <c r="AE342" i="23" s="1"/>
  <c r="AD379" i="23"/>
  <c r="AE379" i="23" s="1"/>
  <c r="AF222" i="23"/>
  <c r="AF278" i="23"/>
  <c r="AF386" i="23"/>
  <c r="AF382" i="23"/>
  <c r="AF250" i="23"/>
  <c r="Y34" i="4"/>
  <c r="AJ367" i="29"/>
  <c r="AF201" i="29"/>
  <c r="AF305" i="29"/>
  <c r="AD78" i="29"/>
  <c r="AE78" i="29" s="1"/>
  <c r="AD154" i="29"/>
  <c r="AE154" i="29" s="1"/>
  <c r="AD126" i="29"/>
  <c r="AE126" i="29" s="1"/>
  <c r="AD131" i="29"/>
  <c r="AE131" i="29" s="1"/>
  <c r="AD41" i="29"/>
  <c r="AE41" i="29" s="1"/>
  <c r="AD209" i="29"/>
  <c r="AE209" i="29" s="1"/>
  <c r="AF269" i="29"/>
  <c r="AF365" i="29"/>
  <c r="AF118" i="29"/>
  <c r="AF283" i="29"/>
  <c r="AF340" i="29"/>
  <c r="AF272" i="29"/>
  <c r="AD213" i="29"/>
  <c r="AE213" i="29" s="1"/>
  <c r="AD239" i="29"/>
  <c r="AE239" i="29" s="1"/>
  <c r="AD348" i="29"/>
  <c r="AE348" i="29" s="1"/>
  <c r="AD371" i="29"/>
  <c r="AE371" i="29" s="1"/>
  <c r="AF193" i="29"/>
  <c r="AD159" i="29"/>
  <c r="AE159" i="29" s="1"/>
  <c r="AF217" i="29"/>
  <c r="AF225" i="29"/>
  <c r="AD376" i="29"/>
  <c r="AE376" i="29" s="1"/>
  <c r="AD93" i="29"/>
  <c r="AE93" i="29" s="1"/>
  <c r="AF131" i="29"/>
  <c r="AF351" i="29"/>
  <c r="AD192" i="29"/>
  <c r="AE192" i="29" s="1"/>
  <c r="AF98" i="29"/>
  <c r="AD187" i="29"/>
  <c r="AE187" i="29" s="1"/>
  <c r="AF251" i="29"/>
  <c r="AF133" i="29"/>
  <c r="AD386" i="29"/>
  <c r="AE386" i="29" s="1"/>
  <c r="AD100" i="29"/>
  <c r="AE100" i="29" s="1"/>
  <c r="AF92" i="29"/>
  <c r="AD375" i="29"/>
  <c r="AE375" i="29" s="1"/>
  <c r="AD180" i="29"/>
  <c r="AE180" i="29" s="1"/>
  <c r="AF120" i="29"/>
  <c r="AF257" i="29"/>
  <c r="AF286" i="29"/>
  <c r="AD229" i="29"/>
  <c r="AE229" i="29" s="1"/>
  <c r="AD291" i="29"/>
  <c r="AE291" i="29" s="1"/>
  <c r="AD129" i="29"/>
  <c r="AE129" i="29" s="1"/>
  <c r="AF243" i="29"/>
  <c r="AF282" i="29"/>
  <c r="AD135" i="29"/>
  <c r="AE135" i="29" s="1"/>
  <c r="AD189" i="29"/>
  <c r="AE189" i="29" s="1"/>
  <c r="AD224" i="29"/>
  <c r="AE224" i="29" s="1"/>
  <c r="AD58" i="29"/>
  <c r="AE58" i="29" s="1"/>
  <c r="AD112" i="29"/>
  <c r="AE112" i="29" s="1"/>
  <c r="AF285" i="29"/>
  <c r="AF200" i="29"/>
  <c r="AF342" i="29"/>
  <c r="AF378" i="29"/>
  <c r="AD385" i="29"/>
  <c r="AE385" i="29" s="1"/>
  <c r="AF345" i="29"/>
  <c r="AF362" i="29"/>
  <c r="AF271" i="29"/>
  <c r="AD273" i="29"/>
  <c r="AE273" i="29" s="1"/>
  <c r="AD171" i="29"/>
  <c r="AE171" i="29" s="1"/>
  <c r="AD143" i="29"/>
  <c r="AE143" i="29" s="1"/>
  <c r="AD43" i="29"/>
  <c r="AE43" i="29" s="1"/>
  <c r="AD168" i="29"/>
  <c r="AE168" i="29" s="1"/>
  <c r="AF170" i="29"/>
  <c r="AF227" i="29"/>
  <c r="AD57" i="29"/>
  <c r="AE57" i="29" s="1"/>
  <c r="AD282" i="29"/>
  <c r="AE282" i="29" s="1"/>
  <c r="AD303" i="29"/>
  <c r="AE303" i="29" s="1"/>
  <c r="AF376" i="29"/>
  <c r="AF125" i="29"/>
  <c r="AD358" i="29"/>
  <c r="AE358" i="29" s="1"/>
  <c r="AD155" i="29"/>
  <c r="AE155" i="29" s="1"/>
  <c r="AF320" i="29"/>
  <c r="AD274" i="29"/>
  <c r="AE274" i="29" s="1"/>
  <c r="AF335" i="29"/>
  <c r="AD387" i="29"/>
  <c r="AE387" i="29" s="1"/>
  <c r="AD314" i="29"/>
  <c r="AE314" i="29" s="1"/>
  <c r="AF222" i="29"/>
  <c r="AD218" i="29"/>
  <c r="AE218" i="29" s="1"/>
  <c r="AD278" i="29"/>
  <c r="AE278" i="29" s="1"/>
  <c r="AF127" i="29"/>
  <c r="AD394" i="29"/>
  <c r="AE394" i="29" s="1"/>
  <c r="AD108" i="29"/>
  <c r="AE108" i="29" s="1"/>
  <c r="AF357" i="29"/>
  <c r="AD156" i="29"/>
  <c r="AE156" i="29" s="1"/>
  <c r="AF57" i="29"/>
  <c r="AF314" i="29"/>
  <c r="AD359" i="29"/>
  <c r="AE359" i="29" s="1"/>
  <c r="AF304" i="29"/>
  <c r="AD107" i="29"/>
  <c r="AE107" i="29" s="1"/>
  <c r="AD40" i="29"/>
  <c r="AE40" i="29" s="1"/>
  <c r="AD116" i="29"/>
  <c r="AE116" i="29" s="1"/>
  <c r="AF70" i="29"/>
  <c r="AD113" i="29"/>
  <c r="AE113" i="29" s="1"/>
  <c r="AD344" i="29"/>
  <c r="AE344" i="29" s="1"/>
  <c r="AD153" i="29"/>
  <c r="AE153" i="29" s="1"/>
  <c r="AF192" i="29"/>
  <c r="AD163" i="29"/>
  <c r="AE163" i="29" s="1"/>
  <c r="AF355" i="29"/>
  <c r="AF196" i="29"/>
  <c r="AF58" i="29"/>
  <c r="AF235" i="29"/>
  <c r="AD59" i="29"/>
  <c r="AE59" i="29" s="1"/>
  <c r="AD117" i="29"/>
  <c r="AE117" i="29" s="1"/>
  <c r="AD101" i="29"/>
  <c r="AE101" i="29" s="1"/>
  <c r="AD318" i="29"/>
  <c r="AE318" i="29" s="1"/>
  <c r="AD73" i="29"/>
  <c r="AE73" i="29" s="1"/>
  <c r="AF386" i="29"/>
  <c r="AF334" i="29"/>
  <c r="AF176" i="29"/>
  <c r="AF80" i="29"/>
  <c r="AF397" i="29"/>
  <c r="AD309" i="29"/>
  <c r="AE309" i="29" s="1"/>
  <c r="AD396" i="29"/>
  <c r="AE396" i="29" s="1"/>
  <c r="AF316" i="29"/>
  <c r="AF79" i="29"/>
  <c r="AD247" i="29"/>
  <c r="AE247" i="29" s="1"/>
  <c r="AF180" i="29"/>
  <c r="AF254" i="29"/>
  <c r="AD285" i="29"/>
  <c r="AE285" i="29" s="1"/>
  <c r="AD378" i="29"/>
  <c r="AE378" i="29" s="1"/>
  <c r="AF231" i="29"/>
  <c r="AD48" i="29"/>
  <c r="AE48" i="29" s="1"/>
  <c r="AD124" i="29"/>
  <c r="AE124" i="29" s="1"/>
  <c r="AF104" i="29"/>
  <c r="AF151" i="29"/>
  <c r="AF165" i="29"/>
  <c r="AF152" i="29"/>
  <c r="AD230" i="29"/>
  <c r="AE230" i="29" s="1"/>
  <c r="AF353" i="29"/>
  <c r="AD253" i="29"/>
  <c r="AE253" i="29" s="1"/>
  <c r="AD56" i="29"/>
  <c r="AE56" i="29" s="1"/>
  <c r="AD132" i="29"/>
  <c r="AE132" i="29" s="1"/>
  <c r="AF184" i="29"/>
  <c r="AD320" i="29"/>
  <c r="AE320" i="29" s="1"/>
  <c r="AF387" i="29"/>
  <c r="AF181" i="29"/>
  <c r="AD377" i="29"/>
  <c r="AE377" i="29" s="1"/>
  <c r="AF145" i="29"/>
  <c r="AD194" i="29"/>
  <c r="AE194" i="29" s="1"/>
  <c r="AF369" i="29"/>
  <c r="AD79" i="29"/>
  <c r="AE79" i="29" s="1"/>
  <c r="AF203" i="29"/>
  <c r="AD319" i="29"/>
  <c r="AE319" i="29" s="1"/>
  <c r="AD246" i="29"/>
  <c r="AE246" i="29" s="1"/>
  <c r="AD316" i="29"/>
  <c r="AE316" i="29" s="1"/>
  <c r="AF322" i="29"/>
  <c r="AD290" i="29"/>
  <c r="AE290" i="29" s="1"/>
  <c r="AF123" i="29"/>
  <c r="AD298" i="29"/>
  <c r="AE298" i="29" s="1"/>
  <c r="AF336" i="29"/>
  <c r="AF368" i="29"/>
  <c r="AF136" i="29"/>
  <c r="AF105" i="29"/>
  <c r="AF324" i="29"/>
  <c r="AF239" i="29"/>
  <c r="AF237" i="29"/>
  <c r="AD395" i="29"/>
  <c r="AE395" i="29" s="1"/>
  <c r="AF148" i="29"/>
  <c r="AD356" i="29"/>
  <c r="AE356" i="29" s="1"/>
  <c r="AD380" i="29"/>
  <c r="AE380" i="29" s="1"/>
  <c r="AF88" i="29"/>
  <c r="AF93" i="29"/>
  <c r="AD280" i="29"/>
  <c r="AE280" i="29" s="1"/>
  <c r="AD326" i="29"/>
  <c r="AE326" i="29" s="1"/>
  <c r="AD75" i="29"/>
  <c r="AE75" i="29" s="1"/>
  <c r="AD123" i="29"/>
  <c r="AE123" i="29" s="1"/>
  <c r="AF207" i="29"/>
  <c r="AD372" i="29"/>
  <c r="AE372" i="29" s="1"/>
  <c r="AD89" i="29"/>
  <c r="AE89" i="29" s="1"/>
  <c r="AD121" i="29"/>
  <c r="AE121" i="29" s="1"/>
  <c r="AF379" i="29"/>
  <c r="AF290" i="29"/>
  <c r="AF142" i="29"/>
  <c r="AF380" i="29"/>
  <c r="AD268" i="29"/>
  <c r="AE268" i="29" s="1"/>
  <c r="AD70" i="29"/>
  <c r="AE70" i="29" s="1"/>
  <c r="AD233" i="29"/>
  <c r="AE233" i="29" s="1"/>
  <c r="AD151" i="29"/>
  <c r="AE151" i="29" s="1"/>
  <c r="AF140" i="29"/>
  <c r="AD235" i="29"/>
  <c r="AE235" i="29" s="1"/>
  <c r="AD287" i="29"/>
  <c r="AE287" i="29" s="1"/>
  <c r="AF358" i="29"/>
  <c r="AD54" i="29"/>
  <c r="AE54" i="29" s="1"/>
  <c r="AD322" i="29"/>
  <c r="AE322" i="29" s="1"/>
  <c r="AD64" i="29"/>
  <c r="AE64" i="29" s="1"/>
  <c r="AD140" i="29"/>
  <c r="AE140" i="29" s="1"/>
  <c r="AF183" i="29"/>
  <c r="AD276" i="29"/>
  <c r="AE276" i="29" s="1"/>
  <c r="AF197" i="29"/>
  <c r="AD352" i="29"/>
  <c r="AE352" i="29" s="1"/>
  <c r="AF108" i="29"/>
  <c r="AD388" i="29"/>
  <c r="AE388" i="29" s="1"/>
  <c r="AF300" i="29"/>
  <c r="AD72" i="29"/>
  <c r="AE72" i="29" s="1"/>
  <c r="AD148" i="29"/>
  <c r="AE148" i="29" s="1"/>
  <c r="AF167" i="29"/>
  <c r="AF67" i="29"/>
  <c r="AD263" i="29"/>
  <c r="AE263" i="29" s="1"/>
  <c r="AF208" i="29"/>
  <c r="AF138" i="29"/>
  <c r="AF346" i="29"/>
  <c r="AD266" i="29"/>
  <c r="AE266" i="29" s="1"/>
  <c r="AF182" i="29"/>
  <c r="AD114" i="29"/>
  <c r="AE114" i="29" s="1"/>
  <c r="AF374" i="29"/>
  <c r="AD205" i="29"/>
  <c r="AE205" i="29" s="1"/>
  <c r="AF115" i="29"/>
  <c r="AF186" i="29"/>
  <c r="AF144" i="29"/>
  <c r="AD249" i="29"/>
  <c r="AE249" i="29" s="1"/>
  <c r="AF310" i="29"/>
  <c r="AD170" i="29"/>
  <c r="AE170" i="29" s="1"/>
  <c r="AD178" i="29"/>
  <c r="AE178" i="29" s="1"/>
  <c r="AD325" i="29"/>
  <c r="AE325" i="29" s="1"/>
  <c r="AF338" i="29"/>
  <c r="AD47" i="29"/>
  <c r="AE47" i="29" s="1"/>
  <c r="AD223" i="29"/>
  <c r="AE223" i="29" s="1"/>
  <c r="AF323" i="29"/>
  <c r="AD252" i="29"/>
  <c r="AE252" i="29" s="1"/>
  <c r="AD169" i="29"/>
  <c r="AE169" i="29" s="1"/>
  <c r="AF308" i="29"/>
  <c r="AD343" i="29"/>
  <c r="AE343" i="29" s="1"/>
  <c r="AD52" i="29"/>
  <c r="AE52" i="29" s="1"/>
  <c r="AF274" i="29"/>
  <c r="AD384" i="29"/>
  <c r="AE384" i="29" s="1"/>
  <c r="AD166" i="29"/>
  <c r="AE166" i="29" s="1"/>
  <c r="AD254" i="29"/>
  <c r="AE254" i="29" s="1"/>
  <c r="AF65" i="29"/>
  <c r="AF162" i="29"/>
  <c r="AD269" i="29"/>
  <c r="AE269" i="29" s="1"/>
  <c r="AD323" i="29"/>
  <c r="AE323" i="29" s="1"/>
  <c r="AD181" i="29"/>
  <c r="AE181" i="29" s="1"/>
  <c r="AD190" i="29"/>
  <c r="AE190" i="29" s="1"/>
  <c r="AF301" i="29"/>
  <c r="AD400" i="29"/>
  <c r="AE400" i="29" s="1"/>
  <c r="AD261" i="29"/>
  <c r="AE261" i="29" s="1"/>
  <c r="AD306" i="29"/>
  <c r="AE306" i="29" s="1"/>
  <c r="AD272" i="29"/>
  <c r="AE272" i="29" s="1"/>
  <c r="AD228" i="29"/>
  <c r="AE228" i="29" s="1"/>
  <c r="AF360" i="29"/>
  <c r="AF212" i="29"/>
  <c r="AD271" i="29"/>
  <c r="AE271" i="29" s="1"/>
  <c r="AD237" i="29"/>
  <c r="AE237" i="29" s="1"/>
  <c r="AF47" i="29"/>
  <c r="AF383" i="29"/>
  <c r="AD177" i="29"/>
  <c r="AE177" i="29" s="1"/>
  <c r="AD369" i="29"/>
  <c r="AE369" i="29" s="1"/>
  <c r="AF198" i="29"/>
  <c r="AF177" i="29"/>
  <c r="AD174" i="29"/>
  <c r="AE174" i="29" s="1"/>
  <c r="AF78" i="29"/>
  <c r="AD321" i="29"/>
  <c r="AE321" i="29" s="1"/>
  <c r="AD336" i="29"/>
  <c r="AE336" i="29" s="1"/>
  <c r="AF384" i="29"/>
  <c r="AD327" i="29"/>
  <c r="AE327" i="29" s="1"/>
  <c r="AF128" i="29"/>
  <c r="AF321" i="29"/>
  <c r="AF195" i="29"/>
  <c r="AD259" i="29"/>
  <c r="AE259" i="29" s="1"/>
  <c r="AF63" i="29"/>
  <c r="AD199" i="29"/>
  <c r="AE199" i="29" s="1"/>
  <c r="AF53" i="29"/>
  <c r="AF232" i="29"/>
  <c r="AF68" i="29"/>
  <c r="AF51" i="29"/>
  <c r="AF171" i="29"/>
  <c r="AF359" i="29"/>
  <c r="AF168" i="29"/>
  <c r="AD301" i="29"/>
  <c r="AE301" i="29" s="1"/>
  <c r="AD98" i="29"/>
  <c r="AE98" i="29" s="1"/>
  <c r="AD379" i="29"/>
  <c r="AE379" i="29" s="1"/>
  <c r="AD157" i="29"/>
  <c r="AE157" i="29" s="1"/>
  <c r="AF238" i="29"/>
  <c r="AF247" i="29"/>
  <c r="AF287" i="29"/>
  <c r="AD208" i="29"/>
  <c r="AE208" i="29" s="1"/>
  <c r="AD333" i="29"/>
  <c r="AE333" i="29" s="1"/>
  <c r="AD97" i="29"/>
  <c r="AE97" i="29" s="1"/>
  <c r="AD63" i="29"/>
  <c r="AE63" i="29" s="1"/>
  <c r="AD161" i="29"/>
  <c r="AE161" i="29" s="1"/>
  <c r="AD342" i="29"/>
  <c r="AE342" i="29" s="1"/>
  <c r="AD289" i="29"/>
  <c r="AE289" i="29" s="1"/>
  <c r="AD83" i="29"/>
  <c r="AE83" i="29" s="1"/>
  <c r="AF354" i="29"/>
  <c r="AF267" i="29"/>
  <c r="AF390" i="29"/>
  <c r="AD382" i="29"/>
  <c r="AE382" i="29" s="1"/>
  <c r="AD293" i="29"/>
  <c r="AE293" i="29" s="1"/>
  <c r="AF268" i="29"/>
  <c r="AD335" i="29"/>
  <c r="AE335" i="29" s="1"/>
  <c r="AF76" i="29"/>
  <c r="AD248" i="29"/>
  <c r="AE248" i="29" s="1"/>
  <c r="AF275" i="29"/>
  <c r="AD361" i="29"/>
  <c r="AE361" i="29" s="1"/>
  <c r="AD201" i="29"/>
  <c r="AE201" i="29" s="1"/>
  <c r="AD215" i="29"/>
  <c r="AE215" i="29" s="1"/>
  <c r="AF77" i="29"/>
  <c r="AF258" i="29"/>
  <c r="AF244" i="29"/>
  <c r="AD45" i="29"/>
  <c r="AE45" i="29" s="1"/>
  <c r="AD95" i="29"/>
  <c r="AE95" i="29" s="1"/>
  <c r="AF382" i="29"/>
  <c r="AD162" i="29"/>
  <c r="AE162" i="29" s="1"/>
  <c r="AD195" i="29"/>
  <c r="AE195" i="29" s="1"/>
  <c r="AF189" i="29"/>
  <c r="AD328" i="29"/>
  <c r="AE328" i="29" s="1"/>
  <c r="AD120" i="29"/>
  <c r="AE120" i="29" s="1"/>
  <c r="AD221" i="29"/>
  <c r="AE221" i="29" s="1"/>
  <c r="AD106" i="29"/>
  <c r="AE106" i="29" s="1"/>
  <c r="AD226" i="29"/>
  <c r="AE226" i="29" s="1"/>
  <c r="AH113" i="29"/>
  <c r="AI113" i="29" s="1"/>
  <c r="AJ258" i="29"/>
  <c r="AJ109" i="29"/>
  <c r="AJ187" i="29"/>
  <c r="AH354" i="29"/>
  <c r="AI354" i="29" s="1"/>
  <c r="AH88" i="29"/>
  <c r="AI88" i="29" s="1"/>
  <c r="AJ138" i="29"/>
  <c r="AH101" i="29"/>
  <c r="AI101" i="29" s="1"/>
  <c r="AJ389" i="29"/>
  <c r="AH93" i="29"/>
  <c r="AI93" i="29" s="1"/>
  <c r="AJ328" i="29"/>
  <c r="AJ193" i="29"/>
  <c r="AJ283" i="29"/>
  <c r="AJ251" i="29"/>
  <c r="AJ253" i="29"/>
  <c r="AH178" i="29"/>
  <c r="AI178" i="29" s="1"/>
  <c r="AH260" i="29"/>
  <c r="AI260" i="29" s="1"/>
  <c r="AH226" i="29"/>
  <c r="AI226" i="29" s="1"/>
  <c r="AJ192" i="29"/>
  <c r="AH396" i="29"/>
  <c r="AI396" i="29" s="1"/>
  <c r="AH369" i="29"/>
  <c r="AI369" i="29" s="1"/>
  <c r="AJ213" i="29"/>
  <c r="AJ61" i="29"/>
  <c r="AH173" i="29"/>
  <c r="AI173" i="29" s="1"/>
  <c r="AH300" i="29"/>
  <c r="AI300" i="29" s="1"/>
  <c r="AH334" i="29"/>
  <c r="AI334" i="29" s="1"/>
  <c r="AH307" i="29"/>
  <c r="AI307" i="29" s="1"/>
  <c r="AJ262" i="29"/>
  <c r="AF318" i="29"/>
  <c r="AD304" i="29"/>
  <c r="AE304" i="29" s="1"/>
  <c r="AF265" i="29"/>
  <c r="AF333" i="29"/>
  <c r="AF61" i="29"/>
  <c r="AF101" i="29"/>
  <c r="AD256" i="29"/>
  <c r="AE256" i="29" s="1"/>
  <c r="AF41" i="29"/>
  <c r="AF188" i="29"/>
  <c r="AD357" i="29"/>
  <c r="AE357" i="29" s="1"/>
  <c r="AF39" i="29"/>
  <c r="AF90" i="29"/>
  <c r="AD345" i="29"/>
  <c r="AE345" i="29" s="1"/>
  <c r="AD231" i="29"/>
  <c r="AE231" i="29" s="1"/>
  <c r="AD338" i="29"/>
  <c r="AE338" i="29" s="1"/>
  <c r="AF48" i="29"/>
  <c r="AF178" i="29"/>
  <c r="AF94" i="29"/>
  <c r="AD315" i="29"/>
  <c r="AE315" i="29" s="1"/>
  <c r="AD202" i="29"/>
  <c r="AE202" i="29" s="1"/>
  <c r="AF95" i="29"/>
  <c r="AD270" i="29"/>
  <c r="AE270" i="29" s="1"/>
  <c r="AF97" i="29"/>
  <c r="AF315" i="29"/>
  <c r="AF84" i="29"/>
  <c r="AD65" i="29"/>
  <c r="AE65" i="29" s="1"/>
  <c r="AD232" i="29"/>
  <c r="AE232" i="29" s="1"/>
  <c r="AF396" i="29"/>
  <c r="AF229" i="29"/>
  <c r="AF224" i="29"/>
  <c r="AD197" i="29"/>
  <c r="AE197" i="29" s="1"/>
  <c r="AF347" i="29"/>
  <c r="AF164" i="29"/>
  <c r="AF211" i="29"/>
  <c r="AD294" i="29"/>
  <c r="AE294" i="29" s="1"/>
  <c r="AD137" i="29"/>
  <c r="AE137" i="29" s="1"/>
  <c r="AF158" i="29"/>
  <c r="AD103" i="29"/>
  <c r="AE103" i="29" s="1"/>
  <c r="AF297" i="29"/>
  <c r="AF294" i="29"/>
  <c r="AF242" i="29"/>
  <c r="AD176" i="29"/>
  <c r="AE176" i="29" s="1"/>
  <c r="AF190" i="29"/>
  <c r="AD119" i="29"/>
  <c r="AE119" i="29" s="1"/>
  <c r="AD250" i="29"/>
  <c r="AE250" i="29" s="1"/>
  <c r="AF226" i="29"/>
  <c r="AF210" i="29"/>
  <c r="AD80" i="29"/>
  <c r="AE80" i="29" s="1"/>
  <c r="AD39" i="29"/>
  <c r="AE39" i="29" s="1"/>
  <c r="AF325" i="29"/>
  <c r="AC32" i="29"/>
  <c r="AF280" i="29"/>
  <c r="AF278" i="29"/>
  <c r="AF157" i="29"/>
  <c r="AF223" i="29"/>
  <c r="AD104" i="29"/>
  <c r="AE104" i="29" s="1"/>
  <c r="AF117" i="29"/>
  <c r="AD91" i="29"/>
  <c r="AE91" i="29" s="1"/>
  <c r="AD207" i="29"/>
  <c r="AE207" i="29" s="1"/>
  <c r="AH242" i="29"/>
  <c r="AI242" i="29" s="1"/>
  <c r="AJ41" i="29"/>
  <c r="AF146" i="29"/>
  <c r="AF71" i="29"/>
  <c r="AF327" i="29"/>
  <c r="AF349" i="29"/>
  <c r="AF154" i="29"/>
  <c r="AD241" i="29"/>
  <c r="AE241" i="29" s="1"/>
  <c r="AD175" i="29"/>
  <c r="AE175" i="29" s="1"/>
  <c r="AF289" i="29"/>
  <c r="AD74" i="29"/>
  <c r="AE74" i="29" s="1"/>
  <c r="AD275" i="29"/>
  <c r="AE275" i="29" s="1"/>
  <c r="AF213" i="29"/>
  <c r="AF344" i="29"/>
  <c r="AD362" i="29"/>
  <c r="AE362" i="29" s="1"/>
  <c r="AD265" i="29"/>
  <c r="AE265" i="29" s="1"/>
  <c r="AF85" i="29"/>
  <c r="AD211" i="29"/>
  <c r="AE211" i="29" s="1"/>
  <c r="AD212" i="29"/>
  <c r="AE212" i="29" s="1"/>
  <c r="AD370" i="29"/>
  <c r="AE370" i="29" s="1"/>
  <c r="AF291" i="29"/>
  <c r="AD193" i="29"/>
  <c r="AE193" i="29" s="1"/>
  <c r="AF81" i="29"/>
  <c r="AD165" i="29"/>
  <c r="AE165" i="29" s="1"/>
  <c r="AD283" i="29"/>
  <c r="AE283" i="29" s="1"/>
  <c r="AD305" i="29"/>
  <c r="AE305" i="29" s="1"/>
  <c r="AF252" i="29"/>
  <c r="AD84" i="29"/>
  <c r="AE84" i="29" s="1"/>
  <c r="AD288" i="29"/>
  <c r="AE288" i="29" s="1"/>
  <c r="AF215" i="29"/>
  <c r="AD346" i="29"/>
  <c r="AE346" i="29" s="1"/>
  <c r="AF163" i="29"/>
  <c r="AF91" i="29"/>
  <c r="AD222" i="29"/>
  <c r="AE222" i="29" s="1"/>
  <c r="AF339" i="29"/>
  <c r="AD144" i="29"/>
  <c r="AE144" i="29" s="1"/>
  <c r="AD94" i="29"/>
  <c r="AE94" i="29" s="1"/>
  <c r="AF317" i="29"/>
  <c r="AF330" i="29"/>
  <c r="AF284" i="29"/>
  <c r="AF100" i="29"/>
  <c r="AD242" i="29"/>
  <c r="AE242" i="29" s="1"/>
  <c r="AF52" i="29"/>
  <c r="AD365" i="29"/>
  <c r="AE365" i="29" s="1"/>
  <c r="AD85" i="29"/>
  <c r="AE85" i="29" s="1"/>
  <c r="AD164" i="29"/>
  <c r="AE164" i="29" s="1"/>
  <c r="AF366" i="29"/>
  <c r="AF141" i="29"/>
  <c r="AF56" i="29"/>
  <c r="AF328" i="29"/>
  <c r="AD360" i="29"/>
  <c r="AE360" i="29" s="1"/>
  <c r="AF161" i="29"/>
  <c r="AF273" i="29"/>
  <c r="AD184" i="29"/>
  <c r="AE184" i="29" s="1"/>
  <c r="AD240" i="29"/>
  <c r="AE240" i="29" s="1"/>
  <c r="AF298" i="29"/>
  <c r="AF236" i="29"/>
  <c r="AD76" i="29"/>
  <c r="AE76" i="29" s="1"/>
  <c r="AD71" i="29"/>
  <c r="AE71" i="29" s="1"/>
  <c r="AD62" i="29"/>
  <c r="AE62" i="29" s="1"/>
  <c r="AD111" i="29"/>
  <c r="AE111" i="29" s="1"/>
  <c r="AJ278" i="29"/>
  <c r="AD312" i="29"/>
  <c r="AE312" i="29" s="1"/>
  <c r="AF185" i="29"/>
  <c r="AD339" i="29"/>
  <c r="AE339" i="29" s="1"/>
  <c r="AF153" i="29"/>
  <c r="AD300" i="29"/>
  <c r="AE300" i="29" s="1"/>
  <c r="AD399" i="29"/>
  <c r="AE399" i="29" s="1"/>
  <c r="AF116" i="29"/>
  <c r="AD391" i="29"/>
  <c r="AE391" i="29" s="1"/>
  <c r="AF337" i="29"/>
  <c r="AF253" i="29"/>
  <c r="AD87" i="29"/>
  <c r="AE87" i="29" s="1"/>
  <c r="AF295" i="29"/>
  <c r="AD279" i="29"/>
  <c r="AE279" i="29" s="1"/>
  <c r="AF143" i="29"/>
  <c r="AD332" i="29"/>
  <c r="AE332" i="29" s="1"/>
  <c r="AD182" i="29"/>
  <c r="AE182" i="29" s="1"/>
  <c r="AF246" i="29"/>
  <c r="AD277" i="29"/>
  <c r="AE277" i="29" s="1"/>
  <c r="AD243" i="29"/>
  <c r="AE243" i="29" s="1"/>
  <c r="AD284" i="29"/>
  <c r="AE284" i="29" s="1"/>
  <c r="AF395" i="29"/>
  <c r="AD96" i="29"/>
  <c r="AE96" i="29" s="1"/>
  <c r="AD349" i="29"/>
  <c r="AE349" i="29" s="1"/>
  <c r="AF234" i="29"/>
  <c r="AF191" i="29"/>
  <c r="AF296" i="29"/>
  <c r="AF361" i="29"/>
  <c r="AD216" i="29"/>
  <c r="AE216" i="29" s="1"/>
  <c r="AF204" i="29"/>
  <c r="AF42" i="29"/>
  <c r="AD330" i="29"/>
  <c r="AE330" i="29" s="1"/>
  <c r="AF249" i="29"/>
  <c r="AD196" i="29"/>
  <c r="AE196" i="29" s="1"/>
  <c r="AD81" i="29"/>
  <c r="AE81" i="29" s="1"/>
  <c r="AD204" i="29"/>
  <c r="AE204" i="29" s="1"/>
  <c r="AD188" i="29"/>
  <c r="AE188" i="29" s="1"/>
  <c r="AD141" i="29"/>
  <c r="AE141" i="29" s="1"/>
  <c r="AD139" i="29"/>
  <c r="AE139" i="29" s="1"/>
  <c r="AF400" i="29"/>
  <c r="AF82" i="29"/>
  <c r="AF292" i="29"/>
  <c r="AF260" i="29"/>
  <c r="AD69" i="29"/>
  <c r="AE69" i="29" s="1"/>
  <c r="AD102" i="29"/>
  <c r="AE102" i="29" s="1"/>
  <c r="AD307" i="29"/>
  <c r="AE307" i="29" s="1"/>
  <c r="AF303" i="29"/>
  <c r="AD296" i="29"/>
  <c r="AE296" i="29" s="1"/>
  <c r="AD286" i="29"/>
  <c r="AE286" i="29" s="1"/>
  <c r="AF60" i="29"/>
  <c r="AD152" i="29"/>
  <c r="AE152" i="29" s="1"/>
  <c r="AF240" i="29"/>
  <c r="AD146" i="29"/>
  <c r="AE146" i="29" s="1"/>
  <c r="AD173" i="29"/>
  <c r="AE173" i="29" s="1"/>
  <c r="AD105" i="29"/>
  <c r="AE105" i="29" s="1"/>
  <c r="AF202" i="29"/>
  <c r="AD60" i="29"/>
  <c r="AE60" i="29" s="1"/>
  <c r="AD86" i="29"/>
  <c r="AE86" i="29" s="1"/>
  <c r="AD46" i="29"/>
  <c r="AE46" i="29" s="1"/>
  <c r="AF319" i="29"/>
  <c r="AJ199" i="29"/>
  <c r="AJ361" i="29"/>
  <c r="AJ298" i="29"/>
  <c r="AJ346" i="29"/>
  <c r="AH387" i="29"/>
  <c r="AI387" i="29" s="1"/>
  <c r="AH222" i="29"/>
  <c r="AI222" i="29" s="1"/>
  <c r="AH355" i="29"/>
  <c r="AI355" i="29" s="1"/>
  <c r="AH287" i="29"/>
  <c r="AI287" i="29" s="1"/>
  <c r="AH250" i="29"/>
  <c r="AI250" i="29" s="1"/>
  <c r="AJ44" i="29"/>
  <c r="AJ67" i="29"/>
  <c r="AH395" i="29"/>
  <c r="AI395" i="29" s="1"/>
  <c r="AJ45" i="29"/>
  <c r="W15" i="23"/>
  <c r="U29" i="23"/>
  <c r="W29" i="23" s="1"/>
  <c r="AJ207" i="29"/>
  <c r="AH159" i="29"/>
  <c r="AI159" i="29" s="1"/>
  <c r="AJ363" i="29"/>
  <c r="AH294" i="29"/>
  <c r="AI294" i="29" s="1"/>
  <c r="AJ76" i="29"/>
  <c r="AH225" i="29"/>
  <c r="AI225" i="29" s="1"/>
  <c r="AJ159" i="29"/>
  <c r="AJ315" i="29"/>
  <c r="AH366" i="29"/>
  <c r="AI366" i="29" s="1"/>
  <c r="AJ132" i="29"/>
  <c r="AJ48" i="29"/>
  <c r="AH391" i="29"/>
  <c r="AI391" i="29" s="1"/>
  <c r="AJ299" i="29"/>
  <c r="AH364" i="29"/>
  <c r="AI364" i="29" s="1"/>
  <c r="AH231" i="29"/>
  <c r="AI231" i="29" s="1"/>
  <c r="AJ64" i="29"/>
  <c r="AH116" i="29"/>
  <c r="AI116" i="29" s="1"/>
  <c r="AH264" i="29"/>
  <c r="AI264" i="29" s="1"/>
  <c r="AH109" i="29"/>
  <c r="AI109" i="29" s="1"/>
  <c r="AH309" i="29"/>
  <c r="AI309" i="29" s="1"/>
  <c r="AJ121" i="29"/>
  <c r="AJ172" i="29"/>
  <c r="AJ56" i="29"/>
  <c r="W15" i="24"/>
  <c r="U29" i="24"/>
  <c r="W29" i="24" s="1"/>
  <c r="AG29" i="24"/>
  <c r="AI29" i="24" s="1"/>
  <c r="W15" i="29"/>
  <c r="U29" i="29"/>
  <c r="W29" i="29" s="1"/>
  <c r="AJ78" i="29"/>
  <c r="AH386" i="29"/>
  <c r="AI386" i="29" s="1"/>
  <c r="AH152" i="29"/>
  <c r="AI152" i="29" s="1"/>
  <c r="AJ163" i="29"/>
  <c r="AJ179" i="29"/>
  <c r="AH342" i="29"/>
  <c r="AI342" i="29" s="1"/>
  <c r="AJ72" i="29"/>
  <c r="AH139" i="29"/>
  <c r="AI139" i="29" s="1"/>
  <c r="AH172" i="29"/>
  <c r="AI172" i="29" s="1"/>
  <c r="AJ205" i="29"/>
  <c r="AJ92" i="29"/>
  <c r="AJ185" i="29"/>
  <c r="AH70" i="29"/>
  <c r="AI70" i="29" s="1"/>
  <c r="AH232" i="29"/>
  <c r="AI232" i="29" s="1"/>
  <c r="AJ74" i="29"/>
  <c r="AJ376" i="29"/>
  <c r="AH317" i="29"/>
  <c r="AI317" i="29" s="1"/>
  <c r="AJ352" i="29"/>
  <c r="AH122" i="29"/>
  <c r="AI122" i="29" s="1"/>
  <c r="AH217" i="29"/>
  <c r="AI217" i="29" s="1"/>
  <c r="AJ204" i="29"/>
  <c r="AJ75" i="29"/>
  <c r="AJ147" i="29"/>
  <c r="AJ96" i="29"/>
  <c r="AH346" i="29"/>
  <c r="AI346" i="29" s="1"/>
  <c r="AJ112" i="29"/>
  <c r="AH359" i="29"/>
  <c r="AI359" i="29" s="1"/>
  <c r="AJ247" i="29"/>
  <c r="AH187" i="29"/>
  <c r="AI187" i="29" s="1"/>
  <c r="AJ116" i="29"/>
  <c r="AJ360" i="29"/>
  <c r="AJ39" i="29"/>
  <c r="AH397" i="29"/>
  <c r="AI397" i="29" s="1"/>
  <c r="AJ149" i="29"/>
  <c r="AJ180" i="29"/>
  <c r="AH86" i="29"/>
  <c r="AI86" i="29" s="1"/>
  <c r="AH319" i="29"/>
  <c r="AI319" i="29" s="1"/>
  <c r="AJ229" i="29"/>
  <c r="AH47" i="29"/>
  <c r="AI47" i="29" s="1"/>
  <c r="AH280" i="29"/>
  <c r="AI280" i="29" s="1"/>
  <c r="AH59" i="29"/>
  <c r="AI59" i="29" s="1"/>
  <c r="AJ397" i="29"/>
  <c r="AH320" i="29"/>
  <c r="AI320" i="29" s="1"/>
  <c r="AJ227" i="29"/>
  <c r="AH392" i="29"/>
  <c r="AI392" i="29" s="1"/>
  <c r="AH248" i="29"/>
  <c r="AI248" i="29" s="1"/>
  <c r="AJ369" i="29"/>
  <c r="AJ325" i="29"/>
  <c r="AJ66" i="29"/>
  <c r="AJ148" i="29"/>
  <c r="AH89" i="29"/>
  <c r="AI89" i="29" s="1"/>
  <c r="AH76" i="29"/>
  <c r="AI76" i="29" s="1"/>
  <c r="AJ177" i="29"/>
  <c r="AJ237" i="29"/>
  <c r="AJ158" i="29"/>
  <c r="AJ326" i="29"/>
  <c r="AJ55" i="29"/>
  <c r="AH234" i="29"/>
  <c r="AI234" i="29" s="1"/>
  <c r="AJ364" i="29"/>
  <c r="AH157" i="29"/>
  <c r="AI157" i="29" s="1"/>
  <c r="AJ53" i="29"/>
  <c r="AH165" i="29"/>
  <c r="AI165" i="29" s="1"/>
  <c r="AJ255" i="29"/>
  <c r="AJ115" i="29"/>
  <c r="AJ50" i="29"/>
  <c r="AH393" i="29"/>
  <c r="AI393" i="29" s="1"/>
  <c r="AH43" i="29"/>
  <c r="AI43" i="29" s="1"/>
  <c r="AJ238" i="29"/>
  <c r="AJ69" i="29"/>
  <c r="AJ382" i="29"/>
  <c r="AJ150" i="29"/>
  <c r="AJ230" i="29"/>
  <c r="AJ52" i="29"/>
  <c r="AH163" i="29"/>
  <c r="AI163" i="29" s="1"/>
  <c r="AJ308" i="29"/>
  <c r="AJ348" i="29"/>
  <c r="AJ211" i="29"/>
  <c r="AH358" i="29"/>
  <c r="AI358" i="29" s="1"/>
  <c r="AH344" i="29"/>
  <c r="AI344" i="29" s="1"/>
  <c r="AH141" i="29"/>
  <c r="AI141" i="29" s="1"/>
  <c r="AH208" i="29"/>
  <c r="AI208" i="29" s="1"/>
  <c r="AJ123" i="29"/>
  <c r="AH352" i="29"/>
  <c r="AI352" i="29" s="1"/>
  <c r="AJ231" i="29"/>
  <c r="AJ162" i="29"/>
  <c r="AJ233" i="29"/>
  <c r="AJ216" i="29"/>
  <c r="AJ244" i="29"/>
  <c r="AJ297" i="29"/>
  <c r="AJ256" i="29"/>
  <c r="AH218" i="29"/>
  <c r="AI218" i="29" s="1"/>
  <c r="AH279" i="29"/>
  <c r="AI279" i="29" s="1"/>
  <c r="AH74" i="29"/>
  <c r="AI74" i="29" s="1"/>
  <c r="AH203" i="29"/>
  <c r="AI203" i="29" s="1"/>
  <c r="AJ344" i="29"/>
  <c r="AH131" i="29"/>
  <c r="AI131" i="29" s="1"/>
  <c r="AH209" i="29"/>
  <c r="AI209" i="29" s="1"/>
  <c r="AH331" i="29"/>
  <c r="AI331" i="29" s="1"/>
  <c r="AJ385" i="29"/>
  <c r="AJ88" i="29"/>
  <c r="AJ215" i="29"/>
  <c r="AH50" i="29"/>
  <c r="AI50" i="29" s="1"/>
  <c r="AJ372" i="29"/>
  <c r="AJ51" i="29"/>
  <c r="AH228" i="29"/>
  <c r="AI228" i="29" s="1"/>
  <c r="AH302" i="29"/>
  <c r="AI302" i="29" s="1"/>
  <c r="X15" i="14"/>
  <c r="V29" i="14"/>
  <c r="X29" i="14" s="1"/>
  <c r="AD43" i="23" l="1"/>
  <c r="AE43" i="23" s="1"/>
  <c r="AF311" i="23"/>
  <c r="AF253" i="23"/>
  <c r="AF166" i="23"/>
  <c r="AD197" i="23"/>
  <c r="AE197" i="23" s="1"/>
  <c r="AD54" i="23"/>
  <c r="AE54" i="23" s="1"/>
  <c r="AF92" i="23"/>
  <c r="AF295" i="23"/>
  <c r="AD399" i="23"/>
  <c r="AE399" i="23" s="1"/>
  <c r="AD262" i="23"/>
  <c r="AE262" i="23" s="1"/>
  <c r="AD51" i="23"/>
  <c r="AE51" i="23" s="1"/>
  <c r="AD398" i="23"/>
  <c r="AE398" i="23" s="1"/>
  <c r="AJ301" i="23"/>
  <c r="AJ264" i="23"/>
  <c r="K42" i="1"/>
  <c r="E42" i="1"/>
  <c r="M42" i="1"/>
  <c r="AE355" i="14"/>
  <c r="AF355" i="14" s="1"/>
  <c r="AG91" i="14"/>
  <c r="AG348" i="14"/>
  <c r="AG393" i="14"/>
  <c r="AE124" i="14"/>
  <c r="AF124" i="14" s="1"/>
  <c r="AG151" i="14"/>
  <c r="AG171" i="14"/>
  <c r="AE66" i="14"/>
  <c r="AF66" i="14" s="1"/>
  <c r="AG122" i="14"/>
  <c r="AG336" i="14"/>
  <c r="AG39" i="14"/>
  <c r="AE227" i="14"/>
  <c r="AF227" i="14" s="1"/>
  <c r="AE343" i="14"/>
  <c r="AF343" i="14" s="1"/>
  <c r="AE157" i="14"/>
  <c r="AF157" i="14" s="1"/>
  <c r="AE233" i="14"/>
  <c r="AF233" i="14" s="1"/>
  <c r="AE131" i="14"/>
  <c r="AF131" i="14" s="1"/>
  <c r="AE320" i="14"/>
  <c r="AF320" i="14" s="1"/>
  <c r="AE202" i="14"/>
  <c r="AF202" i="14" s="1"/>
  <c r="AG257" i="14"/>
  <c r="AE159" i="14"/>
  <c r="AF159" i="14" s="1"/>
  <c r="AG371" i="14"/>
  <c r="AE187" i="14"/>
  <c r="AF187" i="14" s="1"/>
  <c r="AG226" i="14"/>
  <c r="AJ84" i="29"/>
  <c r="AH240" i="29"/>
  <c r="AI240" i="29" s="1"/>
  <c r="AH306" i="29"/>
  <c r="AI306" i="29" s="1"/>
  <c r="AH202" i="29"/>
  <c r="AI202" i="29" s="1"/>
  <c r="AJ122" i="29"/>
  <c r="AH118" i="29"/>
  <c r="AI118" i="29" s="1"/>
  <c r="AJ156" i="29"/>
  <c r="AJ245" i="29"/>
  <c r="AJ393" i="29"/>
  <c r="AH399" i="29"/>
  <c r="AI399" i="29" s="1"/>
  <c r="AJ139" i="29"/>
  <c r="AJ87" i="29"/>
  <c r="AJ310" i="29"/>
  <c r="AH290" i="29"/>
  <c r="AI290" i="29" s="1"/>
  <c r="AJ236" i="29"/>
  <c r="AJ154" i="29"/>
  <c r="AJ313" i="29"/>
  <c r="AH52" i="29"/>
  <c r="AI52" i="29" s="1"/>
  <c r="AH183" i="29"/>
  <c r="AI183" i="29" s="1"/>
  <c r="AH246" i="29"/>
  <c r="AI246" i="29" s="1"/>
  <c r="AH341" i="29"/>
  <c r="AI341" i="29" s="1"/>
  <c r="AJ246" i="29"/>
  <c r="AJ356" i="29"/>
  <c r="AJ241" i="29"/>
  <c r="AJ400" i="29"/>
  <c r="AJ106" i="29"/>
  <c r="AJ120" i="29"/>
  <c r="AH65" i="29"/>
  <c r="AI65" i="29" s="1"/>
  <c r="AJ305" i="29"/>
  <c r="AJ143" i="29"/>
  <c r="AJ265" i="29"/>
  <c r="AH144" i="29"/>
  <c r="AI144" i="29" s="1"/>
  <c r="AJ332" i="29"/>
  <c r="AJ274" i="29"/>
  <c r="AJ368" i="29"/>
  <c r="AH310" i="29"/>
  <c r="AI310" i="29" s="1"/>
  <c r="AH400" i="29"/>
  <c r="AI400" i="29" s="1"/>
  <c r="AJ206" i="29"/>
  <c r="AH199" i="29"/>
  <c r="AI199" i="29" s="1"/>
  <c r="AH388" i="29"/>
  <c r="AI388" i="29" s="1"/>
  <c r="AH161" i="29"/>
  <c r="AI161" i="29" s="1"/>
  <c r="AG32" i="29"/>
  <c r="AJ267" i="29"/>
  <c r="AH368" i="29"/>
  <c r="AI368" i="29" s="1"/>
  <c r="AH285" i="29"/>
  <c r="AI285" i="29" s="1"/>
  <c r="AH350" i="29"/>
  <c r="AI350" i="29" s="1"/>
  <c r="AJ322" i="29"/>
  <c r="AH286" i="29"/>
  <c r="AI286" i="29" s="1"/>
  <c r="AH174" i="29"/>
  <c r="AI174" i="29" s="1"/>
  <c r="AJ302" i="29"/>
  <c r="AH328" i="29"/>
  <c r="AI328" i="29" s="1"/>
  <c r="AJ62" i="29"/>
  <c r="AH87" i="29"/>
  <c r="AI87" i="29" s="1"/>
  <c r="AJ98" i="29"/>
  <c r="AH117" i="29"/>
  <c r="AI117" i="29" s="1"/>
  <c r="AH194" i="29"/>
  <c r="AI194" i="29" s="1"/>
  <c r="AH382" i="29"/>
  <c r="AI382" i="29" s="1"/>
  <c r="AJ280" i="29"/>
  <c r="AJ340" i="29"/>
  <c r="AJ105" i="29"/>
  <c r="AJ379" i="29"/>
  <c r="AH46" i="29"/>
  <c r="AI46" i="29" s="1"/>
  <c r="AJ146" i="29"/>
  <c r="AH177" i="29"/>
  <c r="AI177" i="29" s="1"/>
  <c r="AJ221" i="29"/>
  <c r="AH389" i="29"/>
  <c r="AI389" i="29" s="1"/>
  <c r="AH153" i="29"/>
  <c r="AI153" i="29" s="1"/>
  <c r="AH104" i="29"/>
  <c r="AI104" i="29" s="1"/>
  <c r="AH196" i="29"/>
  <c r="AI196" i="29" s="1"/>
  <c r="AH360" i="29"/>
  <c r="AI360" i="29" s="1"/>
  <c r="AJ282" i="29"/>
  <c r="AH289" i="29"/>
  <c r="AI289" i="29" s="1"/>
  <c r="AJ386" i="29"/>
  <c r="AH282" i="29"/>
  <c r="AI282" i="29" s="1"/>
  <c r="AJ166" i="29"/>
  <c r="AH120" i="29"/>
  <c r="AI120" i="29" s="1"/>
  <c r="AH119" i="29"/>
  <c r="AI119" i="29" s="1"/>
  <c r="AJ47" i="29"/>
  <c r="AJ354" i="29"/>
  <c r="AJ174" i="29"/>
  <c r="AH111" i="29"/>
  <c r="AI111" i="29" s="1"/>
  <c r="AH373" i="29"/>
  <c r="AI373" i="29" s="1"/>
  <c r="AH296" i="29"/>
  <c r="AI296" i="29" s="1"/>
  <c r="AH305" i="29"/>
  <c r="AI305" i="29" s="1"/>
  <c r="AJ366" i="29"/>
  <c r="AH171" i="29"/>
  <c r="AI171" i="29" s="1"/>
  <c r="AJ170" i="29"/>
  <c r="AJ296" i="29"/>
  <c r="AJ54" i="29"/>
  <c r="AH146" i="29"/>
  <c r="AI146" i="29" s="1"/>
  <c r="AH150" i="29"/>
  <c r="AI150" i="29" s="1"/>
  <c r="AJ249" i="29"/>
  <c r="AH195" i="29"/>
  <c r="AI195" i="29" s="1"/>
  <c r="AH339" i="29"/>
  <c r="AI339" i="29" s="1"/>
  <c r="AH363" i="29"/>
  <c r="AI363" i="29" s="1"/>
  <c r="AJ330" i="29"/>
  <c r="AH270" i="29"/>
  <c r="AI270" i="29" s="1"/>
  <c r="AJ307" i="29"/>
  <c r="AJ225" i="29"/>
  <c r="AJ290" i="29"/>
  <c r="AH189" i="29"/>
  <c r="AI189" i="29" s="1"/>
  <c r="AH181" i="29"/>
  <c r="AI181" i="29" s="1"/>
  <c r="AJ331" i="29"/>
  <c r="AJ300" i="29"/>
  <c r="AH357" i="29"/>
  <c r="AI357" i="29" s="1"/>
  <c r="AJ83" i="29"/>
  <c r="AH49" i="29"/>
  <c r="AI49" i="29" s="1"/>
  <c r="AJ318" i="29"/>
  <c r="AH102" i="29"/>
  <c r="AI102" i="29" s="1"/>
  <c r="AJ164" i="29"/>
  <c r="AH313" i="29"/>
  <c r="AI313" i="29" s="1"/>
  <c r="AH184" i="29"/>
  <c r="AI184" i="29" s="1"/>
  <c r="AJ317" i="29"/>
  <c r="AH390" i="29"/>
  <c r="AI390" i="29" s="1"/>
  <c r="AH123" i="29"/>
  <c r="AI123" i="29" s="1"/>
  <c r="AJ214" i="29"/>
  <c r="AH44" i="29"/>
  <c r="AI44" i="29" s="1"/>
  <c r="AH380" i="29"/>
  <c r="AI380" i="29" s="1"/>
  <c r="AJ136" i="29"/>
  <c r="AH112" i="29"/>
  <c r="AI112" i="29" s="1"/>
  <c r="AH267" i="29"/>
  <c r="AI267" i="29" s="1"/>
  <c r="AH365" i="29"/>
  <c r="AI365" i="29" s="1"/>
  <c r="AH253" i="29"/>
  <c r="AI253" i="29" s="1"/>
  <c r="AH201" i="29"/>
  <c r="AI201" i="29" s="1"/>
  <c r="AJ171" i="29"/>
  <c r="AH244" i="29"/>
  <c r="AI244" i="29" s="1"/>
  <c r="AJ268" i="29"/>
  <c r="AH94" i="29"/>
  <c r="AI94" i="29" s="1"/>
  <c r="AH291" i="29"/>
  <c r="AI291" i="29" s="1"/>
  <c r="AH63" i="29"/>
  <c r="AI63" i="29" s="1"/>
  <c r="AH57" i="29"/>
  <c r="AI57" i="29" s="1"/>
  <c r="AJ77" i="29"/>
  <c r="AJ194" i="29"/>
  <c r="AJ203" i="29"/>
  <c r="AJ201" i="29"/>
  <c r="AH367" i="29"/>
  <c r="AI367" i="29" s="1"/>
  <c r="AH155" i="29"/>
  <c r="AI155" i="29" s="1"/>
  <c r="AJ58" i="29"/>
  <c r="AH356" i="29"/>
  <c r="AI356" i="29" s="1"/>
  <c r="AJ165" i="29"/>
  <c r="AH197" i="29"/>
  <c r="AI197" i="29" s="1"/>
  <c r="AH398" i="29"/>
  <c r="AI398" i="29" s="1"/>
  <c r="AH58" i="29"/>
  <c r="AI58" i="29" s="1"/>
  <c r="AJ178" i="29"/>
  <c r="AH371" i="29"/>
  <c r="AI371" i="29" s="1"/>
  <c r="AJ358" i="29"/>
  <c r="AH79" i="29"/>
  <c r="AI79" i="29" s="1"/>
  <c r="AH42" i="29"/>
  <c r="AI42" i="29" s="1"/>
  <c r="AH347" i="29"/>
  <c r="AI347" i="29" s="1"/>
  <c r="AH265" i="29"/>
  <c r="AI265" i="29" s="1"/>
  <c r="AJ392" i="29"/>
  <c r="AH351" i="29"/>
  <c r="AI351" i="29" s="1"/>
  <c r="AH188" i="29"/>
  <c r="AI188" i="29" s="1"/>
  <c r="AH348" i="29"/>
  <c r="AI348" i="29" s="1"/>
  <c r="AJ396" i="29"/>
  <c r="AJ137" i="29"/>
  <c r="AJ99" i="29"/>
  <c r="AJ97" i="29"/>
  <c r="AH255" i="29"/>
  <c r="AI255" i="29" s="1"/>
  <c r="AH149" i="29"/>
  <c r="AI149" i="29" s="1"/>
  <c r="AJ60" i="29"/>
  <c r="AJ155" i="29"/>
  <c r="AH297" i="29"/>
  <c r="AI297" i="29" s="1"/>
  <c r="AH227" i="29"/>
  <c r="AI227" i="29" s="1"/>
  <c r="AJ63" i="29"/>
  <c r="AH223" i="29"/>
  <c r="AI223" i="29" s="1"/>
  <c r="AH170" i="29"/>
  <c r="AI170" i="29" s="1"/>
  <c r="AH39" i="29"/>
  <c r="AI39" i="29" s="1"/>
  <c r="AH80" i="29"/>
  <c r="AI80" i="29" s="1"/>
  <c r="AH124" i="29"/>
  <c r="AI124" i="29" s="1"/>
  <c r="AH284" i="29"/>
  <c r="AI284" i="29" s="1"/>
  <c r="AJ176" i="29"/>
  <c r="AH252" i="29"/>
  <c r="AI252" i="29" s="1"/>
  <c r="AJ102" i="29"/>
  <c r="AH136" i="29"/>
  <c r="AI136" i="29" s="1"/>
  <c r="AH238" i="29"/>
  <c r="AI238" i="29" s="1"/>
  <c r="AJ210" i="29"/>
  <c r="AH378" i="29"/>
  <c r="AI378" i="29" s="1"/>
  <c r="AH372" i="29"/>
  <c r="AI372" i="29" s="1"/>
  <c r="AH375" i="29"/>
  <c r="AI375" i="29" s="1"/>
  <c r="AH271" i="29"/>
  <c r="AI271" i="29" s="1"/>
  <c r="AJ257" i="29"/>
  <c r="AH205" i="29"/>
  <c r="AI205" i="29" s="1"/>
  <c r="AJ394" i="29"/>
  <c r="AJ175" i="29"/>
  <c r="AJ145" i="29"/>
  <c r="AJ383" i="29"/>
  <c r="AJ271" i="29"/>
  <c r="AJ107" i="29"/>
  <c r="AJ337" i="29"/>
  <c r="AH315" i="29"/>
  <c r="AI315" i="29" s="1"/>
  <c r="AJ303" i="29"/>
  <c r="AH129" i="29"/>
  <c r="AI129" i="29" s="1"/>
  <c r="AJ311" i="29"/>
  <c r="AJ321" i="29"/>
  <c r="AH312" i="29"/>
  <c r="AI312" i="29" s="1"/>
  <c r="AH295" i="29"/>
  <c r="AI295" i="29" s="1"/>
  <c r="AJ86" i="29"/>
  <c r="AH90" i="29"/>
  <c r="AI90" i="29" s="1"/>
  <c r="AH167" i="29"/>
  <c r="AI167" i="29" s="1"/>
  <c r="AJ266" i="29"/>
  <c r="AJ189" i="29"/>
  <c r="AJ232" i="29"/>
  <c r="AJ153" i="29"/>
  <c r="AH318" i="29"/>
  <c r="AI318" i="29" s="1"/>
  <c r="AH72" i="29"/>
  <c r="AI72" i="29" s="1"/>
  <c r="AH241" i="29"/>
  <c r="AI241" i="29" s="1"/>
  <c r="AJ188" i="29"/>
  <c r="AJ314" i="29"/>
  <c r="AJ351" i="29"/>
  <c r="AJ388" i="29"/>
  <c r="AH164" i="29"/>
  <c r="AI164" i="29" s="1"/>
  <c r="AH105" i="29"/>
  <c r="AI105" i="29" s="1"/>
  <c r="AH215" i="29"/>
  <c r="AI215" i="29" s="1"/>
  <c r="AJ327" i="29"/>
  <c r="AH147" i="29"/>
  <c r="AI147" i="29" s="1"/>
  <c r="AJ43" i="29"/>
  <c r="AH243" i="29"/>
  <c r="AI243" i="29" s="1"/>
  <c r="AJ357" i="29"/>
  <c r="AJ95" i="29"/>
  <c r="AH156" i="29"/>
  <c r="AI156" i="29" s="1"/>
  <c r="AH379" i="29"/>
  <c r="AI379" i="29" s="1"/>
  <c r="AH335" i="29"/>
  <c r="AI335" i="29" s="1"/>
  <c r="AJ250" i="29"/>
  <c r="AJ114" i="29"/>
  <c r="AJ65" i="29"/>
  <c r="AH176" i="29"/>
  <c r="AI176" i="29" s="1"/>
  <c r="AJ289" i="29"/>
  <c r="AH299" i="29"/>
  <c r="AI299" i="29" s="1"/>
  <c r="AJ284" i="29"/>
  <c r="AH278" i="29"/>
  <c r="AI278" i="29" s="1"/>
  <c r="AJ349" i="29"/>
  <c r="AJ125" i="29"/>
  <c r="AH77" i="29"/>
  <c r="AI77" i="29" s="1"/>
  <c r="AH106" i="29"/>
  <c r="AI106" i="29" s="1"/>
  <c r="AH394" i="29"/>
  <c r="AI394" i="29" s="1"/>
  <c r="AH198" i="29"/>
  <c r="AI198" i="29" s="1"/>
  <c r="AH303" i="29"/>
  <c r="AI303" i="29" s="1"/>
  <c r="AJ217" i="29"/>
  <c r="AH221" i="29"/>
  <c r="AI221" i="29" s="1"/>
  <c r="AJ80" i="29"/>
  <c r="AH224" i="29"/>
  <c r="AI224" i="29" s="1"/>
  <c r="AJ342" i="29"/>
  <c r="AH321" i="29"/>
  <c r="AI321" i="29" s="1"/>
  <c r="AJ104" i="29"/>
  <c r="AH277" i="29"/>
  <c r="AI277" i="29" s="1"/>
  <c r="AJ113" i="29"/>
  <c r="AJ387" i="29"/>
  <c r="AJ259" i="29"/>
  <c r="AH191" i="29"/>
  <c r="AI191" i="29" s="1"/>
  <c r="AJ110" i="29"/>
  <c r="AH206" i="29"/>
  <c r="AI206" i="29" s="1"/>
  <c r="AH349" i="29"/>
  <c r="AI349" i="29" s="1"/>
  <c r="AH213" i="29"/>
  <c r="AI213" i="29" s="1"/>
  <c r="AH263" i="29"/>
  <c r="AI263" i="29" s="1"/>
  <c r="AJ119" i="29"/>
  <c r="AJ272" i="29"/>
  <c r="AJ49" i="29"/>
  <c r="AJ81" i="29"/>
  <c r="AJ183" i="29"/>
  <c r="AH73" i="29"/>
  <c r="AI73" i="29" s="1"/>
  <c r="AH100" i="29"/>
  <c r="AI100" i="29" s="1"/>
  <c r="AH108" i="29"/>
  <c r="AI108" i="29" s="1"/>
  <c r="AJ365" i="29"/>
  <c r="AJ319" i="29"/>
  <c r="AJ240" i="29"/>
  <c r="AH151" i="29"/>
  <c r="AI151" i="29" s="1"/>
  <c r="AJ40" i="29"/>
  <c r="AH115" i="29"/>
  <c r="AI115" i="29" s="1"/>
  <c r="AH82" i="29"/>
  <c r="AI82" i="29" s="1"/>
  <c r="AJ306" i="29"/>
  <c r="AJ167" i="29"/>
  <c r="AH376" i="29"/>
  <c r="AI376" i="29" s="1"/>
  <c r="AJ130" i="29"/>
  <c r="AJ353" i="29"/>
  <c r="AJ152" i="29"/>
  <c r="AJ73" i="29"/>
  <c r="AH71" i="29"/>
  <c r="AI71" i="29" s="1"/>
  <c r="AH336" i="29"/>
  <c r="AI336" i="29" s="1"/>
  <c r="AJ286" i="29"/>
  <c r="AH103" i="29"/>
  <c r="AI103" i="29" s="1"/>
  <c r="AJ108" i="29"/>
  <c r="AJ208" i="29"/>
  <c r="AH92" i="29"/>
  <c r="AI92" i="29" s="1"/>
  <c r="AJ181" i="29"/>
  <c r="AJ131" i="29"/>
  <c r="AJ374" i="29"/>
  <c r="AH110" i="29"/>
  <c r="AI110" i="29" s="1"/>
  <c r="AJ94" i="29"/>
  <c r="AH148" i="29"/>
  <c r="AI148" i="29" s="1"/>
  <c r="AH186" i="29"/>
  <c r="AI186" i="29" s="1"/>
  <c r="AH254" i="29"/>
  <c r="AI254" i="29" s="1"/>
  <c r="AJ226" i="29"/>
  <c r="AJ263" i="29"/>
  <c r="AJ281" i="29"/>
  <c r="AH48" i="29"/>
  <c r="AI48" i="29" s="1"/>
  <c r="AH162" i="29"/>
  <c r="AI162" i="29" s="1"/>
  <c r="AH316" i="29"/>
  <c r="AI316" i="29" s="1"/>
  <c r="AH99" i="29"/>
  <c r="AI99" i="29" s="1"/>
  <c r="AH340" i="29"/>
  <c r="AI340" i="29" s="1"/>
  <c r="AH143" i="29"/>
  <c r="AI143" i="29" s="1"/>
  <c r="AH182" i="29"/>
  <c r="AI182" i="29" s="1"/>
  <c r="AH301" i="29"/>
  <c r="AI301" i="29" s="1"/>
  <c r="AJ228" i="29"/>
  <c r="AH325" i="29"/>
  <c r="AI325" i="29" s="1"/>
  <c r="AH83" i="29"/>
  <c r="AI83" i="29" s="1"/>
  <c r="AH236" i="29"/>
  <c r="AI236" i="29" s="1"/>
  <c r="AJ144" i="29"/>
  <c r="AJ390" i="29"/>
  <c r="AJ169" i="29"/>
  <c r="AJ291" i="29"/>
  <c r="AH41" i="29"/>
  <c r="AI41" i="29" s="1"/>
  <c r="AH353" i="29"/>
  <c r="AI353" i="29" s="1"/>
  <c r="AH78" i="29"/>
  <c r="AI78" i="29" s="1"/>
  <c r="AJ260" i="29"/>
  <c r="AJ195" i="29"/>
  <c r="AH193" i="29"/>
  <c r="AI193" i="29" s="1"/>
  <c r="AJ89" i="29"/>
  <c r="AH343" i="29"/>
  <c r="AI343" i="29" s="1"/>
  <c r="AJ129" i="29"/>
  <c r="AJ68" i="29"/>
  <c r="AJ42" i="29"/>
  <c r="AH166" i="29"/>
  <c r="AI166" i="29" s="1"/>
  <c r="AH275" i="29"/>
  <c r="AI275" i="29" s="1"/>
  <c r="AJ287" i="29"/>
  <c r="AH298" i="29"/>
  <c r="AI298" i="29" s="1"/>
  <c r="AJ292" i="29"/>
  <c r="AH374" i="29"/>
  <c r="AI374" i="29" s="1"/>
  <c r="AH323" i="29"/>
  <c r="AI323" i="29" s="1"/>
  <c r="AH51" i="29"/>
  <c r="AI51" i="29" s="1"/>
  <c r="AH345" i="29"/>
  <c r="AI345" i="29" s="1"/>
  <c r="AH40" i="29"/>
  <c r="AI40" i="29" s="1"/>
  <c r="AH256" i="29"/>
  <c r="AI256" i="29" s="1"/>
  <c r="AJ293" i="29"/>
  <c r="AH249" i="29"/>
  <c r="AI249" i="29" s="1"/>
  <c r="AH237" i="29"/>
  <c r="AI237" i="29" s="1"/>
  <c r="AJ200" i="29"/>
  <c r="AJ135" i="29"/>
  <c r="AJ275" i="29"/>
  <c r="AH283" i="29"/>
  <c r="AI283" i="29" s="1"/>
  <c r="AJ334" i="29"/>
  <c r="AJ333" i="29"/>
  <c r="AH154" i="29"/>
  <c r="AI154" i="29" s="1"/>
  <c r="AH281" i="29"/>
  <c r="AI281" i="29" s="1"/>
  <c r="AJ103" i="29"/>
  <c r="AJ127" i="29"/>
  <c r="AJ212" i="29"/>
  <c r="AJ141" i="29"/>
  <c r="AH134" i="29"/>
  <c r="AI134" i="29" s="1"/>
  <c r="AJ294" i="29"/>
  <c r="AJ343" i="29"/>
  <c r="AJ335" i="29"/>
  <c r="AJ71" i="29"/>
  <c r="AJ323" i="29"/>
  <c r="AH272" i="29"/>
  <c r="AI272" i="29" s="1"/>
  <c r="AJ101" i="29"/>
  <c r="AJ329" i="29"/>
  <c r="AJ161" i="29"/>
  <c r="AJ79" i="29"/>
  <c r="AJ261" i="29"/>
  <c r="AH381" i="29"/>
  <c r="AI381" i="29" s="1"/>
  <c r="AJ248" i="29"/>
  <c r="AH245" i="29"/>
  <c r="AI245" i="29" s="1"/>
  <c r="AH132" i="29"/>
  <c r="AI132" i="29" s="1"/>
  <c r="AJ301" i="29"/>
  <c r="AH362" i="29"/>
  <c r="AI362" i="29" s="1"/>
  <c r="AJ209" i="29"/>
  <c r="AJ191" i="29"/>
  <c r="AH142" i="29"/>
  <c r="AI142" i="29" s="1"/>
  <c r="AJ118" i="29"/>
  <c r="AH311" i="29"/>
  <c r="AI311" i="29" s="1"/>
  <c r="AJ117" i="29"/>
  <c r="AH130" i="29"/>
  <c r="AI130" i="29" s="1"/>
  <c r="AH190" i="29"/>
  <c r="AI190" i="29" s="1"/>
  <c r="AH268" i="29"/>
  <c r="AI268" i="29" s="1"/>
  <c r="AJ304" i="29"/>
  <c r="AH251" i="29"/>
  <c r="AI251" i="29" s="1"/>
  <c r="AH337" i="29"/>
  <c r="AI337" i="29" s="1"/>
  <c r="AJ128" i="29"/>
  <c r="AJ276" i="29"/>
  <c r="AH127" i="29"/>
  <c r="AI127" i="29" s="1"/>
  <c r="AH133" i="29"/>
  <c r="AI133" i="29" s="1"/>
  <c r="AH212" i="29"/>
  <c r="AI212" i="29" s="1"/>
  <c r="AJ285" i="29"/>
  <c r="AH55" i="29"/>
  <c r="AI55" i="29" s="1"/>
  <c r="AJ100" i="29"/>
  <c r="AJ134" i="29"/>
  <c r="AH185" i="29"/>
  <c r="AI185" i="29" s="1"/>
  <c r="AH261" i="29"/>
  <c r="AI261" i="29" s="1"/>
  <c r="AH207" i="29"/>
  <c r="AI207" i="29" s="1"/>
  <c r="AH329" i="29"/>
  <c r="AI329" i="29" s="1"/>
  <c r="AJ173" i="29"/>
  <c r="AJ242" i="29"/>
  <c r="AJ380" i="29"/>
  <c r="AH158" i="29"/>
  <c r="AI158" i="29" s="1"/>
  <c r="AH259" i="29"/>
  <c r="AI259" i="29" s="1"/>
  <c r="AH168" i="29"/>
  <c r="AI168" i="29" s="1"/>
  <c r="AH247" i="29"/>
  <c r="AI247" i="29" s="1"/>
  <c r="AJ196" i="29"/>
  <c r="AH85" i="29"/>
  <c r="AI85" i="29" s="1"/>
  <c r="AH75" i="29"/>
  <c r="AI75" i="29" s="1"/>
  <c r="AH216" i="29"/>
  <c r="AI216" i="29" s="1"/>
  <c r="AH114" i="29"/>
  <c r="AI114" i="29" s="1"/>
  <c r="AJ59" i="29"/>
  <c r="AJ57" i="29"/>
  <c r="AH214" i="29"/>
  <c r="AI214" i="29" s="1"/>
  <c r="AH97" i="29"/>
  <c r="AI97" i="29" s="1"/>
  <c r="AJ160" i="29"/>
  <c r="AJ182" i="29"/>
  <c r="AJ395" i="29"/>
  <c r="AJ377" i="29"/>
  <c r="AJ277" i="29"/>
  <c r="AJ168" i="29"/>
  <c r="AH204" i="29"/>
  <c r="AI204" i="29" s="1"/>
  <c r="AH95" i="29"/>
  <c r="AI95" i="29" s="1"/>
  <c r="AJ336" i="29"/>
  <c r="AJ222" i="29"/>
  <c r="AH179" i="29"/>
  <c r="AI179" i="29" s="1"/>
  <c r="AJ399" i="29"/>
  <c r="AH384" i="29"/>
  <c r="AI384" i="29" s="1"/>
  <c r="AJ111" i="29"/>
  <c r="AH293" i="29"/>
  <c r="AI293" i="29" s="1"/>
  <c r="AH125" i="29"/>
  <c r="AI125" i="29" s="1"/>
  <c r="AH308" i="29"/>
  <c r="AI308" i="29" s="1"/>
  <c r="AJ309" i="29"/>
  <c r="AJ391" i="29"/>
  <c r="AH137" i="29"/>
  <c r="AI137" i="29" s="1"/>
  <c r="AJ126" i="29"/>
  <c r="AJ288" i="29"/>
  <c r="AJ93" i="29"/>
  <c r="AJ140" i="29"/>
  <c r="AJ381" i="29"/>
  <c r="AH324" i="29"/>
  <c r="AI324" i="29" s="1"/>
  <c r="AH121" i="29"/>
  <c r="AI121" i="29" s="1"/>
  <c r="AH239" i="29"/>
  <c r="AI239" i="29" s="1"/>
  <c r="AH330" i="29"/>
  <c r="AI330" i="29" s="1"/>
  <c r="AH333" i="29"/>
  <c r="AI333" i="29" s="1"/>
  <c r="AH61" i="29"/>
  <c r="AI61" i="29" s="1"/>
  <c r="AJ239" i="29"/>
  <c r="AH107" i="29"/>
  <c r="AI107" i="29" s="1"/>
  <c r="AJ359" i="29"/>
  <c r="AJ373" i="29"/>
  <c r="AJ252" i="29"/>
  <c r="AJ218" i="29"/>
  <c r="AJ254" i="29"/>
  <c r="AH258" i="29"/>
  <c r="AI258" i="29" s="1"/>
  <c r="AH56" i="29"/>
  <c r="AI56" i="29" s="1"/>
  <c r="AJ264" i="29"/>
  <c r="AJ371" i="29"/>
  <c r="AH269" i="29"/>
  <c r="AI269" i="29" s="1"/>
  <c r="AJ91" i="29"/>
  <c r="AH67" i="29"/>
  <c r="AI67" i="29" s="1"/>
  <c r="AH235" i="29"/>
  <c r="AI235" i="29" s="1"/>
  <c r="AJ338" i="29"/>
  <c r="AH169" i="29"/>
  <c r="AI169" i="29" s="1"/>
  <c r="AH276" i="29"/>
  <c r="AI276" i="29" s="1"/>
  <c r="AJ362" i="29"/>
  <c r="AJ243" i="29"/>
  <c r="AJ234" i="29"/>
  <c r="AJ345" i="29"/>
  <c r="AH62" i="29"/>
  <c r="AI62" i="29" s="1"/>
  <c r="AJ186" i="29"/>
  <c r="AJ375" i="29"/>
  <c r="AH230" i="29"/>
  <c r="AI230" i="29" s="1"/>
  <c r="AJ142" i="29"/>
  <c r="AJ279" i="29"/>
  <c r="AH304" i="29"/>
  <c r="AI304" i="29" s="1"/>
  <c r="AH274" i="29"/>
  <c r="AI274" i="29" s="1"/>
  <c r="AJ223" i="29"/>
  <c r="AH377" i="29"/>
  <c r="AI377" i="29" s="1"/>
  <c r="AH81" i="29"/>
  <c r="AI81" i="29" s="1"/>
  <c r="AH126" i="29"/>
  <c r="AI126" i="29" s="1"/>
  <c r="AJ355" i="29"/>
  <c r="AJ347" i="29"/>
  <c r="AJ316" i="29"/>
  <c r="AJ70" i="29"/>
  <c r="AH383" i="29"/>
  <c r="AI383" i="29" s="1"/>
  <c r="AH68" i="29"/>
  <c r="AI68" i="29" s="1"/>
  <c r="AJ312" i="29"/>
  <c r="AH332" i="29"/>
  <c r="AI332" i="29" s="1"/>
  <c r="AH66" i="29"/>
  <c r="AI66" i="29" s="1"/>
  <c r="AJ341" i="29"/>
  <c r="AH262" i="29"/>
  <c r="AI262" i="29" s="1"/>
  <c r="AJ82" i="29"/>
  <c r="AJ157" i="29"/>
  <c r="AH385" i="29"/>
  <c r="AI385" i="29" s="1"/>
  <c r="AH175" i="29"/>
  <c r="AI175" i="29" s="1"/>
  <c r="AJ339" i="29"/>
  <c r="AH84" i="29"/>
  <c r="AI84" i="29" s="1"/>
  <c r="AJ350" i="29"/>
  <c r="AH135" i="29"/>
  <c r="AI135" i="29" s="1"/>
  <c r="AH292" i="29"/>
  <c r="AI292" i="29" s="1"/>
  <c r="AH53" i="29"/>
  <c r="AI53" i="29" s="1"/>
  <c r="AJ378" i="29"/>
  <c r="AJ235" i="29"/>
  <c r="AH160" i="29"/>
  <c r="AI160" i="29" s="1"/>
  <c r="AJ384" i="29"/>
  <c r="AH91" i="29"/>
  <c r="AI91" i="29" s="1"/>
  <c r="AH69" i="29"/>
  <c r="AI69" i="29" s="1"/>
  <c r="AH210" i="29"/>
  <c r="AI210" i="29" s="1"/>
  <c r="AH98" i="29"/>
  <c r="AI98" i="29" s="1"/>
  <c r="AJ133" i="29"/>
  <c r="AH266" i="29"/>
  <c r="AI266" i="29" s="1"/>
  <c r="AJ224" i="29"/>
  <c r="AH338" i="29"/>
  <c r="AI338" i="29" s="1"/>
  <c r="AH138" i="29"/>
  <c r="AI138" i="29" s="1"/>
  <c r="AH370" i="29"/>
  <c r="AI370" i="29" s="1"/>
  <c r="AH288" i="29"/>
  <c r="AI288" i="29" s="1"/>
  <c r="AH96" i="29"/>
  <c r="AI96" i="29" s="1"/>
  <c r="AH273" i="29"/>
  <c r="AI273" i="29" s="1"/>
  <c r="AJ198" i="29"/>
  <c r="AJ320" i="29"/>
  <c r="AH140" i="29"/>
  <c r="AI140" i="29" s="1"/>
  <c r="AJ85" i="29"/>
  <c r="AH361" i="29"/>
  <c r="AI361" i="29" s="1"/>
  <c r="AE39" i="14"/>
  <c r="AF39" i="14" s="1"/>
  <c r="AE200" i="14"/>
  <c r="AF200" i="14" s="1"/>
  <c r="AE100" i="14"/>
  <c r="AF100" i="14" s="1"/>
  <c r="AE42" i="14"/>
  <c r="AF42" i="14" s="1"/>
  <c r="AG140" i="14"/>
  <c r="AG141" i="14"/>
  <c r="AE41" i="14"/>
  <c r="AF41" i="14" s="1"/>
  <c r="AE125" i="14"/>
  <c r="AF125" i="14" s="1"/>
  <c r="AE386" i="14"/>
  <c r="AF386" i="14" s="1"/>
  <c r="AG229" i="14"/>
  <c r="AE119" i="14"/>
  <c r="AF119" i="14" s="1"/>
  <c r="AG190" i="14"/>
  <c r="AG163" i="14"/>
  <c r="AE232" i="14"/>
  <c r="AF232" i="14" s="1"/>
  <c r="AG121" i="14"/>
  <c r="AE268" i="14"/>
  <c r="AF268" i="14" s="1"/>
  <c r="AE155" i="14"/>
  <c r="AF155" i="14" s="1"/>
  <c r="AG370" i="14"/>
  <c r="AE225" i="14"/>
  <c r="AF225" i="14" s="1"/>
  <c r="AE109" i="14"/>
  <c r="AF109" i="14" s="1"/>
  <c r="AE373" i="14"/>
  <c r="AF373" i="14" s="1"/>
  <c r="AE88" i="14"/>
  <c r="AF88" i="14" s="1"/>
  <c r="AE394" i="14"/>
  <c r="AF394" i="14" s="1"/>
  <c r="AE392" i="14"/>
  <c r="AF392" i="14" s="1"/>
  <c r="AE65" i="14"/>
  <c r="AF65" i="14" s="1"/>
  <c r="AE304" i="14"/>
  <c r="AF304" i="14" s="1"/>
  <c r="AE143" i="14"/>
  <c r="AF143" i="14" s="1"/>
  <c r="AG118" i="14"/>
  <c r="AE160" i="14"/>
  <c r="AF160" i="14" s="1"/>
  <c r="AE172" i="14"/>
  <c r="AF172" i="14" s="1"/>
  <c r="AG240" i="14"/>
  <c r="AG234" i="14"/>
  <c r="AE138" i="14"/>
  <c r="AF138" i="14" s="1"/>
  <c r="AE152" i="14"/>
  <c r="AF152" i="14" s="1"/>
  <c r="AG251" i="14"/>
  <c r="AE106" i="14"/>
  <c r="AF106" i="14" s="1"/>
  <c r="AE113" i="14"/>
  <c r="AF113" i="14" s="1"/>
  <c r="AE178" i="14"/>
  <c r="AF178" i="14" s="1"/>
  <c r="AG250" i="14"/>
  <c r="AG385" i="14"/>
  <c r="AE166" i="14"/>
  <c r="AF166" i="14" s="1"/>
  <c r="AE161" i="14"/>
  <c r="AF161" i="14" s="1"/>
  <c r="AE372" i="14"/>
  <c r="AF372" i="14" s="1"/>
  <c r="AG112" i="14"/>
  <c r="AE148" i="14"/>
  <c r="AF148" i="14" s="1"/>
  <c r="AE111" i="14"/>
  <c r="AF111" i="14" s="1"/>
  <c r="AE234" i="14"/>
  <c r="AF234" i="14" s="1"/>
  <c r="AE142" i="14"/>
  <c r="AF142" i="14" s="1"/>
  <c r="AE266" i="14"/>
  <c r="AF266" i="14" s="1"/>
  <c r="AH260" i="23"/>
  <c r="AI260" i="23" s="1"/>
  <c r="AG193" i="14"/>
  <c r="AG131" i="14"/>
  <c r="AE213" i="14"/>
  <c r="AF213" i="14" s="1"/>
  <c r="AE330" i="14"/>
  <c r="AF330" i="14" s="1"/>
  <c r="AE242" i="14"/>
  <c r="AF242" i="14" s="1"/>
  <c r="AE91" i="14"/>
  <c r="AF91" i="14" s="1"/>
  <c r="AE348" i="14"/>
  <c r="AF348" i="14" s="1"/>
  <c r="AG253" i="14"/>
  <c r="AG85" i="14"/>
  <c r="AE210" i="14"/>
  <c r="AF210" i="14" s="1"/>
  <c r="AE86" i="14"/>
  <c r="AF86" i="14" s="1"/>
  <c r="AG40" i="14"/>
  <c r="AE94" i="14"/>
  <c r="AF94" i="14" s="1"/>
  <c r="AG107" i="14"/>
  <c r="AG365" i="14"/>
  <c r="AE324" i="14"/>
  <c r="AF324" i="14" s="1"/>
  <c r="AE108" i="14"/>
  <c r="AF108" i="14" s="1"/>
  <c r="AG378" i="14"/>
  <c r="AE275" i="14"/>
  <c r="AF275" i="14" s="1"/>
  <c r="AE290" i="14"/>
  <c r="AF290" i="14" s="1"/>
  <c r="AE289" i="14"/>
  <c r="AF289" i="14" s="1"/>
  <c r="AG41" i="14"/>
  <c r="AG305" i="14"/>
  <c r="AG286" i="14"/>
  <c r="AG160" i="14"/>
  <c r="AG308" i="14"/>
  <c r="AE50" i="14"/>
  <c r="AF50" i="14" s="1"/>
  <c r="AE194" i="14"/>
  <c r="AF194" i="14" s="1"/>
  <c r="AE45" i="14"/>
  <c r="AF45" i="14" s="1"/>
  <c r="AG111" i="14"/>
  <c r="AE291" i="14"/>
  <c r="AF291" i="14" s="1"/>
  <c r="AE388" i="14"/>
  <c r="AF388" i="14" s="1"/>
  <c r="AE380" i="14"/>
  <c r="AF380" i="14" s="1"/>
  <c r="AE46" i="14"/>
  <c r="AF46" i="14" s="1"/>
  <c r="AE381" i="14"/>
  <c r="AF381" i="14" s="1"/>
  <c r="AG287" i="14"/>
  <c r="AG170" i="14"/>
  <c r="AG350" i="14"/>
  <c r="AG360" i="14"/>
  <c r="AG169" i="14"/>
  <c r="AG213" i="14"/>
  <c r="AG64" i="14"/>
  <c r="AG237" i="14"/>
  <c r="AE391" i="14"/>
  <c r="AF391" i="14" s="1"/>
  <c r="AE191" i="14"/>
  <c r="AF191" i="14" s="1"/>
  <c r="AG383" i="14"/>
  <c r="AE95" i="14"/>
  <c r="AF95" i="14" s="1"/>
  <c r="AG215" i="14"/>
  <c r="AE223" i="14"/>
  <c r="AF223" i="14" s="1"/>
  <c r="AE116" i="14"/>
  <c r="AF116" i="14" s="1"/>
  <c r="AG128" i="14"/>
  <c r="AE224" i="14"/>
  <c r="AF224" i="14" s="1"/>
  <c r="AE249" i="14"/>
  <c r="AF249" i="14" s="1"/>
  <c r="AG68" i="14"/>
  <c r="AG375" i="14"/>
  <c r="AE177" i="14"/>
  <c r="AF177" i="14" s="1"/>
  <c r="AG90" i="14"/>
  <c r="AG200" i="14"/>
  <c r="AE371" i="14"/>
  <c r="AF371" i="14" s="1"/>
  <c r="AE139" i="14"/>
  <c r="AF139" i="14" s="1"/>
  <c r="AE310" i="14"/>
  <c r="AF310" i="14" s="1"/>
  <c r="AE395" i="14"/>
  <c r="AF395" i="14" s="1"/>
  <c r="AG364" i="14"/>
  <c r="AE270" i="14"/>
  <c r="AF270" i="14" s="1"/>
  <c r="AG299" i="14"/>
  <c r="AE322" i="14"/>
  <c r="AF322" i="14" s="1"/>
  <c r="AE190" i="14"/>
  <c r="AF190" i="14" s="1"/>
  <c r="AE105" i="14"/>
  <c r="AF105" i="14" s="1"/>
  <c r="AE183" i="14"/>
  <c r="AF183" i="14" s="1"/>
  <c r="AG115" i="14"/>
  <c r="AE176" i="14"/>
  <c r="AF176" i="14" s="1"/>
  <c r="AE51" i="14"/>
  <c r="AF51" i="14" s="1"/>
  <c r="AE337" i="14"/>
  <c r="AF337" i="14" s="1"/>
  <c r="AG328" i="14"/>
  <c r="AG319" i="14"/>
  <c r="AG283" i="14"/>
  <c r="AE59" i="14"/>
  <c r="AF59" i="14" s="1"/>
  <c r="AE118" i="14"/>
  <c r="AF118" i="14" s="1"/>
  <c r="AE68" i="14"/>
  <c r="AF68" i="14" s="1"/>
  <c r="AG138" i="14"/>
  <c r="AG202" i="14"/>
  <c r="AE353" i="14"/>
  <c r="AF353" i="14" s="1"/>
  <c r="AE308" i="14"/>
  <c r="AF308" i="14" s="1"/>
  <c r="AE254" i="14"/>
  <c r="AF254" i="14" s="1"/>
  <c r="AG92" i="14"/>
  <c r="AG144" i="14"/>
  <c r="AE146" i="14"/>
  <c r="AF146" i="14" s="1"/>
  <c r="AE62" i="14"/>
  <c r="AF62" i="14" s="1"/>
  <c r="AG172" i="14"/>
  <c r="AE316" i="14"/>
  <c r="AF316" i="14" s="1"/>
  <c r="AE147" i="14"/>
  <c r="AF147" i="14" s="1"/>
  <c r="AE198" i="14"/>
  <c r="AF198" i="14" s="1"/>
  <c r="AG88" i="14"/>
  <c r="AG72" i="14"/>
  <c r="AG382" i="14"/>
  <c r="AE321" i="14"/>
  <c r="AF321" i="14" s="1"/>
  <c r="AG352" i="14"/>
  <c r="AG356" i="14"/>
  <c r="AG247" i="14"/>
  <c r="AE364" i="14"/>
  <c r="AF364" i="14" s="1"/>
  <c r="AE389" i="14"/>
  <c r="AF389" i="14" s="1"/>
  <c r="AG70" i="14"/>
  <c r="AE89" i="14"/>
  <c r="AF89" i="14" s="1"/>
  <c r="AE306" i="14"/>
  <c r="AF306" i="14" s="1"/>
  <c r="AG208" i="14"/>
  <c r="AG256" i="14"/>
  <c r="AG133" i="14"/>
  <c r="AE253" i="14"/>
  <c r="AF253" i="14" s="1"/>
  <c r="AG307" i="14"/>
  <c r="AE120" i="14"/>
  <c r="AF120" i="14" s="1"/>
  <c r="AG153" i="14"/>
  <c r="AG137" i="14"/>
  <c r="AE173" i="14"/>
  <c r="AF173" i="14" s="1"/>
  <c r="AE387" i="14"/>
  <c r="AF387" i="14" s="1"/>
  <c r="AG181" i="14"/>
  <c r="AE103" i="14"/>
  <c r="AF103" i="14" s="1"/>
  <c r="AG359" i="14"/>
  <c r="AG288" i="14"/>
  <c r="AE151" i="14"/>
  <c r="AF151" i="14" s="1"/>
  <c r="AG205" i="14"/>
  <c r="AG142" i="14"/>
  <c r="AG223" i="14"/>
  <c r="AG252" i="14"/>
  <c r="AE319" i="14"/>
  <c r="AF319" i="14" s="1"/>
  <c r="AE163" i="14"/>
  <c r="AF163" i="14" s="1"/>
  <c r="AG354" i="14"/>
  <c r="AE255" i="14"/>
  <c r="AF255" i="14" s="1"/>
  <c r="AE184" i="14"/>
  <c r="AF184" i="14" s="1"/>
  <c r="AE77" i="14"/>
  <c r="AF77" i="14" s="1"/>
  <c r="AE248" i="14"/>
  <c r="AF248" i="14" s="1"/>
  <c r="AE301" i="14"/>
  <c r="AF301" i="14" s="1"/>
  <c r="AG337" i="14"/>
  <c r="AG56" i="14"/>
  <c r="AG150" i="14"/>
  <c r="AG198" i="14"/>
  <c r="AG74" i="14"/>
  <c r="AE313" i="14"/>
  <c r="AF313" i="14" s="1"/>
  <c r="AG265" i="14"/>
  <c r="AG313" i="14"/>
  <c r="AG66" i="14"/>
  <c r="AG322" i="14"/>
  <c r="AE376" i="14"/>
  <c r="AF376" i="14" s="1"/>
  <c r="AG52" i="14"/>
  <c r="AE226" i="14"/>
  <c r="AF226" i="14" s="1"/>
  <c r="AE201" i="14"/>
  <c r="AF201" i="14" s="1"/>
  <c r="AG282" i="14"/>
  <c r="AE199" i="14"/>
  <c r="AF199" i="14" s="1"/>
  <c r="AE60" i="14"/>
  <c r="AF60" i="14" s="1"/>
  <c r="AG44" i="14"/>
  <c r="AG264" i="14"/>
  <c r="AE85" i="14"/>
  <c r="AF85" i="14" s="1"/>
  <c r="AG318" i="14"/>
  <c r="AE193" i="14"/>
  <c r="AF193" i="14" s="1"/>
  <c r="AE299" i="14"/>
  <c r="AF299" i="14" s="1"/>
  <c r="AE286" i="14"/>
  <c r="AF286" i="14" s="1"/>
  <c r="AG217" i="14"/>
  <c r="AE326" i="14"/>
  <c r="AF326" i="14" s="1"/>
  <c r="AE84" i="14"/>
  <c r="AF84" i="14" s="1"/>
  <c r="AE207" i="14"/>
  <c r="AF207" i="14" s="1"/>
  <c r="AG159" i="14"/>
  <c r="AG135" i="14"/>
  <c r="AG309" i="14"/>
  <c r="AE252" i="14"/>
  <c r="AF252" i="14" s="1"/>
  <c r="AG105" i="14"/>
  <c r="AG84" i="14"/>
  <c r="AE378" i="14"/>
  <c r="AF378" i="14" s="1"/>
  <c r="AE338" i="14"/>
  <c r="AF338" i="14" s="1"/>
  <c r="AG188" i="14"/>
  <c r="AG394" i="14"/>
  <c r="AE44" i="14"/>
  <c r="AF44" i="14" s="1"/>
  <c r="AE241" i="14"/>
  <c r="AF241" i="14" s="1"/>
  <c r="AG189" i="14"/>
  <c r="AE315" i="14"/>
  <c r="AF315" i="14" s="1"/>
  <c r="AG346" i="14"/>
  <c r="AG342" i="14"/>
  <c r="AG384" i="14"/>
  <c r="AE93" i="14"/>
  <c r="AF93" i="14" s="1"/>
  <c r="AG304" i="14"/>
  <c r="AE107" i="14"/>
  <c r="AF107" i="14" s="1"/>
  <c r="AG78" i="14"/>
  <c r="AG302" i="14"/>
  <c r="AG130" i="14"/>
  <c r="AG270" i="14"/>
  <c r="AE78" i="14"/>
  <c r="AF78" i="14" s="1"/>
  <c r="AG377" i="14"/>
  <c r="AG179" i="14"/>
  <c r="AE104" i="14"/>
  <c r="AF104" i="14" s="1"/>
  <c r="AE156" i="14"/>
  <c r="AF156" i="14" s="1"/>
  <c r="AG197" i="14"/>
  <c r="AE196" i="14"/>
  <c r="AF196" i="14" s="1"/>
  <c r="AE188" i="14"/>
  <c r="AF188" i="14" s="1"/>
  <c r="AE293" i="14"/>
  <c r="AF293" i="14" s="1"/>
  <c r="AG310" i="14"/>
  <c r="AE305" i="14"/>
  <c r="AF305" i="14" s="1"/>
  <c r="AE221" i="14"/>
  <c r="AF221" i="14" s="1"/>
  <c r="AE222" i="14"/>
  <c r="AF222" i="14" s="1"/>
  <c r="AE192" i="14"/>
  <c r="AF192" i="14" s="1"/>
  <c r="AG49" i="14"/>
  <c r="AE269" i="14"/>
  <c r="AF269" i="14" s="1"/>
  <c r="AG260" i="14"/>
  <c r="AG69" i="14"/>
  <c r="AG291" i="14"/>
  <c r="AG62" i="14"/>
  <c r="AG343" i="14"/>
  <c r="AE170" i="14"/>
  <c r="AF170" i="14" s="1"/>
  <c r="AG254" i="14"/>
  <c r="AG330" i="14"/>
  <c r="AG192" i="14"/>
  <c r="AE179" i="14"/>
  <c r="AF179" i="14" s="1"/>
  <c r="AG106" i="14"/>
  <c r="AJ73" i="23"/>
  <c r="AJ353" i="23"/>
  <c r="AE96" i="14"/>
  <c r="AF96" i="14" s="1"/>
  <c r="AG42" i="14"/>
  <c r="AG124" i="14"/>
  <c r="AG55" i="14"/>
  <c r="AE334" i="14"/>
  <c r="AF334" i="14" s="1"/>
  <c r="AE309" i="14"/>
  <c r="AF309" i="14" s="1"/>
  <c r="AE362" i="14"/>
  <c r="AF362" i="14" s="1"/>
  <c r="AE80" i="14"/>
  <c r="AF80" i="14" s="1"/>
  <c r="AE197" i="14"/>
  <c r="AF197" i="14" s="1"/>
  <c r="AE167" i="14"/>
  <c r="AF167" i="14" s="1"/>
  <c r="AG143" i="14"/>
  <c r="AG63" i="14"/>
  <c r="AG293" i="14"/>
  <c r="AG306" i="14"/>
  <c r="AE126" i="14"/>
  <c r="AF126" i="14" s="1"/>
  <c r="AE114" i="14"/>
  <c r="AF114" i="14" s="1"/>
  <c r="AE278" i="14"/>
  <c r="AF278" i="14" s="1"/>
  <c r="AE328" i="14"/>
  <c r="AF328" i="14" s="1"/>
  <c r="AE298" i="14"/>
  <c r="AF298" i="14" s="1"/>
  <c r="AE75" i="14"/>
  <c r="AF75" i="14" s="1"/>
  <c r="AG236" i="14"/>
  <c r="AE335" i="14"/>
  <c r="AF335" i="14" s="1"/>
  <c r="AG357" i="14"/>
  <c r="AG273" i="14"/>
  <c r="AE67" i="14"/>
  <c r="AF67" i="14" s="1"/>
  <c r="AE314" i="14"/>
  <c r="AF314" i="14" s="1"/>
  <c r="AG263" i="14"/>
  <c r="AG136" i="14"/>
  <c r="AE368" i="14"/>
  <c r="AF368" i="14" s="1"/>
  <c r="AG233" i="14"/>
  <c r="AE390" i="14"/>
  <c r="AF390" i="14" s="1"/>
  <c r="AG89" i="14"/>
  <c r="AG158" i="14"/>
  <c r="AE231" i="14"/>
  <c r="AF231" i="14" s="1"/>
  <c r="AE64" i="14"/>
  <c r="AF64" i="14" s="1"/>
  <c r="AG126" i="14"/>
  <c r="AE121" i="14"/>
  <c r="AF121" i="14" s="1"/>
  <c r="AG295" i="14"/>
  <c r="AG98" i="14"/>
  <c r="AG167" i="14"/>
  <c r="AG347" i="14"/>
  <c r="AG99" i="14"/>
  <c r="AG351" i="14"/>
  <c r="AE369" i="14"/>
  <c r="AF369" i="14" s="1"/>
  <c r="AE250" i="14"/>
  <c r="AF250" i="14" s="1"/>
  <c r="AE287" i="14"/>
  <c r="AF287" i="14" s="1"/>
  <c r="AE76" i="14"/>
  <c r="AF76" i="14" s="1"/>
  <c r="AG367" i="14"/>
  <c r="AE128" i="14"/>
  <c r="AF128" i="14" s="1"/>
  <c r="AE154" i="14"/>
  <c r="AF154" i="14" s="1"/>
  <c r="AE396" i="14"/>
  <c r="AF396" i="14" s="1"/>
  <c r="AE273" i="14"/>
  <c r="AF273" i="14" s="1"/>
  <c r="AE271" i="14"/>
  <c r="AF271" i="14" s="1"/>
  <c r="AE259" i="14"/>
  <c r="AF259" i="14" s="1"/>
  <c r="AG373" i="14"/>
  <c r="AG246" i="14"/>
  <c r="AE244" i="14"/>
  <c r="AF244" i="14" s="1"/>
  <c r="AE379" i="14"/>
  <c r="AF379" i="14" s="1"/>
  <c r="AG267" i="14"/>
  <c r="AG60" i="14"/>
  <c r="AG210" i="14"/>
  <c r="AG316" i="14"/>
  <c r="AG300" i="14"/>
  <c r="AG326" i="14"/>
  <c r="AG339" i="14"/>
  <c r="AG186" i="14"/>
  <c r="AG48" i="14"/>
  <c r="AG79" i="14"/>
  <c r="AE367" i="14"/>
  <c r="AF367" i="14" s="1"/>
  <c r="AE171" i="14"/>
  <c r="AF171" i="14" s="1"/>
  <c r="AG278" i="14"/>
  <c r="AE82" i="14"/>
  <c r="AF82" i="14" s="1"/>
  <c r="AE235" i="14"/>
  <c r="AF235" i="14" s="1"/>
  <c r="AG83" i="14"/>
  <c r="AG132" i="14"/>
  <c r="AG396" i="14"/>
  <c r="AG152" i="14"/>
  <c r="AE336" i="14"/>
  <c r="AF336" i="14" s="1"/>
  <c r="AG119" i="14"/>
  <c r="AG312" i="14"/>
  <c r="AG368" i="14"/>
  <c r="AG391" i="14"/>
  <c r="AE245" i="14"/>
  <c r="AF245" i="14" s="1"/>
  <c r="AG154" i="14"/>
  <c r="AG242" i="14"/>
  <c r="AE149" i="14"/>
  <c r="AF149" i="14" s="1"/>
  <c r="AE208" i="14"/>
  <c r="AF208" i="14" s="1"/>
  <c r="AG101" i="14"/>
  <c r="AG231" i="14"/>
  <c r="AG59" i="14"/>
  <c r="AG362" i="14"/>
  <c r="AG230" i="14"/>
  <c r="AG86" i="14"/>
  <c r="AG244" i="14"/>
  <c r="AG102" i="14"/>
  <c r="AE180" i="14"/>
  <c r="AF180" i="14" s="1"/>
  <c r="AE203" i="14"/>
  <c r="AF203" i="14" s="1"/>
  <c r="AG311" i="14"/>
  <c r="AG399" i="14"/>
  <c r="AE134" i="14"/>
  <c r="AF134" i="14" s="1"/>
  <c r="AG97" i="14"/>
  <c r="AE216" i="14"/>
  <c r="AF216" i="14" s="1"/>
  <c r="AE341" i="14"/>
  <c r="AF341" i="14" s="1"/>
  <c r="AE209" i="14"/>
  <c r="AF209" i="14" s="1"/>
  <c r="AE52" i="14"/>
  <c r="AF52" i="14" s="1"/>
  <c r="AG301" i="14"/>
  <c r="AE377" i="14"/>
  <c r="AF377" i="14" s="1"/>
  <c r="AE339" i="14"/>
  <c r="AF339" i="14" s="1"/>
  <c r="AE365" i="14"/>
  <c r="AF365" i="14" s="1"/>
  <c r="AG95" i="14"/>
  <c r="AE169" i="14"/>
  <c r="AF169" i="14" s="1"/>
  <c r="AG120" i="14"/>
  <c r="AE349" i="14"/>
  <c r="AF349" i="14" s="1"/>
  <c r="AE297" i="14"/>
  <c r="AF297" i="14" s="1"/>
  <c r="AE71" i="14"/>
  <c r="AF71" i="14" s="1"/>
  <c r="AG315" i="14"/>
  <c r="AG50" i="14"/>
  <c r="AE256" i="14"/>
  <c r="AF256" i="14" s="1"/>
  <c r="AG183" i="14"/>
  <c r="AE181" i="14"/>
  <c r="AF181" i="14" s="1"/>
  <c r="AG332" i="14"/>
  <c r="AE303" i="14"/>
  <c r="AF303" i="14" s="1"/>
  <c r="AG397" i="14"/>
  <c r="AE53" i="14"/>
  <c r="AF53" i="14" s="1"/>
  <c r="AG204" i="14"/>
  <c r="AG127" i="14"/>
  <c r="AE354" i="14"/>
  <c r="AF354" i="14" s="1"/>
  <c r="AE56" i="14"/>
  <c r="AF56" i="14" s="1"/>
  <c r="AG109" i="14"/>
  <c r="AE281" i="14"/>
  <c r="AF281" i="14" s="1"/>
  <c r="AG290" i="14"/>
  <c r="AE61" i="14"/>
  <c r="AF61" i="14" s="1"/>
  <c r="AG335" i="14"/>
  <c r="AE90" i="14"/>
  <c r="AF90" i="14" s="1"/>
  <c r="AE325" i="14"/>
  <c r="AF325" i="14" s="1"/>
  <c r="AG65" i="14"/>
  <c r="AE40" i="14"/>
  <c r="AF40" i="14" s="1"/>
  <c r="AE363" i="14"/>
  <c r="AF363" i="14" s="1"/>
  <c r="AG239" i="14"/>
  <c r="AG58" i="14"/>
  <c r="AE127" i="14"/>
  <c r="AF127" i="14" s="1"/>
  <c r="AG275" i="14"/>
  <c r="AG259" i="14"/>
  <c r="AE272" i="14"/>
  <c r="AF272" i="14" s="1"/>
  <c r="AG178" i="14"/>
  <c r="AG344" i="14"/>
  <c r="AG113" i="14"/>
  <c r="AE74" i="14"/>
  <c r="AF74" i="14" s="1"/>
  <c r="AG177" i="14"/>
  <c r="AG381" i="14"/>
  <c r="AG358" i="14"/>
  <c r="AE370" i="14"/>
  <c r="AF370" i="14" s="1"/>
  <c r="AG187" i="14"/>
  <c r="AG209" i="14"/>
  <c r="AE276" i="14"/>
  <c r="AF276" i="14" s="1"/>
  <c r="AE218" i="14"/>
  <c r="AF218" i="14" s="1"/>
  <c r="AG161" i="14"/>
  <c r="AG195" i="14"/>
  <c r="AE92" i="14"/>
  <c r="AF92" i="14" s="1"/>
  <c r="AE318" i="14"/>
  <c r="AF318" i="14" s="1"/>
  <c r="AG389" i="14"/>
  <c r="AG191" i="14"/>
  <c r="AE340" i="14"/>
  <c r="AF340" i="14" s="1"/>
  <c r="AG241" i="14"/>
  <c r="AE307" i="14"/>
  <c r="AF307" i="14" s="1"/>
  <c r="AE153" i="14"/>
  <c r="AF153" i="14" s="1"/>
  <c r="AG149" i="14"/>
  <c r="AE360" i="14"/>
  <c r="AF360" i="14" s="1"/>
  <c r="AG148" i="14"/>
  <c r="AG249" i="14"/>
  <c r="AE294" i="14"/>
  <c r="AF294" i="14" s="1"/>
  <c r="AE262" i="14"/>
  <c r="AF262" i="14" s="1"/>
  <c r="AG366" i="14"/>
  <c r="AG321" i="14"/>
  <c r="AE344" i="14"/>
  <c r="AF344" i="14" s="1"/>
  <c r="AG176" i="14"/>
  <c r="AG184" i="14"/>
  <c r="AE331" i="14"/>
  <c r="AF331" i="14" s="1"/>
  <c r="AG243" i="14"/>
  <c r="AG206" i="14"/>
  <c r="AE375" i="14"/>
  <c r="AF375" i="14" s="1"/>
  <c r="AG296" i="14"/>
  <c r="AG174" i="14"/>
  <c r="AE69" i="14"/>
  <c r="AF69" i="14" s="1"/>
  <c r="AG395" i="14"/>
  <c r="AG73" i="14"/>
  <c r="AE117" i="14"/>
  <c r="AF117" i="14" s="1"/>
  <c r="AG175" i="14"/>
  <c r="AE292" i="14"/>
  <c r="AF292" i="14" s="1"/>
  <c r="AE211" i="14"/>
  <c r="AF211" i="14" s="1"/>
  <c r="AE168" i="14"/>
  <c r="AF168" i="14" s="1"/>
  <c r="AG207" i="14"/>
  <c r="AG292" i="14"/>
  <c r="AE282" i="14"/>
  <c r="AF282" i="14" s="1"/>
  <c r="AG388" i="14"/>
  <c r="AE263" i="14"/>
  <c r="AF263" i="14" s="1"/>
  <c r="AE186" i="14"/>
  <c r="AF186" i="14" s="1"/>
  <c r="AE265" i="14"/>
  <c r="AF265" i="14" s="1"/>
  <c r="AG333" i="14"/>
  <c r="AG199" i="14"/>
  <c r="AE258" i="14"/>
  <c r="AF258" i="14" s="1"/>
  <c r="AG173" i="14"/>
  <c r="AG269" i="14"/>
  <c r="AG277" i="14"/>
  <c r="AG164" i="14"/>
  <c r="AE150" i="14"/>
  <c r="AF150" i="14" s="1"/>
  <c r="AG76" i="14"/>
  <c r="AG43" i="14"/>
  <c r="AE230" i="14"/>
  <c r="AF230" i="14" s="1"/>
  <c r="AE141" i="14"/>
  <c r="AF141" i="14" s="1"/>
  <c r="AE145" i="14"/>
  <c r="AF145" i="14" s="1"/>
  <c r="AE374" i="14"/>
  <c r="AF374" i="14" s="1"/>
  <c r="AE332" i="14"/>
  <c r="AF332" i="14" s="1"/>
  <c r="AE129" i="14"/>
  <c r="AF129" i="14" s="1"/>
  <c r="AG314" i="14"/>
  <c r="AE43" i="14"/>
  <c r="AF43" i="14" s="1"/>
  <c r="AE350" i="14"/>
  <c r="AF350" i="14" s="1"/>
  <c r="AG320" i="14"/>
  <c r="AE279" i="14"/>
  <c r="AF279" i="14" s="1"/>
  <c r="AG218" i="14"/>
  <c r="AE359" i="14"/>
  <c r="AF359" i="14" s="1"/>
  <c r="AG227" i="14"/>
  <c r="AG155" i="14"/>
  <c r="AE73" i="14"/>
  <c r="AF73" i="14" s="1"/>
  <c r="AE302" i="14"/>
  <c r="AF302" i="14" s="1"/>
  <c r="AE296" i="14"/>
  <c r="AF296" i="14" s="1"/>
  <c r="AE214" i="14"/>
  <c r="AF214" i="14" s="1"/>
  <c r="AG289" i="14"/>
  <c r="AG47" i="14"/>
  <c r="AE385" i="14"/>
  <c r="AF385" i="14" s="1"/>
  <c r="AE215" i="14"/>
  <c r="AF215" i="14" s="1"/>
  <c r="AG103" i="14"/>
  <c r="AE137" i="14"/>
  <c r="AF137" i="14" s="1"/>
  <c r="AE251" i="14"/>
  <c r="AF251" i="14" s="1"/>
  <c r="AG45" i="14"/>
  <c r="AG317" i="14"/>
  <c r="AG325" i="14"/>
  <c r="AE243" i="14"/>
  <c r="AF243" i="14" s="1"/>
  <c r="AE317" i="14"/>
  <c r="AF317" i="14" s="1"/>
  <c r="AG268" i="14"/>
  <c r="AG341" i="14"/>
  <c r="AG248" i="14"/>
  <c r="AG51" i="14"/>
  <c r="AE185" i="14"/>
  <c r="AF185" i="14" s="1"/>
  <c r="AE217" i="14"/>
  <c r="AF217" i="14" s="1"/>
  <c r="AG156" i="14"/>
  <c r="AE182" i="14"/>
  <c r="AF182" i="14" s="1"/>
  <c r="AG225" i="14"/>
  <c r="AE165" i="14"/>
  <c r="AF165" i="14" s="1"/>
  <c r="AE361" i="14"/>
  <c r="AF361" i="14" s="1"/>
  <c r="AG380" i="14"/>
  <c r="AE99" i="14"/>
  <c r="AF99" i="14" s="1"/>
  <c r="AE174" i="14"/>
  <c r="AF174" i="14" s="1"/>
  <c r="AE206" i="14"/>
  <c r="AF206" i="14" s="1"/>
  <c r="AG87" i="14"/>
  <c r="AG345" i="14"/>
  <c r="AG108" i="14"/>
  <c r="AG146" i="14"/>
  <c r="AG165" i="14"/>
  <c r="AG235" i="14"/>
  <c r="AE284" i="14"/>
  <c r="AF284" i="14" s="1"/>
  <c r="AG369" i="14"/>
  <c r="AE205" i="14"/>
  <c r="AF205" i="14" s="1"/>
  <c r="AG279" i="14"/>
  <c r="AG324" i="14"/>
  <c r="AE383" i="14"/>
  <c r="AF383" i="14" s="1"/>
  <c r="AG222" i="14"/>
  <c r="AG224" i="14"/>
  <c r="AG238" i="14"/>
  <c r="AE274" i="14"/>
  <c r="AF274" i="14" s="1"/>
  <c r="AG276" i="14"/>
  <c r="AG245" i="14"/>
  <c r="AG82" i="14"/>
  <c r="AG110" i="14"/>
  <c r="AG94" i="14"/>
  <c r="AG182" i="14"/>
  <c r="AE81" i="14"/>
  <c r="AF81" i="14" s="1"/>
  <c r="AE246" i="14"/>
  <c r="AF246" i="14" s="1"/>
  <c r="AG262" i="14"/>
  <c r="AE345" i="14"/>
  <c r="AF345" i="14" s="1"/>
  <c r="AG303" i="14"/>
  <c r="AE352" i="14"/>
  <c r="AF352" i="14" s="1"/>
  <c r="AG211" i="14"/>
  <c r="AE384" i="14"/>
  <c r="AF384" i="14" s="1"/>
  <c r="AG379" i="14"/>
  <c r="AG334" i="14"/>
  <c r="AG387" i="14"/>
  <c r="AG274" i="14"/>
  <c r="AG323" i="14"/>
  <c r="AE101" i="14"/>
  <c r="AF101" i="14" s="1"/>
  <c r="AG67" i="14"/>
  <c r="AE204" i="14"/>
  <c r="AF204" i="14" s="1"/>
  <c r="AE358" i="14"/>
  <c r="AF358" i="14" s="1"/>
  <c r="AE356" i="14"/>
  <c r="AF356" i="14" s="1"/>
  <c r="AG376" i="14"/>
  <c r="AG255" i="14"/>
  <c r="AE239" i="14"/>
  <c r="AF239" i="14" s="1"/>
  <c r="AG232" i="14"/>
  <c r="AG212" i="14"/>
  <c r="AE400" i="14"/>
  <c r="AF400" i="14" s="1"/>
  <c r="AE229" i="14"/>
  <c r="AF229" i="14" s="1"/>
  <c r="AE49" i="14"/>
  <c r="AF49" i="14" s="1"/>
  <c r="AE323" i="14"/>
  <c r="AF323" i="14" s="1"/>
  <c r="AG349" i="14"/>
  <c r="AE58" i="14"/>
  <c r="AF58" i="14" s="1"/>
  <c r="AE132" i="14"/>
  <c r="AF132" i="14" s="1"/>
  <c r="AJ139" i="23"/>
  <c r="AJ348" i="23"/>
  <c r="AJ100" i="23"/>
  <c r="AH216" i="23"/>
  <c r="AI216" i="23" s="1"/>
  <c r="AH384" i="23"/>
  <c r="AI384" i="23" s="1"/>
  <c r="AH208" i="23"/>
  <c r="AI208" i="23" s="1"/>
  <c r="AJ343" i="23"/>
  <c r="AH84" i="23"/>
  <c r="AI84" i="23" s="1"/>
  <c r="AH132" i="23"/>
  <c r="AI132" i="23" s="1"/>
  <c r="AH339" i="23"/>
  <c r="AI339" i="23" s="1"/>
  <c r="AJ149" i="23"/>
  <c r="AG168" i="14"/>
  <c r="AH320" i="23"/>
  <c r="AI320" i="23" s="1"/>
  <c r="AJ248" i="23"/>
  <c r="AJ302" i="23"/>
  <c r="AE162" i="14"/>
  <c r="AF162" i="14" s="1"/>
  <c r="AJ221" i="23"/>
  <c r="AH99" i="23"/>
  <c r="AI99" i="23" s="1"/>
  <c r="AJ370" i="23"/>
  <c r="AJ115" i="23"/>
  <c r="AH45" i="23"/>
  <c r="AI45" i="23" s="1"/>
  <c r="AJ123" i="23"/>
  <c r="AG117" i="14"/>
  <c r="AE397" i="14"/>
  <c r="AF397" i="14" s="1"/>
  <c r="AG392" i="14"/>
  <c r="AG203" i="14"/>
  <c r="AE351" i="14"/>
  <c r="AF351" i="14" s="1"/>
  <c r="AG166" i="14"/>
  <c r="AE264" i="14"/>
  <c r="AF264" i="14" s="1"/>
  <c r="AG228" i="14"/>
  <c r="AG281" i="14"/>
  <c r="AE329" i="14"/>
  <c r="AF329" i="14" s="1"/>
  <c r="AG331" i="14"/>
  <c r="AG139" i="14"/>
  <c r="AJ270" i="23"/>
  <c r="AJ90" i="29"/>
  <c r="AG96" i="14"/>
  <c r="AG196" i="14"/>
  <c r="AE257" i="14"/>
  <c r="AF257" i="14" s="1"/>
  <c r="AG284" i="14"/>
  <c r="AE110" i="14"/>
  <c r="AF110" i="14" s="1"/>
  <c r="AG201" i="14"/>
  <c r="AE236" i="14"/>
  <c r="AF236" i="14" s="1"/>
  <c r="AE87" i="14"/>
  <c r="AF87" i="14" s="1"/>
  <c r="AG363" i="14"/>
  <c r="AE97" i="14"/>
  <c r="AF97" i="14" s="1"/>
  <c r="AG71" i="14"/>
  <c r="AG258" i="14"/>
  <c r="AE277" i="14"/>
  <c r="AF277" i="14" s="1"/>
  <c r="AE357" i="14"/>
  <c r="AF357" i="14" s="1"/>
  <c r="AE70" i="14"/>
  <c r="AF70" i="14" s="1"/>
  <c r="AE144" i="14"/>
  <c r="AF144" i="14" s="1"/>
  <c r="AG221" i="14"/>
  <c r="AB180" i="29"/>
  <c r="AE130" i="14"/>
  <c r="AF130" i="14" s="1"/>
  <c r="AE102" i="14"/>
  <c r="AF102" i="14" s="1"/>
  <c r="AE342" i="14"/>
  <c r="AF342" i="14" s="1"/>
  <c r="AE54" i="14"/>
  <c r="AF54" i="14" s="1"/>
  <c r="AG185" i="14"/>
  <c r="AE164" i="14"/>
  <c r="AF164" i="14" s="1"/>
  <c r="AB111" i="29"/>
  <c r="AB262" i="29"/>
  <c r="Z225" i="29"/>
  <c r="AA225" i="29" s="1"/>
  <c r="AE366" i="14"/>
  <c r="AF366" i="14" s="1"/>
  <c r="Z396" i="29"/>
  <c r="AA396" i="29" s="1"/>
  <c r="Z239" i="29"/>
  <c r="AA239" i="29" s="1"/>
  <c r="AG338" i="14"/>
  <c r="AG116" i="14"/>
  <c r="AJ69" i="23"/>
  <c r="AJ364" i="23"/>
  <c r="AJ211" i="23"/>
  <c r="AJ277" i="23"/>
  <c r="AH124" i="23"/>
  <c r="AI124" i="23" s="1"/>
  <c r="AH161" i="23"/>
  <c r="AI161" i="23" s="1"/>
  <c r="AH222" i="23"/>
  <c r="AI222" i="23" s="1"/>
  <c r="AH100" i="23"/>
  <c r="AI100" i="23" s="1"/>
  <c r="AH207" i="23"/>
  <c r="AI207" i="23" s="1"/>
  <c r="AJ74" i="23"/>
  <c r="AJ65" i="23"/>
  <c r="AJ379" i="23"/>
  <c r="AH108" i="23"/>
  <c r="AI108" i="23" s="1"/>
  <c r="AJ82" i="23"/>
  <c r="AJ397" i="23"/>
  <c r="AH131" i="23"/>
  <c r="AI131" i="23" s="1"/>
  <c r="AH62" i="23"/>
  <c r="AI62" i="23" s="1"/>
  <c r="AH232" i="23"/>
  <c r="AI232" i="23" s="1"/>
  <c r="AH181" i="23"/>
  <c r="AI181" i="23" s="1"/>
  <c r="AJ108" i="23"/>
  <c r="AJ267" i="23"/>
  <c r="AH251" i="23"/>
  <c r="AI251" i="23" s="1"/>
  <c r="AH372" i="23"/>
  <c r="AI372" i="23" s="1"/>
  <c r="AJ193" i="23"/>
  <c r="Z182" i="23"/>
  <c r="AA182" i="23" s="1"/>
  <c r="AE123" i="14"/>
  <c r="AF123" i="14" s="1"/>
  <c r="AB269" i="23"/>
  <c r="AE283" i="14"/>
  <c r="AF283" i="14" s="1"/>
  <c r="AH211" i="29"/>
  <c r="AI211" i="29" s="1"/>
  <c r="AH54" i="29"/>
  <c r="AI54" i="29" s="1"/>
  <c r="AH64" i="29"/>
  <c r="AI64" i="29" s="1"/>
  <c r="AH233" i="29"/>
  <c r="AI233" i="29" s="1"/>
  <c r="AJ46" i="29"/>
  <c r="AJ92" i="23"/>
  <c r="AH314" i="29"/>
  <c r="AI314" i="29" s="1"/>
  <c r="AJ71" i="23"/>
  <c r="AH89" i="23"/>
  <c r="AI89" i="23" s="1"/>
  <c r="AJ310" i="23"/>
  <c r="AH189" i="23"/>
  <c r="AI189" i="23" s="1"/>
  <c r="AH65" i="23"/>
  <c r="AI65" i="23" s="1"/>
  <c r="AH386" i="23"/>
  <c r="AI386" i="23" s="1"/>
  <c r="AH197" i="23"/>
  <c r="AI197" i="23" s="1"/>
  <c r="AH360" i="23"/>
  <c r="AI360" i="23" s="1"/>
  <c r="AH325" i="23"/>
  <c r="AI325" i="23" s="1"/>
  <c r="AH113" i="23"/>
  <c r="AI113" i="23" s="1"/>
  <c r="AJ208" i="23"/>
  <c r="AH58" i="23"/>
  <c r="AI58" i="23" s="1"/>
  <c r="AH195" i="23"/>
  <c r="AI195" i="23" s="1"/>
  <c r="AH54" i="23"/>
  <c r="AI54" i="23" s="1"/>
  <c r="AJ129" i="23"/>
  <c r="AH142" i="23"/>
  <c r="AI142" i="23" s="1"/>
  <c r="AJ256" i="23"/>
  <c r="AJ306" i="23"/>
  <c r="AH190" i="23"/>
  <c r="AI190" i="23" s="1"/>
  <c r="AH376" i="23"/>
  <c r="AI376" i="23" s="1"/>
  <c r="AJ338" i="23"/>
  <c r="AJ141" i="23"/>
  <c r="AH355" i="23"/>
  <c r="AI355" i="23" s="1"/>
  <c r="AJ262" i="23"/>
  <c r="AH285" i="23"/>
  <c r="AI285" i="23" s="1"/>
  <c r="AJ142" i="23"/>
  <c r="AH130" i="23"/>
  <c r="AI130" i="23" s="1"/>
  <c r="AH97" i="23"/>
  <c r="AI97" i="23" s="1"/>
  <c r="AH183" i="23"/>
  <c r="AI183" i="23" s="1"/>
  <c r="AJ340" i="23"/>
  <c r="AH201" i="23"/>
  <c r="AI201" i="23" s="1"/>
  <c r="AJ99" i="23"/>
  <c r="AH150" i="23"/>
  <c r="AI150" i="23" s="1"/>
  <c r="AH240" i="23"/>
  <c r="AI240" i="23" s="1"/>
  <c r="AJ253" i="23"/>
  <c r="AJ295" i="23"/>
  <c r="AH237" i="23"/>
  <c r="AI237" i="23" s="1"/>
  <c r="AJ263" i="23"/>
  <c r="AJ159" i="23"/>
  <c r="AH51" i="23"/>
  <c r="AI51" i="23" s="1"/>
  <c r="AJ160" i="23"/>
  <c r="AH326" i="23"/>
  <c r="AI326" i="23" s="1"/>
  <c r="AJ238" i="23"/>
  <c r="AJ88" i="23"/>
  <c r="AH333" i="23"/>
  <c r="AI333" i="23" s="1"/>
  <c r="AH351" i="23"/>
  <c r="AI351" i="23" s="1"/>
  <c r="AH294" i="23"/>
  <c r="AI294" i="23" s="1"/>
  <c r="AJ382" i="23"/>
  <c r="AJ102" i="23"/>
  <c r="AH166" i="23"/>
  <c r="AI166" i="23" s="1"/>
  <c r="AH103" i="23"/>
  <c r="AI103" i="23" s="1"/>
  <c r="AH191" i="23"/>
  <c r="AI191" i="23" s="1"/>
  <c r="AH387" i="23"/>
  <c r="AI387" i="23" s="1"/>
  <c r="AJ261" i="23"/>
  <c r="AJ136" i="23"/>
  <c r="AH117" i="23"/>
  <c r="AI117" i="23" s="1"/>
  <c r="AJ259" i="23"/>
  <c r="AJ199" i="23"/>
  <c r="AJ270" i="29"/>
  <c r="AJ124" i="29"/>
  <c r="AJ67" i="23"/>
  <c r="AH327" i="29"/>
  <c r="AI327" i="29" s="1"/>
  <c r="AJ151" i="29"/>
  <c r="AH122" i="23"/>
  <c r="AI122" i="23" s="1"/>
  <c r="AH369" i="23"/>
  <c r="AI369" i="23" s="1"/>
  <c r="AH192" i="29"/>
  <c r="AI192" i="29" s="1"/>
  <c r="AH145" i="29"/>
  <c r="AI145" i="29" s="1"/>
  <c r="AJ273" i="29"/>
  <c r="AJ324" i="29"/>
  <c r="AH257" i="29"/>
  <c r="AI257" i="29" s="1"/>
  <c r="AE238" i="14"/>
  <c r="AF238" i="14" s="1"/>
  <c r="AG266" i="14"/>
  <c r="AJ117" i="23"/>
  <c r="AH382" i="23"/>
  <c r="AI382" i="23" s="1"/>
  <c r="AH59" i="23"/>
  <c r="AI59" i="23" s="1"/>
  <c r="AJ395" i="23"/>
  <c r="AH300" i="23"/>
  <c r="AI300" i="23" s="1"/>
  <c r="AH76" i="23"/>
  <c r="AI76" i="23" s="1"/>
  <c r="AH57" i="23"/>
  <c r="AI57" i="23" s="1"/>
  <c r="AJ96" i="23"/>
  <c r="AH397" i="23"/>
  <c r="AI397" i="23" s="1"/>
  <c r="AH213" i="23"/>
  <c r="AI213" i="23" s="1"/>
  <c r="AH246" i="23"/>
  <c r="AI246" i="23" s="1"/>
  <c r="AH322" i="23"/>
  <c r="AI322" i="23" s="1"/>
  <c r="AH125" i="23"/>
  <c r="AI125" i="23" s="1"/>
  <c r="AJ258" i="23"/>
  <c r="AJ236" i="23"/>
  <c r="AJ378" i="23"/>
  <c r="AH392" i="23"/>
  <c r="AI392" i="23" s="1"/>
  <c r="AJ162" i="23"/>
  <c r="AH332" i="23"/>
  <c r="AI332" i="23" s="1"/>
  <c r="AJ244" i="23"/>
  <c r="AH253" i="23"/>
  <c r="AI253" i="23" s="1"/>
  <c r="AH194" i="23"/>
  <c r="AI194" i="23" s="1"/>
  <c r="AH344" i="23"/>
  <c r="AI344" i="23" s="1"/>
  <c r="AJ91" i="23"/>
  <c r="AH77" i="23"/>
  <c r="AI77" i="23" s="1"/>
  <c r="AJ118" i="23"/>
  <c r="AJ311" i="23"/>
  <c r="AH290" i="23"/>
  <c r="AI290" i="23" s="1"/>
  <c r="AH116" i="23"/>
  <c r="AI116" i="23" s="1"/>
  <c r="AH308" i="23"/>
  <c r="AI308" i="23" s="1"/>
  <c r="AJ352" i="23"/>
  <c r="AJ354" i="23"/>
  <c r="AH128" i="23"/>
  <c r="AI128" i="23" s="1"/>
  <c r="AJ204" i="23"/>
  <c r="AJ386" i="23"/>
  <c r="AJ59" i="23"/>
  <c r="AH383" i="23"/>
  <c r="AI383" i="23" s="1"/>
  <c r="AJ315" i="23"/>
  <c r="AH283" i="23"/>
  <c r="AI283" i="23" s="1"/>
  <c r="AH200" i="23"/>
  <c r="AI200" i="23" s="1"/>
  <c r="AH98" i="23"/>
  <c r="AI98" i="23" s="1"/>
  <c r="AJ53" i="23"/>
  <c r="AH118" i="23"/>
  <c r="AI118" i="23" s="1"/>
  <c r="AJ257" i="23"/>
  <c r="AH153" i="23"/>
  <c r="AI153" i="23" s="1"/>
  <c r="AJ197" i="23"/>
  <c r="AH234" i="23"/>
  <c r="AI234" i="23" s="1"/>
  <c r="AH160" i="23"/>
  <c r="AI160" i="23" s="1"/>
  <c r="AJ361" i="23"/>
  <c r="AJ167" i="23"/>
  <c r="AJ308" i="23"/>
  <c r="AH313" i="23"/>
  <c r="AI313" i="23" s="1"/>
  <c r="AJ291" i="23"/>
  <c r="AH364" i="23"/>
  <c r="AI364" i="23" s="1"/>
  <c r="AH269" i="23"/>
  <c r="AI269" i="23" s="1"/>
  <c r="AJ341" i="23"/>
  <c r="AH350" i="23"/>
  <c r="AI350" i="23" s="1"/>
  <c r="AH265" i="23"/>
  <c r="AI265" i="23" s="1"/>
  <c r="AH318" i="23"/>
  <c r="AI318" i="23" s="1"/>
  <c r="AJ331" i="23"/>
  <c r="AH203" i="23"/>
  <c r="AI203" i="23" s="1"/>
  <c r="AH162" i="23"/>
  <c r="AI162" i="23" s="1"/>
  <c r="AH252" i="23"/>
  <c r="AI252" i="23" s="1"/>
  <c r="AJ307" i="23"/>
  <c r="AJ399" i="23"/>
  <c r="AJ216" i="23"/>
  <c r="AJ85" i="23"/>
  <c r="AH126" i="23"/>
  <c r="AI126" i="23" s="1"/>
  <c r="AJ240" i="23"/>
  <c r="AJ224" i="23"/>
  <c r="AH163" i="23"/>
  <c r="AI163" i="23" s="1"/>
  <c r="AH137" i="23"/>
  <c r="AI137" i="23" s="1"/>
  <c r="AJ287" i="23"/>
  <c r="AH298" i="23"/>
  <c r="AI298" i="23" s="1"/>
  <c r="AH284" i="23"/>
  <c r="AI284" i="23" s="1"/>
  <c r="AJ362" i="23"/>
  <c r="AH299" i="23"/>
  <c r="AI299" i="23" s="1"/>
  <c r="AJ46" i="23"/>
  <c r="AH135" i="23"/>
  <c r="AI135" i="23" s="1"/>
  <c r="AJ309" i="23"/>
  <c r="AJ183" i="23"/>
  <c r="AH74" i="23"/>
  <c r="AI74" i="23" s="1"/>
  <c r="AG32" i="23"/>
  <c r="AJ76" i="23"/>
  <c r="AJ330" i="23"/>
  <c r="AH48" i="23"/>
  <c r="AI48" i="23" s="1"/>
  <c r="AH148" i="23"/>
  <c r="AI148" i="23" s="1"/>
  <c r="AJ187" i="23"/>
  <c r="AJ375" i="23"/>
  <c r="AJ385" i="23"/>
  <c r="AJ344" i="23"/>
  <c r="AH85" i="23"/>
  <c r="AI85" i="23" s="1"/>
  <c r="AJ127" i="23"/>
  <c r="AJ237" i="23"/>
  <c r="AJ132" i="23"/>
  <c r="AH202" i="23"/>
  <c r="AI202" i="23" s="1"/>
  <c r="AH182" i="23"/>
  <c r="AI182" i="23" s="1"/>
  <c r="AH214" i="23"/>
  <c r="AI214" i="23" s="1"/>
  <c r="AJ235" i="23"/>
  <c r="AH199" i="23"/>
  <c r="AI199" i="23" s="1"/>
  <c r="AH264" i="23"/>
  <c r="AI264" i="23" s="1"/>
  <c r="AH254" i="23"/>
  <c r="AI254" i="23" s="1"/>
  <c r="AH184" i="23"/>
  <c r="AI184" i="23" s="1"/>
  <c r="AJ213" i="23"/>
  <c r="AH268" i="23"/>
  <c r="AI268" i="23" s="1"/>
  <c r="AH198" i="23"/>
  <c r="AI198" i="23" s="1"/>
  <c r="AJ41" i="23"/>
  <c r="AJ51" i="23"/>
  <c r="AJ186" i="23"/>
  <c r="AH296" i="23"/>
  <c r="AI296" i="23" s="1"/>
  <c r="AH303" i="23"/>
  <c r="AI303" i="23" s="1"/>
  <c r="AJ313" i="23"/>
  <c r="AH102" i="23"/>
  <c r="AI102" i="23" s="1"/>
  <c r="AH396" i="23"/>
  <c r="AI396" i="23" s="1"/>
  <c r="AH49" i="23"/>
  <c r="AI49" i="23" s="1"/>
  <c r="AJ152" i="23"/>
  <c r="AJ242" i="23"/>
  <c r="AH375" i="23"/>
  <c r="AI375" i="23" s="1"/>
  <c r="AJ94" i="23"/>
  <c r="AJ388" i="23"/>
  <c r="AH157" i="23"/>
  <c r="AI157" i="23" s="1"/>
  <c r="AJ126" i="23"/>
  <c r="AJ284" i="23"/>
  <c r="AH205" i="23"/>
  <c r="AI205" i="23" s="1"/>
  <c r="AJ191" i="23"/>
  <c r="AJ366" i="23"/>
  <c r="AK53" i="14"/>
  <c r="AE228" i="14"/>
  <c r="AF228" i="14" s="1"/>
  <c r="AG214" i="14"/>
  <c r="AE295" i="14"/>
  <c r="AF295" i="14" s="1"/>
  <c r="AG355" i="14"/>
  <c r="AE48" i="14"/>
  <c r="AF48" i="14" s="1"/>
  <c r="G22" i="14"/>
  <c r="AG329" i="14"/>
  <c r="AG261" i="14"/>
  <c r="AE346" i="14"/>
  <c r="AF346" i="14" s="1"/>
  <c r="AG145" i="14"/>
  <c r="AE280" i="14"/>
  <c r="AF280" i="14" s="1"/>
  <c r="AG125" i="14"/>
  <c r="AG361" i="14"/>
  <c r="AJ251" i="23"/>
  <c r="AG77" i="14"/>
  <c r="AD32" i="14"/>
  <c r="AE399" i="14"/>
  <c r="AF399" i="14" s="1"/>
  <c r="AG93" i="14"/>
  <c r="AE112" i="14"/>
  <c r="AF112" i="14" s="1"/>
  <c r="AG374" i="14"/>
  <c r="AK305" i="14"/>
  <c r="AJ218" i="23"/>
  <c r="AJ214" i="23"/>
  <c r="AJ269" i="29"/>
  <c r="AH60" i="29"/>
  <c r="AI60" i="29" s="1"/>
  <c r="AJ398" i="29"/>
  <c r="AH399" i="23"/>
  <c r="AI399" i="23" s="1"/>
  <c r="AJ207" i="23"/>
  <c r="AJ305" i="23"/>
  <c r="AH218" i="23"/>
  <c r="AI218" i="23" s="1"/>
  <c r="AJ190" i="23"/>
  <c r="AH63" i="23"/>
  <c r="AI63" i="23" s="1"/>
  <c r="AJ268" i="23"/>
  <c r="AJ342" i="23"/>
  <c r="AH192" i="23"/>
  <c r="AI192" i="23" s="1"/>
  <c r="AJ298" i="23"/>
  <c r="AJ255" i="23"/>
  <c r="AJ190" i="29"/>
  <c r="AJ202" i="29"/>
  <c r="AH180" i="29"/>
  <c r="AI180" i="29" s="1"/>
  <c r="AJ351" i="23"/>
  <c r="AH304" i="23"/>
  <c r="AI304" i="23" s="1"/>
  <c r="AJ140" i="23"/>
  <c r="AH152" i="23"/>
  <c r="AI152" i="23" s="1"/>
  <c r="AH229" i="29"/>
  <c r="AI229" i="29" s="1"/>
  <c r="AJ260" i="23"/>
  <c r="AJ370" i="29"/>
  <c r="AH83" i="23"/>
  <c r="AI83" i="23" s="1"/>
  <c r="AH359" i="23"/>
  <c r="AI359" i="23" s="1"/>
  <c r="AJ105" i="23"/>
  <c r="AJ295" i="29"/>
  <c r="AH128" i="29"/>
  <c r="AI128" i="29" s="1"/>
  <c r="AJ184" i="29"/>
  <c r="AJ294" i="23"/>
  <c r="AH224" i="23"/>
  <c r="AI224" i="23" s="1"/>
  <c r="AJ234" i="23"/>
  <c r="AJ217" i="23"/>
  <c r="AJ347" i="23"/>
  <c r="AH141" i="23"/>
  <c r="AI141" i="23" s="1"/>
  <c r="AJ86" i="23"/>
  <c r="AJ81" i="23"/>
  <c r="AK242" i="14"/>
  <c r="AJ111" i="23"/>
  <c r="AH346" i="23"/>
  <c r="AI346" i="23" s="1"/>
  <c r="AE327" i="14"/>
  <c r="AF327" i="14" s="1"/>
  <c r="AE55" i="14"/>
  <c r="AF55" i="14" s="1"/>
  <c r="AG194" i="14"/>
  <c r="AG123" i="14"/>
  <c r="AE240" i="14"/>
  <c r="AF240" i="14" s="1"/>
  <c r="AH45" i="29"/>
  <c r="AI45" i="29" s="1"/>
  <c r="AG162" i="14"/>
  <c r="AE382" i="14"/>
  <c r="AF382" i="14" s="1"/>
  <c r="AG134" i="14"/>
  <c r="AG54" i="14"/>
  <c r="AG298" i="14"/>
  <c r="Z191" i="29"/>
  <c r="AA191" i="29" s="1"/>
  <c r="AB118" i="29"/>
  <c r="Z141" i="29"/>
  <c r="AA141" i="29" s="1"/>
  <c r="Z165" i="29"/>
  <c r="AA165" i="29" s="1"/>
  <c r="AB175" i="29"/>
  <c r="Z109" i="29"/>
  <c r="AA109" i="29" s="1"/>
  <c r="AB180" i="23"/>
  <c r="Z143" i="24"/>
  <c r="AA143" i="24" s="1"/>
  <c r="AG372" i="14"/>
  <c r="AE57" i="14"/>
  <c r="AF57" i="14" s="1"/>
  <c r="AG147" i="14"/>
  <c r="AG272" i="14"/>
  <c r="AG297" i="14"/>
  <c r="AE72" i="14"/>
  <c r="AF72" i="14" s="1"/>
  <c r="AE79" i="14"/>
  <c r="AF79" i="14" s="1"/>
  <c r="AB80" i="29"/>
  <c r="AB84" i="29"/>
  <c r="Z321" i="29"/>
  <c r="AA321" i="29" s="1"/>
  <c r="AB207" i="29"/>
  <c r="AB259" i="29"/>
  <c r="Z207" i="29"/>
  <c r="AA207" i="29" s="1"/>
  <c r="AE312" i="14"/>
  <c r="AF312" i="14" s="1"/>
  <c r="AE398" i="14"/>
  <c r="AF398" i="14" s="1"/>
  <c r="AE158" i="14"/>
  <c r="AF158" i="14" s="1"/>
  <c r="AG129" i="14"/>
  <c r="AE135" i="14"/>
  <c r="AF135" i="14" s="1"/>
  <c r="AG100" i="14"/>
  <c r="AB191" i="29"/>
  <c r="AB97" i="29"/>
  <c r="Z210" i="23"/>
  <c r="AA210" i="23" s="1"/>
  <c r="AB79" i="29"/>
  <c r="Z399" i="29"/>
  <c r="AA399" i="29" s="1"/>
  <c r="Z300" i="23"/>
  <c r="AA300" i="23" s="1"/>
  <c r="AG285" i="14"/>
  <c r="AE83" i="14"/>
  <c r="AF83" i="14" s="1"/>
  <c r="AG327" i="14"/>
  <c r="AG353" i="14"/>
  <c r="AE133" i="14"/>
  <c r="AF133" i="14" s="1"/>
  <c r="AE247" i="14"/>
  <c r="AF247" i="14" s="1"/>
  <c r="Z293" i="29"/>
  <c r="AA293" i="29" s="1"/>
  <c r="Z266" i="29"/>
  <c r="AA266" i="29" s="1"/>
  <c r="Z280" i="29"/>
  <c r="AA280" i="29" s="1"/>
  <c r="Z269" i="29"/>
  <c r="AA269" i="29" s="1"/>
  <c r="AB352" i="29"/>
  <c r="AB319" i="29"/>
  <c r="Z221" i="29"/>
  <c r="AA221" i="29" s="1"/>
  <c r="AB355" i="29"/>
  <c r="Z59" i="29"/>
  <c r="AA59" i="29" s="1"/>
  <c r="Z367" i="29"/>
  <c r="AA367" i="29" s="1"/>
  <c r="Z238" i="29"/>
  <c r="AA238" i="29" s="1"/>
  <c r="Z259" i="29"/>
  <c r="AA259" i="29" s="1"/>
  <c r="AB166" i="29"/>
  <c r="Z339" i="29"/>
  <c r="AA339" i="29" s="1"/>
  <c r="AB66" i="29"/>
  <c r="AB117" i="29"/>
  <c r="Z277" i="29"/>
  <c r="AA277" i="29" s="1"/>
  <c r="Z267" i="29"/>
  <c r="AA267" i="29" s="1"/>
  <c r="Z337" i="29"/>
  <c r="AA337" i="29" s="1"/>
  <c r="Z182" i="29"/>
  <c r="AA182" i="29" s="1"/>
  <c r="Z370" i="29"/>
  <c r="AA370" i="29" s="1"/>
  <c r="Z200" i="29"/>
  <c r="AA200" i="29" s="1"/>
  <c r="AB208" i="29"/>
  <c r="AB250" i="29"/>
  <c r="AB388" i="29"/>
  <c r="Z47" i="29"/>
  <c r="AA47" i="29" s="1"/>
  <c r="AB113" i="29"/>
  <c r="Z208" i="29"/>
  <c r="AA208" i="29" s="1"/>
  <c r="AB165" i="29"/>
  <c r="Z258" i="29"/>
  <c r="AA258" i="29" s="1"/>
  <c r="Z303" i="29"/>
  <c r="AA303" i="29" s="1"/>
  <c r="AB73" i="29"/>
  <c r="AB362" i="29"/>
  <c r="Z253" i="29"/>
  <c r="AA253" i="29" s="1"/>
  <c r="AB335" i="29"/>
  <c r="AB102" i="29"/>
  <c r="AB223" i="29"/>
  <c r="AB164" i="29"/>
  <c r="Z172" i="29"/>
  <c r="AA172" i="29" s="1"/>
  <c r="AB138" i="29"/>
  <c r="AB141" i="29"/>
  <c r="Z146" i="29"/>
  <c r="AA146" i="29" s="1"/>
  <c r="AC97" i="14"/>
  <c r="AB101" i="29"/>
  <c r="AB163" i="29"/>
  <c r="AB74" i="29"/>
  <c r="AB51" i="29"/>
  <c r="Z254" i="29"/>
  <c r="AA254" i="29" s="1"/>
  <c r="AB94" i="29"/>
  <c r="AB57" i="29"/>
  <c r="AB49" i="29"/>
  <c r="Z356" i="29"/>
  <c r="AA356" i="29" s="1"/>
  <c r="AB315" i="29"/>
  <c r="AC262" i="14"/>
  <c r="Z105" i="29"/>
  <c r="AA105" i="29" s="1"/>
  <c r="AB383" i="29"/>
  <c r="AB353" i="29"/>
  <c r="AB253" i="29"/>
  <c r="AB399" i="29"/>
  <c r="Z381" i="29"/>
  <c r="AA381" i="29" s="1"/>
  <c r="Z213" i="29"/>
  <c r="AA213" i="29" s="1"/>
  <c r="Z326" i="29"/>
  <c r="AA326" i="29" s="1"/>
  <c r="AB50" i="29"/>
  <c r="Z93" i="29"/>
  <c r="AA93" i="29" s="1"/>
  <c r="AA175" i="14"/>
  <c r="AB175" i="14" s="1"/>
  <c r="Z136" i="29"/>
  <c r="AA136" i="29" s="1"/>
  <c r="Z244" i="29"/>
  <c r="AA244" i="29" s="1"/>
  <c r="Z149" i="29"/>
  <c r="AA149" i="29" s="1"/>
  <c r="Z143" i="29"/>
  <c r="AA143" i="29" s="1"/>
  <c r="Z83" i="29"/>
  <c r="AA83" i="29" s="1"/>
  <c r="AB330" i="29"/>
  <c r="Z64" i="29"/>
  <c r="AA64" i="29" s="1"/>
  <c r="AB45" i="29"/>
  <c r="Z270" i="29"/>
  <c r="AA270" i="29" s="1"/>
  <c r="Z171" i="29"/>
  <c r="AA171" i="29" s="1"/>
  <c r="Z380" i="29"/>
  <c r="AA380" i="29" s="1"/>
  <c r="Z133" i="29"/>
  <c r="AA133" i="29" s="1"/>
  <c r="Z323" i="29"/>
  <c r="AA323" i="29" s="1"/>
  <c r="Z286" i="29"/>
  <c r="AA286" i="29" s="1"/>
  <c r="AB95" i="29"/>
  <c r="AB171" i="29"/>
  <c r="AB212" i="29"/>
  <c r="AA244" i="14"/>
  <c r="AB244" i="14" s="1"/>
  <c r="Z354" i="29"/>
  <c r="AA354" i="29" s="1"/>
  <c r="AB387" i="29"/>
  <c r="Z234" i="29"/>
  <c r="AA234" i="29" s="1"/>
  <c r="Z71" i="29"/>
  <c r="AA71" i="29" s="1"/>
  <c r="Z89" i="29"/>
  <c r="AA89" i="29" s="1"/>
  <c r="AB186" i="29"/>
  <c r="Z82" i="29"/>
  <c r="AA82" i="29" s="1"/>
  <c r="Z212" i="29"/>
  <c r="AA212" i="29" s="1"/>
  <c r="AB152" i="29"/>
  <c r="AB137" i="29"/>
  <c r="Z382" i="29"/>
  <c r="AA382" i="29" s="1"/>
  <c r="Z242" i="29"/>
  <c r="AA242" i="29" s="1"/>
  <c r="Z190" i="29"/>
  <c r="AA190" i="29" s="1"/>
  <c r="AB82" i="29"/>
  <c r="AB320" i="29"/>
  <c r="Z113" i="29"/>
  <c r="AA113" i="29" s="1"/>
  <c r="AB198" i="29"/>
  <c r="AB61" i="29"/>
  <c r="AB183" i="29"/>
  <c r="AB167" i="29"/>
  <c r="AA173" i="14"/>
  <c r="AB173" i="14" s="1"/>
  <c r="Z305" i="29"/>
  <c r="AA305" i="29" s="1"/>
  <c r="Z63" i="29"/>
  <c r="AA63" i="29" s="1"/>
  <c r="AB98" i="29"/>
  <c r="AB276" i="29"/>
  <c r="Z310" i="29"/>
  <c r="AA310" i="29" s="1"/>
  <c r="AB285" i="29"/>
  <c r="Z167" i="29"/>
  <c r="AA167" i="29" s="1"/>
  <c r="Z68" i="29"/>
  <c r="AA68" i="29" s="1"/>
  <c r="Z215" i="29"/>
  <c r="AA215" i="29" s="1"/>
  <c r="AB109" i="29"/>
  <c r="AB81" i="29"/>
  <c r="Z65" i="29"/>
  <c r="AA65" i="29" s="1"/>
  <c r="Z333" i="29"/>
  <c r="AA333" i="29" s="1"/>
  <c r="AB129" i="29"/>
  <c r="Z45" i="29"/>
  <c r="AA45" i="29" s="1"/>
  <c r="AB139" i="29"/>
  <c r="AB199" i="29"/>
  <c r="Z341" i="29"/>
  <c r="AA341" i="29" s="1"/>
  <c r="Z361" i="29"/>
  <c r="AA361" i="29" s="1"/>
  <c r="Z158" i="29"/>
  <c r="AA158" i="29" s="1"/>
  <c r="Z202" i="29"/>
  <c r="AA202" i="29" s="1"/>
  <c r="Z336" i="29"/>
  <c r="AA336" i="29" s="1"/>
  <c r="AB195" i="29"/>
  <c r="AB217" i="29"/>
  <c r="AB258" i="29"/>
  <c r="Z358" i="29"/>
  <c r="AA358" i="29" s="1"/>
  <c r="AB274" i="29"/>
  <c r="AB377" i="29"/>
  <c r="AB354" i="29"/>
  <c r="Z92" i="29"/>
  <c r="AA92" i="29" s="1"/>
  <c r="Z275" i="29"/>
  <c r="AA275" i="29" s="1"/>
  <c r="Z132" i="29"/>
  <c r="AA132" i="29" s="1"/>
  <c r="Z273" i="29"/>
  <c r="AA273" i="29" s="1"/>
  <c r="Z237" i="29"/>
  <c r="AA237" i="29" s="1"/>
  <c r="Z378" i="29"/>
  <c r="AA378" i="29" s="1"/>
  <c r="AB384" i="29"/>
  <c r="Z67" i="29"/>
  <c r="AA67" i="29" s="1"/>
  <c r="AB368" i="29"/>
  <c r="AB89" i="29"/>
  <c r="AB104" i="29"/>
  <c r="Z391" i="29"/>
  <c r="AA391" i="29" s="1"/>
  <c r="Z246" i="29"/>
  <c r="AA246" i="29" s="1"/>
  <c r="AA66" i="14"/>
  <c r="AB66" i="14" s="1"/>
  <c r="AB371" i="29"/>
  <c r="Z332" i="29"/>
  <c r="AA332" i="29" s="1"/>
  <c r="AB328" i="29"/>
  <c r="AB379" i="29"/>
  <c r="Z347" i="29"/>
  <c r="AA347" i="29" s="1"/>
  <c r="AJ339" i="23"/>
  <c r="AH236" i="23"/>
  <c r="AI236" i="23" s="1"/>
  <c r="AJ335" i="23"/>
  <c r="AJ56" i="23"/>
  <c r="AH400" i="23"/>
  <c r="AI400" i="23" s="1"/>
  <c r="AH171" i="23"/>
  <c r="AI171" i="23" s="1"/>
  <c r="AH119" i="23"/>
  <c r="AI119" i="23" s="1"/>
  <c r="AJ198" i="23"/>
  <c r="AJ320" i="23"/>
  <c r="AH341" i="23"/>
  <c r="AI341" i="23" s="1"/>
  <c r="AJ300" i="23"/>
  <c r="AJ144" i="23"/>
  <c r="AJ147" i="23"/>
  <c r="AH159" i="23"/>
  <c r="AI159" i="23" s="1"/>
  <c r="AH336" i="23"/>
  <c r="AI336" i="23" s="1"/>
  <c r="AK209" i="14"/>
  <c r="AK85" i="14"/>
  <c r="AI105" i="14"/>
  <c r="AJ105" i="14" s="1"/>
  <c r="AJ40" i="23"/>
  <c r="AJ206" i="23"/>
  <c r="AJ195" i="23"/>
  <c r="AJ161" i="23"/>
  <c r="AJ43" i="23"/>
  <c r="AH297" i="23"/>
  <c r="AI297" i="23" s="1"/>
  <c r="AH165" i="23"/>
  <c r="AI165" i="23" s="1"/>
  <c r="AH276" i="23"/>
  <c r="AI276" i="23" s="1"/>
  <c r="AJ243" i="23"/>
  <c r="AH394" i="23"/>
  <c r="AI394" i="23" s="1"/>
  <c r="AJ276" i="23"/>
  <c r="AJ222" i="23"/>
  <c r="AJ95" i="23"/>
  <c r="AH64" i="23"/>
  <c r="AI64" i="23" s="1"/>
  <c r="AH272" i="23"/>
  <c r="AI272" i="23" s="1"/>
  <c r="AH361" i="23"/>
  <c r="AI361" i="23" s="1"/>
  <c r="AJ337" i="23"/>
  <c r="AH380" i="23"/>
  <c r="AI380" i="23" s="1"/>
  <c r="AJ143" i="23"/>
  <c r="AH204" i="23"/>
  <c r="AI204" i="23" s="1"/>
  <c r="AH228" i="23"/>
  <c r="AI228" i="23" s="1"/>
  <c r="AJ368" i="23"/>
  <c r="AJ316" i="23"/>
  <c r="AJ98" i="23"/>
  <c r="AJ318" i="23"/>
  <c r="AH311" i="23"/>
  <c r="AI311" i="23" s="1"/>
  <c r="AJ365" i="23"/>
  <c r="AJ371" i="23"/>
  <c r="AH173" i="23"/>
  <c r="AI173" i="23" s="1"/>
  <c r="AJ171" i="23"/>
  <c r="AH71" i="23"/>
  <c r="AI71" i="23" s="1"/>
  <c r="AH61" i="23"/>
  <c r="AI61" i="23" s="1"/>
  <c r="AJ157" i="23"/>
  <c r="AJ75" i="23"/>
  <c r="AH186" i="23"/>
  <c r="AI186" i="23" s="1"/>
  <c r="AJ228" i="23"/>
  <c r="AH347" i="23"/>
  <c r="AI347" i="23" s="1"/>
  <c r="AH158" i="23"/>
  <c r="AI158" i="23" s="1"/>
  <c r="AJ89" i="23"/>
  <c r="AJ334" i="23"/>
  <c r="AH302" i="23"/>
  <c r="AI302" i="23" s="1"/>
  <c r="AJ145" i="23"/>
  <c r="AJ48" i="23"/>
  <c r="AH368" i="23"/>
  <c r="AI368" i="23" s="1"/>
  <c r="AJ314" i="23"/>
  <c r="AJ50" i="23"/>
  <c r="AJ274" i="23"/>
  <c r="AH230" i="23"/>
  <c r="AI230" i="23" s="1"/>
  <c r="AJ77" i="23"/>
  <c r="AJ133" i="23"/>
  <c r="AJ137" i="23"/>
  <c r="AH389" i="23"/>
  <c r="AI389" i="23" s="1"/>
  <c r="AJ323" i="23"/>
  <c r="AJ360" i="23"/>
  <c r="AJ225" i="23"/>
  <c r="AJ201" i="23"/>
  <c r="AH87" i="23"/>
  <c r="AI87" i="23" s="1"/>
  <c r="AJ83" i="23"/>
  <c r="AH241" i="23"/>
  <c r="AI241" i="23" s="1"/>
  <c r="AH229" i="23"/>
  <c r="AI229" i="23" s="1"/>
  <c r="AJ84" i="23"/>
  <c r="AJ177" i="23"/>
  <c r="AJ279" i="23"/>
  <c r="AJ303" i="23"/>
  <c r="AJ359" i="23"/>
  <c r="AJ322" i="23"/>
  <c r="AJ202" i="23"/>
  <c r="AH55" i="23"/>
  <c r="AI55" i="23" s="1"/>
  <c r="AJ391" i="23"/>
  <c r="AJ389" i="23"/>
  <c r="AH72" i="23"/>
  <c r="AI72" i="23" s="1"/>
  <c r="AH244" i="23"/>
  <c r="AI244" i="23" s="1"/>
  <c r="AH170" i="23"/>
  <c r="AI170" i="23" s="1"/>
  <c r="AJ80" i="23"/>
  <c r="AH111" i="23"/>
  <c r="AI111" i="23" s="1"/>
  <c r="AJ188" i="23"/>
  <c r="AJ223" i="23"/>
  <c r="AJ66" i="23"/>
  <c r="AJ170" i="23"/>
  <c r="AH88" i="23"/>
  <c r="AI88" i="23" s="1"/>
  <c r="AH69" i="23"/>
  <c r="AI69" i="23" s="1"/>
  <c r="AH345" i="23"/>
  <c r="AI345" i="23" s="1"/>
  <c r="AH187" i="23"/>
  <c r="AI187" i="23" s="1"/>
  <c r="AJ47" i="23"/>
  <c r="AJ336" i="23"/>
  <c r="AH106" i="23"/>
  <c r="AI106" i="23" s="1"/>
  <c r="AH340" i="23"/>
  <c r="AI340" i="23" s="1"/>
  <c r="AH42" i="23"/>
  <c r="AI42" i="23" s="1"/>
  <c r="AH334" i="23"/>
  <c r="AI334" i="23" s="1"/>
  <c r="AH256" i="23"/>
  <c r="AI256" i="23" s="1"/>
  <c r="AJ179" i="23"/>
  <c r="AJ380" i="23"/>
  <c r="AH60" i="23"/>
  <c r="AI60" i="23" s="1"/>
  <c r="AH363" i="23"/>
  <c r="AI363" i="23" s="1"/>
  <c r="AJ396" i="23"/>
  <c r="AJ158" i="23"/>
  <c r="AH305" i="23"/>
  <c r="AI305" i="23" s="1"/>
  <c r="AH330" i="23"/>
  <c r="AI330" i="23" s="1"/>
  <c r="AH248" i="23"/>
  <c r="AI248" i="23" s="1"/>
  <c r="AH101" i="23"/>
  <c r="AI101" i="23" s="1"/>
  <c r="AJ384" i="23"/>
  <c r="AJ54" i="23"/>
  <c r="AH367" i="23"/>
  <c r="AI367" i="23" s="1"/>
  <c r="AJ367" i="23"/>
  <c r="AJ273" i="23"/>
  <c r="AH258" i="23"/>
  <c r="AI258" i="23" s="1"/>
  <c r="AJ166" i="23"/>
  <c r="AH393" i="23"/>
  <c r="AI393" i="23" s="1"/>
  <c r="AJ239" i="23"/>
  <c r="AJ249" i="23"/>
  <c r="AH366" i="23"/>
  <c r="AI366" i="23" s="1"/>
  <c r="AJ390" i="23"/>
  <c r="AJ189" i="23"/>
  <c r="AH175" i="23"/>
  <c r="AI175" i="23" s="1"/>
  <c r="AH324" i="23"/>
  <c r="AI324" i="23" s="1"/>
  <c r="AJ358" i="23"/>
  <c r="AJ185" i="23"/>
  <c r="AH249" i="23"/>
  <c r="AI249" i="23" s="1"/>
  <c r="AH245" i="23"/>
  <c r="AI245" i="23" s="1"/>
  <c r="AH149" i="23"/>
  <c r="AI149" i="23" s="1"/>
  <c r="AH227" i="23"/>
  <c r="AI227" i="23" s="1"/>
  <c r="AH75" i="23"/>
  <c r="AI75" i="23" s="1"/>
  <c r="AJ278" i="23"/>
  <c r="AJ392" i="23"/>
  <c r="AJ178" i="23"/>
  <c r="AJ196" i="23"/>
  <c r="AH231" i="23"/>
  <c r="AI231" i="23" s="1"/>
  <c r="AH261" i="23"/>
  <c r="AI261" i="23" s="1"/>
  <c r="AH358" i="23"/>
  <c r="AI358" i="23" s="1"/>
  <c r="AJ125" i="23"/>
  <c r="AH169" i="23"/>
  <c r="AI169" i="23" s="1"/>
  <c r="AJ383" i="23"/>
  <c r="AH335" i="23"/>
  <c r="AI335" i="23" s="1"/>
  <c r="AH179" i="23"/>
  <c r="AI179" i="23" s="1"/>
  <c r="AH278" i="23"/>
  <c r="AI278" i="23" s="1"/>
  <c r="AH172" i="23"/>
  <c r="AI172" i="23" s="1"/>
  <c r="AH329" i="23"/>
  <c r="AI329" i="23" s="1"/>
  <c r="AJ109" i="23"/>
  <c r="AJ63" i="23"/>
  <c r="AJ215" i="23"/>
  <c r="AJ172" i="23"/>
  <c r="AH154" i="23"/>
  <c r="AI154" i="23" s="1"/>
  <c r="AH110" i="23"/>
  <c r="AI110" i="23" s="1"/>
  <c r="AJ164" i="23"/>
  <c r="AJ121" i="23"/>
  <c r="AJ130" i="23"/>
  <c r="AH271" i="23"/>
  <c r="AI271" i="23" s="1"/>
  <c r="AH43" i="23"/>
  <c r="AI43" i="23" s="1"/>
  <c r="AJ176" i="23"/>
  <c r="AJ312" i="23"/>
  <c r="AJ333" i="23"/>
  <c r="AJ87" i="23"/>
  <c r="AH129" i="23"/>
  <c r="AI129" i="23" s="1"/>
  <c r="AJ174" i="23"/>
  <c r="AH52" i="23"/>
  <c r="AI52" i="23" s="1"/>
  <c r="AH211" i="23"/>
  <c r="AI211" i="23" s="1"/>
  <c r="AH155" i="23"/>
  <c r="AI155" i="23" s="1"/>
  <c r="AH317" i="23"/>
  <c r="AI317" i="23" s="1"/>
  <c r="AH293" i="23"/>
  <c r="AI293" i="23" s="1"/>
  <c r="AJ90" i="23"/>
  <c r="AH398" i="23"/>
  <c r="AI398" i="23" s="1"/>
  <c r="AH385" i="23"/>
  <c r="AI385" i="23" s="1"/>
  <c r="AH338" i="23"/>
  <c r="AI338" i="23" s="1"/>
  <c r="AH86" i="23"/>
  <c r="AI86" i="23" s="1"/>
  <c r="AJ283" i="23"/>
  <c r="AJ293" i="23"/>
  <c r="AJ192" i="23"/>
  <c r="AH215" i="23"/>
  <c r="AI215" i="23" s="1"/>
  <c r="AH151" i="23"/>
  <c r="AI151" i="23" s="1"/>
  <c r="AH138" i="23"/>
  <c r="AI138" i="23" s="1"/>
  <c r="AH316" i="23"/>
  <c r="AI316" i="23" s="1"/>
  <c r="AH270" i="23"/>
  <c r="AI270" i="23" s="1"/>
  <c r="AJ387" i="23"/>
  <c r="AJ289" i="23"/>
  <c r="AH255" i="23"/>
  <c r="AI255" i="23" s="1"/>
  <c r="AJ57" i="23"/>
  <c r="AH140" i="23"/>
  <c r="AI140" i="23" s="1"/>
  <c r="AH243" i="23"/>
  <c r="AI243" i="23" s="1"/>
  <c r="AH390" i="23"/>
  <c r="AI390" i="23" s="1"/>
  <c r="AJ168" i="23"/>
  <c r="AH217" i="23"/>
  <c r="AI217" i="23" s="1"/>
  <c r="AH315" i="23"/>
  <c r="AI315" i="23" s="1"/>
  <c r="AJ231" i="23"/>
  <c r="AJ104" i="23"/>
  <c r="AH164" i="23"/>
  <c r="AI164" i="23" s="1"/>
  <c r="AH273" i="23"/>
  <c r="AI273" i="23" s="1"/>
  <c r="AH81" i="23"/>
  <c r="AI81" i="23" s="1"/>
  <c r="AJ324" i="23"/>
  <c r="AJ175" i="23"/>
  <c r="AJ153" i="23"/>
  <c r="AH196" i="23"/>
  <c r="AI196" i="23" s="1"/>
  <c r="AH46" i="23"/>
  <c r="AI46" i="23" s="1"/>
  <c r="AH56" i="23"/>
  <c r="AI56" i="23" s="1"/>
  <c r="AH319" i="23"/>
  <c r="AI319" i="23" s="1"/>
  <c r="AJ184" i="23"/>
  <c r="AH94" i="23"/>
  <c r="AI94" i="23" s="1"/>
  <c r="AH381" i="23"/>
  <c r="AI381" i="23" s="1"/>
  <c r="AJ381" i="23"/>
  <c r="AH348" i="23"/>
  <c r="AI348" i="23" s="1"/>
  <c r="AJ327" i="23"/>
  <c r="AH90" i="23"/>
  <c r="AI90" i="23" s="1"/>
  <c r="AH223" i="23"/>
  <c r="AI223" i="23" s="1"/>
  <c r="AJ241" i="23"/>
  <c r="AJ150" i="23"/>
  <c r="AH287" i="23"/>
  <c r="AI287" i="23" s="1"/>
  <c r="AJ321" i="23"/>
  <c r="AJ299" i="23"/>
  <c r="AJ79" i="23"/>
  <c r="AH180" i="23"/>
  <c r="AI180" i="23" s="1"/>
  <c r="AH127" i="23"/>
  <c r="AI127" i="23" s="1"/>
  <c r="AJ374" i="23"/>
  <c r="AJ252" i="23"/>
  <c r="AJ58" i="23"/>
  <c r="AJ107" i="23"/>
  <c r="AJ285" i="23"/>
  <c r="AH379" i="23"/>
  <c r="AI379" i="23" s="1"/>
  <c r="AJ355" i="23"/>
  <c r="AH68" i="23"/>
  <c r="AI68" i="23" s="1"/>
  <c r="AH292" i="23"/>
  <c r="AI292" i="23" s="1"/>
  <c r="AH291" i="23"/>
  <c r="AI291" i="23" s="1"/>
  <c r="AH176" i="23"/>
  <c r="AI176" i="23" s="1"/>
  <c r="AH362" i="23"/>
  <c r="AI362" i="23" s="1"/>
  <c r="AH374" i="23"/>
  <c r="AI374" i="23" s="1"/>
  <c r="AH238" i="23"/>
  <c r="AI238" i="23" s="1"/>
  <c r="AH145" i="23"/>
  <c r="AI145" i="23" s="1"/>
  <c r="AJ42" i="23"/>
  <c r="AH301" i="23"/>
  <c r="AI301" i="23" s="1"/>
  <c r="AJ128" i="23"/>
  <c r="AH156" i="23"/>
  <c r="AI156" i="23" s="1"/>
  <c r="AJ138" i="23"/>
  <c r="AJ229" i="23"/>
  <c r="AH133" i="23"/>
  <c r="AI133" i="23" s="1"/>
  <c r="AH395" i="23"/>
  <c r="AI395" i="23" s="1"/>
  <c r="AH167" i="23"/>
  <c r="AI167" i="23" s="1"/>
  <c r="AH354" i="23"/>
  <c r="AI354" i="23" s="1"/>
  <c r="AH120" i="23"/>
  <c r="AI120" i="23" s="1"/>
  <c r="AJ180" i="23"/>
  <c r="AJ356" i="23"/>
  <c r="AH93" i="23"/>
  <c r="AI93" i="23" s="1"/>
  <c r="AH188" i="23"/>
  <c r="AI188" i="23" s="1"/>
  <c r="AH109" i="23"/>
  <c r="AI109" i="23" s="1"/>
  <c r="AH365" i="23"/>
  <c r="AI365" i="23" s="1"/>
  <c r="AJ326" i="23"/>
  <c r="AJ230" i="23"/>
  <c r="AH275" i="23"/>
  <c r="AI275" i="23" s="1"/>
  <c r="AJ290" i="23"/>
  <c r="AH210" i="23"/>
  <c r="AI210" i="23" s="1"/>
  <c r="AH267" i="23"/>
  <c r="AI267" i="23" s="1"/>
  <c r="AJ151" i="23"/>
  <c r="AJ116" i="23"/>
  <c r="AH78" i="23"/>
  <c r="AI78" i="23" s="1"/>
  <c r="AH378" i="23"/>
  <c r="AI378" i="23" s="1"/>
  <c r="AH139" i="23"/>
  <c r="AI139" i="23" s="1"/>
  <c r="AH327" i="23"/>
  <c r="AI327" i="23" s="1"/>
  <c r="AJ119" i="23"/>
  <c r="AJ281" i="23"/>
  <c r="AJ61" i="23"/>
  <c r="AJ296" i="23"/>
  <c r="AH50" i="23"/>
  <c r="AI50" i="23" s="1"/>
  <c r="AJ328" i="23"/>
  <c r="AH40" i="23"/>
  <c r="AI40" i="23" s="1"/>
  <c r="AH306" i="23"/>
  <c r="AI306" i="23" s="1"/>
  <c r="AH310" i="23"/>
  <c r="AI310" i="23" s="1"/>
  <c r="AJ332" i="23"/>
  <c r="AH168" i="23"/>
  <c r="AI168" i="23" s="1"/>
  <c r="AH337" i="23"/>
  <c r="AI337" i="23" s="1"/>
  <c r="AH147" i="23"/>
  <c r="AI147" i="23" s="1"/>
  <c r="AJ304" i="23"/>
  <c r="AJ156" i="23"/>
  <c r="AJ280" i="23"/>
  <c r="AJ247" i="23"/>
  <c r="AH239" i="23"/>
  <c r="AI239" i="23" s="1"/>
  <c r="AJ372" i="23"/>
  <c r="AH177" i="23"/>
  <c r="AI177" i="23" s="1"/>
  <c r="AH280" i="23"/>
  <c r="AI280" i="23" s="1"/>
  <c r="AH44" i="23"/>
  <c r="AI44" i="23" s="1"/>
  <c r="AJ246" i="23"/>
  <c r="AH352" i="23"/>
  <c r="AI352" i="23" s="1"/>
  <c r="AJ272" i="23"/>
  <c r="AH212" i="23"/>
  <c r="AI212" i="23" s="1"/>
  <c r="AJ78" i="23"/>
  <c r="AJ346" i="23"/>
  <c r="AH206" i="23"/>
  <c r="AI206" i="23" s="1"/>
  <c r="AH185" i="23"/>
  <c r="AI185" i="23" s="1"/>
  <c r="AH41" i="23"/>
  <c r="AI41" i="23" s="1"/>
  <c r="AH309" i="23"/>
  <c r="AI309" i="23" s="1"/>
  <c r="AH66" i="23"/>
  <c r="AI66" i="23" s="1"/>
  <c r="AJ155" i="23"/>
  <c r="AJ369" i="23"/>
  <c r="AH250" i="23"/>
  <c r="AI250" i="23" s="1"/>
  <c r="AJ101" i="23"/>
  <c r="AJ68" i="23"/>
  <c r="AH356" i="23"/>
  <c r="AI356" i="23" s="1"/>
  <c r="AH73" i="23"/>
  <c r="AI73" i="23" s="1"/>
  <c r="AH79" i="23"/>
  <c r="AI79" i="23" s="1"/>
  <c r="AH266" i="23"/>
  <c r="AI266" i="23" s="1"/>
  <c r="AH144" i="23"/>
  <c r="AI144" i="23" s="1"/>
  <c r="AH96" i="23"/>
  <c r="AI96" i="23" s="1"/>
  <c r="AJ363" i="23"/>
  <c r="AJ286" i="23"/>
  <c r="AH143" i="23"/>
  <c r="AI143" i="23" s="1"/>
  <c r="AJ154" i="23"/>
  <c r="AJ319" i="23"/>
  <c r="AH277" i="23"/>
  <c r="AI277" i="23" s="1"/>
  <c r="AH247" i="23"/>
  <c r="AI247" i="23" s="1"/>
  <c r="AJ122" i="23"/>
  <c r="AJ114" i="23"/>
  <c r="AH174" i="23"/>
  <c r="AI174" i="23" s="1"/>
  <c r="AJ110" i="23"/>
  <c r="AJ131" i="23"/>
  <c r="AH331" i="23"/>
  <c r="AI331" i="23" s="1"/>
  <c r="AJ60" i="23"/>
  <c r="AH47" i="23"/>
  <c r="AI47" i="23" s="1"/>
  <c r="AH146" i="23"/>
  <c r="AI146" i="23" s="1"/>
  <c r="AJ226" i="23"/>
  <c r="AJ297" i="23"/>
  <c r="AJ209" i="23"/>
  <c r="AJ245" i="23"/>
  <c r="AJ271" i="23"/>
  <c r="AH95" i="23"/>
  <c r="AI95" i="23" s="1"/>
  <c r="AH371" i="23"/>
  <c r="AI371" i="23" s="1"/>
  <c r="AH226" i="23"/>
  <c r="AI226" i="23" s="1"/>
  <c r="AH123" i="23"/>
  <c r="AI123" i="23" s="1"/>
  <c r="AH115" i="23"/>
  <c r="AI115" i="23" s="1"/>
  <c r="AJ93" i="23"/>
  <c r="AH259" i="23"/>
  <c r="AI259" i="23" s="1"/>
  <c r="AJ376" i="23"/>
  <c r="AH279" i="23"/>
  <c r="AI279" i="23" s="1"/>
  <c r="AJ254" i="23"/>
  <c r="AH343" i="23"/>
  <c r="AI343" i="23" s="1"/>
  <c r="AJ112" i="23"/>
  <c r="AH353" i="23"/>
  <c r="AI353" i="23" s="1"/>
  <c r="AH370" i="23"/>
  <c r="AI370" i="23" s="1"/>
  <c r="AJ377" i="23"/>
  <c r="AH263" i="23"/>
  <c r="AI263" i="23" s="1"/>
  <c r="AH323" i="23"/>
  <c r="AI323" i="23" s="1"/>
  <c r="AJ55" i="23"/>
  <c r="AH105" i="23"/>
  <c r="AI105" i="23" s="1"/>
  <c r="AH328" i="23"/>
  <c r="AI328" i="23" s="1"/>
  <c r="AI385" i="14"/>
  <c r="AJ385" i="14" s="1"/>
  <c r="AH314" i="23"/>
  <c r="AI314" i="23" s="1"/>
  <c r="AH233" i="23"/>
  <c r="AI233" i="23" s="1"/>
  <c r="AJ275" i="23"/>
  <c r="AJ124" i="23"/>
  <c r="AJ373" i="23"/>
  <c r="AH121" i="23"/>
  <c r="AI121" i="23" s="1"/>
  <c r="AH67" i="23"/>
  <c r="AI67" i="23" s="1"/>
  <c r="AH281" i="23"/>
  <c r="AI281" i="23" s="1"/>
  <c r="AJ394" i="23"/>
  <c r="AJ173" i="23"/>
  <c r="AH373" i="23"/>
  <c r="AI373" i="23" s="1"/>
  <c r="AJ52" i="23"/>
  <c r="AJ169" i="23"/>
  <c r="AJ398" i="23"/>
  <c r="AH70" i="23"/>
  <c r="AI70" i="23" s="1"/>
  <c r="AJ64" i="23"/>
  <c r="AJ120" i="23"/>
  <c r="AJ39" i="23"/>
  <c r="AJ250" i="23"/>
  <c r="AJ200" i="23"/>
  <c r="AJ62" i="23"/>
  <c r="AJ400" i="23"/>
  <c r="AJ393" i="23"/>
  <c r="AJ135" i="23"/>
  <c r="AJ203" i="23"/>
  <c r="AH357" i="23"/>
  <c r="AI357" i="23" s="1"/>
  <c r="AJ45" i="23"/>
  <c r="AH178" i="23"/>
  <c r="AI178" i="23" s="1"/>
  <c r="AH289" i="23"/>
  <c r="AI289" i="23" s="1"/>
  <c r="AI95" i="14"/>
  <c r="AJ95" i="14" s="1"/>
  <c r="AJ266" i="23"/>
  <c r="AH235" i="23"/>
  <c r="AI235" i="23" s="1"/>
  <c r="AH114" i="23"/>
  <c r="AI114" i="23" s="1"/>
  <c r="AJ49" i="23"/>
  <c r="AJ72" i="23"/>
  <c r="AJ269" i="23"/>
  <c r="AJ97" i="23"/>
  <c r="AJ350" i="23"/>
  <c r="AJ182" i="23"/>
  <c r="AJ292" i="23"/>
  <c r="AJ233" i="23"/>
  <c r="AJ212" i="23"/>
  <c r="AH92" i="23"/>
  <c r="AI92" i="23" s="1"/>
  <c r="AH82" i="23"/>
  <c r="AI82" i="23" s="1"/>
  <c r="AJ232" i="23"/>
  <c r="AH134" i="23"/>
  <c r="AI134" i="23" s="1"/>
  <c r="AH391" i="23"/>
  <c r="AI391" i="23" s="1"/>
  <c r="AH342" i="23"/>
  <c r="AI342" i="23" s="1"/>
  <c r="AH377" i="23"/>
  <c r="AI377" i="23" s="1"/>
  <c r="AH221" i="23"/>
  <c r="AI221" i="23" s="1"/>
  <c r="AJ113" i="23"/>
  <c r="AH136" i="23"/>
  <c r="AI136" i="23" s="1"/>
  <c r="AJ317" i="23"/>
  <c r="AK244" i="14"/>
  <c r="AK308" i="14"/>
  <c r="AJ44" i="23"/>
  <c r="AJ106" i="23"/>
  <c r="AJ103" i="23"/>
  <c r="AJ146" i="23"/>
  <c r="AJ345" i="23"/>
  <c r="AJ282" i="23"/>
  <c r="AJ134" i="23"/>
  <c r="AH107" i="23"/>
  <c r="AI107" i="23" s="1"/>
  <c r="AH257" i="23"/>
  <c r="AI257" i="23" s="1"/>
  <c r="AH112" i="23"/>
  <c r="AI112" i="23" s="1"/>
  <c r="AJ325" i="23"/>
  <c r="AH262" i="23"/>
  <c r="AI262" i="23" s="1"/>
  <c r="AJ148" i="23"/>
  <c r="AH312" i="23"/>
  <c r="AI312" i="23" s="1"/>
  <c r="AH286" i="23"/>
  <c r="AI286" i="23" s="1"/>
  <c r="AH91" i="23"/>
  <c r="AI91" i="23" s="1"/>
  <c r="AH388" i="23"/>
  <c r="AI388" i="23" s="1"/>
  <c r="AH39" i="23"/>
  <c r="AI39" i="23" s="1"/>
  <c r="AJ210" i="23"/>
  <c r="AJ181" i="23"/>
  <c r="AJ163" i="23"/>
  <c r="AH225" i="23"/>
  <c r="AI225" i="23" s="1"/>
  <c r="AH282" i="23"/>
  <c r="AI282" i="23" s="1"/>
  <c r="AH322" i="29"/>
  <c r="AI322" i="29" s="1"/>
  <c r="AC149" i="14"/>
  <c r="AC359" i="14"/>
  <c r="AC361" i="14"/>
  <c r="AA137" i="14"/>
  <c r="AB137" i="14" s="1"/>
  <c r="AB304" i="29"/>
  <c r="AB209" i="29"/>
  <c r="AB332" i="29"/>
  <c r="Z249" i="29"/>
  <c r="AA249" i="29" s="1"/>
  <c r="AB77" i="29"/>
  <c r="AB307" i="29"/>
  <c r="Z317" i="29"/>
  <c r="AA317" i="29" s="1"/>
  <c r="Z389" i="29"/>
  <c r="AA389" i="29" s="1"/>
  <c r="AB309" i="29"/>
  <c r="Z78" i="29"/>
  <c r="AA78" i="29" s="1"/>
  <c r="AB194" i="29"/>
  <c r="AB134" i="29"/>
  <c r="Z312" i="29"/>
  <c r="AA312" i="29" s="1"/>
  <c r="AB234" i="29"/>
  <c r="Z369" i="29"/>
  <c r="AA369" i="29" s="1"/>
  <c r="Z352" i="29"/>
  <c r="AA352" i="29" s="1"/>
  <c r="AB121" i="29"/>
  <c r="Z365" i="29"/>
  <c r="AA365" i="29" s="1"/>
  <c r="Z129" i="29"/>
  <c r="AA129" i="29" s="1"/>
  <c r="Z115" i="29"/>
  <c r="AA115" i="29" s="1"/>
  <c r="AB136" i="29"/>
  <c r="Z301" i="29"/>
  <c r="AA301" i="29" s="1"/>
  <c r="Z255" i="29"/>
  <c r="AA255" i="29" s="1"/>
  <c r="Z309" i="29"/>
  <c r="AA309" i="29" s="1"/>
  <c r="Z204" i="29"/>
  <c r="AA204" i="29" s="1"/>
  <c r="Z96" i="29"/>
  <c r="AA96" i="29" s="1"/>
  <c r="AB124" i="29"/>
  <c r="AB236" i="29"/>
  <c r="Z268" i="29"/>
  <c r="AA268" i="29" s="1"/>
  <c r="AB144" i="29"/>
  <c r="AB239" i="29"/>
  <c r="AB290" i="29"/>
  <c r="AB47" i="29"/>
  <c r="Z170" i="29"/>
  <c r="AA170" i="29" s="1"/>
  <c r="Z324" i="29"/>
  <c r="AA324" i="29" s="1"/>
  <c r="AB83" i="29"/>
  <c r="AB105" i="29"/>
  <c r="AB173" i="29"/>
  <c r="AB350" i="29"/>
  <c r="AB382" i="29"/>
  <c r="AB215" i="29"/>
  <c r="Z177" i="29"/>
  <c r="AA177" i="29" s="1"/>
  <c r="AK166" i="14"/>
  <c r="AI134" i="14"/>
  <c r="AJ134" i="14" s="1"/>
  <c r="AK126" i="14"/>
  <c r="AI41" i="14"/>
  <c r="AJ41" i="14" s="1"/>
  <c r="AI151" i="14"/>
  <c r="AJ151" i="14" s="1"/>
  <c r="AK54" i="14"/>
  <c r="AE393" i="14"/>
  <c r="AF393" i="14" s="1"/>
  <c r="AG390" i="14"/>
  <c r="AJ265" i="23"/>
  <c r="AH349" i="23"/>
  <c r="AI349" i="23" s="1"/>
  <c r="AJ357" i="23"/>
  <c r="AJ227" i="23"/>
  <c r="AJ329" i="23"/>
  <c r="AH242" i="23"/>
  <c r="AI242" i="23" s="1"/>
  <c r="AH193" i="23"/>
  <c r="AI193" i="23" s="1"/>
  <c r="AJ165" i="23"/>
  <c r="AE115" i="14"/>
  <c r="AF115" i="14" s="1"/>
  <c r="AE175" i="14"/>
  <c r="AF175" i="14" s="1"/>
  <c r="AE63" i="14"/>
  <c r="AF63" i="14" s="1"/>
  <c r="AG294" i="14"/>
  <c r="AG57" i="14"/>
  <c r="AG81" i="14"/>
  <c r="AE98" i="14"/>
  <c r="AF98" i="14" s="1"/>
  <c r="AA237" i="14"/>
  <c r="AB237" i="14" s="1"/>
  <c r="AK83" i="14"/>
  <c r="AK88" i="14"/>
  <c r="AA164" i="14"/>
  <c r="AB164" i="14" s="1"/>
  <c r="AA359" i="14"/>
  <c r="AB359" i="14" s="1"/>
  <c r="AC115" i="14"/>
  <c r="AB92" i="29"/>
  <c r="Z46" i="29"/>
  <c r="AA46" i="29" s="1"/>
  <c r="AB140" i="29"/>
  <c r="AB128" i="29"/>
  <c r="AB346" i="29"/>
  <c r="AB201" i="29"/>
  <c r="Z216" i="29"/>
  <c r="AA216" i="29" s="1"/>
  <c r="Z91" i="29"/>
  <c r="AA91" i="29" s="1"/>
  <c r="AB107" i="29"/>
  <c r="AB122" i="29"/>
  <c r="AB76" i="29"/>
  <c r="AB93" i="29"/>
  <c r="Z383" i="29"/>
  <c r="AA383" i="29" s="1"/>
  <c r="AB296" i="29"/>
  <c r="AB178" i="29"/>
  <c r="Z230" i="29"/>
  <c r="AA230" i="29" s="1"/>
  <c r="AB225" i="29"/>
  <c r="AB395" i="29"/>
  <c r="Z169" i="29"/>
  <c r="AA169" i="29" s="1"/>
  <c r="Z162" i="29"/>
  <c r="AA162" i="29" s="1"/>
  <c r="AB343" i="29"/>
  <c r="AB243" i="29"/>
  <c r="AB108" i="29"/>
  <c r="Z390" i="29"/>
  <c r="AA390" i="29" s="1"/>
  <c r="Z206" i="29"/>
  <c r="AA206" i="29" s="1"/>
  <c r="AB268" i="29"/>
  <c r="AB369" i="29"/>
  <c r="AB157" i="29"/>
  <c r="AB197" i="29"/>
  <c r="Z189" i="29"/>
  <c r="AA189" i="29" s="1"/>
  <c r="Z368" i="29"/>
  <c r="AA368" i="29" s="1"/>
  <c r="AB72" i="29"/>
  <c r="Z174" i="29"/>
  <c r="AA174" i="29" s="1"/>
  <c r="AB252" i="29"/>
  <c r="Z184" i="29"/>
  <c r="AA184" i="29" s="1"/>
  <c r="Z386" i="29"/>
  <c r="AA386" i="29" s="1"/>
  <c r="AB339" i="29"/>
  <c r="Z111" i="29"/>
  <c r="AA111" i="29" s="1"/>
  <c r="Z186" i="29"/>
  <c r="AA186" i="29" s="1"/>
  <c r="AB48" i="29"/>
  <c r="AB235" i="29"/>
  <c r="AB237" i="29"/>
  <c r="AI83" i="14"/>
  <c r="AJ83" i="14" s="1"/>
  <c r="AI263" i="14"/>
  <c r="AJ263" i="14" s="1"/>
  <c r="AK390" i="14"/>
  <c r="AK348" i="14"/>
  <c r="AK149" i="14"/>
  <c r="AC278" i="14"/>
  <c r="AI294" i="14"/>
  <c r="AJ294" i="14" s="1"/>
  <c r="AI355" i="14"/>
  <c r="AJ355" i="14" s="1"/>
  <c r="AA357" i="14"/>
  <c r="AB357" i="14" s="1"/>
  <c r="AB232" i="29"/>
  <c r="AB341" i="29"/>
  <c r="Z88" i="29"/>
  <c r="AA88" i="29" s="1"/>
  <c r="Z148" i="29"/>
  <c r="AA148" i="29" s="1"/>
  <c r="Z318" i="29"/>
  <c r="AA318" i="29" s="1"/>
  <c r="Z40" i="29"/>
  <c r="AA40" i="29" s="1"/>
  <c r="AB90" i="29"/>
  <c r="AB273" i="29"/>
  <c r="AB308" i="29"/>
  <c r="AB238" i="29"/>
  <c r="Z338" i="29"/>
  <c r="AA338" i="29" s="1"/>
  <c r="Z229" i="29"/>
  <c r="AA229" i="29" s="1"/>
  <c r="Z55" i="29"/>
  <c r="AA55" i="29" s="1"/>
  <c r="AB386" i="29"/>
  <c r="AB200" i="29"/>
  <c r="Z400" i="29"/>
  <c r="AA400" i="29" s="1"/>
  <c r="AB172" i="29"/>
  <c r="Z248" i="29"/>
  <c r="AA248" i="29" s="1"/>
  <c r="Z187" i="29"/>
  <c r="AA187" i="29" s="1"/>
  <c r="Z222" i="29"/>
  <c r="AA222" i="29" s="1"/>
  <c r="AB251" i="29"/>
  <c r="Z304" i="29"/>
  <c r="AA304" i="29" s="1"/>
  <c r="AB154" i="29"/>
  <c r="AB282" i="29"/>
  <c r="AB359" i="29"/>
  <c r="Z102" i="29"/>
  <c r="AA102" i="29" s="1"/>
  <c r="AB143" i="29"/>
  <c r="Z119" i="29"/>
  <c r="AA119" i="29" s="1"/>
  <c r="Z157" i="29"/>
  <c r="AA157" i="29" s="1"/>
  <c r="Z76" i="29"/>
  <c r="AA76" i="29" s="1"/>
  <c r="Z252" i="29"/>
  <c r="AA252" i="29" s="1"/>
  <c r="Z314" i="29"/>
  <c r="AA314" i="29" s="1"/>
  <c r="AB103" i="29"/>
  <c r="AB245" i="29"/>
  <c r="Z379" i="29"/>
  <c r="AA379" i="29" s="1"/>
  <c r="AB65" i="29"/>
  <c r="Z223" i="29"/>
  <c r="AA223" i="29" s="1"/>
  <c r="Z397" i="29"/>
  <c r="AA397" i="29" s="1"/>
  <c r="AB257" i="29"/>
  <c r="AK55" i="14"/>
  <c r="AI400" i="14"/>
  <c r="AJ400" i="14" s="1"/>
  <c r="AI186" i="14"/>
  <c r="AJ186" i="14" s="1"/>
  <c r="AI341" i="14"/>
  <c r="AJ341" i="14" s="1"/>
  <c r="AK115" i="14"/>
  <c r="AC106" i="14"/>
  <c r="AC273" i="14"/>
  <c r="AA57" i="14"/>
  <c r="AB57" i="14" s="1"/>
  <c r="AI185" i="14"/>
  <c r="AJ185" i="14" s="1"/>
  <c r="AI369" i="14"/>
  <c r="AJ369" i="14" s="1"/>
  <c r="AA288" i="14"/>
  <c r="AB288" i="14" s="1"/>
  <c r="AC216" i="14"/>
  <c r="AB158" i="29"/>
  <c r="AB284" i="29"/>
  <c r="AA364" i="14"/>
  <c r="AB364" i="14" s="1"/>
  <c r="AC383" i="14"/>
  <c r="AA64" i="14"/>
  <c r="AB64" i="14" s="1"/>
  <c r="Z233" i="29"/>
  <c r="AA233" i="29" s="1"/>
  <c r="AB301" i="29"/>
  <c r="AB106" i="29"/>
  <c r="Z98" i="29"/>
  <c r="AA98" i="29" s="1"/>
  <c r="AB187" i="29"/>
  <c r="AB374" i="29"/>
  <c r="Z350" i="29"/>
  <c r="AA350" i="29" s="1"/>
  <c r="AB39" i="29"/>
  <c r="AB289" i="29"/>
  <c r="Z152" i="29"/>
  <c r="AA152" i="29" s="1"/>
  <c r="AB224" i="29"/>
  <c r="AB46" i="29"/>
  <c r="AB43" i="29"/>
  <c r="AB255" i="29"/>
  <c r="Z180" i="29"/>
  <c r="AA180" i="29" s="1"/>
  <c r="AB270" i="29"/>
  <c r="AB380" i="29"/>
  <c r="AB228" i="29"/>
  <c r="AB112" i="29"/>
  <c r="Z130" i="29"/>
  <c r="AA130" i="29" s="1"/>
  <c r="Z340" i="29"/>
  <c r="AA340" i="29" s="1"/>
  <c r="AB123" i="29"/>
  <c r="AB277" i="29"/>
  <c r="AB142" i="29"/>
  <c r="Z193" i="29"/>
  <c r="AA193" i="29" s="1"/>
  <c r="AB357" i="29"/>
  <c r="Z395" i="29"/>
  <c r="AA395" i="29" s="1"/>
  <c r="Z183" i="29"/>
  <c r="AA183" i="29" s="1"/>
  <c r="Z166" i="29"/>
  <c r="AA166" i="29" s="1"/>
  <c r="AB393" i="29"/>
  <c r="Z137" i="29"/>
  <c r="AA137" i="29" s="1"/>
  <c r="Z307" i="29"/>
  <c r="AA307" i="29" s="1"/>
  <c r="Z203" i="29"/>
  <c r="AA203" i="29" s="1"/>
  <c r="AB182" i="29"/>
  <c r="Z274" i="29"/>
  <c r="AA274" i="29" s="1"/>
  <c r="Z108" i="29"/>
  <c r="AA108" i="29" s="1"/>
  <c r="Z264" i="29"/>
  <c r="AA264" i="29" s="1"/>
  <c r="Z185" i="29"/>
  <c r="AA185" i="29" s="1"/>
  <c r="AB114" i="29"/>
  <c r="Z349" i="29"/>
  <c r="AA349" i="29" s="1"/>
  <c r="Z128" i="29"/>
  <c r="AA128" i="29" s="1"/>
  <c r="AB247" i="29"/>
  <c r="AK169" i="14"/>
  <c r="AI71" i="14"/>
  <c r="AJ71" i="14" s="1"/>
  <c r="AI92" i="14"/>
  <c r="AJ92" i="14" s="1"/>
  <c r="AI231" i="14"/>
  <c r="AJ231" i="14" s="1"/>
  <c r="Z165" i="23"/>
  <c r="AA165" i="23" s="1"/>
  <c r="AC68" i="14"/>
  <c r="AA144" i="14"/>
  <c r="AB144" i="14" s="1"/>
  <c r="AA148" i="14"/>
  <c r="AB148" i="14" s="1"/>
  <c r="AA90" i="14"/>
  <c r="AB90" i="14" s="1"/>
  <c r="AC232" i="14"/>
  <c r="Z346" i="23"/>
  <c r="AA346" i="23" s="1"/>
  <c r="Z326" i="23"/>
  <c r="AA326" i="23" s="1"/>
  <c r="AH321" i="23"/>
  <c r="AI321" i="23" s="1"/>
  <c r="AH209" i="23"/>
  <c r="AI209" i="23" s="1"/>
  <c r="AH104" i="23"/>
  <c r="AI104" i="23" s="1"/>
  <c r="AH53" i="23"/>
  <c r="AI53" i="23" s="1"/>
  <c r="AJ194" i="23"/>
  <c r="AJ205" i="23"/>
  <c r="AH295" i="23"/>
  <c r="AI295" i="23" s="1"/>
  <c r="AH274" i="23"/>
  <c r="AI274" i="23" s="1"/>
  <c r="AH80" i="23"/>
  <c r="AI80" i="23" s="1"/>
  <c r="AH307" i="23"/>
  <c r="AI307" i="23" s="1"/>
  <c r="AH288" i="23"/>
  <c r="AI288" i="23" s="1"/>
  <c r="AJ349" i="23"/>
  <c r="AJ288" i="23"/>
  <c r="AG80" i="14"/>
  <c r="AG280" i="14"/>
  <c r="AE267" i="14"/>
  <c r="AF267" i="14" s="1"/>
  <c r="AG400" i="14"/>
  <c r="AG61" i="14"/>
  <c r="AE189" i="14"/>
  <c r="AF189" i="14" s="1"/>
  <c r="AG216" i="14"/>
  <c r="AE261" i="14"/>
  <c r="AF261" i="14" s="1"/>
  <c r="Z332" i="23"/>
  <c r="AA332" i="23" s="1"/>
  <c r="AA166" i="14"/>
  <c r="AB166" i="14" s="1"/>
  <c r="AA393" i="14"/>
  <c r="AB393" i="14" s="1"/>
  <c r="AC77" i="14"/>
  <c r="AA68" i="14"/>
  <c r="AB68" i="14" s="1"/>
  <c r="AA143" i="14"/>
  <c r="AB143" i="14" s="1"/>
  <c r="AA280" i="14"/>
  <c r="AB280" i="14" s="1"/>
  <c r="Z41" i="23"/>
  <c r="AA41" i="23" s="1"/>
  <c r="Z85" i="23"/>
  <c r="AA85" i="23" s="1"/>
  <c r="Z189" i="23"/>
  <c r="AA189" i="23" s="1"/>
  <c r="AB240" i="23"/>
  <c r="AC245" i="14"/>
  <c r="AC74" i="14"/>
  <c r="AA395" i="14"/>
  <c r="AB395" i="14" s="1"/>
  <c r="AC48" i="14"/>
  <c r="AA335" i="14"/>
  <c r="AB335" i="14" s="1"/>
  <c r="AC399" i="14"/>
  <c r="Z362" i="23"/>
  <c r="AA362" i="23" s="1"/>
  <c r="Z113" i="23"/>
  <c r="AA113" i="23" s="1"/>
  <c r="AA118" i="14"/>
  <c r="AB118" i="14" s="1"/>
  <c r="AC196" i="14"/>
  <c r="AA132" i="14"/>
  <c r="AB132" i="14" s="1"/>
  <c r="AC139" i="14"/>
  <c r="AC39" i="14"/>
  <c r="AA133" i="14"/>
  <c r="AB133" i="14" s="1"/>
  <c r="AB368" i="23"/>
  <c r="AB158" i="23"/>
  <c r="Z72" i="23"/>
  <c r="AA72" i="23" s="1"/>
  <c r="AI140" i="14"/>
  <c r="AJ140" i="14" s="1"/>
  <c r="AK94" i="14"/>
  <c r="AK295" i="14"/>
  <c r="AI311" i="14"/>
  <c r="AJ311" i="14" s="1"/>
  <c r="AI283" i="14"/>
  <c r="AJ283" i="14" s="1"/>
  <c r="AI135" i="14"/>
  <c r="AJ135" i="14" s="1"/>
  <c r="AK130" i="14"/>
  <c r="AK176" i="14"/>
  <c r="AK41" i="14"/>
  <c r="AK277" i="14"/>
  <c r="AK147" i="14"/>
  <c r="AK239" i="14"/>
  <c r="AK400" i="14"/>
  <c r="AI189" i="14"/>
  <c r="AJ189" i="14" s="1"/>
  <c r="AI109" i="14"/>
  <c r="AJ109" i="14" s="1"/>
  <c r="AK287" i="14"/>
  <c r="AI127" i="14"/>
  <c r="AJ127" i="14" s="1"/>
  <c r="AI247" i="14"/>
  <c r="AJ247" i="14" s="1"/>
  <c r="AI284" i="14"/>
  <c r="AJ284" i="14" s="1"/>
  <c r="AI168" i="14"/>
  <c r="AJ168" i="14" s="1"/>
  <c r="AK291" i="14"/>
  <c r="AI137" i="14"/>
  <c r="AJ137" i="14" s="1"/>
  <c r="AK132" i="14"/>
  <c r="AI337" i="14"/>
  <c r="AJ337" i="14" s="1"/>
  <c r="AI100" i="14"/>
  <c r="AJ100" i="14" s="1"/>
  <c r="AI285" i="14"/>
  <c r="AJ285" i="14" s="1"/>
  <c r="AK217" i="14"/>
  <c r="AI133" i="14"/>
  <c r="AJ133" i="14" s="1"/>
  <c r="AI300" i="14"/>
  <c r="AJ300" i="14" s="1"/>
  <c r="AI363" i="14"/>
  <c r="AJ363" i="14" s="1"/>
  <c r="AK120" i="14"/>
  <c r="AK256" i="14"/>
  <c r="AK190" i="14"/>
  <c r="AK259" i="14"/>
  <c r="AK296" i="14"/>
  <c r="AI225" i="14"/>
  <c r="AJ225" i="14" s="1"/>
  <c r="AK109" i="14"/>
  <c r="AK116" i="14"/>
  <c r="AI48" i="14"/>
  <c r="AJ48" i="14" s="1"/>
  <c r="AI305" i="14"/>
  <c r="AJ305" i="14" s="1"/>
  <c r="AI156" i="14"/>
  <c r="AJ156" i="14" s="1"/>
  <c r="AK228" i="14"/>
  <c r="AK135" i="14"/>
  <c r="AI330" i="14"/>
  <c r="AJ330" i="14" s="1"/>
  <c r="AI374" i="14"/>
  <c r="AJ374" i="14" s="1"/>
  <c r="AK163" i="14"/>
  <c r="AK279" i="14"/>
  <c r="AK127" i="14"/>
  <c r="AI124" i="14"/>
  <c r="AJ124" i="14" s="1"/>
  <c r="AI223" i="14"/>
  <c r="AJ223" i="14" s="1"/>
  <c r="AK102" i="14"/>
  <c r="AK204" i="14"/>
  <c r="AI313" i="14"/>
  <c r="AJ313" i="14" s="1"/>
  <c r="AK286" i="14"/>
  <c r="AI302" i="14"/>
  <c r="AJ302" i="14" s="1"/>
  <c r="AK282" i="14"/>
  <c r="AK310" i="14"/>
  <c r="AK121" i="14"/>
  <c r="AI253" i="14"/>
  <c r="AJ253" i="14" s="1"/>
  <c r="AK227" i="14"/>
  <c r="AK337" i="14"/>
  <c r="AI55" i="14"/>
  <c r="AJ55" i="14" s="1"/>
  <c r="AK235" i="14"/>
  <c r="AK75" i="14"/>
  <c r="AI234" i="14"/>
  <c r="AJ234" i="14" s="1"/>
  <c r="AK139" i="14"/>
  <c r="AK396" i="14"/>
  <c r="AI50" i="14"/>
  <c r="AJ50" i="14" s="1"/>
  <c r="AI243" i="14"/>
  <c r="AJ243" i="14" s="1"/>
  <c r="AI377" i="14"/>
  <c r="AJ377" i="14" s="1"/>
  <c r="AK69" i="14"/>
  <c r="AI301" i="14"/>
  <c r="AJ301" i="14" s="1"/>
  <c r="AI40" i="14"/>
  <c r="AJ40" i="14" s="1"/>
  <c r="AI260" i="14"/>
  <c r="AJ260" i="14" s="1"/>
  <c r="AK142" i="14"/>
  <c r="AI213" i="14"/>
  <c r="AJ213" i="14" s="1"/>
  <c r="AK183" i="14"/>
  <c r="AK397" i="14"/>
  <c r="AK319" i="14"/>
  <c r="AK350" i="14"/>
  <c r="AK170" i="14"/>
  <c r="AI216" i="14"/>
  <c r="AJ216" i="14" s="1"/>
  <c r="AK186" i="14"/>
  <c r="AK381" i="14"/>
  <c r="AK285" i="14"/>
  <c r="AI88" i="14"/>
  <c r="AJ88" i="14" s="1"/>
  <c r="AK321" i="14"/>
  <c r="AI171" i="14"/>
  <c r="AJ171" i="14" s="1"/>
  <c r="AI240" i="14"/>
  <c r="AJ240" i="14" s="1"/>
  <c r="AI242" i="14"/>
  <c r="AJ242" i="14" s="1"/>
  <c r="AK354" i="14"/>
  <c r="AK323" i="14"/>
  <c r="AI328" i="14"/>
  <c r="AJ328" i="14" s="1"/>
  <c r="AK394" i="14"/>
  <c r="AK306" i="14"/>
  <c r="AI372" i="14"/>
  <c r="AJ372" i="14" s="1"/>
  <c r="AK266" i="14"/>
  <c r="AI169" i="14"/>
  <c r="AJ169" i="14" s="1"/>
  <c r="AI159" i="14"/>
  <c r="AJ159" i="14" s="1"/>
  <c r="AI149" i="14"/>
  <c r="AJ149" i="14" s="1"/>
  <c r="AK224" i="14"/>
  <c r="AK59" i="14"/>
  <c r="AK312" i="14"/>
  <c r="AI333" i="14"/>
  <c r="AJ333" i="14" s="1"/>
  <c r="AI61" i="14"/>
  <c r="AJ61" i="14" s="1"/>
  <c r="AK382" i="14"/>
  <c r="AK232" i="14"/>
  <c r="AI351" i="14"/>
  <c r="AJ351" i="14" s="1"/>
  <c r="AI167" i="14"/>
  <c r="AJ167" i="14" s="1"/>
  <c r="AI356" i="14"/>
  <c r="AJ356" i="14" s="1"/>
  <c r="AI161" i="14"/>
  <c r="AJ161" i="14" s="1"/>
  <c r="AI170" i="14"/>
  <c r="AJ170" i="14" s="1"/>
  <c r="AK274" i="14"/>
  <c r="AK395" i="14"/>
  <c r="AK57" i="14"/>
  <c r="AI382" i="14"/>
  <c r="AJ382" i="14" s="1"/>
  <c r="AK330" i="14"/>
  <c r="AK283" i="14"/>
  <c r="AI165" i="14"/>
  <c r="AJ165" i="14" s="1"/>
  <c r="AK258" i="14"/>
  <c r="AI230" i="14"/>
  <c r="AJ230" i="14" s="1"/>
  <c r="AK366" i="14"/>
  <c r="AI196" i="14"/>
  <c r="AJ196" i="14" s="1"/>
  <c r="AI79" i="14"/>
  <c r="AJ79" i="14" s="1"/>
  <c r="AK68" i="14"/>
  <c r="AI322" i="14"/>
  <c r="AJ322" i="14" s="1"/>
  <c r="AI47" i="14"/>
  <c r="AJ47" i="14" s="1"/>
  <c r="AK270" i="14"/>
  <c r="AK276" i="14"/>
  <c r="AI264" i="14"/>
  <c r="AJ264" i="14" s="1"/>
  <c r="AI304" i="14"/>
  <c r="AJ304" i="14" s="1"/>
  <c r="AI143" i="14"/>
  <c r="AJ143" i="14" s="1"/>
  <c r="AI381" i="14"/>
  <c r="AJ381" i="14" s="1"/>
  <c r="AK292" i="14"/>
  <c r="AK137" i="14"/>
  <c r="AK288" i="14"/>
  <c r="AI237" i="14"/>
  <c r="AJ237" i="14" s="1"/>
  <c r="AK222" i="14"/>
  <c r="AK255" i="14"/>
  <c r="AK191" i="14"/>
  <c r="AK177" i="14"/>
  <c r="AI56" i="14"/>
  <c r="AJ56" i="14" s="1"/>
  <c r="AI378" i="14"/>
  <c r="AJ378" i="14" s="1"/>
  <c r="AK174" i="14"/>
  <c r="AI393" i="14"/>
  <c r="AJ393" i="14" s="1"/>
  <c r="AI206" i="14"/>
  <c r="AJ206" i="14" s="1"/>
  <c r="AK187" i="14"/>
  <c r="AI44" i="14"/>
  <c r="AJ44" i="14" s="1"/>
  <c r="AK119" i="14"/>
  <c r="AK281" i="14"/>
  <c r="AK336" i="14"/>
  <c r="AK112" i="14"/>
  <c r="AK65" i="14"/>
  <c r="AK78" i="14"/>
  <c r="AK309" i="14"/>
  <c r="AI221" i="14"/>
  <c r="AJ221" i="14" s="1"/>
  <c r="AK144" i="14"/>
  <c r="AK195" i="14"/>
  <c r="AK196" i="14"/>
  <c r="AK73" i="14"/>
  <c r="AI265" i="14"/>
  <c r="AJ265" i="14" s="1"/>
  <c r="AK51" i="14"/>
  <c r="AK290" i="14"/>
  <c r="AK313" i="14"/>
  <c r="AK168" i="14"/>
  <c r="AK301" i="14"/>
  <c r="AK43" i="14"/>
  <c r="AI338" i="14"/>
  <c r="AJ338" i="14" s="1"/>
  <c r="AK335" i="14"/>
  <c r="AK182" i="14"/>
  <c r="AK89" i="14"/>
  <c r="AI215" i="14"/>
  <c r="AJ215" i="14" s="1"/>
  <c r="AK91" i="14"/>
  <c r="AK193" i="14"/>
  <c r="AI235" i="14"/>
  <c r="AJ235" i="14" s="1"/>
  <c r="AI257" i="14"/>
  <c r="AJ257" i="14" s="1"/>
  <c r="AI207" i="14"/>
  <c r="AJ207" i="14" s="1"/>
  <c r="AI66" i="14"/>
  <c r="AJ66" i="14" s="1"/>
  <c r="AI60" i="14"/>
  <c r="AJ60" i="14" s="1"/>
  <c r="AK375" i="14"/>
  <c r="AI269" i="14"/>
  <c r="AJ269" i="14" s="1"/>
  <c r="AK340" i="14"/>
  <c r="AK278" i="14"/>
  <c r="AI256" i="14"/>
  <c r="AJ256" i="14" s="1"/>
  <c r="AI357" i="14"/>
  <c r="AJ357" i="14" s="1"/>
  <c r="AK194" i="14"/>
  <c r="AK368" i="14"/>
  <c r="AI129" i="14"/>
  <c r="AJ129" i="14" s="1"/>
  <c r="AK311" i="14"/>
  <c r="AI379" i="14"/>
  <c r="AJ379" i="14" s="1"/>
  <c r="AK157" i="14"/>
  <c r="AK141" i="14"/>
  <c r="AK44" i="14"/>
  <c r="AI273" i="14"/>
  <c r="AJ273" i="14" s="1"/>
  <c r="AK304" i="14"/>
  <c r="AK159" i="14"/>
  <c r="AI73" i="14"/>
  <c r="AJ73" i="14" s="1"/>
  <c r="AI317" i="14"/>
  <c r="AJ317" i="14" s="1"/>
  <c r="AI119" i="14"/>
  <c r="AJ119" i="14" s="1"/>
  <c r="AI150" i="14"/>
  <c r="AJ150" i="14" s="1"/>
  <c r="AI308" i="14"/>
  <c r="AJ308" i="14" s="1"/>
  <c r="AK352" i="14"/>
  <c r="AI57" i="14"/>
  <c r="AJ57" i="14" s="1"/>
  <c r="AK392" i="14"/>
  <c r="AK202" i="14"/>
  <c r="AI180" i="14"/>
  <c r="AJ180" i="14" s="1"/>
  <c r="AI241" i="14"/>
  <c r="AJ241" i="14" s="1"/>
  <c r="AI78" i="14"/>
  <c r="AJ78" i="14" s="1"/>
  <c r="AK345" i="14"/>
  <c r="AK60" i="14"/>
  <c r="AI275" i="14"/>
  <c r="AJ275" i="14" s="1"/>
  <c r="AK331" i="14"/>
  <c r="AI259" i="14"/>
  <c r="AJ259" i="14" s="1"/>
  <c r="AK249" i="14"/>
  <c r="AK302" i="14"/>
  <c r="AI282" i="14"/>
  <c r="AJ282" i="14" s="1"/>
  <c r="AI349" i="14"/>
  <c r="AJ349" i="14" s="1"/>
  <c r="AK151" i="14"/>
  <c r="AK111" i="14"/>
  <c r="AI347" i="14"/>
  <c r="AJ347" i="14" s="1"/>
  <c r="AI172" i="14"/>
  <c r="AJ172" i="14" s="1"/>
  <c r="AK175" i="14"/>
  <c r="AI192" i="14"/>
  <c r="AJ192" i="14" s="1"/>
  <c r="AI96" i="14"/>
  <c r="AJ96" i="14" s="1"/>
  <c r="AI232" i="14"/>
  <c r="AJ232" i="14" s="1"/>
  <c r="AK324" i="14"/>
  <c r="AI65" i="14"/>
  <c r="AJ65" i="14" s="1"/>
  <c r="AK322" i="14"/>
  <c r="AK358" i="14"/>
  <c r="AI348" i="14"/>
  <c r="AJ348" i="14" s="1"/>
  <c r="AI154" i="14"/>
  <c r="AJ154" i="14" s="1"/>
  <c r="AI336" i="14"/>
  <c r="AJ336" i="14" s="1"/>
  <c r="AK70" i="14"/>
  <c r="AI77" i="14"/>
  <c r="AJ77" i="14" s="1"/>
  <c r="AK377" i="14"/>
  <c r="AI344" i="14"/>
  <c r="AJ344" i="14" s="1"/>
  <c r="AK343" i="14"/>
  <c r="AK365" i="14"/>
  <c r="AK234" i="14"/>
  <c r="AI354" i="14"/>
  <c r="AJ354" i="14" s="1"/>
  <c r="AI396" i="14"/>
  <c r="AJ396" i="14" s="1"/>
  <c r="AI162" i="14"/>
  <c r="AJ162" i="14" s="1"/>
  <c r="AI261" i="14"/>
  <c r="AJ261" i="14" s="1"/>
  <c r="AI246" i="14"/>
  <c r="AJ246" i="14" s="1"/>
  <c r="AI254" i="14"/>
  <c r="AJ254" i="14" s="1"/>
  <c r="AI62" i="14"/>
  <c r="AJ62" i="14" s="1"/>
  <c r="AK315" i="14"/>
  <c r="AK226" i="14"/>
  <c r="AK96" i="14"/>
  <c r="AK399" i="14"/>
  <c r="AI121" i="14"/>
  <c r="AJ121" i="14" s="1"/>
  <c r="AK140" i="14"/>
  <c r="AI46" i="14"/>
  <c r="AJ46" i="14" s="1"/>
  <c r="AK158" i="14"/>
  <c r="AK357" i="14"/>
  <c r="AK171" i="14"/>
  <c r="AK76" i="14"/>
  <c r="AK271" i="14"/>
  <c r="AK265" i="14"/>
  <c r="AI120" i="14"/>
  <c r="AJ120" i="14" s="1"/>
  <c r="AI361" i="14"/>
  <c r="AJ361" i="14" s="1"/>
  <c r="AI64" i="14"/>
  <c r="AJ64" i="14" s="1"/>
  <c r="AK316" i="14"/>
  <c r="AI125" i="14"/>
  <c r="AJ125" i="14" s="1"/>
  <c r="AK369" i="14"/>
  <c r="AK108" i="14"/>
  <c r="AK241" i="14"/>
  <c r="AK212" i="14"/>
  <c r="AI299" i="14"/>
  <c r="AJ299" i="14" s="1"/>
  <c r="AK210" i="14"/>
  <c r="AK246" i="14"/>
  <c r="AI252" i="14"/>
  <c r="AJ252" i="14" s="1"/>
  <c r="AK189" i="14"/>
  <c r="AI298" i="14"/>
  <c r="AJ298" i="14" s="1"/>
  <c r="AI279" i="14"/>
  <c r="AJ279" i="14" s="1"/>
  <c r="AK372" i="14"/>
  <c r="AK136" i="14"/>
  <c r="AK379" i="14"/>
  <c r="AK383" i="14"/>
  <c r="AK230" i="14"/>
  <c r="AI94" i="14"/>
  <c r="AJ94" i="14" s="1"/>
  <c r="AK74" i="14"/>
  <c r="AK272" i="14"/>
  <c r="AK42" i="14"/>
  <c r="AI380" i="14"/>
  <c r="AJ380" i="14" s="1"/>
  <c r="AK62" i="14"/>
  <c r="AK129" i="14"/>
  <c r="AK133" i="14"/>
  <c r="AK391" i="14"/>
  <c r="AK123" i="14"/>
  <c r="AK362" i="14"/>
  <c r="AK124" i="14"/>
  <c r="AK72" i="14"/>
  <c r="AK297" i="14"/>
  <c r="AK213" i="14"/>
  <c r="AK101" i="14"/>
  <c r="AI325" i="14"/>
  <c r="AJ325" i="14" s="1"/>
  <c r="AK167" i="14"/>
  <c r="AI200" i="14"/>
  <c r="AJ200" i="14" s="1"/>
  <c r="AK257" i="14"/>
  <c r="AI332" i="14"/>
  <c r="AJ332" i="14" s="1"/>
  <c r="AI201" i="14"/>
  <c r="AJ201" i="14" s="1"/>
  <c r="AI278" i="14"/>
  <c r="AJ278" i="14" s="1"/>
  <c r="AK79" i="14"/>
  <c r="AI293" i="14"/>
  <c r="AJ293" i="14" s="1"/>
  <c r="AK172" i="14"/>
  <c r="AI164" i="14"/>
  <c r="AJ164" i="14" s="1"/>
  <c r="AI228" i="14"/>
  <c r="AJ228" i="14" s="1"/>
  <c r="AK238" i="14"/>
  <c r="AI218" i="14"/>
  <c r="AJ218" i="14" s="1"/>
  <c r="AK64" i="14"/>
  <c r="AI227" i="14"/>
  <c r="AJ227" i="14" s="1"/>
  <c r="AI107" i="14"/>
  <c r="AJ107" i="14" s="1"/>
  <c r="AI239" i="14"/>
  <c r="AJ239" i="14" s="1"/>
  <c r="AI359" i="14"/>
  <c r="AJ359" i="14" s="1"/>
  <c r="AK216" i="14"/>
  <c r="AI43" i="14"/>
  <c r="AJ43" i="14" s="1"/>
  <c r="AK80" i="14"/>
  <c r="AK393" i="14"/>
  <c r="AK39" i="14"/>
  <c r="AI316" i="14"/>
  <c r="AJ316" i="14" s="1"/>
  <c r="AI63" i="14"/>
  <c r="AJ63" i="14" s="1"/>
  <c r="AK294" i="14"/>
  <c r="AK188" i="14"/>
  <c r="AK314" i="14"/>
  <c r="AK243" i="14"/>
  <c r="AK289" i="14"/>
  <c r="AI346" i="14"/>
  <c r="AJ346" i="14" s="1"/>
  <c r="AI373" i="14"/>
  <c r="AJ373" i="14" s="1"/>
  <c r="AI39" i="14"/>
  <c r="AJ39" i="14" s="1"/>
  <c r="AK61" i="14"/>
  <c r="AK347" i="14"/>
  <c r="AI203" i="14"/>
  <c r="AJ203" i="14" s="1"/>
  <c r="AI174" i="14"/>
  <c r="AJ174" i="14" s="1"/>
  <c r="AK245" i="14"/>
  <c r="AK240" i="14"/>
  <c r="AI295" i="14"/>
  <c r="AJ295" i="14" s="1"/>
  <c r="AI145" i="14"/>
  <c r="AJ145" i="14" s="1"/>
  <c r="AI198" i="14"/>
  <c r="AJ198" i="14" s="1"/>
  <c r="AK384" i="14"/>
  <c r="AK125" i="14"/>
  <c r="AK385" i="14"/>
  <c r="AI139" i="14"/>
  <c r="AJ139" i="14" s="1"/>
  <c r="AK367" i="14"/>
  <c r="AK327" i="14"/>
  <c r="AI307" i="14"/>
  <c r="AJ307" i="14" s="1"/>
  <c r="AK250" i="14"/>
  <c r="AK284" i="14"/>
  <c r="AI158" i="14"/>
  <c r="AJ158" i="14" s="1"/>
  <c r="AK180" i="14"/>
  <c r="AK251" i="14"/>
  <c r="AI383" i="14"/>
  <c r="AJ383" i="14" s="1"/>
  <c r="AI58" i="14"/>
  <c r="AJ58" i="14" s="1"/>
  <c r="AK359" i="14"/>
  <c r="AI244" i="14"/>
  <c r="AJ244" i="14" s="1"/>
  <c r="AI281" i="14"/>
  <c r="AJ281" i="14" s="1"/>
  <c r="AI334" i="14"/>
  <c r="AJ334" i="14" s="1"/>
  <c r="AK199" i="14"/>
  <c r="AK237" i="14"/>
  <c r="AI205" i="14"/>
  <c r="AJ205" i="14" s="1"/>
  <c r="AK92" i="14"/>
  <c r="AK146" i="14"/>
  <c r="AK106" i="14"/>
  <c r="AI270" i="14"/>
  <c r="AJ270" i="14" s="1"/>
  <c r="AI323" i="14"/>
  <c r="AJ323" i="14" s="1"/>
  <c r="AK161" i="14"/>
  <c r="AI286" i="14"/>
  <c r="AJ286" i="14" s="1"/>
  <c r="AI67" i="14"/>
  <c r="AJ67" i="14" s="1"/>
  <c r="AK346" i="14"/>
  <c r="AK207" i="14"/>
  <c r="AK218" i="14"/>
  <c r="AK113" i="14"/>
  <c r="AI306" i="14"/>
  <c r="AJ306" i="14" s="1"/>
  <c r="AK185" i="14"/>
  <c r="AI202" i="14"/>
  <c r="AJ202" i="14" s="1"/>
  <c r="AK138" i="14"/>
  <c r="AK99" i="14"/>
  <c r="AI268" i="14"/>
  <c r="AJ268" i="14" s="1"/>
  <c r="AI163" i="14"/>
  <c r="AJ163" i="14" s="1"/>
  <c r="AI249" i="14"/>
  <c r="AJ249" i="14" s="1"/>
  <c r="AK118" i="14"/>
  <c r="AI128" i="14"/>
  <c r="AJ128" i="14" s="1"/>
  <c r="AI280" i="14"/>
  <c r="AJ280" i="14" s="1"/>
  <c r="AI108" i="14"/>
  <c r="AJ108" i="14" s="1"/>
  <c r="AK303" i="14"/>
  <c r="AK162" i="14"/>
  <c r="AI353" i="14"/>
  <c r="AJ353" i="14" s="1"/>
  <c r="AI314" i="14"/>
  <c r="AJ314" i="14" s="1"/>
  <c r="AK214" i="14"/>
  <c r="AI86" i="14"/>
  <c r="AJ86" i="14" s="1"/>
  <c r="AK389" i="14"/>
  <c r="AI271" i="14"/>
  <c r="AJ271" i="14" s="1"/>
  <c r="AK253" i="14"/>
  <c r="AI288" i="14"/>
  <c r="AJ288" i="14" s="1"/>
  <c r="AI303" i="14"/>
  <c r="AJ303" i="14" s="1"/>
  <c r="AK223" i="14"/>
  <c r="AK264" i="14"/>
  <c r="AK332" i="14"/>
  <c r="AK273" i="14"/>
  <c r="AK46" i="14"/>
  <c r="AI267" i="14"/>
  <c r="AJ267" i="14" s="1"/>
  <c r="AI319" i="14"/>
  <c r="AJ319" i="14" s="1"/>
  <c r="AK247" i="14"/>
  <c r="AI370" i="14"/>
  <c r="AJ370" i="14" s="1"/>
  <c r="AK317" i="14"/>
  <c r="AI102" i="14"/>
  <c r="AJ102" i="14" s="1"/>
  <c r="AI153" i="14"/>
  <c r="AJ153" i="14" s="1"/>
  <c r="AK300" i="14"/>
  <c r="AI49" i="14"/>
  <c r="AJ49" i="14" s="1"/>
  <c r="AI191" i="14"/>
  <c r="AJ191" i="14" s="1"/>
  <c r="AK293" i="14"/>
  <c r="AI131" i="14"/>
  <c r="AJ131" i="14" s="1"/>
  <c r="AK58" i="14"/>
  <c r="AK328" i="14"/>
  <c r="AI375" i="14"/>
  <c r="AJ375" i="14" s="1"/>
  <c r="AI103" i="14"/>
  <c r="AJ103" i="14" s="1"/>
  <c r="AI195" i="14"/>
  <c r="AJ195" i="14" s="1"/>
  <c r="AK110" i="14"/>
  <c r="AI155" i="14"/>
  <c r="AJ155" i="14" s="1"/>
  <c r="AK371" i="14"/>
  <c r="AI399" i="14"/>
  <c r="AJ399" i="14" s="1"/>
  <c r="AK173" i="14"/>
  <c r="AK298" i="14"/>
  <c r="AK307" i="14"/>
  <c r="AK66" i="14"/>
  <c r="AI144" i="14"/>
  <c r="AJ144" i="14" s="1"/>
  <c r="AK355" i="14"/>
  <c r="AK154" i="14"/>
  <c r="AI93" i="14"/>
  <c r="AJ93" i="14" s="1"/>
  <c r="AK231" i="14"/>
  <c r="AI175" i="14"/>
  <c r="AJ175" i="14" s="1"/>
  <c r="AI250" i="14"/>
  <c r="AJ250" i="14" s="1"/>
  <c r="AK268" i="14"/>
  <c r="AI209" i="14"/>
  <c r="AJ209" i="14" s="1"/>
  <c r="AK67" i="14"/>
  <c r="AI42" i="14"/>
  <c r="AJ42" i="14" s="1"/>
  <c r="AI326" i="14"/>
  <c r="AJ326" i="14" s="1"/>
  <c r="AI339" i="14"/>
  <c r="AJ339" i="14" s="1"/>
  <c r="AI343" i="14"/>
  <c r="AJ343" i="14" s="1"/>
  <c r="AK236" i="14"/>
  <c r="AI290" i="14"/>
  <c r="AJ290" i="14" s="1"/>
  <c r="AK201" i="14"/>
  <c r="AI80" i="14"/>
  <c r="AJ80" i="14" s="1"/>
  <c r="AK104" i="14"/>
  <c r="AK334" i="14"/>
  <c r="AI335" i="14"/>
  <c r="AJ335" i="14" s="1"/>
  <c r="AI371" i="14"/>
  <c r="AJ371" i="14" s="1"/>
  <c r="AK353" i="14"/>
  <c r="AI98" i="14"/>
  <c r="AJ98" i="14" s="1"/>
  <c r="AK45" i="14"/>
  <c r="AI262" i="14"/>
  <c r="AJ262" i="14" s="1"/>
  <c r="AI190" i="14"/>
  <c r="AJ190" i="14" s="1"/>
  <c r="AI398" i="14"/>
  <c r="AJ398" i="14" s="1"/>
  <c r="AI82" i="14"/>
  <c r="AJ82" i="14" s="1"/>
  <c r="AI258" i="14"/>
  <c r="AJ258" i="14" s="1"/>
  <c r="AK380" i="14"/>
  <c r="AI173" i="14"/>
  <c r="AJ173" i="14" s="1"/>
  <c r="AK134" i="14"/>
  <c r="AK363" i="14"/>
  <c r="AI51" i="14"/>
  <c r="AJ51" i="14" s="1"/>
  <c r="AI342" i="14"/>
  <c r="AJ342" i="14" s="1"/>
  <c r="AI53" i="14"/>
  <c r="AJ53" i="14" s="1"/>
  <c r="AH32" i="14"/>
  <c r="AK254" i="14"/>
  <c r="AK261" i="14"/>
  <c r="AI182" i="14"/>
  <c r="AJ182" i="14" s="1"/>
  <c r="AI97" i="14"/>
  <c r="AJ97" i="14" s="1"/>
  <c r="AK52" i="14"/>
  <c r="AI272" i="14"/>
  <c r="AJ272" i="14" s="1"/>
  <c r="AK47" i="14"/>
  <c r="AK344" i="14"/>
  <c r="AK280" i="14"/>
  <c r="AK82" i="14"/>
  <c r="AK155" i="14"/>
  <c r="AK98" i="14"/>
  <c r="AI75" i="14"/>
  <c r="AJ75" i="14" s="1"/>
  <c r="AK117" i="14"/>
  <c r="AI395" i="14"/>
  <c r="AJ395" i="14" s="1"/>
  <c r="AI70" i="14"/>
  <c r="AJ70" i="14" s="1"/>
  <c r="AK50" i="14"/>
  <c r="AI251" i="14"/>
  <c r="AJ251" i="14" s="1"/>
  <c r="AK164" i="14"/>
  <c r="AI147" i="14"/>
  <c r="AJ147" i="14" s="1"/>
  <c r="AK184" i="14"/>
  <c r="AI152" i="14"/>
  <c r="AJ152" i="14" s="1"/>
  <c r="AI87" i="14"/>
  <c r="AJ87" i="14" s="1"/>
  <c r="AI68" i="14"/>
  <c r="AJ68" i="14" s="1"/>
  <c r="AI394" i="14"/>
  <c r="AJ394" i="14" s="1"/>
  <c r="AI123" i="14"/>
  <c r="AJ123" i="14" s="1"/>
  <c r="AK205" i="14"/>
  <c r="AK165" i="14"/>
  <c r="AI248" i="14"/>
  <c r="AJ248" i="14" s="1"/>
  <c r="AI178" i="14"/>
  <c r="AJ178" i="14" s="1"/>
  <c r="AI388" i="14"/>
  <c r="AJ388" i="14" s="1"/>
  <c r="AK49" i="14"/>
  <c r="AK325" i="14"/>
  <c r="AI194" i="14"/>
  <c r="AJ194" i="14" s="1"/>
  <c r="AI217" i="14"/>
  <c r="AJ217" i="14" s="1"/>
  <c r="AK260" i="14"/>
  <c r="AI157" i="14"/>
  <c r="AJ157" i="14" s="1"/>
  <c r="AK267" i="14"/>
  <c r="AI236" i="14"/>
  <c r="AJ236" i="14" s="1"/>
  <c r="AI89" i="14"/>
  <c r="AJ89" i="14" s="1"/>
  <c r="AI274" i="14"/>
  <c r="AJ274" i="14" s="1"/>
  <c r="AI138" i="14"/>
  <c r="AJ138" i="14" s="1"/>
  <c r="AI362" i="14"/>
  <c r="AJ362" i="14" s="1"/>
  <c r="AI214" i="14"/>
  <c r="AJ214" i="14" s="1"/>
  <c r="AK361" i="14"/>
  <c r="AK93" i="14"/>
  <c r="AK179" i="14"/>
  <c r="AI91" i="14"/>
  <c r="AJ91" i="14" s="1"/>
  <c r="AK152" i="14"/>
  <c r="AI360" i="14"/>
  <c r="AJ360" i="14" s="1"/>
  <c r="AK105" i="14"/>
  <c r="AK107" i="14"/>
  <c r="AK326" i="14"/>
  <c r="AK374" i="14"/>
  <c r="AK342" i="14"/>
  <c r="AI141" i="14"/>
  <c r="AJ141" i="14" s="1"/>
  <c r="AK262" i="14"/>
  <c r="AI386" i="14"/>
  <c r="AJ386" i="14" s="1"/>
  <c r="AI331" i="14"/>
  <c r="AJ331" i="14" s="1"/>
  <c r="AK263" i="14"/>
  <c r="AI291" i="14"/>
  <c r="AJ291" i="14" s="1"/>
  <c r="AK181" i="14"/>
  <c r="AI176" i="14"/>
  <c r="AJ176" i="14" s="1"/>
  <c r="AI181" i="14"/>
  <c r="AJ181" i="14" s="1"/>
  <c r="AI297" i="14"/>
  <c r="AJ297" i="14" s="1"/>
  <c r="AK356" i="14"/>
  <c r="AI352" i="14"/>
  <c r="AJ352" i="14" s="1"/>
  <c r="AI148" i="14"/>
  <c r="AJ148" i="14" s="1"/>
  <c r="AK90" i="14"/>
  <c r="AI226" i="14"/>
  <c r="AJ226" i="14" s="1"/>
  <c r="AI318" i="14"/>
  <c r="AJ318" i="14" s="1"/>
  <c r="AI199" i="14"/>
  <c r="AJ199" i="14" s="1"/>
  <c r="AK192" i="14"/>
  <c r="AK349" i="14"/>
  <c r="AI245" i="14"/>
  <c r="AJ245" i="14" s="1"/>
  <c r="AK200" i="14"/>
  <c r="AI329" i="14"/>
  <c r="AJ329" i="14" s="1"/>
  <c r="AK229" i="14"/>
  <c r="AI160" i="14"/>
  <c r="AJ160" i="14" s="1"/>
  <c r="AI345" i="14"/>
  <c r="AJ345" i="14" s="1"/>
  <c r="AI113" i="14"/>
  <c r="AJ113" i="14" s="1"/>
  <c r="AI116" i="14"/>
  <c r="AJ116" i="14" s="1"/>
  <c r="AI183" i="14"/>
  <c r="AJ183" i="14" s="1"/>
  <c r="AI69" i="14"/>
  <c r="AJ69" i="14" s="1"/>
  <c r="AK388" i="14"/>
  <c r="AK81" i="14"/>
  <c r="AI72" i="14"/>
  <c r="AJ72" i="14" s="1"/>
  <c r="AK95" i="14"/>
  <c r="AK215" i="14"/>
  <c r="AK225" i="14"/>
  <c r="AI397" i="14"/>
  <c r="AJ397" i="14" s="1"/>
  <c r="AI312" i="14"/>
  <c r="AJ312" i="14" s="1"/>
  <c r="AK156" i="14"/>
  <c r="AK87" i="14"/>
  <c r="AI387" i="14"/>
  <c r="AJ387" i="14" s="1"/>
  <c r="AI255" i="14"/>
  <c r="AJ255" i="14" s="1"/>
  <c r="AI132" i="14"/>
  <c r="AJ132" i="14" s="1"/>
  <c r="AK211" i="14"/>
  <c r="AI289" i="14"/>
  <c r="AJ289" i="14" s="1"/>
  <c r="AK40" i="14"/>
  <c r="AK338" i="14"/>
  <c r="AK378" i="14"/>
  <c r="AI90" i="14"/>
  <c r="AJ90" i="14" s="1"/>
  <c r="AK122" i="14"/>
  <c r="AI184" i="14"/>
  <c r="AJ184" i="14" s="1"/>
  <c r="AI384" i="14"/>
  <c r="AJ384" i="14" s="1"/>
  <c r="AI324" i="14"/>
  <c r="AJ324" i="14" s="1"/>
  <c r="AI104" i="14"/>
  <c r="AJ104" i="14" s="1"/>
  <c r="AI166" i="14"/>
  <c r="AJ166" i="14" s="1"/>
  <c r="AK208" i="14"/>
  <c r="AI389" i="14"/>
  <c r="AJ389" i="14" s="1"/>
  <c r="AI210" i="14"/>
  <c r="AJ210" i="14" s="1"/>
  <c r="AI130" i="14"/>
  <c r="AJ130" i="14" s="1"/>
  <c r="AK320" i="14"/>
  <c r="AI193" i="14"/>
  <c r="AJ193" i="14" s="1"/>
  <c r="AK77" i="14"/>
  <c r="AK63" i="14"/>
  <c r="AI364" i="14"/>
  <c r="AJ364" i="14" s="1"/>
  <c r="AK206" i="14"/>
  <c r="AK84" i="14"/>
  <c r="AK376" i="14"/>
  <c r="AI287" i="14"/>
  <c r="AJ287" i="14" s="1"/>
  <c r="AK275" i="14"/>
  <c r="AK153" i="14"/>
  <c r="AI365" i="14"/>
  <c r="AJ365" i="14" s="1"/>
  <c r="AI367" i="14"/>
  <c r="AJ367" i="14" s="1"/>
  <c r="AI309" i="14"/>
  <c r="AJ309" i="14" s="1"/>
  <c r="AI358" i="14"/>
  <c r="AJ358" i="14" s="1"/>
  <c r="AI204" i="14"/>
  <c r="AJ204" i="14" s="1"/>
  <c r="AI188" i="14"/>
  <c r="AJ188" i="14" s="1"/>
  <c r="AK145" i="14"/>
  <c r="AK103" i="14"/>
  <c r="AK203" i="14"/>
  <c r="AI59" i="14"/>
  <c r="AJ59" i="14" s="1"/>
  <c r="AI350" i="14"/>
  <c r="AJ350" i="14" s="1"/>
  <c r="AI117" i="14"/>
  <c r="AJ117" i="14" s="1"/>
  <c r="AI208" i="14"/>
  <c r="AJ208" i="14" s="1"/>
  <c r="AI76" i="14"/>
  <c r="AJ76" i="14" s="1"/>
  <c r="AK197" i="14"/>
  <c r="AI211" i="14"/>
  <c r="AJ211" i="14" s="1"/>
  <c r="AI142" i="14"/>
  <c r="AJ142" i="14" s="1"/>
  <c r="AK360" i="14"/>
  <c r="AK386" i="14"/>
  <c r="AK387" i="14"/>
  <c r="AI101" i="14"/>
  <c r="AJ101" i="14" s="1"/>
  <c r="AI229" i="14"/>
  <c r="AJ229" i="14" s="1"/>
  <c r="AK364" i="14"/>
  <c r="AK114" i="14"/>
  <c r="AI340" i="14"/>
  <c r="AJ340" i="14" s="1"/>
  <c r="AK252" i="14"/>
  <c r="AK329" i="14"/>
  <c r="AK97" i="14"/>
  <c r="AI81" i="14"/>
  <c r="AJ81" i="14" s="1"/>
  <c r="AI222" i="14"/>
  <c r="AJ222" i="14" s="1"/>
  <c r="AI122" i="14"/>
  <c r="AJ122" i="14" s="1"/>
  <c r="AI110" i="14"/>
  <c r="AJ110" i="14" s="1"/>
  <c r="AK333" i="14"/>
  <c r="AI136" i="14"/>
  <c r="AJ136" i="14" s="1"/>
  <c r="AI366" i="14"/>
  <c r="AJ366" i="14" s="1"/>
  <c r="AI118" i="14"/>
  <c r="AJ118" i="14" s="1"/>
  <c r="AK48" i="14"/>
  <c r="AK341" i="14"/>
  <c r="AI238" i="14"/>
  <c r="AJ238" i="14" s="1"/>
  <c r="AI187" i="14"/>
  <c r="AJ187" i="14" s="1"/>
  <c r="AI376" i="14"/>
  <c r="AJ376" i="14" s="1"/>
  <c r="AK221" i="14"/>
  <c r="AI74" i="14"/>
  <c r="AJ74" i="14" s="1"/>
  <c r="AK128" i="14"/>
  <c r="AK148" i="14"/>
  <c r="AK56" i="14"/>
  <c r="AI266" i="14"/>
  <c r="AJ266" i="14" s="1"/>
  <c r="AI111" i="14"/>
  <c r="AJ111" i="14" s="1"/>
  <c r="AI106" i="14"/>
  <c r="AJ106" i="14" s="1"/>
  <c r="AK71" i="14"/>
  <c r="AI327" i="14"/>
  <c r="AJ327" i="14" s="1"/>
  <c r="AI277" i="14"/>
  <c r="AJ277" i="14" s="1"/>
  <c r="AK373" i="14"/>
  <c r="AK318" i="14"/>
  <c r="AI315" i="14"/>
  <c r="AJ315" i="14" s="1"/>
  <c r="AI45" i="14"/>
  <c r="AJ45" i="14" s="1"/>
  <c r="AK248" i="14"/>
  <c r="AI112" i="14"/>
  <c r="AJ112" i="14" s="1"/>
  <c r="AI126" i="14"/>
  <c r="AJ126" i="14" s="1"/>
  <c r="AI197" i="14"/>
  <c r="AJ197" i="14" s="1"/>
  <c r="AK398" i="14"/>
  <c r="AK299" i="14"/>
  <c r="AK269" i="14"/>
  <c r="AI52" i="14"/>
  <c r="AJ52" i="14" s="1"/>
  <c r="AI84" i="14"/>
  <c r="AJ84" i="14" s="1"/>
  <c r="AI179" i="14"/>
  <c r="AJ179" i="14" s="1"/>
  <c r="AK351" i="14"/>
  <c r="AI233" i="14"/>
  <c r="AJ233" i="14" s="1"/>
  <c r="AK100" i="14"/>
  <c r="AI115" i="14"/>
  <c r="AJ115" i="14" s="1"/>
  <c r="AI390" i="14"/>
  <c r="AJ390" i="14" s="1"/>
  <c r="AI292" i="14"/>
  <c r="AJ292" i="14" s="1"/>
  <c r="AK370" i="14"/>
  <c r="AI368" i="14"/>
  <c r="AJ368" i="14" s="1"/>
  <c r="AK160" i="14"/>
  <c r="AI85" i="14"/>
  <c r="AJ85" i="14" s="1"/>
  <c r="AI276" i="14"/>
  <c r="AJ276" i="14" s="1"/>
  <c r="AK233" i="14"/>
  <c r="AK339" i="14"/>
  <c r="AI224" i="14"/>
  <c r="AJ224" i="14" s="1"/>
  <c r="AI146" i="14"/>
  <c r="AJ146" i="14" s="1"/>
  <c r="AI177" i="14"/>
  <c r="AJ177" i="14" s="1"/>
  <c r="AI321" i="14"/>
  <c r="AJ321" i="14" s="1"/>
  <c r="AI114" i="14"/>
  <c r="AJ114" i="14" s="1"/>
  <c r="AI320" i="14"/>
  <c r="AJ320" i="14" s="1"/>
  <c r="AK178" i="14"/>
  <c r="AK131" i="14"/>
  <c r="AK86" i="14"/>
  <c r="AI310" i="14"/>
  <c r="AJ310" i="14" s="1"/>
  <c r="AC117" i="14"/>
  <c r="AA287" i="14"/>
  <c r="AB287" i="14" s="1"/>
  <c r="AC238" i="14"/>
  <c r="AA397" i="14"/>
  <c r="AB397" i="14" s="1"/>
  <c r="AA162" i="14"/>
  <c r="AB162" i="14" s="1"/>
  <c r="AA382" i="14"/>
  <c r="AB382" i="14" s="1"/>
  <c r="AA339" i="14"/>
  <c r="AB339" i="14" s="1"/>
  <c r="AA111" i="14"/>
  <c r="AB111" i="14" s="1"/>
  <c r="AA41" i="14"/>
  <c r="AB41" i="14" s="1"/>
  <c r="AA306" i="14"/>
  <c r="AB306" i="14" s="1"/>
  <c r="AC337" i="14"/>
  <c r="AA263" i="14"/>
  <c r="AB263" i="14" s="1"/>
  <c r="AC87" i="14"/>
  <c r="AC85" i="14"/>
  <c r="AC258" i="14"/>
  <c r="AA319" i="14"/>
  <c r="AB319" i="14" s="1"/>
  <c r="AC333" i="14"/>
  <c r="AC192" i="14"/>
  <c r="AC116" i="14"/>
  <c r="AA365" i="14"/>
  <c r="AB365" i="14" s="1"/>
  <c r="AC121" i="14"/>
  <c r="AA226" i="14"/>
  <c r="AB226" i="14" s="1"/>
  <c r="AA258" i="14"/>
  <c r="AB258" i="14" s="1"/>
  <c r="AC395" i="14"/>
  <c r="AC208" i="14"/>
  <c r="AC181" i="14"/>
  <c r="AA289" i="14"/>
  <c r="AB289" i="14" s="1"/>
  <c r="AA224" i="14"/>
  <c r="AB224" i="14" s="1"/>
  <c r="AC173" i="14"/>
  <c r="AC371" i="14"/>
  <c r="AA371" i="14"/>
  <c r="AB371" i="14" s="1"/>
  <c r="AA146" i="14"/>
  <c r="AB146" i="14" s="1"/>
  <c r="AA273" i="14"/>
  <c r="AB273" i="14" s="1"/>
  <c r="AA79" i="14"/>
  <c r="AB79" i="14" s="1"/>
  <c r="AC91" i="14"/>
  <c r="AA63" i="14"/>
  <c r="AB63" i="14" s="1"/>
  <c r="AC377" i="14"/>
  <c r="AC334" i="14"/>
  <c r="AC259" i="14"/>
  <c r="AA246" i="14"/>
  <c r="AB246" i="14" s="1"/>
  <c r="AA347" i="14"/>
  <c r="AB347" i="14" s="1"/>
  <c r="AA172" i="14"/>
  <c r="AB172" i="14" s="1"/>
  <c r="AC305" i="14"/>
  <c r="AA113" i="14"/>
  <c r="AB113" i="14" s="1"/>
  <c r="AA156" i="14"/>
  <c r="AB156" i="14" s="1"/>
  <c r="AA75" i="14"/>
  <c r="AB75" i="14" s="1"/>
  <c r="AA316" i="14"/>
  <c r="AB316" i="14" s="1"/>
  <c r="AA190" i="14"/>
  <c r="AB190" i="14" s="1"/>
  <c r="AA215" i="14"/>
  <c r="AB215" i="14" s="1"/>
  <c r="AC290" i="14"/>
  <c r="AC381" i="14"/>
  <c r="AA109" i="14"/>
  <c r="AB109" i="14" s="1"/>
  <c r="AC221" i="14"/>
  <c r="AA187" i="14"/>
  <c r="AB187" i="14" s="1"/>
  <c r="AC335" i="14"/>
  <c r="AC229" i="14"/>
  <c r="AA125" i="14"/>
  <c r="AB125" i="14" s="1"/>
  <c r="AC322" i="14"/>
  <c r="AA278" i="14"/>
  <c r="AB278" i="14" s="1"/>
  <c r="AA218" i="14"/>
  <c r="AB218" i="14" s="1"/>
  <c r="AA235" i="14"/>
  <c r="AB235" i="14" s="1"/>
  <c r="AA191" i="14"/>
  <c r="AB191" i="14" s="1"/>
  <c r="AA188" i="14"/>
  <c r="AB188" i="14" s="1"/>
  <c r="AA385" i="14"/>
  <c r="AB385" i="14" s="1"/>
  <c r="AC195" i="14"/>
  <c r="AA92" i="14"/>
  <c r="AB92" i="14" s="1"/>
  <c r="AC266" i="14"/>
  <c r="AC213" i="14"/>
  <c r="AC241" i="14"/>
  <c r="AA236" i="14"/>
  <c r="AB236" i="14" s="1"/>
  <c r="AA318" i="14"/>
  <c r="AB318" i="14" s="1"/>
  <c r="AA80" i="14"/>
  <c r="AB80" i="14" s="1"/>
  <c r="AC347" i="14"/>
  <c r="AA59" i="14"/>
  <c r="AB59" i="14" s="1"/>
  <c r="AA317" i="14"/>
  <c r="AB317" i="14" s="1"/>
  <c r="AC326" i="14"/>
  <c r="AA292" i="14"/>
  <c r="AB292" i="14" s="1"/>
  <c r="AA398" i="14"/>
  <c r="AB398" i="14" s="1"/>
  <c r="AC60" i="14"/>
  <c r="AA42" i="14"/>
  <c r="AB42" i="14" s="1"/>
  <c r="AC374" i="14"/>
  <c r="AC194" i="14"/>
  <c r="AA368" i="14"/>
  <c r="AB368" i="14" s="1"/>
  <c r="AA399" i="14"/>
  <c r="AB399" i="14" s="1"/>
  <c r="AC340" i="14"/>
  <c r="AA221" i="14"/>
  <c r="AB221" i="14" s="1"/>
  <c r="AA326" i="14"/>
  <c r="AB326" i="14" s="1"/>
  <c r="AC202" i="14"/>
  <c r="AC125" i="14"/>
  <c r="AA103" i="14"/>
  <c r="AB103" i="14" s="1"/>
  <c r="AA185" i="14"/>
  <c r="AB185" i="14" s="1"/>
  <c r="AC100" i="14"/>
  <c r="AC274" i="14"/>
  <c r="AC223" i="14"/>
  <c r="AC298" i="14"/>
  <c r="AC295" i="14"/>
  <c r="AA311" i="14"/>
  <c r="AB311" i="14" s="1"/>
  <c r="AC198" i="14"/>
  <c r="AC135" i="14"/>
  <c r="AC204" i="14"/>
  <c r="AC88" i="14"/>
  <c r="AA61" i="14"/>
  <c r="AB61" i="14" s="1"/>
  <c r="AA130" i="14"/>
  <c r="AB130" i="14" s="1"/>
  <c r="AA124" i="14"/>
  <c r="AB124" i="14" s="1"/>
  <c r="AC317" i="14"/>
  <c r="AC82" i="14"/>
  <c r="AC182" i="14"/>
  <c r="AA53" i="14"/>
  <c r="AB53" i="14" s="1"/>
  <c r="AC145" i="14"/>
  <c r="AA62" i="14"/>
  <c r="AB62" i="14" s="1"/>
  <c r="AA72" i="14"/>
  <c r="AB72" i="14" s="1"/>
  <c r="AC165" i="14"/>
  <c r="AC167" i="14"/>
  <c r="AC283" i="14"/>
  <c r="AC164" i="14"/>
  <c r="AC354" i="14"/>
  <c r="AA83" i="14"/>
  <c r="AB83" i="14" s="1"/>
  <c r="AA346" i="14"/>
  <c r="AB346" i="14" s="1"/>
  <c r="AC92" i="14"/>
  <c r="AA214" i="14"/>
  <c r="AB214" i="14" s="1"/>
  <c r="AA294" i="14"/>
  <c r="AB294" i="14" s="1"/>
  <c r="AA372" i="14"/>
  <c r="AB372" i="14" s="1"/>
  <c r="AC188" i="14"/>
  <c r="AC114" i="14"/>
  <c r="AC380" i="14"/>
  <c r="AC59" i="14"/>
  <c r="AA227" i="14"/>
  <c r="AB227" i="14" s="1"/>
  <c r="AC109" i="14"/>
  <c r="AA384" i="14"/>
  <c r="AB384" i="14" s="1"/>
  <c r="AC54" i="14"/>
  <c r="AC286" i="14"/>
  <c r="AC279" i="14"/>
  <c r="AA254" i="14"/>
  <c r="AB254" i="14" s="1"/>
  <c r="AC267" i="14"/>
  <c r="AA293" i="14"/>
  <c r="AB293" i="14" s="1"/>
  <c r="AC96" i="14"/>
  <c r="AA360" i="14"/>
  <c r="AB360" i="14" s="1"/>
  <c r="AC343" i="14"/>
  <c r="AA257" i="14"/>
  <c r="AB257" i="14" s="1"/>
  <c r="AA381" i="14"/>
  <c r="AB381" i="14" s="1"/>
  <c r="AB382" i="23"/>
  <c r="AB367" i="23"/>
  <c r="AB76" i="23"/>
  <c r="Z45" i="23"/>
  <c r="AA45" i="23" s="1"/>
  <c r="Z334" i="23"/>
  <c r="AA334" i="23" s="1"/>
  <c r="Z100" i="23"/>
  <c r="AA100" i="23" s="1"/>
  <c r="AB146" i="23"/>
  <c r="AB63" i="23"/>
  <c r="AB90" i="23"/>
  <c r="Z360" i="23"/>
  <c r="AA360" i="23" s="1"/>
  <c r="AB383" i="23"/>
  <c r="Z217" i="23"/>
  <c r="AA217" i="23" s="1"/>
  <c r="AB292" i="23"/>
  <c r="AB205" i="23"/>
  <c r="AB185" i="23"/>
  <c r="Z131" i="23"/>
  <c r="AA131" i="23" s="1"/>
  <c r="AB384" i="23"/>
  <c r="Z150" i="23"/>
  <c r="AA150" i="23" s="1"/>
  <c r="Z61" i="23"/>
  <c r="AA61" i="23" s="1"/>
  <c r="Z287" i="23"/>
  <c r="AA287" i="23" s="1"/>
  <c r="Z213" i="23"/>
  <c r="AA213" i="23" s="1"/>
  <c r="AB57" i="23"/>
  <c r="AB355" i="23"/>
  <c r="AB268" i="23"/>
  <c r="AB386" i="23"/>
  <c r="Z350" i="23"/>
  <c r="AA350" i="23" s="1"/>
  <c r="AB189" i="23"/>
  <c r="Z40" i="23"/>
  <c r="AA40" i="23" s="1"/>
  <c r="AB349" i="23"/>
  <c r="Z183" i="23"/>
  <c r="AA183" i="23" s="1"/>
  <c r="Z186" i="23"/>
  <c r="AA186" i="23" s="1"/>
  <c r="Z280" i="23"/>
  <c r="AA280" i="23" s="1"/>
  <c r="AB95" i="23"/>
  <c r="AB280" i="23"/>
  <c r="AB152" i="23"/>
  <c r="AB328" i="23"/>
  <c r="Z308" i="23"/>
  <c r="AA308" i="23" s="1"/>
  <c r="Z145" i="23"/>
  <c r="AA145" i="23" s="1"/>
  <c r="Z55" i="23"/>
  <c r="AA55" i="23" s="1"/>
  <c r="AB365" i="23"/>
  <c r="Z368" i="23"/>
  <c r="AA368" i="23" s="1"/>
  <c r="Z299" i="23"/>
  <c r="AA299" i="23" s="1"/>
  <c r="AB74" i="23"/>
  <c r="Z117" i="23"/>
  <c r="AA117" i="23" s="1"/>
  <c r="AB78" i="23"/>
  <c r="AB104" i="23"/>
  <c r="Z102" i="23"/>
  <c r="AA102" i="23" s="1"/>
  <c r="Z395" i="23"/>
  <c r="AA395" i="23" s="1"/>
  <c r="AB244" i="23"/>
  <c r="Z257" i="23"/>
  <c r="AA257" i="23" s="1"/>
  <c r="Z386" i="23"/>
  <c r="AA386" i="23" s="1"/>
  <c r="AB400" i="23"/>
  <c r="Z312" i="23"/>
  <c r="AA312" i="23" s="1"/>
  <c r="AB141" i="23"/>
  <c r="Z90" i="23"/>
  <c r="AA90" i="23" s="1"/>
  <c r="AB333" i="23"/>
  <c r="Z276" i="23"/>
  <c r="AA276" i="23" s="1"/>
  <c r="Z303" i="23"/>
  <c r="AA303" i="23" s="1"/>
  <c r="AB89" i="23"/>
  <c r="AB331" i="23"/>
  <c r="Z391" i="23"/>
  <c r="AA391" i="23" s="1"/>
  <c r="Z47" i="23"/>
  <c r="AA47" i="23" s="1"/>
  <c r="AB61" i="23"/>
  <c r="Z149" i="23"/>
  <c r="AA149" i="23" s="1"/>
  <c r="Z70" i="23"/>
  <c r="AA70" i="23" s="1"/>
  <c r="AB364" i="23"/>
  <c r="Z71" i="23"/>
  <c r="AA71" i="23" s="1"/>
  <c r="Z363" i="23"/>
  <c r="AA363" i="23" s="1"/>
  <c r="AB210" i="23"/>
  <c r="AB267" i="23"/>
  <c r="AB378" i="23"/>
  <c r="Z347" i="23"/>
  <c r="AA347" i="23" s="1"/>
  <c r="AB118" i="23"/>
  <c r="AB60" i="23"/>
  <c r="Z245" i="23"/>
  <c r="AA245" i="23" s="1"/>
  <c r="Z314" i="23"/>
  <c r="AA314" i="23" s="1"/>
  <c r="Z309" i="23"/>
  <c r="AA309" i="23" s="1"/>
  <c r="Z198" i="23"/>
  <c r="AA198" i="23" s="1"/>
  <c r="Z221" i="23"/>
  <c r="AA221" i="23" s="1"/>
  <c r="AB393" i="23"/>
  <c r="Z76" i="23"/>
  <c r="AA76" i="23" s="1"/>
  <c r="Z381" i="23"/>
  <c r="AA381" i="23" s="1"/>
  <c r="Z151" i="23"/>
  <c r="AA151" i="23" s="1"/>
  <c r="Z67" i="23"/>
  <c r="AA67" i="23" s="1"/>
  <c r="AB341" i="23"/>
  <c r="Z349" i="23"/>
  <c r="AA349" i="23" s="1"/>
  <c r="AB334" i="23"/>
  <c r="AB214" i="23"/>
  <c r="Z342" i="23"/>
  <c r="AA342" i="23" s="1"/>
  <c r="AB174" i="23"/>
  <c r="AB345" i="23"/>
  <c r="AB165" i="23"/>
  <c r="Z354" i="23"/>
  <c r="AA354" i="23" s="1"/>
  <c r="AB163" i="23"/>
  <c r="AB111" i="23"/>
  <c r="AB298" i="23"/>
  <c r="AB261" i="23"/>
  <c r="AB181" i="23"/>
  <c r="AB262" i="23"/>
  <c r="Z248" i="23"/>
  <c r="AA248" i="23" s="1"/>
  <c r="AB373" i="23"/>
  <c r="Z116" i="23"/>
  <c r="AA116" i="23" s="1"/>
  <c r="Z285" i="23"/>
  <c r="AA285" i="23" s="1"/>
  <c r="Z244" i="23"/>
  <c r="AA244" i="23" s="1"/>
  <c r="AB330" i="23"/>
  <c r="AB239" i="23"/>
  <c r="AB311" i="23"/>
  <c r="Z269" i="23"/>
  <c r="AA269" i="23" s="1"/>
  <c r="AB159" i="23"/>
  <c r="AB392" i="23"/>
  <c r="AB241" i="23"/>
  <c r="Z191" i="23"/>
  <c r="AA191" i="23" s="1"/>
  <c r="Z261" i="23"/>
  <c r="AA261" i="23" s="1"/>
  <c r="AB184" i="23"/>
  <c r="AB232" i="23"/>
  <c r="AB202" i="23"/>
  <c r="AB258" i="23"/>
  <c r="Z366" i="23"/>
  <c r="AA366" i="23" s="1"/>
  <c r="AB332" i="23"/>
  <c r="Z323" i="23"/>
  <c r="AA323" i="23" s="1"/>
  <c r="AB350" i="23"/>
  <c r="AB194" i="23"/>
  <c r="Z205" i="23"/>
  <c r="AA205" i="23" s="1"/>
  <c r="Z343" i="23"/>
  <c r="AA343" i="23" s="1"/>
  <c r="AB284" i="23"/>
  <c r="Z121" i="23"/>
  <c r="AA121" i="23" s="1"/>
  <c r="AB42" i="23"/>
  <c r="Z139" i="23"/>
  <c r="AA139" i="23" s="1"/>
  <c r="Z53" i="23"/>
  <c r="AA53" i="23" s="1"/>
  <c r="AB136" i="23"/>
  <c r="AB191" i="23"/>
  <c r="Z63" i="23"/>
  <c r="AA63" i="23" s="1"/>
  <c r="Z330" i="23"/>
  <c r="AA330" i="23" s="1"/>
  <c r="AB299" i="23"/>
  <c r="AB346" i="23"/>
  <c r="Z237" i="23"/>
  <c r="AA237" i="23" s="1"/>
  <c r="Z301" i="23"/>
  <c r="AA301" i="23" s="1"/>
  <c r="AB97" i="23"/>
  <c r="Z211" i="23"/>
  <c r="AA211" i="23" s="1"/>
  <c r="Z98" i="23"/>
  <c r="AA98" i="23" s="1"/>
  <c r="AB318" i="23"/>
  <c r="AB160" i="23"/>
  <c r="Z144" i="23"/>
  <c r="AA144" i="23" s="1"/>
  <c r="Z377" i="23"/>
  <c r="AA377" i="23" s="1"/>
  <c r="Z325" i="23"/>
  <c r="AA325" i="23" s="1"/>
  <c r="Z246" i="23"/>
  <c r="AA246" i="23" s="1"/>
  <c r="AB66" i="23"/>
  <c r="Z125" i="23"/>
  <c r="AA125" i="23" s="1"/>
  <c r="AB82" i="23"/>
  <c r="AB327" i="23"/>
  <c r="AB122" i="23"/>
  <c r="Y32" i="23"/>
  <c r="Z298" i="23"/>
  <c r="AA298" i="23" s="1"/>
  <c r="Z168" i="23"/>
  <c r="AA168" i="23" s="1"/>
  <c r="AB224" i="23"/>
  <c r="Z374" i="23"/>
  <c r="AA374" i="23" s="1"/>
  <c r="AB93" i="23"/>
  <c r="AB84" i="23"/>
  <c r="AB148" i="23"/>
  <c r="AB395" i="23"/>
  <c r="Z174" i="23"/>
  <c r="AA174" i="23" s="1"/>
  <c r="AB245" i="23"/>
  <c r="Z137" i="23"/>
  <c r="AA137" i="23" s="1"/>
  <c r="Z227" i="23"/>
  <c r="AA227" i="23" s="1"/>
  <c r="Z118" i="23"/>
  <c r="AA118" i="23" s="1"/>
  <c r="Z235" i="23"/>
  <c r="AA235" i="23" s="1"/>
  <c r="AB40" i="23"/>
  <c r="Z302" i="23"/>
  <c r="AA302" i="23" s="1"/>
  <c r="Z315" i="23"/>
  <c r="AA315" i="23" s="1"/>
  <c r="Z104" i="23"/>
  <c r="AA104" i="23" s="1"/>
  <c r="Z119" i="23"/>
  <c r="AA119" i="23" s="1"/>
  <c r="Z82" i="23"/>
  <c r="AA82" i="23" s="1"/>
  <c r="AB73" i="23"/>
  <c r="Z59" i="23"/>
  <c r="AA59" i="23" s="1"/>
  <c r="Z268" i="23"/>
  <c r="AA268" i="23" s="1"/>
  <c r="Z359" i="23"/>
  <c r="AA359" i="23" s="1"/>
  <c r="AB98" i="23"/>
  <c r="AB114" i="23"/>
  <c r="Z159" i="23"/>
  <c r="AA159" i="23" s="1"/>
  <c r="AB319" i="23"/>
  <c r="Z286" i="23"/>
  <c r="AA286" i="23" s="1"/>
  <c r="Z271" i="23"/>
  <c r="AA271" i="23" s="1"/>
  <c r="Z348" i="23"/>
  <c r="AA348" i="23" s="1"/>
  <c r="Z392" i="23"/>
  <c r="AA392" i="23" s="1"/>
  <c r="AB151" i="23"/>
  <c r="AB49" i="23"/>
  <c r="AB124" i="23"/>
  <c r="AB323" i="23"/>
  <c r="Z231" i="23"/>
  <c r="AA231" i="23" s="1"/>
  <c r="Z44" i="23"/>
  <c r="AA44" i="23" s="1"/>
  <c r="Z49" i="23"/>
  <c r="AA49" i="23" s="1"/>
  <c r="AB353" i="23"/>
  <c r="AB116" i="23"/>
  <c r="Z156" i="23"/>
  <c r="AA156" i="23" s="1"/>
  <c r="Z88" i="23"/>
  <c r="AA88" i="23" s="1"/>
  <c r="Z270" i="23"/>
  <c r="AA270" i="23" s="1"/>
  <c r="AB242" i="23"/>
  <c r="AB108" i="23"/>
  <c r="AB399" i="23"/>
  <c r="AB144" i="23"/>
  <c r="Z291" i="23"/>
  <c r="AA291" i="23" s="1"/>
  <c r="Z293" i="23"/>
  <c r="AA293" i="23" s="1"/>
  <c r="AB192" i="23"/>
  <c r="AB275" i="23"/>
  <c r="Z51" i="23"/>
  <c r="AA51" i="23" s="1"/>
  <c r="AB363" i="23"/>
  <c r="Z284" i="23"/>
  <c r="AA284" i="23" s="1"/>
  <c r="AB209" i="23"/>
  <c r="Z180" i="23"/>
  <c r="AA180" i="23" s="1"/>
  <c r="AB279" i="23"/>
  <c r="Z93" i="23"/>
  <c r="AA93" i="23" s="1"/>
  <c r="Z179" i="23"/>
  <c r="AA179" i="23" s="1"/>
  <c r="Z201" i="23"/>
  <c r="AA201" i="23" s="1"/>
  <c r="AB92" i="23"/>
  <c r="AB270" i="23"/>
  <c r="Z255" i="23"/>
  <c r="AA255" i="23" s="1"/>
  <c r="Z272" i="23"/>
  <c r="AA272" i="23" s="1"/>
  <c r="AB374" i="23"/>
  <c r="AB229" i="23"/>
  <c r="AB256" i="23"/>
  <c r="AB65" i="23"/>
  <c r="AB43" i="23"/>
  <c r="Z148" i="23"/>
  <c r="AA148" i="23" s="1"/>
  <c r="AB243" i="23"/>
  <c r="AB85" i="23"/>
  <c r="AB329" i="23"/>
  <c r="Z252" i="23"/>
  <c r="AA252" i="23" s="1"/>
  <c r="AB156" i="23"/>
  <c r="Z376" i="23"/>
  <c r="AA376" i="23" s="1"/>
  <c r="AB290" i="23"/>
  <c r="Z190" i="23"/>
  <c r="AA190" i="23" s="1"/>
  <c r="Z173" i="23"/>
  <c r="AA173" i="23" s="1"/>
  <c r="Z87" i="23"/>
  <c r="AA87" i="23" s="1"/>
  <c r="AB344" i="23"/>
  <c r="AB238" i="23"/>
  <c r="Z223" i="23"/>
  <c r="AA223" i="23" s="1"/>
  <c r="Z288" i="23"/>
  <c r="AA288" i="23" s="1"/>
  <c r="Z337" i="23"/>
  <c r="AA337" i="23" s="1"/>
  <c r="AB121" i="23"/>
  <c r="Z258" i="23"/>
  <c r="AA258" i="23" s="1"/>
  <c r="AB125" i="23"/>
  <c r="AB361" i="23"/>
  <c r="AB102" i="23"/>
  <c r="AB230" i="23"/>
  <c r="AB273" i="23"/>
  <c r="AB77" i="23"/>
  <c r="Z54" i="23"/>
  <c r="AA54" i="23" s="1"/>
  <c r="Z172" i="23"/>
  <c r="AA172" i="23" s="1"/>
  <c r="AB314" i="23"/>
  <c r="AB51" i="23"/>
  <c r="Z361" i="23"/>
  <c r="AA361" i="23" s="1"/>
  <c r="AB182" i="23"/>
  <c r="AB154" i="23"/>
  <c r="AB72" i="23"/>
  <c r="AB52" i="23"/>
  <c r="Z234" i="23"/>
  <c r="AA234" i="23" s="1"/>
  <c r="Z167" i="23"/>
  <c r="AA167" i="23" s="1"/>
  <c r="AB140" i="23"/>
  <c r="Z274" i="23"/>
  <c r="AA274" i="23" s="1"/>
  <c r="AB302" i="23"/>
  <c r="Z66" i="23"/>
  <c r="AA66" i="23" s="1"/>
  <c r="AB147" i="23"/>
  <c r="Z52" i="23"/>
  <c r="AA52" i="23" s="1"/>
  <c r="AB149" i="23"/>
  <c r="AB286" i="23"/>
  <c r="Z78" i="23"/>
  <c r="AA78" i="23" s="1"/>
  <c r="Z375" i="23"/>
  <c r="AA375" i="23" s="1"/>
  <c r="Z373" i="23"/>
  <c r="AA373" i="23" s="1"/>
  <c r="Z295" i="23"/>
  <c r="AA295" i="23" s="1"/>
  <c r="AB199" i="23"/>
  <c r="AB44" i="23"/>
  <c r="Z94" i="23"/>
  <c r="AA94" i="23" s="1"/>
  <c r="Z175" i="23"/>
  <c r="AA175" i="23" s="1"/>
  <c r="AB310" i="23"/>
  <c r="AB338" i="23"/>
  <c r="Z222" i="23"/>
  <c r="AA222" i="23" s="1"/>
  <c r="AB234" i="23"/>
  <c r="AB305" i="23"/>
  <c r="AB312" i="23"/>
  <c r="AB231" i="23"/>
  <c r="Z243" i="23"/>
  <c r="AA243" i="23" s="1"/>
  <c r="AB187" i="23"/>
  <c r="AB128" i="23"/>
  <c r="AB142" i="23"/>
  <c r="Z206" i="23"/>
  <c r="AA206" i="23" s="1"/>
  <c r="AB253" i="23"/>
  <c r="Z176" i="23"/>
  <c r="AA176" i="23" s="1"/>
  <c r="Z203" i="23"/>
  <c r="AA203" i="23" s="1"/>
  <c r="AB200" i="23"/>
  <c r="AB326" i="23"/>
  <c r="Z143" i="23"/>
  <c r="AA143" i="23" s="1"/>
  <c r="Z75" i="23"/>
  <c r="AA75" i="23" s="1"/>
  <c r="AB99" i="23"/>
  <c r="Z105" i="23"/>
  <c r="AA105" i="23" s="1"/>
  <c r="Z46" i="23"/>
  <c r="AA46" i="23" s="1"/>
  <c r="AB337" i="23"/>
  <c r="AB303" i="23"/>
  <c r="Z356" i="23"/>
  <c r="AA356" i="23" s="1"/>
  <c r="AB297" i="23"/>
  <c r="AB155" i="23"/>
  <c r="Z371" i="23"/>
  <c r="AA371" i="23" s="1"/>
  <c r="AB274" i="23"/>
  <c r="Z178" i="23"/>
  <c r="AA178" i="23" s="1"/>
  <c r="AB70" i="23"/>
  <c r="Z65" i="23"/>
  <c r="AA65" i="23" s="1"/>
  <c r="AB164" i="23"/>
  <c r="Z135" i="23"/>
  <c r="AA135" i="23" s="1"/>
  <c r="Z140" i="23"/>
  <c r="AA140" i="23" s="1"/>
  <c r="Z193" i="23"/>
  <c r="AA193" i="23" s="1"/>
  <c r="AB294" i="23"/>
  <c r="Z267" i="23"/>
  <c r="AA267" i="23" s="1"/>
  <c r="AB320" i="23"/>
  <c r="AB211" i="23"/>
  <c r="Z97" i="23"/>
  <c r="AA97" i="23" s="1"/>
  <c r="Z79" i="23"/>
  <c r="AA79" i="23" s="1"/>
  <c r="Z214" i="23"/>
  <c r="AA214" i="23" s="1"/>
  <c r="Z339" i="23"/>
  <c r="AA339" i="23" s="1"/>
  <c r="Z324" i="23"/>
  <c r="AA324" i="23" s="1"/>
  <c r="AB265" i="23"/>
  <c r="AB143" i="23"/>
  <c r="AB381" i="23"/>
  <c r="AB304" i="23"/>
  <c r="Z247" i="23"/>
  <c r="AA247" i="23" s="1"/>
  <c r="Z311" i="23"/>
  <c r="AA311" i="23" s="1"/>
  <c r="AB217" i="23"/>
  <c r="Z239" i="23"/>
  <c r="AA239" i="23" s="1"/>
  <c r="Z316" i="23"/>
  <c r="AA316" i="23" s="1"/>
  <c r="Z344" i="23"/>
  <c r="AA344" i="23" s="1"/>
  <c r="AB50" i="23"/>
  <c r="AB71" i="23"/>
  <c r="AB135" i="23"/>
  <c r="AB263" i="23"/>
  <c r="Z73" i="23"/>
  <c r="AA73" i="23" s="1"/>
  <c r="Z136" i="23"/>
  <c r="AA136" i="23" s="1"/>
  <c r="AB278" i="23"/>
  <c r="AB287" i="23"/>
  <c r="Z89" i="23"/>
  <c r="AA89" i="23" s="1"/>
  <c r="AB343" i="23"/>
  <c r="Z236" i="23"/>
  <c r="AA236" i="23" s="1"/>
  <c r="Z62" i="23"/>
  <c r="AA62" i="23" s="1"/>
  <c r="Z187" i="23"/>
  <c r="AA187" i="23" s="1"/>
  <c r="AB150" i="23"/>
  <c r="AB276" i="23"/>
  <c r="AB396" i="23"/>
  <c r="Z208" i="23"/>
  <c r="AA208" i="23" s="1"/>
  <c r="Z160" i="23"/>
  <c r="AA160" i="23" s="1"/>
  <c r="Z74" i="23"/>
  <c r="AA74" i="23" s="1"/>
  <c r="Z372" i="23"/>
  <c r="AA372" i="23" s="1"/>
  <c r="AB183" i="23"/>
  <c r="Z336" i="23"/>
  <c r="AA336" i="23" s="1"/>
  <c r="AB107" i="23"/>
  <c r="AB375" i="23"/>
  <c r="Z364" i="23"/>
  <c r="AA364" i="23" s="1"/>
  <c r="AB380" i="23"/>
  <c r="Z218" i="23"/>
  <c r="AA218" i="23" s="1"/>
  <c r="Z69" i="23"/>
  <c r="AA69" i="23" s="1"/>
  <c r="Z322" i="23"/>
  <c r="AA322" i="23" s="1"/>
  <c r="Z275" i="23"/>
  <c r="AA275" i="23" s="1"/>
  <c r="AB272" i="23"/>
  <c r="AB126" i="23"/>
  <c r="Z355" i="23"/>
  <c r="AA355" i="23" s="1"/>
  <c r="AB201" i="23"/>
  <c r="AB377" i="23"/>
  <c r="AB223" i="23"/>
  <c r="AB196" i="23"/>
  <c r="Z328" i="23"/>
  <c r="AA328" i="23" s="1"/>
  <c r="Z129" i="23"/>
  <c r="AA129" i="23" s="1"/>
  <c r="Z107" i="23"/>
  <c r="AA107" i="23" s="1"/>
  <c r="Z228" i="23"/>
  <c r="AA228" i="23" s="1"/>
  <c r="AB110" i="23"/>
  <c r="Z199" i="23"/>
  <c r="AA199" i="23" s="1"/>
  <c r="AB179" i="23"/>
  <c r="AB247" i="23"/>
  <c r="Z277" i="23"/>
  <c r="AA277" i="23" s="1"/>
  <c r="AB162" i="23"/>
  <c r="AB94" i="23"/>
  <c r="AB221" i="23"/>
  <c r="Z77" i="23"/>
  <c r="AA77" i="23" s="1"/>
  <c r="Z194" i="23"/>
  <c r="AA194" i="23" s="1"/>
  <c r="AB379" i="23"/>
  <c r="AB208" i="23"/>
  <c r="AB173" i="23"/>
  <c r="Z340" i="23"/>
  <c r="AA340" i="23" s="1"/>
  <c r="Z384" i="23"/>
  <c r="AA384" i="23" s="1"/>
  <c r="Z177" i="23"/>
  <c r="AA177" i="23" s="1"/>
  <c r="Z393" i="23"/>
  <c r="AA393" i="23" s="1"/>
  <c r="AB176" i="23"/>
  <c r="AB198" i="23"/>
  <c r="AB168" i="23"/>
  <c r="Z99" i="23"/>
  <c r="AA99" i="23" s="1"/>
  <c r="Z108" i="23"/>
  <c r="AA108" i="23" s="1"/>
  <c r="AB157" i="23"/>
  <c r="AB376" i="23"/>
  <c r="Z297" i="23"/>
  <c r="AA297" i="23" s="1"/>
  <c r="AB288" i="23"/>
  <c r="AB178" i="23"/>
  <c r="AB190" i="23"/>
  <c r="Z115" i="23"/>
  <c r="AA115" i="23" s="1"/>
  <c r="AB113" i="23"/>
  <c r="Z379" i="23"/>
  <c r="AA379" i="23" s="1"/>
  <c r="Z86" i="23"/>
  <c r="AA86" i="23" s="1"/>
  <c r="AB357" i="23"/>
  <c r="Z153" i="23"/>
  <c r="AA153" i="23" s="1"/>
  <c r="Z388" i="23"/>
  <c r="AA388" i="23" s="1"/>
  <c r="AB259" i="23"/>
  <c r="AB264" i="23"/>
  <c r="AB348" i="23"/>
  <c r="Z262" i="23"/>
  <c r="AA262" i="23" s="1"/>
  <c r="AB166" i="23"/>
  <c r="Z238" i="23"/>
  <c r="AA238" i="23" s="1"/>
  <c r="Z154" i="23"/>
  <c r="AA154" i="23" s="1"/>
  <c r="AB249" i="23"/>
  <c r="Z321" i="23"/>
  <c r="AA321" i="23" s="1"/>
  <c r="AB188" i="23"/>
  <c r="Z147" i="23"/>
  <c r="AA147" i="23" s="1"/>
  <c r="Z290" i="23"/>
  <c r="AA290" i="23" s="1"/>
  <c r="AB398" i="23"/>
  <c r="AB134" i="23"/>
  <c r="AB195" i="23"/>
  <c r="AB79" i="23"/>
  <c r="Z254" i="23"/>
  <c r="AA254" i="23" s="1"/>
  <c r="AB213" i="23"/>
  <c r="Z380" i="23"/>
  <c r="AA380" i="23" s="1"/>
  <c r="Z162" i="23"/>
  <c r="AA162" i="23" s="1"/>
  <c r="Z109" i="23"/>
  <c r="AA109" i="23" s="1"/>
  <c r="Z158" i="23"/>
  <c r="AA158" i="23" s="1"/>
  <c r="AB366" i="23"/>
  <c r="Z225" i="23"/>
  <c r="AA225" i="23" s="1"/>
  <c r="Z152" i="23"/>
  <c r="AA152" i="23" s="1"/>
  <c r="Z50" i="23"/>
  <c r="AA50" i="23" s="1"/>
  <c r="AB228" i="23"/>
  <c r="AB293" i="23"/>
  <c r="Z91" i="23"/>
  <c r="AA91" i="23" s="1"/>
  <c r="Z283" i="23"/>
  <c r="AA283" i="23" s="1"/>
  <c r="Z43" i="23"/>
  <c r="AA43" i="23" s="1"/>
  <c r="AB388" i="23"/>
  <c r="AB321" i="23"/>
  <c r="Z81" i="23"/>
  <c r="AA81" i="23" s="1"/>
  <c r="Z215" i="23"/>
  <c r="AA215" i="23" s="1"/>
  <c r="Z207" i="23"/>
  <c r="AA207" i="23" s="1"/>
  <c r="Z329" i="23"/>
  <c r="AA329" i="23" s="1"/>
  <c r="AB117" i="23"/>
  <c r="AB391" i="23"/>
  <c r="Z331" i="23"/>
  <c r="AA331" i="23" s="1"/>
  <c r="AB171" i="23"/>
  <c r="AB306" i="23"/>
  <c r="Z307" i="23"/>
  <c r="AA307" i="23" s="1"/>
  <c r="Z209" i="23"/>
  <c r="AA209" i="23" s="1"/>
  <c r="AB283" i="23"/>
  <c r="Z230" i="23"/>
  <c r="AA230" i="23" s="1"/>
  <c r="Z169" i="23"/>
  <c r="AA169" i="23" s="1"/>
  <c r="Z106" i="23"/>
  <c r="AA106" i="23" s="1"/>
  <c r="Z128" i="23"/>
  <c r="AA128" i="23" s="1"/>
  <c r="Z142" i="23"/>
  <c r="AA142" i="23" s="1"/>
  <c r="Z389" i="23"/>
  <c r="AA389" i="23" s="1"/>
  <c r="AB237" i="23"/>
  <c r="AB206" i="23"/>
  <c r="AB120" i="23"/>
  <c r="AB317" i="23"/>
  <c r="Z256" i="23"/>
  <c r="AA256" i="23" s="1"/>
  <c r="Z282" i="23"/>
  <c r="AA282" i="23" s="1"/>
  <c r="AB394" i="23"/>
  <c r="Z333" i="23"/>
  <c r="AA333" i="23" s="1"/>
  <c r="Z155" i="23"/>
  <c r="AA155" i="23" s="1"/>
  <c r="Z259" i="23"/>
  <c r="AA259" i="23" s="1"/>
  <c r="AB271" i="23"/>
  <c r="Z202" i="23"/>
  <c r="AA202" i="23" s="1"/>
  <c r="Z365" i="23"/>
  <c r="AA365" i="23" s="1"/>
  <c r="Z58" i="23"/>
  <c r="AA58" i="23" s="1"/>
  <c r="Z101" i="23"/>
  <c r="AA101" i="23" s="1"/>
  <c r="Z250" i="23"/>
  <c r="AA250" i="23" s="1"/>
  <c r="AB335" i="23"/>
  <c r="Z263" i="23"/>
  <c r="AA263" i="23" s="1"/>
  <c r="Z141" i="23"/>
  <c r="AA141" i="23" s="1"/>
  <c r="AB129" i="23"/>
  <c r="Z124" i="23"/>
  <c r="AA124" i="23" s="1"/>
  <c r="AB212" i="23"/>
  <c r="Z310" i="23"/>
  <c r="AA310" i="23" s="1"/>
  <c r="Z57" i="23"/>
  <c r="AA57" i="23" s="1"/>
  <c r="Z304" i="23"/>
  <c r="AA304" i="23" s="1"/>
  <c r="Z367" i="23"/>
  <c r="AA367" i="23" s="1"/>
  <c r="Z181" i="23"/>
  <c r="AA181" i="23" s="1"/>
  <c r="AB289" i="23"/>
  <c r="AB227" i="23"/>
  <c r="Z383" i="23"/>
  <c r="AA383" i="23" s="1"/>
  <c r="AB170" i="23"/>
  <c r="AB216" i="23"/>
  <c r="Z42" i="23"/>
  <c r="AA42" i="23" s="1"/>
  <c r="AB390" i="23"/>
  <c r="AB132" i="23"/>
  <c r="AB260" i="23"/>
  <c r="AB53" i="23"/>
  <c r="AB88" i="23"/>
  <c r="Z92" i="23"/>
  <c r="AA92" i="23" s="1"/>
  <c r="AB233" i="23"/>
  <c r="AB296" i="23"/>
  <c r="Z64" i="23"/>
  <c r="AA64" i="23" s="1"/>
  <c r="Z184" i="23"/>
  <c r="AA184" i="23" s="1"/>
  <c r="Z134" i="23"/>
  <c r="AA134" i="23" s="1"/>
  <c r="AB64" i="23"/>
  <c r="Z130" i="23"/>
  <c r="AA130" i="23" s="1"/>
  <c r="Z394" i="23"/>
  <c r="AA394" i="23" s="1"/>
  <c r="AB316" i="23"/>
  <c r="AB371" i="23"/>
  <c r="Z398" i="23"/>
  <c r="AA398" i="23" s="1"/>
  <c r="AB285" i="23"/>
  <c r="Z60" i="23"/>
  <c r="AA60" i="23" s="1"/>
  <c r="AB250" i="23"/>
  <c r="AB222" i="23"/>
  <c r="AB127" i="23"/>
  <c r="Z341" i="23"/>
  <c r="AA341" i="23" s="1"/>
  <c r="AB69" i="23"/>
  <c r="AB56" i="23"/>
  <c r="Z39" i="23"/>
  <c r="AA39" i="23" s="1"/>
  <c r="Z200" i="23"/>
  <c r="AA200" i="23" s="1"/>
  <c r="AB385" i="23"/>
  <c r="Z195" i="23"/>
  <c r="AA195" i="23" s="1"/>
  <c r="AB75" i="23"/>
  <c r="AB186" i="23"/>
  <c r="Z68" i="23"/>
  <c r="AA68" i="23" s="1"/>
  <c r="Z399" i="23"/>
  <c r="AA399" i="23" s="1"/>
  <c r="AB139" i="23"/>
  <c r="AB48" i="23"/>
  <c r="AB115" i="23"/>
  <c r="Z166" i="23"/>
  <c r="AA166" i="23" s="1"/>
  <c r="Z327" i="23"/>
  <c r="AA327" i="23" s="1"/>
  <c r="AB236" i="23"/>
  <c r="Z382" i="23"/>
  <c r="AA382" i="23" s="1"/>
  <c r="AB397" i="23"/>
  <c r="AB137" i="23"/>
  <c r="AB313" i="23"/>
  <c r="AB100" i="23"/>
  <c r="Z242" i="23"/>
  <c r="AA242" i="23" s="1"/>
  <c r="Z204" i="23"/>
  <c r="AA204" i="23" s="1"/>
  <c r="Z294" i="23"/>
  <c r="AA294" i="23" s="1"/>
  <c r="Z266" i="23"/>
  <c r="AA266" i="23" s="1"/>
  <c r="Z289" i="23"/>
  <c r="AA289" i="23" s="1"/>
  <c r="AB226" i="23"/>
  <c r="Z196" i="23"/>
  <c r="AA196" i="23" s="1"/>
  <c r="Z273" i="23"/>
  <c r="AA273" i="23" s="1"/>
  <c r="Z292" i="23"/>
  <c r="AA292" i="23" s="1"/>
  <c r="AB351" i="23"/>
  <c r="Z387" i="23"/>
  <c r="AA387" i="23" s="1"/>
  <c r="AB83" i="23"/>
  <c r="AB307" i="23"/>
  <c r="AB356" i="23"/>
  <c r="AB362" i="23"/>
  <c r="AB161" i="23"/>
  <c r="Z83" i="23"/>
  <c r="AA83" i="23" s="1"/>
  <c r="Z253" i="23"/>
  <c r="AA253" i="23" s="1"/>
  <c r="Z279" i="23"/>
  <c r="AA279" i="23" s="1"/>
  <c r="Z318" i="23"/>
  <c r="AA318" i="23" s="1"/>
  <c r="Z226" i="23"/>
  <c r="AA226" i="23" s="1"/>
  <c r="AB251" i="23"/>
  <c r="AB153" i="23"/>
  <c r="Z281" i="23"/>
  <c r="AA281" i="23" s="1"/>
  <c r="Z232" i="23"/>
  <c r="AA232" i="23" s="1"/>
  <c r="AB175" i="23"/>
  <c r="AB215" i="23"/>
  <c r="AB177" i="23"/>
  <c r="Z249" i="23"/>
  <c r="AA249" i="23" s="1"/>
  <c r="Z138" i="23"/>
  <c r="AA138" i="23" s="1"/>
  <c r="Z265" i="23"/>
  <c r="AA265" i="23" s="1"/>
  <c r="Z133" i="23"/>
  <c r="AA133" i="23" s="1"/>
  <c r="AB86" i="23"/>
  <c r="Z396" i="23"/>
  <c r="AA396" i="23" s="1"/>
  <c r="AB347" i="23"/>
  <c r="AB47" i="23"/>
  <c r="AB369" i="23"/>
  <c r="AB101" i="23"/>
  <c r="AB257" i="23"/>
  <c r="Z351" i="23"/>
  <c r="AA351" i="23" s="1"/>
  <c r="Z103" i="23"/>
  <c r="AA103" i="23" s="1"/>
  <c r="AB359" i="23"/>
  <c r="AB354" i="23"/>
  <c r="AB360" i="23"/>
  <c r="Z48" i="23"/>
  <c r="AA48" i="23" s="1"/>
  <c r="Z146" i="23"/>
  <c r="AA146" i="23" s="1"/>
  <c r="AB103" i="23"/>
  <c r="AB123" i="23"/>
  <c r="AB277" i="23"/>
  <c r="AB309" i="23"/>
  <c r="Z305" i="23"/>
  <c r="AA305" i="23" s="1"/>
  <c r="AB133" i="23"/>
  <c r="AB291" i="23"/>
  <c r="Z126" i="23"/>
  <c r="AA126" i="23" s="1"/>
  <c r="AB254" i="23"/>
  <c r="Z161" i="23"/>
  <c r="AA161" i="23" s="1"/>
  <c r="AB193" i="23"/>
  <c r="Z397" i="23"/>
  <c r="AA397" i="23" s="1"/>
  <c r="Z278" i="23"/>
  <c r="AA278" i="23" s="1"/>
  <c r="AB387" i="23"/>
  <c r="Z370" i="23"/>
  <c r="AA370" i="23" s="1"/>
  <c r="AB105" i="23"/>
  <c r="Z114" i="23"/>
  <c r="AA114" i="23" s="1"/>
  <c r="AB145" i="23"/>
  <c r="Z111" i="23"/>
  <c r="AA111" i="23" s="1"/>
  <c r="Z80" i="23"/>
  <c r="AA80" i="23" s="1"/>
  <c r="AB252" i="23"/>
  <c r="Z123" i="23"/>
  <c r="AA123" i="23" s="1"/>
  <c r="AB91" i="23"/>
  <c r="AB96" i="23"/>
  <c r="Z306" i="23"/>
  <c r="AA306" i="23" s="1"/>
  <c r="Z163" i="23"/>
  <c r="AA163" i="23" s="1"/>
  <c r="Z188" i="23"/>
  <c r="AA188" i="23" s="1"/>
  <c r="Z390" i="23"/>
  <c r="AA390" i="23" s="1"/>
  <c r="AB282" i="23"/>
  <c r="Z338" i="23"/>
  <c r="AA338" i="23" s="1"/>
  <c r="Z157" i="23"/>
  <c r="AA157" i="23" s="1"/>
  <c r="AB266" i="23"/>
  <c r="Z132" i="23"/>
  <c r="AA132" i="23" s="1"/>
  <c r="AB106" i="23"/>
  <c r="Z260" i="23"/>
  <c r="AA260" i="23" s="1"/>
  <c r="AB197" i="23"/>
  <c r="AB339" i="23"/>
  <c r="AB59" i="23"/>
  <c r="Z358" i="23"/>
  <c r="AA358" i="23" s="1"/>
  <c r="Z95" i="23"/>
  <c r="AA95" i="23" s="1"/>
  <c r="AB112" i="23"/>
  <c r="Z224" i="23"/>
  <c r="AA224" i="23" s="1"/>
  <c r="AB358" i="23"/>
  <c r="AB39" i="23"/>
  <c r="Z120" i="23"/>
  <c r="AA120" i="23" s="1"/>
  <c r="Z240" i="23"/>
  <c r="AA240" i="23" s="1"/>
  <c r="Z229" i="23"/>
  <c r="AA229" i="23" s="1"/>
  <c r="AB325" i="23"/>
  <c r="AB130" i="23"/>
  <c r="AB68" i="23"/>
  <c r="Z352" i="23"/>
  <c r="AA352" i="23" s="1"/>
  <c r="Z170" i="23"/>
  <c r="AA170" i="23" s="1"/>
  <c r="AB62" i="23"/>
  <c r="Z84" i="23"/>
  <c r="AA84" i="23" s="1"/>
  <c r="AB58" i="23"/>
  <c r="Z264" i="23"/>
  <c r="AA264" i="23" s="1"/>
  <c r="AB203" i="23"/>
  <c r="AB87" i="23"/>
  <c r="Z353" i="23"/>
  <c r="AA353" i="23" s="1"/>
  <c r="Z216" i="23"/>
  <c r="AA216" i="23" s="1"/>
  <c r="AB389" i="23"/>
  <c r="Z313" i="23"/>
  <c r="AA313" i="23" s="1"/>
  <c r="Z241" i="23"/>
  <c r="AA241" i="23" s="1"/>
  <c r="AB370" i="23"/>
  <c r="Z233" i="23"/>
  <c r="AA233" i="23" s="1"/>
  <c r="AB336" i="23"/>
  <c r="AB372" i="23"/>
  <c r="AB80" i="23"/>
  <c r="AB218" i="23"/>
  <c r="AB131" i="23"/>
  <c r="AB67" i="23"/>
  <c r="AB138" i="23"/>
  <c r="Z127" i="23"/>
  <c r="AA127" i="23" s="1"/>
  <c r="AB352" i="23"/>
  <c r="AB301" i="23"/>
  <c r="AB308" i="23"/>
  <c r="Z357" i="23"/>
  <c r="AA357" i="23" s="1"/>
  <c r="Z400" i="23"/>
  <c r="AA400" i="23" s="1"/>
  <c r="AB322" i="23"/>
  <c r="AB246" i="23"/>
  <c r="Z335" i="23"/>
  <c r="AA335" i="23" s="1"/>
  <c r="AB109" i="23"/>
  <c r="Z251" i="23"/>
  <c r="AA251" i="23" s="1"/>
  <c r="AB81" i="23"/>
  <c r="Z345" i="23"/>
  <c r="AA345" i="23" s="1"/>
  <c r="AB172" i="23"/>
  <c r="Z369" i="23"/>
  <c r="AA369" i="23" s="1"/>
  <c r="Z197" i="23"/>
  <c r="AA197" i="23" s="1"/>
  <c r="Z56" i="23"/>
  <c r="AA56" i="23" s="1"/>
  <c r="AB340" i="23"/>
  <c r="AB295" i="23"/>
  <c r="AB315" i="23"/>
  <c r="Z110" i="23"/>
  <c r="AA110" i="23" s="1"/>
  <c r="Z212" i="23"/>
  <c r="AA212" i="23" s="1"/>
  <c r="AB119" i="23"/>
  <c r="AB235" i="23"/>
  <c r="Z320" i="23"/>
  <c r="AA320" i="23" s="1"/>
  <c r="AB54" i="23"/>
  <c r="Z96" i="23"/>
  <c r="AA96" i="23" s="1"/>
  <c r="Z171" i="23"/>
  <c r="AA171" i="23" s="1"/>
  <c r="Z317" i="23"/>
  <c r="AA317" i="23" s="1"/>
  <c r="AB46" i="23"/>
  <c r="AB255" i="23"/>
  <c r="Z122" i="23"/>
  <c r="AA122" i="23" s="1"/>
  <c r="Z164" i="23"/>
  <c r="AA164" i="23" s="1"/>
  <c r="AB248" i="23"/>
  <c r="AB300" i="23"/>
  <c r="Z378" i="23"/>
  <c r="AA378" i="23" s="1"/>
  <c r="AB55" i="23"/>
  <c r="Z185" i="23"/>
  <c r="AA185" i="23" s="1"/>
  <c r="Z192" i="23"/>
  <c r="AA192" i="23" s="1"/>
  <c r="AB41" i="23"/>
  <c r="AB204" i="23"/>
  <c r="AB207" i="23"/>
  <c r="Z385" i="23"/>
  <c r="AA385" i="23" s="1"/>
  <c r="AB281" i="23"/>
  <c r="AB167" i="23"/>
  <c r="Z296" i="23"/>
  <c r="AA296" i="23" s="1"/>
  <c r="AB45" i="23"/>
  <c r="Z112" i="23"/>
  <c r="AA112" i="23" s="1"/>
  <c r="AB169" i="23"/>
  <c r="AB342" i="23"/>
  <c r="AB225" i="23"/>
  <c r="AB324" i="23"/>
  <c r="AB216" i="29"/>
  <c r="Z176" i="29"/>
  <c r="AA176" i="29" s="1"/>
  <c r="AB169" i="29"/>
  <c r="Z287" i="29"/>
  <c r="AA287" i="29" s="1"/>
  <c r="AB153" i="29"/>
  <c r="AB295" i="29"/>
  <c r="Z240" i="29"/>
  <c r="AA240" i="29" s="1"/>
  <c r="AB132" i="29"/>
  <c r="AB63" i="29"/>
  <c r="AB363" i="29"/>
  <c r="AB133" i="29"/>
  <c r="Z357" i="29"/>
  <c r="AA357" i="29" s="1"/>
  <c r="AB389" i="29"/>
  <c r="AB324" i="29"/>
  <c r="AB69" i="29"/>
  <c r="Z329" i="29"/>
  <c r="AA329" i="29" s="1"/>
  <c r="Z56" i="29"/>
  <c r="AA56" i="29" s="1"/>
  <c r="AB322" i="29"/>
  <c r="Z359" i="29"/>
  <c r="AA359" i="29" s="1"/>
  <c r="Z121" i="29"/>
  <c r="AA121" i="29" s="1"/>
  <c r="Z142" i="29"/>
  <c r="AA142" i="29" s="1"/>
  <c r="AB325" i="29"/>
  <c r="Z199" i="29"/>
  <c r="AA199" i="29" s="1"/>
  <c r="Z231" i="29"/>
  <c r="AA231" i="29" s="1"/>
  <c r="AB370" i="29"/>
  <c r="AB168" i="29"/>
  <c r="Z125" i="29"/>
  <c r="AA125" i="29" s="1"/>
  <c r="AB160" i="29"/>
  <c r="Z188" i="29"/>
  <c r="AA188" i="29" s="1"/>
  <c r="Z140" i="29"/>
  <c r="AA140" i="29" s="1"/>
  <c r="AB292" i="29"/>
  <c r="AB202" i="29"/>
  <c r="AB302" i="29"/>
  <c r="Z145" i="29"/>
  <c r="AA145" i="29" s="1"/>
  <c r="AB287" i="29"/>
  <c r="AB188" i="29"/>
  <c r="AB214" i="29"/>
  <c r="Z120" i="29"/>
  <c r="AA120" i="29" s="1"/>
  <c r="AB385" i="29"/>
  <c r="Z74" i="29"/>
  <c r="AA74" i="29" s="1"/>
  <c r="AB261" i="29"/>
  <c r="AB161" i="29"/>
  <c r="Z346" i="29"/>
  <c r="AA346" i="29" s="1"/>
  <c r="Z376" i="29"/>
  <c r="AA376" i="29" s="1"/>
  <c r="AB68" i="29"/>
  <c r="AB41" i="29"/>
  <c r="Z372" i="29"/>
  <c r="AA372" i="29" s="1"/>
  <c r="Z80" i="29"/>
  <c r="AA80" i="29" s="1"/>
  <c r="Z160" i="29"/>
  <c r="AA160" i="29" s="1"/>
  <c r="Z388" i="29"/>
  <c r="AA388" i="29" s="1"/>
  <c r="Z211" i="29"/>
  <c r="AA211" i="29" s="1"/>
  <c r="AB338" i="29"/>
  <c r="AB313" i="29"/>
  <c r="AB334" i="29"/>
  <c r="Z94" i="29"/>
  <c r="AA94" i="29" s="1"/>
  <c r="Z334" i="29"/>
  <c r="AA334" i="29" s="1"/>
  <c r="Z39" i="29"/>
  <c r="AA39" i="29" s="1"/>
  <c r="Z196" i="29"/>
  <c r="AA196" i="29" s="1"/>
  <c r="Z42" i="29"/>
  <c r="AA42" i="29" s="1"/>
  <c r="Z100" i="29"/>
  <c r="AA100" i="29" s="1"/>
  <c r="AB318" i="29"/>
  <c r="Z295" i="29"/>
  <c r="AA295" i="29" s="1"/>
  <c r="AB303" i="29"/>
  <c r="AB56" i="29"/>
  <c r="Z345" i="29"/>
  <c r="AA345" i="29" s="1"/>
  <c r="Z53" i="29"/>
  <c r="AA53" i="29" s="1"/>
  <c r="Z179" i="29"/>
  <c r="AA179" i="29" s="1"/>
  <c r="AB206" i="29"/>
  <c r="Z325" i="29"/>
  <c r="AA325" i="29" s="1"/>
  <c r="Z181" i="29"/>
  <c r="AA181" i="29" s="1"/>
  <c r="Z371" i="29"/>
  <c r="AA371" i="29" s="1"/>
  <c r="Z107" i="29"/>
  <c r="AA107" i="29" s="1"/>
  <c r="Z306" i="29"/>
  <c r="AA306" i="29" s="1"/>
  <c r="Z241" i="29"/>
  <c r="AA241" i="29" s="1"/>
  <c r="AB78" i="29"/>
  <c r="AB162" i="29"/>
  <c r="Z261" i="29"/>
  <c r="AA261" i="29" s="1"/>
  <c r="AB398" i="29"/>
  <c r="Z73" i="29"/>
  <c r="AA73" i="29" s="1"/>
  <c r="Z251" i="29"/>
  <c r="AA251" i="29" s="1"/>
  <c r="Z360" i="29"/>
  <c r="AA360" i="29" s="1"/>
  <c r="Z150" i="29"/>
  <c r="AA150" i="29" s="1"/>
  <c r="Z164" i="29"/>
  <c r="AA164" i="29" s="1"/>
  <c r="AB210" i="29"/>
  <c r="Z353" i="29"/>
  <c r="AA353" i="29" s="1"/>
  <c r="Z256" i="29"/>
  <c r="AA256" i="29" s="1"/>
  <c r="AB314" i="29"/>
  <c r="AB298" i="29"/>
  <c r="Z139" i="29"/>
  <c r="AA139" i="29" s="1"/>
  <c r="AB299" i="29"/>
  <c r="Z228" i="29"/>
  <c r="AA228" i="29" s="1"/>
  <c r="AB91" i="29"/>
  <c r="Z48" i="29"/>
  <c r="AA48" i="29" s="1"/>
  <c r="Z343" i="29"/>
  <c r="AA343" i="29" s="1"/>
  <c r="Z72" i="29"/>
  <c r="AA72" i="29" s="1"/>
  <c r="AB246" i="29"/>
  <c r="Z44" i="29"/>
  <c r="AA44" i="29" s="1"/>
  <c r="AB317" i="29"/>
  <c r="Z289" i="29"/>
  <c r="AA289" i="29" s="1"/>
  <c r="Z163" i="29"/>
  <c r="AA163" i="29" s="1"/>
  <c r="Z283" i="29"/>
  <c r="AA283" i="29" s="1"/>
  <c r="AB85" i="29"/>
  <c r="Z296" i="29"/>
  <c r="AA296" i="29" s="1"/>
  <c r="AB280" i="29"/>
  <c r="Z351" i="29"/>
  <c r="AA351" i="29" s="1"/>
  <c r="AB184" i="29"/>
  <c r="AB323" i="29"/>
  <c r="Z201" i="29"/>
  <c r="AA201" i="29" s="1"/>
  <c r="Z272" i="29"/>
  <c r="AA272" i="29" s="1"/>
  <c r="Z276" i="29"/>
  <c r="AA276" i="29" s="1"/>
  <c r="AB222" i="29"/>
  <c r="Z117" i="29"/>
  <c r="AA117" i="29" s="1"/>
  <c r="Z198" i="29"/>
  <c r="AA198" i="29" s="1"/>
  <c r="Z377" i="29"/>
  <c r="AA377" i="29" s="1"/>
  <c r="Z299" i="29"/>
  <c r="AA299" i="29" s="1"/>
  <c r="Z123" i="29"/>
  <c r="AA123" i="29" s="1"/>
  <c r="Z363" i="29"/>
  <c r="AA363" i="29" s="1"/>
  <c r="AB288" i="29"/>
  <c r="AB75" i="29"/>
  <c r="AB358" i="29"/>
  <c r="AB151" i="29"/>
  <c r="Z155" i="29"/>
  <c r="AA155" i="29" s="1"/>
  <c r="Z298" i="29"/>
  <c r="AA298" i="29" s="1"/>
  <c r="AB293" i="29"/>
  <c r="AB256" i="29"/>
  <c r="AB227" i="29"/>
  <c r="Z278" i="29"/>
  <c r="AA278" i="29" s="1"/>
  <c r="AB170" i="29"/>
  <c r="AB196" i="29"/>
  <c r="AB392" i="29"/>
  <c r="AB360" i="29"/>
  <c r="AB366" i="29"/>
  <c r="AB58" i="29"/>
  <c r="Z50" i="29"/>
  <c r="AA50" i="29" s="1"/>
  <c r="Z331" i="29"/>
  <c r="AA331" i="29" s="1"/>
  <c r="AB397" i="29"/>
  <c r="Z159" i="29"/>
  <c r="AA159" i="29" s="1"/>
  <c r="Z374" i="29"/>
  <c r="AA374" i="29" s="1"/>
  <c r="Z290" i="29"/>
  <c r="AA290" i="29" s="1"/>
  <c r="AB126" i="29"/>
  <c r="Z197" i="29"/>
  <c r="AA197" i="29" s="1"/>
  <c r="Z245" i="29"/>
  <c r="AA245" i="29" s="1"/>
  <c r="Z61" i="29"/>
  <c r="AA61" i="29" s="1"/>
  <c r="AB271" i="29"/>
  <c r="AB226" i="29"/>
  <c r="AB391" i="29"/>
  <c r="Z263" i="29"/>
  <c r="AA263" i="29" s="1"/>
  <c r="AB272" i="29"/>
  <c r="Z90" i="29"/>
  <c r="AA90" i="29" s="1"/>
  <c r="AB119" i="29"/>
  <c r="AB367" i="29"/>
  <c r="AB240" i="29"/>
  <c r="Z308" i="29"/>
  <c r="AA308" i="29" s="1"/>
  <c r="AB340" i="29"/>
  <c r="AB70" i="29"/>
  <c r="AB130" i="29"/>
  <c r="Z316" i="29"/>
  <c r="AA316" i="29" s="1"/>
  <c r="Z315" i="29"/>
  <c r="AA315" i="29" s="1"/>
  <c r="Z285" i="29"/>
  <c r="AA285" i="29" s="1"/>
  <c r="Z387" i="29"/>
  <c r="AA387" i="29" s="1"/>
  <c r="Z57" i="29"/>
  <c r="AA57" i="29" s="1"/>
  <c r="AB193" i="29"/>
  <c r="AB394" i="29"/>
  <c r="Z54" i="29"/>
  <c r="AA54" i="29" s="1"/>
  <c r="AB62" i="29"/>
  <c r="Z394" i="29"/>
  <c r="AA394" i="29" s="1"/>
  <c r="Z262" i="29"/>
  <c r="AA262" i="29" s="1"/>
  <c r="AB361" i="29"/>
  <c r="Z101" i="29"/>
  <c r="AA101" i="29" s="1"/>
  <c r="AB254" i="29"/>
  <c r="AB375" i="29"/>
  <c r="Z393" i="29"/>
  <c r="AA393" i="29" s="1"/>
  <c r="AB329" i="29"/>
  <c r="Z178" i="29"/>
  <c r="AA178" i="29" s="1"/>
  <c r="Z43" i="29"/>
  <c r="AA43" i="29" s="1"/>
  <c r="Z95" i="29"/>
  <c r="AA95" i="29" s="1"/>
  <c r="AB316" i="29"/>
  <c r="Z135" i="29"/>
  <c r="AA135" i="29" s="1"/>
  <c r="Z84" i="29"/>
  <c r="AA84" i="29" s="1"/>
  <c r="Z79" i="29"/>
  <c r="AA79" i="29" s="1"/>
  <c r="Z257" i="29"/>
  <c r="AA257" i="29" s="1"/>
  <c r="Z328" i="29"/>
  <c r="AA328" i="29" s="1"/>
  <c r="Z97" i="29"/>
  <c r="AA97" i="29" s="1"/>
  <c r="Z320" i="29"/>
  <c r="AA320" i="29" s="1"/>
  <c r="AB373" i="29"/>
  <c r="AB300" i="29"/>
  <c r="Z58" i="29"/>
  <c r="AA58" i="29" s="1"/>
  <c r="AB306" i="29"/>
  <c r="AB149" i="29"/>
  <c r="Z70" i="29"/>
  <c r="AA70" i="29" s="1"/>
  <c r="AB131" i="29"/>
  <c r="AB249" i="29"/>
  <c r="Z384" i="29"/>
  <c r="AA384" i="29" s="1"/>
  <c r="Z322" i="29"/>
  <c r="AA322" i="29" s="1"/>
  <c r="AB344" i="29"/>
  <c r="Z156" i="29"/>
  <c r="AA156" i="29" s="1"/>
  <c r="AB159" i="29"/>
  <c r="Z288" i="29"/>
  <c r="AA288" i="29" s="1"/>
  <c r="AB266" i="29"/>
  <c r="AB135" i="29"/>
  <c r="Z243" i="29"/>
  <c r="AA243" i="29" s="1"/>
  <c r="AB311" i="29"/>
  <c r="AB218" i="29"/>
  <c r="AB327" i="29"/>
  <c r="Z373" i="29"/>
  <c r="AA373" i="29" s="1"/>
  <c r="Z81" i="29"/>
  <c r="AA81" i="29" s="1"/>
  <c r="AB279" i="29"/>
  <c r="AB275" i="29"/>
  <c r="AB125" i="29"/>
  <c r="Z292" i="29"/>
  <c r="AA292" i="29" s="1"/>
  <c r="Z147" i="29"/>
  <c r="AA147" i="29" s="1"/>
  <c r="Z134" i="29"/>
  <c r="AA134" i="29" s="1"/>
  <c r="AB44" i="29"/>
  <c r="AB264" i="29"/>
  <c r="AB147" i="29"/>
  <c r="AB265" i="29"/>
  <c r="AB283" i="29"/>
  <c r="Z209" i="29"/>
  <c r="AA209" i="29" s="1"/>
  <c r="AB331" i="29"/>
  <c r="Z122" i="29"/>
  <c r="AA122" i="29" s="1"/>
  <c r="AB336" i="29"/>
  <c r="Z362" i="29"/>
  <c r="AA362" i="29" s="1"/>
  <c r="AB115" i="29"/>
  <c r="AB120" i="29"/>
  <c r="AB88" i="29"/>
  <c r="Z99" i="29"/>
  <c r="AA99" i="29" s="1"/>
  <c r="Z330" i="29"/>
  <c r="AA330" i="29" s="1"/>
  <c r="Z300" i="29"/>
  <c r="AA300" i="29" s="1"/>
  <c r="AB42" i="29"/>
  <c r="Z144" i="29"/>
  <c r="AA144" i="29" s="1"/>
  <c r="Z335" i="29"/>
  <c r="AA335" i="29" s="1"/>
  <c r="AB189" i="29"/>
  <c r="Z151" i="29"/>
  <c r="AA151" i="29" s="1"/>
  <c r="AB351" i="29"/>
  <c r="Z62" i="29"/>
  <c r="AA62" i="29" s="1"/>
  <c r="AB176" i="29"/>
  <c r="AB326" i="29"/>
  <c r="AB345" i="29"/>
  <c r="Z126" i="29"/>
  <c r="AA126" i="29" s="1"/>
  <c r="Z342" i="29"/>
  <c r="AA342" i="29" s="1"/>
  <c r="Z226" i="29"/>
  <c r="AA226" i="29" s="1"/>
  <c r="Z138" i="29"/>
  <c r="AA138" i="29" s="1"/>
  <c r="Z69" i="29"/>
  <c r="AA69" i="29" s="1"/>
  <c r="AB365" i="29"/>
  <c r="Z114" i="29"/>
  <c r="AA114" i="29" s="1"/>
  <c r="Z236" i="29"/>
  <c r="AA236" i="29" s="1"/>
  <c r="Z168" i="29"/>
  <c r="AA168" i="29" s="1"/>
  <c r="Z319" i="29"/>
  <c r="AA319" i="29" s="1"/>
  <c r="Z214" i="29"/>
  <c r="AA214" i="29" s="1"/>
  <c r="AB244" i="29"/>
  <c r="Z127" i="29"/>
  <c r="AA127" i="29" s="1"/>
  <c r="Z87" i="29"/>
  <c r="AA87" i="29" s="1"/>
  <c r="AB242" i="29"/>
  <c r="Z60" i="29"/>
  <c r="AA60" i="29" s="1"/>
  <c r="AB192" i="29"/>
  <c r="AB99" i="29"/>
  <c r="Z271" i="29"/>
  <c r="AA271" i="29" s="1"/>
  <c r="Z75" i="29"/>
  <c r="AA75" i="29" s="1"/>
  <c r="Z385" i="29"/>
  <c r="AA385" i="29" s="1"/>
  <c r="AB356" i="29"/>
  <c r="Z227" i="29"/>
  <c r="AA227" i="29" s="1"/>
  <c r="AB59" i="29"/>
  <c r="AB221" i="29"/>
  <c r="Z66" i="29"/>
  <c r="AA66" i="29" s="1"/>
  <c r="Z41" i="29"/>
  <c r="AA41" i="29" s="1"/>
  <c r="Z52" i="29"/>
  <c r="AA52" i="29" s="1"/>
  <c r="AB281" i="29"/>
  <c r="Z327" i="29"/>
  <c r="AA327" i="29" s="1"/>
  <c r="AB230" i="29"/>
  <c r="Z294" i="29"/>
  <c r="AA294" i="29" s="1"/>
  <c r="Z297" i="29"/>
  <c r="AA297" i="29" s="1"/>
  <c r="AB64" i="29"/>
  <c r="AB248" i="29"/>
  <c r="AB145" i="29"/>
  <c r="Z392" i="29"/>
  <c r="AA392" i="29" s="1"/>
  <c r="Z284" i="29"/>
  <c r="AA284" i="29" s="1"/>
  <c r="AB348" i="29"/>
  <c r="AB297" i="29"/>
  <c r="Z265" i="29"/>
  <c r="AA265" i="29" s="1"/>
  <c r="Z205" i="29"/>
  <c r="AA205" i="29" s="1"/>
  <c r="AB190" i="29"/>
  <c r="AB155" i="29"/>
  <c r="AB127" i="29"/>
  <c r="AB381" i="29"/>
  <c r="Z398" i="29"/>
  <c r="AA398" i="29" s="1"/>
  <c r="AB96" i="29"/>
  <c r="Z173" i="29"/>
  <c r="AA173" i="29" s="1"/>
  <c r="AB390" i="29"/>
  <c r="Z348" i="29"/>
  <c r="AA348" i="29" s="1"/>
  <c r="Z153" i="29"/>
  <c r="AA153" i="29" s="1"/>
  <c r="Z232" i="29"/>
  <c r="AA232" i="29" s="1"/>
  <c r="Z279" i="29"/>
  <c r="AA279" i="29" s="1"/>
  <c r="Z104" i="29"/>
  <c r="AA104" i="29" s="1"/>
  <c r="AB87" i="29"/>
  <c r="Z311" i="29"/>
  <c r="AA311" i="29" s="1"/>
  <c r="AB148" i="29"/>
  <c r="AB53" i="29"/>
  <c r="AB110" i="29"/>
  <c r="AB177" i="29"/>
  <c r="AB229" i="29"/>
  <c r="AB342" i="29"/>
  <c r="Z175" i="29"/>
  <c r="AA175" i="29" s="1"/>
  <c r="Z313" i="29"/>
  <c r="AA313" i="29" s="1"/>
  <c r="Z194" i="29"/>
  <c r="AA194" i="29" s="1"/>
  <c r="AB204" i="29"/>
  <c r="AB100" i="29"/>
  <c r="AB205" i="29"/>
  <c r="AB286" i="29"/>
  <c r="AB213" i="29"/>
  <c r="Z124" i="29"/>
  <c r="AA124" i="29" s="1"/>
  <c r="AB349" i="29"/>
  <c r="Z281" i="29"/>
  <c r="AA281" i="29" s="1"/>
  <c r="Z131" i="29"/>
  <c r="AA131" i="29" s="1"/>
  <c r="Z247" i="29"/>
  <c r="AA247" i="29" s="1"/>
  <c r="Z217" i="29"/>
  <c r="AA217" i="29" s="1"/>
  <c r="AB337" i="29"/>
  <c r="AB179" i="29"/>
  <c r="Z218" i="29"/>
  <c r="AA218" i="29" s="1"/>
  <c r="AB294" i="29"/>
  <c r="AB241" i="29"/>
  <c r="AB203" i="29"/>
  <c r="AB86" i="29"/>
  <c r="Z86" i="29"/>
  <c r="AA86" i="29" s="1"/>
  <c r="AB185" i="29"/>
  <c r="Z51" i="29"/>
  <c r="AA51" i="29" s="1"/>
  <c r="Z210" i="29"/>
  <c r="AA210" i="29" s="1"/>
  <c r="AB310" i="29"/>
  <c r="AB364" i="29"/>
  <c r="Z112" i="29"/>
  <c r="AA112" i="29" s="1"/>
  <c r="Z250" i="29"/>
  <c r="AA250" i="29" s="1"/>
  <c r="Z282" i="29"/>
  <c r="AA282" i="29" s="1"/>
  <c r="AB181" i="29"/>
  <c r="AB372" i="29"/>
  <c r="AB400" i="29"/>
  <c r="AB52" i="29"/>
  <c r="AB376" i="29"/>
  <c r="AB291" i="29"/>
  <c r="AB55" i="29"/>
  <c r="Z224" i="29"/>
  <c r="AA224" i="29" s="1"/>
  <c r="Z366" i="29"/>
  <c r="AA366" i="29" s="1"/>
  <c r="AB312" i="29"/>
  <c r="AB54" i="29"/>
  <c r="AB347" i="29"/>
  <c r="Z375" i="29"/>
  <c r="AA375" i="29" s="1"/>
  <c r="AB260" i="29"/>
  <c r="AB267" i="29"/>
  <c r="Z355" i="29"/>
  <c r="AA355" i="29" s="1"/>
  <c r="Z291" i="29"/>
  <c r="AA291" i="29" s="1"/>
  <c r="AB211" i="29"/>
  <c r="AB150" i="29"/>
  <c r="AB396" i="29"/>
  <c r="Z110" i="29"/>
  <c r="AA110" i="29" s="1"/>
  <c r="Z235" i="29"/>
  <c r="AA235" i="29" s="1"/>
  <c r="AB116" i="29"/>
  <c r="Z118" i="29"/>
  <c r="AA118" i="29" s="1"/>
  <c r="AB67" i="29"/>
  <c r="Z192" i="29"/>
  <c r="AA192" i="29" s="1"/>
  <c r="Z85" i="29"/>
  <c r="AA85" i="29" s="1"/>
  <c r="Z195" i="29"/>
  <c r="AA195" i="29" s="1"/>
  <c r="AB174" i="29"/>
  <c r="AB156" i="29"/>
  <c r="Z77" i="29"/>
  <c r="AA77" i="29" s="1"/>
  <c r="Z364" i="29"/>
  <c r="AA364" i="29" s="1"/>
  <c r="AB378" i="29"/>
  <c r="AB233" i="29"/>
  <c r="Z161" i="29"/>
  <c r="AA161" i="29" s="1"/>
  <c r="Z154" i="29"/>
  <c r="AA154" i="29" s="1"/>
  <c r="Z260" i="29"/>
  <c r="AA260" i="29" s="1"/>
  <c r="AB263" i="29"/>
  <c r="AB60" i="29"/>
  <c r="Z49" i="29"/>
  <c r="AA49" i="29" s="1"/>
  <c r="Z106" i="29"/>
  <c r="AA106" i="29" s="1"/>
  <c r="AB269" i="29"/>
  <c r="AB278" i="29"/>
  <c r="AB146" i="29"/>
  <c r="Z344" i="29"/>
  <c r="AA344" i="29" s="1"/>
  <c r="Z302" i="29"/>
  <c r="AA302" i="29" s="1"/>
  <c r="AB321" i="29"/>
  <c r="AB71" i="29"/>
  <c r="AB231" i="29"/>
  <c r="Z116" i="29"/>
  <c r="AA116" i="29" s="1"/>
  <c r="AB305" i="29"/>
  <c r="AB333" i="29"/>
  <c r="Z103" i="29"/>
  <c r="AA103" i="29" s="1"/>
  <c r="AB40" i="29"/>
  <c r="Z293" i="24"/>
  <c r="AA293" i="24" s="1"/>
  <c r="Z240" i="24"/>
  <c r="AA240" i="24" s="1"/>
  <c r="Z138" i="24"/>
  <c r="AA138" i="24" s="1"/>
  <c r="AB294" i="24"/>
  <c r="Z119" i="24"/>
  <c r="AA119" i="24" s="1"/>
  <c r="AK150" i="14"/>
  <c r="AI99" i="14"/>
  <c r="AJ99" i="14" s="1"/>
  <c r="AK143" i="14"/>
  <c r="AI391" i="14"/>
  <c r="AJ391" i="14" s="1"/>
  <c r="AK198" i="14"/>
  <c r="AI212" i="14"/>
  <c r="AJ212" i="14" s="1"/>
  <c r="AI54" i="14"/>
  <c r="AJ54" i="14" s="1"/>
  <c r="AI392" i="14"/>
  <c r="AJ392" i="14" s="1"/>
  <c r="X30" i="4"/>
  <c r="Y66" i="4"/>
  <c r="AC66" i="4" s="1"/>
  <c r="AB311" i="24"/>
  <c r="AB144" i="24"/>
  <c r="AB115" i="24"/>
  <c r="AB348" i="24"/>
  <c r="AB84" i="24"/>
  <c r="AB80" i="24"/>
  <c r="Z295" i="24"/>
  <c r="AA295" i="24" s="1"/>
  <c r="AB253" i="24"/>
  <c r="Z247" i="24"/>
  <c r="AA247" i="24" s="1"/>
  <c r="Z214" i="24"/>
  <c r="AA214" i="24" s="1"/>
  <c r="Z227" i="24"/>
  <c r="AA227" i="24" s="1"/>
  <c r="AB158" i="24"/>
  <c r="Z366" i="24"/>
  <c r="AA366" i="24" s="1"/>
  <c r="AB330" i="24"/>
  <c r="Z109" i="24"/>
  <c r="AA109" i="24" s="1"/>
  <c r="Z81" i="24"/>
  <c r="AA81" i="24" s="1"/>
  <c r="Z292" i="24"/>
  <c r="AA292" i="24" s="1"/>
  <c r="Z356" i="24"/>
  <c r="AA356" i="24" s="1"/>
  <c r="AB86" i="24"/>
  <c r="AB342" i="24"/>
  <c r="Z230" i="24"/>
  <c r="AA230" i="24" s="1"/>
  <c r="Z266" i="24"/>
  <c r="AA266" i="24" s="1"/>
  <c r="AB209" i="24"/>
  <c r="AB369" i="24"/>
  <c r="Z318" i="24"/>
  <c r="AA318" i="24" s="1"/>
  <c r="Z60" i="24"/>
  <c r="AA60" i="24" s="1"/>
  <c r="AB193" i="24"/>
  <c r="AB362" i="24"/>
  <c r="Z235" i="24"/>
  <c r="AA235" i="24" s="1"/>
  <c r="AB134" i="24"/>
  <c r="AB202" i="24"/>
  <c r="Z174" i="24"/>
  <c r="AA174" i="24" s="1"/>
  <c r="Z264" i="24"/>
  <c r="AA264" i="24" s="1"/>
  <c r="Z198" i="24"/>
  <c r="AA198" i="24" s="1"/>
  <c r="AB308" i="24"/>
  <c r="Z273" i="24"/>
  <c r="AA273" i="24" s="1"/>
  <c r="AB135" i="24"/>
  <c r="AB55" i="24"/>
  <c r="Z354" i="24"/>
  <c r="AA354" i="24" s="1"/>
  <c r="Z193" i="24"/>
  <c r="AA193" i="24" s="1"/>
  <c r="Z72" i="24"/>
  <c r="AA72" i="24" s="1"/>
  <c r="AB314" i="24"/>
  <c r="Z47" i="24"/>
  <c r="AA47" i="24" s="1"/>
  <c r="AB397" i="24"/>
  <c r="AB290" i="24"/>
  <c r="AB72" i="24"/>
  <c r="Z189" i="24"/>
  <c r="AA189" i="24" s="1"/>
  <c r="Z336" i="24"/>
  <c r="AA336" i="24" s="1"/>
  <c r="AB332" i="24"/>
  <c r="AB148" i="24"/>
  <c r="AB196" i="24"/>
  <c r="Z62" i="24"/>
  <c r="AA62" i="24" s="1"/>
  <c r="AB359" i="24"/>
  <c r="AB265" i="24"/>
  <c r="AB64" i="24"/>
  <c r="AB51" i="24"/>
  <c r="AB400" i="24"/>
  <c r="AB179" i="24"/>
  <c r="Z127" i="24"/>
  <c r="AA127" i="24" s="1"/>
  <c r="AB365" i="24"/>
  <c r="AB82" i="24"/>
  <c r="AB176" i="24"/>
  <c r="Z105" i="24"/>
  <c r="AA105" i="24" s="1"/>
  <c r="AB298" i="24"/>
  <c r="AB236" i="24"/>
  <c r="Z288" i="24"/>
  <c r="AA288" i="24" s="1"/>
  <c r="AB81" i="24"/>
  <c r="Z91" i="24"/>
  <c r="AA91" i="24" s="1"/>
  <c r="Z276" i="24"/>
  <c r="AA276" i="24" s="1"/>
  <c r="Z97" i="24"/>
  <c r="AA97" i="24" s="1"/>
  <c r="Z68" i="24"/>
  <c r="AA68" i="24" s="1"/>
  <c r="AB52" i="24"/>
  <c r="Z324" i="24"/>
  <c r="AA324" i="24" s="1"/>
  <c r="Z319" i="24"/>
  <c r="AA319" i="24" s="1"/>
  <c r="AB363" i="24"/>
  <c r="Z281" i="24"/>
  <c r="AA281" i="24" s="1"/>
  <c r="Z392" i="24"/>
  <c r="AA392" i="24" s="1"/>
  <c r="Z223" i="24"/>
  <c r="AA223" i="24" s="1"/>
  <c r="AB246" i="24"/>
  <c r="Z46" i="24"/>
  <c r="AA46" i="24" s="1"/>
  <c r="Z155" i="24"/>
  <c r="AA155" i="24" s="1"/>
  <c r="AB339" i="24"/>
  <c r="AB91" i="24"/>
  <c r="Z181" i="24"/>
  <c r="AA181" i="24" s="1"/>
  <c r="AB266" i="24"/>
  <c r="AB185" i="24"/>
  <c r="Z291" i="24"/>
  <c r="AA291" i="24" s="1"/>
  <c r="Z129" i="24"/>
  <c r="AA129" i="24" s="1"/>
  <c r="Z229" i="24"/>
  <c r="AA229" i="24" s="1"/>
  <c r="Z335" i="24"/>
  <c r="AA335" i="24" s="1"/>
  <c r="AB240" i="24"/>
  <c r="Z334" i="24"/>
  <c r="AA334" i="24" s="1"/>
  <c r="AB159" i="24"/>
  <c r="Z96" i="24"/>
  <c r="AA96" i="24" s="1"/>
  <c r="Z344" i="24"/>
  <c r="AA344" i="24" s="1"/>
  <c r="AB104" i="24"/>
  <c r="Z258" i="24"/>
  <c r="AA258" i="24" s="1"/>
  <c r="Z128" i="24"/>
  <c r="AA128" i="24" s="1"/>
  <c r="Z140" i="24"/>
  <c r="AA140" i="24" s="1"/>
  <c r="AB260" i="24"/>
  <c r="Z327" i="24"/>
  <c r="AA327" i="24" s="1"/>
  <c r="Z242" i="24"/>
  <c r="AA242" i="24" s="1"/>
  <c r="AB138" i="24"/>
  <c r="AB237" i="24"/>
  <c r="AB291" i="24"/>
  <c r="Z300" i="24"/>
  <c r="AA300" i="24" s="1"/>
  <c r="Z114" i="24"/>
  <c r="AA114" i="24" s="1"/>
  <c r="Z349" i="24"/>
  <c r="AA349" i="24" s="1"/>
  <c r="AB187" i="24"/>
  <c r="Z279" i="24"/>
  <c r="AA279" i="24" s="1"/>
  <c r="AB166" i="24"/>
  <c r="Z232" i="24"/>
  <c r="AA232" i="24" s="1"/>
  <c r="AB366" i="24"/>
  <c r="Z369" i="24"/>
  <c r="AA369" i="24" s="1"/>
  <c r="AB392" i="24"/>
  <c r="AB76" i="24"/>
  <c r="Z351" i="24"/>
  <c r="AA351" i="24" s="1"/>
  <c r="Z286" i="24"/>
  <c r="AA286" i="24" s="1"/>
  <c r="AB167" i="24"/>
  <c r="AB122" i="24"/>
  <c r="Z205" i="24"/>
  <c r="AA205" i="24" s="1"/>
  <c r="Z250" i="24"/>
  <c r="AA250" i="24" s="1"/>
  <c r="AB245" i="24"/>
  <c r="Z103" i="24"/>
  <c r="AA103" i="24" s="1"/>
  <c r="Z55" i="24"/>
  <c r="AA55" i="24" s="1"/>
  <c r="AB378" i="24"/>
  <c r="AB351" i="24"/>
  <c r="Z176" i="24"/>
  <c r="AA176" i="24" s="1"/>
  <c r="AB60" i="24"/>
  <c r="Z301" i="24"/>
  <c r="AA301" i="24" s="1"/>
  <c r="Z153" i="24"/>
  <c r="AA153" i="24" s="1"/>
  <c r="AB388" i="24"/>
  <c r="AB132" i="24"/>
  <c r="Z277" i="24"/>
  <c r="AA277" i="24" s="1"/>
  <c r="Z148" i="24"/>
  <c r="AA148" i="24" s="1"/>
  <c r="AB71" i="24"/>
  <c r="AB383" i="24"/>
  <c r="Z317" i="24"/>
  <c r="AA317" i="24" s="1"/>
  <c r="AB171" i="24"/>
  <c r="AB143" i="24"/>
  <c r="AB398" i="24"/>
  <c r="Z192" i="24"/>
  <c r="AA192" i="24" s="1"/>
  <c r="Z41" i="24"/>
  <c r="AA41" i="24" s="1"/>
  <c r="AB164" i="24"/>
  <c r="AB39" i="24"/>
  <c r="Z48" i="24"/>
  <c r="AA48" i="24" s="1"/>
  <c r="AB191" i="24"/>
  <c r="Z111" i="24"/>
  <c r="AA111" i="24" s="1"/>
  <c r="AB216" i="24"/>
  <c r="Z122" i="24"/>
  <c r="AA122" i="24" s="1"/>
  <c r="Z124" i="24"/>
  <c r="AA124" i="24" s="1"/>
  <c r="Z79" i="24"/>
  <c r="AA79" i="24" s="1"/>
  <c r="AB226" i="24"/>
  <c r="AB175" i="24"/>
  <c r="Z125" i="24"/>
  <c r="AA125" i="24" s="1"/>
  <c r="AB341" i="24"/>
  <c r="Z390" i="24"/>
  <c r="AA390" i="24" s="1"/>
  <c r="Z106" i="24"/>
  <c r="AA106" i="24" s="1"/>
  <c r="Z116" i="24"/>
  <c r="AA116" i="24" s="1"/>
  <c r="Z299" i="24"/>
  <c r="AA299" i="24" s="1"/>
  <c r="Z151" i="24"/>
  <c r="AA151" i="24" s="1"/>
  <c r="AB271" i="24"/>
  <c r="Z113" i="24"/>
  <c r="AA113" i="24" s="1"/>
  <c r="AB299" i="24"/>
  <c r="Z337" i="24"/>
  <c r="AA337" i="24" s="1"/>
  <c r="Z362" i="24"/>
  <c r="AA362" i="24" s="1"/>
  <c r="Z381" i="24"/>
  <c r="AA381" i="24" s="1"/>
  <c r="Z144" i="24"/>
  <c r="AA144" i="24" s="1"/>
  <c r="Z203" i="24"/>
  <c r="AA203" i="24" s="1"/>
  <c r="Z271" i="24"/>
  <c r="AA271" i="24" s="1"/>
  <c r="AB389" i="24"/>
  <c r="AB190" i="24"/>
  <c r="Z93" i="24"/>
  <c r="AA93" i="24" s="1"/>
  <c r="AB192" i="24"/>
  <c r="AB310" i="24"/>
  <c r="Z65" i="24"/>
  <c r="AA65" i="24" s="1"/>
  <c r="Z52" i="24"/>
  <c r="AA52" i="24" s="1"/>
  <c r="Z313" i="24"/>
  <c r="AA313" i="24" s="1"/>
  <c r="AB177" i="24"/>
  <c r="AB165" i="24"/>
  <c r="AB111" i="24"/>
  <c r="AB280" i="24"/>
  <c r="AB48" i="24"/>
  <c r="AB303" i="24"/>
  <c r="Z302" i="24"/>
  <c r="AA302" i="24" s="1"/>
  <c r="Z185" i="24"/>
  <c r="AA185" i="24" s="1"/>
  <c r="AB269" i="24"/>
  <c r="Z360" i="24"/>
  <c r="AA360" i="24" s="1"/>
  <c r="Z107" i="24"/>
  <c r="AA107" i="24" s="1"/>
  <c r="AB137" i="24"/>
  <c r="AB204" i="24"/>
  <c r="AB293" i="24"/>
  <c r="Z183" i="24"/>
  <c r="AA183" i="24" s="1"/>
  <c r="Z386" i="24"/>
  <c r="AA386" i="24" s="1"/>
  <c r="AB147" i="24"/>
  <c r="AB256" i="24"/>
  <c r="Z322" i="24"/>
  <c r="AA322" i="24" s="1"/>
  <c r="Z216" i="24"/>
  <c r="AA216" i="24" s="1"/>
  <c r="AB377" i="24"/>
  <c r="AB387" i="24"/>
  <c r="AB318" i="24"/>
  <c r="Z50" i="24"/>
  <c r="AA50" i="24" s="1"/>
  <c r="Z284" i="24"/>
  <c r="AA284" i="24" s="1"/>
  <c r="AB250" i="24"/>
  <c r="Z142" i="24"/>
  <c r="AA142" i="24" s="1"/>
  <c r="AB61" i="24"/>
  <c r="Z249" i="24"/>
  <c r="AA249" i="24" s="1"/>
  <c r="Z172" i="24"/>
  <c r="AA172" i="24" s="1"/>
  <c r="AB368" i="24"/>
  <c r="AB327" i="24"/>
  <c r="AB108" i="24"/>
  <c r="AB181" i="24"/>
  <c r="Z76" i="24"/>
  <c r="AA76" i="24" s="1"/>
  <c r="Z262" i="24"/>
  <c r="AA262" i="24" s="1"/>
  <c r="Z207" i="24"/>
  <c r="AA207" i="24" s="1"/>
  <c r="AB205" i="24"/>
  <c r="AB90" i="24"/>
  <c r="AB333" i="24"/>
  <c r="AB316" i="24"/>
  <c r="AB197" i="24"/>
  <c r="Z272" i="24"/>
  <c r="AA272" i="24" s="1"/>
  <c r="Z221" i="24"/>
  <c r="AA221" i="24" s="1"/>
  <c r="AB297" i="24"/>
  <c r="AB313" i="24"/>
  <c r="AB317" i="24"/>
  <c r="AB232" i="24"/>
  <c r="Z101" i="24"/>
  <c r="AA101" i="24" s="1"/>
  <c r="AB214" i="24"/>
  <c r="AB203" i="24"/>
  <c r="Z42" i="24"/>
  <c r="AA42" i="24" s="1"/>
  <c r="Z328" i="24"/>
  <c r="AA328" i="24" s="1"/>
  <c r="AB59" i="24"/>
  <c r="AB96" i="24"/>
  <c r="AB213" i="24"/>
  <c r="Z163" i="24"/>
  <c r="AA163" i="24" s="1"/>
  <c r="AB357" i="24"/>
  <c r="AB210" i="24"/>
  <c r="Z69" i="24"/>
  <c r="AA69" i="24" s="1"/>
  <c r="Z394" i="24"/>
  <c r="AA394" i="24" s="1"/>
  <c r="Z147" i="24"/>
  <c r="AA147" i="24" s="1"/>
  <c r="AB198" i="24"/>
  <c r="Z306" i="24"/>
  <c r="AA306" i="24" s="1"/>
  <c r="Z57" i="24"/>
  <c r="AA57" i="24" s="1"/>
  <c r="Z74" i="24"/>
  <c r="AA74" i="24" s="1"/>
  <c r="AB379" i="24"/>
  <c r="AB65" i="24"/>
  <c r="AB371" i="24"/>
  <c r="AB235" i="24"/>
  <c r="AB349" i="24"/>
  <c r="Z243" i="24"/>
  <c r="AA243" i="24" s="1"/>
  <c r="Z39" i="24"/>
  <c r="AA39" i="24" s="1"/>
  <c r="Z141" i="24"/>
  <c r="AA141" i="24" s="1"/>
  <c r="Z312" i="24"/>
  <c r="AA312" i="24" s="1"/>
  <c r="Z400" i="24"/>
  <c r="AA400" i="24" s="1"/>
  <c r="AB364" i="24"/>
  <c r="AB208" i="24"/>
  <c r="Z173" i="24"/>
  <c r="AA173" i="24" s="1"/>
  <c r="AB94" i="24"/>
  <c r="AB315" i="24"/>
  <c r="AB146" i="24"/>
  <c r="Z290" i="24"/>
  <c r="AA290" i="24" s="1"/>
  <c r="Z194" i="24"/>
  <c r="AA194" i="24" s="1"/>
  <c r="AB212" i="24"/>
  <c r="Z90" i="24"/>
  <c r="AA90" i="24" s="1"/>
  <c r="AB326" i="24"/>
  <c r="Z182" i="24"/>
  <c r="AA182" i="24" s="1"/>
  <c r="AB178" i="24"/>
  <c r="AB374" i="24"/>
  <c r="Z58" i="24"/>
  <c r="AA58" i="24" s="1"/>
  <c r="AB74" i="24"/>
  <c r="AB284" i="24"/>
  <c r="AB57" i="24"/>
  <c r="AB247" i="24"/>
  <c r="AB92" i="24"/>
  <c r="AB393" i="24"/>
  <c r="Z372" i="24"/>
  <c r="AA372" i="24" s="1"/>
  <c r="AB127" i="24"/>
  <c r="AB41" i="24"/>
  <c r="AB124" i="24"/>
  <c r="Z80" i="24"/>
  <c r="AA80" i="24" s="1"/>
  <c r="Z160" i="24"/>
  <c r="AA160" i="24" s="1"/>
  <c r="Z321" i="24"/>
  <c r="AA321" i="24" s="1"/>
  <c r="AB270" i="24"/>
  <c r="Z367" i="24"/>
  <c r="AA367" i="24" s="1"/>
  <c r="AB319" i="24"/>
  <c r="Z375" i="24"/>
  <c r="AA375" i="24" s="1"/>
  <c r="AB186" i="24"/>
  <c r="Z359" i="24"/>
  <c r="AA359" i="24" s="1"/>
  <c r="AB85" i="24"/>
  <c r="AB273" i="24"/>
  <c r="Z385" i="24"/>
  <c r="AA385" i="24" s="1"/>
  <c r="Z102" i="24"/>
  <c r="AA102" i="24" s="1"/>
  <c r="Z311" i="24"/>
  <c r="AA311" i="24" s="1"/>
  <c r="Z184" i="24"/>
  <c r="AA184" i="24" s="1"/>
  <c r="Z241" i="24"/>
  <c r="AA241" i="24" s="1"/>
  <c r="Z152" i="24"/>
  <c r="AA152" i="24" s="1"/>
  <c r="Z297" i="24"/>
  <c r="AA297" i="24" s="1"/>
  <c r="Z134" i="24"/>
  <c r="AA134" i="24" s="1"/>
  <c r="AB252" i="24"/>
  <c r="Z66" i="24"/>
  <c r="AA66" i="24" s="1"/>
  <c r="Z257" i="24"/>
  <c r="AA257" i="24" s="1"/>
  <c r="AB77" i="24"/>
  <c r="AB264" i="24"/>
  <c r="AB233" i="24"/>
  <c r="Z43" i="24"/>
  <c r="AA43" i="24" s="1"/>
  <c r="AB88" i="24"/>
  <c r="AB239" i="24"/>
  <c r="AB285" i="24"/>
  <c r="Z202" i="24"/>
  <c r="AA202" i="24" s="1"/>
  <c r="Z53" i="24"/>
  <c r="AA53" i="24" s="1"/>
  <c r="AB63" i="24"/>
  <c r="AB242" i="24"/>
  <c r="AB120" i="24"/>
  <c r="Z314" i="24"/>
  <c r="AA314" i="24" s="1"/>
  <c r="Z278" i="24"/>
  <c r="AA278" i="24" s="1"/>
  <c r="Z139" i="24"/>
  <c r="AA139" i="24" s="1"/>
  <c r="Z323" i="24"/>
  <c r="AA323" i="24" s="1"/>
  <c r="Z342" i="24"/>
  <c r="AA342" i="24" s="1"/>
  <c r="AB69" i="24"/>
  <c r="AB289" i="24"/>
  <c r="AB227" i="24"/>
  <c r="Z54" i="24"/>
  <c r="AA54" i="24" s="1"/>
  <c r="Z237" i="24"/>
  <c r="AA237" i="24" s="1"/>
  <c r="Z355" i="24"/>
  <c r="AA355" i="24" s="1"/>
  <c r="AB93" i="24"/>
  <c r="Z135" i="24"/>
  <c r="AA135" i="24" s="1"/>
  <c r="Z197" i="24"/>
  <c r="AA197" i="24" s="1"/>
  <c r="Z212" i="24"/>
  <c r="AA212" i="24" s="1"/>
  <c r="Z89" i="24"/>
  <c r="AA89" i="24" s="1"/>
  <c r="Z211" i="24"/>
  <c r="AA211" i="24" s="1"/>
  <c r="Z126" i="24"/>
  <c r="AA126" i="24" s="1"/>
  <c r="Z287" i="24"/>
  <c r="AA287" i="24" s="1"/>
  <c r="Z40" i="24"/>
  <c r="AA40" i="24" s="1"/>
  <c r="AB259" i="24"/>
  <c r="AB386" i="24"/>
  <c r="AB373" i="24"/>
  <c r="Z370" i="24"/>
  <c r="AA370" i="24" s="1"/>
  <c r="Z136" i="24"/>
  <c r="AA136" i="24" s="1"/>
  <c r="Z131" i="24"/>
  <c r="AA131" i="24" s="1"/>
  <c r="AB399" i="24"/>
  <c r="AB380" i="24"/>
  <c r="Z88" i="24"/>
  <c r="AA88" i="24" s="1"/>
  <c r="AB234" i="24"/>
  <c r="Z238" i="24"/>
  <c r="AA238" i="24" s="1"/>
  <c r="Z398" i="24"/>
  <c r="AA398" i="24" s="1"/>
  <c r="AB283" i="24"/>
  <c r="AB67" i="24"/>
  <c r="Z199" i="24"/>
  <c r="AA199" i="24" s="1"/>
  <c r="Z343" i="24"/>
  <c r="AA343" i="24" s="1"/>
  <c r="AB353" i="24"/>
  <c r="Z146" i="24"/>
  <c r="AA146" i="24" s="1"/>
  <c r="Z208" i="24"/>
  <c r="AA208" i="24" s="1"/>
  <c r="Z234" i="24"/>
  <c r="AA234" i="24" s="1"/>
  <c r="Z49" i="24"/>
  <c r="AA49" i="24" s="1"/>
  <c r="AB98" i="24"/>
  <c r="Z352" i="24"/>
  <c r="AA352" i="24" s="1"/>
  <c r="AB385" i="24"/>
  <c r="Z397" i="24"/>
  <c r="AA397" i="24" s="1"/>
  <c r="Z98" i="24"/>
  <c r="AA98" i="24" s="1"/>
  <c r="Z201" i="24"/>
  <c r="AA201" i="24" s="1"/>
  <c r="Z217" i="24"/>
  <c r="AA217" i="24" s="1"/>
  <c r="AB358" i="24"/>
  <c r="AB101" i="24"/>
  <c r="AB184" i="24"/>
  <c r="AB70" i="24"/>
  <c r="Z204" i="24"/>
  <c r="AA204" i="24" s="1"/>
  <c r="AB331" i="24"/>
  <c r="AB157" i="24"/>
  <c r="AB183" i="24"/>
  <c r="Z339" i="24"/>
  <c r="AA339" i="24" s="1"/>
  <c r="Z364" i="24"/>
  <c r="AA364" i="24" s="1"/>
  <c r="AB139" i="24"/>
  <c r="AB257" i="24"/>
  <c r="AB275" i="24"/>
  <c r="AB361" i="24"/>
  <c r="Z239" i="24"/>
  <c r="AA239" i="24" s="1"/>
  <c r="Z224" i="24"/>
  <c r="AA224" i="24" s="1"/>
  <c r="Z133" i="24"/>
  <c r="AA133" i="24" s="1"/>
  <c r="AB103" i="24"/>
  <c r="AB201" i="24"/>
  <c r="Z63" i="24"/>
  <c r="AA63" i="24" s="1"/>
  <c r="Z330" i="24"/>
  <c r="AA330" i="24" s="1"/>
  <c r="AB162" i="24"/>
  <c r="AB345" i="24"/>
  <c r="AB279" i="24"/>
  <c r="Z256" i="24"/>
  <c r="AA256" i="24" s="1"/>
  <c r="AB83" i="24"/>
  <c r="Z371" i="24"/>
  <c r="AA371" i="24" s="1"/>
  <c r="Z236" i="24"/>
  <c r="AA236" i="24" s="1"/>
  <c r="AB154" i="24"/>
  <c r="Z130" i="24"/>
  <c r="AA130" i="24" s="1"/>
  <c r="Z348" i="24"/>
  <c r="AA348" i="24" s="1"/>
  <c r="AB321" i="24"/>
  <c r="Z304" i="24"/>
  <c r="AA304" i="24" s="1"/>
  <c r="AB66" i="24"/>
  <c r="Z210" i="24"/>
  <c r="AA210" i="24" s="1"/>
  <c r="Z305" i="24"/>
  <c r="AA305" i="24" s="1"/>
  <c r="Z104" i="24"/>
  <c r="AA104" i="24" s="1"/>
  <c r="AB249" i="24"/>
  <c r="AB149" i="24"/>
  <c r="AB133" i="24"/>
  <c r="AB302" i="24"/>
  <c r="AB325" i="24"/>
  <c r="Z166" i="24"/>
  <c r="AA166" i="24" s="1"/>
  <c r="AB222" i="24"/>
  <c r="AB350" i="24"/>
  <c r="AB262" i="24"/>
  <c r="AB356" i="24"/>
  <c r="Z303" i="24"/>
  <c r="AA303" i="24" s="1"/>
  <c r="AB150" i="24"/>
  <c r="AB114" i="24"/>
  <c r="AB292" i="24"/>
  <c r="AB102" i="24"/>
  <c r="Z307" i="24"/>
  <c r="AA307" i="24" s="1"/>
  <c r="AB320" i="24"/>
  <c r="AB145" i="24"/>
  <c r="AB141" i="24"/>
  <c r="AB153" i="24"/>
  <c r="AB46" i="24"/>
  <c r="Z154" i="24"/>
  <c r="AA154" i="24" s="1"/>
  <c r="AB370" i="24"/>
  <c r="AB123" i="24"/>
  <c r="Z145" i="24"/>
  <c r="AA145" i="24" s="1"/>
  <c r="Z382" i="24"/>
  <c r="AA382" i="24" s="1"/>
  <c r="AB343" i="24"/>
  <c r="Z310" i="24"/>
  <c r="AA310" i="24" s="1"/>
  <c r="Z161" i="24"/>
  <c r="AA161" i="24" s="1"/>
  <c r="AB194" i="24"/>
  <c r="AB152" i="24"/>
  <c r="Z340" i="24"/>
  <c r="AA340" i="24" s="1"/>
  <c r="Z252" i="24"/>
  <c r="AA252" i="24" s="1"/>
  <c r="Z332" i="24"/>
  <c r="AA332" i="24" s="1"/>
  <c r="AB346" i="24"/>
  <c r="Z244" i="24"/>
  <c r="AA244" i="24" s="1"/>
  <c r="AB309" i="24"/>
  <c r="Z67" i="24"/>
  <c r="AA67" i="24" s="1"/>
  <c r="Z158" i="24"/>
  <c r="AA158" i="24" s="1"/>
  <c r="Z162" i="24"/>
  <c r="AA162" i="24" s="1"/>
  <c r="Z373" i="24"/>
  <c r="AA373" i="24" s="1"/>
  <c r="Z315" i="24"/>
  <c r="AA315" i="24" s="1"/>
  <c r="AB352" i="24"/>
  <c r="AB189" i="24"/>
  <c r="AB119" i="24"/>
  <c r="AB312" i="24"/>
  <c r="AB195" i="24"/>
  <c r="AB113" i="24"/>
  <c r="AB106" i="24"/>
  <c r="Z71" i="24"/>
  <c r="AA71" i="24" s="1"/>
  <c r="Z391" i="24"/>
  <c r="AA391" i="24" s="1"/>
  <c r="AB295" i="24"/>
  <c r="AB323" i="24"/>
  <c r="Z132" i="24"/>
  <c r="AA132" i="24" s="1"/>
  <c r="Z380" i="24"/>
  <c r="AA380" i="24" s="1"/>
  <c r="AB305" i="24"/>
  <c r="AB89" i="24"/>
  <c r="AB95" i="24"/>
  <c r="Z156" i="24"/>
  <c r="AA156" i="24" s="1"/>
  <c r="AB73" i="24"/>
  <c r="AB131" i="24"/>
  <c r="AB136" i="24"/>
  <c r="Z77" i="24"/>
  <c r="AA77" i="24" s="1"/>
  <c r="Z377" i="24"/>
  <c r="AA377" i="24" s="1"/>
  <c r="AB223" i="24"/>
  <c r="AB238" i="24"/>
  <c r="Z118" i="24"/>
  <c r="AA118" i="24" s="1"/>
  <c r="Z233" i="24"/>
  <c r="AA233" i="24" s="1"/>
  <c r="AB68" i="24"/>
  <c r="AB75" i="24"/>
  <c r="Z294" i="24"/>
  <c r="AA294" i="24" s="1"/>
  <c r="AB382" i="24"/>
  <c r="Z251" i="24"/>
  <c r="AA251" i="24" s="1"/>
  <c r="AB335" i="24"/>
  <c r="Z309" i="24"/>
  <c r="AA309" i="24" s="1"/>
  <c r="AB254" i="24"/>
  <c r="AB126" i="24"/>
  <c r="AB78" i="24"/>
  <c r="AB105" i="24"/>
  <c r="Z283" i="24"/>
  <c r="AA283" i="24" s="1"/>
  <c r="Z246" i="24"/>
  <c r="AA246" i="24" s="1"/>
  <c r="Z326" i="24"/>
  <c r="AA326" i="24" s="1"/>
  <c r="Z175" i="24"/>
  <c r="AA175" i="24" s="1"/>
  <c r="Z149" i="24"/>
  <c r="AA149" i="24" s="1"/>
  <c r="Z387" i="24"/>
  <c r="AA387" i="24" s="1"/>
  <c r="Z393" i="24"/>
  <c r="AA393" i="24" s="1"/>
  <c r="Z338" i="24"/>
  <c r="AA338" i="24" s="1"/>
  <c r="Z117" i="24"/>
  <c r="AA117" i="24" s="1"/>
  <c r="Z94" i="24"/>
  <c r="AA94" i="24" s="1"/>
  <c r="AB174" i="24"/>
  <c r="Z296" i="24"/>
  <c r="AA296" i="24" s="1"/>
  <c r="AB156" i="24"/>
  <c r="AB230" i="24"/>
  <c r="AB229" i="24"/>
  <c r="AB155" i="24"/>
  <c r="AB394" i="24"/>
  <c r="Z86" i="24"/>
  <c r="AA86" i="24" s="1"/>
  <c r="Z395" i="24"/>
  <c r="AA395" i="24" s="1"/>
  <c r="AB151" i="24"/>
  <c r="Z379" i="24"/>
  <c r="AA379" i="24" s="1"/>
  <c r="AB188" i="24"/>
  <c r="Z345" i="24"/>
  <c r="AA345" i="24" s="1"/>
  <c r="AB376" i="24"/>
  <c r="Z108" i="24"/>
  <c r="AA108" i="24" s="1"/>
  <c r="AB338" i="24"/>
  <c r="Z320" i="24"/>
  <c r="AA320" i="24" s="1"/>
  <c r="Z285" i="24"/>
  <c r="AA285" i="24" s="1"/>
  <c r="AB251" i="24"/>
  <c r="Z150" i="24"/>
  <c r="AA150" i="24" s="1"/>
  <c r="Z137" i="24"/>
  <c r="AA137" i="24" s="1"/>
  <c r="Z188" i="24"/>
  <c r="AA188" i="24" s="1"/>
  <c r="Z261" i="24"/>
  <c r="AA261" i="24" s="1"/>
  <c r="Z180" i="24"/>
  <c r="AA180" i="24" s="1"/>
  <c r="AB354" i="24"/>
  <c r="Z280" i="24"/>
  <c r="AA280" i="24" s="1"/>
  <c r="AB243" i="24"/>
  <c r="Z396" i="24"/>
  <c r="AA396" i="24" s="1"/>
  <c r="Z169" i="24"/>
  <c r="AA169" i="24" s="1"/>
  <c r="AB110" i="24"/>
  <c r="AB79" i="24"/>
  <c r="Z365" i="24"/>
  <c r="AA365" i="24" s="1"/>
  <c r="Z226" i="24"/>
  <c r="AA226" i="24" s="1"/>
  <c r="AB255" i="24"/>
  <c r="Z75" i="24"/>
  <c r="AA75" i="24" s="1"/>
  <c r="Z82" i="24"/>
  <c r="AA82" i="24" s="1"/>
  <c r="Z59" i="24"/>
  <c r="AA59" i="24" s="1"/>
  <c r="AB118" i="24"/>
  <c r="Z165" i="24"/>
  <c r="AA165" i="24" s="1"/>
  <c r="Z254" i="24"/>
  <c r="AA254" i="24" s="1"/>
  <c r="Z191" i="24"/>
  <c r="AA191" i="24" s="1"/>
  <c r="AB49" i="24"/>
  <c r="AB180" i="24"/>
  <c r="Z196" i="24"/>
  <c r="AA196" i="24" s="1"/>
  <c r="AB130" i="24"/>
  <c r="AB241" i="24"/>
  <c r="AB100" i="24"/>
  <c r="AB281" i="24"/>
  <c r="Z73" i="24"/>
  <c r="AA73" i="24" s="1"/>
  <c r="Z255" i="24"/>
  <c r="AA255" i="24" s="1"/>
  <c r="AB282" i="24"/>
  <c r="AB278" i="24"/>
  <c r="Z389" i="24"/>
  <c r="AA389" i="24" s="1"/>
  <c r="Z399" i="24"/>
  <c r="AA399" i="24" s="1"/>
  <c r="Z159" i="24"/>
  <c r="AA159" i="24" s="1"/>
  <c r="AB211" i="24"/>
  <c r="Z384" i="24"/>
  <c r="AA384" i="24" s="1"/>
  <c r="Z289" i="24"/>
  <c r="AA289" i="24" s="1"/>
  <c r="Z70" i="24"/>
  <c r="AA70" i="24" s="1"/>
  <c r="AB116" i="24"/>
  <c r="AB272" i="24"/>
  <c r="Z269" i="24"/>
  <c r="AA269" i="24" s="1"/>
  <c r="Z164" i="24"/>
  <c r="AA164" i="24" s="1"/>
  <c r="Z61" i="24"/>
  <c r="AA61" i="24" s="1"/>
  <c r="AB99" i="24"/>
  <c r="AB218" i="24"/>
  <c r="AB344" i="24"/>
  <c r="Z268" i="24"/>
  <c r="AA268" i="24" s="1"/>
  <c r="AB367" i="24"/>
  <c r="AB276" i="24"/>
  <c r="Z363" i="24"/>
  <c r="AA363" i="24" s="1"/>
  <c r="Z231" i="24"/>
  <c r="AA231" i="24" s="1"/>
  <c r="Z270" i="24"/>
  <c r="AA270" i="24" s="1"/>
  <c r="AB54" i="24"/>
  <c r="AB228" i="24"/>
  <c r="Z200" i="24"/>
  <c r="AA200" i="24" s="1"/>
  <c r="Z84" i="24"/>
  <c r="AA84" i="24" s="1"/>
  <c r="AB224" i="24"/>
  <c r="AB200" i="24"/>
  <c r="Z56" i="24"/>
  <c r="AA56" i="24" s="1"/>
  <c r="Z376" i="24"/>
  <c r="AA376" i="24" s="1"/>
  <c r="AB40" i="24"/>
  <c r="Z99" i="24"/>
  <c r="AA99" i="24" s="1"/>
  <c r="Z78" i="24"/>
  <c r="AA78" i="24" s="1"/>
  <c r="AB395" i="24"/>
  <c r="AB172" i="24"/>
  <c r="AB300" i="24"/>
  <c r="Z346" i="24"/>
  <c r="AA346" i="24" s="1"/>
  <c r="AB109" i="24"/>
  <c r="Z206" i="24"/>
  <c r="AA206" i="24" s="1"/>
  <c r="AB43" i="24"/>
  <c r="AB129" i="24"/>
  <c r="AB347" i="24"/>
  <c r="Z115" i="24"/>
  <c r="AA115" i="24" s="1"/>
  <c r="AB58" i="24"/>
  <c r="AB296" i="24"/>
  <c r="Z329" i="24"/>
  <c r="AA329" i="24" s="1"/>
  <c r="AB169" i="24"/>
  <c r="Z358" i="24"/>
  <c r="AA358" i="24" s="1"/>
  <c r="AB87" i="24"/>
  <c r="AB261" i="24"/>
  <c r="AB140" i="24"/>
  <c r="AB287" i="24"/>
  <c r="Z253" i="24"/>
  <c r="AA253" i="24" s="1"/>
  <c r="Z167" i="24"/>
  <c r="AA167" i="24" s="1"/>
  <c r="Z248" i="24"/>
  <c r="AA248" i="24" s="1"/>
  <c r="Z44" i="24"/>
  <c r="AA44" i="24" s="1"/>
  <c r="Z186" i="24"/>
  <c r="AA186" i="24" s="1"/>
  <c r="Z275" i="24"/>
  <c r="AA275" i="24" s="1"/>
  <c r="AB207" i="24"/>
  <c r="AB306" i="24"/>
  <c r="AB337" i="24"/>
  <c r="Z265" i="24"/>
  <c r="AA265" i="24" s="1"/>
  <c r="AB328" i="24"/>
  <c r="AB170" i="24"/>
  <c r="Z178" i="24"/>
  <c r="AA178" i="24" s="1"/>
  <c r="AB322" i="24"/>
  <c r="AB62" i="24"/>
  <c r="Z260" i="24"/>
  <c r="AA260" i="24" s="1"/>
  <c r="Z218" i="24"/>
  <c r="AA218" i="24" s="1"/>
  <c r="Z213" i="24"/>
  <c r="AA213" i="24" s="1"/>
  <c r="Z383" i="24"/>
  <c r="AA383" i="24" s="1"/>
  <c r="AB263" i="24"/>
  <c r="AB173" i="24"/>
  <c r="AB360" i="24"/>
  <c r="Z83" i="24"/>
  <c r="AA83" i="24" s="1"/>
  <c r="Z282" i="24"/>
  <c r="AA282" i="24" s="1"/>
  <c r="AB53" i="24"/>
  <c r="Z110" i="24"/>
  <c r="AA110" i="24" s="1"/>
  <c r="AB329" i="24"/>
  <c r="AB163" i="24"/>
  <c r="AB340" i="24"/>
  <c r="Z347" i="24"/>
  <c r="AA347" i="24" s="1"/>
  <c r="Z168" i="24"/>
  <c r="AA168" i="24" s="1"/>
  <c r="Z368" i="24"/>
  <c r="AA368" i="24" s="1"/>
  <c r="AB304" i="24"/>
  <c r="AB268" i="24"/>
  <c r="Z333" i="24"/>
  <c r="AA333" i="24" s="1"/>
  <c r="Z87" i="24"/>
  <c r="AA87" i="24" s="1"/>
  <c r="AB391" i="24"/>
  <c r="AB274" i="24"/>
  <c r="AB107" i="24"/>
  <c r="Z92" i="24"/>
  <c r="AA92" i="24" s="1"/>
  <c r="Z179" i="24"/>
  <c r="AA179" i="24" s="1"/>
  <c r="AB221" i="24"/>
  <c r="Z316" i="24"/>
  <c r="AA316" i="24" s="1"/>
  <c r="Z267" i="24"/>
  <c r="AA267" i="24" s="1"/>
  <c r="AB112" i="24"/>
  <c r="AB244" i="24"/>
  <c r="Z45" i="24"/>
  <c r="AA45" i="24" s="1"/>
  <c r="Z187" i="24"/>
  <c r="AA187" i="24" s="1"/>
  <c r="AB381" i="24"/>
  <c r="AB288" i="24"/>
  <c r="Z308" i="24"/>
  <c r="AA308" i="24" s="1"/>
  <c r="AB286" i="24"/>
  <c r="Y32" i="24"/>
  <c r="AB97" i="24"/>
  <c r="Z263" i="24"/>
  <c r="AA263" i="24" s="1"/>
  <c r="Z357" i="24"/>
  <c r="AA357" i="24" s="1"/>
  <c r="AB160" i="24"/>
  <c r="AB324" i="24"/>
  <c r="AB336" i="24"/>
  <c r="AB215" i="24"/>
  <c r="Z245" i="24"/>
  <c r="AA245" i="24" s="1"/>
  <c r="AB50" i="24"/>
  <c r="AB117" i="24"/>
  <c r="Z171" i="24"/>
  <c r="AA171" i="24" s="1"/>
  <c r="AB307" i="24"/>
  <c r="Z190" i="24"/>
  <c r="AA190" i="24" s="1"/>
  <c r="Z85" i="24"/>
  <c r="AA85" i="24" s="1"/>
  <c r="AB334" i="24"/>
  <c r="AB277" i="24"/>
  <c r="AB199" i="24"/>
  <c r="AB161" i="24"/>
  <c r="AB355" i="24"/>
  <c r="AB42" i="24"/>
  <c r="AB390" i="24"/>
  <c r="Z331" i="24"/>
  <c r="AA331" i="24" s="1"/>
  <c r="AB217" i="24"/>
  <c r="Z353" i="24"/>
  <c r="AA353" i="24" s="1"/>
  <c r="Z215" i="24"/>
  <c r="AA215" i="24" s="1"/>
  <c r="Z388" i="24"/>
  <c r="AA388" i="24" s="1"/>
  <c r="AB375" i="24"/>
  <c r="AB384" i="24"/>
  <c r="AB47" i="24"/>
  <c r="AB301" i="24"/>
  <c r="Z298" i="24"/>
  <c r="AA298" i="24" s="1"/>
  <c r="Z274" i="24"/>
  <c r="AA274" i="24" s="1"/>
  <c r="AB258" i="24"/>
  <c r="Z100" i="24"/>
  <c r="AA100" i="24" s="1"/>
  <c r="Z170" i="24"/>
  <c r="AA170" i="24" s="1"/>
  <c r="Z177" i="24"/>
  <c r="AA177" i="24" s="1"/>
  <c r="AB125" i="24"/>
  <c r="Z259" i="24"/>
  <c r="AA259" i="24" s="1"/>
  <c r="AB44" i="24"/>
  <c r="Z374" i="24"/>
  <c r="AA374" i="24" s="1"/>
  <c r="AB182" i="24"/>
  <c r="Z325" i="24"/>
  <c r="AA325" i="24" s="1"/>
  <c r="Z361" i="24"/>
  <c r="AA361" i="24" s="1"/>
  <c r="AB56" i="24"/>
  <c r="AB225" i="24"/>
  <c r="Z228" i="24"/>
  <c r="AA228" i="24" s="1"/>
  <c r="AB267" i="24"/>
  <c r="Z95" i="24"/>
  <c r="AA95" i="24" s="1"/>
  <c r="Z120" i="24"/>
  <c r="AA120" i="24" s="1"/>
  <c r="AB231" i="24"/>
  <c r="AB121" i="24"/>
  <c r="Z225" i="24"/>
  <c r="AA225" i="24" s="1"/>
  <c r="AB128" i="24"/>
  <c r="Z157" i="24"/>
  <c r="AA157" i="24" s="1"/>
  <c r="Z112" i="24"/>
  <c r="AA112" i="24" s="1"/>
  <c r="AB142" i="24"/>
  <c r="Z209" i="24"/>
  <c r="AA209" i="24" s="1"/>
  <c r="Z123" i="24"/>
  <c r="AA123" i="24" s="1"/>
  <c r="AB396" i="24"/>
  <c r="AB45" i="24"/>
  <c r="Z195" i="24"/>
  <c r="AA195" i="24" s="1"/>
  <c r="AB206" i="24"/>
  <c r="Z51" i="24"/>
  <c r="AA51" i="24" s="1"/>
  <c r="Z121" i="24"/>
  <c r="AA121" i="24" s="1"/>
  <c r="AB248" i="24"/>
  <c r="AB168" i="24"/>
  <c r="AB372" i="24"/>
  <c r="Z350" i="24"/>
  <c r="AA350" i="24" s="1"/>
  <c r="Z64" i="24"/>
  <c r="AA64" i="24" s="1"/>
  <c r="Z341" i="24"/>
  <c r="AA341" i="24" s="1"/>
  <c r="Z378" i="24"/>
  <c r="AA378" i="24" s="1"/>
  <c r="AF169" i="24"/>
  <c r="AD133" i="24"/>
  <c r="AE133" i="24" s="1"/>
  <c r="AF324" i="24"/>
  <c r="AF113" i="24"/>
  <c r="AF73" i="24"/>
  <c r="AF160" i="24"/>
  <c r="AD355" i="24"/>
  <c r="AE355" i="24" s="1"/>
  <c r="AF167" i="24"/>
  <c r="AF194" i="24"/>
  <c r="AF354" i="24"/>
  <c r="AF170" i="24"/>
  <c r="AD253" i="24"/>
  <c r="AE253" i="24" s="1"/>
  <c r="AD246" i="24"/>
  <c r="AE246" i="24" s="1"/>
  <c r="AF381" i="24"/>
  <c r="AF100" i="24"/>
  <c r="AD335" i="24"/>
  <c r="AE335" i="24" s="1"/>
  <c r="AF203" i="24"/>
  <c r="G22" i="24"/>
  <c r="AF86" i="24"/>
  <c r="AF314" i="24"/>
  <c r="AF134" i="24"/>
  <c r="AD256" i="24"/>
  <c r="AE256" i="24" s="1"/>
  <c r="AF285" i="24"/>
  <c r="AF310" i="24"/>
  <c r="AD282" i="24"/>
  <c r="AE282" i="24" s="1"/>
  <c r="AD262" i="24"/>
  <c r="AE262" i="24" s="1"/>
  <c r="AD63" i="24"/>
  <c r="AE63" i="24" s="1"/>
  <c r="AD161" i="24"/>
  <c r="AE161" i="24" s="1"/>
  <c r="AD212" i="24"/>
  <c r="AE212" i="24" s="1"/>
  <c r="AF254" i="24"/>
  <c r="AD284" i="24"/>
  <c r="AE284" i="24" s="1"/>
  <c r="AD178" i="24"/>
  <c r="AE178" i="24" s="1"/>
  <c r="AF63" i="24"/>
  <c r="AF304" i="24"/>
  <c r="AF318" i="24"/>
  <c r="AF341" i="24"/>
  <c r="AD170" i="24"/>
  <c r="AE170" i="24" s="1"/>
  <c r="AF135" i="24"/>
  <c r="AF90" i="24"/>
  <c r="AF240" i="24"/>
  <c r="AF107" i="24"/>
  <c r="AF344" i="24"/>
  <c r="AF340" i="24"/>
  <c r="AD238" i="24"/>
  <c r="AE238" i="24" s="1"/>
  <c r="AD115" i="24"/>
  <c r="AE115" i="24" s="1"/>
  <c r="AF376" i="24"/>
  <c r="AD130" i="24"/>
  <c r="AE130" i="24" s="1"/>
  <c r="AC32" i="24"/>
  <c r="AD231" i="24"/>
  <c r="AE231" i="24" s="1"/>
  <c r="AF144" i="24"/>
  <c r="AD109" i="24"/>
  <c r="AE109" i="24" s="1"/>
  <c r="AF302" i="24"/>
  <c r="AD356" i="24"/>
  <c r="AE356" i="24" s="1"/>
  <c r="AD93" i="24"/>
  <c r="AE93" i="24" s="1"/>
  <c r="AD41" i="24"/>
  <c r="AE41" i="24" s="1"/>
  <c r="AD368" i="24"/>
  <c r="AE368" i="24" s="1"/>
  <c r="AD92" i="24"/>
  <c r="AE92" i="24" s="1"/>
  <c r="AD49" i="24"/>
  <c r="AE49" i="24" s="1"/>
  <c r="AF78" i="24"/>
  <c r="AD51" i="24"/>
  <c r="AE51" i="24" s="1"/>
  <c r="AD232" i="24"/>
  <c r="AE232" i="24" s="1"/>
  <c r="AD369" i="24"/>
  <c r="AE369" i="24" s="1"/>
  <c r="AD277" i="24"/>
  <c r="AE277" i="24" s="1"/>
  <c r="AD343" i="24"/>
  <c r="AE343" i="24" s="1"/>
  <c r="AD215" i="24"/>
  <c r="AE215" i="24" s="1"/>
  <c r="AD186" i="24"/>
  <c r="AE186" i="24" s="1"/>
  <c r="AF217" i="24"/>
  <c r="AF242" i="24"/>
  <c r="AD370" i="24"/>
  <c r="AE370" i="24" s="1"/>
  <c r="AF247" i="24"/>
  <c r="AF145" i="24"/>
  <c r="AF337" i="24"/>
  <c r="AD182" i="24"/>
  <c r="AE182" i="24" s="1"/>
  <c r="AD319" i="24"/>
  <c r="AE319" i="24" s="1"/>
  <c r="AD208" i="24"/>
  <c r="AE208" i="24" s="1"/>
  <c r="AF374" i="24"/>
  <c r="AF251" i="24"/>
  <c r="AD155" i="24"/>
  <c r="AE155" i="24" s="1"/>
  <c r="AD285" i="24"/>
  <c r="AE285" i="24" s="1"/>
  <c r="AD134" i="24"/>
  <c r="AE134" i="24" s="1"/>
  <c r="AF279" i="24"/>
  <c r="AF191" i="24"/>
  <c r="AF128" i="24"/>
  <c r="AF289" i="24"/>
  <c r="AF117" i="24"/>
  <c r="AF267" i="24"/>
  <c r="AF102" i="24"/>
  <c r="AF72" i="24"/>
  <c r="AF67" i="24"/>
  <c r="AD173" i="24"/>
  <c r="AE173" i="24" s="1"/>
  <c r="AF350" i="24"/>
  <c r="AF384" i="24"/>
  <c r="AD230" i="24"/>
  <c r="AE230" i="24" s="1"/>
  <c r="AF192" i="24"/>
  <c r="AD168" i="24"/>
  <c r="AE168" i="24" s="1"/>
  <c r="AF343" i="24"/>
  <c r="AF180" i="24"/>
  <c r="AD162" i="24"/>
  <c r="AE162" i="24" s="1"/>
  <c r="AD383" i="24"/>
  <c r="AE383" i="24" s="1"/>
  <c r="AF130" i="24"/>
  <c r="AD83" i="24"/>
  <c r="AE83" i="24" s="1"/>
  <c r="AF241" i="24"/>
  <c r="AF235" i="24"/>
  <c r="AF286" i="24"/>
  <c r="AF164" i="24"/>
  <c r="AD349" i="24"/>
  <c r="AE349" i="24" s="1"/>
  <c r="AF291" i="24"/>
  <c r="AD185" i="24"/>
  <c r="AE185" i="24" s="1"/>
  <c r="AD259" i="24"/>
  <c r="AE259" i="24" s="1"/>
  <c r="AF80" i="24"/>
  <c r="AD113" i="24"/>
  <c r="AE113" i="24" s="1"/>
  <c r="AD269" i="24"/>
  <c r="AE269" i="24" s="1"/>
  <c r="AF299" i="24"/>
  <c r="AF333" i="24"/>
  <c r="AD233" i="24"/>
  <c r="AE233" i="24" s="1"/>
  <c r="AD105" i="24"/>
  <c r="AE105" i="24" s="1"/>
  <c r="AD175" i="24"/>
  <c r="AE175" i="24" s="1"/>
  <c r="AF348" i="24"/>
  <c r="AD366" i="24"/>
  <c r="AE366" i="24" s="1"/>
  <c r="AD148" i="24"/>
  <c r="AE148" i="24" s="1"/>
  <c r="AF146" i="24"/>
  <c r="AD40" i="24"/>
  <c r="AE40" i="24" s="1"/>
  <c r="AD76" i="24"/>
  <c r="AE76" i="24" s="1"/>
  <c r="AD363" i="24"/>
  <c r="AE363" i="24" s="1"/>
  <c r="AF218" i="24"/>
  <c r="AF221" i="24"/>
  <c r="AD340" i="24"/>
  <c r="AE340" i="24" s="1"/>
  <c r="AF394" i="24"/>
  <c r="AD207" i="24"/>
  <c r="AE207" i="24" s="1"/>
  <c r="AD247" i="24"/>
  <c r="AE247" i="24" s="1"/>
  <c r="AD276" i="24"/>
  <c r="AE276" i="24" s="1"/>
  <c r="AF51" i="24"/>
  <c r="AD371" i="24"/>
  <c r="AE371" i="24" s="1"/>
  <c r="AF158" i="24"/>
  <c r="AD225" i="24"/>
  <c r="AE225" i="24" s="1"/>
  <c r="AD273" i="24"/>
  <c r="AE273" i="24" s="1"/>
  <c r="AF119" i="24"/>
  <c r="AD309" i="24"/>
  <c r="AE309" i="24" s="1"/>
  <c r="AD298" i="24"/>
  <c r="AE298" i="24" s="1"/>
  <c r="AF252" i="24"/>
  <c r="AD180" i="24"/>
  <c r="AE180" i="24" s="1"/>
  <c r="AF361" i="24"/>
  <c r="AD136" i="24"/>
  <c r="AE136" i="24" s="1"/>
  <c r="AD350" i="24"/>
  <c r="AE350" i="24" s="1"/>
  <c r="AF225" i="24"/>
  <c r="AF339" i="24"/>
  <c r="AF147" i="24"/>
  <c r="AF300" i="24"/>
  <c r="AF306" i="24"/>
  <c r="AD297" i="24"/>
  <c r="AE297" i="24" s="1"/>
  <c r="AD291" i="24"/>
  <c r="AE291" i="24" s="1"/>
  <c r="AD210" i="24"/>
  <c r="AE210" i="24" s="1"/>
  <c r="AF40" i="24"/>
  <c r="AF253" i="24"/>
  <c r="AD302" i="24"/>
  <c r="AE302" i="24" s="1"/>
  <c r="AF390" i="24"/>
  <c r="AD95" i="24"/>
  <c r="AE95" i="24" s="1"/>
  <c r="AF92" i="24"/>
  <c r="AD287" i="24"/>
  <c r="AE287" i="24" s="1"/>
  <c r="AF366" i="24"/>
  <c r="AF228" i="24"/>
  <c r="AD125" i="24"/>
  <c r="AE125" i="24" s="1"/>
  <c r="AF389" i="24"/>
  <c r="AD119" i="24"/>
  <c r="AE119" i="24" s="1"/>
  <c r="AD54" i="24"/>
  <c r="AE54" i="24" s="1"/>
  <c r="AF260" i="24"/>
  <c r="AF195" i="24"/>
  <c r="AF39" i="24"/>
  <c r="AD361" i="24"/>
  <c r="AE361" i="24" s="1"/>
  <c r="AF391" i="24"/>
  <c r="AF58" i="24"/>
  <c r="AF277" i="24"/>
  <c r="AF331" i="24"/>
  <c r="AD205" i="24"/>
  <c r="AE205" i="24" s="1"/>
  <c r="AF301" i="24"/>
  <c r="AF76" i="24"/>
  <c r="AD94" i="24"/>
  <c r="AE94" i="24" s="1"/>
  <c r="AD227" i="24"/>
  <c r="AE227" i="24" s="1"/>
  <c r="AD167" i="24"/>
  <c r="AE167" i="24" s="1"/>
  <c r="AF125" i="24"/>
  <c r="AF346" i="24"/>
  <c r="AF69" i="24"/>
  <c r="AD184" i="24"/>
  <c r="AE184" i="24" s="1"/>
  <c r="AF321" i="24"/>
  <c r="AF174" i="24"/>
  <c r="AF97" i="24"/>
  <c r="AF230" i="24"/>
  <c r="AD382" i="24"/>
  <c r="AE382" i="24" s="1"/>
  <c r="AD354" i="24"/>
  <c r="AE354" i="24" s="1"/>
  <c r="AD74" i="24"/>
  <c r="AE74" i="24" s="1"/>
  <c r="AD72" i="24"/>
  <c r="AE72" i="24" s="1"/>
  <c r="AD283" i="24"/>
  <c r="AE283" i="24" s="1"/>
  <c r="AD61" i="24"/>
  <c r="AE61" i="24" s="1"/>
  <c r="AF59" i="24"/>
  <c r="AD358" i="24"/>
  <c r="AE358" i="24" s="1"/>
  <c r="AD316" i="24"/>
  <c r="AE316" i="24" s="1"/>
  <c r="AD146" i="24"/>
  <c r="AE146" i="24" s="1"/>
  <c r="AD234" i="24"/>
  <c r="AE234" i="24" s="1"/>
  <c r="AF122" i="24"/>
  <c r="AF142" i="24"/>
  <c r="AF54" i="24"/>
  <c r="AD244" i="24"/>
  <c r="AE244" i="24" s="1"/>
  <c r="AD385" i="24"/>
  <c r="AE385" i="24" s="1"/>
  <c r="AD166" i="24"/>
  <c r="AE166" i="24" s="1"/>
  <c r="AF151" i="24"/>
  <c r="AF326" i="24"/>
  <c r="AD381" i="24"/>
  <c r="AE381" i="24" s="1"/>
  <c r="AD264" i="24"/>
  <c r="AE264" i="24" s="1"/>
  <c r="AF372" i="24"/>
  <c r="AF60" i="24"/>
  <c r="AF244" i="24"/>
  <c r="AD111" i="24"/>
  <c r="AE111" i="24" s="1"/>
  <c r="AF266" i="24"/>
  <c r="AD386" i="24"/>
  <c r="AE386" i="24" s="1"/>
  <c r="AF108" i="24"/>
  <c r="AF177" i="24"/>
  <c r="AD81" i="24"/>
  <c r="AE81" i="24" s="1"/>
  <c r="AF66" i="24"/>
  <c r="AD97" i="24"/>
  <c r="AE97" i="24" s="1"/>
  <c r="AF297" i="24"/>
  <c r="AF368" i="24"/>
  <c r="AD314" i="24"/>
  <c r="AE314" i="24" s="1"/>
  <c r="AD189" i="24"/>
  <c r="AE189" i="24" s="1"/>
  <c r="AD44" i="24"/>
  <c r="AE44" i="24" s="1"/>
  <c r="AD100" i="24"/>
  <c r="AE100" i="24" s="1"/>
  <c r="AF74" i="24"/>
  <c r="AD96" i="24"/>
  <c r="AE96" i="24" s="1"/>
  <c r="AF166" i="24"/>
  <c r="AD77" i="24"/>
  <c r="AE77" i="24" s="1"/>
  <c r="AD104" i="24"/>
  <c r="AE104" i="24" s="1"/>
  <c r="AD326" i="24"/>
  <c r="AE326" i="24" s="1"/>
  <c r="AD392" i="24"/>
  <c r="AE392" i="24" s="1"/>
  <c r="AF298" i="24"/>
  <c r="AD143" i="24"/>
  <c r="AE143" i="24" s="1"/>
  <c r="AF140" i="24"/>
  <c r="AD110" i="24"/>
  <c r="AE110" i="24" s="1"/>
  <c r="AD374" i="24"/>
  <c r="AE374" i="24" s="1"/>
  <c r="AD275" i="24"/>
  <c r="AE275" i="24" s="1"/>
  <c r="AD288" i="24"/>
  <c r="AE288" i="24" s="1"/>
  <c r="AF351" i="24"/>
  <c r="AD271" i="24"/>
  <c r="AE271" i="24" s="1"/>
  <c r="AF211" i="24"/>
  <c r="AF263" i="24"/>
  <c r="AF359" i="24"/>
  <c r="AF358" i="24"/>
  <c r="AF126" i="24"/>
  <c r="AD397" i="24"/>
  <c r="AE397" i="24" s="1"/>
  <c r="AF149" i="24"/>
  <c r="AD199" i="24"/>
  <c r="AE199" i="24" s="1"/>
  <c r="AF41" i="24"/>
  <c r="AD241" i="24"/>
  <c r="AE241" i="24" s="1"/>
  <c r="AF44" i="24"/>
  <c r="AD196" i="24"/>
  <c r="AE196" i="24" s="1"/>
  <c r="AD73" i="24"/>
  <c r="AE73" i="24" s="1"/>
  <c r="AF46" i="24"/>
  <c r="AF200" i="24"/>
  <c r="AD138" i="24"/>
  <c r="AE138" i="24" s="1"/>
  <c r="AF87" i="24"/>
  <c r="AF342" i="24"/>
  <c r="AF380" i="24"/>
  <c r="AF369" i="24"/>
  <c r="AF387" i="24"/>
  <c r="AF393" i="24"/>
  <c r="AD301" i="24"/>
  <c r="AE301" i="24" s="1"/>
  <c r="AF75" i="24"/>
  <c r="AF162" i="24"/>
  <c r="AD228" i="24"/>
  <c r="AE228" i="24" s="1"/>
  <c r="AF224" i="24"/>
  <c r="AF121" i="24"/>
  <c r="AF275" i="24"/>
  <c r="AD267" i="24"/>
  <c r="AE267" i="24" s="1"/>
  <c r="AF249" i="24"/>
  <c r="AD325" i="24"/>
  <c r="AE325" i="24" s="1"/>
  <c r="AF274" i="24"/>
  <c r="AF91" i="24"/>
  <c r="AD243" i="24"/>
  <c r="AE243" i="24" s="1"/>
  <c r="AF136" i="24"/>
  <c r="AD239" i="24"/>
  <c r="AE239" i="24" s="1"/>
  <c r="AD304" i="24"/>
  <c r="AE304" i="24" s="1"/>
  <c r="AD384" i="24"/>
  <c r="AE384" i="24" s="1"/>
  <c r="AF190" i="24"/>
  <c r="AD235" i="24"/>
  <c r="AE235" i="24" s="1"/>
  <c r="AF295" i="24"/>
  <c r="AF70" i="24"/>
  <c r="AF165" i="24"/>
  <c r="AF52" i="24"/>
  <c r="AD149" i="24"/>
  <c r="AE149" i="24" s="1"/>
  <c r="AF189" i="24"/>
  <c r="AD300" i="24"/>
  <c r="AE300" i="24" s="1"/>
  <c r="AF193" i="24"/>
  <c r="AF95" i="24"/>
  <c r="AD353" i="24"/>
  <c r="AE353" i="24" s="1"/>
  <c r="AF49" i="24"/>
  <c r="AD333" i="24"/>
  <c r="AE333" i="24" s="1"/>
  <c r="AF232" i="24"/>
  <c r="AF319" i="24"/>
  <c r="AD294" i="24"/>
  <c r="AE294" i="24" s="1"/>
  <c r="AD47" i="24"/>
  <c r="AE47" i="24" s="1"/>
  <c r="AD224" i="24"/>
  <c r="AE224" i="24" s="1"/>
  <c r="AF367" i="24"/>
  <c r="AD176" i="24"/>
  <c r="AE176" i="24" s="1"/>
  <c r="AF71" i="24"/>
  <c r="AF209" i="24"/>
  <c r="AD211" i="24"/>
  <c r="AE211" i="24" s="1"/>
  <c r="AD195" i="24"/>
  <c r="AE195" i="24" s="1"/>
  <c r="AD311" i="24"/>
  <c r="AE311" i="24" s="1"/>
  <c r="AD99" i="24"/>
  <c r="AE99" i="24" s="1"/>
  <c r="AD129" i="24"/>
  <c r="AE129" i="24" s="1"/>
  <c r="AF237" i="24"/>
  <c r="AF356" i="24"/>
  <c r="AF64" i="24"/>
  <c r="AD245" i="24"/>
  <c r="AE245" i="24" s="1"/>
  <c r="AF55" i="24"/>
  <c r="AD348" i="24"/>
  <c r="AE348" i="24" s="1"/>
  <c r="AF283" i="24"/>
  <c r="AD141" i="24"/>
  <c r="AE141" i="24" s="1"/>
  <c r="AD200" i="24"/>
  <c r="AE200" i="24" s="1"/>
  <c r="AD270" i="24"/>
  <c r="AE270" i="24" s="1"/>
  <c r="AD357" i="24"/>
  <c r="AE357" i="24" s="1"/>
  <c r="AF133" i="24"/>
  <c r="AF258" i="24"/>
  <c r="AD193" i="24"/>
  <c r="AE193" i="24" s="1"/>
  <c r="AD191" i="24"/>
  <c r="AE191" i="24" s="1"/>
  <c r="AD249" i="24"/>
  <c r="AE249" i="24" s="1"/>
  <c r="AD261" i="24"/>
  <c r="AE261" i="24" s="1"/>
  <c r="AF233" i="24"/>
  <c r="AF323" i="24"/>
  <c r="AF196" i="24"/>
  <c r="AF335" i="24"/>
  <c r="AD398" i="24"/>
  <c r="AE398" i="24" s="1"/>
  <c r="AD293" i="24"/>
  <c r="AE293" i="24" s="1"/>
  <c r="AF56" i="24"/>
  <c r="AF223" i="24"/>
  <c r="AF110" i="24"/>
  <c r="AF305" i="24"/>
  <c r="AF143" i="24"/>
  <c r="AD135" i="24"/>
  <c r="AE135" i="24" s="1"/>
  <c r="AF311" i="24"/>
  <c r="AF172" i="24"/>
  <c r="AD305" i="24"/>
  <c r="AE305" i="24" s="1"/>
  <c r="AD344" i="24"/>
  <c r="AE344" i="24" s="1"/>
  <c r="AD379" i="24"/>
  <c r="AE379" i="24" s="1"/>
  <c r="AF202" i="24"/>
  <c r="AD318" i="24"/>
  <c r="AE318" i="24" s="1"/>
  <c r="AD289" i="24"/>
  <c r="AE289" i="24" s="1"/>
  <c r="AD172" i="24"/>
  <c r="AE172" i="24" s="1"/>
  <c r="AF226" i="24"/>
  <c r="AD150" i="24"/>
  <c r="AE150" i="24" s="1"/>
  <c r="AF352" i="24"/>
  <c r="AF303" i="24"/>
  <c r="AF201" i="24"/>
  <c r="AF45" i="24"/>
  <c r="AD242" i="24"/>
  <c r="AE242" i="24" s="1"/>
  <c r="AD364" i="24"/>
  <c r="AE364" i="24" s="1"/>
  <c r="AF345" i="24"/>
  <c r="AF61" i="24"/>
  <c r="AF139" i="24"/>
  <c r="AD226" i="24"/>
  <c r="AE226" i="24" s="1"/>
  <c r="AD328" i="24"/>
  <c r="AE328" i="24" s="1"/>
  <c r="AD272" i="24"/>
  <c r="AE272" i="24" s="1"/>
  <c r="AF371" i="24"/>
  <c r="AD322" i="24"/>
  <c r="AE322" i="24" s="1"/>
  <c r="AF293" i="24"/>
  <c r="AD203" i="24"/>
  <c r="AE203" i="24" s="1"/>
  <c r="AD192" i="24"/>
  <c r="AE192" i="24" s="1"/>
  <c r="AF234" i="24"/>
  <c r="AD112" i="24"/>
  <c r="AE112" i="24" s="1"/>
  <c r="AF173" i="24"/>
  <c r="AF84" i="24"/>
  <c r="AF386" i="24"/>
  <c r="AF213" i="24"/>
  <c r="AD387" i="24"/>
  <c r="AE387" i="24" s="1"/>
  <c r="AD64" i="24"/>
  <c r="AE64" i="24" s="1"/>
  <c r="AF382" i="24"/>
  <c r="AD280" i="24"/>
  <c r="AE280" i="24" s="1"/>
  <c r="AF245" i="24"/>
  <c r="AD89" i="24"/>
  <c r="AE89" i="24" s="1"/>
  <c r="AF373" i="24"/>
  <c r="AD265" i="24"/>
  <c r="AE265" i="24" s="1"/>
  <c r="AF116" i="24"/>
  <c r="AD80" i="24"/>
  <c r="AE80" i="24" s="1"/>
  <c r="AF334" i="24"/>
  <c r="AF48" i="24"/>
  <c r="AD323" i="24"/>
  <c r="AE323" i="24" s="1"/>
  <c r="AF243" i="24"/>
  <c r="AD39" i="24"/>
  <c r="AE39" i="24" s="1"/>
  <c r="AF207" i="24"/>
  <c r="AD255" i="24"/>
  <c r="AE255" i="24" s="1"/>
  <c r="AF127" i="24"/>
  <c r="AF290" i="24"/>
  <c r="AD86" i="24"/>
  <c r="AE86" i="24" s="1"/>
  <c r="AD123" i="24"/>
  <c r="AE123" i="24" s="1"/>
  <c r="AD360" i="24"/>
  <c r="AE360" i="24" s="1"/>
  <c r="AF278" i="24"/>
  <c r="AF362" i="24"/>
  <c r="AF120" i="24"/>
  <c r="AF176" i="24"/>
  <c r="AD263" i="24"/>
  <c r="AE263" i="24" s="1"/>
  <c r="AD70" i="24"/>
  <c r="AE70" i="24" s="1"/>
  <c r="AF392" i="24"/>
  <c r="AD67" i="24"/>
  <c r="AE67" i="24" s="1"/>
  <c r="AD266" i="24"/>
  <c r="AE266" i="24" s="1"/>
  <c r="AF396" i="24"/>
  <c r="AF332" i="24"/>
  <c r="AD334" i="24"/>
  <c r="AE334" i="24" s="1"/>
  <c r="AF81" i="24"/>
  <c r="AD120" i="24"/>
  <c r="AE120" i="24" s="1"/>
  <c r="AD395" i="24"/>
  <c r="AE395" i="24" s="1"/>
  <c r="AD260" i="24"/>
  <c r="AE260" i="24" s="1"/>
  <c r="AD147" i="24"/>
  <c r="AE147" i="24" s="1"/>
  <c r="AD75" i="24"/>
  <c r="AE75" i="24" s="1"/>
  <c r="AD128" i="24"/>
  <c r="AE128" i="24" s="1"/>
  <c r="AD223" i="24"/>
  <c r="AE223" i="24" s="1"/>
  <c r="AF256" i="24"/>
  <c r="AF397" i="24"/>
  <c r="AD347" i="24"/>
  <c r="AE347" i="24" s="1"/>
  <c r="AF262" i="24"/>
  <c r="AD157" i="24"/>
  <c r="AE157" i="24" s="1"/>
  <c r="AD329" i="24"/>
  <c r="AE329" i="24" s="1"/>
  <c r="AF83" i="24"/>
  <c r="AD53" i="24"/>
  <c r="AE53" i="24" s="1"/>
  <c r="AD281" i="24"/>
  <c r="AE281" i="24" s="1"/>
  <c r="AF271" i="24"/>
  <c r="AF175" i="24"/>
  <c r="AD42" i="24"/>
  <c r="AE42" i="24" s="1"/>
  <c r="AD117" i="24"/>
  <c r="AE117" i="24" s="1"/>
  <c r="AD154" i="24"/>
  <c r="AE154" i="24" s="1"/>
  <c r="AD79" i="24"/>
  <c r="AE79" i="24" s="1"/>
  <c r="AF179" i="24"/>
  <c r="AD313" i="24"/>
  <c r="AE313" i="24" s="1"/>
  <c r="AD290" i="24"/>
  <c r="AE290" i="24" s="1"/>
  <c r="AF129" i="24"/>
  <c r="AD106" i="24"/>
  <c r="AE106" i="24" s="1"/>
  <c r="AD295" i="24"/>
  <c r="AE295" i="24" s="1"/>
  <c r="AD327" i="24"/>
  <c r="AE327" i="24" s="1"/>
  <c r="AD57" i="24"/>
  <c r="AE57" i="24" s="1"/>
  <c r="AF370" i="24"/>
  <c r="AF364" i="24"/>
  <c r="AD84" i="24"/>
  <c r="AE84" i="24" s="1"/>
  <c r="AF400" i="24"/>
  <c r="AD389" i="24"/>
  <c r="AE389" i="24" s="1"/>
  <c r="AF399" i="24"/>
  <c r="AF308" i="24"/>
  <c r="AF114" i="24"/>
  <c r="AF111" i="24"/>
  <c r="AD209" i="24"/>
  <c r="AE209" i="24" s="1"/>
  <c r="AF329" i="24"/>
  <c r="AD52" i="24"/>
  <c r="AE52" i="24" s="1"/>
  <c r="AD393" i="24"/>
  <c r="AE393" i="24" s="1"/>
  <c r="AD362" i="24"/>
  <c r="AE362" i="24" s="1"/>
  <c r="AD336" i="24"/>
  <c r="AE336" i="24" s="1"/>
  <c r="AD151" i="24"/>
  <c r="AE151" i="24" s="1"/>
  <c r="AD299" i="24"/>
  <c r="AE299" i="24" s="1"/>
  <c r="AD308" i="24"/>
  <c r="AE308" i="24" s="1"/>
  <c r="AD204" i="24"/>
  <c r="AE204" i="24" s="1"/>
  <c r="AD365" i="24"/>
  <c r="AE365" i="24" s="1"/>
  <c r="AF159" i="24"/>
  <c r="AD202" i="24"/>
  <c r="AE202" i="24" s="1"/>
  <c r="AD278" i="24"/>
  <c r="AE278" i="24" s="1"/>
  <c r="AD222" i="24"/>
  <c r="AE222" i="24" s="1"/>
  <c r="AD174" i="24"/>
  <c r="AE174" i="24" s="1"/>
  <c r="AF93" i="24"/>
  <c r="AF123" i="24"/>
  <c r="AD163" i="24"/>
  <c r="AE163" i="24" s="1"/>
  <c r="AF276" i="24"/>
  <c r="AD183" i="24"/>
  <c r="AE183" i="24" s="1"/>
  <c r="AF255" i="24"/>
  <c r="AF185" i="24"/>
  <c r="AD107" i="24"/>
  <c r="AE107" i="24" s="1"/>
  <c r="AD221" i="24"/>
  <c r="AE221" i="24" s="1"/>
  <c r="AD132" i="24"/>
  <c r="AE132" i="24" s="1"/>
  <c r="AF270" i="24"/>
  <c r="AD321" i="24"/>
  <c r="AE321" i="24" s="1"/>
  <c r="AD98" i="24"/>
  <c r="AE98" i="24" s="1"/>
  <c r="AF257" i="24"/>
  <c r="AF65" i="24"/>
  <c r="AF204" i="24"/>
  <c r="AF269" i="24"/>
  <c r="AF214" i="24"/>
  <c r="AD169" i="24"/>
  <c r="AE169" i="24" s="1"/>
  <c r="AF77" i="24"/>
  <c r="AF327" i="24"/>
  <c r="AD399" i="24"/>
  <c r="AE399" i="24" s="1"/>
  <c r="AF288" i="24"/>
  <c r="AD310" i="24"/>
  <c r="AE310" i="24" s="1"/>
  <c r="AF188" i="24"/>
  <c r="AD50" i="24"/>
  <c r="AE50" i="24" s="1"/>
  <c r="AD71" i="24"/>
  <c r="AE71" i="24" s="1"/>
  <c r="AF280" i="24"/>
  <c r="AF378" i="24"/>
  <c r="AD258" i="24"/>
  <c r="AE258" i="24" s="1"/>
  <c r="AD127" i="24"/>
  <c r="AE127" i="24" s="1"/>
  <c r="AD394" i="24"/>
  <c r="AE394" i="24" s="1"/>
  <c r="AD152" i="24"/>
  <c r="AE152" i="24" s="1"/>
  <c r="AF385" i="24"/>
  <c r="AD108" i="24"/>
  <c r="AE108" i="24" s="1"/>
  <c r="AD78" i="24"/>
  <c r="AE78" i="24" s="1"/>
  <c r="AD391" i="24"/>
  <c r="AE391" i="24" s="1"/>
  <c r="AF88" i="24"/>
  <c r="AF168" i="24"/>
  <c r="AD177" i="24"/>
  <c r="AE177" i="24" s="1"/>
  <c r="AD153" i="24"/>
  <c r="AE153" i="24" s="1"/>
  <c r="AD156" i="24"/>
  <c r="AE156" i="24" s="1"/>
  <c r="AF236" i="24"/>
  <c r="AD296" i="24"/>
  <c r="AE296" i="24" s="1"/>
  <c r="AF325" i="24"/>
  <c r="AF328" i="24"/>
  <c r="AD345" i="24"/>
  <c r="AE345" i="24" s="1"/>
  <c r="AD307" i="24"/>
  <c r="AE307" i="24" s="1"/>
  <c r="AD315" i="24"/>
  <c r="AE315" i="24" s="1"/>
  <c r="AD142" i="24"/>
  <c r="AE142" i="24" s="1"/>
  <c r="AD158" i="24"/>
  <c r="AE158" i="24" s="1"/>
  <c r="AD69" i="24"/>
  <c r="AE69" i="24" s="1"/>
  <c r="AD372" i="24"/>
  <c r="AE372" i="24" s="1"/>
  <c r="AD254" i="24"/>
  <c r="AE254" i="24" s="1"/>
  <c r="AD346" i="24"/>
  <c r="AE346" i="24" s="1"/>
  <c r="AD378" i="24"/>
  <c r="AE378" i="24" s="1"/>
  <c r="AF282" i="24"/>
  <c r="AD375" i="24"/>
  <c r="AE375" i="24" s="1"/>
  <c r="AF259" i="24"/>
  <c r="AF246" i="24"/>
  <c r="AF105" i="24"/>
  <c r="AF186" i="24"/>
  <c r="AD286" i="24"/>
  <c r="AE286" i="24" s="1"/>
  <c r="AF82" i="24"/>
  <c r="AF138" i="24"/>
  <c r="AF210" i="24"/>
  <c r="AD279" i="24"/>
  <c r="AE279" i="24" s="1"/>
  <c r="AF132" i="24"/>
  <c r="AF98" i="24"/>
  <c r="AD342" i="24"/>
  <c r="AE342" i="24" s="1"/>
  <c r="AD139" i="24"/>
  <c r="AE139" i="24" s="1"/>
  <c r="AD66" i="24"/>
  <c r="AE66" i="24" s="1"/>
  <c r="AF353" i="24"/>
  <c r="AD124" i="24"/>
  <c r="AE124" i="24" s="1"/>
  <c r="AF261" i="24"/>
  <c r="AD90" i="24"/>
  <c r="AE90" i="24" s="1"/>
  <c r="AD324" i="24"/>
  <c r="AE324" i="24" s="1"/>
  <c r="AF79" i="24"/>
  <c r="AD317" i="24"/>
  <c r="AE317" i="24" s="1"/>
  <c r="AD339" i="24"/>
  <c r="AE339" i="24" s="1"/>
  <c r="AF312" i="24"/>
  <c r="AD46" i="24"/>
  <c r="AE46" i="24" s="1"/>
  <c r="AF205" i="24"/>
  <c r="AD121" i="24"/>
  <c r="AE121" i="24" s="1"/>
  <c r="AD306" i="24"/>
  <c r="AE306" i="24" s="1"/>
  <c r="AD114" i="24"/>
  <c r="AE114" i="24" s="1"/>
  <c r="AF184" i="24"/>
  <c r="AF154" i="24"/>
  <c r="AD274" i="24"/>
  <c r="AE274" i="24" s="1"/>
  <c r="AF365" i="24"/>
  <c r="AF161" i="24"/>
  <c r="AF355" i="24"/>
  <c r="AD197" i="24"/>
  <c r="AE197" i="24" s="1"/>
  <c r="AD159" i="24"/>
  <c r="AE159" i="24" s="1"/>
  <c r="AF229" i="24"/>
  <c r="AD252" i="24"/>
  <c r="AE252" i="24" s="1"/>
  <c r="AD160" i="24"/>
  <c r="AE160" i="24" s="1"/>
  <c r="AF264" i="24"/>
  <c r="AD102" i="24"/>
  <c r="AE102" i="24" s="1"/>
  <c r="AD396" i="24"/>
  <c r="AE396" i="24" s="1"/>
  <c r="AF150" i="24"/>
  <c r="AF383" i="24"/>
  <c r="AF62" i="24"/>
  <c r="AF163" i="24"/>
  <c r="AF208" i="24"/>
  <c r="AF272" i="24"/>
  <c r="AF317" i="24"/>
  <c r="AD337" i="24"/>
  <c r="AE337" i="24" s="1"/>
  <c r="AF141" i="24"/>
  <c r="AD188" i="24"/>
  <c r="AE188" i="24" s="1"/>
  <c r="AF265" i="24"/>
  <c r="AD187" i="24"/>
  <c r="AE187" i="24" s="1"/>
  <c r="AD351" i="24"/>
  <c r="AE351" i="24" s="1"/>
  <c r="AF363" i="24"/>
  <c r="AD56" i="24"/>
  <c r="AE56" i="24" s="1"/>
  <c r="AD48" i="24"/>
  <c r="AE48" i="24" s="1"/>
  <c r="AF68" i="24"/>
  <c r="AD373" i="24"/>
  <c r="AE373" i="24" s="1"/>
  <c r="AD126" i="24"/>
  <c r="AE126" i="24" s="1"/>
  <c r="AD388" i="24"/>
  <c r="AE388" i="24" s="1"/>
  <c r="AF216" i="24"/>
  <c r="AF338" i="24"/>
  <c r="AD268" i="24"/>
  <c r="AE268" i="24" s="1"/>
  <c r="AD338" i="24"/>
  <c r="AE338" i="24" s="1"/>
  <c r="AD164" i="24"/>
  <c r="AE164" i="24" s="1"/>
  <c r="AF281" i="24"/>
  <c r="AD303" i="24"/>
  <c r="AE303" i="24" s="1"/>
  <c r="AF112" i="24"/>
  <c r="AD312" i="24"/>
  <c r="AE312" i="24" s="1"/>
  <c r="AF50" i="24"/>
  <c r="AD213" i="24"/>
  <c r="AE213" i="24" s="1"/>
  <c r="AF103" i="24"/>
  <c r="AD131" i="24"/>
  <c r="AE131" i="24" s="1"/>
  <c r="AF197" i="24"/>
  <c r="AD59" i="24"/>
  <c r="AE59" i="24" s="1"/>
  <c r="AF183" i="24"/>
  <c r="AF227" i="24"/>
  <c r="AF57" i="24"/>
  <c r="AF42" i="24"/>
  <c r="AF99" i="24"/>
  <c r="AF148" i="24"/>
  <c r="AD194" i="24"/>
  <c r="AE194" i="24" s="1"/>
  <c r="AF294" i="24"/>
  <c r="AF47" i="24"/>
  <c r="AF336" i="24"/>
  <c r="AF313" i="24"/>
  <c r="AF375" i="24"/>
  <c r="AF322" i="24"/>
  <c r="AF296" i="24"/>
  <c r="AF349" i="24"/>
  <c r="AD45" i="24"/>
  <c r="AE45" i="24" s="1"/>
  <c r="AD171" i="24"/>
  <c r="AE171" i="24" s="1"/>
  <c r="AD87" i="24"/>
  <c r="AE87" i="24" s="1"/>
  <c r="AF215" i="24"/>
  <c r="AD248" i="24"/>
  <c r="AE248" i="24" s="1"/>
  <c r="AD390" i="24"/>
  <c r="AE390" i="24" s="1"/>
  <c r="AD292" i="24"/>
  <c r="AE292" i="24" s="1"/>
  <c r="AF178" i="24"/>
  <c r="AD341" i="24"/>
  <c r="AE341" i="24" s="1"/>
  <c r="AD165" i="24"/>
  <c r="AE165" i="24" s="1"/>
  <c r="AF357" i="24"/>
  <c r="AF273" i="24"/>
  <c r="AF181" i="24"/>
  <c r="AD181" i="24"/>
  <c r="AE181" i="24" s="1"/>
  <c r="AD198" i="24"/>
  <c r="AE198" i="24" s="1"/>
  <c r="AD380" i="24"/>
  <c r="AE380" i="24" s="1"/>
  <c r="AF137" i="24"/>
  <c r="AF316" i="24"/>
  <c r="AF199" i="24"/>
  <c r="AF131" i="24"/>
  <c r="AD140" i="24"/>
  <c r="AE140" i="24" s="1"/>
  <c r="AF320" i="24"/>
  <c r="AF287" i="24"/>
  <c r="AF360" i="24"/>
  <c r="AD62" i="24"/>
  <c r="AE62" i="24" s="1"/>
  <c r="AF398" i="24"/>
  <c r="AF307" i="24"/>
  <c r="AF250" i="24"/>
  <c r="AD116" i="24"/>
  <c r="AE116" i="24" s="1"/>
  <c r="AD217" i="24"/>
  <c r="AE217" i="24" s="1"/>
  <c r="AD352" i="24"/>
  <c r="AE352" i="24" s="1"/>
  <c r="AF239" i="24"/>
  <c r="AD144" i="24"/>
  <c r="AE144" i="24" s="1"/>
  <c r="AD257" i="24"/>
  <c r="AE257" i="24" s="1"/>
  <c r="AD237" i="24"/>
  <c r="AE237" i="24" s="1"/>
  <c r="AF347" i="24"/>
  <c r="AF53" i="24"/>
  <c r="AD118" i="24"/>
  <c r="AE118" i="24" s="1"/>
  <c r="AF109" i="24"/>
  <c r="AD250" i="24"/>
  <c r="AE250" i="24" s="1"/>
  <c r="AD320" i="24"/>
  <c r="AE320" i="24" s="1"/>
  <c r="AF222" i="24"/>
  <c r="AF101" i="24"/>
  <c r="AD179" i="24"/>
  <c r="AE179" i="24" s="1"/>
  <c r="AF43" i="24"/>
  <c r="AD376" i="24"/>
  <c r="AE376" i="24" s="1"/>
  <c r="AD367" i="24"/>
  <c r="AE367" i="24" s="1"/>
  <c r="AD400" i="24"/>
  <c r="AE400" i="24" s="1"/>
  <c r="AF395" i="24"/>
  <c r="AF315" i="24"/>
  <c r="AD43" i="24"/>
  <c r="AE43" i="24" s="1"/>
  <c r="AD229" i="24"/>
  <c r="AE229" i="24" s="1"/>
  <c r="AF115" i="24"/>
  <c r="AD85" i="24"/>
  <c r="AE85" i="24" s="1"/>
  <c r="AD190" i="24"/>
  <c r="AE190" i="24" s="1"/>
  <c r="AF231" i="24"/>
  <c r="AF284" i="24"/>
  <c r="AD214" i="24"/>
  <c r="AE214" i="24" s="1"/>
  <c r="AF206" i="24"/>
  <c r="AF182" i="24"/>
  <c r="AF155" i="24"/>
  <c r="AF268" i="24"/>
  <c r="AF309" i="24"/>
  <c r="AF104" i="24"/>
  <c r="AD137" i="24"/>
  <c r="AE137" i="24" s="1"/>
  <c r="AF106" i="24"/>
  <c r="AD145" i="24"/>
  <c r="AE145" i="24" s="1"/>
  <c r="AF94" i="24"/>
  <c r="AD201" i="24"/>
  <c r="AE201" i="24" s="1"/>
  <c r="AF157" i="24"/>
  <c r="AF292" i="24"/>
  <c r="AD206" i="24"/>
  <c r="AE206" i="24" s="1"/>
  <c r="AD218" i="24"/>
  <c r="AE218" i="24" s="1"/>
  <c r="AD58" i="24"/>
  <c r="AE58" i="24" s="1"/>
  <c r="AD377" i="24"/>
  <c r="AE377" i="24" s="1"/>
  <c r="AF238" i="24"/>
  <c r="AF118" i="24"/>
  <c r="AF187" i="24"/>
  <c r="AD60" i="24"/>
  <c r="AE60" i="24" s="1"/>
  <c r="AD359" i="24"/>
  <c r="AE359" i="24" s="1"/>
  <c r="AF248" i="24"/>
  <c r="AF388" i="24"/>
  <c r="AF198" i="24"/>
  <c r="AD68" i="24"/>
  <c r="AE68" i="24" s="1"/>
  <c r="AF152" i="24"/>
  <c r="AF89" i="24"/>
  <c r="AF153" i="24"/>
  <c r="AF379" i="24"/>
  <c r="AF377" i="24"/>
  <c r="AD216" i="24"/>
  <c r="AE216" i="24" s="1"/>
  <c r="AD88" i="24"/>
  <c r="AE88" i="24" s="1"/>
  <c r="AD331" i="24"/>
  <c r="AE331" i="24" s="1"/>
  <c r="AF156" i="24"/>
  <c r="AD330" i="24"/>
  <c r="AE330" i="24" s="1"/>
  <c r="AD65" i="24"/>
  <c r="AE65" i="24" s="1"/>
  <c r="AD332" i="24"/>
  <c r="AE332" i="24" s="1"/>
  <c r="AF171" i="24"/>
  <c r="AD101" i="24"/>
  <c r="AE101" i="24" s="1"/>
  <c r="AF124" i="24"/>
  <c r="AD91" i="24"/>
  <c r="AE91" i="24" s="1"/>
  <c r="AF330" i="24"/>
  <c r="AF212" i="24"/>
  <c r="AD240" i="24"/>
  <c r="AE240" i="24" s="1"/>
  <c r="AD55" i="24"/>
  <c r="AE55" i="24" s="1"/>
  <c r="AD122" i="24"/>
  <c r="AE122" i="24" s="1"/>
  <c r="AF96" i="24"/>
  <c r="AD251" i="24"/>
  <c r="AE251" i="24" s="1"/>
  <c r="AD103" i="24"/>
  <c r="AE103" i="24" s="1"/>
  <c r="AF85" i="24"/>
  <c r="AD236" i="24"/>
  <c r="AE236" i="24" s="1"/>
  <c r="AD82" i="24"/>
  <c r="AE82" i="24" s="1"/>
  <c r="B142" i="4"/>
  <c r="E27" i="1"/>
  <c r="Y35" i="4"/>
  <c r="AC396" i="14"/>
  <c r="AA73" i="14"/>
  <c r="AB73" i="14" s="1"/>
  <c r="AC331" i="14"/>
  <c r="AC146" i="14"/>
  <c r="AC385" i="14"/>
  <c r="AA337" i="14"/>
  <c r="AB337" i="14" s="1"/>
  <c r="AC172" i="14"/>
  <c r="AC349" i="14"/>
  <c r="AA301" i="14"/>
  <c r="AB301" i="14" s="1"/>
  <c r="AA239" i="14"/>
  <c r="AB239" i="14" s="1"/>
  <c r="AA243" i="14"/>
  <c r="AB243" i="14" s="1"/>
  <c r="AC312" i="14"/>
  <c r="AC160" i="14"/>
  <c r="AC102" i="14"/>
  <c r="AC111" i="14"/>
  <c r="AC303" i="14"/>
  <c r="AA182" i="14"/>
  <c r="AB182" i="14" s="1"/>
  <c r="AA341" i="14"/>
  <c r="AB341" i="14" s="1"/>
  <c r="AC93" i="14"/>
  <c r="AA367" i="14"/>
  <c r="AB367" i="14" s="1"/>
  <c r="AC57" i="14"/>
  <c r="AA363" i="14"/>
  <c r="AB363" i="14" s="1"/>
  <c r="AA152" i="14"/>
  <c r="AB152" i="14" s="1"/>
  <c r="AC338" i="14"/>
  <c r="AA121" i="14"/>
  <c r="AB121" i="14" s="1"/>
  <c r="AA295" i="14"/>
  <c r="AB295" i="14" s="1"/>
  <c r="AA110" i="14"/>
  <c r="AB110" i="14" s="1"/>
  <c r="AC253" i="14"/>
  <c r="AA269" i="14"/>
  <c r="AB269" i="14" s="1"/>
  <c r="AA340" i="14"/>
  <c r="AB340" i="14" s="1"/>
  <c r="AA67" i="14"/>
  <c r="AB67" i="14" s="1"/>
  <c r="AC386" i="14"/>
  <c r="AC297" i="14"/>
  <c r="AA321" i="14"/>
  <c r="AB321" i="14" s="1"/>
  <c r="AC224" i="14"/>
  <c r="AA204" i="14"/>
  <c r="AB204" i="14" s="1"/>
  <c r="AA325" i="14"/>
  <c r="AB325" i="14" s="1"/>
  <c r="AC373" i="14"/>
  <c r="AC325" i="14"/>
  <c r="AC320" i="14"/>
  <c r="AA51" i="14"/>
  <c r="AB51" i="14" s="1"/>
  <c r="AA74" i="14"/>
  <c r="AB74" i="14" s="1"/>
  <c r="AA169" i="14"/>
  <c r="AB169" i="14" s="1"/>
  <c r="AA180" i="14"/>
  <c r="AB180" i="14" s="1"/>
  <c r="AA189" i="14"/>
  <c r="AB189" i="14" s="1"/>
  <c r="AC124" i="14"/>
  <c r="AA400" i="14"/>
  <c r="AB400" i="14" s="1"/>
  <c r="AA266" i="14"/>
  <c r="AB266" i="14" s="1"/>
  <c r="AC206" i="14"/>
  <c r="AA228" i="14"/>
  <c r="AB228" i="14" s="1"/>
  <c r="AA256" i="14"/>
  <c r="AB256" i="14" s="1"/>
  <c r="AA46" i="14"/>
  <c r="AB46" i="14" s="1"/>
  <c r="AA354" i="14"/>
  <c r="AB354" i="14" s="1"/>
  <c r="AA279" i="14"/>
  <c r="AB279" i="14" s="1"/>
  <c r="AA245" i="14"/>
  <c r="AB245" i="14" s="1"/>
  <c r="AA376" i="14"/>
  <c r="AB376" i="14" s="1"/>
  <c r="AA223" i="14"/>
  <c r="AB223" i="14" s="1"/>
  <c r="AA307" i="14"/>
  <c r="AB307" i="14" s="1"/>
  <c r="AC64" i="14"/>
  <c r="AA145" i="14"/>
  <c r="AB145" i="14" s="1"/>
  <c r="AC237" i="14"/>
  <c r="AC280" i="14"/>
  <c r="AA233" i="14"/>
  <c r="AB233" i="14" s="1"/>
  <c r="AA264" i="14"/>
  <c r="AB264" i="14" s="1"/>
  <c r="AC330" i="14"/>
  <c r="AA334" i="14"/>
  <c r="AB334" i="14" s="1"/>
  <c r="AC157" i="14"/>
  <c r="AA261" i="14"/>
  <c r="AB261" i="14" s="1"/>
  <c r="AC275" i="14"/>
  <c r="AA209" i="14"/>
  <c r="AB209" i="14" s="1"/>
  <c r="AC356" i="14"/>
  <c r="AA206" i="14"/>
  <c r="AB206" i="14" s="1"/>
  <c r="AA142" i="14"/>
  <c r="AB142" i="14" s="1"/>
  <c r="AA324" i="14"/>
  <c r="AB324" i="14" s="1"/>
  <c r="AA338" i="14"/>
  <c r="AB338" i="14" s="1"/>
  <c r="AA134" i="14"/>
  <c r="AB134" i="14" s="1"/>
  <c r="AC197" i="14"/>
  <c r="AC143" i="14"/>
  <c r="AA304" i="14"/>
  <c r="AB304" i="14" s="1"/>
  <c r="AA379" i="14"/>
  <c r="AB379" i="14" s="1"/>
  <c r="AC397" i="14"/>
  <c r="AC341" i="14"/>
  <c r="AC138" i="14"/>
  <c r="AC389" i="14"/>
  <c r="AC388" i="14"/>
  <c r="AC107" i="14"/>
  <c r="AC324" i="14"/>
  <c r="AA131" i="14"/>
  <c r="AB131" i="14" s="1"/>
  <c r="AA283" i="14"/>
  <c r="AB283" i="14" s="1"/>
  <c r="AA106" i="14"/>
  <c r="AB106" i="14" s="1"/>
  <c r="AA297" i="14"/>
  <c r="AB297" i="14" s="1"/>
  <c r="AA241" i="14"/>
  <c r="AB241" i="14" s="1"/>
  <c r="AA108" i="14"/>
  <c r="AB108" i="14" s="1"/>
  <c r="AC309" i="14"/>
  <c r="AC308" i="14"/>
  <c r="AC207" i="14"/>
  <c r="AA193" i="14"/>
  <c r="AB193" i="14" s="1"/>
  <c r="AC166" i="14"/>
  <c r="AA96" i="14"/>
  <c r="AB96" i="14" s="1"/>
  <c r="AC120" i="14"/>
  <c r="AC47" i="14"/>
  <c r="AA390" i="14"/>
  <c r="AB390" i="14" s="1"/>
  <c r="AA150" i="14"/>
  <c r="AB150" i="14" s="1"/>
  <c r="AC301" i="14"/>
  <c r="AA45" i="14"/>
  <c r="AB45" i="14" s="1"/>
  <c r="AC175" i="14"/>
  <c r="AA203" i="14"/>
  <c r="AB203" i="14" s="1"/>
  <c r="AA315" i="14"/>
  <c r="AB315" i="14" s="1"/>
  <c r="AA88" i="14"/>
  <c r="AB88" i="14" s="1"/>
  <c r="AC250" i="14"/>
  <c r="AC49" i="14"/>
  <c r="AA255" i="14"/>
  <c r="AB255" i="14" s="1"/>
  <c r="AA70" i="14"/>
  <c r="AB70" i="14" s="1"/>
  <c r="AA195" i="14"/>
  <c r="AB195" i="14" s="1"/>
  <c r="AC50" i="14"/>
  <c r="AC315" i="14"/>
  <c r="AC353" i="14"/>
  <c r="AA298" i="14"/>
  <c r="AB298" i="14" s="1"/>
  <c r="AA232" i="14"/>
  <c r="AB232" i="14" s="1"/>
  <c r="AC215" i="14"/>
  <c r="Z32" i="14"/>
  <c r="AC140" i="14"/>
  <c r="AA285" i="14"/>
  <c r="AB285" i="14" s="1"/>
  <c r="AC156" i="14"/>
  <c r="AC300" i="14"/>
  <c r="AC327" i="14"/>
  <c r="AC360" i="14"/>
  <c r="AA249" i="14"/>
  <c r="AB249" i="14" s="1"/>
  <c r="AA97" i="14"/>
  <c r="AB97" i="14" s="1"/>
  <c r="AA52" i="14"/>
  <c r="AB52" i="14" s="1"/>
  <c r="AC186" i="14"/>
  <c r="AA183" i="14"/>
  <c r="AB183" i="14" s="1"/>
  <c r="AC70" i="14"/>
  <c r="AA345" i="14"/>
  <c r="AB345" i="14" s="1"/>
  <c r="AA286" i="14"/>
  <c r="AB286" i="14" s="1"/>
  <c r="AC95" i="14"/>
  <c r="AC133" i="14"/>
  <c r="AA259" i="14"/>
  <c r="AB259" i="14" s="1"/>
  <c r="AA207" i="14"/>
  <c r="AB207" i="14" s="1"/>
  <c r="AC366" i="14"/>
  <c r="AA107" i="14"/>
  <c r="AB107" i="14" s="1"/>
  <c r="AA309" i="14"/>
  <c r="AB309" i="14" s="1"/>
  <c r="AC122" i="14"/>
  <c r="AC217" i="14"/>
  <c r="AA154" i="14"/>
  <c r="AB154" i="14" s="1"/>
  <c r="AA65" i="14"/>
  <c r="AB65" i="14" s="1"/>
  <c r="AC99" i="14"/>
  <c r="AA343" i="14"/>
  <c r="AB343" i="14" s="1"/>
  <c r="AA39" i="14"/>
  <c r="AB39" i="14" s="1"/>
  <c r="AA128" i="14"/>
  <c r="AB128" i="14" s="1"/>
  <c r="AC234" i="14"/>
  <c r="AC246" i="14"/>
  <c r="AC69" i="14"/>
  <c r="AC170" i="14"/>
  <c r="AC329" i="14"/>
  <c r="AA112" i="14"/>
  <c r="AB112" i="14" s="1"/>
  <c r="AC344" i="14"/>
  <c r="AC282" i="14"/>
  <c r="AC318" i="14"/>
  <c r="AC248" i="14"/>
  <c r="AA120" i="14"/>
  <c r="AB120" i="14" s="1"/>
  <c r="AA310" i="14"/>
  <c r="AB310" i="14" s="1"/>
  <c r="AA380" i="14"/>
  <c r="AB380" i="14" s="1"/>
  <c r="AC137" i="14"/>
  <c r="AC284" i="14"/>
  <c r="AC161" i="14"/>
  <c r="AC187" i="14"/>
  <c r="AC352" i="14"/>
  <c r="AC316" i="14"/>
  <c r="AC61" i="14"/>
  <c r="AC299" i="14"/>
  <c r="AA122" i="14"/>
  <c r="AB122" i="14" s="1"/>
  <c r="AA284" i="14"/>
  <c r="AB284" i="14" s="1"/>
  <c r="AA91" i="14"/>
  <c r="AB91" i="14" s="1"/>
  <c r="AC243" i="14"/>
  <c r="AA369" i="14"/>
  <c r="AB369" i="14" s="1"/>
  <c r="AC249" i="14"/>
  <c r="AA272" i="14"/>
  <c r="AB272" i="14" s="1"/>
  <c r="AC44" i="14"/>
  <c r="AC269" i="14"/>
  <c r="AA114" i="14"/>
  <c r="AB114" i="14" s="1"/>
  <c r="AA47" i="14"/>
  <c r="AB47" i="14" s="1"/>
  <c r="AC129" i="14"/>
  <c r="AA200" i="14"/>
  <c r="AB200" i="14" s="1"/>
  <c r="AC228" i="14"/>
  <c r="AA378" i="14"/>
  <c r="AB378" i="14" s="1"/>
  <c r="AA201" i="14"/>
  <c r="AB201" i="14" s="1"/>
  <c r="AA350" i="14"/>
  <c r="AB350" i="14" s="1"/>
  <c r="AC118" i="14"/>
  <c r="AC261" i="14"/>
  <c r="AA276" i="14"/>
  <c r="AB276" i="14" s="1"/>
  <c r="AC276" i="14"/>
  <c r="AC163" i="14"/>
  <c r="AA275" i="14"/>
  <c r="AB275" i="14" s="1"/>
  <c r="AC218" i="14"/>
  <c r="AA329" i="14"/>
  <c r="AB329" i="14" s="1"/>
  <c r="AA313" i="14"/>
  <c r="AB313" i="14" s="1"/>
  <c r="AC310" i="14"/>
  <c r="AC390" i="14"/>
  <c r="AC131" i="14"/>
  <c r="AC52" i="14"/>
  <c r="AA267" i="14"/>
  <c r="AB267" i="14" s="1"/>
  <c r="AC94" i="14"/>
  <c r="AA250" i="14"/>
  <c r="AB250" i="14" s="1"/>
  <c r="AC226" i="14"/>
  <c r="AA151" i="14"/>
  <c r="AB151" i="14" s="1"/>
  <c r="AC375" i="14"/>
  <c r="AC76" i="14"/>
  <c r="AC179" i="14"/>
  <c r="AC53" i="14"/>
  <c r="AC42" i="14"/>
  <c r="AA69" i="14"/>
  <c r="AB69" i="14" s="1"/>
  <c r="AA216" i="14"/>
  <c r="AB216" i="14" s="1"/>
  <c r="AC150" i="14"/>
  <c r="AC296" i="14"/>
  <c r="AC158" i="14"/>
  <c r="AC247" i="14"/>
  <c r="AA165" i="14"/>
  <c r="AB165" i="14" s="1"/>
  <c r="AC387" i="14"/>
  <c r="AA225" i="14"/>
  <c r="AB225" i="14" s="1"/>
  <c r="AA277" i="14"/>
  <c r="AB277" i="14" s="1"/>
  <c r="AC368" i="14"/>
  <c r="AC103" i="14"/>
  <c r="AA234" i="14"/>
  <c r="AB234" i="14" s="1"/>
  <c r="AA71" i="14"/>
  <c r="AB71" i="14" s="1"/>
  <c r="AC132" i="14"/>
  <c r="AC189" i="14"/>
  <c r="AC272" i="14"/>
  <c r="AA85" i="14"/>
  <c r="AB85" i="14" s="1"/>
  <c r="AC81" i="14"/>
  <c r="AA50" i="14"/>
  <c r="AB50" i="14" s="1"/>
  <c r="AC62" i="14"/>
  <c r="AA181" i="14"/>
  <c r="AB181" i="14" s="1"/>
  <c r="AC357" i="14"/>
  <c r="AA308" i="14"/>
  <c r="AB308" i="14" s="1"/>
  <c r="AC251" i="14"/>
  <c r="AC313" i="14"/>
  <c r="AA116" i="14"/>
  <c r="AB116" i="14" s="1"/>
  <c r="AC372" i="14"/>
  <c r="AC108" i="14"/>
  <c r="AC104" i="14"/>
  <c r="AC239" i="14"/>
  <c r="AC263" i="14"/>
  <c r="AC265" i="14"/>
  <c r="AA231" i="14"/>
  <c r="AB231" i="14" s="1"/>
  <c r="AA375" i="14"/>
  <c r="AB375" i="14" s="1"/>
  <c r="AC174" i="14"/>
  <c r="AA333" i="14"/>
  <c r="AB333" i="14" s="1"/>
  <c r="AC177" i="14"/>
  <c r="AA320" i="14"/>
  <c r="AB320" i="14" s="1"/>
  <c r="AA76" i="14"/>
  <c r="AB76" i="14" s="1"/>
  <c r="AA194" i="14"/>
  <c r="AB194" i="14" s="1"/>
  <c r="AA141" i="14"/>
  <c r="AB141" i="14" s="1"/>
  <c r="AC113" i="14"/>
  <c r="AA229" i="14"/>
  <c r="AB229" i="14" s="1"/>
  <c r="AA336" i="14"/>
  <c r="AB336" i="14" s="1"/>
  <c r="AC151" i="14"/>
  <c r="AA238" i="14"/>
  <c r="AB238" i="14" s="1"/>
  <c r="AA331" i="14"/>
  <c r="AB331" i="14" s="1"/>
  <c r="AC336" i="14"/>
  <c r="AA314" i="14"/>
  <c r="AB314" i="14" s="1"/>
  <c r="AC126" i="14"/>
  <c r="AC119" i="14"/>
  <c r="AA160" i="14"/>
  <c r="AB160" i="14" s="1"/>
  <c r="AC86" i="14"/>
  <c r="AC147" i="14"/>
  <c r="AA252" i="14"/>
  <c r="AB252" i="14" s="1"/>
  <c r="AA356" i="14"/>
  <c r="AB356" i="14" s="1"/>
  <c r="AC211" i="14"/>
  <c r="AC235" i="14"/>
  <c r="AA138" i="14"/>
  <c r="AB138" i="14" s="1"/>
  <c r="AA377" i="14"/>
  <c r="AB377" i="14" s="1"/>
  <c r="AA89" i="14"/>
  <c r="AB89" i="14" s="1"/>
  <c r="AA230" i="14"/>
  <c r="AB230" i="14" s="1"/>
  <c r="AC398" i="14"/>
  <c r="AA139" i="14"/>
  <c r="AB139" i="14" s="1"/>
  <c r="AC84" i="14"/>
  <c r="AA323" i="14"/>
  <c r="AB323" i="14" s="1"/>
  <c r="AC83" i="14"/>
  <c r="AC346" i="14"/>
  <c r="AC58" i="14"/>
  <c r="AC233" i="14"/>
  <c r="AA248" i="14"/>
  <c r="AB248" i="14" s="1"/>
  <c r="AC222" i="14"/>
  <c r="AC294" i="14"/>
  <c r="AA205" i="14"/>
  <c r="AB205" i="14" s="1"/>
  <c r="AC154" i="14"/>
  <c r="AA105" i="14"/>
  <c r="AB105" i="14" s="1"/>
  <c r="AC40" i="14"/>
  <c r="AA136" i="14"/>
  <c r="AB136" i="14" s="1"/>
  <c r="AA362" i="14"/>
  <c r="AB362" i="14" s="1"/>
  <c r="AC185" i="14"/>
  <c r="AC287" i="14"/>
  <c r="AA102" i="14"/>
  <c r="AB102" i="14" s="1"/>
  <c r="AC51" i="14"/>
  <c r="AC141" i="14"/>
  <c r="AC260" i="14"/>
  <c r="AA251" i="14"/>
  <c r="AB251" i="14" s="1"/>
  <c r="AC291" i="14"/>
  <c r="AC306" i="14"/>
  <c r="AA351" i="14"/>
  <c r="AB351" i="14" s="1"/>
  <c r="AC155" i="14"/>
  <c r="AC236" i="14"/>
  <c r="AA260" i="14"/>
  <c r="AB260" i="14" s="1"/>
  <c r="AC242" i="14"/>
  <c r="AA81" i="14"/>
  <c r="AB81" i="14" s="1"/>
  <c r="AA212" i="14"/>
  <c r="AB212" i="14" s="1"/>
  <c r="AC332" i="14"/>
  <c r="AC89" i="14"/>
  <c r="AC162" i="14"/>
  <c r="AC73" i="14"/>
  <c r="AA126" i="14"/>
  <c r="AB126" i="14" s="1"/>
  <c r="AC180" i="14"/>
  <c r="AA140" i="14"/>
  <c r="AB140" i="14" s="1"/>
  <c r="AC101" i="14"/>
  <c r="AC176" i="14"/>
  <c r="AC168" i="14"/>
  <c r="AA342" i="14"/>
  <c r="AB342" i="14" s="1"/>
  <c r="AC148" i="14"/>
  <c r="AC285" i="14"/>
  <c r="AC209" i="14"/>
  <c r="AA56" i="14"/>
  <c r="AB56" i="14" s="1"/>
  <c r="AA217" i="14"/>
  <c r="AB217" i="14" s="1"/>
  <c r="AA366" i="14"/>
  <c r="AB366" i="14" s="1"/>
  <c r="AC400" i="14"/>
  <c r="AA100" i="14"/>
  <c r="AB100" i="14" s="1"/>
  <c r="AC144" i="14"/>
  <c r="AC43" i="14"/>
  <c r="AA305" i="14"/>
  <c r="AB305" i="14" s="1"/>
  <c r="AA361" i="14"/>
  <c r="AB361" i="14" s="1"/>
  <c r="AC255" i="14"/>
  <c r="AA268" i="14"/>
  <c r="AB268" i="14" s="1"/>
  <c r="AA177" i="14"/>
  <c r="AB177" i="14" s="1"/>
  <c r="AC191" i="14"/>
  <c r="AC339" i="14"/>
  <c r="AA94" i="14"/>
  <c r="AB94" i="14" s="1"/>
  <c r="AC63" i="14"/>
  <c r="AC369" i="14"/>
  <c r="AC90" i="14"/>
  <c r="AA302" i="14"/>
  <c r="AB302" i="14" s="1"/>
  <c r="AA186" i="14"/>
  <c r="AB186" i="14" s="1"/>
  <c r="AC321" i="14"/>
  <c r="AA184" i="14"/>
  <c r="AB184" i="14" s="1"/>
  <c r="AA163" i="14"/>
  <c r="AB163" i="14" s="1"/>
  <c r="AA196" i="14"/>
  <c r="AB196" i="14" s="1"/>
  <c r="AA355" i="14"/>
  <c r="AB355" i="14" s="1"/>
  <c r="AC394" i="14"/>
  <c r="AC178" i="14"/>
  <c r="AA99" i="14"/>
  <c r="AB99" i="14" s="1"/>
  <c r="AC105" i="14"/>
  <c r="AC393" i="14"/>
  <c r="AA84" i="14"/>
  <c r="AB84" i="14" s="1"/>
  <c r="AA271" i="14"/>
  <c r="AB271" i="14" s="1"/>
  <c r="AC231" i="14"/>
  <c r="AC193" i="14"/>
  <c r="AC212" i="14"/>
  <c r="AC130" i="14"/>
  <c r="AA174" i="14"/>
  <c r="AB174" i="14" s="1"/>
  <c r="AA192" i="14"/>
  <c r="AB192" i="14" s="1"/>
  <c r="AA202" i="14"/>
  <c r="AB202" i="14" s="1"/>
  <c r="AC367" i="14"/>
  <c r="AA155" i="14"/>
  <c r="AB155" i="14" s="1"/>
  <c r="AC268" i="14"/>
  <c r="AA198" i="14"/>
  <c r="AB198" i="14" s="1"/>
  <c r="AC80" i="14"/>
  <c r="AA389" i="14"/>
  <c r="AB389" i="14" s="1"/>
  <c r="AC79" i="14"/>
  <c r="AC348" i="14"/>
  <c r="AA270" i="14"/>
  <c r="AB270" i="14" s="1"/>
  <c r="AA386" i="14"/>
  <c r="AB386" i="14" s="1"/>
  <c r="AC252" i="14"/>
  <c r="AA303" i="14"/>
  <c r="AB303" i="14" s="1"/>
  <c r="AC214" i="14"/>
  <c r="AA87" i="14"/>
  <c r="AB87" i="14" s="1"/>
  <c r="AC200" i="14"/>
  <c r="AC169" i="14"/>
  <c r="AC67" i="14"/>
  <c r="AA262" i="14"/>
  <c r="AB262" i="14" s="1"/>
  <c r="AC289" i="14"/>
  <c r="AA394" i="14"/>
  <c r="AB394" i="14" s="1"/>
  <c r="AC363" i="14"/>
  <c r="AC203" i="14"/>
  <c r="AC270" i="14"/>
  <c r="AA290" i="14"/>
  <c r="AB290" i="14" s="1"/>
  <c r="AC323" i="14"/>
  <c r="AA388" i="14"/>
  <c r="AB388" i="14" s="1"/>
  <c r="AA211" i="14"/>
  <c r="AB211" i="14" s="1"/>
  <c r="AC134" i="14"/>
  <c r="AC304" i="14"/>
  <c r="AC281" i="14"/>
  <c r="AC319" i="14"/>
  <c r="AA383" i="14"/>
  <c r="AB383" i="14" s="1"/>
  <c r="AC264" i="14"/>
  <c r="AA60" i="14"/>
  <c r="AB60" i="14" s="1"/>
  <c r="AC364" i="14"/>
  <c r="AC41" i="14"/>
  <c r="AA44" i="14"/>
  <c r="AB44" i="14" s="1"/>
  <c r="AA199" i="14"/>
  <c r="AB199" i="14" s="1"/>
  <c r="AC72" i="14"/>
  <c r="AC382" i="14"/>
  <c r="AA119" i="14"/>
  <c r="AB119" i="14" s="1"/>
  <c r="AC128" i="14"/>
  <c r="AC314" i="14"/>
  <c r="AC351" i="14"/>
  <c r="AA208" i="14"/>
  <c r="AB208" i="14" s="1"/>
  <c r="AA147" i="14"/>
  <c r="AB147" i="14" s="1"/>
  <c r="AA296" i="14"/>
  <c r="AB296" i="14" s="1"/>
  <c r="AC199" i="14"/>
  <c r="AA332" i="14"/>
  <c r="AB332" i="14" s="1"/>
  <c r="AA328" i="14"/>
  <c r="AB328" i="14" s="1"/>
  <c r="AA158" i="14"/>
  <c r="AB158" i="14" s="1"/>
  <c r="AC75" i="14"/>
  <c r="AA55" i="14"/>
  <c r="AB55" i="14" s="1"/>
  <c r="AA170" i="14"/>
  <c r="AB170" i="14" s="1"/>
  <c r="AC230" i="14"/>
  <c r="AA358" i="14"/>
  <c r="AB358" i="14" s="1"/>
  <c r="AA176" i="14"/>
  <c r="AB176" i="14" s="1"/>
  <c r="AA222" i="14"/>
  <c r="AB222" i="14" s="1"/>
  <c r="AA149" i="14"/>
  <c r="AB149" i="14" s="1"/>
  <c r="AA374" i="14"/>
  <c r="AB374" i="14" s="1"/>
  <c r="AA274" i="14"/>
  <c r="AB274" i="14" s="1"/>
  <c r="AC307" i="14"/>
  <c r="AC205" i="14"/>
  <c r="AA373" i="14"/>
  <c r="AB373" i="14" s="1"/>
  <c r="AC136" i="14"/>
  <c r="AA78" i="14"/>
  <c r="AB78" i="14" s="1"/>
  <c r="AC142" i="14"/>
  <c r="AC311" i="14"/>
  <c r="AC302" i="14"/>
  <c r="AA391" i="14"/>
  <c r="AB391" i="14" s="1"/>
  <c r="AA392" i="14"/>
  <c r="AB392" i="14" s="1"/>
  <c r="AA43" i="14"/>
  <c r="AB43" i="14" s="1"/>
  <c r="AC392" i="14"/>
  <c r="AC358" i="14"/>
  <c r="AA129" i="14"/>
  <c r="AB129" i="14" s="1"/>
  <c r="AA104" i="14"/>
  <c r="AB104" i="14" s="1"/>
  <c r="AC201" i="14"/>
  <c r="AA135" i="14"/>
  <c r="AB135" i="14" s="1"/>
  <c r="AA95" i="14"/>
  <c r="AB95" i="14" s="1"/>
  <c r="AA171" i="14"/>
  <c r="AB171" i="14" s="1"/>
  <c r="AA117" i="14"/>
  <c r="AB117" i="14" s="1"/>
  <c r="AA281" i="14"/>
  <c r="AB281" i="14" s="1"/>
  <c r="AA54" i="14"/>
  <c r="AB54" i="14" s="1"/>
  <c r="AA353" i="14"/>
  <c r="AB353" i="14" s="1"/>
  <c r="AA396" i="14"/>
  <c r="AB396" i="14" s="1"/>
  <c r="AC384" i="14"/>
  <c r="AC210" i="14"/>
  <c r="AC56" i="14"/>
  <c r="AA93" i="14"/>
  <c r="AB93" i="14" s="1"/>
  <c r="AA370" i="14"/>
  <c r="AB370" i="14" s="1"/>
  <c r="AC256" i="14"/>
  <c r="AC45" i="14"/>
  <c r="AA344" i="14"/>
  <c r="AB344" i="14" s="1"/>
  <c r="AA49" i="14"/>
  <c r="AB49" i="14" s="1"/>
  <c r="AA58" i="14"/>
  <c r="AB58" i="14" s="1"/>
  <c r="AA242" i="14"/>
  <c r="AB242" i="14" s="1"/>
  <c r="AC71" i="14"/>
  <c r="AA348" i="14"/>
  <c r="AB348" i="14" s="1"/>
  <c r="AA265" i="14"/>
  <c r="AB265" i="14" s="1"/>
  <c r="AA179" i="14"/>
  <c r="AB179" i="14" s="1"/>
  <c r="AC277" i="14"/>
  <c r="AC112" i="14"/>
  <c r="AA349" i="14"/>
  <c r="AB349" i="14" s="1"/>
  <c r="AC271" i="14"/>
  <c r="AA282" i="14"/>
  <c r="AB282" i="14" s="1"/>
  <c r="AA159" i="14"/>
  <c r="AB159" i="14" s="1"/>
  <c r="AA197" i="14"/>
  <c r="AB197" i="14" s="1"/>
  <c r="AA247" i="14"/>
  <c r="AB247" i="14" s="1"/>
  <c r="AA322" i="14"/>
  <c r="AB322" i="14" s="1"/>
  <c r="AC355" i="14"/>
  <c r="AA213" i="14"/>
  <c r="AB213" i="14" s="1"/>
  <c r="AC254" i="14"/>
  <c r="AA86" i="14"/>
  <c r="AB86" i="14" s="1"/>
  <c r="AC345" i="14"/>
  <c r="AC288" i="14"/>
  <c r="AC225" i="14"/>
  <c r="AC350" i="14"/>
  <c r="AC110" i="14"/>
  <c r="AC66" i="14"/>
  <c r="AC171" i="14"/>
  <c r="AC240" i="14"/>
  <c r="AC46" i="14"/>
  <c r="AC55" i="14"/>
  <c r="AA168" i="14"/>
  <c r="AB168" i="14" s="1"/>
  <c r="AA291" i="14"/>
  <c r="AB291" i="14" s="1"/>
  <c r="AA167" i="14"/>
  <c r="AB167" i="14" s="1"/>
  <c r="AC328" i="14"/>
  <c r="AC127" i="14"/>
  <c r="AC370" i="14"/>
  <c r="AA300" i="14"/>
  <c r="AB300" i="14" s="1"/>
  <c r="AC153" i="14"/>
  <c r="AA299" i="14"/>
  <c r="AB299" i="14" s="1"/>
  <c r="AA210" i="14"/>
  <c r="AB210" i="14" s="1"/>
  <c r="AC98" i="14"/>
  <c r="AA240" i="14"/>
  <c r="AB240" i="14" s="1"/>
  <c r="AC257" i="14"/>
  <c r="AC365" i="14"/>
  <c r="AC292" i="14"/>
  <c r="AC378" i="14"/>
  <c r="AA312" i="14"/>
  <c r="AB312" i="14" s="1"/>
  <c r="AC159" i="14"/>
  <c r="AA387" i="14"/>
  <c r="AB387" i="14" s="1"/>
  <c r="AA77" i="14"/>
  <c r="AB77" i="14" s="1"/>
  <c r="AA352" i="14"/>
  <c r="AB352" i="14" s="1"/>
  <c r="AC391" i="14"/>
  <c r="AA101" i="14"/>
  <c r="AB101" i="14" s="1"/>
  <c r="AA153" i="14"/>
  <c r="AB153" i="14" s="1"/>
  <c r="AC227" i="14"/>
  <c r="AC123" i="14"/>
  <c r="AA330" i="14"/>
  <c r="AB330" i="14" s="1"/>
  <c r="AC293" i="14"/>
  <c r="AC184" i="14"/>
  <c r="AC379" i="14"/>
  <c r="AA253" i="14"/>
  <c r="AB253" i="14" s="1"/>
  <c r="AA115" i="14"/>
  <c r="AB115" i="14" s="1"/>
  <c r="AA327" i="14"/>
  <c r="AB327" i="14" s="1"/>
  <c r="AA48" i="14"/>
  <c r="AB48" i="14" s="1"/>
  <c r="AC152" i="14"/>
  <c r="AA127" i="14"/>
  <c r="AB127" i="14" s="1"/>
  <c r="AC342" i="14"/>
  <c r="AC376" i="14"/>
  <c r="AA98" i="14"/>
  <c r="AB98" i="14" s="1"/>
  <c r="AA123" i="14"/>
  <c r="AB123" i="14" s="1"/>
  <c r="AA82" i="14"/>
  <c r="AB82" i="14" s="1"/>
  <c r="AC78" i="14"/>
  <c r="AA161" i="14"/>
  <c r="AB161" i="14" s="1"/>
  <c r="AA178" i="14"/>
  <c r="AB178" i="14" s="1"/>
  <c r="AC65" i="14"/>
  <c r="AA157" i="14"/>
  <c r="AB157" i="14" s="1"/>
  <c r="AC190" i="14"/>
  <c r="AC183" i="14"/>
  <c r="AC362" i="14"/>
  <c r="AC244" i="14"/>
  <c r="X383" i="29"/>
  <c r="V335" i="29"/>
  <c r="W335" i="29" s="1"/>
  <c r="X327" i="29"/>
  <c r="V331" i="29"/>
  <c r="W331" i="29" s="1"/>
  <c r="V291" i="29"/>
  <c r="W291" i="29" s="1"/>
  <c r="X243" i="29"/>
  <c r="X176" i="29"/>
  <c r="V174" i="29"/>
  <c r="W174" i="29" s="1"/>
  <c r="X116" i="29"/>
  <c r="X104" i="29"/>
  <c r="V382" i="29"/>
  <c r="W382" i="29" s="1"/>
  <c r="V360" i="29"/>
  <c r="W360" i="29" s="1"/>
  <c r="X311" i="29"/>
  <c r="X267" i="29"/>
  <c r="V217" i="29"/>
  <c r="W217" i="29" s="1"/>
  <c r="X252" i="29"/>
  <c r="X185" i="29"/>
  <c r="V100" i="29"/>
  <c r="W100" i="29" s="1"/>
  <c r="X391" i="29"/>
  <c r="X381" i="29"/>
  <c r="V359" i="29"/>
  <c r="W359" i="29" s="1"/>
  <c r="V302" i="29"/>
  <c r="W302" i="29" s="1"/>
  <c r="X322" i="29"/>
  <c r="V259" i="29"/>
  <c r="W259" i="29" s="1"/>
  <c r="X209" i="29"/>
  <c r="V165" i="29"/>
  <c r="W165" i="29" s="1"/>
  <c r="V107" i="29"/>
  <c r="W107" i="29" s="1"/>
  <c r="V103" i="29"/>
  <c r="W103" i="29" s="1"/>
  <c r="V381" i="29"/>
  <c r="W381" i="29" s="1"/>
  <c r="V341" i="29"/>
  <c r="W341" i="29" s="1"/>
  <c r="V325" i="29"/>
  <c r="W325" i="29" s="1"/>
  <c r="V249" i="29"/>
  <c r="W249" i="29" s="1"/>
  <c r="X234" i="29"/>
  <c r="V191" i="29"/>
  <c r="W191" i="29" s="1"/>
  <c r="X188" i="29"/>
  <c r="X138" i="29"/>
  <c r="V126" i="29"/>
  <c r="W126" i="29" s="1"/>
  <c r="V395" i="29"/>
  <c r="W395" i="29" s="1"/>
  <c r="V346" i="29"/>
  <c r="W346" i="29" s="1"/>
  <c r="V314" i="29"/>
  <c r="W314" i="29" s="1"/>
  <c r="X286" i="29"/>
  <c r="V246" i="29"/>
  <c r="W246" i="29" s="1"/>
  <c r="X212" i="29"/>
  <c r="X197" i="29"/>
  <c r="V147" i="29"/>
  <c r="W147" i="29" s="1"/>
  <c r="X160" i="29"/>
  <c r="X103" i="29"/>
  <c r="X393" i="29"/>
  <c r="X361" i="29"/>
  <c r="X324" i="29"/>
  <c r="X244" i="29"/>
  <c r="V237" i="29"/>
  <c r="W237" i="29" s="1"/>
  <c r="V175" i="29"/>
  <c r="W175" i="29" s="1"/>
  <c r="V121" i="29"/>
  <c r="W121" i="29" s="1"/>
  <c r="V68" i="29"/>
  <c r="W68" i="29" s="1"/>
  <c r="V79" i="29"/>
  <c r="W79" i="29" s="1"/>
  <c r="V389" i="29"/>
  <c r="W389" i="29" s="1"/>
  <c r="V304" i="29"/>
  <c r="W304" i="29" s="1"/>
  <c r="X171" i="29"/>
  <c r="X117" i="29"/>
  <c r="V59" i="29"/>
  <c r="W59" i="29" s="1"/>
  <c r="X70" i="29"/>
  <c r="X388" i="29"/>
  <c r="X355" i="29"/>
  <c r="X223" i="29"/>
  <c r="V148" i="29"/>
  <c r="W148" i="29" s="1"/>
  <c r="V104" i="29"/>
  <c r="W104" i="29" s="1"/>
  <c r="X42" i="29"/>
  <c r="X380" i="29"/>
  <c r="X332" i="29"/>
  <c r="X198" i="29"/>
  <c r="X173" i="29"/>
  <c r="V145" i="29"/>
  <c r="W145" i="29" s="1"/>
  <c r="V96" i="29"/>
  <c r="W96" i="29" s="1"/>
  <c r="V55" i="29"/>
  <c r="W55" i="29" s="1"/>
  <c r="V74" i="29"/>
  <c r="W74" i="29" s="1"/>
  <c r="V384" i="29"/>
  <c r="W384" i="29" s="1"/>
  <c r="V332" i="29"/>
  <c r="W332" i="29" s="1"/>
  <c r="V101" i="29"/>
  <c r="W101" i="29" s="1"/>
  <c r="X353" i="29"/>
  <c r="V57" i="29"/>
  <c r="W57" i="29" s="1"/>
  <c r="X331" i="29"/>
  <c r="V272" i="29"/>
  <c r="W272" i="29" s="1"/>
  <c r="X62" i="29"/>
  <c r="X394" i="29"/>
  <c r="X238" i="29"/>
  <c r="V138" i="29"/>
  <c r="W138" i="29" s="1"/>
  <c r="X45" i="29"/>
  <c r="X378" i="29"/>
  <c r="V189" i="29"/>
  <c r="W189" i="29" s="1"/>
  <c r="V112" i="29"/>
  <c r="W112" i="29" s="1"/>
  <c r="X89" i="29"/>
  <c r="X277" i="29"/>
  <c r="X154" i="29"/>
  <c r="V85" i="29"/>
  <c r="W85" i="29" s="1"/>
  <c r="X40" i="29"/>
  <c r="V84" i="29"/>
  <c r="W84" i="29" s="1"/>
  <c r="X352" i="29"/>
  <c r="V218" i="29"/>
  <c r="W218" i="29" s="1"/>
  <c r="X392" i="29"/>
  <c r="X351" i="29"/>
  <c r="X319" i="29"/>
  <c r="V315" i="29"/>
  <c r="W315" i="29" s="1"/>
  <c r="V251" i="29"/>
  <c r="W251" i="29" s="1"/>
  <c r="V201" i="29"/>
  <c r="W201" i="29" s="1"/>
  <c r="X218" i="29"/>
  <c r="X144" i="29"/>
  <c r="X124" i="29"/>
  <c r="V373" i="29"/>
  <c r="W373" i="29" s="1"/>
  <c r="X350" i="29"/>
  <c r="V290" i="29"/>
  <c r="W290" i="29" s="1"/>
  <c r="V267" i="29"/>
  <c r="W267" i="29" s="1"/>
  <c r="X217" i="29"/>
  <c r="X151" i="29"/>
  <c r="X156" i="29"/>
  <c r="X135" i="29"/>
  <c r="V390" i="29"/>
  <c r="W390" i="29" s="1"/>
  <c r="V365" i="29"/>
  <c r="W365" i="29" s="1"/>
  <c r="X341" i="29"/>
  <c r="V329" i="29"/>
  <c r="W329" i="29" s="1"/>
  <c r="X281" i="29"/>
  <c r="X241" i="29"/>
  <c r="V208" i="29"/>
  <c r="W208" i="29" s="1"/>
  <c r="X158" i="29"/>
  <c r="V146" i="29"/>
  <c r="W146" i="29" s="1"/>
  <c r="V377" i="29"/>
  <c r="W377" i="29" s="1"/>
  <c r="X354" i="29"/>
  <c r="V281" i="29"/>
  <c r="W281" i="29" s="1"/>
  <c r="X302" i="29"/>
  <c r="V254" i="29"/>
  <c r="W254" i="29" s="1"/>
  <c r="V231" i="29"/>
  <c r="W231" i="29" s="1"/>
  <c r="V185" i="29"/>
  <c r="W185" i="29" s="1"/>
  <c r="V135" i="29"/>
  <c r="W135" i="29" s="1"/>
  <c r="X107" i="29"/>
  <c r="X360" i="29"/>
  <c r="V228" i="29"/>
  <c r="W228" i="29" s="1"/>
  <c r="X221" i="29"/>
  <c r="X92" i="29"/>
  <c r="X47" i="29"/>
  <c r="V357" i="29"/>
  <c r="W357" i="29" s="1"/>
  <c r="V182" i="29"/>
  <c r="W182" i="29" s="1"/>
  <c r="V137" i="29"/>
  <c r="W137" i="29" s="1"/>
  <c r="X83" i="29"/>
  <c r="U32" i="29"/>
  <c r="V339" i="29"/>
  <c r="W339" i="29" s="1"/>
  <c r="X384" i="29"/>
  <c r="X343" i="29"/>
  <c r="V303" i="29"/>
  <c r="W303" i="29" s="1"/>
  <c r="X210" i="29"/>
  <c r="X190" i="29"/>
  <c r="V108" i="29"/>
  <c r="W108" i="29" s="1"/>
  <c r="V400" i="29"/>
  <c r="W400" i="29" s="1"/>
  <c r="X342" i="29"/>
  <c r="V277" i="29"/>
  <c r="W277" i="29" s="1"/>
  <c r="X242" i="29"/>
  <c r="X201" i="29"/>
  <c r="V197" i="29"/>
  <c r="W197" i="29" s="1"/>
  <c r="X147" i="29"/>
  <c r="X127" i="29"/>
  <c r="X399" i="29"/>
  <c r="X357" i="29"/>
  <c r="V333" i="29"/>
  <c r="W333" i="29" s="1"/>
  <c r="V321" i="29"/>
  <c r="W321" i="29" s="1"/>
  <c r="V273" i="29"/>
  <c r="W273" i="29" s="1"/>
  <c r="X233" i="29"/>
  <c r="X258" i="29"/>
  <c r="X150" i="29"/>
  <c r="X387" i="29"/>
  <c r="X346" i="29"/>
  <c r="V294" i="29"/>
  <c r="W294" i="29" s="1"/>
  <c r="X204" i="29"/>
  <c r="V179" i="29"/>
  <c r="W179" i="29" s="1"/>
  <c r="V127" i="29"/>
  <c r="W127" i="29" s="1"/>
  <c r="V99" i="29"/>
  <c r="W99" i="29" s="1"/>
  <c r="X344" i="29"/>
  <c r="X308" i="29"/>
  <c r="X203" i="29"/>
  <c r="V141" i="29"/>
  <c r="W141" i="29" s="1"/>
  <c r="X84" i="29"/>
  <c r="V87" i="29"/>
  <c r="W87" i="29" s="1"/>
  <c r="X39" i="29"/>
  <c r="X340" i="29"/>
  <c r="X288" i="29"/>
  <c r="X265" i="29"/>
  <c r="X121" i="29"/>
  <c r="X75" i="29"/>
  <c r="X78" i="29"/>
  <c r="V388" i="29"/>
  <c r="W388" i="29" s="1"/>
  <c r="X375" i="29"/>
  <c r="V351" i="29"/>
  <c r="W351" i="29" s="1"/>
  <c r="V286" i="29"/>
  <c r="W286" i="29" s="1"/>
  <c r="X299" i="29"/>
  <c r="X193" i="29"/>
  <c r="X166" i="29"/>
  <c r="X128" i="29"/>
  <c r="V392" i="29"/>
  <c r="W392" i="29" s="1"/>
  <c r="X358" i="29"/>
  <c r="X326" i="29"/>
  <c r="V330" i="29"/>
  <c r="W330" i="29" s="1"/>
  <c r="V274" i="29"/>
  <c r="W274" i="29" s="1"/>
  <c r="V226" i="29"/>
  <c r="W226" i="29" s="1"/>
  <c r="X251" i="29"/>
  <c r="V184" i="29"/>
  <c r="W184" i="29" s="1"/>
  <c r="X189" i="29"/>
  <c r="V131" i="29"/>
  <c r="W131" i="29" s="1"/>
  <c r="V111" i="29"/>
  <c r="W111" i="29" s="1"/>
  <c r="V367" i="29"/>
  <c r="W367" i="29" s="1"/>
  <c r="X309" i="29"/>
  <c r="V313" i="29"/>
  <c r="W313" i="29" s="1"/>
  <c r="V265" i="29"/>
  <c r="W265" i="29" s="1"/>
  <c r="V242" i="29"/>
  <c r="W242" i="29" s="1"/>
  <c r="V180" i="29"/>
  <c r="W180" i="29" s="1"/>
  <c r="X122" i="29"/>
  <c r="V362" i="29"/>
  <c r="W362" i="29" s="1"/>
  <c r="X330" i="29"/>
  <c r="V326" i="29"/>
  <c r="W326" i="29" s="1"/>
  <c r="V278" i="29"/>
  <c r="W278" i="29" s="1"/>
  <c r="V238" i="29"/>
  <c r="W238" i="29" s="1"/>
  <c r="V263" i="29"/>
  <c r="W263" i="29" s="1"/>
  <c r="V163" i="29"/>
  <c r="W163" i="29" s="1"/>
  <c r="V169" i="29"/>
  <c r="W169" i="29" s="1"/>
  <c r="X111" i="29"/>
  <c r="V394" i="29"/>
  <c r="W394" i="29" s="1"/>
  <c r="X169" i="29"/>
  <c r="X109" i="29"/>
  <c r="X371" i="29"/>
  <c r="V308" i="29"/>
  <c r="W308" i="29" s="1"/>
  <c r="X256" i="29"/>
  <c r="V233" i="29"/>
  <c r="W233" i="29" s="1"/>
  <c r="V149" i="29"/>
  <c r="W149" i="29" s="1"/>
  <c r="X133" i="29"/>
  <c r="X370" i="29"/>
  <c r="V307" i="29"/>
  <c r="W307" i="29" s="1"/>
  <c r="V255" i="29"/>
  <c r="W255" i="29" s="1"/>
  <c r="V164" i="29"/>
  <c r="W164" i="29" s="1"/>
  <c r="X132" i="29"/>
  <c r="X74" i="29"/>
  <c r="V69" i="29"/>
  <c r="W69" i="29" s="1"/>
  <c r="V397" i="29"/>
  <c r="W397" i="29" s="1"/>
  <c r="V366" i="29"/>
  <c r="W366" i="29" s="1"/>
  <c r="X214" i="29"/>
  <c r="V157" i="29"/>
  <c r="W157" i="29" s="1"/>
  <c r="V129" i="29"/>
  <c r="W129" i="29" s="1"/>
  <c r="X87" i="29"/>
  <c r="V39" i="29"/>
  <c r="W39" i="29" s="1"/>
  <c r="X50" i="29"/>
  <c r="V202" i="29"/>
  <c r="W202" i="29" s="1"/>
  <c r="V113" i="29"/>
  <c r="W113" i="29" s="1"/>
  <c r="X262" i="29"/>
  <c r="X379" i="29"/>
  <c r="X230" i="29"/>
  <c r="V361" i="29"/>
  <c r="W361" i="29" s="1"/>
  <c r="V261" i="29"/>
  <c r="W261" i="29" s="1"/>
  <c r="V192" i="29"/>
  <c r="W192" i="29" s="1"/>
  <c r="V77" i="29"/>
  <c r="W77" i="29" s="1"/>
  <c r="X317" i="29"/>
  <c r="X397" i="29"/>
  <c r="X279" i="29"/>
  <c r="V156" i="29"/>
  <c r="W156" i="29" s="1"/>
  <c r="V93" i="29"/>
  <c r="W93" i="29" s="1"/>
  <c r="V41" i="29"/>
  <c r="W41" i="29" s="1"/>
  <c r="V187" i="29"/>
  <c r="W187" i="29" s="1"/>
  <c r="V92" i="29"/>
  <c r="W92" i="29" s="1"/>
  <c r="X337" i="29"/>
  <c r="V52" i="29"/>
  <c r="W52" i="29" s="1"/>
  <c r="V352" i="29"/>
  <c r="W352" i="29" s="1"/>
  <c r="X261" i="29"/>
  <c r="X114" i="29"/>
  <c r="V117" i="29"/>
  <c r="W117" i="29" s="1"/>
  <c r="X374" i="29"/>
  <c r="X295" i="29"/>
  <c r="X275" i="29"/>
  <c r="X260" i="29"/>
  <c r="V152" i="29"/>
  <c r="W152" i="29" s="1"/>
  <c r="X366" i="29"/>
  <c r="X294" i="29"/>
  <c r="X266" i="29"/>
  <c r="X200" i="29"/>
  <c r="X175" i="29"/>
  <c r="V139" i="29"/>
  <c r="W139" i="29" s="1"/>
  <c r="X95" i="29"/>
  <c r="X276" i="29"/>
  <c r="V257" i="29"/>
  <c r="W257" i="29" s="1"/>
  <c r="X250" i="29"/>
  <c r="X174" i="29"/>
  <c r="V114" i="29"/>
  <c r="W114" i="29" s="1"/>
  <c r="V94" i="29"/>
  <c r="W94" i="29" s="1"/>
  <c r="V354" i="29"/>
  <c r="W354" i="29" s="1"/>
  <c r="X273" i="29"/>
  <c r="V262" i="29"/>
  <c r="W262" i="29" s="1"/>
  <c r="V188" i="29"/>
  <c r="W188" i="29" s="1"/>
  <c r="V151" i="29"/>
  <c r="W151" i="29" s="1"/>
  <c r="X91" i="29"/>
  <c r="V296" i="29"/>
  <c r="W296" i="29" s="1"/>
  <c r="V269" i="29"/>
  <c r="W269" i="29" s="1"/>
  <c r="V158" i="29"/>
  <c r="W158" i="29" s="1"/>
  <c r="X60" i="29"/>
  <c r="X390" i="29"/>
  <c r="X274" i="29"/>
  <c r="V205" i="29"/>
  <c r="W205" i="29" s="1"/>
  <c r="V198" i="29"/>
  <c r="W198" i="29" s="1"/>
  <c r="V90" i="29"/>
  <c r="W90" i="29" s="1"/>
  <c r="X77" i="29"/>
  <c r="X348" i="29"/>
  <c r="X225" i="29"/>
  <c r="V162" i="29"/>
  <c r="W162" i="29" s="1"/>
  <c r="V95" i="29"/>
  <c r="W95" i="29" s="1"/>
  <c r="V42" i="29"/>
  <c r="W42" i="29" s="1"/>
  <c r="V64" i="29"/>
  <c r="W64" i="29" s="1"/>
  <c r="X385" i="29"/>
  <c r="X76" i="29"/>
  <c r="V295" i="29"/>
  <c r="W295" i="29" s="1"/>
  <c r="V161" i="29"/>
  <c r="W161" i="29" s="1"/>
  <c r="X81" i="29"/>
  <c r="V297" i="29"/>
  <c r="W297" i="29" s="1"/>
  <c r="V204" i="29"/>
  <c r="W204" i="29" s="1"/>
  <c r="V353" i="29"/>
  <c r="W353" i="29" s="1"/>
  <c r="X347" i="29"/>
  <c r="X54" i="29"/>
  <c r="X345" i="29"/>
  <c r="X254" i="29"/>
  <c r="V301" i="29"/>
  <c r="W301" i="29" s="1"/>
  <c r="V288" i="29"/>
  <c r="W288" i="29" s="1"/>
  <c r="X129" i="29"/>
  <c r="X194" i="29"/>
  <c r="V49" i="29"/>
  <c r="W49" i="29" s="1"/>
  <c r="X367" i="29"/>
  <c r="X259" i="29"/>
  <c r="V244" i="29"/>
  <c r="W244" i="29" s="1"/>
  <c r="X182" i="29"/>
  <c r="X112" i="29"/>
  <c r="V350" i="29"/>
  <c r="W350" i="29" s="1"/>
  <c r="V285" i="29"/>
  <c r="W285" i="29" s="1"/>
  <c r="V258" i="29"/>
  <c r="W258" i="29" s="1"/>
  <c r="V167" i="29"/>
  <c r="W167" i="29" s="1"/>
  <c r="V123" i="29"/>
  <c r="W123" i="29" s="1"/>
  <c r="X398" i="29"/>
  <c r="V358" i="29"/>
  <c r="W358" i="29" s="1"/>
  <c r="V166" i="29"/>
  <c r="W166" i="29" s="1"/>
  <c r="X106" i="29"/>
  <c r="V396" i="29"/>
  <c r="W396" i="29" s="1"/>
  <c r="V338" i="29"/>
  <c r="W338" i="29" s="1"/>
  <c r="V318" i="29"/>
  <c r="W318" i="29" s="1"/>
  <c r="X255" i="29"/>
  <c r="V171" i="29"/>
  <c r="W171" i="29" s="1"/>
  <c r="V279" i="29"/>
  <c r="W279" i="29" s="1"/>
  <c r="V125" i="29"/>
  <c r="W125" i="29" s="1"/>
  <c r="X52" i="29"/>
  <c r="V371" i="29"/>
  <c r="W371" i="29" s="1"/>
  <c r="X320" i="29"/>
  <c r="V215" i="29"/>
  <c r="W215" i="29" s="1"/>
  <c r="V105" i="29"/>
  <c r="W105" i="29" s="1"/>
  <c r="X43" i="29"/>
  <c r="V370" i="29"/>
  <c r="W370" i="29" s="1"/>
  <c r="V319" i="29"/>
  <c r="W319" i="29" s="1"/>
  <c r="V136" i="29"/>
  <c r="W136" i="29" s="1"/>
  <c r="X82" i="29"/>
  <c r="V398" i="29"/>
  <c r="W398" i="29" s="1"/>
  <c r="X316" i="29"/>
  <c r="X280" i="29"/>
  <c r="X207" i="29"/>
  <c r="V300" i="29"/>
  <c r="W300" i="29" s="1"/>
  <c r="V177" i="29"/>
  <c r="W177" i="29" s="1"/>
  <c r="X289" i="29"/>
  <c r="X396" i="29"/>
  <c r="X263" i="29"/>
  <c r="V128" i="29"/>
  <c r="W128" i="29" s="1"/>
  <c r="V65" i="29"/>
  <c r="W65" i="29" s="1"/>
  <c r="X73" i="29"/>
  <c r="X325" i="29"/>
  <c r="X93" i="29"/>
  <c r="V221" i="29"/>
  <c r="W221" i="29" s="1"/>
  <c r="V347" i="29"/>
  <c r="W347" i="29" s="1"/>
  <c r="X213" i="29"/>
  <c r="V144" i="29"/>
  <c r="W144" i="29" s="1"/>
  <c r="V73" i="29"/>
  <c r="W73" i="29" s="1"/>
  <c r="X313" i="29"/>
  <c r="X222" i="29"/>
  <c r="X161" i="29"/>
  <c r="V229" i="29"/>
  <c r="W229" i="29" s="1"/>
  <c r="V56" i="29"/>
  <c r="W56" i="29" s="1"/>
  <c r="X134" i="29"/>
  <c r="X368" i="29"/>
  <c r="V72" i="29"/>
  <c r="W72" i="29" s="1"/>
  <c r="X359" i="29"/>
  <c r="X278" i="29"/>
  <c r="V235" i="29"/>
  <c r="W235" i="29" s="1"/>
  <c r="X236" i="29"/>
  <c r="X157" i="29"/>
  <c r="V399" i="29"/>
  <c r="W399" i="29" s="1"/>
  <c r="V342" i="29"/>
  <c r="W342" i="29" s="1"/>
  <c r="V243" i="29"/>
  <c r="W243" i="29" s="1"/>
  <c r="V159" i="29"/>
  <c r="W159" i="29" s="1"/>
  <c r="V115" i="29"/>
  <c r="W115" i="29" s="1"/>
  <c r="V391" i="29"/>
  <c r="W391" i="29" s="1"/>
  <c r="X226" i="29"/>
  <c r="V196" i="29"/>
  <c r="W196" i="29" s="1"/>
  <c r="X142" i="29"/>
  <c r="V387" i="29"/>
  <c r="W387" i="29" s="1"/>
  <c r="X363" i="29"/>
  <c r="X247" i="29"/>
  <c r="X143" i="29"/>
  <c r="X376" i="29"/>
  <c r="V292" i="29"/>
  <c r="W292" i="29" s="1"/>
  <c r="X253" i="29"/>
  <c r="X137" i="29"/>
  <c r="V44" i="29"/>
  <c r="W44" i="29" s="1"/>
  <c r="X272" i="29"/>
  <c r="V199" i="29"/>
  <c r="W199" i="29" s="1"/>
  <c r="X101" i="29"/>
  <c r="V86" i="29"/>
  <c r="W86" i="29" s="1"/>
  <c r="X303" i="29"/>
  <c r="V264" i="29"/>
  <c r="W264" i="29" s="1"/>
  <c r="V181" i="29"/>
  <c r="W181" i="29" s="1"/>
  <c r="X120" i="29"/>
  <c r="V66" i="29"/>
  <c r="W66" i="29" s="1"/>
  <c r="V61" i="29"/>
  <c r="W61" i="29" s="1"/>
  <c r="X300" i="29"/>
  <c r="X264" i="29"/>
  <c r="V190" i="29"/>
  <c r="W190" i="29" s="1"/>
  <c r="X79" i="29"/>
  <c r="V82" i="29"/>
  <c r="W82" i="29" s="1"/>
  <c r="X145" i="29"/>
  <c r="V48" i="29"/>
  <c r="W48" i="29" s="1"/>
  <c r="X285" i="29"/>
  <c r="V363" i="29"/>
  <c r="W363" i="29" s="1"/>
  <c r="X231" i="29"/>
  <c r="V140" i="29"/>
  <c r="W140" i="29" s="1"/>
  <c r="V60" i="29"/>
  <c r="W60" i="29" s="1"/>
  <c r="V293" i="29"/>
  <c r="W293" i="29" s="1"/>
  <c r="V170" i="29"/>
  <c r="W170" i="29" s="1"/>
  <c r="X195" i="29"/>
  <c r="V256" i="29"/>
  <c r="W256" i="29" s="1"/>
  <c r="V280" i="29"/>
  <c r="W280" i="29" s="1"/>
  <c r="X69" i="29"/>
  <c r="X246" i="29"/>
  <c r="V203" i="29"/>
  <c r="W203" i="29" s="1"/>
  <c r="X149" i="29"/>
  <c r="V81" i="29"/>
  <c r="W81" i="29" s="1"/>
  <c r="X97" i="29"/>
  <c r="V316" i="29"/>
  <c r="W316" i="29" s="1"/>
  <c r="V323" i="29"/>
  <c r="W323" i="29" s="1"/>
  <c r="X202" i="29"/>
  <c r="X140" i="29"/>
  <c r="X314" i="29"/>
  <c r="V234" i="29"/>
  <c r="W234" i="29" s="1"/>
  <c r="X235" i="29"/>
  <c r="X181" i="29"/>
  <c r="V380" i="29"/>
  <c r="W380" i="29" s="1"/>
  <c r="V317" i="29"/>
  <c r="W317" i="29" s="1"/>
  <c r="X297" i="29"/>
  <c r="X215" i="29"/>
  <c r="X163" i="29"/>
  <c r="V118" i="29"/>
  <c r="W118" i="29" s="1"/>
  <c r="V378" i="29"/>
  <c r="W378" i="29" s="1"/>
  <c r="V322" i="29"/>
  <c r="W322" i="29" s="1"/>
  <c r="V230" i="29"/>
  <c r="W230" i="29" s="1"/>
  <c r="V223" i="29"/>
  <c r="W223" i="29" s="1"/>
  <c r="V193" i="29"/>
  <c r="W193" i="29" s="1"/>
  <c r="X139" i="29"/>
  <c r="X186" i="29"/>
  <c r="X105" i="29"/>
  <c r="X71" i="29"/>
  <c r="V340" i="29"/>
  <c r="W340" i="29" s="1"/>
  <c r="X165" i="29"/>
  <c r="V91" i="29"/>
  <c r="W91" i="29" s="1"/>
  <c r="V54" i="29"/>
  <c r="W54" i="29" s="1"/>
  <c r="X339" i="29"/>
  <c r="V271" i="29"/>
  <c r="W271" i="29" s="1"/>
  <c r="V248" i="29"/>
  <c r="W248" i="29" s="1"/>
  <c r="V186" i="29"/>
  <c r="W186" i="29" s="1"/>
  <c r="X58" i="29"/>
  <c r="V53" i="29"/>
  <c r="W53" i="29" s="1"/>
  <c r="X232" i="29"/>
  <c r="X141" i="29"/>
  <c r="V236" i="29"/>
  <c r="W236" i="29" s="1"/>
  <c r="V133" i="29"/>
  <c r="W133" i="29" s="1"/>
  <c r="V67" i="29"/>
  <c r="W67" i="29" s="1"/>
  <c r="X118" i="29"/>
  <c r="X365" i="29"/>
  <c r="X240" i="29"/>
  <c r="X108" i="29"/>
  <c r="X321" i="29"/>
  <c r="X377" i="29"/>
  <c r="X159" i="29"/>
  <c r="V80" i="29"/>
  <c r="W80" i="29" s="1"/>
  <c r="V282" i="29"/>
  <c r="W282" i="29" s="1"/>
  <c r="X224" i="29"/>
  <c r="V88" i="29"/>
  <c r="W88" i="29" s="1"/>
  <c r="V97" i="29"/>
  <c r="W97" i="29" s="1"/>
  <c r="V183" i="29"/>
  <c r="W183" i="29" s="1"/>
  <c r="V75" i="29"/>
  <c r="W75" i="29" s="1"/>
  <c r="V337" i="29"/>
  <c r="W337" i="29" s="1"/>
  <c r="X386" i="29"/>
  <c r="X102" i="29"/>
  <c r="V40" i="29"/>
  <c r="W40" i="29" s="1"/>
  <c r="X228" i="29"/>
  <c r="V143" i="29"/>
  <c r="W143" i="29" s="1"/>
  <c r="X349" i="29"/>
  <c r="V225" i="29"/>
  <c r="W225" i="29" s="1"/>
  <c r="X172" i="29"/>
  <c r="V310" i="29"/>
  <c r="W310" i="29" s="1"/>
  <c r="V239" i="29"/>
  <c r="W239" i="29" s="1"/>
  <c r="V119" i="29"/>
  <c r="W119" i="29" s="1"/>
  <c r="V276" i="29"/>
  <c r="W276" i="29" s="1"/>
  <c r="V356" i="29"/>
  <c r="W356" i="29" s="1"/>
  <c r="V62" i="29"/>
  <c r="W62" i="29" s="1"/>
  <c r="V287" i="29"/>
  <c r="W287" i="29" s="1"/>
  <c r="V379" i="29"/>
  <c r="W379" i="29" s="1"/>
  <c r="X248" i="29"/>
  <c r="X113" i="29"/>
  <c r="X268" i="29"/>
  <c r="V83" i="29"/>
  <c r="W83" i="29" s="1"/>
  <c r="V150" i="29"/>
  <c r="W150" i="29" s="1"/>
  <c r="X57" i="29"/>
  <c r="V176" i="29"/>
  <c r="W176" i="29" s="1"/>
  <c r="X168" i="29"/>
  <c r="X88" i="29"/>
  <c r="X68" i="29"/>
  <c r="X59" i="29"/>
  <c r="X400" i="29"/>
  <c r="X307" i="29"/>
  <c r="V168" i="29"/>
  <c r="W168" i="29" s="1"/>
  <c r="X306" i="29"/>
  <c r="X227" i="29"/>
  <c r="X119" i="29"/>
  <c r="X301" i="29"/>
  <c r="V207" i="29"/>
  <c r="W207" i="29" s="1"/>
  <c r="V155" i="29"/>
  <c r="W155" i="29" s="1"/>
  <c r="V369" i="29"/>
  <c r="W369" i="29" s="1"/>
  <c r="V213" i="29"/>
  <c r="W213" i="29" s="1"/>
  <c r="X131" i="29"/>
  <c r="V260" i="29"/>
  <c r="W260" i="29" s="1"/>
  <c r="X90" i="29"/>
  <c r="V324" i="29"/>
  <c r="W324" i="29" s="1"/>
  <c r="X187" i="29"/>
  <c r="V50" i="29"/>
  <c r="W50" i="29" s="1"/>
  <c r="V364" i="29"/>
  <c r="W364" i="29" s="1"/>
  <c r="X257" i="29"/>
  <c r="X125" i="29"/>
  <c r="X66" i="29"/>
  <c r="V299" i="29"/>
  <c r="W299" i="29" s="1"/>
  <c r="X94" i="29"/>
  <c r="X126" i="29"/>
  <c r="X98" i="29"/>
  <c r="X395" i="29"/>
  <c r="V142" i="29"/>
  <c r="W142" i="29" s="1"/>
  <c r="V305" i="29"/>
  <c r="W305" i="29" s="1"/>
  <c r="X178" i="29"/>
  <c r="V43" i="29"/>
  <c r="W43" i="29" s="1"/>
  <c r="V393" i="29"/>
  <c r="W393" i="29" s="1"/>
  <c r="V160" i="29"/>
  <c r="W160" i="29" s="1"/>
  <c r="V374" i="29"/>
  <c r="W374" i="29" s="1"/>
  <c r="X298" i="29"/>
  <c r="X192" i="29"/>
  <c r="X293" i="29"/>
  <c r="X199" i="29"/>
  <c r="X369" i="29"/>
  <c r="X123" i="29"/>
  <c r="V76" i="29"/>
  <c r="W76" i="29" s="1"/>
  <c r="X292" i="29"/>
  <c r="V46" i="29"/>
  <c r="W46" i="29" s="1"/>
  <c r="X170" i="29"/>
  <c r="V348" i="29"/>
  <c r="W348" i="29" s="1"/>
  <c r="V241" i="29"/>
  <c r="W241" i="29" s="1"/>
  <c r="V109" i="29"/>
  <c r="W109" i="29" s="1"/>
  <c r="V58" i="29"/>
  <c r="W58" i="29" s="1"/>
  <c r="X245" i="29"/>
  <c r="X51" i="29"/>
  <c r="V327" i="29"/>
  <c r="W327" i="29" s="1"/>
  <c r="V78" i="29"/>
  <c r="W78" i="29" s="1"/>
  <c r="X362" i="29"/>
  <c r="X41" i="29"/>
  <c r="V376" i="29"/>
  <c r="W376" i="29" s="1"/>
  <c r="V110" i="29"/>
  <c r="W110" i="29" s="1"/>
  <c r="X237" i="29"/>
  <c r="V383" i="29"/>
  <c r="W383" i="29" s="1"/>
  <c r="V227" i="29"/>
  <c r="W227" i="29" s="1"/>
  <c r="X148" i="29"/>
  <c r="V334" i="29"/>
  <c r="W334" i="29" s="1"/>
  <c r="V250" i="29"/>
  <c r="W250" i="29" s="1"/>
  <c r="X373" i="29"/>
  <c r="X305" i="29"/>
  <c r="V216" i="29"/>
  <c r="W216" i="29" s="1"/>
  <c r="V134" i="29"/>
  <c r="W134" i="29" s="1"/>
  <c r="X338" i="29"/>
  <c r="X155" i="29"/>
  <c r="V375" i="29"/>
  <c r="W375" i="29" s="1"/>
  <c r="V240" i="29"/>
  <c r="W240" i="29" s="1"/>
  <c r="X99" i="29"/>
  <c r="V355" i="29"/>
  <c r="W355" i="29" s="1"/>
  <c r="V116" i="29"/>
  <c r="W116" i="29" s="1"/>
  <c r="V283" i="29"/>
  <c r="W283" i="29" s="1"/>
  <c r="V71" i="29"/>
  <c r="W71" i="29" s="1"/>
  <c r="V368" i="29"/>
  <c r="W368" i="29" s="1"/>
  <c r="X167" i="29"/>
  <c r="X162" i="29"/>
  <c r="X49" i="29"/>
  <c r="X61" i="29"/>
  <c r="X315" i="29"/>
  <c r="V124" i="29"/>
  <c r="W124" i="29" s="1"/>
  <c r="V309" i="29"/>
  <c r="W309" i="29" s="1"/>
  <c r="X53" i="29"/>
  <c r="X146" i="29"/>
  <c r="V385" i="29"/>
  <c r="W385" i="29" s="1"/>
  <c r="X382" i="29"/>
  <c r="X282" i="29"/>
  <c r="V266" i="29"/>
  <c r="W266" i="29" s="1"/>
  <c r="X205" i="29"/>
  <c r="V210" i="29"/>
  <c r="W210" i="29" s="1"/>
  <c r="V275" i="29"/>
  <c r="W275" i="29" s="1"/>
  <c r="V153" i="29"/>
  <c r="W153" i="29" s="1"/>
  <c r="V211" i="29"/>
  <c r="W211" i="29" s="1"/>
  <c r="X329" i="29"/>
  <c r="X44" i="29"/>
  <c r="V345" i="29"/>
  <c r="W345" i="29" s="1"/>
  <c r="V343" i="29"/>
  <c r="W343" i="29" s="1"/>
  <c r="V132" i="29"/>
  <c r="W132" i="29" s="1"/>
  <c r="V200" i="29"/>
  <c r="W200" i="29" s="1"/>
  <c r="V306" i="29"/>
  <c r="W306" i="29" s="1"/>
  <c r="X153" i="29"/>
  <c r="V224" i="29"/>
  <c r="W224" i="29" s="1"/>
  <c r="X100" i="29"/>
  <c r="V328" i="29"/>
  <c r="W328" i="29" s="1"/>
  <c r="X63" i="29"/>
  <c r="X206" i="29"/>
  <c r="X229" i="29"/>
  <c r="V245" i="29"/>
  <c r="W245" i="29" s="1"/>
  <c r="V320" i="29"/>
  <c r="W320" i="29" s="1"/>
  <c r="X136" i="29"/>
  <c r="X216" i="29"/>
  <c r="V372" i="29"/>
  <c r="W372" i="29" s="1"/>
  <c r="V298" i="29"/>
  <c r="W298" i="29" s="1"/>
  <c r="X177" i="29"/>
  <c r="X191" i="29"/>
  <c r="V206" i="29"/>
  <c r="W206" i="29" s="1"/>
  <c r="X323" i="29"/>
  <c r="V98" i="29"/>
  <c r="W98" i="29" s="1"/>
  <c r="V312" i="29"/>
  <c r="W312" i="29" s="1"/>
  <c r="X96" i="29"/>
  <c r="V172" i="29"/>
  <c r="W172" i="29" s="1"/>
  <c r="V270" i="29"/>
  <c r="W270" i="29" s="1"/>
  <c r="V311" i="29"/>
  <c r="W311" i="29" s="1"/>
  <c r="V252" i="29"/>
  <c r="W252" i="29" s="1"/>
  <c r="X283" i="29"/>
  <c r="X284" i="29"/>
  <c r="X130" i="29"/>
  <c r="X270" i="29"/>
  <c r="X115" i="29"/>
  <c r="V154" i="29"/>
  <c r="W154" i="29" s="1"/>
  <c r="X239" i="29"/>
  <c r="X85" i="29"/>
  <c r="V386" i="29"/>
  <c r="W386" i="29" s="1"/>
  <c r="X46" i="29"/>
  <c r="V106" i="29"/>
  <c r="W106" i="29" s="1"/>
  <c r="V178" i="29"/>
  <c r="W178" i="29" s="1"/>
  <c r="V122" i="29"/>
  <c r="W122" i="29" s="1"/>
  <c r="X65" i="29"/>
  <c r="X333" i="29"/>
  <c r="X335" i="29"/>
  <c r="X208" i="29"/>
  <c r="X183" i="29"/>
  <c r="X249" i="29"/>
  <c r="V47" i="29"/>
  <c r="W47" i="29" s="1"/>
  <c r="V194" i="29"/>
  <c r="W194" i="29" s="1"/>
  <c r="V247" i="29"/>
  <c r="W247" i="29" s="1"/>
  <c r="V284" i="29"/>
  <c r="W284" i="29" s="1"/>
  <c r="V232" i="29"/>
  <c r="W232" i="29" s="1"/>
  <c r="X86" i="29"/>
  <c r="X269" i="29"/>
  <c r="V209" i="29"/>
  <c r="W209" i="29" s="1"/>
  <c r="X290" i="29"/>
  <c r="V63" i="29"/>
  <c r="W63" i="29" s="1"/>
  <c r="V214" i="29"/>
  <c r="W214" i="29" s="1"/>
  <c r="X179" i="29"/>
  <c r="V253" i="29"/>
  <c r="W253" i="29" s="1"/>
  <c r="V70" i="29"/>
  <c r="W70" i="29" s="1"/>
  <c r="V212" i="29"/>
  <c r="W212" i="29" s="1"/>
  <c r="V120" i="29"/>
  <c r="W120" i="29" s="1"/>
  <c r="V289" i="29"/>
  <c r="W289" i="29" s="1"/>
  <c r="V222" i="29"/>
  <c r="W222" i="29" s="1"/>
  <c r="X55" i="29"/>
  <c r="V45" i="29"/>
  <c r="W45" i="29" s="1"/>
  <c r="V336" i="29"/>
  <c r="W336" i="29" s="1"/>
  <c r="V130" i="29"/>
  <c r="W130" i="29" s="1"/>
  <c r="X211" i="29"/>
  <c r="X318" i="29"/>
  <c r="V51" i="29"/>
  <c r="W51" i="29" s="1"/>
  <c r="X304" i="29"/>
  <c r="X48" i="29"/>
  <c r="X152" i="29"/>
  <c r="X196" i="29"/>
  <c r="X389" i="29"/>
  <c r="X310" i="29"/>
  <c r="X271" i="29"/>
  <c r="X291" i="29"/>
  <c r="X80" i="29"/>
  <c r="X364" i="29"/>
  <c r="V173" i="29"/>
  <c r="W173" i="29" s="1"/>
  <c r="V344" i="29"/>
  <c r="W344" i="29" s="1"/>
  <c r="V89" i="29"/>
  <c r="W89" i="29" s="1"/>
  <c r="X287" i="29"/>
  <c r="V349" i="29"/>
  <c r="W349" i="29" s="1"/>
  <c r="X328" i="29"/>
  <c r="X72" i="29"/>
  <c r="A22" i="29"/>
  <c r="X56" i="29"/>
  <c r="X296" i="29"/>
  <c r="X110" i="29"/>
  <c r="V195" i="29"/>
  <c r="W195" i="29" s="1"/>
  <c r="V102" i="29"/>
  <c r="W102" i="29" s="1"/>
  <c r="X336" i="29"/>
  <c r="X164" i="29"/>
  <c r="X180" i="29"/>
  <c r="X312" i="29"/>
  <c r="X184" i="29"/>
  <c r="X356" i="29"/>
  <c r="X372" i="29"/>
  <c r="V268" i="29"/>
  <c r="W268" i="29" s="1"/>
  <c r="X67" i="29"/>
  <c r="X64" i="29"/>
  <c r="X334" i="29"/>
  <c r="AH280" i="24"/>
  <c r="AI280" i="24" s="1"/>
  <c r="AH396" i="24"/>
  <c r="AI396" i="24" s="1"/>
  <c r="AJ257" i="24"/>
  <c r="AH384" i="24"/>
  <c r="AI384" i="24" s="1"/>
  <c r="AH336" i="24"/>
  <c r="AI336" i="24" s="1"/>
  <c r="AJ100" i="24"/>
  <c r="AH345" i="24"/>
  <c r="AI345" i="24" s="1"/>
  <c r="AJ99" i="24"/>
  <c r="AJ381" i="24"/>
  <c r="AJ163" i="24"/>
  <c r="AJ182" i="24"/>
  <c r="AH364" i="24"/>
  <c r="AI364" i="24" s="1"/>
  <c r="AH94" i="24"/>
  <c r="AI94" i="24" s="1"/>
  <c r="AJ166" i="24"/>
  <c r="AH301" i="24"/>
  <c r="AI301" i="24" s="1"/>
  <c r="AJ374" i="24"/>
  <c r="AH365" i="24"/>
  <c r="AI365" i="24" s="1"/>
  <c r="AJ312" i="24"/>
  <c r="AJ395" i="24"/>
  <c r="AJ66" i="24"/>
  <c r="AH147" i="24"/>
  <c r="AI147" i="24" s="1"/>
  <c r="AJ164" i="24"/>
  <c r="AJ70" i="24"/>
  <c r="AJ285" i="24"/>
  <c r="AH378" i="24"/>
  <c r="AI378" i="24" s="1"/>
  <c r="AJ174" i="24"/>
  <c r="AH303" i="24"/>
  <c r="AI303" i="24" s="1"/>
  <c r="AJ351" i="24"/>
  <c r="AH138" i="24"/>
  <c r="AI138" i="24" s="1"/>
  <c r="AH203" i="24"/>
  <c r="AI203" i="24" s="1"/>
  <c r="AJ373" i="24"/>
  <c r="AH54" i="24"/>
  <c r="AI54" i="24" s="1"/>
  <c r="AH188" i="24"/>
  <c r="AI188" i="24" s="1"/>
  <c r="AH346" i="24"/>
  <c r="AI346" i="24" s="1"/>
  <c r="AJ131" i="24"/>
  <c r="AH43" i="24"/>
  <c r="AI43" i="24" s="1"/>
  <c r="AH236" i="24"/>
  <c r="AI236" i="24" s="1"/>
  <c r="AJ323" i="24"/>
  <c r="AH325" i="24"/>
  <c r="AI325" i="24" s="1"/>
  <c r="AJ109" i="24"/>
  <c r="AH333" i="24"/>
  <c r="AI333" i="24" s="1"/>
  <c r="AH125" i="24"/>
  <c r="AI125" i="24" s="1"/>
  <c r="AJ367" i="24"/>
  <c r="AH253" i="24"/>
  <c r="AI253" i="24" s="1"/>
  <c r="AJ287" i="24"/>
  <c r="AH170" i="24"/>
  <c r="AI170" i="24" s="1"/>
  <c r="AJ252" i="24"/>
  <c r="AJ53" i="24"/>
  <c r="AH205" i="24"/>
  <c r="AI205" i="24" s="1"/>
  <c r="AJ221" i="24"/>
  <c r="AJ368" i="24"/>
  <c r="AJ196" i="24"/>
  <c r="AH213" i="24"/>
  <c r="AI213" i="24" s="1"/>
  <c r="AH209" i="24"/>
  <c r="AI209" i="24" s="1"/>
  <c r="AJ161" i="24"/>
  <c r="AH190" i="24"/>
  <c r="AI190" i="24" s="1"/>
  <c r="AJ230" i="24"/>
  <c r="AJ57" i="24"/>
  <c r="AH189" i="24"/>
  <c r="AI189" i="24" s="1"/>
  <c r="AH187" i="24"/>
  <c r="AI187" i="24" s="1"/>
  <c r="AH47" i="24"/>
  <c r="AI47" i="24" s="1"/>
  <c r="AJ80" i="24"/>
  <c r="AH382" i="24"/>
  <c r="AI382" i="24" s="1"/>
  <c r="AJ363" i="24"/>
  <c r="AH118" i="24"/>
  <c r="AI118" i="24" s="1"/>
  <c r="AJ390" i="24"/>
  <c r="AJ372" i="24"/>
  <c r="AJ113" i="24"/>
  <c r="AH95" i="24"/>
  <c r="AI95" i="24" s="1"/>
  <c r="AH299" i="24"/>
  <c r="AI299" i="24" s="1"/>
  <c r="AJ62" i="24"/>
  <c r="AJ65" i="24"/>
  <c r="AJ281" i="24"/>
  <c r="AJ170" i="24"/>
  <c r="AH175" i="24"/>
  <c r="AI175" i="24" s="1"/>
  <c r="AJ297" i="24"/>
  <c r="AJ195" i="24"/>
  <c r="AJ265" i="24"/>
  <c r="AH296" i="24"/>
  <c r="AI296" i="24" s="1"/>
  <c r="AH156" i="24"/>
  <c r="AI156" i="24" s="1"/>
  <c r="AH124" i="24"/>
  <c r="AI124" i="24" s="1"/>
  <c r="AJ282" i="24"/>
  <c r="AJ200" i="24"/>
  <c r="AJ114" i="24"/>
  <c r="AH290" i="24"/>
  <c r="AI290" i="24" s="1"/>
  <c r="AH186" i="24"/>
  <c r="AI186" i="24" s="1"/>
  <c r="AH99" i="24"/>
  <c r="AI99" i="24" s="1"/>
  <c r="AJ117" i="24"/>
  <c r="AJ339" i="24"/>
  <c r="AH288" i="24"/>
  <c r="AI288" i="24" s="1"/>
  <c r="AH184" i="24"/>
  <c r="AI184" i="24" s="1"/>
  <c r="AJ392" i="24"/>
  <c r="AJ242" i="24"/>
  <c r="AJ352" i="24"/>
  <c r="AH304" i="24"/>
  <c r="AI304" i="24" s="1"/>
  <c r="AH52" i="24"/>
  <c r="AI52" i="24" s="1"/>
  <c r="AH289" i="24"/>
  <c r="AI289" i="24" s="1"/>
  <c r="AJ59" i="24"/>
  <c r="AH328" i="24"/>
  <c r="AI328" i="24" s="1"/>
  <c r="AJ75" i="24"/>
  <c r="AH228" i="24"/>
  <c r="AI228" i="24" s="1"/>
  <c r="AJ324" i="24"/>
  <c r="AJ345" i="24"/>
  <c r="AH358" i="24"/>
  <c r="AI358" i="24" s="1"/>
  <c r="AH292" i="24"/>
  <c r="AI292" i="24" s="1"/>
  <c r="AH121" i="24"/>
  <c r="AI121" i="24" s="1"/>
  <c r="AH320" i="24"/>
  <c r="AI320" i="24" s="1"/>
  <c r="AH233" i="24"/>
  <c r="AI233" i="24" s="1"/>
  <c r="AH391" i="24"/>
  <c r="AI391" i="24" s="1"/>
  <c r="AH41" i="24"/>
  <c r="AI41" i="24" s="1"/>
  <c r="AJ207" i="24"/>
  <c r="AJ184" i="24"/>
  <c r="AH77" i="24"/>
  <c r="AI77" i="24" s="1"/>
  <c r="AH204" i="24"/>
  <c r="AI204" i="24" s="1"/>
  <c r="AH217" i="24"/>
  <c r="AI217" i="24" s="1"/>
  <c r="AJ357" i="24"/>
  <c r="AJ225" i="24"/>
  <c r="AH287" i="24"/>
  <c r="AI287" i="24" s="1"/>
  <c r="AJ98" i="24"/>
  <c r="AH241" i="24"/>
  <c r="AI241" i="24" s="1"/>
  <c r="AH261" i="24"/>
  <c r="AI261" i="24" s="1"/>
  <c r="AH386" i="24"/>
  <c r="AI386" i="24" s="1"/>
  <c r="AH192" i="24"/>
  <c r="AI192" i="24" s="1"/>
  <c r="AJ77" i="24"/>
  <c r="AJ43" i="24"/>
  <c r="AJ106" i="24"/>
  <c r="AH154" i="24"/>
  <c r="AI154" i="24" s="1"/>
  <c r="AJ275" i="24"/>
  <c r="AJ212" i="24"/>
  <c r="AH390" i="24"/>
  <c r="AI390" i="24" s="1"/>
  <c r="AH308" i="24"/>
  <c r="AI308" i="24" s="1"/>
  <c r="AH68" i="24"/>
  <c r="AI68" i="24" s="1"/>
  <c r="AJ322" i="24"/>
  <c r="AH169" i="24"/>
  <c r="AI169" i="24" s="1"/>
  <c r="AJ143" i="24"/>
  <c r="AH90" i="24"/>
  <c r="AI90" i="24" s="1"/>
  <c r="AH168" i="24"/>
  <c r="AI168" i="24" s="1"/>
  <c r="AJ365" i="24"/>
  <c r="AJ88" i="24"/>
  <c r="AH123" i="24"/>
  <c r="AI123" i="24" s="1"/>
  <c r="AH315" i="24"/>
  <c r="AI315" i="24" s="1"/>
  <c r="AH136" i="24"/>
  <c r="AI136" i="24" s="1"/>
  <c r="AJ92" i="24"/>
  <c r="AH395" i="24"/>
  <c r="AI395" i="24" s="1"/>
  <c r="AH72" i="24"/>
  <c r="AI72" i="24" s="1"/>
  <c r="AJ162" i="24"/>
  <c r="AH387" i="24"/>
  <c r="AI387" i="24" s="1"/>
  <c r="AH293" i="24"/>
  <c r="AI293" i="24" s="1"/>
  <c r="AH347" i="24"/>
  <c r="AI347" i="24" s="1"/>
  <c r="AH51" i="24"/>
  <c r="AI51" i="24" s="1"/>
  <c r="AJ393" i="24"/>
  <c r="AH305" i="24"/>
  <c r="AI305" i="24" s="1"/>
  <c r="AH223" i="24"/>
  <c r="AI223" i="24" s="1"/>
  <c r="AJ263" i="24"/>
  <c r="AH370" i="24"/>
  <c r="AI370" i="24" s="1"/>
  <c r="AH231" i="24"/>
  <c r="AI231" i="24" s="1"/>
  <c r="AH207" i="24"/>
  <c r="AI207" i="24" s="1"/>
  <c r="AJ388" i="24"/>
  <c r="AJ314" i="24"/>
  <c r="AH53" i="24"/>
  <c r="AI53" i="24" s="1"/>
  <c r="AJ216" i="24"/>
  <c r="AJ308" i="24"/>
  <c r="AJ140" i="24"/>
  <c r="AH298" i="24"/>
  <c r="AI298" i="24" s="1"/>
  <c r="AH66" i="24"/>
  <c r="AI66" i="24" s="1"/>
  <c r="AJ340" i="24"/>
  <c r="AH379" i="24"/>
  <c r="AI379" i="24" s="1"/>
  <c r="AH314" i="24"/>
  <c r="AI314" i="24" s="1"/>
  <c r="AJ139" i="24"/>
  <c r="AJ189" i="24"/>
  <c r="AH199" i="24"/>
  <c r="AI199" i="24" s="1"/>
  <c r="AJ290" i="24"/>
  <c r="AH194" i="24"/>
  <c r="AI194" i="24" s="1"/>
  <c r="AJ233" i="24"/>
  <c r="AH201" i="24"/>
  <c r="AI201" i="24" s="1"/>
  <c r="AH131" i="24"/>
  <c r="AI131" i="24" s="1"/>
  <c r="AJ283" i="24"/>
  <c r="AJ202" i="24"/>
  <c r="AJ269" i="24"/>
  <c r="AH226" i="24"/>
  <c r="AI226" i="24" s="1"/>
  <c r="AH180" i="24"/>
  <c r="AI180" i="24" s="1"/>
  <c r="AJ296" i="24"/>
  <c r="AH176" i="24"/>
  <c r="AI176" i="24" s="1"/>
  <c r="AJ288" i="24"/>
  <c r="AJ272" i="24"/>
  <c r="AH380" i="24"/>
  <c r="AI380" i="24" s="1"/>
  <c r="AJ256" i="24"/>
  <c r="AH356" i="24"/>
  <c r="AI356" i="24" s="1"/>
  <c r="AJ152" i="24"/>
  <c r="AJ138" i="24"/>
  <c r="AH146" i="24"/>
  <c r="AI146" i="24" s="1"/>
  <c r="AJ268" i="24"/>
  <c r="AJ293" i="24"/>
  <c r="AH322" i="24"/>
  <c r="AI322" i="24" s="1"/>
  <c r="AH222" i="24"/>
  <c r="AI222" i="24" s="1"/>
  <c r="AJ289" i="24"/>
  <c r="AJ248" i="24"/>
  <c r="AH159" i="24"/>
  <c r="AI159" i="24" s="1"/>
  <c r="AJ359" i="24"/>
  <c r="AH352" i="24"/>
  <c r="AI352" i="24" s="1"/>
  <c r="AJ151" i="24"/>
  <c r="AH120" i="24"/>
  <c r="AI120" i="24" s="1"/>
  <c r="AH342" i="24"/>
  <c r="AI342" i="24" s="1"/>
  <c r="AH39" i="24"/>
  <c r="AI39" i="24" s="1"/>
  <c r="AJ239" i="24"/>
  <c r="AH337" i="24"/>
  <c r="AI337" i="24" s="1"/>
  <c r="AH151" i="24"/>
  <c r="AI151" i="24" s="1"/>
  <c r="AJ318" i="24"/>
  <c r="AH58" i="24"/>
  <c r="AI58" i="24" s="1"/>
  <c r="AJ199" i="24"/>
  <c r="AH148" i="24"/>
  <c r="AI148" i="24" s="1"/>
  <c r="AH306" i="24"/>
  <c r="AI306" i="24" s="1"/>
  <c r="AJ112" i="24"/>
  <c r="AH239" i="24"/>
  <c r="AI239" i="24" s="1"/>
  <c r="AH360" i="24"/>
  <c r="AI360" i="24" s="1"/>
  <c r="AJ58" i="24"/>
  <c r="AH42" i="24"/>
  <c r="AI42" i="24" s="1"/>
  <c r="AJ237" i="24"/>
  <c r="AH343" i="24"/>
  <c r="AI343" i="24" s="1"/>
  <c r="AJ354" i="24"/>
  <c r="AH244" i="24"/>
  <c r="AI244" i="24" s="1"/>
  <c r="AH185" i="24"/>
  <c r="AI185" i="24" s="1"/>
  <c r="AH240" i="24"/>
  <c r="AI240" i="24" s="1"/>
  <c r="AH350" i="24"/>
  <c r="AI350" i="24" s="1"/>
  <c r="AJ147" i="24"/>
  <c r="AJ121" i="24"/>
  <c r="AJ127" i="24"/>
  <c r="AJ103" i="24"/>
  <c r="AJ236" i="24"/>
  <c r="AJ50" i="24"/>
  <c r="AH229" i="24"/>
  <c r="AI229" i="24" s="1"/>
  <c r="AH79" i="24"/>
  <c r="AI79" i="24" s="1"/>
  <c r="AJ317" i="24"/>
  <c r="AJ366" i="24"/>
  <c r="AJ306" i="24"/>
  <c r="AH50" i="24"/>
  <c r="AI50" i="24" s="1"/>
  <c r="AJ194" i="24"/>
  <c r="AH399" i="24"/>
  <c r="AI399" i="24" s="1"/>
  <c r="AJ224" i="24"/>
  <c r="AJ371" i="24"/>
  <c r="AH234" i="24"/>
  <c r="AI234" i="24" s="1"/>
  <c r="AJ213" i="24"/>
  <c r="AH65" i="24"/>
  <c r="AI65" i="24" s="1"/>
  <c r="AH206" i="24"/>
  <c r="AI206" i="24" s="1"/>
  <c r="AH161" i="24"/>
  <c r="AI161" i="24" s="1"/>
  <c r="AH73" i="24"/>
  <c r="AI73" i="24" s="1"/>
  <c r="AJ171" i="24"/>
  <c r="AH331" i="24"/>
  <c r="AI331" i="24" s="1"/>
  <c r="AJ181" i="24"/>
  <c r="AJ169" i="24"/>
  <c r="AJ44" i="24"/>
  <c r="AH267" i="24"/>
  <c r="AI267" i="24" s="1"/>
  <c r="AH324" i="24"/>
  <c r="AI324" i="24" s="1"/>
  <c r="AH338" i="24"/>
  <c r="AI338" i="24" s="1"/>
  <c r="AH254" i="24"/>
  <c r="AI254" i="24" s="1"/>
  <c r="AJ382" i="24"/>
  <c r="AH224" i="24"/>
  <c r="AI224" i="24" s="1"/>
  <c r="AJ81" i="24"/>
  <c r="AH142" i="24"/>
  <c r="AI142" i="24" s="1"/>
  <c r="AH64" i="24"/>
  <c r="AI64" i="24" s="1"/>
  <c r="AH114" i="24"/>
  <c r="AI114" i="24" s="1"/>
  <c r="AJ349" i="24"/>
  <c r="AJ253" i="24"/>
  <c r="AH274" i="24"/>
  <c r="AI274" i="24" s="1"/>
  <c r="AH40" i="24"/>
  <c r="AI40" i="24" s="1"/>
  <c r="AJ299" i="24"/>
  <c r="AH93" i="24"/>
  <c r="AI93" i="24" s="1"/>
  <c r="AH272" i="24"/>
  <c r="AI272" i="24" s="1"/>
  <c r="AJ137" i="24"/>
  <c r="AH109" i="24"/>
  <c r="AI109" i="24" s="1"/>
  <c r="AJ369" i="24"/>
  <c r="AH108" i="24"/>
  <c r="AI108" i="24" s="1"/>
  <c r="AJ215" i="24"/>
  <c r="AJ60" i="24"/>
  <c r="AJ255" i="24"/>
  <c r="AJ168" i="24"/>
  <c r="AJ280" i="24"/>
  <c r="AJ144" i="24"/>
  <c r="AJ320" i="24"/>
  <c r="AJ364" i="24"/>
  <c r="AJ399" i="24"/>
  <c r="AH137" i="24"/>
  <c r="AI137" i="24" s="1"/>
  <c r="AJ155" i="24"/>
  <c r="AH56" i="24"/>
  <c r="AI56" i="24" s="1"/>
  <c r="AJ227" i="24"/>
  <c r="AH128" i="24"/>
  <c r="AI128" i="24" s="1"/>
  <c r="AH181" i="24"/>
  <c r="AI181" i="24" s="1"/>
  <c r="AJ156" i="24"/>
  <c r="AJ115" i="24"/>
  <c r="AJ278" i="24"/>
  <c r="AJ260" i="24"/>
  <c r="AJ54" i="24"/>
  <c r="AH371" i="24"/>
  <c r="AI371" i="24" s="1"/>
  <c r="AH197" i="24"/>
  <c r="AI197" i="24" s="1"/>
  <c r="AJ185" i="24"/>
  <c r="AJ261" i="24"/>
  <c r="AH230" i="24"/>
  <c r="AI230" i="24" s="1"/>
  <c r="AJ107" i="24"/>
  <c r="AJ232" i="24"/>
  <c r="AH81" i="24"/>
  <c r="AI81" i="24" s="1"/>
  <c r="AH63" i="24"/>
  <c r="AI63" i="24" s="1"/>
  <c r="AJ47" i="24"/>
  <c r="AJ193" i="24"/>
  <c r="AH153" i="24"/>
  <c r="AI153" i="24" s="1"/>
  <c r="AH85" i="24"/>
  <c r="AI85" i="24" s="1"/>
  <c r="AJ183" i="24"/>
  <c r="AJ319" i="24"/>
  <c r="AJ376" i="24"/>
  <c r="AJ175" i="24"/>
  <c r="AJ298" i="24"/>
  <c r="AJ231" i="24"/>
  <c r="AH48" i="24"/>
  <c r="AI48" i="24" s="1"/>
  <c r="AH84" i="24"/>
  <c r="AI84" i="24" s="1"/>
  <c r="AH398" i="24"/>
  <c r="AI398" i="24" s="1"/>
  <c r="AH351" i="24"/>
  <c r="AI351" i="24" s="1"/>
  <c r="AH383" i="24"/>
  <c r="AI383" i="24" s="1"/>
  <c r="AJ348" i="24"/>
  <c r="AJ228" i="24"/>
  <c r="AJ132" i="24"/>
  <c r="AH264" i="24"/>
  <c r="AI264" i="24" s="1"/>
  <c r="AJ334" i="24"/>
  <c r="AH119" i="24"/>
  <c r="AI119" i="24" s="1"/>
  <c r="AH162" i="24"/>
  <c r="AI162" i="24" s="1"/>
  <c r="AH55" i="24"/>
  <c r="AI55" i="24" s="1"/>
  <c r="AH394" i="24"/>
  <c r="AI394" i="24" s="1"/>
  <c r="AH377" i="24"/>
  <c r="AI377" i="24" s="1"/>
  <c r="AH163" i="24"/>
  <c r="AI163" i="24" s="1"/>
  <c r="AJ338" i="24"/>
  <c r="AH262" i="24"/>
  <c r="AI262" i="24" s="1"/>
  <c r="AJ305" i="24"/>
  <c r="AJ214" i="24"/>
  <c r="AH330" i="24"/>
  <c r="AI330" i="24" s="1"/>
  <c r="AH270" i="24"/>
  <c r="AI270" i="24" s="1"/>
  <c r="AH297" i="24"/>
  <c r="AI297" i="24" s="1"/>
  <c r="AJ276" i="24"/>
  <c r="AJ64" i="24"/>
  <c r="AJ136" i="24"/>
  <c r="AJ347" i="24"/>
  <c r="AJ135" i="24"/>
  <c r="AJ172" i="24"/>
  <c r="AJ197" i="24"/>
  <c r="AJ91" i="24"/>
  <c r="AJ79" i="24"/>
  <c r="AJ378" i="24"/>
  <c r="AH309" i="24"/>
  <c r="AI309" i="24" s="1"/>
  <c r="AH225" i="24"/>
  <c r="AI225" i="24" s="1"/>
  <c r="AJ48" i="24"/>
  <c r="AH183" i="24"/>
  <c r="AI183" i="24" s="1"/>
  <c r="AH285" i="24"/>
  <c r="AI285" i="24" s="1"/>
  <c r="AH103" i="24"/>
  <c r="AI103" i="24" s="1"/>
  <c r="AH173" i="24"/>
  <c r="AI173" i="24" s="1"/>
  <c r="AH122" i="24"/>
  <c r="AI122" i="24" s="1"/>
  <c r="AH96" i="24"/>
  <c r="AI96" i="24" s="1"/>
  <c r="AJ96" i="24"/>
  <c r="AJ343" i="24"/>
  <c r="AJ294" i="24"/>
  <c r="AH266" i="24"/>
  <c r="AI266" i="24" s="1"/>
  <c r="AJ254" i="24"/>
  <c r="AH359" i="24"/>
  <c r="AI359" i="24" s="1"/>
  <c r="AH242" i="24"/>
  <c r="AI242" i="24" s="1"/>
  <c r="AH349" i="24"/>
  <c r="AI349" i="24" s="1"/>
  <c r="AH335" i="24"/>
  <c r="AI335" i="24" s="1"/>
  <c r="AH295" i="24"/>
  <c r="AI295" i="24" s="1"/>
  <c r="AJ344" i="24"/>
  <c r="AH368" i="24"/>
  <c r="AI368" i="24" s="1"/>
  <c r="AJ42" i="24"/>
  <c r="AH221" i="24"/>
  <c r="AI221" i="24" s="1"/>
  <c r="AH329" i="24"/>
  <c r="AI329" i="24" s="1"/>
  <c r="AJ315" i="24"/>
  <c r="AH155" i="24"/>
  <c r="AI155" i="24" s="1"/>
  <c r="AH316" i="24"/>
  <c r="AI316" i="24" s="1"/>
  <c r="AJ63" i="24"/>
  <c r="AH282" i="24"/>
  <c r="AI282" i="24" s="1"/>
  <c r="AH250" i="24"/>
  <c r="AI250" i="24" s="1"/>
  <c r="AJ270" i="24"/>
  <c r="AH143" i="24"/>
  <c r="AI143" i="24" s="1"/>
  <c r="AJ313" i="24"/>
  <c r="AJ120" i="24"/>
  <c r="AJ355" i="24"/>
  <c r="AH171" i="24"/>
  <c r="AI171" i="24" s="1"/>
  <c r="AJ249" i="24"/>
  <c r="AH362" i="24"/>
  <c r="AI362" i="24" s="1"/>
  <c r="AH193" i="24"/>
  <c r="AI193" i="24" s="1"/>
  <c r="AH400" i="24"/>
  <c r="AI400" i="24" s="1"/>
  <c r="AJ337" i="24"/>
  <c r="AH367" i="24"/>
  <c r="AI367" i="24" s="1"/>
  <c r="AJ307" i="24"/>
  <c r="AJ235" i="24"/>
  <c r="AJ291" i="24"/>
  <c r="AH110" i="24"/>
  <c r="AI110" i="24" s="1"/>
  <c r="AH271" i="24"/>
  <c r="AI271" i="24" s="1"/>
  <c r="AH278" i="24"/>
  <c r="AI278" i="24" s="1"/>
  <c r="AJ396" i="24"/>
  <c r="AH157" i="24"/>
  <c r="AI157" i="24" s="1"/>
  <c r="AJ187" i="24"/>
  <c r="AJ358" i="24"/>
  <c r="AJ191" i="24"/>
  <c r="AJ386" i="24"/>
  <c r="AJ330" i="24"/>
  <c r="AH321" i="24"/>
  <c r="AI321" i="24" s="1"/>
  <c r="AJ267" i="24"/>
  <c r="AH87" i="24"/>
  <c r="AI87" i="24" s="1"/>
  <c r="AH145" i="24"/>
  <c r="AI145" i="24" s="1"/>
  <c r="AJ125" i="24"/>
  <c r="AJ73" i="24"/>
  <c r="AH210" i="24"/>
  <c r="AI210" i="24" s="1"/>
  <c r="AJ397" i="24"/>
  <c r="AJ201" i="24"/>
  <c r="AH46" i="24"/>
  <c r="AI46" i="24" s="1"/>
  <c r="AJ377" i="24"/>
  <c r="AH376" i="24"/>
  <c r="AI376" i="24" s="1"/>
  <c r="AJ97" i="24"/>
  <c r="AJ361" i="24"/>
  <c r="AJ105" i="24"/>
  <c r="AH216" i="24"/>
  <c r="AI216" i="24" s="1"/>
  <c r="AH389" i="24"/>
  <c r="AI389" i="24" s="1"/>
  <c r="AH80" i="24"/>
  <c r="AI80" i="24" s="1"/>
  <c r="AH392" i="24"/>
  <c r="AI392" i="24" s="1"/>
  <c r="AH172" i="24"/>
  <c r="AI172" i="24" s="1"/>
  <c r="AH167" i="24"/>
  <c r="AI167" i="24" s="1"/>
  <c r="AJ266" i="24"/>
  <c r="AH91" i="24"/>
  <c r="AI91" i="24" s="1"/>
  <c r="AH60" i="24"/>
  <c r="AI60" i="24" s="1"/>
  <c r="AJ244" i="24"/>
  <c r="AH332" i="24"/>
  <c r="AI332" i="24" s="1"/>
  <c r="AJ262" i="24"/>
  <c r="AH62" i="24"/>
  <c r="AI62" i="24" s="1"/>
  <c r="AJ160" i="24"/>
  <c r="AJ331" i="24"/>
  <c r="AH202" i="24"/>
  <c r="AI202" i="24" s="1"/>
  <c r="AJ391" i="24"/>
  <c r="AJ335" i="24"/>
  <c r="AH388" i="24"/>
  <c r="AI388" i="24" s="1"/>
  <c r="AH211" i="24"/>
  <c r="AI211" i="24" s="1"/>
  <c r="AJ93" i="24"/>
  <c r="AH268" i="24"/>
  <c r="AI268" i="24" s="1"/>
  <c r="AH258" i="24"/>
  <c r="AI258" i="24" s="1"/>
  <c r="AJ205" i="24"/>
  <c r="AJ102" i="24"/>
  <c r="AJ158" i="24"/>
  <c r="AJ309" i="24"/>
  <c r="AH279" i="24"/>
  <c r="AI279" i="24" s="1"/>
  <c r="AJ130" i="24"/>
  <c r="AH214" i="24"/>
  <c r="AI214" i="24" s="1"/>
  <c r="AH116" i="24"/>
  <c r="AI116" i="24" s="1"/>
  <c r="AH300" i="24"/>
  <c r="AI300" i="24" s="1"/>
  <c r="AJ329" i="24"/>
  <c r="AH341" i="24"/>
  <c r="AI341" i="24" s="1"/>
  <c r="AH397" i="24"/>
  <c r="AI397" i="24" s="1"/>
  <c r="AJ327" i="24"/>
  <c r="AJ264" i="24"/>
  <c r="AJ303" i="24"/>
  <c r="AJ159" i="24"/>
  <c r="AJ101" i="24"/>
  <c r="AH49" i="24"/>
  <c r="AI49" i="24" s="1"/>
  <c r="AJ67" i="24"/>
  <c r="AH307" i="24"/>
  <c r="AI307" i="24" s="1"/>
  <c r="AH275" i="24"/>
  <c r="AI275" i="24" s="1"/>
  <c r="AH61" i="24"/>
  <c r="AI61" i="24" s="1"/>
  <c r="AJ148" i="24"/>
  <c r="AH166" i="24"/>
  <c r="AI166" i="24" s="1"/>
  <c r="AH126" i="24"/>
  <c r="AI126" i="24" s="1"/>
  <c r="AJ69" i="24"/>
  <c r="AH273" i="24"/>
  <c r="AI273" i="24" s="1"/>
  <c r="AH255" i="24"/>
  <c r="AI255" i="24" s="1"/>
  <c r="AJ87" i="24"/>
  <c r="AJ133" i="24"/>
  <c r="AJ301" i="24"/>
  <c r="AH218" i="24"/>
  <c r="AI218" i="24" s="1"/>
  <c r="AH251" i="24"/>
  <c r="AI251" i="24" s="1"/>
  <c r="AJ128" i="24"/>
  <c r="AH248" i="24"/>
  <c r="AI248" i="24" s="1"/>
  <c r="AH86" i="24"/>
  <c r="AI86" i="24" s="1"/>
  <c r="AH317" i="24"/>
  <c r="AI317" i="24" s="1"/>
  <c r="AH127" i="24"/>
  <c r="AI127" i="24" s="1"/>
  <c r="AH235" i="24"/>
  <c r="AI235" i="24" s="1"/>
  <c r="AJ384" i="24"/>
  <c r="AJ56" i="24"/>
  <c r="AH195" i="24"/>
  <c r="AI195" i="24" s="1"/>
  <c r="AJ274" i="24"/>
  <c r="AJ110" i="24"/>
  <c r="AH227" i="24"/>
  <c r="AI227" i="24" s="1"/>
  <c r="AH284" i="24"/>
  <c r="AI284" i="24" s="1"/>
  <c r="AJ383" i="24"/>
  <c r="AH129" i="24"/>
  <c r="AI129" i="24" s="1"/>
  <c r="AH354" i="24"/>
  <c r="AI354" i="24" s="1"/>
  <c r="AH165" i="24"/>
  <c r="AI165" i="24" s="1"/>
  <c r="AH243" i="24"/>
  <c r="AI243" i="24" s="1"/>
  <c r="AJ375" i="24"/>
  <c r="AJ311" i="24"/>
  <c r="AH100" i="24"/>
  <c r="AI100" i="24" s="1"/>
  <c r="AJ286" i="24"/>
  <c r="AJ211" i="24"/>
  <c r="AJ178" i="24"/>
  <c r="AJ188" i="24"/>
  <c r="AJ325" i="24"/>
  <c r="AJ52" i="24"/>
  <c r="AJ277" i="24"/>
  <c r="AJ245" i="24"/>
  <c r="AH281" i="24"/>
  <c r="AI281" i="24" s="1"/>
  <c r="AH45" i="24"/>
  <c r="AI45" i="24" s="1"/>
  <c r="AH158" i="24"/>
  <c r="AI158" i="24" s="1"/>
  <c r="AJ157" i="24"/>
  <c r="AJ84" i="24"/>
  <c r="AJ217" i="24"/>
  <c r="AH277" i="24"/>
  <c r="AI277" i="24" s="1"/>
  <c r="AJ356" i="24"/>
  <c r="AJ179" i="24"/>
  <c r="AJ346" i="24"/>
  <c r="AJ336" i="24"/>
  <c r="AH98" i="24"/>
  <c r="AI98" i="24" s="1"/>
  <c r="AJ51" i="24"/>
  <c r="AJ153" i="24"/>
  <c r="AH88" i="24"/>
  <c r="AI88" i="24" s="1"/>
  <c r="AH141" i="24"/>
  <c r="AI141" i="24" s="1"/>
  <c r="AJ360" i="24"/>
  <c r="AJ387" i="24"/>
  <c r="AJ273" i="24"/>
  <c r="AH366" i="24"/>
  <c r="AI366" i="24" s="1"/>
  <c r="AJ271" i="24"/>
  <c r="AH82" i="24"/>
  <c r="AI82" i="24" s="1"/>
  <c r="AH200" i="24"/>
  <c r="AI200" i="24" s="1"/>
  <c r="AH265" i="24"/>
  <c r="AI265" i="24" s="1"/>
  <c r="AH361" i="24"/>
  <c r="AI361" i="24" s="1"/>
  <c r="AH393" i="24"/>
  <c r="AI393" i="24" s="1"/>
  <c r="AH247" i="24"/>
  <c r="AI247" i="24" s="1"/>
  <c r="AH311" i="24"/>
  <c r="AI311" i="24" s="1"/>
  <c r="AH326" i="24"/>
  <c r="AI326" i="24" s="1"/>
  <c r="AH71" i="24"/>
  <c r="AI71" i="24" s="1"/>
  <c r="AJ76" i="24"/>
  <c r="AJ206" i="24"/>
  <c r="AH130" i="24"/>
  <c r="AI130" i="24" s="1"/>
  <c r="AH259" i="24"/>
  <c r="AI259" i="24" s="1"/>
  <c r="AJ250" i="24"/>
  <c r="AJ310" i="24"/>
  <c r="AJ400" i="24"/>
  <c r="AJ218" i="24"/>
  <c r="AJ86" i="24"/>
  <c r="AH269" i="24"/>
  <c r="AI269" i="24" s="1"/>
  <c r="AJ192" i="24"/>
  <c r="AH246" i="24"/>
  <c r="AI246" i="24" s="1"/>
  <c r="AH102" i="24"/>
  <c r="AI102" i="24" s="1"/>
  <c r="AJ108" i="24"/>
  <c r="AJ398" i="24"/>
  <c r="AJ126" i="24"/>
  <c r="AH78" i="24"/>
  <c r="AI78" i="24" s="1"/>
  <c r="AJ342" i="24"/>
  <c r="AH74" i="24"/>
  <c r="AI74" i="24" s="1"/>
  <c r="AH374" i="24"/>
  <c r="AI374" i="24" s="1"/>
  <c r="AJ41" i="24"/>
  <c r="AJ118" i="24"/>
  <c r="AH112" i="24"/>
  <c r="AI112" i="24" s="1"/>
  <c r="AJ292" i="24"/>
  <c r="AJ362" i="24"/>
  <c r="AJ167" i="24"/>
  <c r="AJ94" i="24"/>
  <c r="AJ341" i="24"/>
  <c r="AJ104" i="24"/>
  <c r="AH104" i="24"/>
  <c r="AI104" i="24" s="1"/>
  <c r="AJ190" i="24"/>
  <c r="AJ154" i="24"/>
  <c r="AH97" i="24"/>
  <c r="AI97" i="24" s="1"/>
  <c r="AH286" i="24"/>
  <c r="AI286" i="24" s="1"/>
  <c r="AJ326" i="24"/>
  <c r="AJ149" i="24"/>
  <c r="AJ124" i="24"/>
  <c r="AH256" i="24"/>
  <c r="AI256" i="24" s="1"/>
  <c r="AH312" i="24"/>
  <c r="AI312" i="24" s="1"/>
  <c r="AJ321" i="24"/>
  <c r="AH313" i="24"/>
  <c r="AI313" i="24" s="1"/>
  <c r="AH373" i="24"/>
  <c r="AI373" i="24" s="1"/>
  <c r="AJ241" i="24"/>
  <c r="AH134" i="24"/>
  <c r="AI134" i="24" s="1"/>
  <c r="AH117" i="24"/>
  <c r="AI117" i="24" s="1"/>
  <c r="AJ90" i="24"/>
  <c r="AH232" i="24"/>
  <c r="AI232" i="24" s="1"/>
  <c r="AJ304" i="24"/>
  <c r="AH276" i="24"/>
  <c r="AI276" i="24" s="1"/>
  <c r="AH198" i="24"/>
  <c r="AI198" i="24" s="1"/>
  <c r="AH369" i="24"/>
  <c r="AI369" i="24" s="1"/>
  <c r="AH357" i="24"/>
  <c r="AI357" i="24" s="1"/>
  <c r="AJ258" i="24"/>
  <c r="AH318" i="24"/>
  <c r="AI318" i="24" s="1"/>
  <c r="AJ111" i="24"/>
  <c r="AH252" i="24"/>
  <c r="AI252" i="24" s="1"/>
  <c r="AH92" i="24"/>
  <c r="AI92" i="24" s="1"/>
  <c r="AH133" i="24"/>
  <c r="AI133" i="24" s="1"/>
  <c r="AJ142" i="24"/>
  <c r="AJ123" i="24"/>
  <c r="AJ49" i="24"/>
  <c r="AH174" i="24"/>
  <c r="AI174" i="24" s="1"/>
  <c r="AJ82" i="24"/>
  <c r="AJ89" i="24"/>
  <c r="AH182" i="24"/>
  <c r="AI182" i="24" s="1"/>
  <c r="AJ61" i="24"/>
  <c r="AJ247" i="24"/>
  <c r="AH44" i="24"/>
  <c r="AI44" i="24" s="1"/>
  <c r="AH150" i="24"/>
  <c r="AI150" i="24" s="1"/>
  <c r="AH152" i="24"/>
  <c r="AI152" i="24" s="1"/>
  <c r="AH179" i="24"/>
  <c r="AI179" i="24" s="1"/>
  <c r="AJ226" i="24"/>
  <c r="AH139" i="24"/>
  <c r="AI139" i="24" s="1"/>
  <c r="AJ186" i="24"/>
  <c r="AH339" i="24"/>
  <c r="AI339" i="24" s="1"/>
  <c r="AJ284" i="24"/>
  <c r="AJ177" i="24"/>
  <c r="AH375" i="24"/>
  <c r="AI375" i="24" s="1"/>
  <c r="AH260" i="24"/>
  <c r="AI260" i="24" s="1"/>
  <c r="AJ173" i="24"/>
  <c r="AJ198" i="24"/>
  <c r="AJ394" i="24"/>
  <c r="AH140" i="24"/>
  <c r="AI140" i="24" s="1"/>
  <c r="AJ222" i="24"/>
  <c r="AJ234" i="24"/>
  <c r="AH208" i="24"/>
  <c r="AI208" i="24" s="1"/>
  <c r="AH164" i="24"/>
  <c r="AI164" i="24" s="1"/>
  <c r="AH106" i="24"/>
  <c r="AI106" i="24" s="1"/>
  <c r="AJ180" i="24"/>
  <c r="AJ208" i="24"/>
  <c r="AJ238" i="24"/>
  <c r="AJ295" i="24"/>
  <c r="AH111" i="24"/>
  <c r="AI111" i="24" s="1"/>
  <c r="AJ209" i="24"/>
  <c r="AH334" i="24"/>
  <c r="AI334" i="24" s="1"/>
  <c r="AJ203" i="24"/>
  <c r="AJ129" i="24"/>
  <c r="AJ40" i="24"/>
  <c r="AJ119" i="24"/>
  <c r="AH263" i="24"/>
  <c r="AI263" i="24" s="1"/>
  <c r="AH57" i="24"/>
  <c r="AI57" i="24" s="1"/>
  <c r="AH323" i="24"/>
  <c r="AI323" i="24" s="1"/>
  <c r="AH144" i="24"/>
  <c r="AI144" i="24" s="1"/>
  <c r="AJ78" i="24"/>
  <c r="AJ74" i="24"/>
  <c r="AH355" i="24"/>
  <c r="AI355" i="24" s="1"/>
  <c r="AH353" i="24"/>
  <c r="AI353" i="24" s="1"/>
  <c r="AH215" i="24"/>
  <c r="AI215" i="24" s="1"/>
  <c r="AH238" i="24"/>
  <c r="AI238" i="24" s="1"/>
  <c r="AH385" i="24"/>
  <c r="AI385" i="24" s="1"/>
  <c r="AJ141" i="24"/>
  <c r="AH101" i="24"/>
  <c r="AI101" i="24" s="1"/>
  <c r="AJ72" i="24"/>
  <c r="AH283" i="24"/>
  <c r="AI283" i="24" s="1"/>
  <c r="AJ385" i="24"/>
  <c r="AJ122" i="24"/>
  <c r="AJ353" i="24"/>
  <c r="AH237" i="24"/>
  <c r="AI237" i="24" s="1"/>
  <c r="AJ176" i="24"/>
  <c r="AH340" i="24"/>
  <c r="AI340" i="24" s="1"/>
  <c r="AJ300" i="24"/>
  <c r="AH105" i="24"/>
  <c r="AI105" i="24" s="1"/>
  <c r="AH302" i="24"/>
  <c r="AI302" i="24" s="1"/>
  <c r="AJ246" i="24"/>
  <c r="AH191" i="24"/>
  <c r="AI191" i="24" s="1"/>
  <c r="AJ379" i="24"/>
  <c r="AH69" i="24"/>
  <c r="AI69" i="24" s="1"/>
  <c r="AJ68" i="24"/>
  <c r="AH115" i="24"/>
  <c r="AI115" i="24" s="1"/>
  <c r="AH212" i="24"/>
  <c r="AI212" i="24" s="1"/>
  <c r="AH196" i="24"/>
  <c r="AI196" i="24" s="1"/>
  <c r="AJ328" i="24"/>
  <c r="AH89" i="24"/>
  <c r="AI89" i="24" s="1"/>
  <c r="AH291" i="24"/>
  <c r="AI291" i="24" s="1"/>
  <c r="AH135" i="24"/>
  <c r="AI135" i="24" s="1"/>
  <c r="AH76" i="24"/>
  <c r="AI76" i="24" s="1"/>
  <c r="AJ240" i="24"/>
  <c r="AJ389" i="24"/>
  <c r="AJ85" i="24"/>
  <c r="AH177" i="24"/>
  <c r="AI177" i="24" s="1"/>
  <c r="AH59" i="24"/>
  <c r="AI59" i="24" s="1"/>
  <c r="AH344" i="24"/>
  <c r="AI344" i="24" s="1"/>
  <c r="AJ259" i="24"/>
  <c r="AJ333" i="24"/>
  <c r="AJ229" i="24"/>
  <c r="AH372" i="24"/>
  <c r="AI372" i="24" s="1"/>
  <c r="AH178" i="24"/>
  <c r="AI178" i="24" s="1"/>
  <c r="AJ71" i="24"/>
  <c r="AH257" i="24"/>
  <c r="AI257" i="24" s="1"/>
  <c r="AJ279" i="24"/>
  <c r="AJ134" i="24"/>
  <c r="AH107" i="24"/>
  <c r="AI107" i="24" s="1"/>
  <c r="AJ39" i="24"/>
  <c r="AJ251" i="24"/>
  <c r="AH319" i="24"/>
  <c r="AI319" i="24" s="1"/>
  <c r="AJ145" i="24"/>
  <c r="AH160" i="24"/>
  <c r="AI160" i="24" s="1"/>
  <c r="AJ243" i="24"/>
  <c r="AJ204" i="24"/>
  <c r="AH149" i="24"/>
  <c r="AI149" i="24" s="1"/>
  <c r="AH310" i="24"/>
  <c r="AI310" i="24" s="1"/>
  <c r="AJ223" i="24"/>
  <c r="AH327" i="24"/>
  <c r="AI327" i="24" s="1"/>
  <c r="AJ45" i="24"/>
  <c r="AH70" i="24"/>
  <c r="AI70" i="24" s="1"/>
  <c r="AG32" i="24"/>
  <c r="AJ332" i="24"/>
  <c r="AJ380" i="24"/>
  <c r="AJ302" i="24"/>
  <c r="AJ210" i="24"/>
  <c r="AJ55" i="24"/>
  <c r="AJ316" i="24"/>
  <c r="AH75" i="24"/>
  <c r="AI75" i="24" s="1"/>
  <c r="AH363" i="24"/>
  <c r="AI363" i="24" s="1"/>
  <c r="AJ116" i="24"/>
  <c r="AH67" i="24"/>
  <c r="AI67" i="24" s="1"/>
  <c r="AJ370" i="24"/>
  <c r="AH245" i="24"/>
  <c r="AI245" i="24" s="1"/>
  <c r="AJ83" i="24"/>
  <c r="AH132" i="24"/>
  <c r="AI132" i="24" s="1"/>
  <c r="AJ146" i="24"/>
  <c r="AH348" i="24"/>
  <c r="AI348" i="24" s="1"/>
  <c r="AH381" i="24"/>
  <c r="AI381" i="24" s="1"/>
  <c r="AJ150" i="24"/>
  <c r="AH83" i="24"/>
  <c r="AI83" i="24" s="1"/>
  <c r="AH294" i="24"/>
  <c r="AI294" i="24" s="1"/>
  <c r="AH249" i="24"/>
  <c r="AI249" i="24" s="1"/>
  <c r="AJ350" i="24"/>
  <c r="AJ46" i="24"/>
  <c r="AH113" i="24"/>
  <c r="AI113" i="24" s="1"/>
  <c r="AJ165" i="24"/>
  <c r="AJ95" i="24"/>
  <c r="X105" i="23"/>
  <c r="X163" i="23"/>
  <c r="V369" i="23"/>
  <c r="W369" i="23" s="1"/>
  <c r="V107" i="23"/>
  <c r="W107" i="23" s="1"/>
  <c r="V156" i="23"/>
  <c r="W156" i="23" s="1"/>
  <c r="X67" i="23"/>
  <c r="X87" i="23"/>
  <c r="X283" i="23"/>
  <c r="V266" i="23"/>
  <c r="W266" i="23" s="1"/>
  <c r="V165" i="23"/>
  <c r="W165" i="23" s="1"/>
  <c r="X382" i="23"/>
  <c r="X135" i="23"/>
  <c r="X275" i="23"/>
  <c r="V303" i="23"/>
  <c r="W303" i="23" s="1"/>
  <c r="X161" i="23"/>
  <c r="X197" i="23"/>
  <c r="V196" i="23"/>
  <c r="W196" i="23" s="1"/>
  <c r="X89" i="23"/>
  <c r="V333" i="23"/>
  <c r="W333" i="23" s="1"/>
  <c r="V62" i="23"/>
  <c r="W62" i="23" s="1"/>
  <c r="X117" i="23"/>
  <c r="X40" i="23"/>
  <c r="X261" i="23"/>
  <c r="X315" i="23"/>
  <c r="V91" i="23"/>
  <c r="W91" i="23" s="1"/>
  <c r="X238" i="23"/>
  <c r="X369" i="23"/>
  <c r="V300" i="23"/>
  <c r="W300" i="23" s="1"/>
  <c r="V320" i="23"/>
  <c r="W320" i="23" s="1"/>
  <c r="X370" i="23"/>
  <c r="X116" i="23"/>
  <c r="V357" i="23"/>
  <c r="W357" i="23" s="1"/>
  <c r="X54" i="23"/>
  <c r="V282" i="23"/>
  <c r="W282" i="23" s="1"/>
  <c r="V267" i="23"/>
  <c r="W267" i="23" s="1"/>
  <c r="V278" i="23"/>
  <c r="W278" i="23" s="1"/>
  <c r="X170" i="23"/>
  <c r="V283" i="23"/>
  <c r="W283" i="23" s="1"/>
  <c r="X111" i="23"/>
  <c r="V94" i="23"/>
  <c r="W94" i="23" s="1"/>
  <c r="X260" i="23"/>
  <c r="V269" i="23"/>
  <c r="W269" i="23" s="1"/>
  <c r="V214" i="23"/>
  <c r="W214" i="23" s="1"/>
  <c r="V287" i="23"/>
  <c r="W287" i="23" s="1"/>
  <c r="V137" i="23"/>
  <c r="W137" i="23" s="1"/>
  <c r="X118" i="23"/>
  <c r="V301" i="23"/>
  <c r="W301" i="23" s="1"/>
  <c r="X246" i="23"/>
  <c r="V383" i="23"/>
  <c r="W383" i="23" s="1"/>
  <c r="X251" i="23"/>
  <c r="V293" i="23"/>
  <c r="W293" i="23" s="1"/>
  <c r="X377" i="23"/>
  <c r="V92" i="23"/>
  <c r="W92" i="23" s="1"/>
  <c r="V203" i="23"/>
  <c r="W203" i="23" s="1"/>
  <c r="V49" i="23"/>
  <c r="W49" i="23" s="1"/>
  <c r="X347" i="23"/>
  <c r="X140" i="23"/>
  <c r="V125" i="23"/>
  <c r="W125" i="23" s="1"/>
  <c r="V101" i="23"/>
  <c r="W101" i="23" s="1"/>
  <c r="X243" i="23"/>
  <c r="V71" i="23"/>
  <c r="W71" i="23" s="1"/>
  <c r="X397" i="23"/>
  <c r="X125" i="23"/>
  <c r="V112" i="23"/>
  <c r="W112" i="23" s="1"/>
  <c r="V64" i="23"/>
  <c r="W64" i="23" s="1"/>
  <c r="X63" i="23"/>
  <c r="X385" i="23"/>
  <c r="X73" i="23"/>
  <c r="V263" i="23"/>
  <c r="W263" i="23" s="1"/>
  <c r="V154" i="23"/>
  <c r="W154" i="23" s="1"/>
  <c r="V109" i="23"/>
  <c r="W109" i="23" s="1"/>
  <c r="V319" i="23"/>
  <c r="W319" i="23" s="1"/>
  <c r="V127" i="23"/>
  <c r="W127" i="23" s="1"/>
  <c r="V143" i="23"/>
  <c r="W143" i="23" s="1"/>
  <c r="X259" i="23"/>
  <c r="V142" i="23"/>
  <c r="W142" i="23" s="1"/>
  <c r="V365" i="23"/>
  <c r="W365" i="23" s="1"/>
  <c r="X79" i="23"/>
  <c r="X108" i="23"/>
  <c r="V42" i="23"/>
  <c r="W42" i="23" s="1"/>
  <c r="X112" i="23"/>
  <c r="X281" i="23"/>
  <c r="X148" i="23"/>
  <c r="X400" i="23"/>
  <c r="V257" i="23"/>
  <c r="W257" i="23" s="1"/>
  <c r="V217" i="23"/>
  <c r="W217" i="23" s="1"/>
  <c r="V67" i="23"/>
  <c r="W67" i="23" s="1"/>
  <c r="V342" i="23"/>
  <c r="W342" i="23" s="1"/>
  <c r="X128" i="23"/>
  <c r="X356" i="23"/>
  <c r="V98" i="23"/>
  <c r="W98" i="23" s="1"/>
  <c r="V324" i="23"/>
  <c r="W324" i="23" s="1"/>
  <c r="X77" i="23"/>
  <c r="X267" i="23"/>
  <c r="X171" i="23"/>
  <c r="X271" i="23"/>
  <c r="V144" i="23"/>
  <c r="W144" i="23" s="1"/>
  <c r="X375" i="23"/>
  <c r="X289" i="23"/>
  <c r="V124" i="23"/>
  <c r="W124" i="23" s="1"/>
  <c r="X276" i="23"/>
  <c r="V274" i="23"/>
  <c r="W274" i="23" s="1"/>
  <c r="X237" i="23"/>
  <c r="V201" i="23"/>
  <c r="W201" i="23" s="1"/>
  <c r="X365" i="23"/>
  <c r="X379" i="23"/>
  <c r="X97" i="23"/>
  <c r="V113" i="23"/>
  <c r="W113" i="23" s="1"/>
  <c r="V312" i="23"/>
  <c r="W312" i="23" s="1"/>
  <c r="V83" i="23"/>
  <c r="W83" i="23" s="1"/>
  <c r="V176" i="23"/>
  <c r="W176" i="23" s="1"/>
  <c r="V175" i="23"/>
  <c r="W175" i="23" s="1"/>
  <c r="X299" i="23"/>
  <c r="X339" i="23"/>
  <c r="X282" i="23"/>
  <c r="V87" i="23"/>
  <c r="W87" i="23" s="1"/>
  <c r="X157" i="23"/>
  <c r="X119" i="23"/>
  <c r="V80" i="23"/>
  <c r="W80" i="23" s="1"/>
  <c r="V235" i="23"/>
  <c r="W235" i="23" s="1"/>
  <c r="X158" i="23"/>
  <c r="X277" i="23"/>
  <c r="X245" i="23"/>
  <c r="V264" i="23"/>
  <c r="W264" i="23" s="1"/>
  <c r="V193" i="23"/>
  <c r="W193" i="23" s="1"/>
  <c r="V353" i="23"/>
  <c r="W353" i="23" s="1"/>
  <c r="X71" i="23"/>
  <c r="V70" i="23"/>
  <c r="W70" i="23" s="1"/>
  <c r="X340" i="23"/>
  <c r="X44" i="23"/>
  <c r="V128" i="23"/>
  <c r="W128" i="23" s="1"/>
  <c r="V259" i="23"/>
  <c r="W259" i="23" s="1"/>
  <c r="V141" i="23"/>
  <c r="W141" i="23" s="1"/>
  <c r="X78" i="23"/>
  <c r="X92" i="23"/>
  <c r="X319" i="23"/>
  <c r="V212" i="23"/>
  <c r="W212" i="23" s="1"/>
  <c r="X94" i="23"/>
  <c r="X224" i="23"/>
  <c r="X99" i="23"/>
  <c r="V85" i="23"/>
  <c r="W85" i="23" s="1"/>
  <c r="X221" i="23"/>
  <c r="V229" i="23"/>
  <c r="W229" i="23" s="1"/>
  <c r="V204" i="23"/>
  <c r="W204" i="23" s="1"/>
  <c r="V73" i="23"/>
  <c r="W73" i="23" s="1"/>
  <c r="X198" i="23"/>
  <c r="X130" i="23"/>
  <c r="V368" i="23"/>
  <c r="W368" i="23" s="1"/>
  <c r="X302" i="23"/>
  <c r="V46" i="23"/>
  <c r="W46" i="23" s="1"/>
  <c r="V222" i="23"/>
  <c r="W222" i="23" s="1"/>
  <c r="V275" i="23"/>
  <c r="W275" i="23" s="1"/>
  <c r="V97" i="23"/>
  <c r="W97" i="23" s="1"/>
  <c r="V284" i="23"/>
  <c r="W284" i="23" s="1"/>
  <c r="V57" i="23"/>
  <c r="W57" i="23" s="1"/>
  <c r="X371" i="23"/>
  <c r="V327" i="23"/>
  <c r="W327" i="23" s="1"/>
  <c r="V131" i="23"/>
  <c r="W131" i="23" s="1"/>
  <c r="V254" i="23"/>
  <c r="W254" i="23" s="1"/>
  <c r="X273" i="23"/>
  <c r="X82" i="23"/>
  <c r="X159" i="23"/>
  <c r="X172" i="23"/>
  <c r="X247" i="23"/>
  <c r="V343" i="23"/>
  <c r="W343" i="23" s="1"/>
  <c r="V394" i="23"/>
  <c r="W394" i="23" s="1"/>
  <c r="V147" i="23"/>
  <c r="W147" i="23" s="1"/>
  <c r="X298" i="23"/>
  <c r="X53" i="23"/>
  <c r="X195" i="23"/>
  <c r="X349" i="23"/>
  <c r="V136" i="23"/>
  <c r="W136" i="23" s="1"/>
  <c r="V292" i="23"/>
  <c r="W292" i="23" s="1"/>
  <c r="V145" i="23"/>
  <c r="W145" i="23" s="1"/>
  <c r="V174" i="23"/>
  <c r="W174" i="23" s="1"/>
  <c r="V224" i="23"/>
  <c r="W224" i="23" s="1"/>
  <c r="X180" i="23"/>
  <c r="X270" i="23"/>
  <c r="V237" i="23"/>
  <c r="W237" i="23" s="1"/>
  <c r="X394" i="23"/>
  <c r="X55" i="23"/>
  <c r="V159" i="23"/>
  <c r="W159" i="23" s="1"/>
  <c r="X153" i="23"/>
  <c r="V326" i="23"/>
  <c r="W326" i="23" s="1"/>
  <c r="V308" i="23"/>
  <c r="W308" i="23" s="1"/>
  <c r="X70" i="23"/>
  <c r="X399" i="23"/>
  <c r="X199" i="23"/>
  <c r="V48" i="23"/>
  <c r="W48" i="23" s="1"/>
  <c r="X100" i="23"/>
  <c r="X252" i="23"/>
  <c r="V262" i="23"/>
  <c r="W262" i="23" s="1"/>
  <c r="X257" i="23"/>
  <c r="V250" i="23"/>
  <c r="W250" i="23" s="1"/>
  <c r="V77" i="23"/>
  <c r="W77" i="23" s="1"/>
  <c r="X393" i="23"/>
  <c r="V206" i="23"/>
  <c r="W206" i="23" s="1"/>
  <c r="V100" i="23"/>
  <c r="W100" i="23" s="1"/>
  <c r="V329" i="23"/>
  <c r="W329" i="23" s="1"/>
  <c r="V126" i="23"/>
  <c r="W126" i="23" s="1"/>
  <c r="X138" i="23"/>
  <c r="X255" i="23"/>
  <c r="V381" i="23"/>
  <c r="W381" i="23" s="1"/>
  <c r="V349" i="23"/>
  <c r="W349" i="23" s="1"/>
  <c r="V221" i="23"/>
  <c r="W221" i="23" s="1"/>
  <c r="X236" i="23"/>
  <c r="X321" i="23"/>
  <c r="X76" i="23"/>
  <c r="V65" i="23"/>
  <c r="W65" i="23" s="1"/>
  <c r="X262" i="23"/>
  <c r="V160" i="23"/>
  <c r="W160" i="23" s="1"/>
  <c r="X155" i="23"/>
  <c r="X331" i="23"/>
  <c r="X216" i="23"/>
  <c r="V302" i="23"/>
  <c r="W302" i="23" s="1"/>
  <c r="X57" i="23"/>
  <c r="X56" i="23"/>
  <c r="X96" i="23"/>
  <c r="V51" i="23"/>
  <c r="W51" i="23" s="1"/>
  <c r="X274" i="23"/>
  <c r="V346" i="23"/>
  <c r="W346" i="23" s="1"/>
  <c r="X264" i="23"/>
  <c r="X380" i="23"/>
  <c r="X207" i="23"/>
  <c r="V161" i="23"/>
  <c r="W161" i="23" s="1"/>
  <c r="V358" i="23"/>
  <c r="W358" i="23" s="1"/>
  <c r="A22" i="23"/>
  <c r="X357" i="23"/>
  <c r="V382" i="23"/>
  <c r="W382" i="23" s="1"/>
  <c r="X285" i="23"/>
  <c r="X231" i="23"/>
  <c r="V260" i="23"/>
  <c r="W260" i="23" s="1"/>
  <c r="V59" i="23"/>
  <c r="W59" i="23" s="1"/>
  <c r="V119" i="23"/>
  <c r="W119" i="23" s="1"/>
  <c r="V151" i="23"/>
  <c r="W151" i="23" s="1"/>
  <c r="X337" i="23"/>
  <c r="X129" i="23"/>
  <c r="X323" i="23"/>
  <c r="V58" i="23"/>
  <c r="W58" i="23" s="1"/>
  <c r="V338" i="23"/>
  <c r="W338" i="23" s="1"/>
  <c r="V79" i="23"/>
  <c r="W79" i="23" s="1"/>
  <c r="X183" i="23"/>
  <c r="X58" i="23"/>
  <c r="X203" i="23"/>
  <c r="V202" i="23"/>
  <c r="W202" i="23" s="1"/>
  <c r="X64" i="23"/>
  <c r="X156" i="23"/>
  <c r="V63" i="23"/>
  <c r="W63" i="23" s="1"/>
  <c r="V233" i="23"/>
  <c r="W233" i="23" s="1"/>
  <c r="X42" i="23"/>
  <c r="X136" i="23"/>
  <c r="V375" i="23"/>
  <c r="W375" i="23" s="1"/>
  <c r="X304" i="23"/>
  <c r="V60" i="23"/>
  <c r="W60" i="23" s="1"/>
  <c r="X164" i="23"/>
  <c r="X59" i="23"/>
  <c r="X186" i="23"/>
  <c r="X217" i="23"/>
  <c r="V253" i="23"/>
  <c r="W253" i="23" s="1"/>
  <c r="V299" i="23"/>
  <c r="W299" i="23" s="1"/>
  <c r="X235" i="23"/>
  <c r="V355" i="23"/>
  <c r="W355" i="23" s="1"/>
  <c r="X305" i="23"/>
  <c r="V102" i="23"/>
  <c r="W102" i="23" s="1"/>
  <c r="X244" i="23"/>
  <c r="V84" i="23"/>
  <c r="W84" i="23" s="1"/>
  <c r="X169" i="23"/>
  <c r="X386" i="23"/>
  <c r="X133" i="23"/>
  <c r="X62" i="23"/>
  <c r="V89" i="23"/>
  <c r="W89" i="23" s="1"/>
  <c r="V389" i="23"/>
  <c r="W389" i="23" s="1"/>
  <c r="X85" i="23"/>
  <c r="X334" i="23"/>
  <c r="V392" i="23"/>
  <c r="W392" i="23" s="1"/>
  <c r="V120" i="23"/>
  <c r="W120" i="23" s="1"/>
  <c r="V69" i="23"/>
  <c r="W69" i="23" s="1"/>
  <c r="V135" i="23"/>
  <c r="W135" i="23" s="1"/>
  <c r="X388" i="23"/>
  <c r="X191" i="23"/>
  <c r="V223" i="23"/>
  <c r="W223" i="23" s="1"/>
  <c r="V241" i="23"/>
  <c r="W241" i="23" s="1"/>
  <c r="V129" i="23"/>
  <c r="W129" i="23" s="1"/>
  <c r="V56" i="23"/>
  <c r="W56" i="23" s="1"/>
  <c r="V270" i="23"/>
  <c r="W270" i="23" s="1"/>
  <c r="X395" i="23"/>
  <c r="X346" i="23"/>
  <c r="V118" i="23"/>
  <c r="W118" i="23" s="1"/>
  <c r="X147" i="23"/>
  <c r="V258" i="23"/>
  <c r="W258" i="23" s="1"/>
  <c r="V194" i="23"/>
  <c r="W194" i="23" s="1"/>
  <c r="X178" i="23"/>
  <c r="X173" i="23"/>
  <c r="X287" i="23"/>
  <c r="V106" i="23"/>
  <c r="W106" i="23" s="1"/>
  <c r="V95" i="23"/>
  <c r="W95" i="23" s="1"/>
  <c r="V400" i="23"/>
  <c r="W400" i="23" s="1"/>
  <c r="V330" i="23"/>
  <c r="W330" i="23" s="1"/>
  <c r="V187" i="23"/>
  <c r="W187" i="23" s="1"/>
  <c r="X311" i="23"/>
  <c r="X179" i="23"/>
  <c r="X336" i="23"/>
  <c r="V54" i="23"/>
  <c r="W54" i="23" s="1"/>
  <c r="V72" i="23"/>
  <c r="W72" i="23" s="1"/>
  <c r="X291" i="23"/>
  <c r="V96" i="23"/>
  <c r="W96" i="23" s="1"/>
  <c r="X201" i="23"/>
  <c r="V93" i="23"/>
  <c r="W93" i="23" s="1"/>
  <c r="V337" i="23"/>
  <c r="W337" i="23" s="1"/>
  <c r="V336" i="23"/>
  <c r="W336" i="23" s="1"/>
  <c r="V351" i="23"/>
  <c r="W351" i="23" s="1"/>
  <c r="V243" i="23"/>
  <c r="W243" i="23" s="1"/>
  <c r="V171" i="23"/>
  <c r="W171" i="23" s="1"/>
  <c r="X306" i="23"/>
  <c r="X392" i="23"/>
  <c r="X360" i="23"/>
  <c r="V234" i="23"/>
  <c r="W234" i="23" s="1"/>
  <c r="X318" i="23"/>
  <c r="X328" i="23"/>
  <c r="X324" i="23"/>
  <c r="X225" i="23"/>
  <c r="X206" i="23"/>
  <c r="V261" i="23"/>
  <c r="W261" i="23" s="1"/>
  <c r="V177" i="23"/>
  <c r="W177" i="23" s="1"/>
  <c r="V150" i="23"/>
  <c r="W150" i="23" s="1"/>
  <c r="X196" i="23"/>
  <c r="X211" i="23"/>
  <c r="V218" i="23"/>
  <c r="W218" i="23" s="1"/>
  <c r="V393" i="23"/>
  <c r="W393" i="23" s="1"/>
  <c r="V138" i="23"/>
  <c r="W138" i="23" s="1"/>
  <c r="V318" i="23"/>
  <c r="W318" i="23" s="1"/>
  <c r="V53" i="23"/>
  <c r="W53" i="23" s="1"/>
  <c r="V296" i="23"/>
  <c r="W296" i="23" s="1"/>
  <c r="V251" i="23"/>
  <c r="W251" i="23" s="1"/>
  <c r="V99" i="23"/>
  <c r="W99" i="23" s="1"/>
  <c r="X390" i="23"/>
  <c r="V111" i="23"/>
  <c r="W111" i="23" s="1"/>
  <c r="X194" i="23"/>
  <c r="V122" i="23"/>
  <c r="W122" i="23" s="1"/>
  <c r="X354" i="23"/>
  <c r="X342" i="23"/>
  <c r="X322" i="23"/>
  <c r="X139" i="23"/>
  <c r="V216" i="23"/>
  <c r="W216" i="23" s="1"/>
  <c r="X208" i="23"/>
  <c r="X309" i="23"/>
  <c r="V362" i="23"/>
  <c r="W362" i="23" s="1"/>
  <c r="X188" i="23"/>
  <c r="V173" i="23"/>
  <c r="W173" i="23" s="1"/>
  <c r="V192" i="23"/>
  <c r="W192" i="23" s="1"/>
  <c r="X355" i="23"/>
  <c r="V226" i="23"/>
  <c r="W226" i="23" s="1"/>
  <c r="V361" i="23"/>
  <c r="W361" i="23" s="1"/>
  <c r="V313" i="23"/>
  <c r="W313" i="23" s="1"/>
  <c r="V213" i="23"/>
  <c r="W213" i="23" s="1"/>
  <c r="V256" i="23"/>
  <c r="W256" i="23" s="1"/>
  <c r="X65" i="23"/>
  <c r="V246" i="23"/>
  <c r="W246" i="23" s="1"/>
  <c r="X102" i="23"/>
  <c r="V309" i="23"/>
  <c r="W309" i="23" s="1"/>
  <c r="V207" i="23"/>
  <c r="W207" i="23" s="1"/>
  <c r="V321" i="23"/>
  <c r="W321" i="23" s="1"/>
  <c r="V52" i="23"/>
  <c r="W52" i="23" s="1"/>
  <c r="V115" i="23"/>
  <c r="W115" i="23" s="1"/>
  <c r="V276" i="23"/>
  <c r="W276" i="23" s="1"/>
  <c r="X83" i="23"/>
  <c r="X381" i="23"/>
  <c r="X215" i="23"/>
  <c r="X329" i="23"/>
  <c r="V68" i="23"/>
  <c r="W68" i="23" s="1"/>
  <c r="V242" i="23"/>
  <c r="W242" i="23" s="1"/>
  <c r="X265" i="23"/>
  <c r="X230" i="23"/>
  <c r="X39" i="23"/>
  <c r="V43" i="23"/>
  <c r="W43" i="23" s="1"/>
  <c r="V289" i="23"/>
  <c r="W289" i="23" s="1"/>
  <c r="X303" i="23"/>
  <c r="V108" i="23"/>
  <c r="W108" i="23" s="1"/>
  <c r="X69" i="23"/>
  <c r="X101" i="23"/>
  <c r="X114" i="23"/>
  <c r="V86" i="23"/>
  <c r="W86" i="23" s="1"/>
  <c r="V153" i="23"/>
  <c r="W153" i="23" s="1"/>
  <c r="X127" i="23"/>
  <c r="X141" i="23"/>
  <c r="X254" i="23"/>
  <c r="X150" i="23"/>
  <c r="X268" i="23"/>
  <c r="X204" i="23"/>
  <c r="V398" i="23"/>
  <c r="W398" i="23" s="1"/>
  <c r="V247" i="23"/>
  <c r="W247" i="23" s="1"/>
  <c r="X93" i="23"/>
  <c r="V114" i="23"/>
  <c r="W114" i="23" s="1"/>
  <c r="X232" i="23"/>
  <c r="V178" i="23"/>
  <c r="W178" i="23" s="1"/>
  <c r="V210" i="23"/>
  <c r="W210" i="23" s="1"/>
  <c r="V328" i="23"/>
  <c r="W328" i="23" s="1"/>
  <c r="X213" i="23"/>
  <c r="X209" i="23"/>
  <c r="V170" i="23"/>
  <c r="W170" i="23" s="1"/>
  <c r="V162" i="23"/>
  <c r="W162" i="23" s="1"/>
  <c r="X126" i="23"/>
  <c r="V268" i="23"/>
  <c r="W268" i="23" s="1"/>
  <c r="V232" i="23"/>
  <c r="W232" i="23" s="1"/>
  <c r="X344" i="23"/>
  <c r="X222" i="23"/>
  <c r="X284" i="23"/>
  <c r="X174" i="23"/>
  <c r="X49" i="23"/>
  <c r="V248" i="23"/>
  <c r="W248" i="23" s="1"/>
  <c r="V208" i="23"/>
  <c r="W208" i="23" s="1"/>
  <c r="V47" i="23"/>
  <c r="W47" i="23" s="1"/>
  <c r="X335" i="23"/>
  <c r="X229" i="23"/>
  <c r="V316" i="23"/>
  <c r="W316" i="23" s="1"/>
  <c r="V334" i="23"/>
  <c r="W334" i="23" s="1"/>
  <c r="X227" i="23"/>
  <c r="V183" i="23"/>
  <c r="W183" i="23" s="1"/>
  <c r="V205" i="23"/>
  <c r="W205" i="23" s="1"/>
  <c r="V146" i="23"/>
  <c r="W146" i="23" s="1"/>
  <c r="V306" i="23"/>
  <c r="W306" i="23" s="1"/>
  <c r="V379" i="23"/>
  <c r="W379" i="23" s="1"/>
  <c r="X41" i="23"/>
  <c r="X389" i="23"/>
  <c r="V50" i="23"/>
  <c r="W50" i="23" s="1"/>
  <c r="X175" i="23"/>
  <c r="X132" i="23"/>
  <c r="X50" i="23"/>
  <c r="V228" i="23"/>
  <c r="W228" i="23" s="1"/>
  <c r="X212" i="23"/>
  <c r="V347" i="23"/>
  <c r="W347" i="23" s="1"/>
  <c r="X123" i="23"/>
  <c r="V200" i="23"/>
  <c r="W200" i="23" s="1"/>
  <c r="V249" i="23"/>
  <c r="W249" i="23" s="1"/>
  <c r="X51" i="23"/>
  <c r="X362" i="23"/>
  <c r="X226" i="23"/>
  <c r="V376" i="23"/>
  <c r="W376" i="23" s="1"/>
  <c r="V103" i="23"/>
  <c r="W103" i="23" s="1"/>
  <c r="V44" i="23"/>
  <c r="W44" i="23" s="1"/>
  <c r="X376" i="23"/>
  <c r="V371" i="23"/>
  <c r="W371" i="23" s="1"/>
  <c r="X45" i="23"/>
  <c r="V277" i="23"/>
  <c r="W277" i="23" s="1"/>
  <c r="X98" i="23"/>
  <c r="X124" i="23"/>
  <c r="V285" i="23"/>
  <c r="W285" i="23" s="1"/>
  <c r="X168" i="23"/>
  <c r="V158" i="23"/>
  <c r="W158" i="23" s="1"/>
  <c r="X348" i="23"/>
  <c r="X228" i="23"/>
  <c r="V190" i="23"/>
  <c r="W190" i="23" s="1"/>
  <c r="X368" i="23"/>
  <c r="X310" i="23"/>
  <c r="V41" i="23"/>
  <c r="W41" i="23" s="1"/>
  <c r="X286" i="23"/>
  <c r="X256" i="23"/>
  <c r="V167" i="23"/>
  <c r="W167" i="23" s="1"/>
  <c r="V340" i="23"/>
  <c r="W340" i="23" s="1"/>
  <c r="V240" i="23"/>
  <c r="W240" i="23" s="1"/>
  <c r="V294" i="23"/>
  <c r="W294" i="23" s="1"/>
  <c r="V164" i="23"/>
  <c r="W164" i="23" s="1"/>
  <c r="X152" i="23"/>
  <c r="V399" i="23"/>
  <c r="W399" i="23" s="1"/>
  <c r="V61" i="23"/>
  <c r="W61" i="23" s="1"/>
  <c r="X278" i="23"/>
  <c r="V252" i="23"/>
  <c r="W252" i="23" s="1"/>
  <c r="V280" i="23"/>
  <c r="W280" i="23" s="1"/>
  <c r="X185" i="23"/>
  <c r="X325" i="23"/>
  <c r="X66" i="23"/>
  <c r="V110" i="23"/>
  <c r="W110" i="23" s="1"/>
  <c r="V45" i="23"/>
  <c r="W45" i="23" s="1"/>
  <c r="V317" i="23"/>
  <c r="W317" i="23" s="1"/>
  <c r="X378" i="23"/>
  <c r="X341" i="23"/>
  <c r="V386" i="23"/>
  <c r="W386" i="23" s="1"/>
  <c r="V172" i="23"/>
  <c r="W172" i="23" s="1"/>
  <c r="X46" i="23"/>
  <c r="V325" i="23"/>
  <c r="W325" i="23" s="1"/>
  <c r="X121" i="23"/>
  <c r="V384" i="23"/>
  <c r="W384" i="23" s="1"/>
  <c r="V315" i="23"/>
  <c r="W315" i="23" s="1"/>
  <c r="X61" i="23"/>
  <c r="X142" i="23"/>
  <c r="V345" i="23"/>
  <c r="W345" i="23" s="1"/>
  <c r="X272" i="23"/>
  <c r="V373" i="23"/>
  <c r="W373" i="23" s="1"/>
  <c r="X248" i="23"/>
  <c r="V290" i="23"/>
  <c r="W290" i="23" s="1"/>
  <c r="V366" i="23"/>
  <c r="W366" i="23" s="1"/>
  <c r="V134" i="23"/>
  <c r="W134" i="23" s="1"/>
  <c r="V90" i="23"/>
  <c r="W90" i="23" s="1"/>
  <c r="X240" i="23"/>
  <c r="V322" i="23"/>
  <c r="W322" i="23" s="1"/>
  <c r="X182" i="23"/>
  <c r="X192" i="23"/>
  <c r="X288" i="23"/>
  <c r="X146" i="23"/>
  <c r="V356" i="23"/>
  <c r="W356" i="23" s="1"/>
  <c r="X103" i="23"/>
  <c r="X345" i="23"/>
  <c r="V179" i="23"/>
  <c r="W179" i="23" s="1"/>
  <c r="X134" i="23"/>
  <c r="V297" i="23"/>
  <c r="W297" i="23" s="1"/>
  <c r="V311" i="23"/>
  <c r="W311" i="23" s="1"/>
  <c r="X187" i="23"/>
  <c r="X358" i="23"/>
  <c r="U32" i="23"/>
  <c r="V341" i="23"/>
  <c r="W341" i="23" s="1"/>
  <c r="X313" i="23"/>
  <c r="V388" i="23"/>
  <c r="W388" i="23" s="1"/>
  <c r="X239" i="23"/>
  <c r="X320" i="23"/>
  <c r="V181" i="23"/>
  <c r="W181" i="23" s="1"/>
  <c r="X352" i="23"/>
  <c r="X242" i="23"/>
  <c r="X107" i="23"/>
  <c r="V55" i="23"/>
  <c r="W55" i="23" s="1"/>
  <c r="V363" i="23"/>
  <c r="W363" i="23" s="1"/>
  <c r="V374" i="23"/>
  <c r="W374" i="23" s="1"/>
  <c r="V186" i="23"/>
  <c r="W186" i="23" s="1"/>
  <c r="X184" i="23"/>
  <c r="V189" i="23"/>
  <c r="W189" i="23" s="1"/>
  <c r="X106" i="23"/>
  <c r="X297" i="23"/>
  <c r="X396" i="23"/>
  <c r="X373" i="23"/>
  <c r="V385" i="23"/>
  <c r="W385" i="23" s="1"/>
  <c r="X263" i="23"/>
  <c r="X253" i="23"/>
  <c r="V230" i="23"/>
  <c r="W230" i="23" s="1"/>
  <c r="X359" i="23"/>
  <c r="V130" i="23"/>
  <c r="W130" i="23" s="1"/>
  <c r="X43" i="23"/>
  <c r="X307" i="23"/>
  <c r="X366" i="23"/>
  <c r="X290" i="23"/>
  <c r="V123" i="23"/>
  <c r="W123" i="23" s="1"/>
  <c r="X165" i="23"/>
  <c r="X301" i="23"/>
  <c r="V380" i="23"/>
  <c r="W380" i="23" s="1"/>
  <c r="X190" i="23"/>
  <c r="V238" i="23"/>
  <c r="W238" i="23" s="1"/>
  <c r="X372" i="23"/>
  <c r="V188" i="23"/>
  <c r="W188" i="23" s="1"/>
  <c r="V310" i="23"/>
  <c r="W310" i="23" s="1"/>
  <c r="V184" i="23"/>
  <c r="W184" i="23" s="1"/>
  <c r="V40" i="23"/>
  <c r="W40" i="23" s="1"/>
  <c r="X387" i="23"/>
  <c r="V291" i="23"/>
  <c r="W291" i="23" s="1"/>
  <c r="V236" i="23"/>
  <c r="W236" i="23" s="1"/>
  <c r="V279" i="23"/>
  <c r="W279" i="23" s="1"/>
  <c r="X122" i="23"/>
  <c r="V180" i="23"/>
  <c r="W180" i="23" s="1"/>
  <c r="X367" i="23"/>
  <c r="X52" i="23"/>
  <c r="X177" i="23"/>
  <c r="X210" i="23"/>
  <c r="X317" i="23"/>
  <c r="V211" i="23"/>
  <c r="W211" i="23" s="1"/>
  <c r="V348" i="23"/>
  <c r="W348" i="23" s="1"/>
  <c r="X113" i="23"/>
  <c r="X308" i="23"/>
  <c r="V298" i="23"/>
  <c r="W298" i="23" s="1"/>
  <c r="X280" i="23"/>
  <c r="X193" i="23"/>
  <c r="X351" i="23"/>
  <c r="V209" i="23"/>
  <c r="W209" i="23" s="1"/>
  <c r="V314" i="23"/>
  <c r="W314" i="23" s="1"/>
  <c r="X353" i="23"/>
  <c r="V78" i="23"/>
  <c r="W78" i="23" s="1"/>
  <c r="X200" i="23"/>
  <c r="X258" i="23"/>
  <c r="X363" i="23"/>
  <c r="X300" i="23"/>
  <c r="X269" i="23"/>
  <c r="X374" i="23"/>
  <c r="X75" i="23"/>
  <c r="X143" i="23"/>
  <c r="V307" i="23"/>
  <c r="W307" i="23" s="1"/>
  <c r="X361" i="23"/>
  <c r="V352" i="23"/>
  <c r="W352" i="23" s="1"/>
  <c r="V395" i="23"/>
  <c r="W395" i="23" s="1"/>
  <c r="V117" i="23"/>
  <c r="W117" i="23" s="1"/>
  <c r="V169" i="23"/>
  <c r="W169" i="23" s="1"/>
  <c r="V288" i="23"/>
  <c r="W288" i="23" s="1"/>
  <c r="V121" i="23"/>
  <c r="W121" i="23" s="1"/>
  <c r="X398" i="23"/>
  <c r="V335" i="23"/>
  <c r="W335" i="23" s="1"/>
  <c r="V215" i="23"/>
  <c r="W215" i="23" s="1"/>
  <c r="X86" i="23"/>
  <c r="X144" i="23"/>
  <c r="V155" i="23"/>
  <c r="W155" i="23" s="1"/>
  <c r="V304" i="23"/>
  <c r="W304" i="23" s="1"/>
  <c r="V271" i="23"/>
  <c r="W271" i="23" s="1"/>
  <c r="V354" i="23"/>
  <c r="W354" i="23" s="1"/>
  <c r="V198" i="23"/>
  <c r="W198" i="23" s="1"/>
  <c r="X327" i="23"/>
  <c r="V397" i="23"/>
  <c r="W397" i="23" s="1"/>
  <c r="V255" i="23"/>
  <c r="W255" i="23" s="1"/>
  <c r="X296" i="23"/>
  <c r="V273" i="23"/>
  <c r="W273" i="23" s="1"/>
  <c r="V396" i="23"/>
  <c r="W396" i="23" s="1"/>
  <c r="V149" i="23"/>
  <c r="W149" i="23" s="1"/>
  <c r="V139" i="23"/>
  <c r="W139" i="23" s="1"/>
  <c r="X312" i="23"/>
  <c r="V182" i="23"/>
  <c r="W182" i="23" s="1"/>
  <c r="V286" i="23"/>
  <c r="W286" i="23" s="1"/>
  <c r="V195" i="23"/>
  <c r="W195" i="23" s="1"/>
  <c r="X293" i="23"/>
  <c r="X241" i="23"/>
  <c r="V387" i="23"/>
  <c r="W387" i="23" s="1"/>
  <c r="V225" i="23"/>
  <c r="W225" i="23" s="1"/>
  <c r="V140" i="23"/>
  <c r="W140" i="23" s="1"/>
  <c r="V391" i="23"/>
  <c r="W391" i="23" s="1"/>
  <c r="X249" i="23"/>
  <c r="X333" i="23"/>
  <c r="X166" i="23"/>
  <c r="X384" i="23"/>
  <c r="X326" i="23"/>
  <c r="X95" i="23"/>
  <c r="X80" i="23"/>
  <c r="X214" i="23"/>
  <c r="V163" i="23"/>
  <c r="W163" i="23" s="1"/>
  <c r="X316" i="23"/>
  <c r="X266" i="23"/>
  <c r="V185" i="23"/>
  <c r="W185" i="23" s="1"/>
  <c r="X48" i="23"/>
  <c r="X338" i="23"/>
  <c r="X84" i="23"/>
  <c r="V168" i="23"/>
  <c r="W168" i="23" s="1"/>
  <c r="V82" i="23"/>
  <c r="W82" i="23" s="1"/>
  <c r="V377" i="23"/>
  <c r="W377" i="23" s="1"/>
  <c r="V76" i="23"/>
  <c r="W76" i="23" s="1"/>
  <c r="V245" i="23"/>
  <c r="W245" i="23" s="1"/>
  <c r="X90" i="23"/>
  <c r="X72" i="23"/>
  <c r="V132" i="23"/>
  <c r="W132" i="23" s="1"/>
  <c r="X383" i="23"/>
  <c r="X343" i="23"/>
  <c r="X330" i="23"/>
  <c r="X91" i="23"/>
  <c r="X314" i="23"/>
  <c r="V239" i="23"/>
  <c r="W239" i="23" s="1"/>
  <c r="X234" i="23"/>
  <c r="V372" i="23"/>
  <c r="W372" i="23" s="1"/>
  <c r="X205" i="23"/>
  <c r="V360" i="23"/>
  <c r="W360" i="23" s="1"/>
  <c r="X160" i="23"/>
  <c r="X47" i="23"/>
  <c r="X167" i="23"/>
  <c r="X154" i="23"/>
  <c r="X110" i="23"/>
  <c r="V359" i="23"/>
  <c r="W359" i="23" s="1"/>
  <c r="V244" i="23"/>
  <c r="W244" i="23" s="1"/>
  <c r="X115" i="23"/>
  <c r="V305" i="23"/>
  <c r="W305" i="23" s="1"/>
  <c r="X223" i="23"/>
  <c r="X279" i="23"/>
  <c r="V39" i="23"/>
  <c r="W39" i="23" s="1"/>
  <c r="V199" i="23"/>
  <c r="W199" i="23" s="1"/>
  <c r="X350" i="23"/>
  <c r="V364" i="23"/>
  <c r="W364" i="23" s="1"/>
  <c r="V116" i="23"/>
  <c r="W116" i="23" s="1"/>
  <c r="X292" i="23"/>
  <c r="X189" i="23"/>
  <c r="X332" i="23"/>
  <c r="V339" i="23"/>
  <c r="W339" i="23" s="1"/>
  <c r="X176" i="23"/>
  <c r="V367" i="23"/>
  <c r="W367" i="23" s="1"/>
  <c r="X295" i="23"/>
  <c r="X294" i="23"/>
  <c r="V331" i="23"/>
  <c r="W331" i="23" s="1"/>
  <c r="V74" i="23"/>
  <c r="W74" i="23" s="1"/>
  <c r="X233" i="23"/>
  <c r="X218" i="23"/>
  <c r="V157" i="23"/>
  <c r="W157" i="23" s="1"/>
  <c r="X181" i="23"/>
  <c r="V344" i="23"/>
  <c r="W344" i="23" s="1"/>
  <c r="V370" i="23"/>
  <c r="W370" i="23" s="1"/>
  <c r="V378" i="23"/>
  <c r="W378" i="23" s="1"/>
  <c r="V323" i="23"/>
  <c r="W323" i="23" s="1"/>
  <c r="V133" i="23"/>
  <c r="W133" i="23" s="1"/>
  <c r="X202" i="23"/>
  <c r="V104" i="23"/>
  <c r="W104" i="23" s="1"/>
  <c r="X88" i="23"/>
  <c r="X120" i="23"/>
  <c r="V197" i="23"/>
  <c r="W197" i="23" s="1"/>
  <c r="X81" i="23"/>
  <c r="X109" i="23"/>
  <c r="V295" i="23"/>
  <c r="W295" i="23" s="1"/>
  <c r="V166" i="23"/>
  <c r="W166" i="23" s="1"/>
  <c r="X131" i="23"/>
  <c r="V272" i="23"/>
  <c r="W272" i="23" s="1"/>
  <c r="X149" i="23"/>
  <c r="X137" i="23"/>
  <c r="V390" i="23"/>
  <c r="W390" i="23" s="1"/>
  <c r="V231" i="23"/>
  <c r="W231" i="23" s="1"/>
  <c r="V332" i="23"/>
  <c r="W332" i="23" s="1"/>
  <c r="X162" i="23"/>
  <c r="X60" i="23"/>
  <c r="X104" i="23"/>
  <c r="V66" i="23"/>
  <c r="W66" i="23" s="1"/>
  <c r="X145" i="23"/>
  <c r="V227" i="23"/>
  <c r="W227" i="23" s="1"/>
  <c r="X364" i="23"/>
  <c r="V88" i="23"/>
  <c r="W88" i="23" s="1"/>
  <c r="V191" i="23"/>
  <c r="W191" i="23" s="1"/>
  <c r="V350" i="23"/>
  <c r="W350" i="23" s="1"/>
  <c r="V265" i="23"/>
  <c r="W265" i="23" s="1"/>
  <c r="V152" i="23"/>
  <c r="W152" i="23" s="1"/>
  <c r="V105" i="23"/>
  <c r="W105" i="23" s="1"/>
  <c r="X151" i="23"/>
  <c r="X74" i="23"/>
  <c r="X68" i="23"/>
  <c r="V148" i="23"/>
  <c r="W148" i="23" s="1"/>
  <c r="X391" i="23"/>
  <c r="V281" i="23"/>
  <c r="W281" i="23" s="1"/>
  <c r="V75" i="23"/>
  <c r="W75" i="23" s="1"/>
  <c r="X250" i="23"/>
  <c r="V81" i="23"/>
  <c r="W81" i="23" s="1"/>
  <c r="X397" i="24"/>
  <c r="X393" i="24"/>
  <c r="X337" i="24"/>
  <c r="X297" i="24"/>
  <c r="X328" i="24"/>
  <c r="V264" i="24"/>
  <c r="W264" i="24" s="1"/>
  <c r="X191" i="24"/>
  <c r="X341" i="24"/>
  <c r="V329" i="24"/>
  <c r="W329" i="24" s="1"/>
  <c r="X281" i="24"/>
  <c r="X304" i="24"/>
  <c r="V248" i="24"/>
  <c r="W248" i="24" s="1"/>
  <c r="X151" i="24"/>
  <c r="V212" i="24"/>
  <c r="W212" i="24" s="1"/>
  <c r="X172" i="24"/>
  <c r="V124" i="24"/>
  <c r="W124" i="24" s="1"/>
  <c r="V60" i="24"/>
  <c r="W60" i="24" s="1"/>
  <c r="X388" i="24"/>
  <c r="V392" i="24"/>
  <c r="W392" i="24" s="1"/>
  <c r="V344" i="24"/>
  <c r="W344" i="24" s="1"/>
  <c r="V312" i="24"/>
  <c r="W312" i="24" s="1"/>
  <c r="V280" i="24"/>
  <c r="W280" i="24" s="1"/>
  <c r="X279" i="24"/>
  <c r="X385" i="24"/>
  <c r="X273" i="24"/>
  <c r="X296" i="24"/>
  <c r="X207" i="24"/>
  <c r="V143" i="24"/>
  <c r="W143" i="24" s="1"/>
  <c r="X164" i="24"/>
  <c r="V116" i="24"/>
  <c r="W116" i="24" s="1"/>
  <c r="X52" i="24"/>
  <c r="X380" i="24"/>
  <c r="X319" i="24"/>
  <c r="V271" i="24"/>
  <c r="W271" i="24" s="1"/>
  <c r="X389" i="24"/>
  <c r="X377" i="24"/>
  <c r="V321" i="24"/>
  <c r="W321" i="24" s="1"/>
  <c r="X265" i="24"/>
  <c r="X288" i="24"/>
  <c r="X249" i="24"/>
  <c r="X199" i="24"/>
  <c r="V204" i="24"/>
  <c r="W204" i="24" s="1"/>
  <c r="V156" i="24"/>
  <c r="W156" i="24" s="1"/>
  <c r="X108" i="24"/>
  <c r="V44" i="24"/>
  <c r="W44" i="24" s="1"/>
  <c r="V372" i="24"/>
  <c r="W372" i="24" s="1"/>
  <c r="X384" i="24"/>
  <c r="V336" i="24"/>
  <c r="W336" i="24" s="1"/>
  <c r="V304" i="24"/>
  <c r="W304" i="24" s="1"/>
  <c r="V272" i="24"/>
  <c r="W272" i="24" s="1"/>
  <c r="V311" i="24"/>
  <c r="W311" i="24" s="1"/>
  <c r="X373" i="24"/>
  <c r="X313" i="24"/>
  <c r="X272" i="24"/>
  <c r="X233" i="24"/>
  <c r="X196" i="24"/>
  <c r="V148" i="24"/>
  <c r="W148" i="24" s="1"/>
  <c r="X92" i="24"/>
  <c r="X356" i="24"/>
  <c r="X368" i="24"/>
  <c r="V328" i="24"/>
  <c r="W328" i="24" s="1"/>
  <c r="V296" i="24"/>
  <c r="W296" i="24" s="1"/>
  <c r="X264" i="24"/>
  <c r="X303" i="24"/>
  <c r="V255" i="24"/>
  <c r="W255" i="24" s="1"/>
  <c r="V214" i="24"/>
  <c r="W214" i="24" s="1"/>
  <c r="X174" i="24"/>
  <c r="V179" i="24"/>
  <c r="W179" i="24" s="1"/>
  <c r="X139" i="24"/>
  <c r="X51" i="24"/>
  <c r="X371" i="24"/>
  <c r="X375" i="24"/>
  <c r="V335" i="24"/>
  <c r="W335" i="24" s="1"/>
  <c r="V295" i="24"/>
  <c r="W295" i="24" s="1"/>
  <c r="X255" i="24"/>
  <c r="V294" i="24"/>
  <c r="W294" i="24" s="1"/>
  <c r="V262" i="24"/>
  <c r="W262" i="24" s="1"/>
  <c r="X223" i="24"/>
  <c r="V236" i="24"/>
  <c r="W236" i="24" s="1"/>
  <c r="X138" i="24"/>
  <c r="X74" i="24"/>
  <c r="X394" i="24"/>
  <c r="V310" i="24"/>
  <c r="W310" i="24" s="1"/>
  <c r="X262" i="24"/>
  <c r="X309" i="24"/>
  <c r="V230" i="24"/>
  <c r="W230" i="24" s="1"/>
  <c r="V180" i="24"/>
  <c r="W180" i="24" s="1"/>
  <c r="X243" i="24"/>
  <c r="X193" i="24"/>
  <c r="X145" i="24"/>
  <c r="V345" i="24"/>
  <c r="W345" i="24" s="1"/>
  <c r="X325" i="24"/>
  <c r="X252" i="24"/>
  <c r="X163" i="24"/>
  <c r="V168" i="24"/>
  <c r="W168" i="24" s="1"/>
  <c r="V56" i="24"/>
  <c r="W56" i="24" s="1"/>
  <c r="V97" i="24"/>
  <c r="W97" i="24" s="1"/>
  <c r="X306" i="24"/>
  <c r="X160" i="24"/>
  <c r="X102" i="24"/>
  <c r="V317" i="24"/>
  <c r="W317" i="24" s="1"/>
  <c r="V253" i="24"/>
  <c r="W253" i="24" s="1"/>
  <c r="V160" i="24"/>
  <c r="W160" i="24" s="1"/>
  <c r="X93" i="24"/>
  <c r="V189" i="24"/>
  <c r="W189" i="24" s="1"/>
  <c r="X372" i="24"/>
  <c r="V292" i="24"/>
  <c r="W292" i="24" s="1"/>
  <c r="V210" i="24"/>
  <c r="W210" i="24" s="1"/>
  <c r="V233" i="24"/>
  <c r="W233" i="24" s="1"/>
  <c r="V151" i="24"/>
  <c r="W151" i="24" s="1"/>
  <c r="V71" i="24"/>
  <c r="W71" i="24" s="1"/>
  <c r="V112" i="24"/>
  <c r="W112" i="24" s="1"/>
  <c r="X72" i="24"/>
  <c r="V338" i="24"/>
  <c r="W338" i="24" s="1"/>
  <c r="X269" i="24"/>
  <c r="V155" i="24"/>
  <c r="W155" i="24" s="1"/>
  <c r="V96" i="24"/>
  <c r="W96" i="24" s="1"/>
  <c r="V205" i="24"/>
  <c r="W205" i="24" s="1"/>
  <c r="X58" i="24"/>
  <c r="X355" i="24"/>
  <c r="V259" i="24"/>
  <c r="W259" i="24" s="1"/>
  <c r="V150" i="24"/>
  <c r="W150" i="24" s="1"/>
  <c r="A22" i="24"/>
  <c r="V87" i="24"/>
  <c r="W87" i="24" s="1"/>
  <c r="V47" i="24"/>
  <c r="W47" i="24" s="1"/>
  <c r="V313" i="24"/>
  <c r="W313" i="24" s="1"/>
  <c r="V181" i="24"/>
  <c r="W181" i="24" s="1"/>
  <c r="X192" i="24"/>
  <c r="X345" i="24"/>
  <c r="X312" i="24"/>
  <c r="V215" i="24"/>
  <c r="W215" i="24" s="1"/>
  <c r="X132" i="24"/>
  <c r="X396" i="24"/>
  <c r="X224" i="24"/>
  <c r="X166" i="24"/>
  <c r="V211" i="24"/>
  <c r="W211" i="24" s="1"/>
  <c r="V115" i="24"/>
  <c r="W115" i="24" s="1"/>
  <c r="V67" i="24"/>
  <c r="W67" i="24" s="1"/>
  <c r="V387" i="24"/>
  <c r="W387" i="24" s="1"/>
  <c r="X383" i="24"/>
  <c r="X287" i="24"/>
  <c r="X326" i="24"/>
  <c r="V278" i="24"/>
  <c r="W278" i="24" s="1"/>
  <c r="X181" i="24"/>
  <c r="V178" i="24"/>
  <c r="W178" i="24" s="1"/>
  <c r="V122" i="24"/>
  <c r="W122" i="24" s="1"/>
  <c r="V50" i="24"/>
  <c r="W50" i="24" s="1"/>
  <c r="V362" i="24"/>
  <c r="W362" i="24" s="1"/>
  <c r="X270" i="24"/>
  <c r="V301" i="24"/>
  <c r="W301" i="24" s="1"/>
  <c r="X212" i="24"/>
  <c r="V164" i="24"/>
  <c r="W164" i="24" s="1"/>
  <c r="X209" i="24"/>
  <c r="V105" i="24"/>
  <c r="W105" i="24" s="1"/>
  <c r="X49" i="24"/>
  <c r="V293" i="24"/>
  <c r="W293" i="24" s="1"/>
  <c r="V195" i="24"/>
  <c r="W195" i="24" s="1"/>
  <c r="V184" i="24"/>
  <c r="W184" i="24" s="1"/>
  <c r="V72" i="24"/>
  <c r="W72" i="24" s="1"/>
  <c r="V49" i="24"/>
  <c r="W49" i="24" s="1"/>
  <c r="V297" i="24"/>
  <c r="W297" i="24" s="1"/>
  <c r="X381" i="24"/>
  <c r="X308" i="24"/>
  <c r="X69" i="24"/>
  <c r="X305" i="24"/>
  <c r="V77" i="24"/>
  <c r="W77" i="24" s="1"/>
  <c r="V360" i="24"/>
  <c r="W360" i="24" s="1"/>
  <c r="X315" i="24"/>
  <c r="V135" i="24"/>
  <c r="W135" i="24" s="1"/>
  <c r="X96" i="24"/>
  <c r="V101" i="24"/>
  <c r="W101" i="24" s="1"/>
  <c r="X369" i="24"/>
  <c r="V260" i="24"/>
  <c r="W260" i="24" s="1"/>
  <c r="X101" i="24"/>
  <c r="V193" i="24"/>
  <c r="W193" i="24" s="1"/>
  <c r="X86" i="24"/>
  <c r="X103" i="24"/>
  <c r="X55" i="24"/>
  <c r="X133" i="24"/>
  <c r="V62" i="24"/>
  <c r="W62" i="24" s="1"/>
  <c r="X85" i="24"/>
  <c r="X352" i="24"/>
  <c r="X332" i="24"/>
  <c r="X111" i="24"/>
  <c r="X116" i="24"/>
  <c r="V381" i="24"/>
  <c r="W381" i="24" s="1"/>
  <c r="X280" i="24"/>
  <c r="V183" i="24"/>
  <c r="W183" i="24" s="1"/>
  <c r="V100" i="24"/>
  <c r="W100" i="24" s="1"/>
  <c r="V364" i="24"/>
  <c r="W364" i="24" s="1"/>
  <c r="X263" i="24"/>
  <c r="V158" i="24"/>
  <c r="W158" i="24" s="1"/>
  <c r="V163" i="24"/>
  <c r="W163" i="24" s="1"/>
  <c r="X379" i="24"/>
  <c r="X367" i="24"/>
  <c r="X327" i="24"/>
  <c r="V279" i="24"/>
  <c r="W279" i="24" s="1"/>
  <c r="V318" i="24"/>
  <c r="W318" i="24" s="1"/>
  <c r="X239" i="24"/>
  <c r="V173" i="24"/>
  <c r="W173" i="24" s="1"/>
  <c r="V114" i="24"/>
  <c r="W114" i="24" s="1"/>
  <c r="V42" i="24"/>
  <c r="W42" i="24" s="1"/>
  <c r="X354" i="24"/>
  <c r="X366" i="24"/>
  <c r="X318" i="24"/>
  <c r="V254" i="24"/>
  <c r="W254" i="24" s="1"/>
  <c r="X253" i="24"/>
  <c r="X204" i="24"/>
  <c r="V201" i="24"/>
  <c r="W201" i="24" s="1"/>
  <c r="X153" i="24"/>
  <c r="X97" i="24"/>
  <c r="V41" i="24"/>
  <c r="W41" i="24" s="1"/>
  <c r="V373" i="24"/>
  <c r="W373" i="24" s="1"/>
  <c r="X284" i="24"/>
  <c r="X40" i="24"/>
  <c r="V89" i="24"/>
  <c r="W89" i="24" s="1"/>
  <c r="V69" i="24"/>
  <c r="W69" i="24" s="1"/>
  <c r="V349" i="24"/>
  <c r="W349" i="24" s="1"/>
  <c r="X276" i="24"/>
  <c r="X45" i="24"/>
  <c r="X250" i="24"/>
  <c r="X344" i="24"/>
  <c r="V308" i="24"/>
  <c r="W308" i="24" s="1"/>
  <c r="V299" i="24"/>
  <c r="W299" i="24" s="1"/>
  <c r="X215" i="24"/>
  <c r="V39" i="24"/>
  <c r="W39" i="24" s="1"/>
  <c r="V88" i="24"/>
  <c r="W88" i="24" s="1"/>
  <c r="X374" i="24"/>
  <c r="V242" i="24"/>
  <c r="W242" i="24" s="1"/>
  <c r="V53" i="24"/>
  <c r="W53" i="24" s="1"/>
  <c r="V397" i="24"/>
  <c r="W397" i="24" s="1"/>
  <c r="V176" i="24"/>
  <c r="W176" i="24" s="1"/>
  <c r="X77" i="24"/>
  <c r="V152" i="24"/>
  <c r="W152" i="24" s="1"/>
  <c r="X98" i="24"/>
  <c r="V339" i="24"/>
  <c r="W339" i="24" s="1"/>
  <c r="X330" i="24"/>
  <c r="V250" i="24"/>
  <c r="W250" i="24" s="1"/>
  <c r="X182" i="24"/>
  <c r="V70" i="24"/>
  <c r="W70" i="24" s="1"/>
  <c r="X95" i="24"/>
  <c r="V265" i="24"/>
  <c r="W265" i="24" s="1"/>
  <c r="V85" i="24"/>
  <c r="W85" i="24" s="1"/>
  <c r="V61" i="24"/>
  <c r="W61" i="24" s="1"/>
  <c r="V106" i="24"/>
  <c r="W106" i="24" s="1"/>
  <c r="V396" i="24"/>
  <c r="W396" i="24" s="1"/>
  <c r="X316" i="24"/>
  <c r="X307" i="24"/>
  <c r="X236" i="24"/>
  <c r="V154" i="24"/>
  <c r="W154" i="24" s="1"/>
  <c r="V175" i="24"/>
  <c r="W175" i="24" s="1"/>
  <c r="V95" i="24"/>
  <c r="W95" i="24" s="1"/>
  <c r="V108" i="24"/>
  <c r="W108" i="24" s="1"/>
  <c r="X68" i="24"/>
  <c r="X365" i="24"/>
  <c r="V305" i="24"/>
  <c r="W305" i="24" s="1"/>
  <c r="X175" i="24"/>
  <c r="V188" i="24"/>
  <c r="W188" i="24" s="1"/>
  <c r="V84" i="24"/>
  <c r="W84" i="24" s="1"/>
  <c r="X348" i="24"/>
  <c r="X256" i="24"/>
  <c r="V206" i="24"/>
  <c r="W206" i="24" s="1"/>
  <c r="X203" i="24"/>
  <c r="X107" i="24"/>
  <c r="X59" i="24"/>
  <c r="V363" i="24"/>
  <c r="W363" i="24" s="1"/>
  <c r="V359" i="24"/>
  <c r="W359" i="24" s="1"/>
  <c r="V319" i="24"/>
  <c r="W319" i="24" s="1"/>
  <c r="V270" i="24"/>
  <c r="W270" i="24" s="1"/>
  <c r="X231" i="24"/>
  <c r="V165" i="24"/>
  <c r="W165" i="24" s="1"/>
  <c r="X228" i="24"/>
  <c r="X170" i="24"/>
  <c r="X106" i="24"/>
  <c r="V138" i="24"/>
  <c r="W138" i="24" s="1"/>
  <c r="X346" i="24"/>
  <c r="V358" i="24"/>
  <c r="W358" i="24" s="1"/>
  <c r="X293" i="24"/>
  <c r="X245" i="24"/>
  <c r="V196" i="24"/>
  <c r="W196" i="24" s="1"/>
  <c r="X156" i="24"/>
  <c r="V137" i="24"/>
  <c r="W137" i="24" s="1"/>
  <c r="X89" i="24"/>
  <c r="X277" i="24"/>
  <c r="V268" i="24"/>
  <c r="W268" i="24" s="1"/>
  <c r="X179" i="24"/>
  <c r="X129" i="24"/>
  <c r="X41" i="24"/>
  <c r="V249" i="24"/>
  <c r="W249" i="24" s="1"/>
  <c r="X112" i="24"/>
  <c r="V382" i="24"/>
  <c r="W382" i="24" s="1"/>
  <c r="V200" i="24"/>
  <c r="W200" i="24" s="1"/>
  <c r="X122" i="24"/>
  <c r="V388" i="24"/>
  <c r="W388" i="24" s="1"/>
  <c r="V283" i="24"/>
  <c r="W283" i="24" s="1"/>
  <c r="V194" i="24"/>
  <c r="W194" i="24" s="1"/>
  <c r="V199" i="24"/>
  <c r="W199" i="24" s="1"/>
  <c r="X119" i="24"/>
  <c r="X386" i="24"/>
  <c r="V192" i="24"/>
  <c r="W192" i="24" s="1"/>
  <c r="V237" i="24"/>
  <c r="W237" i="24" s="1"/>
  <c r="X53" i="24"/>
  <c r="V391" i="24"/>
  <c r="W391" i="24" s="1"/>
  <c r="V314" i="24"/>
  <c r="W314" i="24" s="1"/>
  <c r="X177" i="24"/>
  <c r="V166" i="24"/>
  <c r="W166" i="24" s="1"/>
  <c r="X54" i="24"/>
  <c r="X39" i="24"/>
  <c r="U32" i="24"/>
  <c r="X300" i="24"/>
  <c r="V291" i="24"/>
  <c r="W291" i="24" s="1"/>
  <c r="V218" i="24"/>
  <c r="W218" i="24" s="1"/>
  <c r="X60" i="24"/>
  <c r="X349" i="24"/>
  <c r="X289" i="24"/>
  <c r="X159" i="24"/>
  <c r="X180" i="24"/>
  <c r="V68" i="24"/>
  <c r="W68" i="24" s="1"/>
  <c r="V327" i="24"/>
  <c r="W327" i="24" s="1"/>
  <c r="X248" i="24"/>
  <c r="X198" i="24"/>
  <c r="X142" i="24"/>
  <c r="V187" i="24"/>
  <c r="W187" i="24" s="1"/>
  <c r="X147" i="24"/>
  <c r="V91" i="24"/>
  <c r="W91" i="24" s="1"/>
  <c r="V139" i="24"/>
  <c r="W139" i="24" s="1"/>
  <c r="V347" i="24"/>
  <c r="W347" i="24" s="1"/>
  <c r="V351" i="24"/>
  <c r="W351" i="24" s="1"/>
  <c r="X311" i="24"/>
  <c r="V263" i="24"/>
  <c r="W263" i="24" s="1"/>
  <c r="X302" i="24"/>
  <c r="X157" i="24"/>
  <c r="X210" i="24"/>
  <c r="X90" i="24"/>
  <c r="X130" i="24"/>
  <c r="V390" i="24"/>
  <c r="W390" i="24" s="1"/>
  <c r="V342" i="24"/>
  <c r="W342" i="24" s="1"/>
  <c r="V277" i="24"/>
  <c r="W277" i="24" s="1"/>
  <c r="X188" i="24"/>
  <c r="X235" i="24"/>
  <c r="V177" i="24"/>
  <c r="W177" i="24" s="1"/>
  <c r="V129" i="24"/>
  <c r="W129" i="24" s="1"/>
  <c r="V393" i="24"/>
  <c r="W393" i="24" s="1"/>
  <c r="V341" i="24"/>
  <c r="W341" i="24" s="1"/>
  <c r="V332" i="24"/>
  <c r="W332" i="24" s="1"/>
  <c r="V245" i="24"/>
  <c r="W245" i="24" s="1"/>
  <c r="X136" i="24"/>
  <c r="V73" i="24"/>
  <c r="W73" i="24" s="1"/>
  <c r="V354" i="24"/>
  <c r="W354" i="24" s="1"/>
  <c r="X208" i="24"/>
  <c r="X70" i="24"/>
  <c r="V285" i="24"/>
  <c r="W285" i="24" s="1"/>
  <c r="V136" i="24"/>
  <c r="W136" i="24" s="1"/>
  <c r="V378" i="24"/>
  <c r="W378" i="24" s="1"/>
  <c r="V239" i="24"/>
  <c r="W239" i="24" s="1"/>
  <c r="V82" i="24"/>
  <c r="W82" i="24" s="1"/>
  <c r="V356" i="24"/>
  <c r="W356" i="24" s="1"/>
  <c r="V276" i="24"/>
  <c r="W276" i="24" s="1"/>
  <c r="X267" i="24"/>
  <c r="X178" i="24"/>
  <c r="X183" i="24"/>
  <c r="X120" i="24"/>
  <c r="X64" i="24"/>
  <c r="V290" i="24"/>
  <c r="W290" i="24" s="1"/>
  <c r="X144" i="24"/>
  <c r="V203" i="24"/>
  <c r="W203" i="24" s="1"/>
  <c r="X266" i="24"/>
  <c r="X141" i="24"/>
  <c r="X359" i="24"/>
  <c r="V307" i="24"/>
  <c r="W307" i="24" s="1"/>
  <c r="V298" i="24"/>
  <c r="W298" i="24" s="1"/>
  <c r="V145" i="24"/>
  <c r="W145" i="24" s="1"/>
  <c r="V119" i="24"/>
  <c r="W119" i="24" s="1"/>
  <c r="X342" i="24"/>
  <c r="X176" i="24"/>
  <c r="X187" i="24"/>
  <c r="X184" i="24"/>
  <c r="V275" i="24"/>
  <c r="W275" i="24" s="1"/>
  <c r="V202" i="24"/>
  <c r="W202" i="24" s="1"/>
  <c r="X225" i="24"/>
  <c r="X63" i="24"/>
  <c r="V92" i="24"/>
  <c r="W92" i="24" s="1"/>
  <c r="X299" i="24"/>
  <c r="V174" i="24"/>
  <c r="W174" i="24" s="1"/>
  <c r="V78" i="24"/>
  <c r="W78" i="24" s="1"/>
  <c r="V59" i="24"/>
  <c r="W59" i="24" s="1"/>
  <c r="V394" i="24"/>
  <c r="W394" i="24" s="1"/>
  <c r="X257" i="24"/>
  <c r="X61" i="24"/>
  <c r="X336" i="24"/>
  <c r="X230" i="24"/>
  <c r="V132" i="24"/>
  <c r="W132" i="24" s="1"/>
  <c r="V232" i="24"/>
  <c r="W232" i="24" s="1"/>
  <c r="V229" i="24"/>
  <c r="W229" i="24" s="1"/>
  <c r="X131" i="24"/>
  <c r="V343" i="24"/>
  <c r="W343" i="24" s="1"/>
  <c r="V334" i="24"/>
  <c r="W334" i="24" s="1"/>
  <c r="X246" i="24"/>
  <c r="X146" i="24"/>
  <c r="X378" i="24"/>
  <c r="X334" i="24"/>
  <c r="V217" i="24"/>
  <c r="W217" i="24" s="1"/>
  <c r="X121" i="24"/>
  <c r="V361" i="24"/>
  <c r="W361" i="24" s="1"/>
  <c r="X216" i="24"/>
  <c r="V258" i="24"/>
  <c r="W258" i="24" s="1"/>
  <c r="V385" i="24"/>
  <c r="W385" i="24" s="1"/>
  <c r="X242" i="24"/>
  <c r="V330" i="24"/>
  <c r="W330" i="24" s="1"/>
  <c r="X392" i="24"/>
  <c r="X260" i="24"/>
  <c r="V146" i="24"/>
  <c r="W146" i="24" s="1"/>
  <c r="X48" i="24"/>
  <c r="X301" i="24"/>
  <c r="V125" i="24"/>
  <c r="W125" i="24" s="1"/>
  <c r="X291" i="24"/>
  <c r="V209" i="24"/>
  <c r="W209" i="24" s="1"/>
  <c r="X118" i="24"/>
  <c r="V63" i="24"/>
  <c r="W63" i="24" s="1"/>
  <c r="V64" i="24"/>
  <c r="W64" i="24" s="1"/>
  <c r="V384" i="24"/>
  <c r="W384" i="24" s="1"/>
  <c r="X339" i="24"/>
  <c r="X186" i="24"/>
  <c r="V127" i="24"/>
  <c r="W127" i="24" s="1"/>
  <c r="X84" i="24"/>
  <c r="X395" i="24"/>
  <c r="X290" i="24"/>
  <c r="X201" i="24"/>
  <c r="V224" i="24"/>
  <c r="W224" i="24" s="1"/>
  <c r="V366" i="24"/>
  <c r="W366" i="24" s="1"/>
  <c r="V234" i="24"/>
  <c r="W234" i="24" s="1"/>
  <c r="V90" i="24"/>
  <c r="W90" i="24" s="1"/>
  <c r="X320" i="24"/>
  <c r="V222" i="24"/>
  <c r="W222" i="24" s="1"/>
  <c r="V288" i="24"/>
  <c r="W288" i="24" s="1"/>
  <c r="X221" i="24"/>
  <c r="X123" i="24"/>
  <c r="V395" i="24"/>
  <c r="W395" i="24" s="1"/>
  <c r="V247" i="24"/>
  <c r="W247" i="24" s="1"/>
  <c r="V244" i="24"/>
  <c r="W244" i="24" s="1"/>
  <c r="V130" i="24"/>
  <c r="W130" i="24" s="1"/>
  <c r="V370" i="24"/>
  <c r="W370" i="24" s="1"/>
  <c r="V326" i="24"/>
  <c r="W326" i="24" s="1"/>
  <c r="X317" i="24"/>
  <c r="X222" i="24"/>
  <c r="X113" i="24"/>
  <c r="V389" i="24"/>
  <c r="W389" i="24" s="1"/>
  <c r="V300" i="24"/>
  <c r="W300" i="24" s="1"/>
  <c r="X200" i="24"/>
  <c r="X105" i="24"/>
  <c r="V353" i="24"/>
  <c r="W353" i="24" s="1"/>
  <c r="V208" i="24"/>
  <c r="W208" i="24" s="1"/>
  <c r="X298" i="24"/>
  <c r="V376" i="24"/>
  <c r="W376" i="24" s="1"/>
  <c r="X331" i="24"/>
  <c r="V55" i="24"/>
  <c r="W55" i="24" s="1"/>
  <c r="V40" i="24"/>
  <c r="W40" i="24" s="1"/>
  <c r="X149" i="24"/>
  <c r="X292" i="24"/>
  <c r="V133" i="24"/>
  <c r="W133" i="24" s="1"/>
  <c r="X275" i="24"/>
  <c r="V102" i="24"/>
  <c r="W102" i="24" s="1"/>
  <c r="X117" i="24"/>
  <c r="V368" i="24"/>
  <c r="W368" i="24" s="1"/>
  <c r="V323" i="24"/>
  <c r="W323" i="24" s="1"/>
  <c r="V170" i="24"/>
  <c r="W170" i="24" s="1"/>
  <c r="V76" i="24"/>
  <c r="W76" i="24" s="1"/>
  <c r="V379" i="24"/>
  <c r="W379" i="24" s="1"/>
  <c r="X283" i="24"/>
  <c r="V274" i="24"/>
  <c r="W274" i="24" s="1"/>
  <c r="V185" i="24"/>
  <c r="W185" i="24" s="1"/>
  <c r="V126" i="24"/>
  <c r="W126" i="24" s="1"/>
  <c r="X115" i="24"/>
  <c r="X67" i="24"/>
  <c r="V357" i="24"/>
  <c r="W357" i="24" s="1"/>
  <c r="V256" i="24"/>
  <c r="W256" i="24" s="1"/>
  <c r="V400" i="24"/>
  <c r="W400" i="24" s="1"/>
  <c r="X335" i="24"/>
  <c r="X195" i="24"/>
  <c r="V99" i="24"/>
  <c r="W99" i="24" s="1"/>
  <c r="V355" i="24"/>
  <c r="W355" i="24" s="1"/>
  <c r="X310" i="24"/>
  <c r="V213" i="24"/>
  <c r="W213" i="24" s="1"/>
  <c r="X218" i="24"/>
  <c r="V98" i="24"/>
  <c r="W98" i="24" s="1"/>
  <c r="V398" i="24"/>
  <c r="W398" i="24" s="1"/>
  <c r="V302" i="24"/>
  <c r="W302" i="24" s="1"/>
  <c r="X285" i="24"/>
  <c r="X185" i="24"/>
  <c r="V81" i="24"/>
  <c r="W81" i="24" s="1"/>
  <c r="X357" i="24"/>
  <c r="X152" i="24"/>
  <c r="X81" i="24"/>
  <c r="V80" i="24"/>
  <c r="W80" i="24" s="1"/>
  <c r="X128" i="24"/>
  <c r="V118" i="24"/>
  <c r="W118" i="24" s="1"/>
  <c r="V346" i="24"/>
  <c r="W346" i="24" s="1"/>
  <c r="V375" i="24"/>
  <c r="W375" i="24" s="1"/>
  <c r="X161" i="24"/>
  <c r="X127" i="24"/>
  <c r="X390" i="24"/>
  <c r="V141" i="24"/>
  <c r="W141" i="24" s="1"/>
  <c r="V337" i="24"/>
  <c r="W337" i="24" s="1"/>
  <c r="V380" i="24"/>
  <c r="W380" i="24" s="1"/>
  <c r="X241" i="24"/>
  <c r="X79" i="24"/>
  <c r="V52" i="24"/>
  <c r="W52" i="24" s="1"/>
  <c r="X363" i="24"/>
  <c r="V267" i="24"/>
  <c r="W267" i="24" s="1"/>
  <c r="X206" i="24"/>
  <c r="X110" i="24"/>
  <c r="V107" i="24"/>
  <c r="W107" i="24" s="1"/>
  <c r="X362" i="24"/>
  <c r="X168" i="24"/>
  <c r="V66" i="24"/>
  <c r="W66" i="24" s="1"/>
  <c r="X361" i="24"/>
  <c r="V225" i="24"/>
  <c r="W225" i="24" s="1"/>
  <c r="X360" i="24"/>
  <c r="X295" i="24"/>
  <c r="V182" i="24"/>
  <c r="W182" i="24" s="1"/>
  <c r="X83" i="24"/>
  <c r="V286" i="24"/>
  <c r="W286" i="24" s="1"/>
  <c r="X197" i="24"/>
  <c r="X194" i="24"/>
  <c r="X66" i="24"/>
  <c r="X382" i="24"/>
  <c r="X286" i="24"/>
  <c r="V269" i="24"/>
  <c r="W269" i="24" s="1"/>
  <c r="V172" i="24"/>
  <c r="W172" i="24" s="1"/>
  <c r="X169" i="24"/>
  <c r="X65" i="24"/>
  <c r="V309" i="24"/>
  <c r="W309" i="24" s="1"/>
  <c r="X229" i="24"/>
  <c r="X104" i="24"/>
  <c r="V65" i="24"/>
  <c r="W65" i="24" s="1"/>
  <c r="X165" i="24"/>
  <c r="V340" i="24"/>
  <c r="W340" i="24" s="1"/>
  <c r="V109" i="24"/>
  <c r="W109" i="24" s="1"/>
  <c r="X340" i="24"/>
  <c r="X244" i="24"/>
  <c r="V104" i="24"/>
  <c r="W104" i="24" s="1"/>
  <c r="X329" i="24"/>
  <c r="X78" i="24"/>
  <c r="X387" i="24"/>
  <c r="V282" i="24"/>
  <c r="W282" i="24" s="1"/>
  <c r="X214" i="24"/>
  <c r="V111" i="24"/>
  <c r="W111" i="24" s="1"/>
  <c r="X322" i="24"/>
  <c r="V86" i="24"/>
  <c r="W86" i="24" s="1"/>
  <c r="V348" i="24"/>
  <c r="W348" i="24" s="1"/>
  <c r="X259" i="24"/>
  <c r="X135" i="24"/>
  <c r="X399" i="24"/>
  <c r="X347" i="24"/>
  <c r="X338" i="24"/>
  <c r="V251" i="24"/>
  <c r="W251" i="24" s="1"/>
  <c r="X62" i="24"/>
  <c r="X91" i="24"/>
  <c r="X282" i="24"/>
  <c r="X42" i="24"/>
  <c r="X76" i="24"/>
  <c r="X247" i="24"/>
  <c r="X155" i="24"/>
  <c r="V162" i="24"/>
  <c r="W162" i="24" s="1"/>
  <c r="X350" i="24"/>
  <c r="V246" i="24"/>
  <c r="W246" i="24" s="1"/>
  <c r="X261" i="24"/>
  <c r="V121" i="24"/>
  <c r="W121" i="24" s="1"/>
  <c r="X126" i="24"/>
  <c r="V350" i="24"/>
  <c r="W350" i="24" s="1"/>
  <c r="V103" i="24"/>
  <c r="W103" i="24" s="1"/>
  <c r="V144" i="24"/>
  <c r="W144" i="24" s="1"/>
  <c r="X323" i="24"/>
  <c r="X226" i="24"/>
  <c r="V74" i="24"/>
  <c r="W74" i="24" s="1"/>
  <c r="X100" i="24"/>
  <c r="V235" i="24"/>
  <c r="W235" i="24" s="1"/>
  <c r="X158" i="24"/>
  <c r="V289" i="24"/>
  <c r="W289" i="24" s="1"/>
  <c r="V287" i="24"/>
  <c r="W287" i="24" s="1"/>
  <c r="V131" i="24"/>
  <c r="W131" i="24" s="1"/>
  <c r="V303" i="24"/>
  <c r="W303" i="24" s="1"/>
  <c r="X189" i="24"/>
  <c r="V325" i="24"/>
  <c r="W325" i="24" s="1"/>
  <c r="V113" i="24"/>
  <c r="W113" i="24" s="1"/>
  <c r="X125" i="24"/>
  <c r="X56" i="24"/>
  <c r="V371" i="24"/>
  <c r="W371" i="24" s="1"/>
  <c r="V134" i="24"/>
  <c r="W134" i="24" s="1"/>
  <c r="V110" i="24"/>
  <c r="W110" i="24" s="1"/>
  <c r="V159" i="24"/>
  <c r="W159" i="24" s="1"/>
  <c r="X351" i="24"/>
  <c r="X258" i="24"/>
  <c r="V75" i="24"/>
  <c r="W75" i="24" s="1"/>
  <c r="V223" i="24"/>
  <c r="W223" i="24" s="1"/>
  <c r="V257" i="24"/>
  <c r="W257" i="24" s="1"/>
  <c r="V352" i="24"/>
  <c r="W352" i="24" s="1"/>
  <c r="X237" i="24"/>
  <c r="X391" i="24"/>
  <c r="X205" i="24"/>
  <c r="V386" i="24"/>
  <c r="W386" i="24" s="1"/>
  <c r="V261" i="24"/>
  <c r="W261" i="24" s="1"/>
  <c r="X73" i="24"/>
  <c r="V147" i="24"/>
  <c r="W147" i="24" s="1"/>
  <c r="X213" i="24"/>
  <c r="V228" i="24"/>
  <c r="W228" i="24" s="1"/>
  <c r="V48" i="24"/>
  <c r="W48" i="24" s="1"/>
  <c r="V266" i="24"/>
  <c r="W266" i="24" s="1"/>
  <c r="X71" i="24"/>
  <c r="V45" i="24"/>
  <c r="W45" i="24" s="1"/>
  <c r="V207" i="24"/>
  <c r="W207" i="24" s="1"/>
  <c r="V367" i="24"/>
  <c r="W367" i="24" s="1"/>
  <c r="V94" i="24"/>
  <c r="W94" i="24" s="1"/>
  <c r="V241" i="24"/>
  <c r="W241" i="24" s="1"/>
  <c r="V320" i="24"/>
  <c r="W320" i="24" s="1"/>
  <c r="X238" i="24"/>
  <c r="V57" i="24"/>
  <c r="W57" i="24" s="1"/>
  <c r="X234" i="24"/>
  <c r="V117" i="24"/>
  <c r="W117" i="24" s="1"/>
  <c r="X162" i="24"/>
  <c r="V281" i="24"/>
  <c r="W281" i="24" s="1"/>
  <c r="V273" i="24"/>
  <c r="W273" i="24" s="1"/>
  <c r="V243" i="24"/>
  <c r="W243" i="24" s="1"/>
  <c r="X370" i="24"/>
  <c r="X400" i="24"/>
  <c r="V191" i="24"/>
  <c r="W191" i="24" s="1"/>
  <c r="X217" i="24"/>
  <c r="V46" i="24"/>
  <c r="W46" i="24" s="1"/>
  <c r="X398" i="24"/>
  <c r="V171" i="24"/>
  <c r="W171" i="24" s="1"/>
  <c r="V149" i="24"/>
  <c r="W149" i="24" s="1"/>
  <c r="V374" i="24"/>
  <c r="W374" i="24" s="1"/>
  <c r="X137" i="24"/>
  <c r="V120" i="24"/>
  <c r="W120" i="24" s="1"/>
  <c r="X46" i="24"/>
  <c r="V167" i="24"/>
  <c r="W167" i="24" s="1"/>
  <c r="V197" i="24"/>
  <c r="W197" i="24" s="1"/>
  <c r="V216" i="24"/>
  <c r="W216" i="24" s="1"/>
  <c r="V227" i="24"/>
  <c r="W227" i="24" s="1"/>
  <c r="X274" i="24"/>
  <c r="X364" i="24"/>
  <c r="X143" i="24"/>
  <c r="V331" i="24"/>
  <c r="W331" i="24" s="1"/>
  <c r="V169" i="24"/>
  <c r="W169" i="24" s="1"/>
  <c r="X134" i="24"/>
  <c r="X314" i="24"/>
  <c r="X167" i="24"/>
  <c r="X271" i="24"/>
  <c r="X202" i="24"/>
  <c r="V377" i="24"/>
  <c r="W377" i="24" s="1"/>
  <c r="X88" i="24"/>
  <c r="X50" i="24"/>
  <c r="X94" i="24"/>
  <c r="X232" i="24"/>
  <c r="V231" i="24"/>
  <c r="W231" i="24" s="1"/>
  <c r="V284" i="24"/>
  <c r="W284" i="24" s="1"/>
  <c r="X47" i="24"/>
  <c r="V315" i="24"/>
  <c r="W315" i="24" s="1"/>
  <c r="V153" i="24"/>
  <c r="W153" i="24" s="1"/>
  <c r="V123" i="24"/>
  <c r="W123" i="24" s="1"/>
  <c r="X321" i="24"/>
  <c r="X190" i="24"/>
  <c r="X278" i="24"/>
  <c r="V316" i="24"/>
  <c r="W316" i="24" s="1"/>
  <c r="X171" i="24"/>
  <c r="X343" i="24"/>
  <c r="X324" i="24"/>
  <c r="X173" i="24"/>
  <c r="V369" i="24"/>
  <c r="W369" i="24" s="1"/>
  <c r="V333" i="24"/>
  <c r="W333" i="24" s="1"/>
  <c r="V128" i="24"/>
  <c r="W128" i="24" s="1"/>
  <c r="X44" i="24"/>
  <c r="V190" i="24"/>
  <c r="W190" i="24" s="1"/>
  <c r="X109" i="24"/>
  <c r="X353" i="24"/>
  <c r="X150" i="24"/>
  <c r="X254" i="24"/>
  <c r="X211" i="24"/>
  <c r="X80" i="24"/>
  <c r="V157" i="24"/>
  <c r="W157" i="24" s="1"/>
  <c r="V383" i="24"/>
  <c r="W383" i="24" s="1"/>
  <c r="V142" i="24"/>
  <c r="W142" i="24" s="1"/>
  <c r="X114" i="24"/>
  <c r="V238" i="24"/>
  <c r="W238" i="24" s="1"/>
  <c r="X75" i="24"/>
  <c r="V186" i="24"/>
  <c r="W186" i="24" s="1"/>
  <c r="X148" i="24"/>
  <c r="V54" i="24"/>
  <c r="W54" i="24" s="1"/>
  <c r="V198" i="24"/>
  <c r="W198" i="24" s="1"/>
  <c r="X268" i="24"/>
  <c r="X99" i="24"/>
  <c r="X140" i="24"/>
  <c r="X43" i="24"/>
  <c r="X154" i="24"/>
  <c r="X227" i="24"/>
  <c r="X57" i="24"/>
  <c r="V324" i="24"/>
  <c r="W324" i="24" s="1"/>
  <c r="V365" i="24"/>
  <c r="W365" i="24" s="1"/>
  <c r="V322" i="24"/>
  <c r="W322" i="24" s="1"/>
  <c r="V83" i="24"/>
  <c r="W83" i="24" s="1"/>
  <c r="V140" i="24"/>
  <c r="W140" i="24" s="1"/>
  <c r="X294" i="24"/>
  <c r="X251" i="24"/>
  <c r="V43" i="24"/>
  <c r="W43" i="24" s="1"/>
  <c r="X376" i="24"/>
  <c r="V161" i="24"/>
  <c r="W161" i="24" s="1"/>
  <c r="X87" i="24"/>
  <c r="V252" i="24"/>
  <c r="W252" i="24" s="1"/>
  <c r="V226" i="24"/>
  <c r="W226" i="24" s="1"/>
  <c r="X82" i="24"/>
  <c r="V221" i="24"/>
  <c r="W221" i="24" s="1"/>
  <c r="V79" i="24"/>
  <c r="W79" i="24" s="1"/>
  <c r="V240" i="24"/>
  <c r="W240" i="24" s="1"/>
  <c r="V51" i="24"/>
  <c r="W51" i="24" s="1"/>
  <c r="X240" i="24"/>
  <c r="X333" i="24"/>
  <c r="X124" i="24"/>
  <c r="V58" i="24"/>
  <c r="W58" i="24" s="1"/>
  <c r="V399" i="24"/>
  <c r="W399" i="24" s="1"/>
  <c r="X358" i="24"/>
  <c r="V93" i="24"/>
  <c r="W93" i="24" s="1"/>
  <c r="V306" i="24"/>
  <c r="W306" i="24" s="1"/>
  <c r="Y237" i="14"/>
  <c r="W364" i="14"/>
  <c r="X364" i="14" s="1"/>
  <c r="Y356" i="14"/>
  <c r="Y308" i="14"/>
  <c r="Y260" i="14"/>
  <c r="Y379" i="14"/>
  <c r="Y339" i="14"/>
  <c r="Y371" i="14"/>
  <c r="Y397" i="14"/>
  <c r="Y309" i="14"/>
  <c r="Y261" i="14"/>
  <c r="Y364" i="14"/>
  <c r="Y300" i="14"/>
  <c r="W373" i="14"/>
  <c r="X373" i="14" s="1"/>
  <c r="W325" i="14"/>
  <c r="X325" i="14" s="1"/>
  <c r="W380" i="14"/>
  <c r="X380" i="14" s="1"/>
  <c r="W332" i="14"/>
  <c r="X332" i="14" s="1"/>
  <c r="Y284" i="14"/>
  <c r="Y395" i="14"/>
  <c r="Y363" i="14"/>
  <c r="W323" i="14"/>
  <c r="X323" i="14" s="1"/>
  <c r="Y283" i="14"/>
  <c r="Y370" i="14"/>
  <c r="Y330" i="14"/>
  <c r="W368" i="14"/>
  <c r="X368" i="14" s="1"/>
  <c r="Y328" i="14"/>
  <c r="W240" i="14"/>
  <c r="X240" i="14" s="1"/>
  <c r="Y367" i="14"/>
  <c r="Y327" i="14"/>
  <c r="W305" i="14"/>
  <c r="X305" i="14" s="1"/>
  <c r="W265" i="14"/>
  <c r="X265" i="14" s="1"/>
  <c r="W233" i="14"/>
  <c r="X233" i="14" s="1"/>
  <c r="W167" i="14"/>
  <c r="X167" i="14" s="1"/>
  <c r="Y103" i="14"/>
  <c r="W39" i="14"/>
  <c r="X39" i="14" s="1"/>
  <c r="Y129" i="14"/>
  <c r="W73" i="14"/>
  <c r="X73" i="14" s="1"/>
  <c r="Y386" i="14"/>
  <c r="Y157" i="14"/>
  <c r="W71" i="14"/>
  <c r="X71" i="14" s="1"/>
  <c r="W360" i="14"/>
  <c r="X360" i="14" s="1"/>
  <c r="W222" i="14"/>
  <c r="X222" i="14" s="1"/>
  <c r="W232" i="14"/>
  <c r="X232" i="14" s="1"/>
  <c r="Y102" i="14"/>
  <c r="W271" i="14"/>
  <c r="X271" i="14" s="1"/>
  <c r="Y277" i="14"/>
  <c r="W123" i="14"/>
  <c r="X123" i="14" s="1"/>
  <c r="W157" i="14"/>
  <c r="X157" i="14" s="1"/>
  <c r="Y362" i="14"/>
  <c r="Y291" i="14"/>
  <c r="W97" i="14"/>
  <c r="X97" i="14" s="1"/>
  <c r="Y67" i="14"/>
  <c r="Y298" i="14"/>
  <c r="W128" i="14"/>
  <c r="X128" i="14" s="1"/>
  <c r="Y130" i="14"/>
  <c r="W358" i="14"/>
  <c r="X358" i="14" s="1"/>
  <c r="Y278" i="14"/>
  <c r="W349" i="14"/>
  <c r="X349" i="14" s="1"/>
  <c r="W256" i="14"/>
  <c r="X256" i="14" s="1"/>
  <c r="W198" i="14"/>
  <c r="X198" i="14" s="1"/>
  <c r="W134" i="14"/>
  <c r="X134" i="14" s="1"/>
  <c r="W70" i="14"/>
  <c r="X70" i="14" s="1"/>
  <c r="Y208" i="14"/>
  <c r="W168" i="14"/>
  <c r="X168" i="14" s="1"/>
  <c r="Y128" i="14"/>
  <c r="Y48" i="14"/>
  <c r="W361" i="14"/>
  <c r="X361" i="14" s="1"/>
  <c r="Y223" i="14"/>
  <c r="Y215" i="14"/>
  <c r="Y392" i="14"/>
  <c r="Y204" i="14"/>
  <c r="W190" i="14"/>
  <c r="X190" i="14" s="1"/>
  <c r="W46" i="14"/>
  <c r="X46" i="14" s="1"/>
  <c r="W203" i="14"/>
  <c r="X203" i="14" s="1"/>
  <c r="Y101" i="14"/>
  <c r="W209" i="14"/>
  <c r="X209" i="14" s="1"/>
  <c r="W59" i="14"/>
  <c r="X59" i="14" s="1"/>
  <c r="Y120" i="14"/>
  <c r="Y90" i="14"/>
  <c r="W311" i="14"/>
  <c r="X311" i="14" s="1"/>
  <c r="W149" i="14"/>
  <c r="X149" i="14" s="1"/>
  <c r="W353" i="14"/>
  <c r="X353" i="14" s="1"/>
  <c r="Y302" i="14"/>
  <c r="W140" i="14"/>
  <c r="X140" i="14" s="1"/>
  <c r="Y174" i="14"/>
  <c r="A22" i="14"/>
  <c r="Y293" i="14"/>
  <c r="Y139" i="14"/>
  <c r="W201" i="14"/>
  <c r="X201" i="14" s="1"/>
  <c r="W75" i="14"/>
  <c r="X75" i="14" s="1"/>
  <c r="Y306" i="14"/>
  <c r="W72" i="14"/>
  <c r="X72" i="14" s="1"/>
  <c r="Y42" i="14"/>
  <c r="Y325" i="14"/>
  <c r="W284" i="14"/>
  <c r="X284" i="14" s="1"/>
  <c r="Y244" i="14"/>
  <c r="W186" i="14"/>
  <c r="X186" i="14" s="1"/>
  <c r="W122" i="14"/>
  <c r="X122" i="14" s="1"/>
  <c r="Y58" i="14"/>
  <c r="W204" i="14"/>
  <c r="X204" i="14" s="1"/>
  <c r="W156" i="14"/>
  <c r="X156" i="14" s="1"/>
  <c r="W116" i="14"/>
  <c r="X116" i="14" s="1"/>
  <c r="Y44" i="14"/>
  <c r="Y221" i="14"/>
  <c r="Y265" i="14"/>
  <c r="W112" i="14"/>
  <c r="X112" i="14" s="1"/>
  <c r="W317" i="14"/>
  <c r="X317" i="14" s="1"/>
  <c r="Y269" i="14"/>
  <c r="W372" i="14"/>
  <c r="X372" i="14" s="1"/>
  <c r="Y324" i="14"/>
  <c r="Y340" i="14"/>
  <c r="W276" i="14"/>
  <c r="X276" i="14" s="1"/>
  <c r="Y387" i="14"/>
  <c r="Y331" i="14"/>
  <c r="W355" i="14"/>
  <c r="X355" i="14" s="1"/>
  <c r="Y275" i="14"/>
  <c r="W235" i="14"/>
  <c r="X235" i="14" s="1"/>
  <c r="W362" i="14"/>
  <c r="X362" i="14" s="1"/>
  <c r="W400" i="14"/>
  <c r="X400" i="14" s="1"/>
  <c r="W320" i="14"/>
  <c r="X320" i="14" s="1"/>
  <c r="W272" i="14"/>
  <c r="X272" i="14" s="1"/>
  <c r="Y359" i="14"/>
  <c r="Y391" i="14"/>
  <c r="Y311" i="14"/>
  <c r="W366" i="14"/>
  <c r="X366" i="14" s="1"/>
  <c r="Y225" i="14"/>
  <c r="W159" i="14"/>
  <c r="X159" i="14" s="1"/>
  <c r="Y95" i="14"/>
  <c r="Y227" i="14"/>
  <c r="Y177" i="14"/>
  <c r="Y121" i="14"/>
  <c r="W338" i="14"/>
  <c r="X338" i="14" s="1"/>
  <c r="Y271" i="14"/>
  <c r="W133" i="14"/>
  <c r="X133" i="14" s="1"/>
  <c r="Y183" i="14"/>
  <c r="W196" i="14"/>
  <c r="X196" i="14" s="1"/>
  <c r="W78" i="14"/>
  <c r="X78" i="14" s="1"/>
  <c r="W261" i="14"/>
  <c r="X261" i="14" s="1"/>
  <c r="Y107" i="14"/>
  <c r="W298" i="14"/>
  <c r="X298" i="14" s="1"/>
  <c r="Y267" i="14"/>
  <c r="W65" i="14"/>
  <c r="X65" i="14" s="1"/>
  <c r="Y43" i="14"/>
  <c r="W266" i="14"/>
  <c r="X266" i="14" s="1"/>
  <c r="Y96" i="14"/>
  <c r="Y98" i="14"/>
  <c r="W262" i="14"/>
  <c r="X262" i="14" s="1"/>
  <c r="W296" i="14"/>
  <c r="X296" i="14" s="1"/>
  <c r="Y190" i="14"/>
  <c r="W126" i="14"/>
  <c r="X126" i="14" s="1"/>
  <c r="W62" i="14"/>
  <c r="X62" i="14" s="1"/>
  <c r="Y200" i="14"/>
  <c r="W88" i="14"/>
  <c r="X88" i="14" s="1"/>
  <c r="W40" i="14"/>
  <c r="X40" i="14" s="1"/>
  <c r="W197" i="14"/>
  <c r="X197" i="14" s="1"/>
  <c r="W191" i="14"/>
  <c r="X191" i="14" s="1"/>
  <c r="Y79" i="14"/>
  <c r="Y344" i="14"/>
  <c r="Y180" i="14"/>
  <c r="Y342" i="14"/>
  <c r="W179" i="14"/>
  <c r="X179" i="14" s="1"/>
  <c r="Y197" i="14"/>
  <c r="Y77" i="14"/>
  <c r="W337" i="14"/>
  <c r="X337" i="14" s="1"/>
  <c r="Y185" i="14"/>
  <c r="W171" i="14"/>
  <c r="X171" i="14" s="1"/>
  <c r="W290" i="14"/>
  <c r="X290" i="14" s="1"/>
  <c r="Y88" i="14"/>
  <c r="W58" i="14"/>
  <c r="X58" i="14" s="1"/>
  <c r="Y125" i="14"/>
  <c r="W151" i="14"/>
  <c r="X151" i="14" s="1"/>
  <c r="W286" i="14"/>
  <c r="X286" i="14" s="1"/>
  <c r="Y116" i="14"/>
  <c r="Y150" i="14"/>
  <c r="W367" i="14"/>
  <c r="X367" i="14" s="1"/>
  <c r="W269" i="14"/>
  <c r="X269" i="14" s="1"/>
  <c r="Y115" i="14"/>
  <c r="W165" i="14"/>
  <c r="X165" i="14" s="1"/>
  <c r="Y45" i="14"/>
  <c r="Y353" i="14"/>
  <c r="W177" i="14"/>
  <c r="X177" i="14" s="1"/>
  <c r="Y187" i="14"/>
  <c r="W274" i="14"/>
  <c r="X274" i="14" s="1"/>
  <c r="Y40" i="14"/>
  <c r="W398" i="14"/>
  <c r="X398" i="14" s="1"/>
  <c r="W318" i="14"/>
  <c r="X318" i="14" s="1"/>
  <c r="W238" i="14"/>
  <c r="X238" i="14" s="1"/>
  <c r="W316" i="14"/>
  <c r="X316" i="14" s="1"/>
  <c r="W236" i="14"/>
  <c r="X236" i="14" s="1"/>
  <c r="W178" i="14"/>
  <c r="X178" i="14" s="1"/>
  <c r="Y114" i="14"/>
  <c r="W50" i="14"/>
  <c r="X50" i="14" s="1"/>
  <c r="Y76" i="14"/>
  <c r="W314" i="14"/>
  <c r="X314" i="14" s="1"/>
  <c r="Y155" i="14"/>
  <c r="Y368" i="14"/>
  <c r="W80" i="14"/>
  <c r="X80" i="14" s="1"/>
  <c r="W114" i="14"/>
  <c r="X114" i="14" s="1"/>
  <c r="W365" i="14"/>
  <c r="X365" i="14" s="1"/>
  <c r="Y253" i="14"/>
  <c r="W396" i="14"/>
  <c r="X396" i="14" s="1"/>
  <c r="Y332" i="14"/>
  <c r="W371" i="14"/>
  <c r="X371" i="14" s="1"/>
  <c r="W395" i="14"/>
  <c r="X395" i="14" s="1"/>
  <c r="Y315" i="14"/>
  <c r="W267" i="14"/>
  <c r="X267" i="14" s="1"/>
  <c r="Y360" i="14"/>
  <c r="W399" i="14"/>
  <c r="X399" i="14" s="1"/>
  <c r="W351" i="14"/>
  <c r="X351" i="14" s="1"/>
  <c r="W375" i="14"/>
  <c r="X375" i="14" s="1"/>
  <c r="Y295" i="14"/>
  <c r="Y297" i="14"/>
  <c r="W257" i="14"/>
  <c r="X257" i="14" s="1"/>
  <c r="W215" i="14"/>
  <c r="X215" i="14" s="1"/>
  <c r="Y151" i="14"/>
  <c r="Y87" i="14"/>
  <c r="Y217" i="14"/>
  <c r="Y169" i="14"/>
  <c r="Y113" i="14"/>
  <c r="Y65" i="14"/>
  <c r="W247" i="14"/>
  <c r="X247" i="14" s="1"/>
  <c r="W109" i="14"/>
  <c r="X109" i="14" s="1"/>
  <c r="Y55" i="14"/>
  <c r="Y318" i="14"/>
  <c r="W172" i="14"/>
  <c r="X172" i="14" s="1"/>
  <c r="W206" i="14"/>
  <c r="X206" i="14" s="1"/>
  <c r="Y390" i="14"/>
  <c r="Y83" i="14"/>
  <c r="Y133" i="14"/>
  <c r="Y243" i="14"/>
  <c r="Y41" i="14"/>
  <c r="Y361" i="14"/>
  <c r="W64" i="14"/>
  <c r="X64" i="14" s="1"/>
  <c r="W66" i="14"/>
  <c r="X66" i="14" s="1"/>
  <c r="W342" i="14"/>
  <c r="X342" i="14" s="1"/>
  <c r="W333" i="14"/>
  <c r="X333" i="14" s="1"/>
  <c r="Y248" i="14"/>
  <c r="W182" i="14"/>
  <c r="X182" i="14" s="1"/>
  <c r="Y118" i="14"/>
  <c r="W54" i="14"/>
  <c r="X54" i="14" s="1"/>
  <c r="W192" i="14"/>
  <c r="X192" i="14" s="1"/>
  <c r="Y160" i="14"/>
  <c r="W120" i="14"/>
  <c r="X120" i="14" s="1"/>
  <c r="Y319" i="14"/>
  <c r="Y165" i="14"/>
  <c r="Y47" i="14"/>
  <c r="W310" i="14"/>
  <c r="X310" i="14" s="1"/>
  <c r="Y156" i="14"/>
  <c r="Y166" i="14"/>
  <c r="W383" i="14"/>
  <c r="X383" i="14" s="1"/>
  <c r="W309" i="14"/>
  <c r="X309" i="14" s="1"/>
  <c r="W155" i="14"/>
  <c r="X155" i="14" s="1"/>
  <c r="Y53" i="14"/>
  <c r="W145" i="14"/>
  <c r="X145" i="14" s="1"/>
  <c r="W345" i="14"/>
  <c r="X345" i="14" s="1"/>
  <c r="Y56" i="14"/>
  <c r="Y287" i="14"/>
  <c r="W101" i="14"/>
  <c r="X101" i="14" s="1"/>
  <c r="Y305" i="14"/>
  <c r="Y92" i="14"/>
  <c r="W91" i="14"/>
  <c r="X91" i="14" s="1"/>
  <c r="W394" i="14"/>
  <c r="X394" i="14" s="1"/>
  <c r="Y307" i="14"/>
  <c r="W161" i="14"/>
  <c r="X161" i="14" s="1"/>
  <c r="Y51" i="14"/>
  <c r="W202" i="14"/>
  <c r="X202" i="14" s="1"/>
  <c r="Y276" i="14"/>
  <c r="W170" i="14"/>
  <c r="X170" i="14" s="1"/>
  <c r="W106" i="14"/>
  <c r="X106" i="14" s="1"/>
  <c r="W42" i="14"/>
  <c r="X42" i="14" s="1"/>
  <c r="Y196" i="14"/>
  <c r="W148" i="14"/>
  <c r="X148" i="14" s="1"/>
  <c r="W108" i="14"/>
  <c r="X108" i="14" s="1"/>
  <c r="W83" i="14"/>
  <c r="X83" i="14" s="1"/>
  <c r="Y314" i="14"/>
  <c r="W48" i="14"/>
  <c r="X48" i="14" s="1"/>
  <c r="W357" i="14"/>
  <c r="X357" i="14" s="1"/>
  <c r="Y301" i="14"/>
  <c r="W245" i="14"/>
  <c r="X245" i="14" s="1"/>
  <c r="W324" i="14"/>
  <c r="X324" i="14" s="1"/>
  <c r="Y268" i="14"/>
  <c r="Y347" i="14"/>
  <c r="W307" i="14"/>
  <c r="X307" i="14" s="1"/>
  <c r="Y394" i="14"/>
  <c r="W354" i="14"/>
  <c r="X354" i="14" s="1"/>
  <c r="W392" i="14"/>
  <c r="X392" i="14" s="1"/>
  <c r="W352" i="14"/>
  <c r="X352" i="14" s="1"/>
  <c r="Y312" i="14"/>
  <c r="W264" i="14"/>
  <c r="X264" i="14" s="1"/>
  <c r="Y279" i="14"/>
  <c r="Y350" i="14"/>
  <c r="W289" i="14"/>
  <c r="X289" i="14" s="1"/>
  <c r="Y207" i="14"/>
  <c r="W143" i="14"/>
  <c r="X143" i="14" s="1"/>
  <c r="W79" i="14"/>
  <c r="X79" i="14" s="1"/>
  <c r="Y209" i="14"/>
  <c r="Y161" i="14"/>
  <c r="W105" i="14"/>
  <c r="X105" i="14" s="1"/>
  <c r="Y57" i="14"/>
  <c r="Y290" i="14"/>
  <c r="Y93" i="14"/>
  <c r="Y159" i="14"/>
  <c r="Y39" i="14"/>
  <c r="Y294" i="14"/>
  <c r="Y148" i="14"/>
  <c r="Y54" i="14"/>
  <c r="Y358" i="14"/>
  <c r="Y245" i="14"/>
  <c r="Y59" i="14"/>
  <c r="Y109" i="14"/>
  <c r="W250" i="14"/>
  <c r="X250" i="14" s="1"/>
  <c r="W217" i="14"/>
  <c r="X217" i="14" s="1"/>
  <c r="Y203" i="14"/>
  <c r="W297" i="14"/>
  <c r="X297" i="14" s="1"/>
  <c r="W242" i="14"/>
  <c r="X242" i="14" s="1"/>
  <c r="W228" i="14"/>
  <c r="X228" i="14" s="1"/>
  <c r="Y246" i="14"/>
  <c r="W288" i="14"/>
  <c r="X288" i="14" s="1"/>
  <c r="Y240" i="14"/>
  <c r="W174" i="14"/>
  <c r="X174" i="14" s="1"/>
  <c r="W110" i="14"/>
  <c r="X110" i="14" s="1"/>
  <c r="Y46" i="14"/>
  <c r="W152" i="14"/>
  <c r="X152" i="14" s="1"/>
  <c r="Y80" i="14"/>
  <c r="W370" i="14"/>
  <c r="X370" i="14" s="1"/>
  <c r="Y303" i="14"/>
  <c r="W141" i="14"/>
  <c r="X141" i="14" s="1"/>
  <c r="Y167" i="14"/>
  <c r="Y124" i="14"/>
  <c r="Y142" i="14"/>
  <c r="W131" i="14"/>
  <c r="X131" i="14" s="1"/>
  <c r="W173" i="14"/>
  <c r="X173" i="14" s="1"/>
  <c r="Y378" i="14"/>
  <c r="W299" i="14"/>
  <c r="X299" i="14" s="1"/>
  <c r="W113" i="14"/>
  <c r="X113" i="14" s="1"/>
  <c r="W139" i="14"/>
  <c r="X139" i="14" s="1"/>
  <c r="W258" i="14"/>
  <c r="X258" i="14" s="1"/>
  <c r="W218" i="14"/>
  <c r="X218" i="14" s="1"/>
  <c r="Y354" i="14"/>
  <c r="W263" i="14"/>
  <c r="X263" i="14" s="1"/>
  <c r="Y61" i="14"/>
  <c r="Y119" i="14"/>
  <c r="Y257" i="14"/>
  <c r="Y262" i="14"/>
  <c r="W68" i="14"/>
  <c r="X68" i="14" s="1"/>
  <c r="Y126" i="14"/>
  <c r="W319" i="14"/>
  <c r="X319" i="14" s="1"/>
  <c r="W237" i="14"/>
  <c r="X237" i="14" s="1"/>
  <c r="W67" i="14"/>
  <c r="X67" i="14" s="1"/>
  <c r="Y141" i="14"/>
  <c r="W283" i="14"/>
  <c r="X283" i="14" s="1"/>
  <c r="W129" i="14"/>
  <c r="X129" i="14" s="1"/>
  <c r="W163" i="14"/>
  <c r="X163" i="14" s="1"/>
  <c r="W377" i="14"/>
  <c r="X377" i="14" s="1"/>
  <c r="Y234" i="14"/>
  <c r="Y382" i="14"/>
  <c r="W302" i="14"/>
  <c r="X302" i="14" s="1"/>
  <c r="W389" i="14"/>
  <c r="X389" i="14" s="1"/>
  <c r="W308" i="14"/>
  <c r="X308" i="14" s="1"/>
  <c r="W268" i="14"/>
  <c r="X268" i="14" s="1"/>
  <c r="Y228" i="14"/>
  <c r="Y162" i="14"/>
  <c r="W98" i="14"/>
  <c r="X98" i="14" s="1"/>
  <c r="W230" i="14"/>
  <c r="X230" i="14" s="1"/>
  <c r="Y188" i="14"/>
  <c r="Y68" i="14"/>
  <c r="W315" i="14"/>
  <c r="X315" i="14" s="1"/>
  <c r="Y282" i="14"/>
  <c r="W210" i="14"/>
  <c r="X210" i="14" s="1"/>
  <c r="W82" i="14"/>
  <c r="X82" i="14" s="1"/>
  <c r="W341" i="14"/>
  <c r="X341" i="14" s="1"/>
  <c r="Y396" i="14"/>
  <c r="Y380" i="14"/>
  <c r="W244" i="14"/>
  <c r="X244" i="14" s="1"/>
  <c r="Y299" i="14"/>
  <c r="W384" i="14"/>
  <c r="X384" i="14" s="1"/>
  <c r="Y296" i="14"/>
  <c r="Y321" i="14"/>
  <c r="W127" i="14"/>
  <c r="X127" i="14" s="1"/>
  <c r="W193" i="14"/>
  <c r="X193" i="14" s="1"/>
  <c r="Y97" i="14"/>
  <c r="Y377" i="14"/>
  <c r="W53" i="14"/>
  <c r="X53" i="14" s="1"/>
  <c r="Y337" i="14"/>
  <c r="Y108" i="14"/>
  <c r="Y351" i="14"/>
  <c r="Y195" i="14"/>
  <c r="W169" i="14"/>
  <c r="X169" i="14" s="1"/>
  <c r="Y400" i="14"/>
  <c r="Y194" i="14"/>
  <c r="Y310" i="14"/>
  <c r="W312" i="14"/>
  <c r="X312" i="14" s="1"/>
  <c r="W224" i="14"/>
  <c r="X224" i="14" s="1"/>
  <c r="W94" i="14"/>
  <c r="X94" i="14" s="1"/>
  <c r="W104" i="14"/>
  <c r="X104" i="14" s="1"/>
  <c r="Y322" i="14"/>
  <c r="Y85" i="14"/>
  <c r="W321" i="14"/>
  <c r="X321" i="14" s="1"/>
  <c r="W76" i="14"/>
  <c r="X76" i="14" s="1"/>
  <c r="W287" i="14"/>
  <c r="X287" i="14" s="1"/>
  <c r="Y75" i="14"/>
  <c r="W57" i="14"/>
  <c r="X57" i="14" s="1"/>
  <c r="Y186" i="14"/>
  <c r="Y239" i="14"/>
  <c r="W212" i="14"/>
  <c r="X212" i="14" s="1"/>
  <c r="W86" i="14"/>
  <c r="X86" i="14" s="1"/>
  <c r="Y211" i="14"/>
  <c r="W93" i="14"/>
  <c r="X93" i="14" s="1"/>
  <c r="W259" i="14"/>
  <c r="X259" i="14" s="1"/>
  <c r="Y131" i="14"/>
  <c r="Y168" i="14"/>
  <c r="W350" i="14"/>
  <c r="X350" i="14" s="1"/>
  <c r="Y373" i="14"/>
  <c r="W260" i="14"/>
  <c r="X260" i="14" s="1"/>
  <c r="Y146" i="14"/>
  <c r="Y222" i="14"/>
  <c r="Y132" i="14"/>
  <c r="Y178" i="14"/>
  <c r="W388" i="14"/>
  <c r="X388" i="14" s="1"/>
  <c r="Y372" i="14"/>
  <c r="W379" i="14"/>
  <c r="X379" i="14" s="1"/>
  <c r="W291" i="14"/>
  <c r="X291" i="14" s="1"/>
  <c r="W378" i="14"/>
  <c r="X378" i="14" s="1"/>
  <c r="Y288" i="14"/>
  <c r="Y383" i="14"/>
  <c r="W343" i="14"/>
  <c r="X343" i="14" s="1"/>
  <c r="W313" i="14"/>
  <c r="X313" i="14" s="1"/>
  <c r="W241" i="14"/>
  <c r="X241" i="14" s="1"/>
  <c r="W119" i="14"/>
  <c r="X119" i="14" s="1"/>
  <c r="Y89" i="14"/>
  <c r="Y329" i="14"/>
  <c r="Y233" i="14"/>
  <c r="Y289" i="14"/>
  <c r="Y84" i="14"/>
  <c r="W303" i="14"/>
  <c r="X303" i="14" s="1"/>
  <c r="Y171" i="14"/>
  <c r="W61" i="14"/>
  <c r="X61" i="14" s="1"/>
  <c r="Y137" i="14"/>
  <c r="W336" i="14"/>
  <c r="X336" i="14" s="1"/>
  <c r="W162" i="14"/>
  <c r="X162" i="14" s="1"/>
  <c r="W294" i="14"/>
  <c r="X294" i="14" s="1"/>
  <c r="Y214" i="14"/>
  <c r="Y86" i="14"/>
  <c r="W176" i="14"/>
  <c r="X176" i="14" s="1"/>
  <c r="Y274" i="14"/>
  <c r="Y69" i="14"/>
  <c r="Y52" i="14"/>
  <c r="W51" i="14"/>
  <c r="X51" i="14" s="1"/>
  <c r="Y266" i="14"/>
  <c r="Y229" i="14"/>
  <c r="Y384" i="14"/>
  <c r="Y154" i="14"/>
  <c r="W205" i="14"/>
  <c r="X205" i="14" s="1"/>
  <c r="W63" i="14"/>
  <c r="X63" i="14" s="1"/>
  <c r="W188" i="14"/>
  <c r="X188" i="14" s="1"/>
  <c r="W187" i="14"/>
  <c r="X187" i="14" s="1"/>
  <c r="W107" i="14"/>
  <c r="X107" i="14" s="1"/>
  <c r="Y136" i="14"/>
  <c r="Y357" i="14"/>
  <c r="W138" i="14"/>
  <c r="X138" i="14" s="1"/>
  <c r="Y212" i="14"/>
  <c r="W124" i="14"/>
  <c r="X124" i="14" s="1"/>
  <c r="W52" i="14"/>
  <c r="X52" i="14" s="1"/>
  <c r="W329" i="14"/>
  <c r="X329" i="14" s="1"/>
  <c r="Y333" i="14"/>
  <c r="W348" i="14"/>
  <c r="X348" i="14" s="1"/>
  <c r="Y236" i="14"/>
  <c r="Y376" i="14"/>
  <c r="W280" i="14"/>
  <c r="X280" i="14" s="1"/>
  <c r="Y375" i="14"/>
  <c r="W111" i="14"/>
  <c r="X111" i="14" s="1"/>
  <c r="W185" i="14"/>
  <c r="X185" i="14" s="1"/>
  <c r="Y81" i="14"/>
  <c r="W295" i="14"/>
  <c r="X295" i="14" s="1"/>
  <c r="W207" i="14"/>
  <c r="X207" i="14" s="1"/>
  <c r="Y241" i="14"/>
  <c r="Y60" i="14"/>
  <c r="W147" i="14"/>
  <c r="X147" i="14" s="1"/>
  <c r="W121" i="14"/>
  <c r="X121" i="14" s="1"/>
  <c r="W304" i="14"/>
  <c r="X304" i="14" s="1"/>
  <c r="Y206" i="14"/>
  <c r="Y78" i="14"/>
  <c r="W96" i="14"/>
  <c r="X96" i="14" s="1"/>
  <c r="Y393" i="14"/>
  <c r="W45" i="14"/>
  <c r="X45" i="14" s="1"/>
  <c r="Y273" i="14"/>
  <c r="Y224" i="14"/>
  <c r="W239" i="14"/>
  <c r="X239" i="14" s="1"/>
  <c r="W223" i="14"/>
  <c r="X223" i="14" s="1"/>
  <c r="W385" i="14"/>
  <c r="X385" i="14" s="1"/>
  <c r="W195" i="14"/>
  <c r="X195" i="14" s="1"/>
  <c r="W322" i="14"/>
  <c r="X322" i="14" s="1"/>
  <c r="Y122" i="14"/>
  <c r="W181" i="14"/>
  <c r="X181" i="14" s="1"/>
  <c r="W164" i="14"/>
  <c r="X164" i="14" s="1"/>
  <c r="Y62" i="14"/>
  <c r="Y163" i="14"/>
  <c r="W69" i="14"/>
  <c r="X69" i="14" s="1"/>
  <c r="Y235" i="14"/>
  <c r="Y104" i="14"/>
  <c r="W334" i="14"/>
  <c r="X334" i="14" s="1"/>
  <c r="Y341" i="14"/>
  <c r="Y252" i="14"/>
  <c r="W130" i="14"/>
  <c r="X130" i="14" s="1"/>
  <c r="W146" i="14"/>
  <c r="X146" i="14" s="1"/>
  <c r="W293" i="14"/>
  <c r="X293" i="14" s="1"/>
  <c r="W356" i="14"/>
  <c r="X356" i="14" s="1"/>
  <c r="W363" i="14"/>
  <c r="X363" i="14" s="1"/>
  <c r="W339" i="14"/>
  <c r="X339" i="14" s="1"/>
  <c r="Y259" i="14"/>
  <c r="Y343" i="14"/>
  <c r="Y263" i="14"/>
  <c r="W199" i="14"/>
  <c r="X199" i="14" s="1"/>
  <c r="Y71" i="14"/>
  <c r="Y153" i="14"/>
  <c r="W49" i="14"/>
  <c r="X49" i="14" s="1"/>
  <c r="W231" i="14"/>
  <c r="X231" i="14" s="1"/>
  <c r="Y135" i="14"/>
  <c r="W270" i="14"/>
  <c r="X270" i="14" s="1"/>
  <c r="Y182" i="14"/>
  <c r="W326" i="14"/>
  <c r="X326" i="14" s="1"/>
  <c r="Y231" i="14"/>
  <c r="Y179" i="14"/>
  <c r="W390" i="14"/>
  <c r="X390" i="14" s="1"/>
  <c r="W397" i="14"/>
  <c r="X397" i="14" s="1"/>
  <c r="W166" i="14"/>
  <c r="X166" i="14" s="1"/>
  <c r="V32" i="14"/>
  <c r="Y72" i="14"/>
  <c r="W279" i="14"/>
  <c r="X279" i="14" s="1"/>
  <c r="Y143" i="14"/>
  <c r="W278" i="14"/>
  <c r="X278" i="14" s="1"/>
  <c r="W118" i="14"/>
  <c r="X118" i="14" s="1"/>
  <c r="Y285" i="14"/>
  <c r="W306" i="14"/>
  <c r="X306" i="14" s="1"/>
  <c r="W225" i="14"/>
  <c r="X225" i="14" s="1"/>
  <c r="W376" i="14"/>
  <c r="X376" i="14" s="1"/>
  <c r="W44" i="14"/>
  <c r="X44" i="14" s="1"/>
  <c r="W43" i="14"/>
  <c r="X43" i="14" s="1"/>
  <c r="Y346" i="14"/>
  <c r="Y105" i="14"/>
  <c r="Y170" i="14"/>
  <c r="Y218" i="14"/>
  <c r="W90" i="14"/>
  <c r="X90" i="14" s="1"/>
  <c r="W180" i="14"/>
  <c r="X180" i="14" s="1"/>
  <c r="Y100" i="14"/>
  <c r="Y250" i="14"/>
  <c r="Y389" i="14"/>
  <c r="W251" i="14"/>
  <c r="X251" i="14" s="1"/>
  <c r="W344" i="14"/>
  <c r="X344" i="14" s="1"/>
  <c r="W335" i="14"/>
  <c r="X335" i="14" s="1"/>
  <c r="Y281" i="14"/>
  <c r="Y63" i="14"/>
  <c r="Y111" i="14"/>
  <c r="W158" i="14"/>
  <c r="X158" i="14" s="1"/>
  <c r="Y147" i="14"/>
  <c r="Y280" i="14"/>
  <c r="W226" i="14"/>
  <c r="X226" i="14" s="1"/>
  <c r="Y64" i="14"/>
  <c r="Y149" i="14"/>
  <c r="W115" i="14"/>
  <c r="X115" i="14" s="1"/>
  <c r="Y255" i="14"/>
  <c r="W282" i="14"/>
  <c r="X282" i="14" s="1"/>
  <c r="Y313" i="14"/>
  <c r="Y286" i="14"/>
  <c r="Y210" i="14"/>
  <c r="W227" i="14"/>
  <c r="X227" i="14" s="1"/>
  <c r="Y50" i="14"/>
  <c r="Y175" i="14"/>
  <c r="Y198" i="14"/>
  <c r="W77" i="14"/>
  <c r="X77" i="14" s="1"/>
  <c r="W381" i="14"/>
  <c r="X381" i="14" s="1"/>
  <c r="Y348" i="14"/>
  <c r="Y355" i="14"/>
  <c r="W273" i="14"/>
  <c r="X273" i="14" s="1"/>
  <c r="W55" i="14"/>
  <c r="X55" i="14" s="1"/>
  <c r="W41" i="14"/>
  <c r="X41" i="14" s="1"/>
  <c r="W95" i="14"/>
  <c r="X95" i="14" s="1"/>
  <c r="Y205" i="14"/>
  <c r="Y123" i="14"/>
  <c r="W374" i="14"/>
  <c r="X374" i="14" s="1"/>
  <c r="Y272" i="14"/>
  <c r="W56" i="14"/>
  <c r="X56" i="14" s="1"/>
  <c r="Y127" i="14"/>
  <c r="Y94" i="14"/>
  <c r="W125" i="14"/>
  <c r="X125" i="14" s="1"/>
  <c r="Y242" i="14"/>
  <c r="W328" i="14"/>
  <c r="X328" i="14" s="1"/>
  <c r="Y374" i="14"/>
  <c r="Y249" i="14"/>
  <c r="Y270" i="14"/>
  <c r="Y202" i="14"/>
  <c r="Y172" i="14"/>
  <c r="W153" i="14"/>
  <c r="X153" i="14" s="1"/>
  <c r="Y349" i="14"/>
  <c r="W387" i="14"/>
  <c r="X387" i="14" s="1"/>
  <c r="Y304" i="14"/>
  <c r="W249" i="14"/>
  <c r="X249" i="14" s="1"/>
  <c r="Y258" i="14"/>
  <c r="Y369" i="14"/>
  <c r="W85" i="14"/>
  <c r="X85" i="14" s="1"/>
  <c r="Y326" i="14"/>
  <c r="W184" i="14"/>
  <c r="X184" i="14" s="1"/>
  <c r="Y385" i="14"/>
  <c r="W330" i="14"/>
  <c r="X330" i="14" s="1"/>
  <c r="Y140" i="14"/>
  <c r="W160" i="14"/>
  <c r="X160" i="14" s="1"/>
  <c r="W142" i="14"/>
  <c r="X142" i="14" s="1"/>
  <c r="W229" i="14"/>
  <c r="X229" i="14" s="1"/>
  <c r="Y152" i="14"/>
  <c r="W189" i="14"/>
  <c r="X189" i="14" s="1"/>
  <c r="Y292" i="14"/>
  <c r="W84" i="14"/>
  <c r="X84" i="14" s="1"/>
  <c r="W252" i="14"/>
  <c r="X252" i="14" s="1"/>
  <c r="W221" i="14"/>
  <c r="X221" i="14" s="1"/>
  <c r="Y112" i="14"/>
  <c r="W100" i="14"/>
  <c r="X100" i="14" s="1"/>
  <c r="Y110" i="14"/>
  <c r="W60" i="14"/>
  <c r="X60" i="14" s="1"/>
  <c r="W340" i="14"/>
  <c r="X340" i="14" s="1"/>
  <c r="W347" i="14"/>
  <c r="X347" i="14" s="1"/>
  <c r="W243" i="14"/>
  <c r="X243" i="14" s="1"/>
  <c r="Y336" i="14"/>
  <c r="W327" i="14"/>
  <c r="X327" i="14" s="1"/>
  <c r="W47" i="14"/>
  <c r="X47" i="14" s="1"/>
  <c r="Y134" i="14"/>
  <c r="Y181" i="14"/>
  <c r="Y99" i="14"/>
  <c r="Y264" i="14"/>
  <c r="Y216" i="14"/>
  <c r="W103" i="14"/>
  <c r="X103" i="14" s="1"/>
  <c r="Y70" i="14"/>
  <c r="Y91" i="14"/>
  <c r="Y345" i="14"/>
  <c r="Y317" i="14"/>
  <c r="W234" i="14"/>
  <c r="X234" i="14" s="1"/>
  <c r="Y352" i="14"/>
  <c r="W254" i="14"/>
  <c r="X254" i="14" s="1"/>
  <c r="W194" i="14"/>
  <c r="X194" i="14" s="1"/>
  <c r="Y164" i="14"/>
  <c r="W89" i="14"/>
  <c r="X89" i="14" s="1"/>
  <c r="Y388" i="14"/>
  <c r="W386" i="14"/>
  <c r="X386" i="14" s="1"/>
  <c r="W359" i="14"/>
  <c r="X359" i="14" s="1"/>
  <c r="Y201" i="14"/>
  <c r="Y399" i="14"/>
  <c r="Y232" i="14"/>
  <c r="Y335" i="14"/>
  <c r="W281" i="14"/>
  <c r="X281" i="14" s="1"/>
  <c r="Y238" i="14"/>
  <c r="W200" i="14"/>
  <c r="X200" i="14" s="1"/>
  <c r="W154" i="14"/>
  <c r="X154" i="14" s="1"/>
  <c r="W393" i="14"/>
  <c r="X393" i="14" s="1"/>
  <c r="W277" i="14"/>
  <c r="X277" i="14" s="1"/>
  <c r="Y338" i="14"/>
  <c r="W382" i="14"/>
  <c r="X382" i="14" s="1"/>
  <c r="Y173" i="14"/>
  <c r="Y323" i="14"/>
  <c r="Y365" i="14"/>
  <c r="Y230" i="14"/>
  <c r="Y251" i="14"/>
  <c r="W175" i="14"/>
  <c r="X175" i="14" s="1"/>
  <c r="Y74" i="14"/>
  <c r="Y66" i="14"/>
  <c r="W144" i="14"/>
  <c r="X144" i="14" s="1"/>
  <c r="W391" i="14"/>
  <c r="X391" i="14" s="1"/>
  <c r="Y334" i="14"/>
  <c r="W132" i="14"/>
  <c r="X132" i="14" s="1"/>
  <c r="Y193" i="14"/>
  <c r="Y320" i="14"/>
  <c r="W102" i="14"/>
  <c r="X102" i="14" s="1"/>
  <c r="W117" i="14"/>
  <c r="X117" i="14" s="1"/>
  <c r="W99" i="14"/>
  <c r="X99" i="14" s="1"/>
  <c r="W81" i="14"/>
  <c r="X81" i="14" s="1"/>
  <c r="W87" i="14"/>
  <c r="X87" i="14" s="1"/>
  <c r="Y117" i="14"/>
  <c r="Y366" i="14"/>
  <c r="Y316" i="14"/>
  <c r="W346" i="14"/>
  <c r="X346" i="14" s="1"/>
  <c r="Y256" i="14"/>
  <c r="Y247" i="14"/>
  <c r="Y191" i="14"/>
  <c r="Y145" i="14"/>
  <c r="Y213" i="14"/>
  <c r="W369" i="14"/>
  <c r="X369" i="14" s="1"/>
  <c r="W208" i="14"/>
  <c r="X208" i="14" s="1"/>
  <c r="Y158" i="14"/>
  <c r="Y144" i="14"/>
  <c r="W253" i="14"/>
  <c r="X253" i="14" s="1"/>
  <c r="W275" i="14"/>
  <c r="X275" i="14" s="1"/>
  <c r="Y226" i="14"/>
  <c r="W214" i="14"/>
  <c r="X214" i="14" s="1"/>
  <c r="W213" i="14"/>
  <c r="X213" i="14" s="1"/>
  <c r="Y73" i="14"/>
  <c r="Y138" i="14"/>
  <c r="W300" i="14"/>
  <c r="X300" i="14" s="1"/>
  <c r="Y82" i="14"/>
  <c r="W92" i="14"/>
  <c r="X92" i="14" s="1"/>
  <c r="W216" i="14"/>
  <c r="X216" i="14" s="1"/>
  <c r="W285" i="14"/>
  <c r="X285" i="14" s="1"/>
  <c r="W292" i="14"/>
  <c r="X292" i="14" s="1"/>
  <c r="W331" i="14"/>
  <c r="X331" i="14" s="1"/>
  <c r="W248" i="14"/>
  <c r="X248" i="14" s="1"/>
  <c r="Y398" i="14"/>
  <c r="W183" i="14"/>
  <c r="X183" i="14" s="1"/>
  <c r="W137" i="14"/>
  <c r="X137" i="14" s="1"/>
  <c r="Y189" i="14"/>
  <c r="W246" i="14"/>
  <c r="X246" i="14" s="1"/>
  <c r="W301" i="14"/>
  <c r="X301" i="14" s="1"/>
  <c r="Y184" i="14"/>
  <c r="Y381" i="14"/>
  <c r="W150" i="14"/>
  <c r="X150" i="14" s="1"/>
  <c r="W136" i="14"/>
  <c r="X136" i="14" s="1"/>
  <c r="W255" i="14"/>
  <c r="X255" i="14" s="1"/>
  <c r="Y254" i="14"/>
  <c r="Y192" i="14"/>
  <c r="Y199" i="14"/>
  <c r="Y49" i="14"/>
  <c r="Y106" i="14"/>
  <c r="W74" i="14"/>
  <c r="X74" i="14" s="1"/>
  <c r="Y176" i="14"/>
  <c r="W211" i="14"/>
  <c r="X211" i="14" s="1"/>
  <c r="W135" i="14"/>
  <c r="X135" i="14" s="1"/>
  <c r="M39" i="1" l="1"/>
  <c r="M52" i="1" s="1"/>
  <c r="M43" i="1"/>
  <c r="K43" i="1"/>
  <c r="K54" i="1" s="1"/>
  <c r="K55" i="1" s="1"/>
  <c r="E43" i="1"/>
  <c r="K58" i="1"/>
  <c r="K57" i="1" s="1"/>
  <c r="AA66" i="4"/>
  <c r="M40" i="1" l="1"/>
  <c r="E111" i="27"/>
  <c r="E112" i="27" s="1"/>
  <c r="U11" i="4"/>
  <c r="B13" i="4" s="1"/>
  <c r="C13" i="1" s="1"/>
  <c r="H108" i="27"/>
  <c r="H111" i="27" s="1"/>
  <c r="E114" i="27" s="1"/>
  <c r="E129" i="27" s="1"/>
  <c r="D54" i="28" s="1"/>
  <c r="T11" i="4" s="1"/>
  <c r="B7" i="4" s="1"/>
  <c r="Y62" i="4" l="1"/>
  <c r="Y63" i="4" s="1"/>
  <c r="Y60" i="4" s="1"/>
  <c r="C70" i="4"/>
  <c r="C75" i="4" s="1"/>
  <c r="D6" i="29"/>
  <c r="D6" i="23"/>
  <c r="D6" i="1"/>
  <c r="D6" i="14"/>
  <c r="D6" i="24"/>
  <c r="B11" i="4"/>
  <c r="B12" i="4" s="1"/>
  <c r="E127" i="27"/>
  <c r="E128" i="27"/>
  <c r="D127" i="27"/>
  <c r="D128" i="27" s="1"/>
  <c r="AB68" i="4" l="1"/>
  <c r="AC68" i="4" s="1"/>
  <c r="AB67" i="4"/>
  <c r="AC67" i="4" s="1"/>
  <c r="Y36" i="4"/>
  <c r="Y30" i="4" s="1"/>
  <c r="G75" i="4"/>
  <c r="S74" i="4" s="1"/>
  <c r="T74" i="4" s="1"/>
  <c r="I75" i="4"/>
  <c r="Z30" i="4" l="1"/>
  <c r="B71" i="4" s="1"/>
  <c r="B70" i="4"/>
  <c r="F70" i="4" l="1"/>
  <c r="H70" i="4"/>
  <c r="F71" i="4"/>
  <c r="G71" i="4" s="1"/>
  <c r="H71" i="4"/>
  <c r="I71" i="4" s="1"/>
  <c r="Z44" i="4" l="1"/>
  <c r="I70" i="4"/>
  <c r="H31" i="4"/>
  <c r="B31" i="4" s="1"/>
  <c r="G70" i="4"/>
  <c r="G30" i="4" s="1"/>
  <c r="F30" i="4"/>
  <c r="B30" i="4" s="1"/>
  <c r="C30" i="4" l="1"/>
  <c r="B26" i="4"/>
  <c r="Z45" i="4"/>
  <c r="I31" i="4"/>
  <c r="C31" i="4" s="1"/>
  <c r="B27" i="4" s="1"/>
  <c r="B23" i="4"/>
  <c r="E39" i="1" s="1"/>
  <c r="Y70" i="4"/>
  <c r="B20" i="4"/>
  <c r="Z41" i="4"/>
  <c r="B24" i="4" l="1"/>
  <c r="E40" i="1" s="1"/>
  <c r="E54" i="1" s="1"/>
  <c r="E55" i="1" s="1"/>
  <c r="B21" i="4"/>
  <c r="C9" i="23" s="1"/>
  <c r="Z42" i="4"/>
  <c r="M99" i="25" s="1"/>
  <c r="AF11" i="14"/>
  <c r="AE11" i="23"/>
  <c r="AE11" i="24"/>
  <c r="AE11" i="29"/>
  <c r="E25" i="1"/>
  <c r="Y71" i="4"/>
  <c r="M98" i="25"/>
  <c r="L494" i="25" s="1"/>
  <c r="G9" i="29"/>
  <c r="E9" i="29" s="1"/>
  <c r="G9" i="24"/>
  <c r="G14" i="1"/>
  <c r="C14" i="1"/>
  <c r="G9" i="14"/>
  <c r="C9" i="14"/>
  <c r="C9" i="29"/>
  <c r="G9" i="23"/>
  <c r="AB70" i="4"/>
  <c r="E24" i="1"/>
  <c r="AF10" i="14"/>
  <c r="AE10" i="24"/>
  <c r="AE10" i="23"/>
  <c r="AE10" i="29"/>
  <c r="C9" i="24" l="1"/>
  <c r="AB71" i="4"/>
  <c r="B86" i="4" s="1"/>
  <c r="AE12" i="23" s="1"/>
  <c r="W32" i="23" s="1"/>
  <c r="E9" i="23"/>
  <c r="C19" i="1"/>
  <c r="C20" i="1" s="1"/>
  <c r="C15" i="1"/>
  <c r="E9" i="14"/>
  <c r="G15" i="1"/>
  <c r="G19" i="1"/>
  <c r="G20" i="1" s="1"/>
  <c r="E14" i="1"/>
  <c r="E34" i="1"/>
  <c r="E33" i="1"/>
  <c r="E9" i="24"/>
  <c r="M100" i="25" l="1"/>
  <c r="AE12" i="29"/>
  <c r="AE32" i="29" s="1"/>
  <c r="E52" i="1"/>
  <c r="E58" i="1" s="1"/>
  <c r="E57" i="1" s="1"/>
  <c r="AE12" i="24"/>
  <c r="AF12" i="14"/>
  <c r="U348" i="23"/>
  <c r="D348" i="23" s="1"/>
  <c r="U267" i="23"/>
  <c r="D267" i="23" s="1"/>
  <c r="U101" i="23"/>
  <c r="D101" i="23" s="1"/>
  <c r="U133" i="23"/>
  <c r="D133" i="23" s="1"/>
  <c r="U146" i="23"/>
  <c r="D146" i="23" s="1"/>
  <c r="U41" i="23"/>
  <c r="D41" i="23" s="1"/>
  <c r="U350" i="23"/>
  <c r="D350" i="23" s="1"/>
  <c r="U234" i="23"/>
  <c r="D234" i="23" s="1"/>
  <c r="U290" i="23"/>
  <c r="D290" i="23" s="1"/>
  <c r="U256" i="23"/>
  <c r="D256" i="23" s="1"/>
  <c r="U135" i="23"/>
  <c r="D135" i="23" s="1"/>
  <c r="U257" i="23"/>
  <c r="D257" i="23" s="1"/>
  <c r="U265" i="23"/>
  <c r="D265" i="23" s="1"/>
  <c r="U293" i="23"/>
  <c r="D293" i="23" s="1"/>
  <c r="U81" i="23"/>
  <c r="D81" i="23" s="1"/>
  <c r="U191" i="23"/>
  <c r="D191" i="23" s="1"/>
  <c r="U165" i="23"/>
  <c r="D165" i="23" s="1"/>
  <c r="U48" i="23"/>
  <c r="D48" i="23" s="1"/>
  <c r="U218" i="23"/>
  <c r="D218" i="23" s="1"/>
  <c r="U392" i="23"/>
  <c r="D392" i="23" s="1"/>
  <c r="U50" i="23"/>
  <c r="D50" i="23" s="1"/>
  <c r="U228" i="23"/>
  <c r="D228" i="23" s="1"/>
  <c r="U333" i="23"/>
  <c r="D333" i="23" s="1"/>
  <c r="U153" i="23"/>
  <c r="D153" i="23" s="1"/>
  <c r="U150" i="23"/>
  <c r="D150" i="23" s="1"/>
  <c r="U189" i="23"/>
  <c r="D189" i="23" s="1"/>
  <c r="U196" i="23"/>
  <c r="D196" i="23" s="1"/>
  <c r="U106" i="23"/>
  <c r="D106" i="23" s="1"/>
  <c r="U72" i="23"/>
  <c r="D72" i="23" s="1"/>
  <c r="U313" i="23"/>
  <c r="D313" i="23" s="1"/>
  <c r="U175" i="23"/>
  <c r="D175" i="23" s="1"/>
  <c r="U78" i="23"/>
  <c r="D78" i="23" s="1"/>
  <c r="U55" i="23"/>
  <c r="D55" i="23" s="1"/>
  <c r="U46" i="23"/>
  <c r="D46" i="23" s="1"/>
  <c r="U159" i="23"/>
  <c r="D159" i="23" s="1"/>
  <c r="U161" i="23"/>
  <c r="D161" i="23" s="1"/>
  <c r="U205" i="23"/>
  <c r="D205" i="23" s="1"/>
  <c r="U142" i="23"/>
  <c r="D142" i="23" s="1"/>
  <c r="U367" i="23"/>
  <c r="D367" i="23" s="1"/>
  <c r="U260" i="23"/>
  <c r="D260" i="23" s="1"/>
  <c r="U169" i="23"/>
  <c r="D169" i="23" s="1"/>
  <c r="U97" i="23"/>
  <c r="D97" i="23" s="1"/>
  <c r="U42" i="23"/>
  <c r="D42" i="23" s="1"/>
  <c r="U229" i="23"/>
  <c r="D229" i="23" s="1"/>
  <c r="U366" i="23"/>
  <c r="D366" i="23" s="1"/>
  <c r="U339" i="23"/>
  <c r="D339" i="23" s="1"/>
  <c r="U114" i="23"/>
  <c r="D114" i="23" s="1"/>
  <c r="U136" i="23"/>
  <c r="D136" i="23" s="1"/>
  <c r="U301" i="23"/>
  <c r="D301" i="23" s="1"/>
  <c r="U334" i="23"/>
  <c r="D334" i="23" s="1"/>
  <c r="U359" i="23"/>
  <c r="D359" i="23" s="1"/>
  <c r="U211" i="23"/>
  <c r="D211" i="23" s="1"/>
  <c r="U194" i="23"/>
  <c r="D194" i="23" s="1"/>
  <c r="U361" i="23"/>
  <c r="D361" i="23" s="1"/>
  <c r="U307" i="23"/>
  <c r="D307" i="23" s="1"/>
  <c r="U300" i="23"/>
  <c r="D300" i="23" s="1"/>
  <c r="U144" i="23"/>
  <c r="D144" i="23" s="1"/>
  <c r="U269" i="23"/>
  <c r="D269" i="23" s="1"/>
  <c r="U251" i="23"/>
  <c r="D251" i="23" s="1"/>
  <c r="U195" i="23"/>
  <c r="D195" i="23" s="1"/>
  <c r="U207" i="23"/>
  <c r="D207" i="23" s="1"/>
  <c r="U323" i="23"/>
  <c r="D323" i="23" s="1"/>
  <c r="U210" i="23"/>
  <c r="D210" i="23" s="1"/>
  <c r="U230" i="23"/>
  <c r="D230" i="23" s="1"/>
  <c r="U65" i="23"/>
  <c r="D65" i="23" s="1"/>
  <c r="U59" i="23"/>
  <c r="D59" i="23" s="1"/>
  <c r="U89" i="23"/>
  <c r="D89" i="23" s="1"/>
  <c r="U391" i="23"/>
  <c r="D391" i="23" s="1"/>
  <c r="U365" i="23"/>
  <c r="D365" i="23" s="1"/>
  <c r="U378" i="23"/>
  <c r="D378" i="23" s="1"/>
  <c r="U117" i="23"/>
  <c r="D117" i="23" s="1"/>
  <c r="U177" i="23"/>
  <c r="D177" i="23" s="1"/>
  <c r="U309" i="23"/>
  <c r="D309" i="23" s="1"/>
  <c r="U178" i="23"/>
  <c r="D178" i="23" s="1"/>
  <c r="U100" i="23"/>
  <c r="D100" i="23" s="1"/>
  <c r="U354" i="23"/>
  <c r="D354" i="23" s="1"/>
  <c r="U240" i="23"/>
  <c r="D240" i="23" s="1"/>
  <c r="U71" i="23"/>
  <c r="D71" i="23" s="1"/>
  <c r="U170" i="23"/>
  <c r="D170" i="23" s="1"/>
  <c r="U199" i="23"/>
  <c r="D199" i="23" s="1"/>
  <c r="U343" i="23"/>
  <c r="D343" i="23" s="1"/>
  <c r="U375" i="23"/>
  <c r="D375" i="23" s="1"/>
  <c r="U342" i="23"/>
  <c r="D342" i="23" s="1"/>
  <c r="U332" i="23"/>
  <c r="D332" i="23" s="1"/>
  <c r="U312" i="23"/>
  <c r="D312" i="23" s="1"/>
  <c r="U119" i="23"/>
  <c r="D119" i="23" s="1"/>
  <c r="U124" i="23"/>
  <c r="D124" i="23" s="1"/>
  <c r="U39" i="23"/>
  <c r="D39" i="23" s="1"/>
  <c r="U387" i="23"/>
  <c r="D387" i="23" s="1"/>
  <c r="U222" i="23"/>
  <c r="D222" i="23" s="1"/>
  <c r="U128" i="23"/>
  <c r="D128" i="23" s="1"/>
  <c r="U232" i="23"/>
  <c r="D232" i="23" s="1"/>
  <c r="U111" i="23"/>
  <c r="D111" i="23" s="1"/>
  <c r="U299" i="23"/>
  <c r="D299" i="23" s="1"/>
  <c r="U208" i="23"/>
  <c r="D208" i="23" s="1"/>
  <c r="U168" i="23"/>
  <c r="D168" i="23" s="1"/>
  <c r="U214" i="23"/>
  <c r="D214" i="23" s="1"/>
  <c r="U215" i="23"/>
  <c r="D215" i="23" s="1"/>
  <c r="U303" i="23"/>
  <c r="D303" i="23" s="1"/>
  <c r="U176" i="23"/>
  <c r="D176" i="23" s="1"/>
  <c r="U389" i="23"/>
  <c r="D389" i="23" s="1"/>
  <c r="U329" i="23"/>
  <c r="D329" i="23" s="1"/>
  <c r="U321" i="23"/>
  <c r="D321" i="23" s="1"/>
  <c r="U243" i="23"/>
  <c r="D243" i="23" s="1"/>
  <c r="U166" i="23"/>
  <c r="D166" i="23" s="1"/>
  <c r="U263" i="23"/>
  <c r="D263" i="23" s="1"/>
  <c r="U44" i="23"/>
  <c r="D44" i="23" s="1"/>
  <c r="U374" i="23"/>
  <c r="D374" i="23" s="1"/>
  <c r="U241" i="23"/>
  <c r="D241" i="23" s="1"/>
  <c r="U236" i="23"/>
  <c r="D236" i="23" s="1"/>
  <c r="U209" i="23"/>
  <c r="D209" i="23" s="1"/>
  <c r="U74" i="23"/>
  <c r="D74" i="23" s="1"/>
  <c r="U270" i="23"/>
  <c r="D270" i="23" s="1"/>
  <c r="U318" i="23"/>
  <c r="D318" i="23" s="1"/>
  <c r="U206" i="23"/>
  <c r="D206" i="23" s="1"/>
  <c r="U336" i="23"/>
  <c r="D336" i="23" s="1"/>
  <c r="U87" i="23"/>
  <c r="D87" i="23" s="1"/>
  <c r="U187" i="23"/>
  <c r="D187" i="23" s="1"/>
  <c r="U286" i="23"/>
  <c r="D286" i="23" s="1"/>
  <c r="U139" i="23"/>
  <c r="D139" i="23" s="1"/>
  <c r="U316" i="23"/>
  <c r="D316" i="23" s="1"/>
  <c r="U80" i="23"/>
  <c r="D80" i="23" s="1"/>
  <c r="U134" i="23"/>
  <c r="D134" i="23" s="1"/>
  <c r="U376" i="23"/>
  <c r="D376" i="23" s="1"/>
  <c r="U262" i="23"/>
  <c r="D262" i="23" s="1"/>
  <c r="U258" i="23"/>
  <c r="D258" i="23" s="1"/>
  <c r="U156" i="23"/>
  <c r="D156" i="23" s="1"/>
  <c r="U180" i="23"/>
  <c r="D180" i="23" s="1"/>
  <c r="U319" i="23"/>
  <c r="D319" i="23" s="1"/>
  <c r="U382" i="23"/>
  <c r="D382" i="23" s="1"/>
  <c r="U62" i="23"/>
  <c r="D62" i="23" s="1"/>
  <c r="U327" i="23"/>
  <c r="D327" i="23" s="1"/>
  <c r="U261" i="23"/>
  <c r="D261" i="23" s="1"/>
  <c r="U70" i="23"/>
  <c r="D70" i="23" s="1"/>
  <c r="U345" i="23"/>
  <c r="D345" i="23" s="1"/>
  <c r="U304" i="23"/>
  <c r="D304" i="23" s="1"/>
  <c r="U356" i="23"/>
  <c r="D356" i="23" s="1"/>
  <c r="U271" i="23"/>
  <c r="D271" i="23" s="1"/>
  <c r="U388" i="23"/>
  <c r="D388" i="23" s="1"/>
  <c r="U99" i="23"/>
  <c r="D99" i="23" s="1"/>
  <c r="U395" i="23"/>
  <c r="D395" i="23" s="1"/>
  <c r="U108" i="23"/>
  <c r="D108" i="23" s="1"/>
  <c r="U372" i="23"/>
  <c r="D372" i="23" s="1"/>
  <c r="U131" i="23"/>
  <c r="D131" i="23" s="1"/>
  <c r="U57" i="23"/>
  <c r="D57" i="23" s="1"/>
  <c r="U171" i="23"/>
  <c r="D171" i="23" s="1"/>
  <c r="U284" i="23"/>
  <c r="D284" i="23" s="1"/>
  <c r="U198" i="23"/>
  <c r="D198" i="23" s="1"/>
  <c r="U129" i="23"/>
  <c r="D129" i="23" s="1"/>
  <c r="U295" i="23"/>
  <c r="D295" i="23" s="1"/>
  <c r="U368" i="23"/>
  <c r="D368" i="23" s="1"/>
  <c r="U250" i="23"/>
  <c r="D250" i="23" s="1"/>
  <c r="U283" i="23"/>
  <c r="D283" i="23" s="1"/>
  <c r="U227" i="23"/>
  <c r="D227" i="23" s="1"/>
  <c r="U358" i="23"/>
  <c r="D358" i="23" s="1"/>
  <c r="U364" i="23"/>
  <c r="D364" i="23" s="1"/>
  <c r="U308" i="23"/>
  <c r="D308" i="23" s="1"/>
  <c r="U221" i="23"/>
  <c r="D221" i="23" s="1"/>
  <c r="U75" i="23"/>
  <c r="D75" i="23" s="1"/>
  <c r="U82" i="23"/>
  <c r="D82" i="23" s="1"/>
  <c r="U121" i="23"/>
  <c r="D121" i="23" s="1"/>
  <c r="U167" i="23"/>
  <c r="D167" i="23" s="1"/>
  <c r="U201" i="23"/>
  <c r="D201" i="23" s="1"/>
  <c r="U162" i="23"/>
  <c r="D162" i="23" s="1"/>
  <c r="U68" i="23"/>
  <c r="D68" i="23" s="1"/>
  <c r="U183" i="23"/>
  <c r="D183" i="23" s="1"/>
  <c r="U58" i="23"/>
  <c r="D58" i="23" s="1"/>
  <c r="U96" i="23"/>
  <c r="D96" i="23" s="1"/>
  <c r="U277" i="23"/>
  <c r="D277" i="23" s="1"/>
  <c r="U328" i="23"/>
  <c r="D328" i="23" s="1"/>
  <c r="U369" i="23"/>
  <c r="D369" i="23" s="1"/>
  <c r="U45" i="23"/>
  <c r="D45" i="23" s="1"/>
  <c r="U61" i="23"/>
  <c r="D61" i="23" s="1"/>
  <c r="U137" i="23"/>
  <c r="D137" i="23" s="1"/>
  <c r="U76" i="23"/>
  <c r="D76" i="23" s="1"/>
  <c r="U381" i="23"/>
  <c r="D381" i="23" s="1"/>
  <c r="U125" i="23"/>
  <c r="D125" i="23" s="1"/>
  <c r="U102" i="23"/>
  <c r="D102" i="23" s="1"/>
  <c r="U302" i="23"/>
  <c r="D302" i="23" s="1"/>
  <c r="U91" i="23"/>
  <c r="D91" i="23" s="1"/>
  <c r="U181" i="23"/>
  <c r="D181" i="23" s="1"/>
  <c r="U148" i="23"/>
  <c r="D148" i="23" s="1"/>
  <c r="U322" i="23"/>
  <c r="D322" i="23" s="1"/>
  <c r="U141" i="23"/>
  <c r="D141" i="23" s="1"/>
  <c r="U268" i="23"/>
  <c r="D268" i="23" s="1"/>
  <c r="U143" i="23"/>
  <c r="D143" i="23" s="1"/>
  <c r="U311" i="23"/>
  <c r="D311" i="23" s="1"/>
  <c r="U64" i="23"/>
  <c r="D64" i="23" s="1"/>
  <c r="U306" i="23"/>
  <c r="D306" i="23" s="1"/>
  <c r="U188" i="23"/>
  <c r="D188" i="23" s="1"/>
  <c r="U67" i="23"/>
  <c r="D67" i="23" s="1"/>
  <c r="U390" i="23"/>
  <c r="D390" i="23" s="1"/>
  <c r="U52" i="23"/>
  <c r="D52" i="23" s="1"/>
  <c r="U246" i="23"/>
  <c r="D246" i="23" s="1"/>
  <c r="U105" i="23"/>
  <c r="D105" i="23" s="1"/>
  <c r="U212" i="23"/>
  <c r="D212" i="23" s="1"/>
  <c r="U254" i="23"/>
  <c r="D254" i="23" s="1"/>
  <c r="U216" i="23"/>
  <c r="D216" i="23" s="1"/>
  <c r="U69" i="23"/>
  <c r="D69" i="23" s="1"/>
  <c r="U63" i="23"/>
  <c r="D63" i="23" s="1"/>
  <c r="U386" i="23"/>
  <c r="D386" i="23" s="1"/>
  <c r="U43" i="23"/>
  <c r="D43" i="23" s="1"/>
  <c r="U60" i="23"/>
  <c r="D60" i="23" s="1"/>
  <c r="U235" i="23"/>
  <c r="D235" i="23" s="1"/>
  <c r="U337" i="23"/>
  <c r="D337" i="23" s="1"/>
  <c r="U192" i="23"/>
  <c r="D192" i="23" s="1"/>
  <c r="U233" i="23"/>
  <c r="D233" i="23" s="1"/>
  <c r="U120" i="23"/>
  <c r="D120" i="23" s="1"/>
  <c r="U266" i="23"/>
  <c r="D266" i="23" s="1"/>
  <c r="U314" i="23"/>
  <c r="D314" i="23" s="1"/>
  <c r="U396" i="23"/>
  <c r="D396" i="23" s="1"/>
  <c r="U276" i="23"/>
  <c r="D276" i="23" s="1"/>
  <c r="U116" i="23"/>
  <c r="D116" i="23" s="1"/>
  <c r="U248" i="23"/>
  <c r="D248" i="23" s="1"/>
  <c r="U132" i="23"/>
  <c r="D132" i="23" s="1"/>
  <c r="U40" i="23"/>
  <c r="D40" i="23" s="1"/>
  <c r="U226" i="23"/>
  <c r="D226" i="23" s="1"/>
  <c r="U247" i="23"/>
  <c r="D247" i="23" s="1"/>
  <c r="U202" i="23"/>
  <c r="D202" i="23" s="1"/>
  <c r="U197" i="23"/>
  <c r="D197" i="23" s="1"/>
  <c r="U279" i="23"/>
  <c r="D279" i="23" s="1"/>
  <c r="U77" i="23"/>
  <c r="D77" i="23" s="1"/>
  <c r="U280" i="23"/>
  <c r="D280" i="23" s="1"/>
  <c r="U160" i="23"/>
  <c r="D160" i="23" s="1"/>
  <c r="U255" i="23"/>
  <c r="D255" i="23" s="1"/>
  <c r="U203" i="23"/>
  <c r="D203" i="23" s="1"/>
  <c r="U95" i="23"/>
  <c r="D95" i="23" s="1"/>
  <c r="U249" i="23"/>
  <c r="D249" i="23" s="1"/>
  <c r="U347" i="23"/>
  <c r="D347" i="23" s="1"/>
  <c r="U362" i="23"/>
  <c r="D362" i="23" s="1"/>
  <c r="U281" i="23"/>
  <c r="D281" i="23" s="1"/>
  <c r="U85" i="23"/>
  <c r="D85" i="23" s="1"/>
  <c r="U174" i="23"/>
  <c r="D174" i="23" s="1"/>
  <c r="U245" i="23"/>
  <c r="D245" i="23" s="1"/>
  <c r="U363" i="23"/>
  <c r="D363" i="23" s="1"/>
  <c r="U123" i="23"/>
  <c r="D123" i="23" s="1"/>
  <c r="U51" i="23"/>
  <c r="D51" i="23" s="1"/>
  <c r="U112" i="23"/>
  <c r="D112" i="23" s="1"/>
  <c r="U73" i="23"/>
  <c r="D73" i="23" s="1"/>
  <c r="U122" i="23"/>
  <c r="D122" i="23" s="1"/>
  <c r="U274" i="23"/>
  <c r="D274" i="23" s="1"/>
  <c r="U344" i="23"/>
  <c r="D344" i="23" s="1"/>
  <c r="U79" i="23"/>
  <c r="D79" i="23" s="1"/>
  <c r="U140" i="23"/>
  <c r="D140" i="23" s="1"/>
  <c r="U298" i="23"/>
  <c r="D298" i="23" s="1"/>
  <c r="U138" i="23"/>
  <c r="D138" i="23" s="1"/>
  <c r="U238" i="23"/>
  <c r="D238" i="23" s="1"/>
  <c r="U341" i="23"/>
  <c r="D341" i="23" s="1"/>
  <c r="U110" i="23"/>
  <c r="D110" i="23" s="1"/>
  <c r="U330" i="23"/>
  <c r="D330" i="23" s="1"/>
  <c r="U272" i="23"/>
  <c r="D272" i="23" s="1"/>
  <c r="U352" i="23"/>
  <c r="D352" i="23" s="1"/>
  <c r="U371" i="23"/>
  <c r="D371" i="23" s="1"/>
  <c r="U54" i="23"/>
  <c r="D54" i="23" s="1"/>
  <c r="U310" i="23"/>
  <c r="D310" i="23" s="1"/>
  <c r="U151" i="23"/>
  <c r="D151" i="23" s="1"/>
  <c r="U242" i="23"/>
  <c r="D242" i="23" s="1"/>
  <c r="U338" i="23"/>
  <c r="D338" i="23" s="1"/>
  <c r="U397" i="23"/>
  <c r="D397" i="23" s="1"/>
  <c r="U200" i="23"/>
  <c r="D200" i="23" s="1"/>
  <c r="U237" i="23"/>
  <c r="D237" i="23" s="1"/>
  <c r="U163" i="23"/>
  <c r="D163" i="23" s="1"/>
  <c r="U217" i="23"/>
  <c r="D217" i="23" s="1"/>
  <c r="U275" i="23"/>
  <c r="D275" i="23" s="1"/>
  <c r="U370" i="23"/>
  <c r="D370" i="23" s="1"/>
  <c r="U53" i="23"/>
  <c r="D53" i="23" s="1"/>
  <c r="U126" i="23"/>
  <c r="D126" i="23" s="1"/>
  <c r="U193" i="23"/>
  <c r="D193" i="23" s="1"/>
  <c r="U104" i="23"/>
  <c r="D104" i="23" s="1"/>
  <c r="U47" i="23"/>
  <c r="D47" i="23" s="1"/>
  <c r="U324" i="23"/>
  <c r="D324" i="23" s="1"/>
  <c r="U113" i="23"/>
  <c r="D113" i="23" s="1"/>
  <c r="U145" i="23"/>
  <c r="D145" i="23" s="1"/>
  <c r="U190" i="23"/>
  <c r="D190" i="23" s="1"/>
  <c r="U383" i="23"/>
  <c r="D383" i="23" s="1"/>
  <c r="U164" i="23"/>
  <c r="D164" i="23" s="1"/>
  <c r="U118" i="23"/>
  <c r="D118" i="23" s="1"/>
  <c r="U349" i="23"/>
  <c r="D349" i="23" s="1"/>
  <c r="U399" i="23"/>
  <c r="D399" i="23" s="1"/>
  <c r="U398" i="23"/>
  <c r="D398" i="23" s="1"/>
  <c r="U225" i="23"/>
  <c r="D225" i="23" s="1"/>
  <c r="U297" i="23"/>
  <c r="D297" i="23" s="1"/>
  <c r="U377" i="23"/>
  <c r="D377" i="23" s="1"/>
  <c r="U287" i="23"/>
  <c r="D287" i="23" s="1"/>
  <c r="U224" i="23"/>
  <c r="D224" i="23" s="1"/>
  <c r="U93" i="23"/>
  <c r="D93" i="23" s="1"/>
  <c r="U173" i="23"/>
  <c r="D173" i="23" s="1"/>
  <c r="U231" i="23"/>
  <c r="D231" i="23" s="1"/>
  <c r="U259" i="23"/>
  <c r="D259" i="23" s="1"/>
  <c r="U172" i="23"/>
  <c r="D172" i="23" s="1"/>
  <c r="U49" i="23"/>
  <c r="D49" i="23" s="1"/>
  <c r="U325" i="23"/>
  <c r="D325" i="23" s="1"/>
  <c r="U155" i="23"/>
  <c r="D155" i="23" s="1"/>
  <c r="U239" i="23"/>
  <c r="D239" i="23" s="1"/>
  <c r="U317" i="23"/>
  <c r="D317" i="23" s="1"/>
  <c r="U346" i="23"/>
  <c r="D346" i="23" s="1"/>
  <c r="U149" i="23"/>
  <c r="D149" i="23" s="1"/>
  <c r="U385" i="23"/>
  <c r="D385" i="23" s="1"/>
  <c r="U158" i="23"/>
  <c r="D158" i="23" s="1"/>
  <c r="U291" i="23"/>
  <c r="D291" i="23" s="1"/>
  <c r="U179" i="23"/>
  <c r="D179" i="23" s="1"/>
  <c r="U400" i="23"/>
  <c r="D400" i="23" s="1"/>
  <c r="U252" i="23"/>
  <c r="D252" i="23" s="1"/>
  <c r="U373" i="23"/>
  <c r="D373" i="23" s="1"/>
  <c r="U83" i="23"/>
  <c r="D83" i="23" s="1"/>
  <c r="U294" i="23"/>
  <c r="D294" i="23" s="1"/>
  <c r="U296" i="23"/>
  <c r="D296" i="23" s="1"/>
  <c r="U115" i="23"/>
  <c r="D115" i="23" s="1"/>
  <c r="U94" i="23"/>
  <c r="D94" i="23" s="1"/>
  <c r="U185" i="23"/>
  <c r="D185" i="23" s="1"/>
  <c r="U305" i="23"/>
  <c r="D305" i="23" s="1"/>
  <c r="U103" i="23"/>
  <c r="D103" i="23" s="1"/>
  <c r="U360" i="23"/>
  <c r="D360" i="23" s="1"/>
  <c r="U213" i="23"/>
  <c r="D213" i="23" s="1"/>
  <c r="U88" i="23"/>
  <c r="D88" i="23" s="1"/>
  <c r="U353" i="23"/>
  <c r="D353" i="23" s="1"/>
  <c r="U184" i="23"/>
  <c r="D184" i="23" s="1"/>
  <c r="U182" i="23"/>
  <c r="D182" i="23" s="1"/>
  <c r="U326" i="23"/>
  <c r="D326" i="23" s="1"/>
  <c r="U289" i="23"/>
  <c r="D289" i="23" s="1"/>
  <c r="U320" i="23"/>
  <c r="D320" i="23" s="1"/>
  <c r="U273" i="23"/>
  <c r="D273" i="23" s="1"/>
  <c r="U393" i="23"/>
  <c r="D393" i="23" s="1"/>
  <c r="U84" i="23"/>
  <c r="D84" i="23" s="1"/>
  <c r="U331" i="23"/>
  <c r="D331" i="23" s="1"/>
  <c r="U351" i="23"/>
  <c r="D351" i="23" s="1"/>
  <c r="U90" i="23"/>
  <c r="D90" i="23" s="1"/>
  <c r="U380" i="23"/>
  <c r="D380" i="23" s="1"/>
  <c r="U98" i="23"/>
  <c r="D98" i="23" s="1"/>
  <c r="U109" i="23"/>
  <c r="D109" i="23" s="1"/>
  <c r="U278" i="23"/>
  <c r="D278" i="23" s="1"/>
  <c r="U282" i="23"/>
  <c r="D282" i="23" s="1"/>
  <c r="U315" i="23"/>
  <c r="D315" i="23" s="1"/>
  <c r="U223" i="23"/>
  <c r="D223" i="23" s="1"/>
  <c r="U66" i="23"/>
  <c r="D66" i="23" s="1"/>
  <c r="U355" i="23"/>
  <c r="D355" i="23" s="1"/>
  <c r="U253" i="23"/>
  <c r="D253" i="23" s="1"/>
  <c r="U288" i="23"/>
  <c r="D288" i="23" s="1"/>
  <c r="U340" i="23"/>
  <c r="D340" i="23" s="1"/>
  <c r="U92" i="23"/>
  <c r="D92" i="23" s="1"/>
  <c r="U107" i="23"/>
  <c r="D107" i="23" s="1"/>
  <c r="U56" i="23"/>
  <c r="D56" i="23" s="1"/>
  <c r="U154" i="23"/>
  <c r="D154" i="23" s="1"/>
  <c r="U379" i="23"/>
  <c r="D379" i="23" s="1"/>
  <c r="U204" i="23"/>
  <c r="D204" i="23" s="1"/>
  <c r="AE32" i="23"/>
  <c r="AC69" i="23" s="1"/>
  <c r="F69" i="23" s="1"/>
  <c r="U264" i="23"/>
  <c r="D264" i="23" s="1"/>
  <c r="U157" i="23"/>
  <c r="D157" i="23" s="1"/>
  <c r="U335" i="23"/>
  <c r="D335" i="23" s="1"/>
  <c r="U285" i="23"/>
  <c r="D285" i="23" s="1"/>
  <c r="U244" i="23"/>
  <c r="D244" i="23" s="1"/>
  <c r="U86" i="23"/>
  <c r="D86" i="23" s="1"/>
  <c r="U152" i="23"/>
  <c r="D152" i="23" s="1"/>
  <c r="U394" i="23"/>
  <c r="D394" i="23" s="1"/>
  <c r="U357" i="23"/>
  <c r="D357" i="23" s="1"/>
  <c r="U186" i="23"/>
  <c r="D186" i="23" s="1"/>
  <c r="U130" i="23"/>
  <c r="D130" i="23" s="1"/>
  <c r="U147" i="23"/>
  <c r="D147" i="23" s="1"/>
  <c r="U127" i="23"/>
  <c r="D127" i="23" s="1"/>
  <c r="U384" i="23"/>
  <c r="D384" i="23" s="1"/>
  <c r="U292" i="23"/>
  <c r="D292" i="23" s="1"/>
  <c r="AC360" i="29"/>
  <c r="F360" i="29" s="1"/>
  <c r="AC141" i="29"/>
  <c r="F141" i="29" s="1"/>
  <c r="AC329" i="29"/>
  <c r="F329" i="29" s="1"/>
  <c r="AC47" i="29"/>
  <c r="F47" i="29" s="1"/>
  <c r="AC101" i="29"/>
  <c r="F101" i="29" s="1"/>
  <c r="AC57" i="29"/>
  <c r="F57" i="29" s="1"/>
  <c r="AC284" i="29"/>
  <c r="F284" i="29" s="1"/>
  <c r="AC94" i="29"/>
  <c r="F94" i="29" s="1"/>
  <c r="AC58" i="29"/>
  <c r="F58" i="29" s="1"/>
  <c r="AC331" i="29"/>
  <c r="F331" i="29" s="1"/>
  <c r="AC191" i="29"/>
  <c r="F191" i="29" s="1"/>
  <c r="AC76" i="29"/>
  <c r="F76" i="29" s="1"/>
  <c r="AC82" i="29"/>
  <c r="F82" i="29" s="1"/>
  <c r="AC296" i="29"/>
  <c r="F296" i="29" s="1"/>
  <c r="AC159" i="29"/>
  <c r="F159" i="29" s="1"/>
  <c r="AC71" i="29"/>
  <c r="F71" i="29" s="1"/>
  <c r="AC72" i="29"/>
  <c r="F72" i="29" s="1"/>
  <c r="AC146" i="29"/>
  <c r="F146" i="29" s="1"/>
  <c r="AC386" i="29"/>
  <c r="F386" i="29" s="1"/>
  <c r="AC320" i="29"/>
  <c r="F320" i="29" s="1"/>
  <c r="AC366" i="29"/>
  <c r="F366" i="29" s="1"/>
  <c r="AC213" i="29"/>
  <c r="F213" i="29" s="1"/>
  <c r="AC326" i="29"/>
  <c r="F326" i="29" s="1"/>
  <c r="AC399" i="29"/>
  <c r="F399" i="29" s="1"/>
  <c r="AC238" i="29"/>
  <c r="F238" i="29" s="1"/>
  <c r="AC279" i="29"/>
  <c r="F279" i="29" s="1"/>
  <c r="AC115" i="29"/>
  <c r="F115" i="29" s="1"/>
  <c r="AC275" i="29"/>
  <c r="F275" i="29" s="1"/>
  <c r="AC365" i="29"/>
  <c r="F365" i="29" s="1"/>
  <c r="AC272" i="29"/>
  <c r="F272" i="29" s="1"/>
  <c r="AC240" i="29"/>
  <c r="F240" i="29" s="1"/>
  <c r="AC396" i="29"/>
  <c r="F396" i="29" s="1"/>
  <c r="AC391" i="29"/>
  <c r="F391" i="29" s="1"/>
  <c r="AC180" i="29"/>
  <c r="F180" i="29" s="1"/>
  <c r="AC281" i="29"/>
  <c r="F281" i="29" s="1"/>
  <c r="AC77" i="29"/>
  <c r="F77" i="29" s="1"/>
  <c r="AC216" i="29"/>
  <c r="F216" i="29" s="1"/>
  <c r="AC392" i="29"/>
  <c r="F392" i="29" s="1"/>
  <c r="AC307" i="29"/>
  <c r="F307" i="29" s="1"/>
  <c r="AC168" i="29"/>
  <c r="F168" i="29" s="1"/>
  <c r="AC102" i="29"/>
  <c r="F102" i="29" s="1"/>
  <c r="AC206" i="29"/>
  <c r="F206" i="29" s="1"/>
  <c r="AC269" i="29"/>
  <c r="F269" i="29" s="1"/>
  <c r="AC247" i="29"/>
  <c r="F247" i="29" s="1"/>
  <c r="AC361" i="29"/>
  <c r="F361" i="29" s="1"/>
  <c r="AC265" i="29"/>
  <c r="F265" i="29" s="1"/>
  <c r="AC187" i="29"/>
  <c r="F187" i="29" s="1"/>
  <c r="AC154" i="29"/>
  <c r="F154" i="29" s="1"/>
  <c r="AC311" i="29"/>
  <c r="F311" i="29" s="1"/>
  <c r="AC52" i="29"/>
  <c r="F52" i="29" s="1"/>
  <c r="AC49" i="29"/>
  <c r="F49" i="29" s="1"/>
  <c r="AC328" i="29"/>
  <c r="F328" i="29" s="1"/>
  <c r="AC61" i="29"/>
  <c r="F61" i="29" s="1"/>
  <c r="AC172" i="29"/>
  <c r="F172" i="29" s="1"/>
  <c r="AC369" i="29"/>
  <c r="F369" i="29" s="1"/>
  <c r="AC118" i="29"/>
  <c r="F118" i="29" s="1"/>
  <c r="AC384" i="29"/>
  <c r="F384" i="29" s="1"/>
  <c r="AC242" i="29"/>
  <c r="F242" i="29" s="1"/>
  <c r="AC43" i="29"/>
  <c r="F43" i="29" s="1"/>
  <c r="AC67" i="29"/>
  <c r="F67" i="29" s="1"/>
  <c r="AC84" i="29"/>
  <c r="F84" i="29" s="1"/>
  <c r="AC349" i="29"/>
  <c r="F349" i="29" s="1"/>
  <c r="AC303" i="29"/>
  <c r="F303" i="29" s="1"/>
  <c r="AC89" i="29"/>
  <c r="F89" i="29" s="1"/>
  <c r="AC339" i="29"/>
  <c r="F339" i="29" s="1"/>
  <c r="AC103" i="29"/>
  <c r="F103" i="29" s="1"/>
  <c r="AC233" i="29"/>
  <c r="F233" i="29" s="1"/>
  <c r="AC83" i="29"/>
  <c r="F83" i="29" s="1"/>
  <c r="AC48" i="29"/>
  <c r="F48" i="29" s="1"/>
  <c r="AC162" i="29"/>
  <c r="F162" i="29" s="1"/>
  <c r="AC330" i="29"/>
  <c r="F330" i="29" s="1"/>
  <c r="AC276" i="29"/>
  <c r="F276" i="29" s="1"/>
  <c r="AC98" i="29"/>
  <c r="F98" i="29" s="1"/>
  <c r="AC41" i="29"/>
  <c r="F41" i="29" s="1"/>
  <c r="AC377" i="29"/>
  <c r="F377" i="29" s="1"/>
  <c r="AC117" i="29"/>
  <c r="F117" i="29" s="1"/>
  <c r="AC130" i="29"/>
  <c r="F130" i="29" s="1"/>
  <c r="AC79" i="29"/>
  <c r="F79" i="29" s="1"/>
  <c r="AC315" i="29"/>
  <c r="F315" i="29" s="1"/>
  <c r="AC95" i="29"/>
  <c r="F95" i="29" s="1"/>
  <c r="AC336" i="29"/>
  <c r="F336" i="29" s="1"/>
  <c r="AC144" i="29"/>
  <c r="F144" i="29" s="1"/>
  <c r="AC128" i="29"/>
  <c r="F128" i="29" s="1"/>
  <c r="AC147" i="29"/>
  <c r="F147" i="29" s="1"/>
  <c r="AC104" i="29"/>
  <c r="F104" i="29" s="1"/>
  <c r="AC199" i="29"/>
  <c r="F199" i="29" s="1"/>
  <c r="AC300" i="29"/>
  <c r="F300" i="29" s="1"/>
  <c r="AC75" i="29"/>
  <c r="F75" i="29" s="1"/>
  <c r="AC338" i="29"/>
  <c r="F338" i="29" s="1"/>
  <c r="AC165" i="29"/>
  <c r="F165" i="29" s="1"/>
  <c r="AC224" i="29"/>
  <c r="F224" i="29" s="1"/>
  <c r="AC332" i="29"/>
  <c r="F332" i="29" s="1"/>
  <c r="AC393" i="29"/>
  <c r="F393" i="29" s="1"/>
  <c r="AC214" i="29"/>
  <c r="F214" i="29" s="1"/>
  <c r="AC252" i="29"/>
  <c r="F252" i="29" s="1"/>
  <c r="AC343" i="29"/>
  <c r="F343" i="29" s="1"/>
  <c r="AC262" i="29"/>
  <c r="F262" i="29" s="1"/>
  <c r="AC346" i="29"/>
  <c r="F346" i="29" s="1"/>
  <c r="AC181" i="29"/>
  <c r="F181" i="29" s="1"/>
  <c r="AC221" i="29"/>
  <c r="F221" i="29" s="1"/>
  <c r="AC342" i="29"/>
  <c r="F342" i="29" s="1"/>
  <c r="AC251" i="29"/>
  <c r="F251" i="29" s="1"/>
  <c r="AC356" i="29"/>
  <c r="F356" i="29" s="1"/>
  <c r="AC225" i="29"/>
  <c r="F225" i="29" s="1"/>
  <c r="AC148" i="29"/>
  <c r="F148" i="29" s="1"/>
  <c r="AC286" i="29"/>
  <c r="F286" i="29" s="1"/>
  <c r="AC135" i="29"/>
  <c r="F135" i="29" s="1"/>
  <c r="AC253" i="29"/>
  <c r="F253" i="29" s="1"/>
  <c r="AC46" i="29"/>
  <c r="F46" i="29" s="1"/>
  <c r="AC153" i="29"/>
  <c r="F153" i="29" s="1"/>
  <c r="AC277" i="29"/>
  <c r="F277" i="29" s="1"/>
  <c r="AC78" i="29"/>
  <c r="F78" i="29" s="1"/>
  <c r="AC280" i="29"/>
  <c r="F280" i="29" s="1"/>
  <c r="AC97" i="29"/>
  <c r="F97" i="29" s="1"/>
  <c r="AC120" i="29"/>
  <c r="F120" i="29" s="1"/>
  <c r="AC85" i="29"/>
  <c r="F85" i="29" s="1"/>
  <c r="AC90" i="29"/>
  <c r="F90" i="29" s="1"/>
  <c r="AC282" i="29"/>
  <c r="F282" i="29" s="1"/>
  <c r="AC381" i="29"/>
  <c r="F381" i="29" s="1"/>
  <c r="AC231" i="29"/>
  <c r="F231" i="29" s="1"/>
  <c r="AC164" i="29"/>
  <c r="F164" i="29" s="1"/>
  <c r="AC140" i="29"/>
  <c r="F140" i="29" s="1"/>
  <c r="AC362" i="29"/>
  <c r="F362" i="29" s="1"/>
  <c r="AC248" i="29"/>
  <c r="F248" i="29" s="1"/>
  <c r="AC88" i="29"/>
  <c r="F88" i="29" s="1"/>
  <c r="AC45" i="29"/>
  <c r="F45" i="29" s="1"/>
  <c r="AC152" i="29"/>
  <c r="F152" i="29" s="1"/>
  <c r="AC321" i="29"/>
  <c r="F321" i="29" s="1"/>
  <c r="AC69" i="29"/>
  <c r="F69" i="29" s="1"/>
  <c r="AC192" i="29"/>
  <c r="F192" i="29" s="1"/>
  <c r="AC212" i="29"/>
  <c r="F212" i="29" s="1"/>
  <c r="AC150" i="29"/>
  <c r="F150" i="29" s="1"/>
  <c r="AC188" i="29"/>
  <c r="F188" i="29" s="1"/>
  <c r="AC185" i="29"/>
  <c r="F185" i="29" s="1"/>
  <c r="AC190" i="29"/>
  <c r="F190" i="29" s="1"/>
  <c r="AC177" i="29"/>
  <c r="F177" i="29" s="1"/>
  <c r="AC217" i="29"/>
  <c r="F217" i="29" s="1"/>
  <c r="AC65" i="29"/>
  <c r="F65" i="29" s="1"/>
  <c r="AC119" i="29"/>
  <c r="F119" i="29" s="1"/>
  <c r="AC81" i="29"/>
  <c r="F81" i="29" s="1"/>
  <c r="AC298" i="29"/>
  <c r="F298" i="29" s="1"/>
  <c r="AC123" i="29"/>
  <c r="F123" i="29" s="1"/>
  <c r="AC306" i="29"/>
  <c r="F306" i="29" s="1"/>
  <c r="AC80" i="29"/>
  <c r="F80" i="29" s="1"/>
  <c r="AC317" i="29"/>
  <c r="F317" i="29" s="1"/>
  <c r="AC131" i="29"/>
  <c r="F131" i="29" s="1"/>
  <c r="AC290" i="29"/>
  <c r="F290" i="29" s="1"/>
  <c r="AC169" i="29"/>
  <c r="F169" i="29" s="1"/>
  <c r="AC292" i="29"/>
  <c r="F292" i="29" s="1"/>
  <c r="AC227" i="29"/>
  <c r="F227" i="29" s="1"/>
  <c r="AC325" i="29"/>
  <c r="F325" i="29" s="1"/>
  <c r="AC270" i="29"/>
  <c r="F270" i="29" s="1"/>
  <c r="AC226" i="29"/>
  <c r="F226" i="29" s="1"/>
  <c r="AC259" i="29"/>
  <c r="F259" i="29" s="1"/>
  <c r="AC87" i="29"/>
  <c r="F87" i="29" s="1"/>
  <c r="AC139" i="29"/>
  <c r="F139" i="29" s="1"/>
  <c r="AC198" i="29"/>
  <c r="F198" i="29" s="1"/>
  <c r="AC295" i="29"/>
  <c r="F295" i="29" s="1"/>
  <c r="AC228" i="29"/>
  <c r="F228" i="29" s="1"/>
  <c r="AC64" i="29"/>
  <c r="F64" i="29" s="1"/>
  <c r="AC385" i="29"/>
  <c r="F385" i="29" s="1"/>
  <c r="AC50" i="29"/>
  <c r="F50" i="29" s="1"/>
  <c r="AC389" i="29"/>
  <c r="F389" i="29" s="1"/>
  <c r="AC249" i="29"/>
  <c r="F249" i="29" s="1"/>
  <c r="AC341" i="29"/>
  <c r="F341" i="29" s="1"/>
  <c r="AC218" i="29"/>
  <c r="F218" i="29" s="1"/>
  <c r="AC309" i="29"/>
  <c r="F309" i="29" s="1"/>
  <c r="AC364" i="29"/>
  <c r="F364" i="29" s="1"/>
  <c r="AC400" i="29"/>
  <c r="F400" i="29" s="1"/>
  <c r="AC322" i="29"/>
  <c r="F322" i="29" s="1"/>
  <c r="AC256" i="29"/>
  <c r="F256" i="29" s="1"/>
  <c r="AC166" i="29"/>
  <c r="F166" i="29" s="1"/>
  <c r="AC121" i="29"/>
  <c r="F121" i="29" s="1"/>
  <c r="AC193" i="29"/>
  <c r="F193" i="29" s="1"/>
  <c r="AC178" i="29"/>
  <c r="F178" i="29" s="1"/>
  <c r="AC197" i="29"/>
  <c r="F197" i="29" s="1"/>
  <c r="AC158" i="29"/>
  <c r="F158" i="29" s="1"/>
  <c r="AC137" i="29"/>
  <c r="F137" i="29" s="1"/>
  <c r="AC202" i="29"/>
  <c r="F202" i="29" s="1"/>
  <c r="AC208" i="29"/>
  <c r="F208" i="29" s="1"/>
  <c r="AC353" i="29"/>
  <c r="F353" i="29" s="1"/>
  <c r="AC59" i="29"/>
  <c r="F59" i="29" s="1"/>
  <c r="AC66" i="29"/>
  <c r="F66" i="29" s="1"/>
  <c r="AC201" i="29"/>
  <c r="F201" i="29" s="1"/>
  <c r="AC289" i="29"/>
  <c r="F289" i="29" s="1"/>
  <c r="AC109" i="29"/>
  <c r="F109" i="29" s="1"/>
  <c r="AC261" i="29"/>
  <c r="F261" i="29" s="1"/>
  <c r="AC108" i="29"/>
  <c r="F108" i="29" s="1"/>
  <c r="AC125" i="29"/>
  <c r="F125" i="29" s="1"/>
  <c r="AC132" i="29"/>
  <c r="F132" i="29" s="1"/>
  <c r="AC209" i="29"/>
  <c r="F209" i="29" s="1"/>
  <c r="AC91" i="29"/>
  <c r="F91" i="29" s="1"/>
  <c r="AC347" i="29"/>
  <c r="F347" i="29" s="1"/>
  <c r="AC273" i="29"/>
  <c r="F273" i="29" s="1"/>
  <c r="AC204" i="29"/>
  <c r="F204" i="29" s="1"/>
  <c r="AC179" i="29"/>
  <c r="F179" i="29" s="1"/>
  <c r="AC142" i="29"/>
  <c r="F142" i="29" s="1"/>
  <c r="AC357" i="29"/>
  <c r="F357" i="29" s="1"/>
  <c r="AC268" i="29"/>
  <c r="F268" i="29" s="1"/>
  <c r="AC155" i="29"/>
  <c r="F155" i="29" s="1"/>
  <c r="AC184" i="29"/>
  <c r="F184" i="29" s="1"/>
  <c r="AC182" i="29"/>
  <c r="F182" i="29" s="1"/>
  <c r="AC383" i="29"/>
  <c r="F383" i="29" s="1"/>
  <c r="AC163" i="29"/>
  <c r="F163" i="29" s="1"/>
  <c r="AC56" i="29"/>
  <c r="F56" i="29" s="1"/>
  <c r="AC62" i="29"/>
  <c r="F62" i="29" s="1"/>
  <c r="AC116" i="29"/>
  <c r="F116" i="29" s="1"/>
  <c r="AC293" i="29"/>
  <c r="F293" i="29" s="1"/>
  <c r="AC175" i="29"/>
  <c r="F175" i="29" s="1"/>
  <c r="AC355" i="29"/>
  <c r="F355" i="29" s="1"/>
  <c r="AC107" i="29"/>
  <c r="F107" i="29" s="1"/>
  <c r="AC149" i="29"/>
  <c r="F149" i="29" s="1"/>
  <c r="AC283" i="29"/>
  <c r="F283" i="29" s="1"/>
  <c r="AC70" i="29"/>
  <c r="F70" i="29" s="1"/>
  <c r="AC160" i="29"/>
  <c r="F160" i="29" s="1"/>
  <c r="AC96" i="29"/>
  <c r="F96" i="29" s="1"/>
  <c r="AC302" i="29"/>
  <c r="F302" i="29" s="1"/>
  <c r="AC122" i="29"/>
  <c r="F122" i="29" s="1"/>
  <c r="AC271" i="29"/>
  <c r="F271" i="29" s="1"/>
  <c r="AC327" i="29"/>
  <c r="F327" i="29" s="1"/>
  <c r="AC260" i="29"/>
  <c r="F260" i="29" s="1"/>
  <c r="AC340" i="29"/>
  <c r="F340" i="29" s="1"/>
  <c r="AC278" i="29"/>
  <c r="F278" i="29" s="1"/>
  <c r="AC359" i="29"/>
  <c r="F359" i="29" s="1"/>
  <c r="AC54" i="29"/>
  <c r="F54" i="29" s="1"/>
  <c r="AC345" i="29"/>
  <c r="F345" i="29" s="1"/>
  <c r="AC308" i="29"/>
  <c r="F308" i="29" s="1"/>
  <c r="AC266" i="29"/>
  <c r="F266" i="29" s="1"/>
  <c r="AC373" i="29"/>
  <c r="F373" i="29" s="1"/>
  <c r="AC395" i="29"/>
  <c r="F395" i="29" s="1"/>
  <c r="AC73" i="29"/>
  <c r="F73" i="29" s="1"/>
  <c r="AC297" i="29"/>
  <c r="F297" i="29" s="1"/>
  <c r="AC314" i="29"/>
  <c r="F314" i="29" s="1"/>
  <c r="AC367" i="29"/>
  <c r="F367" i="29" s="1"/>
  <c r="AC127" i="29"/>
  <c r="F127" i="29" s="1"/>
  <c r="AC229" i="29"/>
  <c r="F229" i="29" s="1"/>
  <c r="AC363" i="29"/>
  <c r="F363" i="29" s="1"/>
  <c r="AC183" i="29"/>
  <c r="F183" i="29" s="1"/>
  <c r="AC267" i="29"/>
  <c r="F267" i="29" s="1"/>
  <c r="AC264" i="29"/>
  <c r="F264" i="29" s="1"/>
  <c r="AC138" i="29"/>
  <c r="F138" i="29" s="1"/>
  <c r="AC285" i="29"/>
  <c r="F285" i="29" s="1"/>
  <c r="AC195" i="29"/>
  <c r="F195" i="29" s="1"/>
  <c r="AC258" i="29"/>
  <c r="F258" i="29" s="1"/>
  <c r="AC60" i="29"/>
  <c r="F60" i="29" s="1"/>
  <c r="AC372" i="29"/>
  <c r="F372" i="29" s="1"/>
  <c r="AC129" i="29"/>
  <c r="F129" i="29" s="1"/>
  <c r="AC134" i="29"/>
  <c r="F134" i="29" s="1"/>
  <c r="AC173" i="29"/>
  <c r="F173" i="29" s="1"/>
  <c r="AC243" i="29"/>
  <c r="F243" i="29" s="1"/>
  <c r="AC368" i="29"/>
  <c r="F368" i="29" s="1"/>
  <c r="AC114" i="29"/>
  <c r="F114" i="29" s="1"/>
  <c r="AC42" i="29"/>
  <c r="F42" i="29" s="1"/>
  <c r="AC203" i="29"/>
  <c r="F203" i="29" s="1"/>
  <c r="AC379" i="29"/>
  <c r="F379" i="29" s="1"/>
  <c r="AC305" i="29"/>
  <c r="F305" i="29" s="1"/>
  <c r="AC237" i="29"/>
  <c r="F237" i="29" s="1"/>
  <c r="AC387" i="29"/>
  <c r="F387" i="29" s="1"/>
  <c r="AC189" i="29"/>
  <c r="F189" i="29" s="1"/>
  <c r="AC110" i="29"/>
  <c r="F110" i="29" s="1"/>
  <c r="AC250" i="29"/>
  <c r="F250" i="29" s="1"/>
  <c r="AC370" i="29"/>
  <c r="F370" i="29" s="1"/>
  <c r="AC263" i="29"/>
  <c r="F263" i="29" s="1"/>
  <c r="AC390" i="29"/>
  <c r="F390" i="29" s="1"/>
  <c r="AC244" i="29"/>
  <c r="F244" i="29" s="1"/>
  <c r="AC156" i="29"/>
  <c r="F156" i="29" s="1"/>
  <c r="AC371" i="29"/>
  <c r="F371" i="29" s="1"/>
  <c r="AC334" i="29"/>
  <c r="F334" i="29" s="1"/>
  <c r="AC210" i="29"/>
  <c r="F210" i="29" s="1"/>
  <c r="AC232" i="29"/>
  <c r="F232" i="29" s="1"/>
  <c r="AC333" i="29"/>
  <c r="F333" i="29" s="1"/>
  <c r="AC299" i="29"/>
  <c r="F299" i="29" s="1"/>
  <c r="AC112" i="29"/>
  <c r="F112" i="29" s="1"/>
  <c r="AC124" i="29"/>
  <c r="F124" i="29" s="1"/>
  <c r="AC171" i="29"/>
  <c r="F171" i="29" s="1"/>
  <c r="AC100" i="29"/>
  <c r="F100" i="29" s="1"/>
  <c r="AC161" i="29"/>
  <c r="F161" i="29" s="1"/>
  <c r="AC113" i="29"/>
  <c r="F113" i="29" s="1"/>
  <c r="AC380" i="29"/>
  <c r="F380" i="29" s="1"/>
  <c r="AC105" i="29"/>
  <c r="F105" i="29" s="1"/>
  <c r="AC234" i="29"/>
  <c r="F234" i="29" s="1"/>
  <c r="AC230" i="29"/>
  <c r="F230" i="29" s="1"/>
  <c r="AC211" i="29"/>
  <c r="F211" i="29" s="1"/>
  <c r="AC324" i="29"/>
  <c r="F324" i="29" s="1"/>
  <c r="AC301" i="29"/>
  <c r="F301" i="29" s="1"/>
  <c r="AC388" i="29"/>
  <c r="F388" i="29" s="1"/>
  <c r="AC207" i="29"/>
  <c r="F207" i="29" s="1"/>
  <c r="AC39" i="29"/>
  <c r="F39" i="29" s="1"/>
  <c r="AC294" i="29"/>
  <c r="F294" i="29" s="1"/>
  <c r="AC92" i="29"/>
  <c r="F92" i="29" s="1"/>
  <c r="AC86" i="29"/>
  <c r="F86" i="29" s="1"/>
  <c r="AC304" i="29"/>
  <c r="F304" i="29" s="1"/>
  <c r="AC174" i="29"/>
  <c r="F174" i="29" s="1"/>
  <c r="AC111" i="29"/>
  <c r="F111" i="29" s="1"/>
  <c r="AC351" i="29"/>
  <c r="F351" i="29" s="1"/>
  <c r="AC44" i="29"/>
  <c r="F44" i="29" s="1"/>
  <c r="AC126" i="29"/>
  <c r="F126" i="29" s="1"/>
  <c r="AC255" i="29"/>
  <c r="F255" i="29" s="1"/>
  <c r="AC99" i="29"/>
  <c r="F99" i="29" s="1"/>
  <c r="AC143" i="29"/>
  <c r="F143" i="29" s="1"/>
  <c r="AC378" i="29"/>
  <c r="F378" i="29" s="1"/>
  <c r="AC382" i="29"/>
  <c r="F382" i="29" s="1"/>
  <c r="AC318" i="29"/>
  <c r="F318" i="29" s="1"/>
  <c r="AC246" i="29"/>
  <c r="F246" i="29" s="1"/>
  <c r="AC151" i="29"/>
  <c r="F151" i="29" s="1"/>
  <c r="AC310" i="29"/>
  <c r="F310" i="29" s="1"/>
  <c r="AC157" i="29"/>
  <c r="F157" i="29" s="1"/>
  <c r="AC136" i="29"/>
  <c r="F136" i="29" s="1"/>
  <c r="AC167" i="29"/>
  <c r="F167" i="29" s="1"/>
  <c r="AC323" i="29"/>
  <c r="F323" i="29" s="1"/>
  <c r="AC239" i="29"/>
  <c r="F239" i="29" s="1"/>
  <c r="AC63" i="29"/>
  <c r="F63" i="29" s="1"/>
  <c r="AC375" i="29"/>
  <c r="F375" i="29" s="1"/>
  <c r="AC274" i="29"/>
  <c r="F274" i="29" s="1"/>
  <c r="AC215" i="29"/>
  <c r="F215" i="29" s="1"/>
  <c r="AC254" i="29"/>
  <c r="F254" i="29" s="1"/>
  <c r="AC398" i="29"/>
  <c r="F398" i="29" s="1"/>
  <c r="AC40" i="29"/>
  <c r="F40" i="29" s="1"/>
  <c r="AC354" i="29"/>
  <c r="F354" i="29" s="1"/>
  <c r="AC257" i="29"/>
  <c r="F257" i="29" s="1"/>
  <c r="AC394" i="29"/>
  <c r="F394" i="29" s="1"/>
  <c r="AC170" i="29"/>
  <c r="F170" i="29" s="1"/>
  <c r="AC223" i="29"/>
  <c r="F223" i="29" s="1"/>
  <c r="AC241" i="29"/>
  <c r="F241" i="29" s="1"/>
  <c r="AC352" i="29"/>
  <c r="F352" i="29" s="1"/>
  <c r="AC196" i="29"/>
  <c r="F196" i="29" s="1"/>
  <c r="AC288" i="29"/>
  <c r="F288" i="29" s="1"/>
  <c r="AC53" i="29"/>
  <c r="F53" i="29" s="1"/>
  <c r="AC205" i="29"/>
  <c r="F205" i="29" s="1"/>
  <c r="AC236" i="29"/>
  <c r="F236" i="29" s="1"/>
  <c r="AC51" i="29"/>
  <c r="F51" i="29" s="1"/>
  <c r="AC337" i="29"/>
  <c r="F337" i="29" s="1"/>
  <c r="AC68" i="29"/>
  <c r="F68" i="29" s="1"/>
  <c r="AC344" i="29"/>
  <c r="F344" i="29" s="1"/>
  <c r="AC376" i="29"/>
  <c r="F376" i="29" s="1"/>
  <c r="AC106" i="29"/>
  <c r="F106" i="29" s="1"/>
  <c r="AC222" i="29"/>
  <c r="F222" i="29" s="1"/>
  <c r="AC176" i="29"/>
  <c r="F176" i="29" s="1"/>
  <c r="AC350" i="29"/>
  <c r="F350" i="29" s="1"/>
  <c r="AC312" i="29"/>
  <c r="F312" i="29" s="1"/>
  <c r="AC74" i="29"/>
  <c r="F74" i="29" s="1"/>
  <c r="AC319" i="29"/>
  <c r="F319" i="29" s="1"/>
  <c r="AC194" i="29"/>
  <c r="F194" i="29" s="1"/>
  <c r="AC55" i="29"/>
  <c r="F55" i="29" s="1"/>
  <c r="AC93" i="29"/>
  <c r="F93" i="29" s="1"/>
  <c r="AC145" i="29"/>
  <c r="F145" i="29" s="1"/>
  <c r="AC245" i="29"/>
  <c r="F245" i="29" s="1"/>
  <c r="AC200" i="29"/>
  <c r="F200" i="29" s="1"/>
  <c r="AC235" i="29"/>
  <c r="F235" i="29" s="1"/>
  <c r="AC316" i="29"/>
  <c r="F316" i="29" s="1"/>
  <c r="AC348" i="29"/>
  <c r="F348" i="29" s="1"/>
  <c r="AC313" i="29"/>
  <c r="F313" i="29" s="1"/>
  <c r="AC397" i="29"/>
  <c r="F397" i="29" s="1"/>
  <c r="AC374" i="29"/>
  <c r="F374" i="29" s="1"/>
  <c r="AC133" i="29"/>
  <c r="F133" i="29" s="1"/>
  <c r="AC186" i="29"/>
  <c r="F186" i="29" s="1"/>
  <c r="AC358" i="29"/>
  <c r="F358" i="29" s="1"/>
  <c r="AC335" i="29"/>
  <c r="F335" i="29" s="1"/>
  <c r="W32" i="29"/>
  <c r="AC287" i="29"/>
  <c r="F287" i="29" s="1"/>
  <c r="AI32" i="29"/>
  <c r="AA32" i="29"/>
  <c r="E19" i="1"/>
  <c r="E20" i="1" s="1"/>
  <c r="E15" i="1"/>
  <c r="AC291" i="29"/>
  <c r="F291" i="29" s="1"/>
  <c r="AA32" i="24"/>
  <c r="AI32" i="24"/>
  <c r="AB32" i="14"/>
  <c r="AJ32" i="14"/>
  <c r="AA32" i="23"/>
  <c r="AI32" i="23"/>
  <c r="AC283" i="23" l="1"/>
  <c r="F283" i="23" s="1"/>
  <c r="AC371" i="23"/>
  <c r="F371" i="23" s="1"/>
  <c r="AC136" i="23"/>
  <c r="F136" i="23" s="1"/>
  <c r="AC342" i="23"/>
  <c r="F342" i="23" s="1"/>
  <c r="AC308" i="23"/>
  <c r="F308" i="23" s="1"/>
  <c r="AC42" i="23"/>
  <c r="F42" i="23" s="1"/>
  <c r="AC247" i="23"/>
  <c r="F247" i="23" s="1"/>
  <c r="AE32" i="24"/>
  <c r="W32" i="24"/>
  <c r="X32" i="14"/>
  <c r="AF32" i="14"/>
  <c r="AC263" i="23"/>
  <c r="F263" i="23" s="1"/>
  <c r="AC394" i="23"/>
  <c r="F394" i="23" s="1"/>
  <c r="AC357" i="23"/>
  <c r="F357" i="23" s="1"/>
  <c r="AC215" i="23"/>
  <c r="F215" i="23" s="1"/>
  <c r="AC397" i="23"/>
  <c r="F397" i="23" s="1"/>
  <c r="AC211" i="23"/>
  <c r="F211" i="23" s="1"/>
  <c r="AC175" i="23"/>
  <c r="F175" i="23" s="1"/>
  <c r="AC87" i="23"/>
  <c r="F87" i="23" s="1"/>
  <c r="AC159" i="23"/>
  <c r="F159" i="23" s="1"/>
  <c r="AC62" i="23"/>
  <c r="F62" i="23" s="1"/>
  <c r="AC343" i="23"/>
  <c r="F343" i="23" s="1"/>
  <c r="AC364" i="23"/>
  <c r="F364" i="23" s="1"/>
  <c r="AC335" i="23"/>
  <c r="F335" i="23" s="1"/>
  <c r="AC227" i="23"/>
  <c r="F227" i="23" s="1"/>
  <c r="AC378" i="23"/>
  <c r="F378" i="23" s="1"/>
  <c r="AC293" i="23"/>
  <c r="F293" i="23" s="1"/>
  <c r="AC261" i="23"/>
  <c r="F261" i="23" s="1"/>
  <c r="AC246" i="23"/>
  <c r="F246" i="23" s="1"/>
  <c r="AC242" i="23"/>
  <c r="F242" i="23" s="1"/>
  <c r="AC369" i="23"/>
  <c r="F369" i="23" s="1"/>
  <c r="AC395" i="23"/>
  <c r="F395" i="23" s="1"/>
  <c r="AC146" i="23"/>
  <c r="F146" i="23" s="1"/>
  <c r="AC174" i="23"/>
  <c r="F174" i="23" s="1"/>
  <c r="AC249" i="23"/>
  <c r="F249" i="23" s="1"/>
  <c r="AC127" i="23"/>
  <c r="F127" i="23" s="1"/>
  <c r="AC366" i="23"/>
  <c r="F366" i="23" s="1"/>
  <c r="AC317" i="23"/>
  <c r="F317" i="23" s="1"/>
  <c r="AC76" i="23"/>
  <c r="F76" i="23" s="1"/>
  <c r="AC221" i="23"/>
  <c r="F221" i="23" s="1"/>
  <c r="AC59" i="23"/>
  <c r="F59" i="23" s="1"/>
  <c r="AC58" i="23"/>
  <c r="F58" i="23" s="1"/>
  <c r="AC346" i="23"/>
  <c r="F346" i="23" s="1"/>
  <c r="AC98" i="23"/>
  <c r="F98" i="23" s="1"/>
  <c r="AC49" i="23"/>
  <c r="F49" i="23" s="1"/>
  <c r="AC158" i="23"/>
  <c r="F158" i="23" s="1"/>
  <c r="AC362" i="23"/>
  <c r="F362" i="23" s="1"/>
  <c r="AC163" i="23"/>
  <c r="F163" i="23" s="1"/>
  <c r="AC230" i="23"/>
  <c r="F230" i="23" s="1"/>
  <c r="AC106" i="23"/>
  <c r="F106" i="23" s="1"/>
  <c r="AC101" i="23"/>
  <c r="F101" i="23" s="1"/>
  <c r="AC226" i="23"/>
  <c r="F226" i="23" s="1"/>
  <c r="AC392" i="23"/>
  <c r="F392" i="23" s="1"/>
  <c r="AC351" i="23"/>
  <c r="F351" i="23" s="1"/>
  <c r="AC187" i="23"/>
  <c r="F187" i="23" s="1"/>
  <c r="AC327" i="23"/>
  <c r="F327" i="23" s="1"/>
  <c r="AC116" i="23"/>
  <c r="F116" i="23" s="1"/>
  <c r="AC271" i="23"/>
  <c r="F271" i="23" s="1"/>
  <c r="AC134" i="23"/>
  <c r="F134" i="23" s="1"/>
  <c r="AC60" i="23"/>
  <c r="F60" i="23" s="1"/>
  <c r="AC45" i="23"/>
  <c r="F45" i="23" s="1"/>
  <c r="AC306" i="23"/>
  <c r="F306" i="23" s="1"/>
  <c r="AC165" i="23"/>
  <c r="F165" i="23" s="1"/>
  <c r="AC90" i="23"/>
  <c r="F90" i="23" s="1"/>
  <c r="AC177" i="23"/>
  <c r="F177" i="23" s="1"/>
  <c r="AC195" i="23"/>
  <c r="F195" i="23" s="1"/>
  <c r="AC180" i="23"/>
  <c r="F180" i="23" s="1"/>
  <c r="AC206" i="23"/>
  <c r="F206" i="23" s="1"/>
  <c r="AC300" i="23"/>
  <c r="F300" i="23" s="1"/>
  <c r="AC228" i="23"/>
  <c r="F228" i="23" s="1"/>
  <c r="AC168" i="23"/>
  <c r="F168" i="23" s="1"/>
  <c r="AC81" i="23"/>
  <c r="F81" i="23" s="1"/>
  <c r="AC162" i="23"/>
  <c r="F162" i="23" s="1"/>
  <c r="AC95" i="23"/>
  <c r="F95" i="23" s="1"/>
  <c r="AC54" i="23"/>
  <c r="F54" i="23" s="1"/>
  <c r="AC115" i="23"/>
  <c r="F115" i="23" s="1"/>
  <c r="AC185" i="23"/>
  <c r="F185" i="23" s="1"/>
  <c r="AC169" i="23"/>
  <c r="F169" i="23" s="1"/>
  <c r="AC208" i="23"/>
  <c r="F208" i="23" s="1"/>
  <c r="AC307" i="23"/>
  <c r="F307" i="23" s="1"/>
  <c r="AC131" i="23"/>
  <c r="F131" i="23" s="1"/>
  <c r="AC334" i="23"/>
  <c r="F334" i="23" s="1"/>
  <c r="AC183" i="23"/>
  <c r="F183" i="23" s="1"/>
  <c r="AC130" i="23"/>
  <c r="F130" i="23" s="1"/>
  <c r="AC339" i="23"/>
  <c r="F339" i="23" s="1"/>
  <c r="AC244" i="23"/>
  <c r="F244" i="23" s="1"/>
  <c r="AC120" i="23"/>
  <c r="F120" i="23" s="1"/>
  <c r="AC46" i="23"/>
  <c r="F46" i="23" s="1"/>
  <c r="AC385" i="23"/>
  <c r="F385" i="23" s="1"/>
  <c r="AC376" i="23"/>
  <c r="F376" i="23" s="1"/>
  <c r="AC287" i="23"/>
  <c r="F287" i="23" s="1"/>
  <c r="AC232" i="23"/>
  <c r="F232" i="23" s="1"/>
  <c r="AC96" i="23"/>
  <c r="F96" i="23" s="1"/>
  <c r="AC274" i="23"/>
  <c r="F274" i="23" s="1"/>
  <c r="AC389" i="23"/>
  <c r="F389" i="23" s="1"/>
  <c r="AC102" i="23"/>
  <c r="F102" i="23" s="1"/>
  <c r="AC255" i="23"/>
  <c r="F255" i="23" s="1"/>
  <c r="AC279" i="23"/>
  <c r="F279" i="23" s="1"/>
  <c r="AC197" i="23"/>
  <c r="F197" i="23" s="1"/>
  <c r="AC133" i="23"/>
  <c r="F133" i="23" s="1"/>
  <c r="AC105" i="23"/>
  <c r="F105" i="23" s="1"/>
  <c r="AC235" i="23"/>
  <c r="F235" i="23" s="1"/>
  <c r="AC143" i="23"/>
  <c r="F143" i="23" s="1"/>
  <c r="AC212" i="23"/>
  <c r="F212" i="23" s="1"/>
  <c r="AC153" i="23"/>
  <c r="F153" i="23" s="1"/>
  <c r="AC310" i="23"/>
  <c r="F310" i="23" s="1"/>
  <c r="AC321" i="23"/>
  <c r="F321" i="23" s="1"/>
  <c r="AC109" i="23"/>
  <c r="F109" i="23" s="1"/>
  <c r="AC151" i="23"/>
  <c r="F151" i="23" s="1"/>
  <c r="AC88" i="23"/>
  <c r="F88" i="23" s="1"/>
  <c r="AC297" i="23"/>
  <c r="F297" i="23" s="1"/>
  <c r="AC207" i="23"/>
  <c r="F207" i="23" s="1"/>
  <c r="AC243" i="23"/>
  <c r="F243" i="23" s="1"/>
  <c r="AC348" i="23"/>
  <c r="F348" i="23" s="1"/>
  <c r="AC398" i="23"/>
  <c r="F398" i="23" s="1"/>
  <c r="AC100" i="23"/>
  <c r="F100" i="23" s="1"/>
  <c r="AC325" i="23"/>
  <c r="F325" i="23" s="1"/>
  <c r="AC85" i="23"/>
  <c r="F85" i="23" s="1"/>
  <c r="AC377" i="23"/>
  <c r="F377" i="23" s="1"/>
  <c r="AC258" i="23"/>
  <c r="F258" i="23" s="1"/>
  <c r="AC326" i="23"/>
  <c r="F326" i="23" s="1"/>
  <c r="AC340" i="23"/>
  <c r="F340" i="23" s="1"/>
  <c r="AC229" i="23"/>
  <c r="F229" i="23" s="1"/>
  <c r="AC319" i="23"/>
  <c r="F319" i="23" s="1"/>
  <c r="AC314" i="23"/>
  <c r="F314" i="23" s="1"/>
  <c r="AC93" i="23"/>
  <c r="F93" i="23" s="1"/>
  <c r="AC338" i="23"/>
  <c r="F338" i="23" s="1"/>
  <c r="AC74" i="23"/>
  <c r="F74" i="23" s="1"/>
  <c r="AC141" i="23"/>
  <c r="F141" i="23" s="1"/>
  <c r="AC188" i="23"/>
  <c r="F188" i="23" s="1"/>
  <c r="AC194" i="23"/>
  <c r="F194" i="23" s="1"/>
  <c r="AC41" i="23"/>
  <c r="F41" i="23" s="1"/>
  <c r="AC259" i="23"/>
  <c r="F259" i="23" s="1"/>
  <c r="AC267" i="23"/>
  <c r="F267" i="23" s="1"/>
  <c r="AC110" i="23"/>
  <c r="F110" i="23" s="1"/>
  <c r="AC304" i="23"/>
  <c r="F304" i="23" s="1"/>
  <c r="AC71" i="23"/>
  <c r="F71" i="23" s="1"/>
  <c r="AC97" i="23"/>
  <c r="F97" i="23" s="1"/>
  <c r="AC256" i="23"/>
  <c r="F256" i="23" s="1"/>
  <c r="AC52" i="23"/>
  <c r="F52" i="23" s="1"/>
  <c r="AC311" i="23"/>
  <c r="F311" i="23" s="1"/>
  <c r="AC292" i="23"/>
  <c r="F292" i="23" s="1"/>
  <c r="AC344" i="23"/>
  <c r="F344" i="23" s="1"/>
  <c r="AC323" i="23"/>
  <c r="F323" i="23" s="1"/>
  <c r="AC92" i="23"/>
  <c r="F92" i="23" s="1"/>
  <c r="AC273" i="23"/>
  <c r="F273" i="23" s="1"/>
  <c r="AC312" i="23"/>
  <c r="F312" i="23" s="1"/>
  <c r="AC382" i="23"/>
  <c r="F382" i="23" s="1"/>
  <c r="AC251" i="23"/>
  <c r="F251" i="23" s="1"/>
  <c r="AC154" i="23"/>
  <c r="F154" i="23" s="1"/>
  <c r="AC135" i="23"/>
  <c r="F135" i="23" s="1"/>
  <c r="AC375" i="23"/>
  <c r="F375" i="23" s="1"/>
  <c r="AC380" i="23"/>
  <c r="F380" i="23" s="1"/>
  <c r="AC164" i="23"/>
  <c r="F164" i="23" s="1"/>
  <c r="AC354" i="23"/>
  <c r="F354" i="23" s="1"/>
  <c r="AC51" i="23"/>
  <c r="F51" i="23" s="1"/>
  <c r="AC275" i="23"/>
  <c r="F275" i="23" s="1"/>
  <c r="AC257" i="23"/>
  <c r="F257" i="23" s="1"/>
  <c r="AC223" i="23"/>
  <c r="F223" i="23" s="1"/>
  <c r="AC192" i="23"/>
  <c r="F192" i="23" s="1"/>
  <c r="AC193" i="23"/>
  <c r="F193" i="23" s="1"/>
  <c r="AC328" i="23"/>
  <c r="F328" i="23" s="1"/>
  <c r="AC200" i="23"/>
  <c r="F200" i="23" s="1"/>
  <c r="AC80" i="23"/>
  <c r="F80" i="23" s="1"/>
  <c r="AC138" i="23"/>
  <c r="F138" i="23" s="1"/>
  <c r="AC111" i="23"/>
  <c r="F111" i="23" s="1"/>
  <c r="AC181" i="23"/>
  <c r="F181" i="23" s="1"/>
  <c r="AC290" i="23"/>
  <c r="F290" i="23" s="1"/>
  <c r="AC66" i="23"/>
  <c r="F66" i="23" s="1"/>
  <c r="AC156" i="23"/>
  <c r="F156" i="23" s="1"/>
  <c r="AC56" i="23"/>
  <c r="F56" i="23" s="1"/>
  <c r="AC268" i="23"/>
  <c r="F268" i="23" s="1"/>
  <c r="AC57" i="23"/>
  <c r="F57" i="23" s="1"/>
  <c r="AC303" i="23"/>
  <c r="F303" i="23" s="1"/>
  <c r="AC107" i="23"/>
  <c r="F107" i="23" s="1"/>
  <c r="AC260" i="23"/>
  <c r="F260" i="23" s="1"/>
  <c r="AC137" i="23"/>
  <c r="F137" i="23" s="1"/>
  <c r="AC388" i="23"/>
  <c r="F388" i="23" s="1"/>
  <c r="AC294" i="23"/>
  <c r="F294" i="23" s="1"/>
  <c r="AC359" i="23"/>
  <c r="F359" i="23" s="1"/>
  <c r="AC322" i="23"/>
  <c r="F322" i="23" s="1"/>
  <c r="AC400" i="23"/>
  <c r="F400" i="23" s="1"/>
  <c r="AC390" i="23"/>
  <c r="F390" i="23" s="1"/>
  <c r="AC372" i="23"/>
  <c r="F372" i="23" s="1"/>
  <c r="AC280" i="23"/>
  <c r="F280" i="23" s="1"/>
  <c r="AC132" i="23"/>
  <c r="F132" i="23" s="1"/>
  <c r="AC299" i="23"/>
  <c r="F299" i="23" s="1"/>
  <c r="AC170" i="23"/>
  <c r="F170" i="23" s="1"/>
  <c r="AC70" i="23"/>
  <c r="F70" i="23" s="1"/>
  <c r="AC129" i="23"/>
  <c r="F129" i="23" s="1"/>
  <c r="AC184" i="23"/>
  <c r="F184" i="23" s="1"/>
  <c r="AC318" i="23"/>
  <c r="F318" i="23" s="1"/>
  <c r="AC112" i="23"/>
  <c r="F112" i="23" s="1"/>
  <c r="AC266" i="23"/>
  <c r="F266" i="23" s="1"/>
  <c r="AC236" i="23"/>
  <c r="F236" i="23" s="1"/>
  <c r="AC189" i="23"/>
  <c r="F189" i="23" s="1"/>
  <c r="AC53" i="23"/>
  <c r="F53" i="23" s="1"/>
  <c r="AC144" i="23"/>
  <c r="F144" i="23" s="1"/>
  <c r="AC324" i="23"/>
  <c r="F324" i="23" s="1"/>
  <c r="AC393" i="23"/>
  <c r="F393" i="23" s="1"/>
  <c r="AC140" i="23"/>
  <c r="F140" i="23" s="1"/>
  <c r="AC114" i="23"/>
  <c r="F114" i="23" s="1"/>
  <c r="AC373" i="23"/>
  <c r="F373" i="23" s="1"/>
  <c r="AC199" i="23"/>
  <c r="F199" i="23" s="1"/>
  <c r="AC61" i="23"/>
  <c r="F61" i="23" s="1"/>
  <c r="AC94" i="23"/>
  <c r="F94" i="23" s="1"/>
  <c r="AC302" i="23"/>
  <c r="F302" i="23" s="1"/>
  <c r="AC262" i="23"/>
  <c r="F262" i="23" s="1"/>
  <c r="AC347" i="23"/>
  <c r="F347" i="23" s="1"/>
  <c r="AC296" i="23"/>
  <c r="F296" i="23" s="1"/>
  <c r="AC224" i="23"/>
  <c r="F224" i="23" s="1"/>
  <c r="AC370" i="23"/>
  <c r="F370" i="23" s="1"/>
  <c r="AC147" i="23"/>
  <c r="F147" i="23" s="1"/>
  <c r="AC203" i="23"/>
  <c r="F203" i="23" s="1"/>
  <c r="AC358" i="23"/>
  <c r="F358" i="23" s="1"/>
  <c r="AC47" i="23"/>
  <c r="F47" i="23" s="1"/>
  <c r="AC238" i="23"/>
  <c r="F238" i="23" s="1"/>
  <c r="AC254" i="23"/>
  <c r="F254" i="23" s="1"/>
  <c r="AC218" i="23"/>
  <c r="F218" i="23" s="1"/>
  <c r="AC145" i="23"/>
  <c r="F145" i="23" s="1"/>
  <c r="AC182" i="23"/>
  <c r="F182" i="23" s="1"/>
  <c r="AC79" i="23"/>
  <c r="F79" i="23" s="1"/>
  <c r="AC190" i="23"/>
  <c r="F190" i="23" s="1"/>
  <c r="AC341" i="23"/>
  <c r="F341" i="23" s="1"/>
  <c r="AC272" i="23"/>
  <c r="F272" i="23" s="1"/>
  <c r="AC349" i="23"/>
  <c r="F349" i="23" s="1"/>
  <c r="AC123" i="23"/>
  <c r="F123" i="23" s="1"/>
  <c r="AC196" i="23"/>
  <c r="F196" i="23" s="1"/>
  <c r="AC149" i="23"/>
  <c r="F149" i="23" s="1"/>
  <c r="AC320" i="23"/>
  <c r="F320" i="23" s="1"/>
  <c r="AC150" i="23"/>
  <c r="F150" i="23" s="1"/>
  <c r="AC201" i="23"/>
  <c r="F201" i="23" s="1"/>
  <c r="AC233" i="23"/>
  <c r="F233" i="23" s="1"/>
  <c r="AC245" i="23"/>
  <c r="F245" i="23" s="1"/>
  <c r="AC213" i="23"/>
  <c r="F213" i="23" s="1"/>
  <c r="AC269" i="23"/>
  <c r="F269" i="23" s="1"/>
  <c r="AC86" i="23"/>
  <c r="F86" i="23" s="1"/>
  <c r="AC265" i="23"/>
  <c r="F265" i="23" s="1"/>
  <c r="AC160" i="23"/>
  <c r="F160" i="23" s="1"/>
  <c r="AC216" i="23"/>
  <c r="F216" i="23" s="1"/>
  <c r="AC64" i="23"/>
  <c r="F64" i="23" s="1"/>
  <c r="AC336" i="23"/>
  <c r="F336" i="23" s="1"/>
  <c r="AC75" i="23"/>
  <c r="F75" i="23" s="1"/>
  <c r="AC139" i="23"/>
  <c r="F139" i="23" s="1"/>
  <c r="AC126" i="23"/>
  <c r="F126" i="23" s="1"/>
  <c r="AC108" i="23"/>
  <c r="F108" i="23" s="1"/>
  <c r="AC172" i="23"/>
  <c r="F172" i="23" s="1"/>
  <c r="AC384" i="23"/>
  <c r="F384" i="23" s="1"/>
  <c r="AC284" i="23"/>
  <c r="F284" i="23" s="1"/>
  <c r="AC286" i="23"/>
  <c r="F286" i="23" s="1"/>
  <c r="AC374" i="23"/>
  <c r="F374" i="23" s="1"/>
  <c r="AC48" i="23"/>
  <c r="F48" i="23" s="1"/>
  <c r="AC331" i="23"/>
  <c r="F331" i="23" s="1"/>
  <c r="AC63" i="23"/>
  <c r="F63" i="23" s="1"/>
  <c r="AC121" i="23"/>
  <c r="F121" i="23" s="1"/>
  <c r="AC281" i="23"/>
  <c r="F281" i="23" s="1"/>
  <c r="AC391" i="23"/>
  <c r="F391" i="23" s="1"/>
  <c r="AC352" i="23"/>
  <c r="F352" i="23" s="1"/>
  <c r="AC44" i="23"/>
  <c r="F44" i="23" s="1"/>
  <c r="AC368" i="23"/>
  <c r="F368" i="23" s="1"/>
  <c r="AC330" i="23"/>
  <c r="F330" i="23" s="1"/>
  <c r="AC68" i="23"/>
  <c r="F68" i="23" s="1"/>
  <c r="AC381" i="23"/>
  <c r="F381" i="23" s="1"/>
  <c r="AC301" i="23"/>
  <c r="F301" i="23" s="1"/>
  <c r="AC72" i="23"/>
  <c r="F72" i="23" s="1"/>
  <c r="AC241" i="23"/>
  <c r="F241" i="23" s="1"/>
  <c r="AC355" i="23"/>
  <c r="F355" i="23" s="1"/>
  <c r="AC73" i="23"/>
  <c r="F73" i="23" s="1"/>
  <c r="AC173" i="23"/>
  <c r="F173" i="23" s="1"/>
  <c r="AC117" i="23"/>
  <c r="F117" i="23" s="1"/>
  <c r="AC367" i="23"/>
  <c r="F367" i="23" s="1"/>
  <c r="AC353" i="23"/>
  <c r="F353" i="23" s="1"/>
  <c r="AC125" i="23"/>
  <c r="F125" i="23" s="1"/>
  <c r="AC288" i="23"/>
  <c r="F288" i="23" s="1"/>
  <c r="AC309" i="23"/>
  <c r="F309" i="23" s="1"/>
  <c r="AC166" i="23"/>
  <c r="F166" i="23" s="1"/>
  <c r="AC399" i="23"/>
  <c r="F399" i="23" s="1"/>
  <c r="AC128" i="23"/>
  <c r="F128" i="23" s="1"/>
  <c r="AC313" i="23"/>
  <c r="F313" i="23" s="1"/>
  <c r="AC387" i="23"/>
  <c r="F387" i="23" s="1"/>
  <c r="AC148" i="23"/>
  <c r="F148" i="23" s="1"/>
  <c r="AC178" i="23"/>
  <c r="F178" i="23" s="1"/>
  <c r="AC365" i="23"/>
  <c r="F365" i="23" s="1"/>
  <c r="AC252" i="23"/>
  <c r="F252" i="23" s="1"/>
  <c r="AC55" i="23"/>
  <c r="F55" i="23" s="1"/>
  <c r="AC240" i="23"/>
  <c r="F240" i="23" s="1"/>
  <c r="AC152" i="23"/>
  <c r="F152" i="23" s="1"/>
  <c r="AC161" i="23"/>
  <c r="F161" i="23" s="1"/>
  <c r="AC383" i="23"/>
  <c r="F383" i="23" s="1"/>
  <c r="AC264" i="23"/>
  <c r="F264" i="23" s="1"/>
  <c r="AC205" i="23"/>
  <c r="F205" i="23" s="1"/>
  <c r="AC171" i="23"/>
  <c r="F171" i="23" s="1"/>
  <c r="AC210" i="23"/>
  <c r="F210" i="23" s="1"/>
  <c r="AC295" i="23"/>
  <c r="F295" i="23" s="1"/>
  <c r="AC198" i="23"/>
  <c r="F198" i="23" s="1"/>
  <c r="AC285" i="23"/>
  <c r="F285" i="23" s="1"/>
  <c r="AC253" i="23"/>
  <c r="F253" i="23" s="1"/>
  <c r="AC119" i="23"/>
  <c r="F119" i="23" s="1"/>
  <c r="AC179" i="23"/>
  <c r="F179" i="23" s="1"/>
  <c r="AC113" i="23"/>
  <c r="F113" i="23" s="1"/>
  <c r="AC225" i="23"/>
  <c r="F225" i="23" s="1"/>
  <c r="AC298" i="23"/>
  <c r="F298" i="23" s="1"/>
  <c r="AC360" i="23"/>
  <c r="F360" i="23" s="1"/>
  <c r="AC276" i="23"/>
  <c r="F276" i="23" s="1"/>
  <c r="AC118" i="23"/>
  <c r="F118" i="23" s="1"/>
  <c r="AC329" i="23"/>
  <c r="F329" i="23" s="1"/>
  <c r="AC204" i="23"/>
  <c r="F204" i="23" s="1"/>
  <c r="AC305" i="23"/>
  <c r="F305" i="23" s="1"/>
  <c r="AC82" i="23"/>
  <c r="F82" i="23" s="1"/>
  <c r="AC350" i="23"/>
  <c r="F350" i="23" s="1"/>
  <c r="AC209" i="23"/>
  <c r="F209" i="23" s="1"/>
  <c r="AC67" i="23"/>
  <c r="F67" i="23" s="1"/>
  <c r="AC157" i="23"/>
  <c r="F157" i="23" s="1"/>
  <c r="AC142" i="23"/>
  <c r="F142" i="23" s="1"/>
  <c r="AC222" i="23"/>
  <c r="F222" i="23" s="1"/>
  <c r="AC89" i="23"/>
  <c r="F89" i="23" s="1"/>
  <c r="AC84" i="23"/>
  <c r="F84" i="23" s="1"/>
  <c r="AC386" i="23"/>
  <c r="F386" i="23" s="1"/>
  <c r="AC337" i="23"/>
  <c r="F337" i="23" s="1"/>
  <c r="AC43" i="23"/>
  <c r="F43" i="23" s="1"/>
  <c r="AC186" i="23"/>
  <c r="F186" i="23" s="1"/>
  <c r="AC202" i="23"/>
  <c r="F202" i="23" s="1"/>
  <c r="AC77" i="23"/>
  <c r="F77" i="23" s="1"/>
  <c r="AC363" i="23"/>
  <c r="F363" i="23" s="1"/>
  <c r="AC248" i="23"/>
  <c r="F248" i="23" s="1"/>
  <c r="AC239" i="23"/>
  <c r="F239" i="23" s="1"/>
  <c r="AC103" i="23"/>
  <c r="F103" i="23" s="1"/>
  <c r="AC379" i="23"/>
  <c r="F379" i="23" s="1"/>
  <c r="AC155" i="23"/>
  <c r="F155" i="23" s="1"/>
  <c r="AC122" i="23"/>
  <c r="F122" i="23" s="1"/>
  <c r="AC316" i="23"/>
  <c r="F316" i="23" s="1"/>
  <c r="AC282" i="23"/>
  <c r="F282" i="23" s="1"/>
  <c r="AC291" i="23"/>
  <c r="F291" i="23" s="1"/>
  <c r="AC104" i="23"/>
  <c r="F104" i="23" s="1"/>
  <c r="AC176" i="23"/>
  <c r="F176" i="23" s="1"/>
  <c r="AC124" i="23"/>
  <c r="F124" i="23" s="1"/>
  <c r="AC237" i="23"/>
  <c r="F237" i="23" s="1"/>
  <c r="AC332" i="23"/>
  <c r="F332" i="23" s="1"/>
  <c r="AC333" i="23"/>
  <c r="F333" i="23" s="1"/>
  <c r="AC396" i="23"/>
  <c r="F396" i="23" s="1"/>
  <c r="AC217" i="23"/>
  <c r="F217" i="23" s="1"/>
  <c r="AC39" i="23"/>
  <c r="F39" i="23" s="1"/>
  <c r="AC91" i="23"/>
  <c r="F91" i="23" s="1"/>
  <c r="AC65" i="23"/>
  <c r="F65" i="23" s="1"/>
  <c r="AC231" i="23"/>
  <c r="F231" i="23" s="1"/>
  <c r="AC361" i="23"/>
  <c r="F361" i="23" s="1"/>
  <c r="AC234" i="23"/>
  <c r="F234" i="23" s="1"/>
  <c r="AC250" i="23"/>
  <c r="F250" i="23" s="1"/>
  <c r="AC356" i="23"/>
  <c r="F356" i="23" s="1"/>
  <c r="AC289" i="23"/>
  <c r="F289" i="23" s="1"/>
  <c r="AC214" i="23"/>
  <c r="F214" i="23" s="1"/>
  <c r="AC277" i="23"/>
  <c r="F277" i="23" s="1"/>
  <c r="AC40" i="23"/>
  <c r="F40" i="23" s="1"/>
  <c r="AC167" i="23"/>
  <c r="F167" i="23" s="1"/>
  <c r="AC83" i="23"/>
  <c r="F83" i="23" s="1"/>
  <c r="AC50" i="23"/>
  <c r="F50" i="23" s="1"/>
  <c r="AC315" i="23"/>
  <c r="F315" i="23" s="1"/>
  <c r="AC191" i="23"/>
  <c r="F191" i="23" s="1"/>
  <c r="AC345" i="23"/>
  <c r="F345" i="23" s="1"/>
  <c r="AC99" i="23"/>
  <c r="F99" i="23" s="1"/>
  <c r="AC270" i="23"/>
  <c r="F270" i="23" s="1"/>
  <c r="AC278" i="23"/>
  <c r="F278" i="23" s="1"/>
  <c r="AC78" i="23"/>
  <c r="F78" i="23" s="1"/>
  <c r="U380" i="29"/>
  <c r="D380" i="29" s="1"/>
  <c r="U62" i="29"/>
  <c r="D62" i="29" s="1"/>
  <c r="U237" i="29"/>
  <c r="D237" i="29" s="1"/>
  <c r="U203" i="29"/>
  <c r="D203" i="29" s="1"/>
  <c r="U276" i="29"/>
  <c r="D276" i="29" s="1"/>
  <c r="U379" i="29"/>
  <c r="D379" i="29" s="1"/>
  <c r="U50" i="29"/>
  <c r="D50" i="29" s="1"/>
  <c r="U193" i="29"/>
  <c r="D193" i="29" s="1"/>
  <c r="U209" i="29"/>
  <c r="D209" i="29" s="1"/>
  <c r="U363" i="29"/>
  <c r="D363" i="29" s="1"/>
  <c r="U95" i="29"/>
  <c r="D95" i="29" s="1"/>
  <c r="U258" i="29"/>
  <c r="D258" i="29" s="1"/>
  <c r="U325" i="29"/>
  <c r="D325" i="29" s="1"/>
  <c r="U311" i="29"/>
  <c r="D311" i="29" s="1"/>
  <c r="U233" i="29"/>
  <c r="D233" i="29" s="1"/>
  <c r="U194" i="29"/>
  <c r="D194" i="29" s="1"/>
  <c r="U136" i="29"/>
  <c r="D136" i="29" s="1"/>
  <c r="U268" i="29"/>
  <c r="D268" i="29" s="1"/>
  <c r="U201" i="29"/>
  <c r="D201" i="29" s="1"/>
  <c r="U96" i="29"/>
  <c r="D96" i="29" s="1"/>
  <c r="U254" i="29"/>
  <c r="D254" i="29" s="1"/>
  <c r="U316" i="29"/>
  <c r="D316" i="29" s="1"/>
  <c r="U245" i="29"/>
  <c r="D245" i="29" s="1"/>
  <c r="U147" i="29"/>
  <c r="D147" i="29" s="1"/>
  <c r="U123" i="29"/>
  <c r="D123" i="29" s="1"/>
  <c r="U223" i="29"/>
  <c r="D223" i="29" s="1"/>
  <c r="U261" i="29"/>
  <c r="D261" i="29" s="1"/>
  <c r="U175" i="29"/>
  <c r="D175" i="29" s="1"/>
  <c r="U334" i="29"/>
  <c r="D334" i="29" s="1"/>
  <c r="U224" i="29"/>
  <c r="D224" i="29" s="1"/>
  <c r="U386" i="29"/>
  <c r="D386" i="29" s="1"/>
  <c r="U191" i="29"/>
  <c r="D191" i="29" s="1"/>
  <c r="U157" i="29"/>
  <c r="D157" i="29" s="1"/>
  <c r="U250" i="29"/>
  <c r="D250" i="29" s="1"/>
  <c r="U357" i="29"/>
  <c r="D357" i="29" s="1"/>
  <c r="U251" i="29"/>
  <c r="D251" i="29" s="1"/>
  <c r="U294" i="29"/>
  <c r="D294" i="29" s="1"/>
  <c r="U256" i="29"/>
  <c r="D256" i="29" s="1"/>
  <c r="U83" i="29"/>
  <c r="D83" i="29" s="1"/>
  <c r="U102" i="29"/>
  <c r="D102" i="29" s="1"/>
  <c r="U114" i="29"/>
  <c r="D114" i="29" s="1"/>
  <c r="U112" i="29"/>
  <c r="D112" i="29" s="1"/>
  <c r="U280" i="29"/>
  <c r="D280" i="29" s="1"/>
  <c r="U315" i="29"/>
  <c r="D315" i="29" s="1"/>
  <c r="U218" i="29"/>
  <c r="D218" i="29" s="1"/>
  <c r="U260" i="29"/>
  <c r="D260" i="29" s="1"/>
  <c r="U86" i="29"/>
  <c r="D86" i="29" s="1"/>
  <c r="U179" i="29"/>
  <c r="D179" i="29" s="1"/>
  <c r="U98" i="29"/>
  <c r="D98" i="29" s="1"/>
  <c r="U135" i="29"/>
  <c r="D135" i="29" s="1"/>
  <c r="U56" i="29"/>
  <c r="D56" i="29" s="1"/>
  <c r="U252" i="29"/>
  <c r="D252" i="29" s="1"/>
  <c r="U361" i="29"/>
  <c r="D361" i="29" s="1"/>
  <c r="U235" i="29"/>
  <c r="D235" i="29" s="1"/>
  <c r="U239" i="29"/>
  <c r="D239" i="29" s="1"/>
  <c r="U378" i="29"/>
  <c r="D378" i="29" s="1"/>
  <c r="U373" i="29"/>
  <c r="D373" i="29" s="1"/>
  <c r="U271" i="29"/>
  <c r="D271" i="29" s="1"/>
  <c r="U355" i="29"/>
  <c r="D355" i="29" s="1"/>
  <c r="U156" i="29"/>
  <c r="D156" i="29" s="1"/>
  <c r="U142" i="29"/>
  <c r="D142" i="29" s="1"/>
  <c r="U265" i="29"/>
  <c r="D265" i="29" s="1"/>
  <c r="U116" i="29"/>
  <c r="D116" i="29" s="1"/>
  <c r="U234" i="29"/>
  <c r="D234" i="29" s="1"/>
  <c r="U58" i="29"/>
  <c r="D58" i="29" s="1"/>
  <c r="U384" i="29"/>
  <c r="D384" i="29" s="1"/>
  <c r="U126" i="29"/>
  <c r="D126" i="29" s="1"/>
  <c r="U341" i="29"/>
  <c r="D341" i="29" s="1"/>
  <c r="U368" i="29"/>
  <c r="D368" i="29" s="1"/>
  <c r="U122" i="29"/>
  <c r="D122" i="29" s="1"/>
  <c r="U205" i="29"/>
  <c r="D205" i="29" s="1"/>
  <c r="U125" i="29"/>
  <c r="D125" i="29" s="1"/>
  <c r="U338" i="29"/>
  <c r="D338" i="29" s="1"/>
  <c r="U354" i="29"/>
  <c r="D354" i="29" s="1"/>
  <c r="U353" i="29"/>
  <c r="D353" i="29" s="1"/>
  <c r="U107" i="29"/>
  <c r="D107" i="29" s="1"/>
  <c r="U306" i="29"/>
  <c r="D306" i="29" s="1"/>
  <c r="U289" i="29"/>
  <c r="D289" i="29" s="1"/>
  <c r="U395" i="29"/>
  <c r="D395" i="29" s="1"/>
  <c r="U262" i="29"/>
  <c r="D262" i="29" s="1"/>
  <c r="U184" i="29"/>
  <c r="D184" i="29" s="1"/>
  <c r="U80" i="29"/>
  <c r="D80" i="29" s="1"/>
  <c r="U124" i="29"/>
  <c r="D124" i="29" s="1"/>
  <c r="U178" i="29"/>
  <c r="D178" i="29" s="1"/>
  <c r="U335" i="29"/>
  <c r="D335" i="29" s="1"/>
  <c r="U372" i="29"/>
  <c r="D372" i="29" s="1"/>
  <c r="U228" i="29"/>
  <c r="D228" i="29" s="1"/>
  <c r="U266" i="29"/>
  <c r="D266" i="29" s="1"/>
  <c r="U286" i="29"/>
  <c r="D286" i="29" s="1"/>
  <c r="U71" i="29"/>
  <c r="D71" i="29" s="1"/>
  <c r="U84" i="29"/>
  <c r="D84" i="29" s="1"/>
  <c r="U352" i="29"/>
  <c r="D352" i="29" s="1"/>
  <c r="U213" i="29"/>
  <c r="D213" i="29" s="1"/>
  <c r="U130" i="29"/>
  <c r="D130" i="29" s="1"/>
  <c r="U366" i="29"/>
  <c r="D366" i="29" s="1"/>
  <c r="U188" i="29"/>
  <c r="D188" i="29" s="1"/>
  <c r="U319" i="29"/>
  <c r="D319" i="29" s="1"/>
  <c r="U214" i="29"/>
  <c r="D214" i="29" s="1"/>
  <c r="U131" i="29"/>
  <c r="D131" i="29" s="1"/>
  <c r="U148" i="29"/>
  <c r="D148" i="29" s="1"/>
  <c r="U118" i="29"/>
  <c r="D118" i="29" s="1"/>
  <c r="U77" i="29"/>
  <c r="D77" i="29" s="1"/>
  <c r="U111" i="29"/>
  <c r="D111" i="29" s="1"/>
  <c r="U393" i="29"/>
  <c r="D393" i="29" s="1"/>
  <c r="U211" i="29"/>
  <c r="D211" i="29" s="1"/>
  <c r="U300" i="29"/>
  <c r="D300" i="29" s="1"/>
  <c r="U196" i="29"/>
  <c r="D196" i="29" s="1"/>
  <c r="U307" i="29"/>
  <c r="D307" i="29" s="1"/>
  <c r="U344" i="29"/>
  <c r="D344" i="29" s="1"/>
  <c r="U42" i="29"/>
  <c r="D42" i="29" s="1"/>
  <c r="U61" i="29"/>
  <c r="D61" i="29" s="1"/>
  <c r="U295" i="29"/>
  <c r="D295" i="29" s="1"/>
  <c r="U152" i="29"/>
  <c r="D152" i="29" s="1"/>
  <c r="U207" i="29"/>
  <c r="D207" i="29" s="1"/>
  <c r="U66" i="29"/>
  <c r="D66" i="29" s="1"/>
  <c r="U153" i="29"/>
  <c r="D153" i="29" s="1"/>
  <c r="U110" i="29"/>
  <c r="D110" i="29" s="1"/>
  <c r="U387" i="29"/>
  <c r="D387" i="29" s="1"/>
  <c r="U371" i="29"/>
  <c r="D371" i="29" s="1"/>
  <c r="U70" i="29"/>
  <c r="D70" i="29" s="1"/>
  <c r="U240" i="29"/>
  <c r="D240" i="29" s="1"/>
  <c r="U121" i="29"/>
  <c r="D121" i="29" s="1"/>
  <c r="U313" i="29"/>
  <c r="D313" i="29" s="1"/>
  <c r="U109" i="29"/>
  <c r="D109" i="29" s="1"/>
  <c r="U397" i="29"/>
  <c r="D397" i="29" s="1"/>
  <c r="U93" i="29"/>
  <c r="D93" i="29" s="1"/>
  <c r="U159" i="29"/>
  <c r="D159" i="29" s="1"/>
  <c r="U165" i="29"/>
  <c r="D165" i="29" s="1"/>
  <c r="U199" i="29"/>
  <c r="D199" i="29" s="1"/>
  <c r="U76" i="29"/>
  <c r="D76" i="29" s="1"/>
  <c r="U197" i="29"/>
  <c r="D197" i="29" s="1"/>
  <c r="U259" i="29"/>
  <c r="D259" i="29" s="1"/>
  <c r="U291" i="29"/>
  <c r="D291" i="29" s="1"/>
  <c r="U132" i="29"/>
  <c r="D132" i="29" s="1"/>
  <c r="U230" i="29"/>
  <c r="D230" i="29" s="1"/>
  <c r="U264" i="29"/>
  <c r="D264" i="29" s="1"/>
  <c r="U370" i="29"/>
  <c r="D370" i="29" s="1"/>
  <c r="U182" i="29"/>
  <c r="D182" i="29" s="1"/>
  <c r="U87" i="29"/>
  <c r="D87" i="29" s="1"/>
  <c r="U190" i="29"/>
  <c r="D190" i="29" s="1"/>
  <c r="U317" i="29"/>
  <c r="D317" i="29" s="1"/>
  <c r="U160" i="29"/>
  <c r="D160" i="29" s="1"/>
  <c r="U168" i="29"/>
  <c r="D168" i="29" s="1"/>
  <c r="U100" i="29"/>
  <c r="D100" i="29" s="1"/>
  <c r="U242" i="29"/>
  <c r="D242" i="29" s="1"/>
  <c r="U232" i="29"/>
  <c r="D232" i="29" s="1"/>
  <c r="U82" i="29"/>
  <c r="D82" i="29" s="1"/>
  <c r="U269" i="29"/>
  <c r="D269" i="29" s="1"/>
  <c r="U140" i="29"/>
  <c r="D140" i="29" s="1"/>
  <c r="U388" i="29"/>
  <c r="D388" i="29" s="1"/>
  <c r="U212" i="29"/>
  <c r="D212" i="29" s="1"/>
  <c r="U69" i="29"/>
  <c r="D69" i="29" s="1"/>
  <c r="U163" i="29"/>
  <c r="D163" i="29" s="1"/>
  <c r="U186" i="29"/>
  <c r="D186" i="29" s="1"/>
  <c r="U263" i="29"/>
  <c r="D263" i="29" s="1"/>
  <c r="U302" i="29"/>
  <c r="D302" i="29" s="1"/>
  <c r="U52" i="29"/>
  <c r="D52" i="29" s="1"/>
  <c r="U347" i="29"/>
  <c r="D347" i="29" s="1"/>
  <c r="U47" i="29"/>
  <c r="D47" i="29" s="1"/>
  <c r="U301" i="29"/>
  <c r="D301" i="29" s="1"/>
  <c r="U293" i="29"/>
  <c r="D293" i="29" s="1"/>
  <c r="U267" i="29"/>
  <c r="D267" i="29" s="1"/>
  <c r="U170" i="29"/>
  <c r="D170" i="29" s="1"/>
  <c r="U113" i="29"/>
  <c r="D113" i="29" s="1"/>
  <c r="U249" i="29"/>
  <c r="D249" i="29" s="1"/>
  <c r="U392" i="29"/>
  <c r="D392" i="29" s="1"/>
  <c r="U257" i="29"/>
  <c r="D257" i="29" s="1"/>
  <c r="U104" i="29"/>
  <c r="D104" i="29" s="1"/>
  <c r="U304" i="29"/>
  <c r="D304" i="29" s="1"/>
  <c r="U308" i="29"/>
  <c r="D308" i="29" s="1"/>
  <c r="U106" i="29"/>
  <c r="D106" i="29" s="1"/>
  <c r="U167" i="29"/>
  <c r="D167" i="29" s="1"/>
  <c r="U226" i="29"/>
  <c r="D226" i="29" s="1"/>
  <c r="U133" i="29"/>
  <c r="D133" i="29" s="1"/>
  <c r="U43" i="29"/>
  <c r="D43" i="29" s="1"/>
  <c r="U221" i="29"/>
  <c r="D221" i="29" s="1"/>
  <c r="U40" i="29"/>
  <c r="D40" i="29" s="1"/>
  <c r="U331" i="29"/>
  <c r="D331" i="29" s="1"/>
  <c r="U326" i="29"/>
  <c r="D326" i="29" s="1"/>
  <c r="U241" i="29"/>
  <c r="D241" i="29" s="1"/>
  <c r="U119" i="29"/>
  <c r="D119" i="29" s="1"/>
  <c r="U390" i="29"/>
  <c r="D390" i="29" s="1"/>
  <c r="U321" i="29"/>
  <c r="D321" i="29" s="1"/>
  <c r="U158" i="29"/>
  <c r="D158" i="29" s="1"/>
  <c r="U229" i="29"/>
  <c r="D229" i="29" s="1"/>
  <c r="U67" i="29"/>
  <c r="D67" i="29" s="1"/>
  <c r="U177" i="29"/>
  <c r="D177" i="29" s="1"/>
  <c r="U68" i="29"/>
  <c r="D68" i="29" s="1"/>
  <c r="U346" i="29"/>
  <c r="D346" i="29" s="1"/>
  <c r="U255" i="29"/>
  <c r="D255" i="29" s="1"/>
  <c r="U365" i="29"/>
  <c r="D365" i="29" s="1"/>
  <c r="U79" i="29"/>
  <c r="D79" i="29" s="1"/>
  <c r="U187" i="29"/>
  <c r="D187" i="29" s="1"/>
  <c r="U299" i="29"/>
  <c r="D299" i="29" s="1"/>
  <c r="U400" i="29"/>
  <c r="D400" i="29" s="1"/>
  <c r="U277" i="29"/>
  <c r="D277" i="29" s="1"/>
  <c r="U46" i="29"/>
  <c r="D46" i="29" s="1"/>
  <c r="U375" i="29"/>
  <c r="D375" i="29" s="1"/>
  <c r="U288" i="29"/>
  <c r="D288" i="29" s="1"/>
  <c r="U343" i="29"/>
  <c r="D343" i="29" s="1"/>
  <c r="U238" i="29"/>
  <c r="D238" i="29" s="1"/>
  <c r="U320" i="29"/>
  <c r="D320" i="29" s="1"/>
  <c r="U189" i="29"/>
  <c r="D189" i="29" s="1"/>
  <c r="U63" i="29"/>
  <c r="D63" i="29" s="1"/>
  <c r="U176" i="29"/>
  <c r="D176" i="29" s="1"/>
  <c r="U362" i="29"/>
  <c r="D362" i="29" s="1"/>
  <c r="U81" i="29"/>
  <c r="D81" i="29" s="1"/>
  <c r="U91" i="29"/>
  <c r="D91" i="29" s="1"/>
  <c r="U141" i="29"/>
  <c r="D141" i="29" s="1"/>
  <c r="U169" i="29"/>
  <c r="D169" i="29" s="1"/>
  <c r="U51" i="29"/>
  <c r="D51" i="29" s="1"/>
  <c r="U89" i="29"/>
  <c r="D89" i="29" s="1"/>
  <c r="U154" i="29"/>
  <c r="D154" i="29" s="1"/>
  <c r="U356" i="29"/>
  <c r="D356" i="29" s="1"/>
  <c r="U272" i="29"/>
  <c r="D272" i="29" s="1"/>
  <c r="U389" i="29"/>
  <c r="D389" i="29" s="1"/>
  <c r="U333" i="29"/>
  <c r="D333" i="29" s="1"/>
  <c r="U284" i="29"/>
  <c r="D284" i="29" s="1"/>
  <c r="U174" i="29"/>
  <c r="D174" i="29" s="1"/>
  <c r="U75" i="29"/>
  <c r="D75" i="29" s="1"/>
  <c r="U231" i="29"/>
  <c r="D231" i="29" s="1"/>
  <c r="U227" i="29"/>
  <c r="D227" i="29" s="1"/>
  <c r="U225" i="29"/>
  <c r="D225" i="29" s="1"/>
  <c r="U149" i="29"/>
  <c r="D149" i="29" s="1"/>
  <c r="U385" i="29"/>
  <c r="D385" i="29" s="1"/>
  <c r="U217" i="29"/>
  <c r="D217" i="29" s="1"/>
  <c r="U108" i="29"/>
  <c r="D108" i="29" s="1"/>
  <c r="U248" i="29"/>
  <c r="D248" i="29" s="1"/>
  <c r="U270" i="29"/>
  <c r="D270" i="29" s="1"/>
  <c r="U97" i="29"/>
  <c r="D97" i="29" s="1"/>
  <c r="U171" i="29"/>
  <c r="D171" i="29" s="1"/>
  <c r="U54" i="29"/>
  <c r="D54" i="29" s="1"/>
  <c r="U391" i="29"/>
  <c r="D391" i="29" s="1"/>
  <c r="U210" i="29"/>
  <c r="D210" i="29" s="1"/>
  <c r="U78" i="29"/>
  <c r="D78" i="29" s="1"/>
  <c r="U129" i="29"/>
  <c r="D129" i="29" s="1"/>
  <c r="U349" i="29"/>
  <c r="D349" i="29" s="1"/>
  <c r="U181" i="29"/>
  <c r="D181" i="29" s="1"/>
  <c r="U310" i="29"/>
  <c r="D310" i="29" s="1"/>
  <c r="U39" i="29"/>
  <c r="D39" i="29" s="1"/>
  <c r="U281" i="29"/>
  <c r="D281" i="29" s="1"/>
  <c r="U155" i="29"/>
  <c r="D155" i="29" s="1"/>
  <c r="U198" i="29"/>
  <c r="D198" i="29" s="1"/>
  <c r="U64" i="29"/>
  <c r="D64" i="29" s="1"/>
  <c r="U137" i="29"/>
  <c r="D137" i="29" s="1"/>
  <c r="U139" i="29"/>
  <c r="D139" i="29" s="1"/>
  <c r="U236" i="29"/>
  <c r="D236" i="29" s="1"/>
  <c r="U278" i="29"/>
  <c r="D278" i="29" s="1"/>
  <c r="U208" i="29"/>
  <c r="D208" i="29" s="1"/>
  <c r="U144" i="29"/>
  <c r="D144" i="29" s="1"/>
  <c r="U351" i="29"/>
  <c r="D351" i="29" s="1"/>
  <c r="U105" i="29"/>
  <c r="D105" i="29" s="1"/>
  <c r="U65" i="29"/>
  <c r="D65" i="29" s="1"/>
  <c r="U73" i="29"/>
  <c r="D73" i="29" s="1"/>
  <c r="U322" i="29"/>
  <c r="D322" i="29" s="1"/>
  <c r="U332" i="29"/>
  <c r="D332" i="29" s="1"/>
  <c r="U202" i="29"/>
  <c r="D202" i="29" s="1"/>
  <c r="U398" i="29"/>
  <c r="D398" i="29" s="1"/>
  <c r="U394" i="29"/>
  <c r="D394" i="29" s="1"/>
  <c r="U222" i="29"/>
  <c r="D222" i="29" s="1"/>
  <c r="U340" i="29"/>
  <c r="D340" i="29" s="1"/>
  <c r="U328" i="29"/>
  <c r="D328" i="29" s="1"/>
  <c r="U143" i="29"/>
  <c r="D143" i="29" s="1"/>
  <c r="U103" i="29"/>
  <c r="D103" i="29" s="1"/>
  <c r="U48" i="29"/>
  <c r="D48" i="29" s="1"/>
  <c r="U342" i="29"/>
  <c r="D342" i="29" s="1"/>
  <c r="U115" i="29"/>
  <c r="D115" i="29" s="1"/>
  <c r="U348" i="29"/>
  <c r="D348" i="29" s="1"/>
  <c r="U173" i="29"/>
  <c r="D173" i="29" s="1"/>
  <c r="U172" i="29"/>
  <c r="D172" i="29" s="1"/>
  <c r="U243" i="29"/>
  <c r="D243" i="29" s="1"/>
  <c r="U145" i="29"/>
  <c r="D145" i="29" s="1"/>
  <c r="U166" i="29"/>
  <c r="D166" i="29" s="1"/>
  <c r="U396" i="29"/>
  <c r="D396" i="29" s="1"/>
  <c r="U374" i="29"/>
  <c r="D374" i="29" s="1"/>
  <c r="U164" i="29"/>
  <c r="D164" i="29" s="1"/>
  <c r="U146" i="29"/>
  <c r="D146" i="29" s="1"/>
  <c r="U303" i="29"/>
  <c r="D303" i="29" s="1"/>
  <c r="U330" i="29"/>
  <c r="D330" i="29" s="1"/>
  <c r="U282" i="29"/>
  <c r="D282" i="29" s="1"/>
  <c r="U151" i="29"/>
  <c r="D151" i="29" s="1"/>
  <c r="U358" i="29"/>
  <c r="D358" i="29" s="1"/>
  <c r="U53" i="29"/>
  <c r="D53" i="29" s="1"/>
  <c r="U128" i="29"/>
  <c r="D128" i="29" s="1"/>
  <c r="U138" i="29"/>
  <c r="D138" i="29" s="1"/>
  <c r="U99" i="29"/>
  <c r="D99" i="29" s="1"/>
  <c r="U117" i="29"/>
  <c r="D117" i="29" s="1"/>
  <c r="U377" i="29"/>
  <c r="D377" i="29" s="1"/>
  <c r="U49" i="29"/>
  <c r="D49" i="29" s="1"/>
  <c r="U94" i="29"/>
  <c r="D94" i="29" s="1"/>
  <c r="U216" i="29"/>
  <c r="D216" i="29" s="1"/>
  <c r="U246" i="29"/>
  <c r="D246" i="29" s="1"/>
  <c r="U215" i="29"/>
  <c r="D215" i="29" s="1"/>
  <c r="U200" i="29"/>
  <c r="D200" i="29" s="1"/>
  <c r="U204" i="29"/>
  <c r="D204" i="29" s="1"/>
  <c r="U329" i="29"/>
  <c r="D329" i="29" s="1"/>
  <c r="U192" i="29"/>
  <c r="D192" i="29" s="1"/>
  <c r="U185" i="29"/>
  <c r="D185" i="29" s="1"/>
  <c r="U127" i="29"/>
  <c r="D127" i="29" s="1"/>
  <c r="U90" i="29"/>
  <c r="D90" i="29" s="1"/>
  <c r="U206" i="29"/>
  <c r="D206" i="29" s="1"/>
  <c r="U72" i="29"/>
  <c r="D72" i="29" s="1"/>
  <c r="U345" i="29"/>
  <c r="D345" i="29" s="1"/>
  <c r="U296" i="29"/>
  <c r="D296" i="29" s="1"/>
  <c r="U92" i="29"/>
  <c r="D92" i="29" s="1"/>
  <c r="U292" i="29"/>
  <c r="D292" i="29" s="1"/>
  <c r="U85" i="29"/>
  <c r="D85" i="29" s="1"/>
  <c r="U318" i="29"/>
  <c r="D318" i="29" s="1"/>
  <c r="U101" i="29"/>
  <c r="D101" i="29" s="1"/>
  <c r="U45" i="29"/>
  <c r="D45" i="29" s="1"/>
  <c r="U399" i="29"/>
  <c r="D399" i="29" s="1"/>
  <c r="U285" i="29"/>
  <c r="D285" i="29" s="1"/>
  <c r="U287" i="29"/>
  <c r="D287" i="29" s="1"/>
  <c r="U162" i="29"/>
  <c r="D162" i="29" s="1"/>
  <c r="U312" i="29"/>
  <c r="D312" i="29" s="1"/>
  <c r="U383" i="29"/>
  <c r="D383" i="29" s="1"/>
  <c r="U88" i="29"/>
  <c r="D88" i="29" s="1"/>
  <c r="U57" i="29"/>
  <c r="D57" i="29" s="1"/>
  <c r="U195" i="29"/>
  <c r="D195" i="29" s="1"/>
  <c r="U350" i="29"/>
  <c r="D350" i="29" s="1"/>
  <c r="U41" i="29"/>
  <c r="D41" i="29" s="1"/>
  <c r="U297" i="29"/>
  <c r="D297" i="29" s="1"/>
  <c r="U327" i="29"/>
  <c r="D327" i="29" s="1"/>
  <c r="U244" i="29"/>
  <c r="D244" i="29" s="1"/>
  <c r="U367" i="29"/>
  <c r="D367" i="29" s="1"/>
  <c r="U279" i="29"/>
  <c r="D279" i="29" s="1"/>
  <c r="U360" i="29"/>
  <c r="D360" i="29" s="1"/>
  <c r="U339" i="29"/>
  <c r="D339" i="29" s="1"/>
  <c r="U274" i="29"/>
  <c r="D274" i="29" s="1"/>
  <c r="U161" i="29"/>
  <c r="D161" i="29" s="1"/>
  <c r="U290" i="29"/>
  <c r="D290" i="29" s="1"/>
  <c r="U150" i="29"/>
  <c r="D150" i="29" s="1"/>
  <c r="U247" i="29"/>
  <c r="D247" i="29" s="1"/>
  <c r="U324" i="29"/>
  <c r="D324" i="29" s="1"/>
  <c r="U253" i="29"/>
  <c r="D253" i="29" s="1"/>
  <c r="U183" i="29"/>
  <c r="D183" i="29" s="1"/>
  <c r="U381" i="29"/>
  <c r="D381" i="29" s="1"/>
  <c r="U382" i="29"/>
  <c r="D382" i="29" s="1"/>
  <c r="U60" i="29"/>
  <c r="D60" i="29" s="1"/>
  <c r="U275" i="29"/>
  <c r="D275" i="29" s="1"/>
  <c r="U305" i="29"/>
  <c r="D305" i="29" s="1"/>
  <c r="U369" i="29"/>
  <c r="D369" i="29" s="1"/>
  <c r="U359" i="29"/>
  <c r="D359" i="29" s="1"/>
  <c r="U298" i="29"/>
  <c r="D298" i="29" s="1"/>
  <c r="U364" i="29"/>
  <c r="D364" i="29" s="1"/>
  <c r="U74" i="29"/>
  <c r="D74" i="29" s="1"/>
  <c r="U323" i="29"/>
  <c r="D323" i="29" s="1"/>
  <c r="U180" i="29"/>
  <c r="D180" i="29" s="1"/>
  <c r="U44" i="29"/>
  <c r="D44" i="29" s="1"/>
  <c r="U120" i="29"/>
  <c r="D120" i="29" s="1"/>
  <c r="U314" i="29"/>
  <c r="D314" i="29" s="1"/>
  <c r="U309" i="29"/>
  <c r="D309" i="29" s="1"/>
  <c r="U59" i="29"/>
  <c r="D59" i="29" s="1"/>
  <c r="U337" i="29"/>
  <c r="D337" i="29" s="1"/>
  <c r="U336" i="29"/>
  <c r="D336" i="29" s="1"/>
  <c r="U55" i="29"/>
  <c r="D55" i="29" s="1"/>
  <c r="U273" i="29"/>
  <c r="D273" i="29" s="1"/>
  <c r="U283" i="29"/>
  <c r="D283" i="29" s="1"/>
  <c r="U376" i="29"/>
  <c r="D376" i="29" s="1"/>
  <c r="U134" i="29"/>
  <c r="D134" i="29" s="1"/>
  <c r="AH310" i="14"/>
  <c r="G310" i="14" s="1"/>
  <c r="AH71" i="14"/>
  <c r="G71" i="14" s="1"/>
  <c r="AH358" i="14"/>
  <c r="G358" i="14" s="1"/>
  <c r="AH307" i="14"/>
  <c r="G307" i="14" s="1"/>
  <c r="AH384" i="14"/>
  <c r="G384" i="14" s="1"/>
  <c r="AH357" i="14"/>
  <c r="G357" i="14" s="1"/>
  <c r="AH49" i="14"/>
  <c r="G49" i="14" s="1"/>
  <c r="AH223" i="14"/>
  <c r="G223" i="14" s="1"/>
  <c r="AH87" i="14"/>
  <c r="G87" i="14" s="1"/>
  <c r="AH104" i="14"/>
  <c r="G104" i="14" s="1"/>
  <c r="AH377" i="14"/>
  <c r="G377" i="14" s="1"/>
  <c r="AH313" i="14"/>
  <c r="G313" i="14" s="1"/>
  <c r="AH325" i="14"/>
  <c r="G325" i="14" s="1"/>
  <c r="AH379" i="14"/>
  <c r="G379" i="14" s="1"/>
  <c r="AH356" i="14"/>
  <c r="G356" i="14" s="1"/>
  <c r="AH289" i="14"/>
  <c r="G289" i="14" s="1"/>
  <c r="AH385" i="14"/>
  <c r="G385" i="14" s="1"/>
  <c r="AH126" i="14"/>
  <c r="G126" i="14" s="1"/>
  <c r="AH294" i="14"/>
  <c r="G294" i="14" s="1"/>
  <c r="AH101" i="14"/>
  <c r="G101" i="14" s="1"/>
  <c r="AH248" i="14"/>
  <c r="G248" i="14" s="1"/>
  <c r="AH321" i="14"/>
  <c r="G321" i="14" s="1"/>
  <c r="AH108" i="14"/>
  <c r="G108" i="14" s="1"/>
  <c r="AH148" i="14"/>
  <c r="G148" i="14" s="1"/>
  <c r="AH155" i="14"/>
  <c r="G155" i="14" s="1"/>
  <c r="AH319" i="14"/>
  <c r="G319" i="14" s="1"/>
  <c r="AH237" i="14"/>
  <c r="G237" i="14" s="1"/>
  <c r="AH303" i="14"/>
  <c r="G303" i="14" s="1"/>
  <c r="AH55" i="14"/>
  <c r="G55" i="14" s="1"/>
  <c r="AH301" i="14"/>
  <c r="G301" i="14" s="1"/>
  <c r="AH129" i="14"/>
  <c r="G129" i="14" s="1"/>
  <c r="AH396" i="14"/>
  <c r="G396" i="14" s="1"/>
  <c r="AH81" i="14"/>
  <c r="G81" i="14" s="1"/>
  <c r="AH70" i="14"/>
  <c r="G70" i="14" s="1"/>
  <c r="AH173" i="14"/>
  <c r="G173" i="14" s="1"/>
  <c r="AH398" i="14"/>
  <c r="G398" i="14" s="1"/>
  <c r="AH376" i="14"/>
  <c r="G376" i="14" s="1"/>
  <c r="AH162" i="14"/>
  <c r="G162" i="14" s="1"/>
  <c r="AH141" i="14"/>
  <c r="G141" i="14" s="1"/>
  <c r="AH288" i="14"/>
  <c r="G288" i="14" s="1"/>
  <c r="AH190" i="14"/>
  <c r="G190" i="14" s="1"/>
  <c r="AH389" i="14"/>
  <c r="G389" i="14" s="1"/>
  <c r="AH343" i="14"/>
  <c r="G343" i="14" s="1"/>
  <c r="AH367" i="14"/>
  <c r="G367" i="14" s="1"/>
  <c r="AH345" i="14"/>
  <c r="G345" i="14" s="1"/>
  <c r="AH373" i="14"/>
  <c r="G373" i="14" s="1"/>
  <c r="AH166" i="14"/>
  <c r="G166" i="14" s="1"/>
  <c r="AH226" i="14"/>
  <c r="G226" i="14" s="1"/>
  <c r="AH400" i="14"/>
  <c r="G400" i="14" s="1"/>
  <c r="AH130" i="14"/>
  <c r="G130" i="14" s="1"/>
  <c r="AH107" i="14"/>
  <c r="G107" i="14" s="1"/>
  <c r="AH331" i="14"/>
  <c r="G331" i="14" s="1"/>
  <c r="AH172" i="14"/>
  <c r="G172" i="14" s="1"/>
  <c r="AH79" i="14"/>
  <c r="G79" i="14" s="1"/>
  <c r="AH102" i="14"/>
  <c r="G102" i="14" s="1"/>
  <c r="AH311" i="14"/>
  <c r="G311" i="14" s="1"/>
  <c r="AH181" i="14"/>
  <c r="G181" i="14" s="1"/>
  <c r="AH233" i="14"/>
  <c r="G233" i="14" s="1"/>
  <c r="AH257" i="14"/>
  <c r="G257" i="14" s="1"/>
  <c r="AH168" i="14"/>
  <c r="G168" i="14" s="1"/>
  <c r="AH45" i="14"/>
  <c r="G45" i="14" s="1"/>
  <c r="AH40" i="14"/>
  <c r="G40" i="14" s="1"/>
  <c r="AH139" i="14"/>
  <c r="G139" i="14" s="1"/>
  <c r="AH349" i="14"/>
  <c r="G349" i="14" s="1"/>
  <c r="AH63" i="14"/>
  <c r="G63" i="14" s="1"/>
  <c r="AH305" i="14"/>
  <c r="G305" i="14" s="1"/>
  <c r="AH308" i="14"/>
  <c r="G308" i="14" s="1"/>
  <c r="AH80" i="14"/>
  <c r="G80" i="14" s="1"/>
  <c r="AH138" i="14"/>
  <c r="G138" i="14" s="1"/>
  <c r="AH180" i="14"/>
  <c r="G180" i="14" s="1"/>
  <c r="AH246" i="14"/>
  <c r="G246" i="14" s="1"/>
  <c r="AH58" i="14"/>
  <c r="G58" i="14" s="1"/>
  <c r="AH281" i="14"/>
  <c r="G281" i="14" s="1"/>
  <c r="AH206" i="14"/>
  <c r="G206" i="14" s="1"/>
  <c r="AH336" i="14"/>
  <c r="G336" i="14" s="1"/>
  <c r="AH282" i="14"/>
  <c r="G282" i="14" s="1"/>
  <c r="AH117" i="14"/>
  <c r="G117" i="14" s="1"/>
  <c r="AH187" i="14"/>
  <c r="G187" i="14" s="1"/>
  <c r="AH76" i="14"/>
  <c r="G76" i="14" s="1"/>
  <c r="AH255" i="14"/>
  <c r="G255" i="14" s="1"/>
  <c r="AH380" i="14"/>
  <c r="G380" i="14" s="1"/>
  <c r="AH114" i="14"/>
  <c r="G114" i="14" s="1"/>
  <c r="AH297" i="14"/>
  <c r="G297" i="14" s="1"/>
  <c r="AH105" i="14"/>
  <c r="G105" i="14" s="1"/>
  <c r="AH53" i="14"/>
  <c r="G53" i="14" s="1"/>
  <c r="AH254" i="14"/>
  <c r="G254" i="14" s="1"/>
  <c r="AH352" i="14"/>
  <c r="G352" i="14" s="1"/>
  <c r="AH324" i="14"/>
  <c r="G324" i="14" s="1"/>
  <c r="AH195" i="14"/>
  <c r="G195" i="14" s="1"/>
  <c r="AH386" i="14"/>
  <c r="G386" i="14" s="1"/>
  <c r="AH309" i="14"/>
  <c r="G309" i="14" s="1"/>
  <c r="AH229" i="14"/>
  <c r="G229" i="14" s="1"/>
  <c r="AH312" i="14"/>
  <c r="G312" i="14" s="1"/>
  <c r="AH103" i="14"/>
  <c r="G103" i="14" s="1"/>
  <c r="AH332" i="14"/>
  <c r="G332" i="14" s="1"/>
  <c r="AH266" i="14"/>
  <c r="G266" i="14" s="1"/>
  <c r="AH177" i="14"/>
  <c r="G177" i="14" s="1"/>
  <c r="AH151" i="14"/>
  <c r="G151" i="14" s="1"/>
  <c r="AH204" i="14"/>
  <c r="G204" i="14" s="1"/>
  <c r="AH74" i="14"/>
  <c r="G74" i="14" s="1"/>
  <c r="AH62" i="14"/>
  <c r="G62" i="14" s="1"/>
  <c r="AH122" i="14"/>
  <c r="G122" i="14" s="1"/>
  <c r="AH347" i="14"/>
  <c r="G347" i="14" s="1"/>
  <c r="AH75" i="14"/>
  <c r="G75" i="14" s="1"/>
  <c r="AH287" i="14"/>
  <c r="G287" i="14" s="1"/>
  <c r="AH363" i="14"/>
  <c r="G363" i="14" s="1"/>
  <c r="AH164" i="14"/>
  <c r="G164" i="14" s="1"/>
  <c r="AH327" i="14"/>
  <c r="G327" i="14" s="1"/>
  <c r="AH375" i="14"/>
  <c r="G375" i="14" s="1"/>
  <c r="AH46" i="14"/>
  <c r="G46" i="14" s="1"/>
  <c r="AH198" i="14"/>
  <c r="G198" i="14" s="1"/>
  <c r="AH121" i="14"/>
  <c r="G121" i="14" s="1"/>
  <c r="AH351" i="14"/>
  <c r="G351" i="14" s="1"/>
  <c r="AH78" i="14"/>
  <c r="G78" i="14" s="1"/>
  <c r="AH160" i="14"/>
  <c r="G160" i="14" s="1"/>
  <c r="AH127" i="14"/>
  <c r="G127" i="14" s="1"/>
  <c r="AH322" i="14"/>
  <c r="G322" i="14" s="1"/>
  <c r="AH92" i="14"/>
  <c r="G92" i="14" s="1"/>
  <c r="AH128" i="14"/>
  <c r="G128" i="14" s="1"/>
  <c r="AH176" i="14"/>
  <c r="G176" i="14" s="1"/>
  <c r="AH205" i="14"/>
  <c r="G205" i="14" s="1"/>
  <c r="AH203" i="14"/>
  <c r="G203" i="14" s="1"/>
  <c r="AH263" i="14"/>
  <c r="G263" i="14" s="1"/>
  <c r="AH295" i="14"/>
  <c r="G295" i="14" s="1"/>
  <c r="AH77" i="14"/>
  <c r="G77" i="14" s="1"/>
  <c r="AH209" i="14"/>
  <c r="G209" i="14" s="1"/>
  <c r="AH291" i="14"/>
  <c r="G291" i="14" s="1"/>
  <c r="AH383" i="14"/>
  <c r="G383" i="14" s="1"/>
  <c r="AH247" i="14"/>
  <c r="G247" i="14" s="1"/>
  <c r="AH279" i="14"/>
  <c r="G279" i="14" s="1"/>
  <c r="AH51" i="14"/>
  <c r="G51" i="14" s="1"/>
  <c r="AH111" i="14"/>
  <c r="G111" i="14" s="1"/>
  <c r="AH98" i="14"/>
  <c r="G98" i="14" s="1"/>
  <c r="AH116" i="14"/>
  <c r="G116" i="14" s="1"/>
  <c r="AH391" i="14"/>
  <c r="G391" i="14" s="1"/>
  <c r="AH374" i="14"/>
  <c r="G374" i="14" s="1"/>
  <c r="AH167" i="14"/>
  <c r="G167" i="14" s="1"/>
  <c r="AH353" i="14"/>
  <c r="G353" i="14" s="1"/>
  <c r="AH316" i="14"/>
  <c r="G316" i="14" s="1"/>
  <c r="AH192" i="14"/>
  <c r="G192" i="14" s="1"/>
  <c r="AH252" i="14"/>
  <c r="G252" i="14" s="1"/>
  <c r="AH251" i="14"/>
  <c r="G251" i="14" s="1"/>
  <c r="AH293" i="14"/>
  <c r="G293" i="14" s="1"/>
  <c r="AH348" i="14"/>
  <c r="G348" i="14" s="1"/>
  <c r="AH241" i="14"/>
  <c r="G241" i="14" s="1"/>
  <c r="AH393" i="14"/>
  <c r="G393" i="14" s="1"/>
  <c r="AH214" i="14"/>
  <c r="G214" i="14" s="1"/>
  <c r="AH124" i="14"/>
  <c r="G124" i="14" s="1"/>
  <c r="AH109" i="14"/>
  <c r="G109" i="14" s="1"/>
  <c r="AH84" i="14"/>
  <c r="G84" i="14" s="1"/>
  <c r="AH372" i="14"/>
  <c r="G372" i="14" s="1"/>
  <c r="AH335" i="14"/>
  <c r="G335" i="14" s="1"/>
  <c r="AH154" i="14"/>
  <c r="G154" i="14" s="1"/>
  <c r="AH227" i="14"/>
  <c r="G227" i="14" s="1"/>
  <c r="AH250" i="14"/>
  <c r="G250" i="14" s="1"/>
  <c r="AH89" i="14"/>
  <c r="G89" i="14" s="1"/>
  <c r="AH265" i="14"/>
  <c r="G265" i="14" s="1"/>
  <c r="AH171" i="14"/>
  <c r="G171" i="14" s="1"/>
  <c r="AH328" i="14"/>
  <c r="G328" i="14" s="1"/>
  <c r="AH340" i="14"/>
  <c r="G340" i="14" s="1"/>
  <c r="AH191" i="14"/>
  <c r="G191" i="14" s="1"/>
  <c r="AH232" i="14"/>
  <c r="G232" i="14" s="1"/>
  <c r="AH306" i="14"/>
  <c r="G306" i="14" s="1"/>
  <c r="AH201" i="14"/>
  <c r="G201" i="14" s="1"/>
  <c r="AH360" i="14"/>
  <c r="G360" i="14" s="1"/>
  <c r="AH334" i="14"/>
  <c r="G334" i="14" s="1"/>
  <c r="AH277" i="14"/>
  <c r="G277" i="14" s="1"/>
  <c r="AH221" i="14"/>
  <c r="G221" i="14" s="1"/>
  <c r="AH165" i="14"/>
  <c r="G165" i="14" s="1"/>
  <c r="AH153" i="14"/>
  <c r="G153" i="14" s="1"/>
  <c r="AH199" i="14"/>
  <c r="G199" i="14" s="1"/>
  <c r="AH67" i="14"/>
  <c r="G67" i="14" s="1"/>
  <c r="AH382" i="14"/>
  <c r="G382" i="14" s="1"/>
  <c r="AH218" i="14"/>
  <c r="G218" i="14" s="1"/>
  <c r="AH65" i="14"/>
  <c r="G65" i="14" s="1"/>
  <c r="AH388" i="14"/>
  <c r="G388" i="14" s="1"/>
  <c r="AH270" i="14"/>
  <c r="G270" i="14" s="1"/>
  <c r="AH387" i="14"/>
  <c r="G387" i="14" s="1"/>
  <c r="AH207" i="14"/>
  <c r="G207" i="14" s="1"/>
  <c r="AH394" i="14"/>
  <c r="G394" i="14" s="1"/>
  <c r="AH329" i="14"/>
  <c r="G329" i="14" s="1"/>
  <c r="AH337" i="14"/>
  <c r="G337" i="14" s="1"/>
  <c r="AH125" i="14"/>
  <c r="G125" i="14" s="1"/>
  <c r="AH145" i="14"/>
  <c r="G145" i="14" s="1"/>
  <c r="AH355" i="14"/>
  <c r="G355" i="14" s="1"/>
  <c r="AH85" i="14"/>
  <c r="G85" i="14" s="1"/>
  <c r="AH48" i="14"/>
  <c r="G48" i="14" s="1"/>
  <c r="AH188" i="14"/>
  <c r="G188" i="14" s="1"/>
  <c r="AH119" i="14"/>
  <c r="G119" i="14" s="1"/>
  <c r="AH132" i="14"/>
  <c r="G132" i="14" s="1"/>
  <c r="AH193" i="14"/>
  <c r="G193" i="14" s="1"/>
  <c r="AH253" i="14"/>
  <c r="G253" i="14" s="1"/>
  <c r="AH304" i="14"/>
  <c r="G304" i="14" s="1"/>
  <c r="AH120" i="14"/>
  <c r="G120" i="14" s="1"/>
  <c r="AH239" i="14"/>
  <c r="G239" i="14" s="1"/>
  <c r="AH183" i="14"/>
  <c r="G183" i="14" s="1"/>
  <c r="AH100" i="14"/>
  <c r="G100" i="14" s="1"/>
  <c r="AH397" i="14"/>
  <c r="G397" i="14" s="1"/>
  <c r="AH216" i="14"/>
  <c r="G216" i="14" s="1"/>
  <c r="AH346" i="14"/>
  <c r="G346" i="14" s="1"/>
  <c r="AH215" i="14"/>
  <c r="G215" i="14" s="1"/>
  <c r="AH86" i="14"/>
  <c r="G86" i="14" s="1"/>
  <c r="AH361" i="14"/>
  <c r="G361" i="14" s="1"/>
  <c r="AH94" i="14"/>
  <c r="G94" i="14" s="1"/>
  <c r="AH268" i="14"/>
  <c r="G268" i="14" s="1"/>
  <c r="AH370" i="14"/>
  <c r="G370" i="14" s="1"/>
  <c r="AH184" i="14"/>
  <c r="G184" i="14" s="1"/>
  <c r="AH392" i="14"/>
  <c r="G392" i="14" s="1"/>
  <c r="AH249" i="14"/>
  <c r="G249" i="14" s="1"/>
  <c r="AH339" i="14"/>
  <c r="G339" i="14" s="1"/>
  <c r="AH97" i="14"/>
  <c r="G97" i="14" s="1"/>
  <c r="AH113" i="14"/>
  <c r="G113" i="14" s="1"/>
  <c r="AH189" i="14"/>
  <c r="G189" i="14" s="1"/>
  <c r="AH66" i="14"/>
  <c r="G66" i="14" s="1"/>
  <c r="AH302" i="14"/>
  <c r="G302" i="14" s="1"/>
  <c r="AH110" i="14"/>
  <c r="G110" i="14" s="1"/>
  <c r="AH299" i="14"/>
  <c r="G299" i="14" s="1"/>
  <c r="AH156" i="14"/>
  <c r="G156" i="14" s="1"/>
  <c r="AH88" i="14"/>
  <c r="G88" i="14" s="1"/>
  <c r="AH42" i="14"/>
  <c r="G42" i="14" s="1"/>
  <c r="AH236" i="14"/>
  <c r="G236" i="14" s="1"/>
  <c r="AH341" i="14"/>
  <c r="G341" i="14" s="1"/>
  <c r="AH283" i="14"/>
  <c r="G283" i="14" s="1"/>
  <c r="AH91" i="14"/>
  <c r="G91" i="14" s="1"/>
  <c r="AH147" i="14"/>
  <c r="G147" i="14" s="1"/>
  <c r="AH83" i="14"/>
  <c r="G83" i="14" s="1"/>
  <c r="AH185" i="14"/>
  <c r="G185" i="14" s="1"/>
  <c r="AH285" i="14"/>
  <c r="G285" i="14" s="1"/>
  <c r="AH224" i="14"/>
  <c r="G224" i="14" s="1"/>
  <c r="AH342" i="14"/>
  <c r="G342" i="14" s="1"/>
  <c r="AH69" i="14"/>
  <c r="G69" i="14" s="1"/>
  <c r="AH131" i="14"/>
  <c r="G131" i="14" s="1"/>
  <c r="AH149" i="14"/>
  <c r="G149" i="14" s="1"/>
  <c r="AH225" i="14"/>
  <c r="G225" i="14" s="1"/>
  <c r="AH143" i="14"/>
  <c r="G143" i="14" s="1"/>
  <c r="AH315" i="14"/>
  <c r="G315" i="14" s="1"/>
  <c r="AH43" i="14"/>
  <c r="G43" i="14" s="1"/>
  <c r="AH186" i="14"/>
  <c r="G186" i="14" s="1"/>
  <c r="AH90" i="14"/>
  <c r="G90" i="14" s="1"/>
  <c r="AH274" i="14"/>
  <c r="G274" i="14" s="1"/>
  <c r="AH260" i="14"/>
  <c r="G260" i="14" s="1"/>
  <c r="AH258" i="14"/>
  <c r="G258" i="14" s="1"/>
  <c r="AH323" i="14"/>
  <c r="G323" i="14" s="1"/>
  <c r="AH140" i="14"/>
  <c r="G140" i="14" s="1"/>
  <c r="AH158" i="14"/>
  <c r="G158" i="14" s="1"/>
  <c r="AH290" i="14"/>
  <c r="G290" i="14" s="1"/>
  <c r="AH44" i="14"/>
  <c r="G44" i="14" s="1"/>
  <c r="AH326" i="14"/>
  <c r="G326" i="14" s="1"/>
  <c r="AH222" i="14"/>
  <c r="G222" i="14" s="1"/>
  <c r="AH278" i="14"/>
  <c r="G278" i="14" s="1"/>
  <c r="AH231" i="14"/>
  <c r="G231" i="14" s="1"/>
  <c r="AH61" i="14"/>
  <c r="G61" i="14" s="1"/>
  <c r="AH200" i="14"/>
  <c r="G200" i="14" s="1"/>
  <c r="AH82" i="14"/>
  <c r="G82" i="14" s="1"/>
  <c r="AH182" i="14"/>
  <c r="G182" i="14" s="1"/>
  <c r="AH240" i="14"/>
  <c r="G240" i="14" s="1"/>
  <c r="AH399" i="14"/>
  <c r="G399" i="14" s="1"/>
  <c r="AH333" i="14"/>
  <c r="G333" i="14" s="1"/>
  <c r="AH135" i="14"/>
  <c r="G135" i="14" s="1"/>
  <c r="AH381" i="14"/>
  <c r="G381" i="14" s="1"/>
  <c r="AH267" i="14"/>
  <c r="G267" i="14" s="1"/>
  <c r="AH395" i="14"/>
  <c r="G395" i="14" s="1"/>
  <c r="AH243" i="14"/>
  <c r="G243" i="14" s="1"/>
  <c r="AH56" i="14"/>
  <c r="G56" i="14" s="1"/>
  <c r="AH228" i="14"/>
  <c r="G228" i="14" s="1"/>
  <c r="AH212" i="14"/>
  <c r="G212" i="14" s="1"/>
  <c r="AH390" i="14"/>
  <c r="G390" i="14" s="1"/>
  <c r="AH213" i="14"/>
  <c r="G213" i="14" s="1"/>
  <c r="AH146" i="14"/>
  <c r="G146" i="14" s="1"/>
  <c r="AH159" i="14"/>
  <c r="G159" i="14" s="1"/>
  <c r="AH196" i="14"/>
  <c r="G196" i="14" s="1"/>
  <c r="AH115" i="14"/>
  <c r="G115" i="14" s="1"/>
  <c r="AH194" i="14"/>
  <c r="G194" i="14" s="1"/>
  <c r="AH118" i="14"/>
  <c r="G118" i="14" s="1"/>
  <c r="AH60" i="14"/>
  <c r="G60" i="14" s="1"/>
  <c r="AH179" i="14"/>
  <c r="G179" i="14" s="1"/>
  <c r="AH64" i="14"/>
  <c r="G64" i="14" s="1"/>
  <c r="AH276" i="14"/>
  <c r="G276" i="14" s="1"/>
  <c r="AH378" i="14"/>
  <c r="G378" i="14" s="1"/>
  <c r="AH238" i="14"/>
  <c r="G238" i="14" s="1"/>
  <c r="AH284" i="14"/>
  <c r="G284" i="14" s="1"/>
  <c r="AH272" i="14"/>
  <c r="G272" i="14" s="1"/>
  <c r="AH362" i="14"/>
  <c r="G362" i="14" s="1"/>
  <c r="AH259" i="14"/>
  <c r="G259" i="14" s="1"/>
  <c r="AH262" i="14"/>
  <c r="G262" i="14" s="1"/>
  <c r="AH338" i="14"/>
  <c r="G338" i="14" s="1"/>
  <c r="AH163" i="14"/>
  <c r="G163" i="14" s="1"/>
  <c r="AH371" i="14"/>
  <c r="G371" i="14" s="1"/>
  <c r="AH197" i="14"/>
  <c r="G197" i="14" s="1"/>
  <c r="AH174" i="14"/>
  <c r="G174" i="14" s="1"/>
  <c r="AH244" i="14"/>
  <c r="G244" i="14" s="1"/>
  <c r="AH273" i="14"/>
  <c r="G273" i="14" s="1"/>
  <c r="AH169" i="14"/>
  <c r="G169" i="14" s="1"/>
  <c r="AH93" i="14"/>
  <c r="G93" i="14" s="1"/>
  <c r="AH47" i="14"/>
  <c r="G47" i="14" s="1"/>
  <c r="AH68" i="14"/>
  <c r="G68" i="14" s="1"/>
  <c r="AH112" i="14"/>
  <c r="G112" i="14" s="1"/>
  <c r="AH234" i="14"/>
  <c r="G234" i="14" s="1"/>
  <c r="AH157" i="14"/>
  <c r="G157" i="14" s="1"/>
  <c r="AH261" i="14"/>
  <c r="G261" i="14" s="1"/>
  <c r="AH52" i="14"/>
  <c r="G52" i="14" s="1"/>
  <c r="AH170" i="14"/>
  <c r="G170" i="14" s="1"/>
  <c r="AH320" i="14"/>
  <c r="G320" i="14" s="1"/>
  <c r="AH210" i="14"/>
  <c r="G210" i="14" s="1"/>
  <c r="AH137" i="14"/>
  <c r="G137" i="14" s="1"/>
  <c r="AH72" i="14"/>
  <c r="G72" i="14" s="1"/>
  <c r="AH50" i="14"/>
  <c r="G50" i="14" s="1"/>
  <c r="AH211" i="14"/>
  <c r="G211" i="14" s="1"/>
  <c r="AH286" i="14"/>
  <c r="G286" i="14" s="1"/>
  <c r="AH359" i="14"/>
  <c r="G359" i="14" s="1"/>
  <c r="AH202" i="14"/>
  <c r="G202" i="14" s="1"/>
  <c r="AH142" i="14"/>
  <c r="G142" i="14" s="1"/>
  <c r="AH354" i="14"/>
  <c r="G354" i="14" s="1"/>
  <c r="AH175" i="14"/>
  <c r="G175" i="14" s="1"/>
  <c r="AH269" i="14"/>
  <c r="G269" i="14" s="1"/>
  <c r="AH275" i="14"/>
  <c r="G275" i="14" s="1"/>
  <c r="AH73" i="14"/>
  <c r="G73" i="14" s="1"/>
  <c r="AH59" i="14"/>
  <c r="G59" i="14" s="1"/>
  <c r="AH264" i="14"/>
  <c r="G264" i="14" s="1"/>
  <c r="AH95" i="14"/>
  <c r="G95" i="14" s="1"/>
  <c r="AH364" i="14"/>
  <c r="G364" i="14" s="1"/>
  <c r="AH300" i="14"/>
  <c r="G300" i="14" s="1"/>
  <c r="AH133" i="14"/>
  <c r="G133" i="14" s="1"/>
  <c r="AH318" i="14"/>
  <c r="G318" i="14" s="1"/>
  <c r="AH298" i="14"/>
  <c r="G298" i="14" s="1"/>
  <c r="AH369" i="14"/>
  <c r="G369" i="14" s="1"/>
  <c r="AH54" i="14"/>
  <c r="G54" i="14" s="1"/>
  <c r="AH57" i="14"/>
  <c r="G57" i="14" s="1"/>
  <c r="AH280" i="14"/>
  <c r="G280" i="14" s="1"/>
  <c r="AH292" i="14"/>
  <c r="G292" i="14" s="1"/>
  <c r="AH39" i="14"/>
  <c r="G39" i="14" s="1"/>
  <c r="AH330" i="14"/>
  <c r="G330" i="14" s="1"/>
  <c r="AH366" i="14"/>
  <c r="G366" i="14" s="1"/>
  <c r="AH365" i="14"/>
  <c r="G365" i="14" s="1"/>
  <c r="AH271" i="14"/>
  <c r="G271" i="14" s="1"/>
  <c r="AH150" i="14"/>
  <c r="G150" i="14" s="1"/>
  <c r="AH256" i="14"/>
  <c r="G256" i="14" s="1"/>
  <c r="AH123" i="14"/>
  <c r="G123" i="14" s="1"/>
  <c r="AH136" i="14"/>
  <c r="G136" i="14" s="1"/>
  <c r="AH144" i="14"/>
  <c r="G144" i="14" s="1"/>
  <c r="AH368" i="14"/>
  <c r="G368" i="14" s="1"/>
  <c r="AH344" i="14"/>
  <c r="G344" i="14" s="1"/>
  <c r="AH242" i="14"/>
  <c r="G242" i="14" s="1"/>
  <c r="AH235" i="14"/>
  <c r="G235" i="14" s="1"/>
  <c r="AH230" i="14"/>
  <c r="G230" i="14" s="1"/>
  <c r="AH178" i="14"/>
  <c r="G178" i="14" s="1"/>
  <c r="AH208" i="14"/>
  <c r="G208" i="14" s="1"/>
  <c r="AH350" i="14"/>
  <c r="G350" i="14" s="1"/>
  <c r="AH96" i="14"/>
  <c r="G96" i="14" s="1"/>
  <c r="AH106" i="14"/>
  <c r="G106" i="14" s="1"/>
  <c r="AH314" i="14"/>
  <c r="G314" i="14" s="1"/>
  <c r="AH245" i="14"/>
  <c r="G245" i="14" s="1"/>
  <c r="AH296" i="14"/>
  <c r="G296" i="14" s="1"/>
  <c r="AH99" i="14"/>
  <c r="G99" i="14" s="1"/>
  <c r="AH161" i="14"/>
  <c r="G161" i="14" s="1"/>
  <c r="AH317" i="14"/>
  <c r="G317" i="14" s="1"/>
  <c r="AH41" i="14"/>
  <c r="G41" i="14" s="1"/>
  <c r="AH152" i="14"/>
  <c r="G152" i="14" s="1"/>
  <c r="AH134" i="14"/>
  <c r="G134" i="14" s="1"/>
  <c r="AH217" i="14"/>
  <c r="G217" i="14" s="1"/>
  <c r="Z224" i="14"/>
  <c r="E224" i="14" s="1"/>
  <c r="Z73" i="14"/>
  <c r="E73" i="14" s="1"/>
  <c r="Z291" i="14"/>
  <c r="E291" i="14" s="1"/>
  <c r="Z93" i="14"/>
  <c r="E93" i="14" s="1"/>
  <c r="Z299" i="14"/>
  <c r="E299" i="14" s="1"/>
  <c r="Z380" i="14"/>
  <c r="E380" i="14" s="1"/>
  <c r="Z229" i="14"/>
  <c r="E229" i="14" s="1"/>
  <c r="Z212" i="14"/>
  <c r="E212" i="14" s="1"/>
  <c r="Z373" i="14"/>
  <c r="E373" i="14" s="1"/>
  <c r="Z160" i="14"/>
  <c r="E160" i="14" s="1"/>
  <c r="Z44" i="14"/>
  <c r="E44" i="14" s="1"/>
  <c r="Z355" i="14"/>
  <c r="E355" i="14" s="1"/>
  <c r="Z59" i="14"/>
  <c r="E59" i="14" s="1"/>
  <c r="Z249" i="14"/>
  <c r="E249" i="14" s="1"/>
  <c r="Z236" i="14"/>
  <c r="E236" i="14" s="1"/>
  <c r="Z387" i="14"/>
  <c r="E387" i="14" s="1"/>
  <c r="Z261" i="14"/>
  <c r="E261" i="14" s="1"/>
  <c r="Z273" i="14"/>
  <c r="E273" i="14" s="1"/>
  <c r="Z266" i="14"/>
  <c r="E266" i="14" s="1"/>
  <c r="Z116" i="14"/>
  <c r="E116" i="14" s="1"/>
  <c r="Z304" i="14"/>
  <c r="E304" i="14" s="1"/>
  <c r="Z209" i="14"/>
  <c r="E209" i="14" s="1"/>
  <c r="Z338" i="14"/>
  <c r="E338" i="14" s="1"/>
  <c r="Z124" i="14"/>
  <c r="E124" i="14" s="1"/>
  <c r="Z292" i="14"/>
  <c r="E292" i="14" s="1"/>
  <c r="Z176" i="14"/>
  <c r="E176" i="14" s="1"/>
  <c r="Z343" i="14"/>
  <c r="E343" i="14" s="1"/>
  <c r="Z89" i="14"/>
  <c r="E89" i="14" s="1"/>
  <c r="Z183" i="14"/>
  <c r="E183" i="14" s="1"/>
  <c r="Z306" i="14"/>
  <c r="E306" i="14" s="1"/>
  <c r="Z199" i="14"/>
  <c r="E199" i="14" s="1"/>
  <c r="Z346" i="14"/>
  <c r="E346" i="14" s="1"/>
  <c r="Z208" i="14"/>
  <c r="E208" i="14" s="1"/>
  <c r="Z187" i="14"/>
  <c r="E187" i="14" s="1"/>
  <c r="Z182" i="14"/>
  <c r="E182" i="14" s="1"/>
  <c r="Z189" i="14"/>
  <c r="E189" i="14" s="1"/>
  <c r="Z233" i="14"/>
  <c r="E233" i="14" s="1"/>
  <c r="Z240" i="14"/>
  <c r="E240" i="14" s="1"/>
  <c r="Z167" i="14"/>
  <c r="E167" i="14" s="1"/>
  <c r="Z48" i="14"/>
  <c r="E48" i="14" s="1"/>
  <c r="Z350" i="14"/>
  <c r="E350" i="14" s="1"/>
  <c r="Z56" i="14"/>
  <c r="E56" i="14" s="1"/>
  <c r="Z313" i="14"/>
  <c r="E313" i="14" s="1"/>
  <c r="Z152" i="14"/>
  <c r="E152" i="14" s="1"/>
  <c r="Z251" i="14"/>
  <c r="E251" i="14" s="1"/>
  <c r="Z275" i="14"/>
  <c r="E275" i="14" s="1"/>
  <c r="Z68" i="14"/>
  <c r="E68" i="14" s="1"/>
  <c r="Z371" i="14"/>
  <c r="E371" i="14" s="1"/>
  <c r="Z87" i="14"/>
  <c r="E87" i="14" s="1"/>
  <c r="Z388" i="14"/>
  <c r="E388" i="14" s="1"/>
  <c r="Z278" i="14"/>
  <c r="E278" i="14" s="1"/>
  <c r="Z101" i="14"/>
  <c r="E101" i="14" s="1"/>
  <c r="Z293" i="14"/>
  <c r="E293" i="14" s="1"/>
  <c r="Z393" i="14"/>
  <c r="E393" i="14" s="1"/>
  <c r="Z57" i="14"/>
  <c r="E57" i="14" s="1"/>
  <c r="Z359" i="14"/>
  <c r="E359" i="14" s="1"/>
  <c r="Z47" i="14"/>
  <c r="E47" i="14" s="1"/>
  <c r="Z319" i="14"/>
  <c r="E319" i="14" s="1"/>
  <c r="Z341" i="14"/>
  <c r="E341" i="14" s="1"/>
  <c r="Z320" i="14"/>
  <c r="E320" i="14" s="1"/>
  <c r="Z301" i="14"/>
  <c r="E301" i="14" s="1"/>
  <c r="Z369" i="14"/>
  <c r="E369" i="14" s="1"/>
  <c r="Z333" i="14"/>
  <c r="E333" i="14" s="1"/>
  <c r="Z140" i="14"/>
  <c r="E140" i="14" s="1"/>
  <c r="Z392" i="14"/>
  <c r="E392" i="14" s="1"/>
  <c r="Z156" i="14"/>
  <c r="E156" i="14" s="1"/>
  <c r="Z281" i="14"/>
  <c r="E281" i="14" s="1"/>
  <c r="Z228" i="14"/>
  <c r="E228" i="14" s="1"/>
  <c r="Z123" i="14"/>
  <c r="E123" i="14" s="1"/>
  <c r="Z330" i="14"/>
  <c r="E330" i="14" s="1"/>
  <c r="Z108" i="14"/>
  <c r="E108" i="14" s="1"/>
  <c r="Z206" i="14"/>
  <c r="E206" i="14" s="1"/>
  <c r="Z65" i="14"/>
  <c r="E65" i="14" s="1"/>
  <c r="Z203" i="14"/>
  <c r="E203" i="14" s="1"/>
  <c r="Z191" i="14"/>
  <c r="E191" i="14" s="1"/>
  <c r="Z165" i="14"/>
  <c r="E165" i="14" s="1"/>
  <c r="Z127" i="14"/>
  <c r="E127" i="14" s="1"/>
  <c r="Z41" i="14"/>
  <c r="E41" i="14" s="1"/>
  <c r="Z66" i="14"/>
  <c r="E66" i="14" s="1"/>
  <c r="Z207" i="14"/>
  <c r="E207" i="14" s="1"/>
  <c r="Z269" i="14"/>
  <c r="E269" i="14" s="1"/>
  <c r="Z138" i="14"/>
  <c r="E138" i="14" s="1"/>
  <c r="Z364" i="14"/>
  <c r="E364" i="14" s="1"/>
  <c r="Z302" i="14"/>
  <c r="E302" i="14" s="1"/>
  <c r="Z92" i="14"/>
  <c r="E92" i="14" s="1"/>
  <c r="Z385" i="14"/>
  <c r="E385" i="14" s="1"/>
  <c r="Z77" i="14"/>
  <c r="E77" i="14" s="1"/>
  <c r="Z67" i="14"/>
  <c r="E67" i="14" s="1"/>
  <c r="Z329" i="14"/>
  <c r="E329" i="14" s="1"/>
  <c r="Z279" i="14"/>
  <c r="E279" i="14" s="1"/>
  <c r="Z150" i="14"/>
  <c r="E150" i="14" s="1"/>
  <c r="Z351" i="14"/>
  <c r="E351" i="14" s="1"/>
  <c r="Z379" i="14"/>
  <c r="E379" i="14" s="1"/>
  <c r="Z151" i="14"/>
  <c r="E151" i="14" s="1"/>
  <c r="Z270" i="14"/>
  <c r="E270" i="14" s="1"/>
  <c r="Z295" i="14"/>
  <c r="E295" i="14" s="1"/>
  <c r="Z222" i="14"/>
  <c r="E222" i="14" s="1"/>
  <c r="Z198" i="14"/>
  <c r="E198" i="14" s="1"/>
  <c r="Z60" i="14"/>
  <c r="E60" i="14" s="1"/>
  <c r="Z146" i="14"/>
  <c r="E146" i="14" s="1"/>
  <c r="Z78" i="14"/>
  <c r="E78" i="14" s="1"/>
  <c r="Z205" i="14"/>
  <c r="E205" i="14" s="1"/>
  <c r="Z186" i="14"/>
  <c r="E186" i="14" s="1"/>
  <c r="Z234" i="14"/>
  <c r="E234" i="14" s="1"/>
  <c r="Z360" i="14"/>
  <c r="E360" i="14" s="1"/>
  <c r="Z239" i="14"/>
  <c r="E239" i="14" s="1"/>
  <c r="Z335" i="14"/>
  <c r="E335" i="14" s="1"/>
  <c r="Z354" i="14"/>
  <c r="E354" i="14" s="1"/>
  <c r="Z365" i="14"/>
  <c r="E365" i="14" s="1"/>
  <c r="Z367" i="14"/>
  <c r="E367" i="14" s="1"/>
  <c r="Z137" i="14"/>
  <c r="E137" i="14" s="1"/>
  <c r="Z309" i="14"/>
  <c r="E309" i="14" s="1"/>
  <c r="Z254" i="14"/>
  <c r="E254" i="14" s="1"/>
  <c r="Z98" i="14"/>
  <c r="E98" i="14" s="1"/>
  <c r="Z148" i="14"/>
  <c r="E148" i="14" s="1"/>
  <c r="Z143" i="14"/>
  <c r="E143" i="14" s="1"/>
  <c r="Z287" i="14"/>
  <c r="E287" i="14" s="1"/>
  <c r="Z195" i="14"/>
  <c r="E195" i="14" s="1"/>
  <c r="Z256" i="14"/>
  <c r="E256" i="14" s="1"/>
  <c r="Z115" i="14"/>
  <c r="E115" i="14" s="1"/>
  <c r="Z308" i="14"/>
  <c r="E308" i="14" s="1"/>
  <c r="Z185" i="14"/>
  <c r="E185" i="14" s="1"/>
  <c r="Z53" i="14"/>
  <c r="E53" i="14" s="1"/>
  <c r="Z45" i="14"/>
  <c r="E45" i="14" s="1"/>
  <c r="Z311" i="14"/>
  <c r="E311" i="14" s="1"/>
  <c r="Z142" i="14"/>
  <c r="E142" i="14" s="1"/>
  <c r="Z248" i="14"/>
  <c r="E248" i="14" s="1"/>
  <c r="Z153" i="14"/>
  <c r="E153" i="14" s="1"/>
  <c r="Z394" i="14"/>
  <c r="E394" i="14" s="1"/>
  <c r="Z213" i="14"/>
  <c r="E213" i="14" s="1"/>
  <c r="Z85" i="14"/>
  <c r="E85" i="14" s="1"/>
  <c r="Z310" i="14"/>
  <c r="E310" i="14" s="1"/>
  <c r="Z111" i="14"/>
  <c r="E111" i="14" s="1"/>
  <c r="Z340" i="14"/>
  <c r="E340" i="14" s="1"/>
  <c r="Z109" i="14"/>
  <c r="E109" i="14" s="1"/>
  <c r="Z197" i="14"/>
  <c r="E197" i="14" s="1"/>
  <c r="Z399" i="14"/>
  <c r="E399" i="14" s="1"/>
  <c r="Z81" i="14"/>
  <c r="E81" i="14" s="1"/>
  <c r="Z377" i="14"/>
  <c r="E377" i="14" s="1"/>
  <c r="Z312" i="14"/>
  <c r="E312" i="14" s="1"/>
  <c r="Z159" i="14"/>
  <c r="E159" i="14" s="1"/>
  <c r="Z204" i="14"/>
  <c r="E204" i="14" s="1"/>
  <c r="Z119" i="14"/>
  <c r="E119" i="14" s="1"/>
  <c r="Z288" i="14"/>
  <c r="E288" i="14" s="1"/>
  <c r="Z372" i="14"/>
  <c r="E372" i="14" s="1"/>
  <c r="Z43" i="14"/>
  <c r="E43" i="14" s="1"/>
  <c r="Z177" i="14"/>
  <c r="E177" i="14" s="1"/>
  <c r="Z286" i="14"/>
  <c r="E286" i="14" s="1"/>
  <c r="Z323" i="14"/>
  <c r="E323" i="14" s="1"/>
  <c r="Z106" i="14"/>
  <c r="E106" i="14" s="1"/>
  <c r="Z200" i="14"/>
  <c r="E200" i="14" s="1"/>
  <c r="Z303" i="14"/>
  <c r="E303" i="14" s="1"/>
  <c r="Z223" i="14"/>
  <c r="E223" i="14" s="1"/>
  <c r="Z349" i="14"/>
  <c r="E349" i="14" s="1"/>
  <c r="Z52" i="14"/>
  <c r="E52" i="14" s="1"/>
  <c r="Z327" i="14"/>
  <c r="E327" i="14" s="1"/>
  <c r="Z155" i="14"/>
  <c r="E155" i="14" s="1"/>
  <c r="Z344" i="14"/>
  <c r="E344" i="14" s="1"/>
  <c r="Z72" i="14"/>
  <c r="E72" i="14" s="1"/>
  <c r="Z79" i="14"/>
  <c r="E79" i="14" s="1"/>
  <c r="Z238" i="14"/>
  <c r="E238" i="14" s="1"/>
  <c r="Z255" i="14"/>
  <c r="E255" i="14" s="1"/>
  <c r="Z231" i="14"/>
  <c r="E231" i="14" s="1"/>
  <c r="Z321" i="14"/>
  <c r="E321" i="14" s="1"/>
  <c r="Z215" i="14"/>
  <c r="E215" i="14" s="1"/>
  <c r="Z285" i="14"/>
  <c r="E285" i="14" s="1"/>
  <c r="Z230" i="14"/>
  <c r="E230" i="14" s="1"/>
  <c r="Z260" i="14"/>
  <c r="E260" i="14" s="1"/>
  <c r="Z168" i="14"/>
  <c r="E168" i="14" s="1"/>
  <c r="Z318" i="14"/>
  <c r="E318" i="14" s="1"/>
  <c r="Z76" i="14"/>
  <c r="E76" i="14" s="1"/>
  <c r="Z337" i="14"/>
  <c r="E337" i="14" s="1"/>
  <c r="Z366" i="14"/>
  <c r="E366" i="14" s="1"/>
  <c r="Z342" i="14"/>
  <c r="E342" i="14" s="1"/>
  <c r="Z172" i="14"/>
  <c r="E172" i="14" s="1"/>
  <c r="Z383" i="14"/>
  <c r="E383" i="14" s="1"/>
  <c r="Z395" i="14"/>
  <c r="E395" i="14" s="1"/>
  <c r="Z193" i="14"/>
  <c r="E193" i="14" s="1"/>
  <c r="Z347" i="14"/>
  <c r="E347" i="14" s="1"/>
  <c r="Z250" i="14"/>
  <c r="E250" i="14" s="1"/>
  <c r="Z129" i="14"/>
  <c r="E129" i="14" s="1"/>
  <c r="Z162" i="14"/>
  <c r="E162" i="14" s="1"/>
  <c r="Z99" i="14"/>
  <c r="E99" i="14" s="1"/>
  <c r="Z201" i="14"/>
  <c r="E201" i="14" s="1"/>
  <c r="Z173" i="14"/>
  <c r="E173" i="14" s="1"/>
  <c r="Z315" i="14"/>
  <c r="E315" i="14" s="1"/>
  <c r="Z296" i="14"/>
  <c r="E296" i="14" s="1"/>
  <c r="Z253" i="14"/>
  <c r="E253" i="14" s="1"/>
  <c r="Z381" i="14"/>
  <c r="E381" i="14" s="1"/>
  <c r="Z267" i="14"/>
  <c r="E267" i="14" s="1"/>
  <c r="Z104" i="14"/>
  <c r="E104" i="14" s="1"/>
  <c r="Z218" i="14"/>
  <c r="E218" i="14" s="1"/>
  <c r="Z171" i="14"/>
  <c r="E171" i="14" s="1"/>
  <c r="Z74" i="14"/>
  <c r="E74" i="14" s="1"/>
  <c r="Z88" i="14"/>
  <c r="E88" i="14" s="1"/>
  <c r="Z39" i="14"/>
  <c r="E39" i="14" s="1"/>
  <c r="Z243" i="14"/>
  <c r="E243" i="14" s="1"/>
  <c r="Z54" i="14"/>
  <c r="E54" i="14" s="1"/>
  <c r="Z147" i="14"/>
  <c r="E147" i="14" s="1"/>
  <c r="Z257" i="14"/>
  <c r="E257" i="14" s="1"/>
  <c r="Z272" i="14"/>
  <c r="E272" i="14" s="1"/>
  <c r="Z294" i="14"/>
  <c r="E294" i="14" s="1"/>
  <c r="Z397" i="14"/>
  <c r="E397" i="14" s="1"/>
  <c r="Z232" i="14"/>
  <c r="E232" i="14" s="1"/>
  <c r="Z128" i="14"/>
  <c r="E128" i="14" s="1"/>
  <c r="Z258" i="14"/>
  <c r="E258" i="14" s="1"/>
  <c r="Z154" i="14"/>
  <c r="E154" i="14" s="1"/>
  <c r="Z283" i="14"/>
  <c r="E283" i="14" s="1"/>
  <c r="Z102" i="14"/>
  <c r="E102" i="14" s="1"/>
  <c r="Z145" i="14"/>
  <c r="E145" i="14" s="1"/>
  <c r="Z70" i="14"/>
  <c r="E70" i="14" s="1"/>
  <c r="Z100" i="14"/>
  <c r="E100" i="14" s="1"/>
  <c r="Z400" i="14"/>
  <c r="E400" i="14" s="1"/>
  <c r="Z242" i="14"/>
  <c r="E242" i="14" s="1"/>
  <c r="Z131" i="14"/>
  <c r="E131" i="14" s="1"/>
  <c r="Z375" i="14"/>
  <c r="E375" i="14" s="1"/>
  <c r="Z247" i="14"/>
  <c r="E247" i="14" s="1"/>
  <c r="Z125" i="14"/>
  <c r="E125" i="14" s="1"/>
  <c r="Z105" i="14"/>
  <c r="E105" i="14" s="1"/>
  <c r="Z64" i="14"/>
  <c r="E64" i="14" s="1"/>
  <c r="Z244" i="14"/>
  <c r="E244" i="14" s="1"/>
  <c r="Z196" i="14"/>
  <c r="E196" i="14" s="1"/>
  <c r="Z217" i="14"/>
  <c r="E217" i="14" s="1"/>
  <c r="Z221" i="14"/>
  <c r="E221" i="14" s="1"/>
  <c r="Z284" i="14"/>
  <c r="E284" i="14" s="1"/>
  <c r="Z62" i="14"/>
  <c r="E62" i="14" s="1"/>
  <c r="Z135" i="14"/>
  <c r="E135" i="14" s="1"/>
  <c r="Z96" i="14"/>
  <c r="E96" i="14" s="1"/>
  <c r="Z384" i="14"/>
  <c r="E384" i="14" s="1"/>
  <c r="Z345" i="14"/>
  <c r="E345" i="14" s="1"/>
  <c r="Z188" i="14"/>
  <c r="E188" i="14" s="1"/>
  <c r="Z214" i="14"/>
  <c r="E214" i="14" s="1"/>
  <c r="Z290" i="14"/>
  <c r="E290" i="14" s="1"/>
  <c r="Z169" i="14"/>
  <c r="E169" i="14" s="1"/>
  <c r="Z216" i="14"/>
  <c r="E216" i="14" s="1"/>
  <c r="Z170" i="14"/>
  <c r="E170" i="14" s="1"/>
  <c r="Z390" i="14"/>
  <c r="E390" i="14" s="1"/>
  <c r="Z332" i="14"/>
  <c r="E332" i="14" s="1"/>
  <c r="Z322" i="14"/>
  <c r="E322" i="14" s="1"/>
  <c r="Z263" i="14"/>
  <c r="E263" i="14" s="1"/>
  <c r="Z149" i="14"/>
  <c r="E149" i="14" s="1"/>
  <c r="Z132" i="14"/>
  <c r="E132" i="14" s="1"/>
  <c r="Z307" i="14"/>
  <c r="E307" i="14" s="1"/>
  <c r="Z82" i="14"/>
  <c r="E82" i="14" s="1"/>
  <c r="Z264" i="14"/>
  <c r="E264" i="14" s="1"/>
  <c r="Z121" i="14"/>
  <c r="E121" i="14" s="1"/>
  <c r="Z370" i="14"/>
  <c r="E370" i="14" s="1"/>
  <c r="Z126" i="14"/>
  <c r="E126" i="14" s="1"/>
  <c r="Z262" i="14"/>
  <c r="E262" i="14" s="1"/>
  <c r="Z289" i="14"/>
  <c r="E289" i="14" s="1"/>
  <c r="Z181" i="14"/>
  <c r="E181" i="14" s="1"/>
  <c r="Z90" i="14"/>
  <c r="E90" i="14" s="1"/>
  <c r="Z277" i="14"/>
  <c r="E277" i="14" s="1"/>
  <c r="Z271" i="14"/>
  <c r="E271" i="14" s="1"/>
  <c r="Z192" i="14"/>
  <c r="E192" i="14" s="1"/>
  <c r="Z179" i="14"/>
  <c r="E179" i="14" s="1"/>
  <c r="Z144" i="14"/>
  <c r="E144" i="14" s="1"/>
  <c r="Z164" i="14"/>
  <c r="E164" i="14" s="1"/>
  <c r="Z122" i="14"/>
  <c r="E122" i="14" s="1"/>
  <c r="Z331" i="14"/>
  <c r="E331" i="14" s="1"/>
  <c r="Z114" i="14"/>
  <c r="E114" i="14" s="1"/>
  <c r="Z280" i="14"/>
  <c r="E280" i="14" s="1"/>
  <c r="Z282" i="14"/>
  <c r="E282" i="14" s="1"/>
  <c r="Z174" i="14"/>
  <c r="E174" i="14" s="1"/>
  <c r="Z316" i="14"/>
  <c r="E316" i="14" s="1"/>
  <c r="Z134" i="14"/>
  <c r="E134" i="14" s="1"/>
  <c r="Z118" i="14"/>
  <c r="E118" i="14" s="1"/>
  <c r="Z136" i="14"/>
  <c r="E136" i="14" s="1"/>
  <c r="Z133" i="14"/>
  <c r="E133" i="14" s="1"/>
  <c r="Z317" i="14"/>
  <c r="E317" i="14" s="1"/>
  <c r="Z348" i="14"/>
  <c r="E348" i="14" s="1"/>
  <c r="Z84" i="14"/>
  <c r="E84" i="14" s="1"/>
  <c r="Z237" i="14"/>
  <c r="E237" i="14" s="1"/>
  <c r="Z202" i="14"/>
  <c r="E202" i="14" s="1"/>
  <c r="Z95" i="14"/>
  <c r="E95" i="14" s="1"/>
  <c r="Z368" i="14"/>
  <c r="E368" i="14" s="1"/>
  <c r="Z376" i="14"/>
  <c r="E376" i="14" s="1"/>
  <c r="Z86" i="14"/>
  <c r="E86" i="14" s="1"/>
  <c r="Z139" i="14"/>
  <c r="E139" i="14" s="1"/>
  <c r="Z305" i="14"/>
  <c r="E305" i="14" s="1"/>
  <c r="Z396" i="14"/>
  <c r="E396" i="14" s="1"/>
  <c r="Z42" i="14"/>
  <c r="E42" i="14" s="1"/>
  <c r="Z157" i="14"/>
  <c r="E157" i="14" s="1"/>
  <c r="Z178" i="14"/>
  <c r="E178" i="14" s="1"/>
  <c r="Z314" i="14"/>
  <c r="E314" i="14" s="1"/>
  <c r="Z245" i="14"/>
  <c r="E245" i="14" s="1"/>
  <c r="Z356" i="14"/>
  <c r="E356" i="14" s="1"/>
  <c r="Z190" i="14"/>
  <c r="E190" i="14" s="1"/>
  <c r="Z378" i="14"/>
  <c r="E378" i="14" s="1"/>
  <c r="Z386" i="14"/>
  <c r="E386" i="14" s="1"/>
  <c r="Z325" i="14"/>
  <c r="E325" i="14" s="1"/>
  <c r="Z246" i="14"/>
  <c r="E246" i="14" s="1"/>
  <c r="Z141" i="14"/>
  <c r="E141" i="14" s="1"/>
  <c r="Z50" i="14"/>
  <c r="E50" i="14" s="1"/>
  <c r="Z75" i="14"/>
  <c r="E75" i="14" s="1"/>
  <c r="Z112" i="14"/>
  <c r="E112" i="14" s="1"/>
  <c r="Z235" i="14"/>
  <c r="E235" i="14" s="1"/>
  <c r="Z194" i="14"/>
  <c r="E194" i="14" s="1"/>
  <c r="Z166" i="14"/>
  <c r="E166" i="14" s="1"/>
  <c r="Z71" i="14"/>
  <c r="E71" i="14" s="1"/>
  <c r="Z158" i="14"/>
  <c r="E158" i="14" s="1"/>
  <c r="Z130" i="14"/>
  <c r="E130" i="14" s="1"/>
  <c r="Z357" i="14"/>
  <c r="E357" i="14" s="1"/>
  <c r="Z361" i="14"/>
  <c r="E361" i="14" s="1"/>
  <c r="Z259" i="14"/>
  <c r="E259" i="14" s="1"/>
  <c r="Z241" i="14"/>
  <c r="E241" i="14" s="1"/>
  <c r="Z210" i="14"/>
  <c r="E210" i="14" s="1"/>
  <c r="Z274" i="14"/>
  <c r="E274" i="14" s="1"/>
  <c r="Z58" i="14"/>
  <c r="E58" i="14" s="1"/>
  <c r="Z80" i="14"/>
  <c r="E80" i="14" s="1"/>
  <c r="Z339" i="14"/>
  <c r="E339" i="14" s="1"/>
  <c r="Z117" i="14"/>
  <c r="E117" i="14" s="1"/>
  <c r="Z69" i="14"/>
  <c r="E69" i="14" s="1"/>
  <c r="Z298" i="14"/>
  <c r="E298" i="14" s="1"/>
  <c r="Z382" i="14"/>
  <c r="E382" i="14" s="1"/>
  <c r="Z55" i="14"/>
  <c r="E55" i="14" s="1"/>
  <c r="Z180" i="14"/>
  <c r="E180" i="14" s="1"/>
  <c r="Z334" i="14"/>
  <c r="E334" i="14" s="1"/>
  <c r="Z398" i="14"/>
  <c r="E398" i="14" s="1"/>
  <c r="Z211" i="14"/>
  <c r="E211" i="14" s="1"/>
  <c r="Z300" i="14"/>
  <c r="E300" i="14" s="1"/>
  <c r="Z268" i="14"/>
  <c r="E268" i="14" s="1"/>
  <c r="Z184" i="14"/>
  <c r="E184" i="14" s="1"/>
  <c r="Z46" i="14"/>
  <c r="E46" i="14" s="1"/>
  <c r="Z91" i="14"/>
  <c r="E91" i="14" s="1"/>
  <c r="Z97" i="14"/>
  <c r="E97" i="14" s="1"/>
  <c r="Z51" i="14"/>
  <c r="E51" i="14" s="1"/>
  <c r="Z328" i="14"/>
  <c r="E328" i="14" s="1"/>
  <c r="Z175" i="14"/>
  <c r="E175" i="14" s="1"/>
  <c r="Z94" i="14"/>
  <c r="E94" i="14" s="1"/>
  <c r="Z227" i="14"/>
  <c r="E227" i="14" s="1"/>
  <c r="Z113" i="14"/>
  <c r="E113" i="14" s="1"/>
  <c r="Z226" i="14"/>
  <c r="E226" i="14" s="1"/>
  <c r="Z103" i="14"/>
  <c r="E103" i="14" s="1"/>
  <c r="Z110" i="14"/>
  <c r="E110" i="14" s="1"/>
  <c r="Z326" i="14"/>
  <c r="E326" i="14" s="1"/>
  <c r="Z389" i="14"/>
  <c r="E389" i="14" s="1"/>
  <c r="Z374" i="14"/>
  <c r="E374" i="14" s="1"/>
  <c r="Z391" i="14"/>
  <c r="E391" i="14" s="1"/>
  <c r="Z324" i="14"/>
  <c r="E324" i="14" s="1"/>
  <c r="Z83" i="14"/>
  <c r="E83" i="14" s="1"/>
  <c r="Z252" i="14"/>
  <c r="E252" i="14" s="1"/>
  <c r="Z336" i="14"/>
  <c r="E336" i="14" s="1"/>
  <c r="Z353" i="14"/>
  <c r="E353" i="14" s="1"/>
  <c r="Z362" i="14"/>
  <c r="E362" i="14" s="1"/>
  <c r="Z352" i="14"/>
  <c r="E352" i="14" s="1"/>
  <c r="Z163" i="14"/>
  <c r="E163" i="14" s="1"/>
  <c r="Z276" i="14"/>
  <c r="E276" i="14" s="1"/>
  <c r="Z120" i="14"/>
  <c r="E120" i="14" s="1"/>
  <c r="Z61" i="14"/>
  <c r="E61" i="14" s="1"/>
  <c r="Z49" i="14"/>
  <c r="E49" i="14" s="1"/>
  <c r="Z63" i="14"/>
  <c r="E63" i="14" s="1"/>
  <c r="Z225" i="14"/>
  <c r="E225" i="14" s="1"/>
  <c r="Z297" i="14"/>
  <c r="E297" i="14" s="1"/>
  <c r="Z358" i="14"/>
  <c r="E358" i="14" s="1"/>
  <c r="Z161" i="14"/>
  <c r="E161" i="14" s="1"/>
  <c r="Z265" i="14"/>
  <c r="E265" i="14" s="1"/>
  <c r="Z107" i="14"/>
  <c r="E107" i="14" s="1"/>
  <c r="Z363" i="14"/>
  <c r="E363" i="14" s="1"/>
  <c r="Z40" i="14"/>
  <c r="E40" i="14" s="1"/>
  <c r="AG352" i="24"/>
  <c r="G352" i="24" s="1"/>
  <c r="AG397" i="24"/>
  <c r="G397" i="24" s="1"/>
  <c r="AG237" i="24"/>
  <c r="G237" i="24" s="1"/>
  <c r="AG264" i="24"/>
  <c r="G264" i="24" s="1"/>
  <c r="AG191" i="24"/>
  <c r="G191" i="24" s="1"/>
  <c r="AG360" i="24"/>
  <c r="G360" i="24" s="1"/>
  <c r="AG393" i="24"/>
  <c r="G393" i="24" s="1"/>
  <c r="AG48" i="24"/>
  <c r="G48" i="24" s="1"/>
  <c r="AG399" i="24"/>
  <c r="G399" i="24" s="1"/>
  <c r="AG340" i="24"/>
  <c r="G340" i="24" s="1"/>
  <c r="AG74" i="24"/>
  <c r="G74" i="24" s="1"/>
  <c r="AG137" i="24"/>
  <c r="G137" i="24" s="1"/>
  <c r="AG209" i="24"/>
  <c r="G209" i="24" s="1"/>
  <c r="AG189" i="24"/>
  <c r="G189" i="24" s="1"/>
  <c r="AG351" i="24"/>
  <c r="G351" i="24" s="1"/>
  <c r="AG334" i="24"/>
  <c r="G334" i="24" s="1"/>
  <c r="AG158" i="24"/>
  <c r="G158" i="24" s="1"/>
  <c r="AG225" i="24"/>
  <c r="G225" i="24" s="1"/>
  <c r="AG95" i="24"/>
  <c r="G95" i="24" s="1"/>
  <c r="AG75" i="24"/>
  <c r="G75" i="24" s="1"/>
  <c r="AG198" i="24"/>
  <c r="G198" i="24" s="1"/>
  <c r="AG110" i="24"/>
  <c r="G110" i="24" s="1"/>
  <c r="AG117" i="24"/>
  <c r="G117" i="24" s="1"/>
  <c r="AG130" i="24"/>
  <c r="G130" i="24" s="1"/>
  <c r="AG92" i="24"/>
  <c r="G92" i="24" s="1"/>
  <c r="AG159" i="24"/>
  <c r="G159" i="24" s="1"/>
  <c r="AG128" i="24"/>
  <c r="G128" i="24" s="1"/>
  <c r="AG178" i="24"/>
  <c r="G178" i="24" s="1"/>
  <c r="AG106" i="24"/>
  <c r="G106" i="24" s="1"/>
  <c r="AG221" i="24"/>
  <c r="G221" i="24" s="1"/>
  <c r="AG261" i="24"/>
  <c r="G261" i="24" s="1"/>
  <c r="AG169" i="24"/>
  <c r="G169" i="24" s="1"/>
  <c r="AG357" i="24"/>
  <c r="G357" i="24" s="1"/>
  <c r="AG350" i="24"/>
  <c r="G350" i="24" s="1"/>
  <c r="AG214" i="24"/>
  <c r="G214" i="24" s="1"/>
  <c r="AG303" i="24"/>
  <c r="G303" i="24" s="1"/>
  <c r="AG365" i="24"/>
  <c r="G365" i="24" s="1"/>
  <c r="AG309" i="24"/>
  <c r="G309" i="24" s="1"/>
  <c r="AG353" i="24"/>
  <c r="G353" i="24" s="1"/>
  <c r="AG310" i="24"/>
  <c r="G310" i="24" s="1"/>
  <c r="AG218" i="24"/>
  <c r="G218" i="24" s="1"/>
  <c r="AG146" i="24"/>
  <c r="G146" i="24" s="1"/>
  <c r="AG122" i="24"/>
  <c r="G122" i="24" s="1"/>
  <c r="AG143" i="24"/>
  <c r="G143" i="24" s="1"/>
  <c r="AG131" i="24"/>
  <c r="G131" i="24" s="1"/>
  <c r="AG184" i="24"/>
  <c r="G184" i="24" s="1"/>
  <c r="AG230" i="24"/>
  <c r="G230" i="24" s="1"/>
  <c r="AG69" i="24"/>
  <c r="G69" i="24" s="1"/>
  <c r="AG272" i="24"/>
  <c r="G272" i="24" s="1"/>
  <c r="AG202" i="24"/>
  <c r="G202" i="24" s="1"/>
  <c r="AG286" i="24"/>
  <c r="G286" i="24" s="1"/>
  <c r="AG140" i="24"/>
  <c r="G140" i="24" s="1"/>
  <c r="AG46" i="24"/>
  <c r="G46" i="24" s="1"/>
  <c r="AG385" i="24"/>
  <c r="G385" i="24" s="1"/>
  <c r="AG367" i="24"/>
  <c r="G367" i="24" s="1"/>
  <c r="AG88" i="24"/>
  <c r="G88" i="24" s="1"/>
  <c r="AG321" i="24"/>
  <c r="G321" i="24" s="1"/>
  <c r="AG168" i="24"/>
  <c r="G168" i="24" s="1"/>
  <c r="AG56" i="24"/>
  <c r="G56" i="24" s="1"/>
  <c r="AG62" i="24"/>
  <c r="G62" i="24" s="1"/>
  <c r="AG176" i="24"/>
  <c r="G176" i="24" s="1"/>
  <c r="AG157" i="24"/>
  <c r="G157" i="24" s="1"/>
  <c r="AG129" i="24"/>
  <c r="G129" i="24" s="1"/>
  <c r="AG296" i="24"/>
  <c r="G296" i="24" s="1"/>
  <c r="AG91" i="24"/>
  <c r="G91" i="24" s="1"/>
  <c r="AG373" i="24"/>
  <c r="G373" i="24" s="1"/>
  <c r="AG311" i="24"/>
  <c r="G311" i="24" s="1"/>
  <c r="AG377" i="24"/>
  <c r="G377" i="24" s="1"/>
  <c r="AG371" i="24"/>
  <c r="G371" i="24" s="1"/>
  <c r="AG210" i="24"/>
  <c r="G210" i="24" s="1"/>
  <c r="AG107" i="24"/>
  <c r="G107" i="24" s="1"/>
  <c r="AG289" i="24"/>
  <c r="G289" i="24" s="1"/>
  <c r="AG396" i="24"/>
  <c r="G396" i="24" s="1"/>
  <c r="AG343" i="24"/>
  <c r="G343" i="24" s="1"/>
  <c r="AG292" i="24"/>
  <c r="G292" i="24" s="1"/>
  <c r="AG280" i="24"/>
  <c r="G280" i="24" s="1"/>
  <c r="AG89" i="24"/>
  <c r="G89" i="24" s="1"/>
  <c r="AG65" i="24"/>
  <c r="G65" i="24" s="1"/>
  <c r="AG193" i="24"/>
  <c r="G193" i="24" s="1"/>
  <c r="AG52" i="24"/>
  <c r="G52" i="24" s="1"/>
  <c r="AG165" i="24"/>
  <c r="G165" i="24" s="1"/>
  <c r="AG339" i="24"/>
  <c r="G339" i="24" s="1"/>
  <c r="AG166" i="24"/>
  <c r="G166" i="24" s="1"/>
  <c r="AG43" i="24"/>
  <c r="G43" i="24" s="1"/>
  <c r="AG382" i="24"/>
  <c r="G382" i="24" s="1"/>
  <c r="AG268" i="24"/>
  <c r="G268" i="24" s="1"/>
  <c r="AG395" i="24"/>
  <c r="G395" i="24" s="1"/>
  <c r="AG326" i="24"/>
  <c r="G326" i="24" s="1"/>
  <c r="AG94" i="24"/>
  <c r="G94" i="24" s="1"/>
  <c r="AG400" i="24"/>
  <c r="G400" i="24" s="1"/>
  <c r="AG61" i="24"/>
  <c r="G61" i="24" s="1"/>
  <c r="AG398" i="24"/>
  <c r="G398" i="24" s="1"/>
  <c r="AG161" i="24"/>
  <c r="G161" i="24" s="1"/>
  <c r="AG248" i="24"/>
  <c r="G248" i="24" s="1"/>
  <c r="AG187" i="24"/>
  <c r="G187" i="24" s="1"/>
  <c r="AG170" i="24"/>
  <c r="G170" i="24" s="1"/>
  <c r="AG285" i="24"/>
  <c r="G285" i="24" s="1"/>
  <c r="AG207" i="24"/>
  <c r="G207" i="24" s="1"/>
  <c r="AG254" i="24"/>
  <c r="G254" i="24" s="1"/>
  <c r="AG368" i="24"/>
  <c r="G368" i="24" s="1"/>
  <c r="AG378" i="24"/>
  <c r="G378" i="24" s="1"/>
  <c r="AG68" i="24"/>
  <c r="G68" i="24" s="1"/>
  <c r="AG281" i="24"/>
  <c r="G281" i="24" s="1"/>
  <c r="AG99" i="24"/>
  <c r="G99" i="24" s="1"/>
  <c r="AG45" i="24"/>
  <c r="G45" i="24" s="1"/>
  <c r="AG194" i="24"/>
  <c r="G194" i="24" s="1"/>
  <c r="AG127" i="24"/>
  <c r="G127" i="24" s="1"/>
  <c r="AG337" i="24"/>
  <c r="G337" i="24" s="1"/>
  <c r="AG262" i="24"/>
  <c r="G262" i="24" s="1"/>
  <c r="AG223" i="24"/>
  <c r="G223" i="24" s="1"/>
  <c r="AG173" i="24"/>
  <c r="G173" i="24" s="1"/>
  <c r="AG224" i="24"/>
  <c r="G224" i="24" s="1"/>
  <c r="AG228" i="24"/>
  <c r="G228" i="24" s="1"/>
  <c r="AG147" i="24"/>
  <c r="G147" i="24" s="1"/>
  <c r="AG307" i="24"/>
  <c r="G307" i="24" s="1"/>
  <c r="AG363" i="24"/>
  <c r="G363" i="24" s="1"/>
  <c r="AG79" i="24"/>
  <c r="G79" i="24" s="1"/>
  <c r="AG121" i="24"/>
  <c r="G121" i="24" s="1"/>
  <c r="AG354" i="24"/>
  <c r="G354" i="24" s="1"/>
  <c r="AG370" i="24"/>
  <c r="G370" i="24" s="1"/>
  <c r="AG355" i="24"/>
  <c r="G355" i="24" s="1"/>
  <c r="AG156" i="24"/>
  <c r="G156" i="24" s="1"/>
  <c r="AG83" i="24"/>
  <c r="G83" i="24" s="1"/>
  <c r="AG41" i="24"/>
  <c r="G41" i="24" s="1"/>
  <c r="AG44" i="24"/>
  <c r="G44" i="24" s="1"/>
  <c r="AG308" i="24"/>
  <c r="G308" i="24" s="1"/>
  <c r="AG320" i="24"/>
  <c r="G320" i="24" s="1"/>
  <c r="AG293" i="24"/>
  <c r="G293" i="24" s="1"/>
  <c r="AG376" i="24"/>
  <c r="G376" i="24" s="1"/>
  <c r="AG329" i="24"/>
  <c r="G329" i="24" s="1"/>
  <c r="AG342" i="24"/>
  <c r="G342" i="24" s="1"/>
  <c r="AG222" i="24"/>
  <c r="G222" i="24" s="1"/>
  <c r="AG318" i="24"/>
  <c r="G318" i="24" s="1"/>
  <c r="AG295" i="24"/>
  <c r="G295" i="24" s="1"/>
  <c r="AG203" i="24"/>
  <c r="G203" i="24" s="1"/>
  <c r="AG244" i="24"/>
  <c r="G244" i="24" s="1"/>
  <c r="AG239" i="24"/>
  <c r="G239" i="24" s="1"/>
  <c r="AG101" i="24"/>
  <c r="G101" i="24" s="1"/>
  <c r="AG240" i="24"/>
  <c r="G240" i="24" s="1"/>
  <c r="AG97" i="24"/>
  <c r="G97" i="24" s="1"/>
  <c r="AG323" i="24"/>
  <c r="G323" i="24" s="1"/>
  <c r="AG163" i="24"/>
  <c r="G163" i="24" s="1"/>
  <c r="AG160" i="24"/>
  <c r="G160" i="24" s="1"/>
  <c r="AG279" i="24"/>
  <c r="G279" i="24" s="1"/>
  <c r="AG233" i="24"/>
  <c r="G233" i="24" s="1"/>
  <c r="AG300" i="24"/>
  <c r="G300" i="24" s="1"/>
  <c r="AG172" i="24"/>
  <c r="G172" i="24" s="1"/>
  <c r="AG270" i="24"/>
  <c r="G270" i="24" s="1"/>
  <c r="AG90" i="24"/>
  <c r="G90" i="24" s="1"/>
  <c r="AG87" i="24"/>
  <c r="G87" i="24" s="1"/>
  <c r="AG302" i="24"/>
  <c r="G302" i="24" s="1"/>
  <c r="AG242" i="24"/>
  <c r="G242" i="24" s="1"/>
  <c r="AG49" i="24"/>
  <c r="G49" i="24" s="1"/>
  <c r="AG76" i="24"/>
  <c r="G76" i="24" s="1"/>
  <c r="AG383" i="24"/>
  <c r="G383" i="24" s="1"/>
  <c r="AG162" i="24"/>
  <c r="G162" i="24" s="1"/>
  <c r="AG205" i="24"/>
  <c r="G205" i="24" s="1"/>
  <c r="AG258" i="24"/>
  <c r="G258" i="24" s="1"/>
  <c r="AG206" i="24"/>
  <c r="G206" i="24" s="1"/>
  <c r="AG213" i="24"/>
  <c r="G213" i="24" s="1"/>
  <c r="AG344" i="24"/>
  <c r="G344" i="24" s="1"/>
  <c r="AG199" i="24"/>
  <c r="G199" i="24" s="1"/>
  <c r="AG294" i="24"/>
  <c r="G294" i="24" s="1"/>
  <c r="AG64" i="24"/>
  <c r="G64" i="24" s="1"/>
  <c r="AG133" i="24"/>
  <c r="G133" i="24" s="1"/>
  <c r="AG116" i="24"/>
  <c r="G116" i="24" s="1"/>
  <c r="AG73" i="24"/>
  <c r="G73" i="24" s="1"/>
  <c r="AG192" i="24"/>
  <c r="G192" i="24" s="1"/>
  <c r="AG283" i="24"/>
  <c r="G283" i="24" s="1"/>
  <c r="AG273" i="24"/>
  <c r="G273" i="24" s="1"/>
  <c r="AG124" i="24"/>
  <c r="G124" i="24" s="1"/>
  <c r="AG306" i="24"/>
  <c r="G306" i="24" s="1"/>
  <c r="AG325" i="24"/>
  <c r="G325" i="24" s="1"/>
  <c r="AG256" i="24"/>
  <c r="G256" i="24" s="1"/>
  <c r="AG63" i="24"/>
  <c r="G63" i="24" s="1"/>
  <c r="AG369" i="24"/>
  <c r="G369" i="24" s="1"/>
  <c r="AG216" i="24"/>
  <c r="G216" i="24" s="1"/>
  <c r="AG362" i="24"/>
  <c r="G362" i="24" s="1"/>
  <c r="AG348" i="24"/>
  <c r="G348" i="24" s="1"/>
  <c r="AG234" i="24"/>
  <c r="G234" i="24" s="1"/>
  <c r="AG229" i="24"/>
  <c r="G229" i="24" s="1"/>
  <c r="AG142" i="24"/>
  <c r="G142" i="24" s="1"/>
  <c r="AG153" i="24"/>
  <c r="G153" i="24" s="1"/>
  <c r="AG180" i="24"/>
  <c r="G180" i="24" s="1"/>
  <c r="AG247" i="24"/>
  <c r="G247" i="24" s="1"/>
  <c r="AG174" i="24"/>
  <c r="G174" i="24" s="1"/>
  <c r="AG96" i="24"/>
  <c r="G96" i="24" s="1"/>
  <c r="AG235" i="24"/>
  <c r="G235" i="24" s="1"/>
  <c r="AG332" i="24"/>
  <c r="G332" i="24" s="1"/>
  <c r="AG257" i="24"/>
  <c r="G257" i="24" s="1"/>
  <c r="AG215" i="24"/>
  <c r="G215" i="24" s="1"/>
  <c r="AG381" i="24"/>
  <c r="G381" i="24" s="1"/>
  <c r="AG183" i="24"/>
  <c r="G183" i="24" s="1"/>
  <c r="AG345" i="24"/>
  <c r="G345" i="24" s="1"/>
  <c r="AG255" i="24"/>
  <c r="G255" i="24" s="1"/>
  <c r="AG60" i="24"/>
  <c r="G60" i="24" s="1"/>
  <c r="AG251" i="24"/>
  <c r="G251" i="24" s="1"/>
  <c r="AG115" i="24"/>
  <c r="G115" i="24" s="1"/>
  <c r="AG197" i="24"/>
  <c r="G197" i="24" s="1"/>
  <c r="AG171" i="24"/>
  <c r="G171" i="24" s="1"/>
  <c r="AG392" i="24"/>
  <c r="G392" i="24" s="1"/>
  <c r="AG125" i="24"/>
  <c r="G125" i="24" s="1"/>
  <c r="AG358" i="24"/>
  <c r="G358" i="24" s="1"/>
  <c r="AG109" i="24"/>
  <c r="G109" i="24" s="1"/>
  <c r="AG119" i="24"/>
  <c r="G119" i="24" s="1"/>
  <c r="AG70" i="24"/>
  <c r="G70" i="24" s="1"/>
  <c r="AG136" i="24"/>
  <c r="G136" i="24" s="1"/>
  <c r="AG386" i="24"/>
  <c r="G386" i="24" s="1"/>
  <c r="AG267" i="24"/>
  <c r="G267" i="24" s="1"/>
  <c r="AG78" i="24"/>
  <c r="G78" i="24" s="1"/>
  <c r="AG271" i="24"/>
  <c r="G271" i="24" s="1"/>
  <c r="AG113" i="24"/>
  <c r="G113" i="24" s="1"/>
  <c r="AG317" i="24"/>
  <c r="G317" i="24" s="1"/>
  <c r="AG141" i="24"/>
  <c r="G141" i="24" s="1"/>
  <c r="AG144" i="24"/>
  <c r="G144" i="24" s="1"/>
  <c r="AG196" i="24"/>
  <c r="G196" i="24" s="1"/>
  <c r="AG139" i="24"/>
  <c r="G139" i="24" s="1"/>
  <c r="AG333" i="24"/>
  <c r="G333" i="24" s="1"/>
  <c r="AG152" i="24"/>
  <c r="G152" i="24" s="1"/>
  <c r="AG120" i="24"/>
  <c r="G120" i="24" s="1"/>
  <c r="AG297" i="24"/>
  <c r="G297" i="24" s="1"/>
  <c r="AG298" i="24"/>
  <c r="G298" i="24" s="1"/>
  <c r="AG341" i="24"/>
  <c r="G341" i="24" s="1"/>
  <c r="AG346" i="24"/>
  <c r="G346" i="24" s="1"/>
  <c r="AG167" i="24"/>
  <c r="G167" i="24" s="1"/>
  <c r="AG263" i="24"/>
  <c r="G263" i="24" s="1"/>
  <c r="AG379" i="24"/>
  <c r="G379" i="24" s="1"/>
  <c r="AG324" i="24"/>
  <c r="G324" i="24" s="1"/>
  <c r="AG42" i="24"/>
  <c r="G42" i="24" s="1"/>
  <c r="AG278" i="24"/>
  <c r="G278" i="24" s="1"/>
  <c r="AG66" i="24"/>
  <c r="G66" i="24" s="1"/>
  <c r="AG313" i="24"/>
  <c r="G313" i="24" s="1"/>
  <c r="AG232" i="24"/>
  <c r="G232" i="24" s="1"/>
  <c r="AG274" i="24"/>
  <c r="G274" i="24" s="1"/>
  <c r="AG186" i="24"/>
  <c r="G186" i="24" s="1"/>
  <c r="AG182" i="24"/>
  <c r="G182" i="24" s="1"/>
  <c r="AG266" i="24"/>
  <c r="G266" i="24" s="1"/>
  <c r="AG312" i="24"/>
  <c r="G312" i="24" s="1"/>
  <c r="AG188" i="24"/>
  <c r="G188" i="24" s="1"/>
  <c r="AG80" i="24"/>
  <c r="G80" i="24" s="1"/>
  <c r="AG47" i="24"/>
  <c r="G47" i="24" s="1"/>
  <c r="AG236" i="24"/>
  <c r="G236" i="24" s="1"/>
  <c r="AG77" i="24"/>
  <c r="G77" i="24" s="1"/>
  <c r="AG387" i="24"/>
  <c r="G387" i="24" s="1"/>
  <c r="AG72" i="24"/>
  <c r="G72" i="24" s="1"/>
  <c r="AG330" i="24"/>
  <c r="G330" i="24" s="1"/>
  <c r="AG51" i="24"/>
  <c r="G51" i="24" s="1"/>
  <c r="AG185" i="24"/>
  <c r="G185" i="24" s="1"/>
  <c r="AG384" i="24"/>
  <c r="G384" i="24" s="1"/>
  <c r="AG287" i="24"/>
  <c r="G287" i="24" s="1"/>
  <c r="AG138" i="24"/>
  <c r="G138" i="24" s="1"/>
  <c r="AG67" i="24"/>
  <c r="G67" i="24" s="1"/>
  <c r="AG149" i="24"/>
  <c r="G149" i="24" s="1"/>
  <c r="AG155" i="24"/>
  <c r="G155" i="24" s="1"/>
  <c r="AG217" i="24"/>
  <c r="G217" i="24" s="1"/>
  <c r="AG135" i="24"/>
  <c r="G135" i="24" s="1"/>
  <c r="AG389" i="24"/>
  <c r="G389" i="24" s="1"/>
  <c r="AG327" i="24"/>
  <c r="G327" i="24" s="1"/>
  <c r="AG249" i="24"/>
  <c r="G249" i="24" s="1"/>
  <c r="AG208" i="24"/>
  <c r="G208" i="24" s="1"/>
  <c r="AG374" i="24"/>
  <c r="G374" i="24" s="1"/>
  <c r="AG349" i="24"/>
  <c r="G349" i="24" s="1"/>
  <c r="AG175" i="24"/>
  <c r="G175" i="24" s="1"/>
  <c r="AG204" i="24"/>
  <c r="G204" i="24" s="1"/>
  <c r="AG347" i="24"/>
  <c r="G347" i="24" s="1"/>
  <c r="AG291" i="24"/>
  <c r="G291" i="24" s="1"/>
  <c r="AG253" i="24"/>
  <c r="G253" i="24" s="1"/>
  <c r="AG50" i="24"/>
  <c r="G50" i="24" s="1"/>
  <c r="AG177" i="24"/>
  <c r="G177" i="24" s="1"/>
  <c r="AG305" i="24"/>
  <c r="G305" i="24" s="1"/>
  <c r="AG104" i="24"/>
  <c r="G104" i="24" s="1"/>
  <c r="AG111" i="24"/>
  <c r="G111" i="24" s="1"/>
  <c r="AG277" i="24"/>
  <c r="G277" i="24" s="1"/>
  <c r="AG359" i="24"/>
  <c r="G359" i="24" s="1"/>
  <c r="AG245" i="24"/>
  <c r="G245" i="24" s="1"/>
  <c r="AG259" i="24"/>
  <c r="G259" i="24" s="1"/>
  <c r="AG335" i="24"/>
  <c r="G335" i="24" s="1"/>
  <c r="AG181" i="24"/>
  <c r="G181" i="24" s="1"/>
  <c r="AG105" i="24"/>
  <c r="G105" i="24" s="1"/>
  <c r="AG151" i="24"/>
  <c r="G151" i="24" s="1"/>
  <c r="AG102" i="24"/>
  <c r="G102" i="24" s="1"/>
  <c r="AG231" i="24"/>
  <c r="G231" i="24" s="1"/>
  <c r="AG114" i="24"/>
  <c r="G114" i="24" s="1"/>
  <c r="AG372" i="24"/>
  <c r="G372" i="24" s="1"/>
  <c r="AG356" i="24"/>
  <c r="G356" i="24" s="1"/>
  <c r="AG314" i="24"/>
  <c r="G314" i="24" s="1"/>
  <c r="AG336" i="24"/>
  <c r="G336" i="24" s="1"/>
  <c r="AG123" i="24"/>
  <c r="G123" i="24" s="1"/>
  <c r="AG164" i="24"/>
  <c r="G164" i="24" s="1"/>
  <c r="AG100" i="24"/>
  <c r="G100" i="24" s="1"/>
  <c r="AG331" i="24"/>
  <c r="G331" i="24" s="1"/>
  <c r="AG366" i="24"/>
  <c r="G366" i="24" s="1"/>
  <c r="AG148" i="24"/>
  <c r="G148" i="24" s="1"/>
  <c r="AG394" i="24"/>
  <c r="G394" i="24" s="1"/>
  <c r="AG98" i="24"/>
  <c r="G98" i="24" s="1"/>
  <c r="AG226" i="24"/>
  <c r="G226" i="24" s="1"/>
  <c r="AG103" i="24"/>
  <c r="G103" i="24" s="1"/>
  <c r="AG276" i="24"/>
  <c r="G276" i="24" s="1"/>
  <c r="AG275" i="24"/>
  <c r="G275" i="24" s="1"/>
  <c r="AG93" i="24"/>
  <c r="G93" i="24" s="1"/>
  <c r="AG86" i="24"/>
  <c r="G86" i="24" s="1"/>
  <c r="AG391" i="24"/>
  <c r="G391" i="24" s="1"/>
  <c r="AG338" i="24"/>
  <c r="G338" i="24" s="1"/>
  <c r="AG58" i="24"/>
  <c r="G58" i="24" s="1"/>
  <c r="AG154" i="24"/>
  <c r="G154" i="24" s="1"/>
  <c r="AG243" i="24"/>
  <c r="G243" i="24" s="1"/>
  <c r="AG108" i="24"/>
  <c r="G108" i="24" s="1"/>
  <c r="AG319" i="24"/>
  <c r="G319" i="24" s="1"/>
  <c r="AG179" i="24"/>
  <c r="G179" i="24" s="1"/>
  <c r="AG238" i="24"/>
  <c r="G238" i="24" s="1"/>
  <c r="AG85" i="24"/>
  <c r="G85" i="24" s="1"/>
  <c r="AG241" i="24"/>
  <c r="G241" i="24" s="1"/>
  <c r="AG299" i="24"/>
  <c r="G299" i="24" s="1"/>
  <c r="AG252" i="24"/>
  <c r="G252" i="24" s="1"/>
  <c r="AG260" i="24"/>
  <c r="G260" i="24" s="1"/>
  <c r="AG316" i="24"/>
  <c r="G316" i="24" s="1"/>
  <c r="AG190" i="24"/>
  <c r="G190" i="24" s="1"/>
  <c r="AG126" i="24"/>
  <c r="G126" i="24" s="1"/>
  <c r="AG134" i="24"/>
  <c r="G134" i="24" s="1"/>
  <c r="AG200" i="24"/>
  <c r="G200" i="24" s="1"/>
  <c r="AG145" i="24"/>
  <c r="G145" i="24" s="1"/>
  <c r="AG265" i="24"/>
  <c r="G265" i="24" s="1"/>
  <c r="AG82" i="24"/>
  <c r="G82" i="24" s="1"/>
  <c r="AG59" i="24"/>
  <c r="G59" i="24" s="1"/>
  <c r="AG201" i="24"/>
  <c r="G201" i="24" s="1"/>
  <c r="AG284" i="24"/>
  <c r="G284" i="24" s="1"/>
  <c r="AG390" i="24"/>
  <c r="G390" i="24" s="1"/>
  <c r="AG388" i="24"/>
  <c r="G388" i="24" s="1"/>
  <c r="AG282" i="24"/>
  <c r="G282" i="24" s="1"/>
  <c r="AG361" i="24"/>
  <c r="G361" i="24" s="1"/>
  <c r="AG118" i="24"/>
  <c r="G118" i="24" s="1"/>
  <c r="AG227" i="24"/>
  <c r="G227" i="24" s="1"/>
  <c r="AG364" i="24"/>
  <c r="G364" i="24" s="1"/>
  <c r="AG112" i="24"/>
  <c r="G112" i="24" s="1"/>
  <c r="AG246" i="24"/>
  <c r="G246" i="24" s="1"/>
  <c r="AG375" i="24"/>
  <c r="G375" i="24" s="1"/>
  <c r="AG288" i="24"/>
  <c r="G288" i="24" s="1"/>
  <c r="AG195" i="24"/>
  <c r="G195" i="24" s="1"/>
  <c r="AG380" i="24"/>
  <c r="G380" i="24" s="1"/>
  <c r="AG57" i="24"/>
  <c r="G57" i="24" s="1"/>
  <c r="AG40" i="24"/>
  <c r="G40" i="24" s="1"/>
  <c r="AG71" i="24"/>
  <c r="G71" i="24" s="1"/>
  <c r="AG301" i="24"/>
  <c r="G301" i="24" s="1"/>
  <c r="AG54" i="24"/>
  <c r="G54" i="24" s="1"/>
  <c r="AG290" i="24"/>
  <c r="G290" i="24" s="1"/>
  <c r="AG212" i="24"/>
  <c r="G212" i="24" s="1"/>
  <c r="AG315" i="24"/>
  <c r="G315" i="24" s="1"/>
  <c r="AG150" i="24"/>
  <c r="G150" i="24" s="1"/>
  <c r="AG304" i="24"/>
  <c r="G304" i="24" s="1"/>
  <c r="AG269" i="24"/>
  <c r="G269" i="24" s="1"/>
  <c r="AG250" i="24"/>
  <c r="G250" i="24" s="1"/>
  <c r="AG53" i="24"/>
  <c r="G53" i="24" s="1"/>
  <c r="AG328" i="24"/>
  <c r="G328" i="24" s="1"/>
  <c r="AG211" i="24"/>
  <c r="G211" i="24" s="1"/>
  <c r="AG55" i="24"/>
  <c r="G55" i="24" s="1"/>
  <c r="AG322" i="24"/>
  <c r="G322" i="24" s="1"/>
  <c r="AG39" i="24"/>
  <c r="G39" i="24" s="1"/>
  <c r="AG132" i="24"/>
  <c r="G132" i="24" s="1"/>
  <c r="AG84" i="24"/>
  <c r="G84" i="24" s="1"/>
  <c r="AG81" i="24"/>
  <c r="G81" i="24" s="1"/>
  <c r="Y72" i="24"/>
  <c r="E72" i="24" s="1"/>
  <c r="Y325" i="24"/>
  <c r="E325" i="24" s="1"/>
  <c r="Y263" i="24"/>
  <c r="E263" i="24" s="1"/>
  <c r="Y136" i="24"/>
  <c r="E136" i="24" s="1"/>
  <c r="Y146" i="24"/>
  <c r="E146" i="24" s="1"/>
  <c r="Y103" i="24"/>
  <c r="E103" i="24" s="1"/>
  <c r="Y249" i="24"/>
  <c r="E249" i="24" s="1"/>
  <c r="Y260" i="24"/>
  <c r="E260" i="24" s="1"/>
  <c r="Y329" i="24"/>
  <c r="E329" i="24" s="1"/>
  <c r="Y360" i="24"/>
  <c r="E360" i="24" s="1"/>
  <c r="Y331" i="24"/>
  <c r="E331" i="24" s="1"/>
  <c r="Y345" i="24"/>
  <c r="E345" i="24" s="1"/>
  <c r="Y153" i="24"/>
  <c r="E153" i="24" s="1"/>
  <c r="Y232" i="24"/>
  <c r="E232" i="24" s="1"/>
  <c r="Y118" i="24"/>
  <c r="E118" i="24" s="1"/>
  <c r="Y294" i="24"/>
  <c r="E294" i="24" s="1"/>
  <c r="Y393" i="24"/>
  <c r="E393" i="24" s="1"/>
  <c r="Y134" i="24"/>
  <c r="E134" i="24" s="1"/>
  <c r="Y320" i="24"/>
  <c r="E320" i="24" s="1"/>
  <c r="Y384" i="24"/>
  <c r="E384" i="24" s="1"/>
  <c r="Y183" i="24"/>
  <c r="E183" i="24" s="1"/>
  <c r="Y319" i="24"/>
  <c r="E319" i="24" s="1"/>
  <c r="Y96" i="24"/>
  <c r="E96" i="24" s="1"/>
  <c r="Y55" i="24"/>
  <c r="E55" i="24" s="1"/>
  <c r="Y142" i="24"/>
  <c r="E142" i="24" s="1"/>
  <c r="Y290" i="24"/>
  <c r="E290" i="24" s="1"/>
  <c r="Y264" i="24"/>
  <c r="E264" i="24" s="1"/>
  <c r="Y151" i="24"/>
  <c r="E151" i="24" s="1"/>
  <c r="Y308" i="24"/>
  <c r="E308" i="24" s="1"/>
  <c r="Y322" i="24"/>
  <c r="E322" i="24" s="1"/>
  <c r="Y200" i="24"/>
  <c r="E200" i="24" s="1"/>
  <c r="Y316" i="24"/>
  <c r="E316" i="24" s="1"/>
  <c r="Y300" i="24"/>
  <c r="E300" i="24" s="1"/>
  <c r="Y256" i="24"/>
  <c r="E256" i="24" s="1"/>
  <c r="Y51" i="24"/>
  <c r="E51" i="24" s="1"/>
  <c r="Y270" i="24"/>
  <c r="E270" i="24" s="1"/>
  <c r="Y344" i="24"/>
  <c r="E344" i="24" s="1"/>
  <c r="Y314" i="24"/>
  <c r="E314" i="24" s="1"/>
  <c r="Y173" i="24"/>
  <c r="E173" i="24" s="1"/>
  <c r="Y334" i="24"/>
  <c r="E334" i="24" s="1"/>
  <c r="Y65" i="24"/>
  <c r="E65" i="24" s="1"/>
  <c r="Y272" i="24"/>
  <c r="E272" i="24" s="1"/>
  <c r="Y400" i="24"/>
  <c r="E400" i="24" s="1"/>
  <c r="Y191" i="24"/>
  <c r="E191" i="24" s="1"/>
  <c r="Y116" i="24"/>
  <c r="E116" i="24" s="1"/>
  <c r="Y246" i="24"/>
  <c r="E246" i="24" s="1"/>
  <c r="Y248" i="24"/>
  <c r="E248" i="24" s="1"/>
  <c r="Y94" i="24"/>
  <c r="E94" i="24" s="1"/>
  <c r="Y382" i="24"/>
  <c r="E382" i="24" s="1"/>
  <c r="Y343" i="24"/>
  <c r="E343" i="24" s="1"/>
  <c r="Y381" i="24"/>
  <c r="E381" i="24" s="1"/>
  <c r="Y196" i="24"/>
  <c r="E196" i="24" s="1"/>
  <c r="Y283" i="24"/>
  <c r="E283" i="24" s="1"/>
  <c r="Y273" i="24"/>
  <c r="E273" i="24" s="1"/>
  <c r="Y128" i="24"/>
  <c r="E128" i="24" s="1"/>
  <c r="Y318" i="24"/>
  <c r="E318" i="24" s="1"/>
  <c r="Y336" i="24"/>
  <c r="E336" i="24" s="1"/>
  <c r="Y87" i="24"/>
  <c r="E87" i="24" s="1"/>
  <c r="Y95" i="24"/>
  <c r="E95" i="24" s="1"/>
  <c r="Y86" i="24"/>
  <c r="E86" i="24" s="1"/>
  <c r="Y265" i="24"/>
  <c r="E265" i="24" s="1"/>
  <c r="Y227" i="24"/>
  <c r="E227" i="24" s="1"/>
  <c r="Y119" i="24"/>
  <c r="E119" i="24" s="1"/>
  <c r="Y148" i="24"/>
  <c r="E148" i="24" s="1"/>
  <c r="Y78" i="24"/>
  <c r="E78" i="24" s="1"/>
  <c r="Y162" i="24"/>
  <c r="E162" i="24" s="1"/>
  <c r="Y139" i="24"/>
  <c r="E139" i="24" s="1"/>
  <c r="Y242" i="24"/>
  <c r="E242" i="24" s="1"/>
  <c r="Y258" i="24"/>
  <c r="E258" i="24" s="1"/>
  <c r="Y169" i="24"/>
  <c r="E169" i="24" s="1"/>
  <c r="Y144" i="24"/>
  <c r="E144" i="24" s="1"/>
  <c r="Y171" i="24"/>
  <c r="E171" i="24" s="1"/>
  <c r="Y245" i="24"/>
  <c r="E245" i="24" s="1"/>
  <c r="Y42" i="24"/>
  <c r="E42" i="24" s="1"/>
  <c r="Y149" i="24"/>
  <c r="E149" i="24" s="1"/>
  <c r="Y296" i="24"/>
  <c r="E296" i="24" s="1"/>
  <c r="Y73" i="24"/>
  <c r="E73" i="24" s="1"/>
  <c r="Y161" i="24"/>
  <c r="E161" i="24" s="1"/>
  <c r="Y98" i="24"/>
  <c r="E98" i="24" s="1"/>
  <c r="Y61" i="24"/>
  <c r="E61" i="24" s="1"/>
  <c r="Y313" i="24"/>
  <c r="E313" i="24" s="1"/>
  <c r="Y186" i="24"/>
  <c r="E186" i="24" s="1"/>
  <c r="Y71" i="24"/>
  <c r="E71" i="24" s="1"/>
  <c r="Y129" i="24"/>
  <c r="E129" i="24" s="1"/>
  <c r="Y267" i="24"/>
  <c r="E267" i="24" s="1"/>
  <c r="Y48" i="24"/>
  <c r="E48" i="24" s="1"/>
  <c r="Y365" i="24"/>
  <c r="E365" i="24" s="1"/>
  <c r="Y209" i="24"/>
  <c r="E209" i="24" s="1"/>
  <c r="Y238" i="24"/>
  <c r="E238" i="24" s="1"/>
  <c r="Y286" i="24"/>
  <c r="E286" i="24" s="1"/>
  <c r="Y372" i="24"/>
  <c r="E372" i="24" s="1"/>
  <c r="Y243" i="24"/>
  <c r="E243" i="24" s="1"/>
  <c r="Y297" i="24"/>
  <c r="E297" i="24" s="1"/>
  <c r="Y168" i="24"/>
  <c r="E168" i="24" s="1"/>
  <c r="Y356" i="24"/>
  <c r="E356" i="24" s="1"/>
  <c r="Y88" i="24"/>
  <c r="E88" i="24" s="1"/>
  <c r="Y226" i="24"/>
  <c r="E226" i="24" s="1"/>
  <c r="Y359" i="24"/>
  <c r="E359" i="24" s="1"/>
  <c r="Y266" i="24"/>
  <c r="E266" i="24" s="1"/>
  <c r="Y83" i="24"/>
  <c r="E83" i="24" s="1"/>
  <c r="Y112" i="24"/>
  <c r="E112" i="24" s="1"/>
  <c r="Y92" i="24"/>
  <c r="E92" i="24" s="1"/>
  <c r="Y323" i="24"/>
  <c r="E323" i="24" s="1"/>
  <c r="Y185" i="24"/>
  <c r="E185" i="24" s="1"/>
  <c r="Y180" i="24"/>
  <c r="E180" i="24" s="1"/>
  <c r="Y278" i="24"/>
  <c r="E278" i="24" s="1"/>
  <c r="Y389" i="24"/>
  <c r="E389" i="24" s="1"/>
  <c r="Y111" i="24"/>
  <c r="E111" i="24" s="1"/>
  <c r="Y368" i="24"/>
  <c r="E368" i="24" s="1"/>
  <c r="Y214" i="24"/>
  <c r="E214" i="24" s="1"/>
  <c r="Y287" i="24"/>
  <c r="E287" i="24" s="1"/>
  <c r="Y135" i="24"/>
  <c r="E135" i="24" s="1"/>
  <c r="Y199" i="24"/>
  <c r="E199" i="24" s="1"/>
  <c r="Y335" i="24"/>
  <c r="E335" i="24" s="1"/>
  <c r="Y110" i="24"/>
  <c r="E110" i="24" s="1"/>
  <c r="Y327" i="24"/>
  <c r="E327" i="24" s="1"/>
  <c r="Y70" i="24"/>
  <c r="E70" i="24" s="1"/>
  <c r="Y244" i="24"/>
  <c r="E244" i="24" s="1"/>
  <c r="Y155" i="24"/>
  <c r="E155" i="24" s="1"/>
  <c r="Y394" i="24"/>
  <c r="E394" i="24" s="1"/>
  <c r="Y174" i="24"/>
  <c r="E174" i="24" s="1"/>
  <c r="Y330" i="24"/>
  <c r="E330" i="24" s="1"/>
  <c r="Y56" i="24"/>
  <c r="E56" i="24" s="1"/>
  <c r="Y223" i="24"/>
  <c r="E223" i="24" s="1"/>
  <c r="Y271" i="24"/>
  <c r="E271" i="24" s="1"/>
  <c r="Y295" i="24"/>
  <c r="E295" i="24" s="1"/>
  <c r="Y284" i="24"/>
  <c r="E284" i="24" s="1"/>
  <c r="Y46" i="24"/>
  <c r="E46" i="24" s="1"/>
  <c r="Y276" i="24"/>
  <c r="E276" i="24" s="1"/>
  <c r="Y158" i="24"/>
  <c r="E158" i="24" s="1"/>
  <c r="Y123" i="24"/>
  <c r="E123" i="24" s="1"/>
  <c r="Y274" i="24"/>
  <c r="E274" i="24" s="1"/>
  <c r="Y386" i="24"/>
  <c r="E386" i="24" s="1"/>
  <c r="Y187" i="24"/>
  <c r="E187" i="24" s="1"/>
  <c r="Y206" i="24"/>
  <c r="E206" i="24" s="1"/>
  <c r="Y60" i="24"/>
  <c r="E60" i="24" s="1"/>
  <c r="Y224" i="24"/>
  <c r="E224" i="24" s="1"/>
  <c r="Y108" i="24"/>
  <c r="E108" i="24" s="1"/>
  <c r="Y131" i="24"/>
  <c r="E131" i="24" s="1"/>
  <c r="Y333" i="24"/>
  <c r="E333" i="24" s="1"/>
  <c r="Y204" i="24"/>
  <c r="E204" i="24" s="1"/>
  <c r="Y309" i="24"/>
  <c r="E309" i="24" s="1"/>
  <c r="Y147" i="24"/>
  <c r="E147" i="24" s="1"/>
  <c r="Y85" i="24"/>
  <c r="E85" i="24" s="1"/>
  <c r="Y179" i="24"/>
  <c r="E179" i="24" s="1"/>
  <c r="Y93" i="24"/>
  <c r="E93" i="24" s="1"/>
  <c r="Y317" i="24"/>
  <c r="E317" i="24" s="1"/>
  <c r="Y150" i="24"/>
  <c r="E150" i="24" s="1"/>
  <c r="Y252" i="24"/>
  <c r="E252" i="24" s="1"/>
  <c r="Y198" i="24"/>
  <c r="E198" i="24" s="1"/>
  <c r="Y154" i="24"/>
  <c r="E154" i="24" s="1"/>
  <c r="Y45" i="24"/>
  <c r="E45" i="24" s="1"/>
  <c r="Y63" i="24"/>
  <c r="E63" i="24" s="1"/>
  <c r="Y49" i="24"/>
  <c r="E49" i="24" s="1"/>
  <c r="Y193" i="24"/>
  <c r="E193" i="24" s="1"/>
  <c r="Y391" i="24"/>
  <c r="E391" i="24" s="1"/>
  <c r="Y194" i="24"/>
  <c r="E194" i="24" s="1"/>
  <c r="Y130" i="24"/>
  <c r="E130" i="24" s="1"/>
  <c r="Y281" i="24"/>
  <c r="E281" i="24" s="1"/>
  <c r="Y342" i="24"/>
  <c r="E342" i="24" s="1"/>
  <c r="Y396" i="24"/>
  <c r="E396" i="24" s="1"/>
  <c r="Y218" i="24"/>
  <c r="E218" i="24" s="1"/>
  <c r="Y39" i="24"/>
  <c r="E39" i="24" s="1"/>
  <c r="Y114" i="24"/>
  <c r="E114" i="24" s="1"/>
  <c r="Y241" i="24"/>
  <c r="E241" i="24" s="1"/>
  <c r="Y298" i="24"/>
  <c r="E298" i="24" s="1"/>
  <c r="Y120" i="24"/>
  <c r="E120" i="24" s="1"/>
  <c r="Y192" i="24"/>
  <c r="E192" i="24" s="1"/>
  <c r="Y351" i="24"/>
  <c r="E351" i="24" s="1"/>
  <c r="Y282" i="24"/>
  <c r="E282" i="24" s="1"/>
  <c r="Y54" i="24"/>
  <c r="E54" i="24" s="1"/>
  <c r="Y222" i="24"/>
  <c r="E222" i="24" s="1"/>
  <c r="Y189" i="24"/>
  <c r="E189" i="24" s="1"/>
  <c r="Y259" i="24"/>
  <c r="E259" i="24" s="1"/>
  <c r="Y172" i="24"/>
  <c r="E172" i="24" s="1"/>
  <c r="Y201" i="24"/>
  <c r="E201" i="24" s="1"/>
  <c r="Y104" i="24"/>
  <c r="E104" i="24" s="1"/>
  <c r="Y210" i="24"/>
  <c r="E210" i="24" s="1"/>
  <c r="Y399" i="24"/>
  <c r="E399" i="24" s="1"/>
  <c r="Y141" i="24"/>
  <c r="E141" i="24" s="1"/>
  <c r="Y105" i="24"/>
  <c r="E105" i="24" s="1"/>
  <c r="Y237" i="24"/>
  <c r="E237" i="24" s="1"/>
  <c r="Y324" i="24"/>
  <c r="E324" i="24" s="1"/>
  <c r="Y84" i="24"/>
  <c r="E84" i="24" s="1"/>
  <c r="Y74" i="24"/>
  <c r="E74" i="24" s="1"/>
  <c r="Y43" i="24"/>
  <c r="E43" i="24" s="1"/>
  <c r="Y269" i="24"/>
  <c r="E269" i="24" s="1"/>
  <c r="Y289" i="24"/>
  <c r="E289" i="24" s="1"/>
  <c r="Y184" i="24"/>
  <c r="E184" i="24" s="1"/>
  <c r="Y315" i="24"/>
  <c r="E315" i="24" s="1"/>
  <c r="Y81" i="24"/>
  <c r="E81" i="24" s="1"/>
  <c r="Y215" i="24"/>
  <c r="E215" i="24" s="1"/>
  <c r="Y374" i="24"/>
  <c r="E374" i="24" s="1"/>
  <c r="Y341" i="24"/>
  <c r="E341" i="24" s="1"/>
  <c r="Y280" i="24"/>
  <c r="E280" i="24" s="1"/>
  <c r="Y385" i="24"/>
  <c r="E385" i="24" s="1"/>
  <c r="Y127" i="24"/>
  <c r="E127" i="24" s="1"/>
  <c r="Y137" i="24"/>
  <c r="E137" i="24" s="1"/>
  <c r="Y145" i="24"/>
  <c r="E145" i="24" s="1"/>
  <c r="Y377" i="24"/>
  <c r="E377" i="24" s="1"/>
  <c r="Y388" i="24"/>
  <c r="E388" i="24" s="1"/>
  <c r="Y367" i="24"/>
  <c r="E367" i="24" s="1"/>
  <c r="Y140" i="24"/>
  <c r="E140" i="24" s="1"/>
  <c r="Y115" i="24"/>
  <c r="E115" i="24" s="1"/>
  <c r="Y302" i="24"/>
  <c r="E302" i="24" s="1"/>
  <c r="Y76" i="24"/>
  <c r="E76" i="24" s="1"/>
  <c r="Y328" i="24"/>
  <c r="E328" i="24" s="1"/>
  <c r="Y250" i="24"/>
  <c r="E250" i="24" s="1"/>
  <c r="Y353" i="24"/>
  <c r="E353" i="24" s="1"/>
  <c r="Y304" i="24"/>
  <c r="E304" i="24" s="1"/>
  <c r="Y375" i="24"/>
  <c r="E375" i="24" s="1"/>
  <c r="Y358" i="24"/>
  <c r="E358" i="24" s="1"/>
  <c r="Y216" i="24"/>
  <c r="E216" i="24" s="1"/>
  <c r="Y339" i="24"/>
  <c r="E339" i="24" s="1"/>
  <c r="Y160" i="24"/>
  <c r="E160" i="24" s="1"/>
  <c r="Y91" i="24"/>
  <c r="E91" i="24" s="1"/>
  <c r="Y66" i="24"/>
  <c r="E66" i="24" s="1"/>
  <c r="Y68" i="24"/>
  <c r="E68" i="24" s="1"/>
  <c r="Y312" i="24"/>
  <c r="E312" i="24" s="1"/>
  <c r="Y99" i="24"/>
  <c r="E99" i="24" s="1"/>
  <c r="Y107" i="24"/>
  <c r="E107" i="24" s="1"/>
  <c r="Y364" i="24"/>
  <c r="E364" i="24" s="1"/>
  <c r="Y157" i="24"/>
  <c r="E157" i="24" s="1"/>
  <c r="Y75" i="24"/>
  <c r="E75" i="24" s="1"/>
  <c r="Y229" i="24"/>
  <c r="E229" i="24" s="1"/>
  <c r="Y397" i="24"/>
  <c r="E397" i="24" s="1"/>
  <c r="Y235" i="24"/>
  <c r="E235" i="24" s="1"/>
  <c r="Y310" i="24"/>
  <c r="E310" i="24" s="1"/>
  <c r="Y370" i="24"/>
  <c r="E370" i="24" s="1"/>
  <c r="Y117" i="24"/>
  <c r="E117" i="24" s="1"/>
  <c r="Y275" i="24"/>
  <c r="E275" i="24" s="1"/>
  <c r="Y207" i="24"/>
  <c r="E207" i="24" s="1"/>
  <c r="Y211" i="24"/>
  <c r="E211" i="24" s="1"/>
  <c r="Y50" i="24"/>
  <c r="E50" i="24" s="1"/>
  <c r="Y44" i="24"/>
  <c r="E44" i="24" s="1"/>
  <c r="Y205" i="24"/>
  <c r="E205" i="24" s="1"/>
  <c r="Y69" i="24"/>
  <c r="E69" i="24" s="1"/>
  <c r="Y102" i="24"/>
  <c r="E102" i="24" s="1"/>
  <c r="Y143" i="24"/>
  <c r="E143" i="24" s="1"/>
  <c r="Y236" i="24"/>
  <c r="E236" i="24" s="1"/>
  <c r="Y291" i="24"/>
  <c r="E291" i="24" s="1"/>
  <c r="Y228" i="24"/>
  <c r="E228" i="24" s="1"/>
  <c r="Y321" i="24"/>
  <c r="E321" i="24" s="1"/>
  <c r="Y380" i="24"/>
  <c r="E380" i="24" s="1"/>
  <c r="Y299" i="24"/>
  <c r="E299" i="24" s="1"/>
  <c r="Y373" i="24"/>
  <c r="E373" i="24" s="1"/>
  <c r="Y279" i="24"/>
  <c r="E279" i="24" s="1"/>
  <c r="Y59" i="24"/>
  <c r="E59" i="24" s="1"/>
  <c r="Y203" i="24"/>
  <c r="E203" i="24" s="1"/>
  <c r="Y57" i="24"/>
  <c r="E57" i="24" s="1"/>
  <c r="Y261" i="24"/>
  <c r="E261" i="24" s="1"/>
  <c r="Y190" i="24"/>
  <c r="E190" i="24" s="1"/>
  <c r="Y221" i="24"/>
  <c r="E221" i="24" s="1"/>
  <c r="Y138" i="24"/>
  <c r="E138" i="24" s="1"/>
  <c r="Y90" i="24"/>
  <c r="E90" i="24" s="1"/>
  <c r="Y303" i="24"/>
  <c r="E303" i="24" s="1"/>
  <c r="Y361" i="24"/>
  <c r="E361" i="24" s="1"/>
  <c r="Y106" i="24"/>
  <c r="E106" i="24" s="1"/>
  <c r="Y268" i="24"/>
  <c r="E268" i="24" s="1"/>
  <c r="Y132" i="24"/>
  <c r="E132" i="24" s="1"/>
  <c r="Y213" i="24"/>
  <c r="E213" i="24" s="1"/>
  <c r="Y285" i="24"/>
  <c r="E285" i="24" s="1"/>
  <c r="Y383" i="24"/>
  <c r="E383" i="24" s="1"/>
  <c r="Y346" i="24"/>
  <c r="E346" i="24" s="1"/>
  <c r="Y170" i="24"/>
  <c r="E170" i="24" s="1"/>
  <c r="Y363" i="24"/>
  <c r="E363" i="24" s="1"/>
  <c r="Y307" i="24"/>
  <c r="E307" i="24" s="1"/>
  <c r="Y230" i="24"/>
  <c r="E230" i="24" s="1"/>
  <c r="Y208" i="24"/>
  <c r="E208" i="24" s="1"/>
  <c r="Y338" i="24"/>
  <c r="E338" i="24" s="1"/>
  <c r="Y354" i="24"/>
  <c r="E354" i="24" s="1"/>
  <c r="Y390" i="24"/>
  <c r="E390" i="24" s="1"/>
  <c r="Y395" i="24"/>
  <c r="E395" i="24" s="1"/>
  <c r="Y67" i="24"/>
  <c r="E67" i="24" s="1"/>
  <c r="Y369" i="24"/>
  <c r="E369" i="24" s="1"/>
  <c r="Y293" i="24"/>
  <c r="E293" i="24" s="1"/>
  <c r="Y234" i="24"/>
  <c r="E234" i="24" s="1"/>
  <c r="Y349" i="24"/>
  <c r="E349" i="24" s="1"/>
  <c r="Y79" i="24"/>
  <c r="E79" i="24" s="1"/>
  <c r="Y239" i="24"/>
  <c r="E239" i="24" s="1"/>
  <c r="Y40" i="24"/>
  <c r="E40" i="24" s="1"/>
  <c r="Y233" i="24"/>
  <c r="E233" i="24" s="1"/>
  <c r="Y89" i="24"/>
  <c r="E89" i="24" s="1"/>
  <c r="Y164" i="24"/>
  <c r="E164" i="24" s="1"/>
  <c r="Y212" i="24"/>
  <c r="E212" i="24" s="1"/>
  <c r="Y182" i="24"/>
  <c r="E182" i="24" s="1"/>
  <c r="Y254" i="24"/>
  <c r="E254" i="24" s="1"/>
  <c r="Y122" i="24"/>
  <c r="E122" i="24" s="1"/>
  <c r="Y231" i="24"/>
  <c r="E231" i="24" s="1"/>
  <c r="Y376" i="24"/>
  <c r="E376" i="24" s="1"/>
  <c r="Y133" i="24"/>
  <c r="E133" i="24" s="1"/>
  <c r="Y47" i="24"/>
  <c r="E47" i="24" s="1"/>
  <c r="Y202" i="24"/>
  <c r="E202" i="24" s="1"/>
  <c r="Y53" i="24"/>
  <c r="E53" i="24" s="1"/>
  <c r="Y362" i="24"/>
  <c r="E362" i="24" s="1"/>
  <c r="Y166" i="24"/>
  <c r="E166" i="24" s="1"/>
  <c r="Y97" i="24"/>
  <c r="E97" i="24" s="1"/>
  <c r="Y337" i="24"/>
  <c r="E337" i="24" s="1"/>
  <c r="Y126" i="24"/>
  <c r="E126" i="24" s="1"/>
  <c r="Y240" i="24"/>
  <c r="E240" i="24" s="1"/>
  <c r="Y82" i="24"/>
  <c r="E82" i="24" s="1"/>
  <c r="Y163" i="24"/>
  <c r="E163" i="24" s="1"/>
  <c r="Y188" i="24"/>
  <c r="E188" i="24" s="1"/>
  <c r="Y121" i="24"/>
  <c r="E121" i="24" s="1"/>
  <c r="Y156" i="24"/>
  <c r="E156" i="24" s="1"/>
  <c r="Y64" i="24"/>
  <c r="E64" i="24" s="1"/>
  <c r="Y350" i="24"/>
  <c r="E350" i="24" s="1"/>
  <c r="Y178" i="24"/>
  <c r="E178" i="24" s="1"/>
  <c r="Y262" i="24"/>
  <c r="E262" i="24" s="1"/>
  <c r="Y62" i="24"/>
  <c r="E62" i="24" s="1"/>
  <c r="Y159" i="24"/>
  <c r="E159" i="24" s="1"/>
  <c r="Y366" i="24"/>
  <c r="E366" i="24" s="1"/>
  <c r="Y165" i="24"/>
  <c r="E165" i="24" s="1"/>
  <c r="Y225" i="24"/>
  <c r="E225" i="24" s="1"/>
  <c r="Y217" i="24"/>
  <c r="E217" i="24" s="1"/>
  <c r="Y347" i="24"/>
  <c r="E347" i="24" s="1"/>
  <c r="Y100" i="24"/>
  <c r="E100" i="24" s="1"/>
  <c r="Y124" i="24"/>
  <c r="E124" i="24" s="1"/>
  <c r="Y340" i="24"/>
  <c r="E340" i="24" s="1"/>
  <c r="Y181" i="24"/>
  <c r="E181" i="24" s="1"/>
  <c r="Y311" i="24"/>
  <c r="E311" i="24" s="1"/>
  <c r="Y379" i="24"/>
  <c r="E379" i="24" s="1"/>
  <c r="Y125" i="24"/>
  <c r="E125" i="24" s="1"/>
  <c r="Y175" i="24"/>
  <c r="E175" i="24" s="1"/>
  <c r="Y197" i="24"/>
  <c r="E197" i="24" s="1"/>
  <c r="Y253" i="24"/>
  <c r="E253" i="24" s="1"/>
  <c r="Y52" i="24"/>
  <c r="E52" i="24" s="1"/>
  <c r="Y113" i="24"/>
  <c r="E113" i="24" s="1"/>
  <c r="Y247" i="24"/>
  <c r="E247" i="24" s="1"/>
  <c r="Y398" i="24"/>
  <c r="E398" i="24" s="1"/>
  <c r="Y167" i="24"/>
  <c r="E167" i="24" s="1"/>
  <c r="Y378" i="24"/>
  <c r="E378" i="24" s="1"/>
  <c r="Y251" i="24"/>
  <c r="E251" i="24" s="1"/>
  <c r="Y332" i="24"/>
  <c r="E332" i="24" s="1"/>
  <c r="Y109" i="24"/>
  <c r="E109" i="24" s="1"/>
  <c r="Y305" i="24"/>
  <c r="E305" i="24" s="1"/>
  <c r="Y355" i="24"/>
  <c r="E355" i="24" s="1"/>
  <c r="Y326" i="24"/>
  <c r="E326" i="24" s="1"/>
  <c r="Y348" i="24"/>
  <c r="E348" i="24" s="1"/>
  <c r="Y292" i="24"/>
  <c r="E292" i="24" s="1"/>
  <c r="Y77" i="24"/>
  <c r="E77" i="24" s="1"/>
  <c r="Y41" i="24"/>
  <c r="E41" i="24" s="1"/>
  <c r="Y80" i="24"/>
  <c r="E80" i="24" s="1"/>
  <c r="Y306" i="24"/>
  <c r="E306" i="24" s="1"/>
  <c r="Y352" i="24"/>
  <c r="E352" i="24" s="1"/>
  <c r="Y195" i="24"/>
  <c r="E195" i="24" s="1"/>
  <c r="Y255" i="24"/>
  <c r="E255" i="24" s="1"/>
  <c r="Y176" i="24"/>
  <c r="E176" i="24" s="1"/>
  <c r="Y301" i="24"/>
  <c r="E301" i="24" s="1"/>
  <c r="Y58" i="24"/>
  <c r="E58" i="24" s="1"/>
  <c r="Y288" i="24"/>
  <c r="E288" i="24" s="1"/>
  <c r="Y177" i="24"/>
  <c r="E177" i="24" s="1"/>
  <c r="Y257" i="24"/>
  <c r="E257" i="24" s="1"/>
  <c r="Y101" i="24"/>
  <c r="E101" i="24" s="1"/>
  <c r="Y277" i="24"/>
  <c r="E277" i="24" s="1"/>
  <c r="Y387" i="24"/>
  <c r="E387" i="24" s="1"/>
  <c r="Y357" i="24"/>
  <c r="E357" i="24" s="1"/>
  <c r="Y371" i="24"/>
  <c r="E371" i="24" s="1"/>
  <c r="Y152" i="24"/>
  <c r="E152" i="24" s="1"/>
  <c r="Y392" i="24"/>
  <c r="E392" i="24" s="1"/>
  <c r="AG180" i="23"/>
  <c r="G180" i="23" s="1"/>
  <c r="AG101" i="23"/>
  <c r="G101" i="23" s="1"/>
  <c r="AG198" i="23"/>
  <c r="G198" i="23" s="1"/>
  <c r="AG41" i="23"/>
  <c r="G41" i="23" s="1"/>
  <c r="AG105" i="23"/>
  <c r="G105" i="23" s="1"/>
  <c r="AG384" i="23"/>
  <c r="G384" i="23" s="1"/>
  <c r="AG55" i="23"/>
  <c r="G55" i="23" s="1"/>
  <c r="AG387" i="23"/>
  <c r="G387" i="23" s="1"/>
  <c r="AG150" i="23"/>
  <c r="G150" i="23" s="1"/>
  <c r="AG221" i="23"/>
  <c r="G221" i="23" s="1"/>
  <c r="AG45" i="23"/>
  <c r="G45" i="23" s="1"/>
  <c r="AG144" i="23"/>
  <c r="G144" i="23" s="1"/>
  <c r="AG214" i="23"/>
  <c r="G214" i="23" s="1"/>
  <c r="AG98" i="23"/>
  <c r="G98" i="23" s="1"/>
  <c r="AG209" i="23"/>
  <c r="G209" i="23" s="1"/>
  <c r="AG121" i="23"/>
  <c r="G121" i="23" s="1"/>
  <c r="AG92" i="23"/>
  <c r="G92" i="23" s="1"/>
  <c r="AG340" i="23"/>
  <c r="G340" i="23" s="1"/>
  <c r="AG357" i="23"/>
  <c r="G357" i="23" s="1"/>
  <c r="AG100" i="23"/>
  <c r="G100" i="23" s="1"/>
  <c r="AG245" i="23"/>
  <c r="G245" i="23" s="1"/>
  <c r="AG193" i="23"/>
  <c r="G193" i="23" s="1"/>
  <c r="AG114" i="23"/>
  <c r="G114" i="23" s="1"/>
  <c r="AG393" i="23"/>
  <c r="G393" i="23" s="1"/>
  <c r="AG366" i="23"/>
  <c r="G366" i="23" s="1"/>
  <c r="AG319" i="23"/>
  <c r="G319" i="23" s="1"/>
  <c r="AG112" i="23"/>
  <c r="G112" i="23" s="1"/>
  <c r="AG78" i="23"/>
  <c r="G78" i="23" s="1"/>
  <c r="AG271" i="23"/>
  <c r="G271" i="23" s="1"/>
  <c r="AG171" i="23"/>
  <c r="G171" i="23" s="1"/>
  <c r="AG275" i="23"/>
  <c r="G275" i="23" s="1"/>
  <c r="AG199" i="23"/>
  <c r="G199" i="23" s="1"/>
  <c r="AG158" i="23"/>
  <c r="G158" i="23" s="1"/>
  <c r="AG118" i="23"/>
  <c r="G118" i="23" s="1"/>
  <c r="AG304" i="23"/>
  <c r="G304" i="23" s="1"/>
  <c r="AG243" i="23"/>
  <c r="G243" i="23" s="1"/>
  <c r="AG322" i="23"/>
  <c r="G322" i="23" s="1"/>
  <c r="AG229" i="23"/>
  <c r="G229" i="23" s="1"/>
  <c r="AG194" i="23"/>
  <c r="G194" i="23" s="1"/>
  <c r="AG298" i="23"/>
  <c r="G298" i="23" s="1"/>
  <c r="AG266" i="23"/>
  <c r="G266" i="23" s="1"/>
  <c r="AG390" i="23"/>
  <c r="G390" i="23" s="1"/>
  <c r="AG52" i="23"/>
  <c r="G52" i="23" s="1"/>
  <c r="AG238" i="23"/>
  <c r="G238" i="23" s="1"/>
  <c r="AG111" i="23"/>
  <c r="G111" i="23" s="1"/>
  <c r="AG197" i="23"/>
  <c r="G197" i="23" s="1"/>
  <c r="AG360" i="23"/>
  <c r="G360" i="23" s="1"/>
  <c r="AG363" i="23"/>
  <c r="G363" i="23" s="1"/>
  <c r="AG145" i="23"/>
  <c r="G145" i="23" s="1"/>
  <c r="AG333" i="23"/>
  <c r="G333" i="23" s="1"/>
  <c r="AG95" i="23"/>
  <c r="G95" i="23" s="1"/>
  <c r="AG178" i="23"/>
  <c r="G178" i="23" s="1"/>
  <c r="AG159" i="23"/>
  <c r="G159" i="23" s="1"/>
  <c r="AG364" i="23"/>
  <c r="G364" i="23" s="1"/>
  <c r="AG349" i="23"/>
  <c r="G349" i="23" s="1"/>
  <c r="AG261" i="23"/>
  <c r="G261" i="23" s="1"/>
  <c r="AG367" i="23"/>
  <c r="G367" i="23" s="1"/>
  <c r="AG39" i="23"/>
  <c r="G39" i="23" s="1"/>
  <c r="AG240" i="23"/>
  <c r="G240" i="23" s="1"/>
  <c r="AG161" i="23"/>
  <c r="G161" i="23" s="1"/>
  <c r="AG394" i="23"/>
  <c r="G394" i="23" s="1"/>
  <c r="AG260" i="23"/>
  <c r="G260" i="23" s="1"/>
  <c r="AG269" i="23"/>
  <c r="G269" i="23" s="1"/>
  <c r="AG263" i="23"/>
  <c r="G263" i="23" s="1"/>
  <c r="AG43" i="23"/>
  <c r="G43" i="23" s="1"/>
  <c r="AG254" i="23"/>
  <c r="G254" i="23" s="1"/>
  <c r="AG83" i="23"/>
  <c r="G83" i="23" s="1"/>
  <c r="AG187" i="23"/>
  <c r="G187" i="23" s="1"/>
  <c r="AG212" i="23"/>
  <c r="G212" i="23" s="1"/>
  <c r="AG345" i="23"/>
  <c r="G345" i="23" s="1"/>
  <c r="AG242" i="23"/>
  <c r="G242" i="23" s="1"/>
  <c r="AG385" i="23"/>
  <c r="G385" i="23" s="1"/>
  <c r="AG383" i="23"/>
  <c r="G383" i="23" s="1"/>
  <c r="AG379" i="23"/>
  <c r="G379" i="23" s="1"/>
  <c r="AG223" i="23"/>
  <c r="G223" i="23" s="1"/>
  <c r="AG306" i="23"/>
  <c r="G306" i="23" s="1"/>
  <c r="AG186" i="23"/>
  <c r="G186" i="23" s="1"/>
  <c r="AG368" i="23"/>
  <c r="G368" i="23" s="1"/>
  <c r="AG175" i="23"/>
  <c r="G175" i="23" s="1"/>
  <c r="AG321" i="23"/>
  <c r="G321" i="23" s="1"/>
  <c r="AG310" i="23"/>
  <c r="G310" i="23" s="1"/>
  <c r="AG302" i="23"/>
  <c r="G302" i="23" s="1"/>
  <c r="AG207" i="23"/>
  <c r="G207" i="23" s="1"/>
  <c r="AG40" i="23"/>
  <c r="G40" i="23" s="1"/>
  <c r="AG102" i="23"/>
  <c r="G102" i="23" s="1"/>
  <c r="AG127" i="23"/>
  <c r="G127" i="23" s="1"/>
  <c r="AG347" i="23"/>
  <c r="G347" i="23" s="1"/>
  <c r="AG327" i="23"/>
  <c r="G327" i="23" s="1"/>
  <c r="AG233" i="23"/>
  <c r="G233" i="23" s="1"/>
  <c r="AG47" i="23"/>
  <c r="G47" i="23" s="1"/>
  <c r="AG135" i="23"/>
  <c r="G135" i="23" s="1"/>
  <c r="AG294" i="23"/>
  <c r="G294" i="23" s="1"/>
  <c r="AG353" i="23"/>
  <c r="G353" i="23" s="1"/>
  <c r="AG241" i="23"/>
  <c r="G241" i="23" s="1"/>
  <c r="AG185" i="23"/>
  <c r="G185" i="23" s="1"/>
  <c r="AG316" i="23"/>
  <c r="G316" i="23" s="1"/>
  <c r="AG168" i="23"/>
  <c r="G168" i="23" s="1"/>
  <c r="AG131" i="23"/>
  <c r="G131" i="23" s="1"/>
  <c r="AG181" i="23"/>
  <c r="G181" i="23" s="1"/>
  <c r="AG188" i="23"/>
  <c r="G188" i="23" s="1"/>
  <c r="AG99" i="23"/>
  <c r="G99" i="23" s="1"/>
  <c r="AG139" i="23"/>
  <c r="G139" i="23" s="1"/>
  <c r="AG270" i="23"/>
  <c r="G270" i="23" s="1"/>
  <c r="AG342" i="23"/>
  <c r="G342" i="23" s="1"/>
  <c r="AG388" i="23"/>
  <c r="G388" i="23" s="1"/>
  <c r="AG389" i="23"/>
  <c r="G389" i="23" s="1"/>
  <c r="AG216" i="23"/>
  <c r="G216" i="23" s="1"/>
  <c r="AG311" i="23"/>
  <c r="G311" i="23" s="1"/>
  <c r="AG170" i="23"/>
  <c r="G170" i="23" s="1"/>
  <c r="AG106" i="23"/>
  <c r="G106" i="23" s="1"/>
  <c r="AG215" i="23"/>
  <c r="G215" i="23" s="1"/>
  <c r="AG201" i="23"/>
  <c r="G201" i="23" s="1"/>
  <c r="AG313" i="23"/>
  <c r="G313" i="23" s="1"/>
  <c r="AG372" i="23"/>
  <c r="G372" i="23" s="1"/>
  <c r="AG104" i="23"/>
  <c r="G104" i="23" s="1"/>
  <c r="AG358" i="23"/>
  <c r="G358" i="23" s="1"/>
  <c r="AG133" i="23"/>
  <c r="G133" i="23" s="1"/>
  <c r="AG49" i="23"/>
  <c r="G49" i="23" s="1"/>
  <c r="AG65" i="23"/>
  <c r="G65" i="23" s="1"/>
  <c r="AG79" i="23"/>
  <c r="G79" i="23" s="1"/>
  <c r="AG73" i="23"/>
  <c r="G73" i="23" s="1"/>
  <c r="AG202" i="23"/>
  <c r="G202" i="23" s="1"/>
  <c r="AG391" i="23"/>
  <c r="G391" i="23" s="1"/>
  <c r="AG147" i="23"/>
  <c r="G147" i="23" s="1"/>
  <c r="AG93" i="23"/>
  <c r="G93" i="23" s="1"/>
  <c r="AG343" i="23"/>
  <c r="G343" i="23" s="1"/>
  <c r="AG325" i="23"/>
  <c r="G325" i="23" s="1"/>
  <c r="AG315" i="23"/>
  <c r="G315" i="23" s="1"/>
  <c r="AG376" i="23"/>
  <c r="G376" i="23" s="1"/>
  <c r="AG211" i="23"/>
  <c r="G211" i="23" s="1"/>
  <c r="AG110" i="23"/>
  <c r="G110" i="23" s="1"/>
  <c r="AG96" i="23"/>
  <c r="G96" i="23" s="1"/>
  <c r="AG151" i="23"/>
  <c r="G151" i="23" s="1"/>
  <c r="AG395" i="23"/>
  <c r="G395" i="23" s="1"/>
  <c r="AG204" i="23"/>
  <c r="G204" i="23" s="1"/>
  <c r="AG91" i="23"/>
  <c r="G91" i="23" s="1"/>
  <c r="AG124" i="23"/>
  <c r="G124" i="23" s="1"/>
  <c r="AG288" i="23"/>
  <c r="G288" i="23" s="1"/>
  <c r="AG120" i="23"/>
  <c r="G120" i="23" s="1"/>
  <c r="AG143" i="23"/>
  <c r="G143" i="23" s="1"/>
  <c r="AG160" i="23"/>
  <c r="G160" i="23" s="1"/>
  <c r="AG244" i="23"/>
  <c r="G244" i="23" s="1"/>
  <c r="AG57" i="23"/>
  <c r="G57" i="23" s="1"/>
  <c r="AG248" i="23"/>
  <c r="G248" i="23" s="1"/>
  <c r="AG66" i="23"/>
  <c r="G66" i="23" s="1"/>
  <c r="AG397" i="23"/>
  <c r="G397" i="23" s="1"/>
  <c r="AG119" i="23"/>
  <c r="G119" i="23" s="1"/>
  <c r="AG154" i="23"/>
  <c r="G154" i="23" s="1"/>
  <c r="AG278" i="23"/>
  <c r="G278" i="23" s="1"/>
  <c r="AG152" i="23"/>
  <c r="G152" i="23" s="1"/>
  <c r="AG352" i="23"/>
  <c r="G352" i="23" s="1"/>
  <c r="AG172" i="23"/>
  <c r="G172" i="23" s="1"/>
  <c r="AG354" i="23"/>
  <c r="G354" i="23" s="1"/>
  <c r="AG42" i="23"/>
  <c r="G42" i="23" s="1"/>
  <c r="AG176" i="23"/>
  <c r="G176" i="23" s="1"/>
  <c r="AG70" i="23"/>
  <c r="G70" i="23" s="1"/>
  <c r="AG228" i="23"/>
  <c r="G228" i="23" s="1"/>
  <c r="AG312" i="23"/>
  <c r="G312" i="23" s="1"/>
  <c r="AG281" i="23"/>
  <c r="G281" i="23" s="1"/>
  <c r="AG317" i="23"/>
  <c r="G317" i="23" s="1"/>
  <c r="AG356" i="23"/>
  <c r="G356" i="23" s="1"/>
  <c r="AG164" i="23"/>
  <c r="G164" i="23" s="1"/>
  <c r="AG396" i="23"/>
  <c r="G396" i="23" s="1"/>
  <c r="AG125" i="23"/>
  <c r="G125" i="23" s="1"/>
  <c r="AG299" i="23"/>
  <c r="G299" i="23" s="1"/>
  <c r="AG335" i="23"/>
  <c r="G335" i="23" s="1"/>
  <c r="AG84" i="23"/>
  <c r="G84" i="23" s="1"/>
  <c r="AG206" i="23"/>
  <c r="G206" i="23" s="1"/>
  <c r="AG75" i="23"/>
  <c r="G75" i="23" s="1"/>
  <c r="AG359" i="23"/>
  <c r="G359" i="23" s="1"/>
  <c r="AG165" i="23"/>
  <c r="G165" i="23" s="1"/>
  <c r="AG205" i="23"/>
  <c r="G205" i="23" s="1"/>
  <c r="AG59" i="23"/>
  <c r="G59" i="23" s="1"/>
  <c r="AG334" i="23"/>
  <c r="G334" i="23" s="1"/>
  <c r="AG378" i="23"/>
  <c r="G378" i="23" s="1"/>
  <c r="AG237" i="23"/>
  <c r="G237" i="23" s="1"/>
  <c r="AG262" i="23"/>
  <c r="G262" i="23" s="1"/>
  <c r="AG225" i="23"/>
  <c r="G225" i="23" s="1"/>
  <c r="AG250" i="23"/>
  <c r="G250" i="23" s="1"/>
  <c r="AG239" i="23"/>
  <c r="G239" i="23" s="1"/>
  <c r="AG351" i="23"/>
  <c r="G351" i="23" s="1"/>
  <c r="AG108" i="23"/>
  <c r="G108" i="23" s="1"/>
  <c r="AG142" i="23"/>
  <c r="G142" i="23" s="1"/>
  <c r="AG277" i="23"/>
  <c r="G277" i="23" s="1"/>
  <c r="AG255" i="23"/>
  <c r="G255" i="23" s="1"/>
  <c r="AG210" i="23"/>
  <c r="G210" i="23" s="1"/>
  <c r="AG67" i="23"/>
  <c r="G67" i="23" s="1"/>
  <c r="AG400" i="23"/>
  <c r="G400" i="23" s="1"/>
  <c r="AG56" i="23"/>
  <c r="G56" i="23" s="1"/>
  <c r="AG381" i="23"/>
  <c r="G381" i="23" s="1"/>
  <c r="AG182" i="23"/>
  <c r="G182" i="23" s="1"/>
  <c r="AG346" i="23"/>
  <c r="G346" i="23" s="1"/>
  <c r="AG97" i="23"/>
  <c r="G97" i="23" s="1"/>
  <c r="AG326" i="23"/>
  <c r="G326" i="23" s="1"/>
  <c r="AG273" i="23"/>
  <c r="G273" i="23" s="1"/>
  <c r="AG224" i="23"/>
  <c r="G224" i="23" s="1"/>
  <c r="AG153" i="23"/>
  <c r="G153" i="23" s="1"/>
  <c r="AG308" i="23"/>
  <c r="G308" i="23" s="1"/>
  <c r="AG192" i="23"/>
  <c r="G192" i="23" s="1"/>
  <c r="AG289" i="23"/>
  <c r="G289" i="23" s="1"/>
  <c r="AG195" i="23"/>
  <c r="G195" i="23" s="1"/>
  <c r="AG236" i="23"/>
  <c r="G236" i="23" s="1"/>
  <c r="AG72" i="23"/>
  <c r="G72" i="23" s="1"/>
  <c r="AG113" i="23"/>
  <c r="G113" i="23" s="1"/>
  <c r="AG323" i="23"/>
  <c r="G323" i="23" s="1"/>
  <c r="AG115" i="23"/>
  <c r="G115" i="23" s="1"/>
  <c r="AG222" i="23"/>
  <c r="G222" i="23" s="1"/>
  <c r="AG305" i="23"/>
  <c r="G305" i="23" s="1"/>
  <c r="AG141" i="23"/>
  <c r="G141" i="23" s="1"/>
  <c r="AG136" i="23"/>
  <c r="G136" i="23" s="1"/>
  <c r="AG369" i="23"/>
  <c r="G369" i="23" s="1"/>
  <c r="AG292" i="23"/>
  <c r="G292" i="23" s="1"/>
  <c r="AG279" i="23"/>
  <c r="G279" i="23" s="1"/>
  <c r="AG246" i="23"/>
  <c r="G246" i="23" s="1"/>
  <c r="AG365" i="23"/>
  <c r="G365" i="23" s="1"/>
  <c r="AG189" i="23"/>
  <c r="G189" i="23" s="1"/>
  <c r="AG179" i="23"/>
  <c r="G179" i="23" s="1"/>
  <c r="AG163" i="23"/>
  <c r="G163" i="23" s="1"/>
  <c r="AG126" i="23"/>
  <c r="G126" i="23" s="1"/>
  <c r="AG86" i="23"/>
  <c r="G86" i="23" s="1"/>
  <c r="AG117" i="23"/>
  <c r="G117" i="23" s="1"/>
  <c r="AG283" i="23"/>
  <c r="G283" i="23" s="1"/>
  <c r="AG69" i="23"/>
  <c r="G69" i="23" s="1"/>
  <c r="AG371" i="23"/>
  <c r="G371" i="23" s="1"/>
  <c r="AG218" i="23"/>
  <c r="G218" i="23" s="1"/>
  <c r="AG200" i="23"/>
  <c r="G200" i="23" s="1"/>
  <c r="AG331" i="23"/>
  <c r="G331" i="23" s="1"/>
  <c r="AG183" i="23"/>
  <c r="G183" i="23" s="1"/>
  <c r="AG94" i="23"/>
  <c r="G94" i="23" s="1"/>
  <c r="AG373" i="23"/>
  <c r="G373" i="23" s="1"/>
  <c r="AG230" i="23"/>
  <c r="G230" i="23" s="1"/>
  <c r="AG392" i="23"/>
  <c r="G392" i="23" s="1"/>
  <c r="AG68" i="23"/>
  <c r="G68" i="23" s="1"/>
  <c r="AG169" i="23"/>
  <c r="G169" i="23" s="1"/>
  <c r="AG76" i="23"/>
  <c r="G76" i="23" s="1"/>
  <c r="AG184" i="23"/>
  <c r="G184" i="23" s="1"/>
  <c r="AG116" i="23"/>
  <c r="G116" i="23" s="1"/>
  <c r="AG77" i="23"/>
  <c r="G77" i="23" s="1"/>
  <c r="AG324" i="23"/>
  <c r="G324" i="23" s="1"/>
  <c r="AG374" i="23"/>
  <c r="G374" i="23" s="1"/>
  <c r="AG284" i="23"/>
  <c r="G284" i="23" s="1"/>
  <c r="AG227" i="23"/>
  <c r="G227" i="23" s="1"/>
  <c r="AG267" i="23"/>
  <c r="G267" i="23" s="1"/>
  <c r="AG130" i="23"/>
  <c r="G130" i="23" s="1"/>
  <c r="AG177" i="23"/>
  <c r="G177" i="23" s="1"/>
  <c r="AG196" i="23"/>
  <c r="G196" i="23" s="1"/>
  <c r="AG134" i="23"/>
  <c r="G134" i="23" s="1"/>
  <c r="AG386" i="23"/>
  <c r="G386" i="23" s="1"/>
  <c r="AG249" i="23"/>
  <c r="G249" i="23" s="1"/>
  <c r="AG318" i="23"/>
  <c r="G318" i="23" s="1"/>
  <c r="AG264" i="23"/>
  <c r="G264" i="23" s="1"/>
  <c r="AG320" i="23"/>
  <c r="G320" i="23" s="1"/>
  <c r="AG217" i="23"/>
  <c r="G217" i="23" s="1"/>
  <c r="AG62" i="23"/>
  <c r="G62" i="23" s="1"/>
  <c r="AG332" i="23"/>
  <c r="G332" i="23" s="1"/>
  <c r="AG272" i="23"/>
  <c r="G272" i="23" s="1"/>
  <c r="AG276" i="23"/>
  <c r="G276" i="23" s="1"/>
  <c r="AG149" i="23"/>
  <c r="G149" i="23" s="1"/>
  <c r="AG259" i="23"/>
  <c r="G259" i="23" s="1"/>
  <c r="AG213" i="23"/>
  <c r="G213" i="23" s="1"/>
  <c r="AG362" i="23"/>
  <c r="G362" i="23" s="1"/>
  <c r="AG107" i="23"/>
  <c r="G107" i="23" s="1"/>
  <c r="AG252" i="23"/>
  <c r="G252" i="23" s="1"/>
  <c r="AG303" i="23"/>
  <c r="G303" i="23" s="1"/>
  <c r="AG337" i="23"/>
  <c r="G337" i="23" s="1"/>
  <c r="AG253" i="23"/>
  <c r="G253" i="23" s="1"/>
  <c r="AG173" i="23"/>
  <c r="G173" i="23" s="1"/>
  <c r="AG247" i="23"/>
  <c r="G247" i="23" s="1"/>
  <c r="AG295" i="23"/>
  <c r="G295" i="23" s="1"/>
  <c r="AG344" i="23"/>
  <c r="G344" i="23" s="1"/>
  <c r="AG382" i="23"/>
  <c r="G382" i="23" s="1"/>
  <c r="AG132" i="23"/>
  <c r="G132" i="23" s="1"/>
  <c r="AG314" i="23"/>
  <c r="G314" i="23" s="1"/>
  <c r="AG339" i="23"/>
  <c r="G339" i="23" s="1"/>
  <c r="AG251" i="23"/>
  <c r="G251" i="23" s="1"/>
  <c r="AG301" i="23"/>
  <c r="G301" i="23" s="1"/>
  <c r="AG140" i="23"/>
  <c r="G140" i="23" s="1"/>
  <c r="AG74" i="23"/>
  <c r="G74" i="23" s="1"/>
  <c r="AG226" i="23"/>
  <c r="G226" i="23" s="1"/>
  <c r="AG71" i="23"/>
  <c r="G71" i="23" s="1"/>
  <c r="AG297" i="23"/>
  <c r="G297" i="23" s="1"/>
  <c r="AG148" i="23"/>
  <c r="G148" i="23" s="1"/>
  <c r="AG234" i="23"/>
  <c r="G234" i="23" s="1"/>
  <c r="AG53" i="23"/>
  <c r="G53" i="23" s="1"/>
  <c r="AG338" i="23"/>
  <c r="G338" i="23" s="1"/>
  <c r="AG370" i="23"/>
  <c r="G370" i="23" s="1"/>
  <c r="AG123" i="23"/>
  <c r="G123" i="23" s="1"/>
  <c r="AG329" i="23"/>
  <c r="G329" i="23" s="1"/>
  <c r="AG64" i="23"/>
  <c r="G64" i="23" s="1"/>
  <c r="AG256" i="23"/>
  <c r="G256" i="23" s="1"/>
  <c r="AG380" i="23"/>
  <c r="G380" i="23" s="1"/>
  <c r="AG307" i="23"/>
  <c r="G307" i="23" s="1"/>
  <c r="AG291" i="23"/>
  <c r="G291" i="23" s="1"/>
  <c r="AG296" i="23"/>
  <c r="G296" i="23" s="1"/>
  <c r="AG85" i="23"/>
  <c r="G85" i="23" s="1"/>
  <c r="AG336" i="23"/>
  <c r="G336" i="23" s="1"/>
  <c r="AG88" i="23"/>
  <c r="G88" i="23" s="1"/>
  <c r="AG235" i="23"/>
  <c r="G235" i="23" s="1"/>
  <c r="AG48" i="23"/>
  <c r="G48" i="23" s="1"/>
  <c r="AG355" i="23"/>
  <c r="G355" i="23" s="1"/>
  <c r="AG350" i="23"/>
  <c r="G350" i="23" s="1"/>
  <c r="AG191" i="23"/>
  <c r="G191" i="23" s="1"/>
  <c r="AG174" i="23"/>
  <c r="G174" i="23" s="1"/>
  <c r="AG44" i="23"/>
  <c r="G44" i="23" s="1"/>
  <c r="AG122" i="23"/>
  <c r="G122" i="23" s="1"/>
  <c r="AG341" i="23"/>
  <c r="G341" i="23" s="1"/>
  <c r="AG58" i="23"/>
  <c r="G58" i="23" s="1"/>
  <c r="AG50" i="23"/>
  <c r="G50" i="23" s="1"/>
  <c r="AG285" i="23"/>
  <c r="G285" i="23" s="1"/>
  <c r="AG361" i="23"/>
  <c r="G361" i="23" s="1"/>
  <c r="AG129" i="23"/>
  <c r="G129" i="23" s="1"/>
  <c r="AG377" i="23"/>
  <c r="G377" i="23" s="1"/>
  <c r="AG157" i="23"/>
  <c r="G157" i="23" s="1"/>
  <c r="AG82" i="23"/>
  <c r="G82" i="23" s="1"/>
  <c r="AG399" i="23"/>
  <c r="G399" i="23" s="1"/>
  <c r="AG280" i="23"/>
  <c r="G280" i="23" s="1"/>
  <c r="AG81" i="23"/>
  <c r="G81" i="23" s="1"/>
  <c r="AG87" i="23"/>
  <c r="G87" i="23" s="1"/>
  <c r="AG190" i="23"/>
  <c r="G190" i="23" s="1"/>
  <c r="AG348" i="23"/>
  <c r="G348" i="23" s="1"/>
  <c r="AG208" i="23"/>
  <c r="G208" i="23" s="1"/>
  <c r="AG63" i="23"/>
  <c r="G63" i="23" s="1"/>
  <c r="AG330" i="23"/>
  <c r="G330" i="23" s="1"/>
  <c r="AG257" i="23"/>
  <c r="G257" i="23" s="1"/>
  <c r="AG232" i="23"/>
  <c r="G232" i="23" s="1"/>
  <c r="AG328" i="23"/>
  <c r="G328" i="23" s="1"/>
  <c r="AG46" i="23"/>
  <c r="G46" i="23" s="1"/>
  <c r="AG309" i="23"/>
  <c r="G309" i="23" s="1"/>
  <c r="AG146" i="23"/>
  <c r="G146" i="23" s="1"/>
  <c r="AG268" i="23"/>
  <c r="G268" i="23" s="1"/>
  <c r="AG398" i="23"/>
  <c r="G398" i="23" s="1"/>
  <c r="AG60" i="23"/>
  <c r="G60" i="23" s="1"/>
  <c r="AG286" i="23"/>
  <c r="G286" i="23" s="1"/>
  <c r="AG90" i="23"/>
  <c r="G90" i="23" s="1"/>
  <c r="AG265" i="23"/>
  <c r="G265" i="23" s="1"/>
  <c r="AG156" i="23"/>
  <c r="G156" i="23" s="1"/>
  <c r="AG167" i="23"/>
  <c r="G167" i="23" s="1"/>
  <c r="AG155" i="23"/>
  <c r="G155" i="23" s="1"/>
  <c r="AG274" i="23"/>
  <c r="G274" i="23" s="1"/>
  <c r="AG103" i="23"/>
  <c r="G103" i="23" s="1"/>
  <c r="AG290" i="23"/>
  <c r="G290" i="23" s="1"/>
  <c r="AG128" i="23"/>
  <c r="G128" i="23" s="1"/>
  <c r="AG109" i="23"/>
  <c r="G109" i="23" s="1"/>
  <c r="AG54" i="23"/>
  <c r="G54" i="23" s="1"/>
  <c r="AG282" i="23"/>
  <c r="G282" i="23" s="1"/>
  <c r="AG300" i="23"/>
  <c r="G300" i="23" s="1"/>
  <c r="AG287" i="23"/>
  <c r="G287" i="23" s="1"/>
  <c r="AG203" i="23"/>
  <c r="G203" i="23" s="1"/>
  <c r="AG61" i="23"/>
  <c r="G61" i="23" s="1"/>
  <c r="AG231" i="23"/>
  <c r="G231" i="23" s="1"/>
  <c r="AG162" i="23"/>
  <c r="G162" i="23" s="1"/>
  <c r="AG166" i="23"/>
  <c r="G166" i="23" s="1"/>
  <c r="AG375" i="23"/>
  <c r="G375" i="23" s="1"/>
  <c r="AG80" i="23"/>
  <c r="G80" i="23" s="1"/>
  <c r="AG51" i="23"/>
  <c r="G51" i="23" s="1"/>
  <c r="AG137" i="23"/>
  <c r="G137" i="23" s="1"/>
  <c r="AG293" i="23"/>
  <c r="G293" i="23" s="1"/>
  <c r="AG258" i="23"/>
  <c r="G258" i="23" s="1"/>
  <c r="AG89" i="23"/>
  <c r="G89" i="23" s="1"/>
  <c r="AG138" i="23"/>
  <c r="G138" i="23" s="1"/>
  <c r="Y178" i="23"/>
  <c r="E178" i="23" s="1"/>
  <c r="Y152" i="23"/>
  <c r="E152" i="23" s="1"/>
  <c r="Y224" i="23"/>
  <c r="E224" i="23" s="1"/>
  <c r="Y227" i="23"/>
  <c r="E227" i="23" s="1"/>
  <c r="Y138" i="23"/>
  <c r="E138" i="23" s="1"/>
  <c r="Y167" i="23"/>
  <c r="E167" i="23" s="1"/>
  <c r="Y157" i="23"/>
  <c r="E157" i="23" s="1"/>
  <c r="Y181" i="23"/>
  <c r="E181" i="23" s="1"/>
  <c r="Y151" i="23"/>
  <c r="E151" i="23" s="1"/>
  <c r="Y321" i="23"/>
  <c r="E321" i="23" s="1"/>
  <c r="Y145" i="23"/>
  <c r="E145" i="23" s="1"/>
  <c r="Y160" i="23"/>
  <c r="E160" i="23" s="1"/>
  <c r="Y373" i="23"/>
  <c r="E373" i="23" s="1"/>
  <c r="Y60" i="23"/>
  <c r="E60" i="23" s="1"/>
  <c r="Y301" i="23"/>
  <c r="E301" i="23" s="1"/>
  <c r="Y188" i="23"/>
  <c r="E188" i="23" s="1"/>
  <c r="Y286" i="23"/>
  <c r="E286" i="23" s="1"/>
  <c r="Y268" i="23"/>
  <c r="E268" i="23" s="1"/>
  <c r="Y285" i="23"/>
  <c r="E285" i="23" s="1"/>
  <c r="Y176" i="23"/>
  <c r="E176" i="23" s="1"/>
  <c r="Y43" i="23"/>
  <c r="E43" i="23" s="1"/>
  <c r="Y398" i="23"/>
  <c r="E398" i="23" s="1"/>
  <c r="Y106" i="23"/>
  <c r="E106" i="23" s="1"/>
  <c r="Y66" i="23"/>
  <c r="E66" i="23" s="1"/>
  <c r="Y74" i="23"/>
  <c r="E74" i="23" s="1"/>
  <c r="Y327" i="23"/>
  <c r="E327" i="23" s="1"/>
  <c r="Y242" i="23"/>
  <c r="E242" i="23" s="1"/>
  <c r="Y296" i="23"/>
  <c r="E296" i="23" s="1"/>
  <c r="Y399" i="23"/>
  <c r="E399" i="23" s="1"/>
  <c r="Y140" i="23"/>
  <c r="E140" i="23" s="1"/>
  <c r="Y199" i="23"/>
  <c r="E199" i="23" s="1"/>
  <c r="Y64" i="23"/>
  <c r="E64" i="23" s="1"/>
  <c r="Y341" i="23"/>
  <c r="E341" i="23" s="1"/>
  <c r="Y77" i="23"/>
  <c r="E77" i="23" s="1"/>
  <c r="Y349" i="23"/>
  <c r="E349" i="23" s="1"/>
  <c r="Y265" i="23"/>
  <c r="E265" i="23" s="1"/>
  <c r="Y360" i="23"/>
  <c r="E360" i="23" s="1"/>
  <c r="Y72" i="23"/>
  <c r="E72" i="23" s="1"/>
  <c r="Y191" i="23"/>
  <c r="E191" i="23" s="1"/>
  <c r="Y239" i="23"/>
  <c r="E239" i="23" s="1"/>
  <c r="Y164" i="23"/>
  <c r="E164" i="23" s="1"/>
  <c r="Y259" i="23"/>
  <c r="E259" i="23" s="1"/>
  <c r="Y294" i="23"/>
  <c r="E294" i="23" s="1"/>
  <c r="Y280" i="23"/>
  <c r="E280" i="23" s="1"/>
  <c r="Y287" i="23"/>
  <c r="E287" i="23" s="1"/>
  <c r="Y222" i="23"/>
  <c r="E222" i="23" s="1"/>
  <c r="Y67" i="23"/>
  <c r="E67" i="23" s="1"/>
  <c r="Y214" i="23"/>
  <c r="E214" i="23" s="1"/>
  <c r="Y396" i="23"/>
  <c r="E396" i="23" s="1"/>
  <c r="Y328" i="23"/>
  <c r="E328" i="23" s="1"/>
  <c r="Y141" i="23"/>
  <c r="E141" i="23" s="1"/>
  <c r="Y387" i="23"/>
  <c r="E387" i="23" s="1"/>
  <c r="Y343" i="23"/>
  <c r="E343" i="23" s="1"/>
  <c r="Y236" i="23"/>
  <c r="E236" i="23" s="1"/>
  <c r="Y246" i="23"/>
  <c r="E246" i="23" s="1"/>
  <c r="Y330" i="23"/>
  <c r="E330" i="23" s="1"/>
  <c r="Y197" i="23"/>
  <c r="E197" i="23" s="1"/>
  <c r="Y42" i="23"/>
  <c r="E42" i="23" s="1"/>
  <c r="Y383" i="23"/>
  <c r="E383" i="23" s="1"/>
  <c r="Y154" i="23"/>
  <c r="E154" i="23" s="1"/>
  <c r="Y258" i="23"/>
  <c r="E258" i="23" s="1"/>
  <c r="Y83" i="23"/>
  <c r="E83" i="23" s="1"/>
  <c r="Y58" i="23"/>
  <c r="E58" i="23" s="1"/>
  <c r="Y257" i="23"/>
  <c r="E257" i="23" s="1"/>
  <c r="Y110" i="23"/>
  <c r="E110" i="23" s="1"/>
  <c r="Y158" i="23"/>
  <c r="E158" i="23" s="1"/>
  <c r="Y144" i="23"/>
  <c r="E144" i="23" s="1"/>
  <c r="Y238" i="23"/>
  <c r="E238" i="23" s="1"/>
  <c r="Y117" i="23"/>
  <c r="E117" i="23" s="1"/>
  <c r="Y336" i="23"/>
  <c r="E336" i="23" s="1"/>
  <c r="Y129" i="23"/>
  <c r="E129" i="23" s="1"/>
  <c r="Y229" i="23"/>
  <c r="E229" i="23" s="1"/>
  <c r="Y228" i="23"/>
  <c r="E228" i="23" s="1"/>
  <c r="Y44" i="23"/>
  <c r="E44" i="23" s="1"/>
  <c r="Y99" i="23"/>
  <c r="E99" i="23" s="1"/>
  <c r="Y68" i="23"/>
  <c r="E68" i="23" s="1"/>
  <c r="Y196" i="23"/>
  <c r="E196" i="23" s="1"/>
  <c r="Y297" i="23"/>
  <c r="E297" i="23" s="1"/>
  <c r="Y302" i="23"/>
  <c r="E302" i="23" s="1"/>
  <c r="Y187" i="23"/>
  <c r="E187" i="23" s="1"/>
  <c r="Y71" i="23"/>
  <c r="E71" i="23" s="1"/>
  <c r="Y269" i="23"/>
  <c r="E269" i="23" s="1"/>
  <c r="Y359" i="23"/>
  <c r="E359" i="23" s="1"/>
  <c r="Y162" i="23"/>
  <c r="E162" i="23" s="1"/>
  <c r="Y172" i="23"/>
  <c r="E172" i="23" s="1"/>
  <c r="Y192" i="23"/>
  <c r="E192" i="23" s="1"/>
  <c r="Y390" i="23"/>
  <c r="E390" i="23" s="1"/>
  <c r="Y356" i="23"/>
  <c r="E356" i="23" s="1"/>
  <c r="Y53" i="23"/>
  <c r="E53" i="23" s="1"/>
  <c r="Y186" i="23"/>
  <c r="E186" i="23" s="1"/>
  <c r="Y115" i="23"/>
  <c r="E115" i="23" s="1"/>
  <c r="Y312" i="23"/>
  <c r="E312" i="23" s="1"/>
  <c r="Y107" i="23"/>
  <c r="E107" i="23" s="1"/>
  <c r="Y230" i="23"/>
  <c r="E230" i="23" s="1"/>
  <c r="Y52" i="23"/>
  <c r="E52" i="23" s="1"/>
  <c r="Y232" i="23"/>
  <c r="E232" i="23" s="1"/>
  <c r="Y263" i="23"/>
  <c r="E263" i="23" s="1"/>
  <c r="Y173" i="23"/>
  <c r="E173" i="23" s="1"/>
  <c r="Y80" i="23"/>
  <c r="E80" i="23" s="1"/>
  <c r="Y241" i="23"/>
  <c r="E241" i="23" s="1"/>
  <c r="Y55" i="23"/>
  <c r="E55" i="23" s="1"/>
  <c r="Y363" i="23"/>
  <c r="E363" i="23" s="1"/>
  <c r="Y90" i="23"/>
  <c r="E90" i="23" s="1"/>
  <c r="Y225" i="23"/>
  <c r="E225" i="23" s="1"/>
  <c r="Y271" i="23"/>
  <c r="E271" i="23" s="1"/>
  <c r="Y262" i="23"/>
  <c r="E262" i="23" s="1"/>
  <c r="Y303" i="23"/>
  <c r="E303" i="23" s="1"/>
  <c r="Y150" i="23"/>
  <c r="E150" i="23" s="1"/>
  <c r="Y202" i="23"/>
  <c r="E202" i="23" s="1"/>
  <c r="Y339" i="23"/>
  <c r="E339" i="23" s="1"/>
  <c r="Y304" i="23"/>
  <c r="E304" i="23" s="1"/>
  <c r="Y46" i="23"/>
  <c r="E46" i="23" s="1"/>
  <c r="Y235" i="23"/>
  <c r="E235" i="23" s="1"/>
  <c r="Y168" i="23"/>
  <c r="E168" i="23" s="1"/>
  <c r="Y231" i="23"/>
  <c r="E231" i="23" s="1"/>
  <c r="Y342" i="23"/>
  <c r="E342" i="23" s="1"/>
  <c r="Y318" i="23"/>
  <c r="E318" i="23" s="1"/>
  <c r="Y378" i="23"/>
  <c r="E378" i="23" s="1"/>
  <c r="Y183" i="23"/>
  <c r="E183" i="23" s="1"/>
  <c r="Y273" i="23"/>
  <c r="E273" i="23" s="1"/>
  <c r="Y142" i="23"/>
  <c r="E142" i="23" s="1"/>
  <c r="Y104" i="23"/>
  <c r="E104" i="23" s="1"/>
  <c r="Y82" i="23"/>
  <c r="E82" i="23" s="1"/>
  <c r="Y57" i="23"/>
  <c r="E57" i="23" s="1"/>
  <c r="Y175" i="23"/>
  <c r="E175" i="23" s="1"/>
  <c r="Y237" i="23"/>
  <c r="E237" i="23" s="1"/>
  <c r="Y347" i="23"/>
  <c r="E347" i="23" s="1"/>
  <c r="Y194" i="23"/>
  <c r="E194" i="23" s="1"/>
  <c r="Y122" i="23"/>
  <c r="E122" i="23" s="1"/>
  <c r="Y217" i="23"/>
  <c r="E217" i="23" s="1"/>
  <c r="Y54" i="23"/>
  <c r="E54" i="23" s="1"/>
  <c r="Y126" i="23"/>
  <c r="E126" i="23" s="1"/>
  <c r="Y247" i="23"/>
  <c r="E247" i="23" s="1"/>
  <c r="Y70" i="23"/>
  <c r="E70" i="23" s="1"/>
  <c r="Y346" i="23"/>
  <c r="E346" i="23" s="1"/>
  <c r="Y166" i="23"/>
  <c r="E166" i="23" s="1"/>
  <c r="Y244" i="23"/>
  <c r="E244" i="23" s="1"/>
  <c r="Y153" i="23"/>
  <c r="E153" i="23" s="1"/>
  <c r="Y147" i="23"/>
  <c r="E147" i="23" s="1"/>
  <c r="Y279" i="23"/>
  <c r="E279" i="23" s="1"/>
  <c r="Y216" i="23"/>
  <c r="E216" i="23" s="1"/>
  <c r="Y51" i="23"/>
  <c r="E51" i="23" s="1"/>
  <c r="Y370" i="23"/>
  <c r="E370" i="23" s="1"/>
  <c r="Y128" i="23"/>
  <c r="E128" i="23" s="1"/>
  <c r="Y200" i="23"/>
  <c r="E200" i="23" s="1"/>
  <c r="Y148" i="23"/>
  <c r="E148" i="23" s="1"/>
  <c r="Y213" i="23"/>
  <c r="E213" i="23" s="1"/>
  <c r="Y289" i="23"/>
  <c r="E289" i="23" s="1"/>
  <c r="Y305" i="23"/>
  <c r="E305" i="23" s="1"/>
  <c r="Y210" i="23"/>
  <c r="E210" i="23" s="1"/>
  <c r="Y381" i="23"/>
  <c r="E381" i="23" s="1"/>
  <c r="Y298" i="23"/>
  <c r="E298" i="23" s="1"/>
  <c r="Y91" i="23"/>
  <c r="E91" i="23" s="1"/>
  <c r="Y185" i="23"/>
  <c r="E185" i="23" s="1"/>
  <c r="Y146" i="23"/>
  <c r="E146" i="23" s="1"/>
  <c r="Y335" i="23"/>
  <c r="E335" i="23" s="1"/>
  <c r="Y316" i="23"/>
  <c r="E316" i="23" s="1"/>
  <c r="Y65" i="23"/>
  <c r="E65" i="23" s="1"/>
  <c r="Y374" i="23"/>
  <c r="E374" i="23" s="1"/>
  <c r="Y111" i="23"/>
  <c r="E111" i="23" s="1"/>
  <c r="Y159" i="23"/>
  <c r="E159" i="23" s="1"/>
  <c r="Y163" i="23"/>
  <c r="E163" i="23" s="1"/>
  <c r="Y63" i="23"/>
  <c r="E63" i="23" s="1"/>
  <c r="Y212" i="23"/>
  <c r="E212" i="23" s="1"/>
  <c r="Y132" i="23"/>
  <c r="E132" i="23" s="1"/>
  <c r="Y100" i="23"/>
  <c r="E100" i="23" s="1"/>
  <c r="Y266" i="23"/>
  <c r="E266" i="23" s="1"/>
  <c r="Y369" i="23"/>
  <c r="E369" i="23" s="1"/>
  <c r="Y293" i="23"/>
  <c r="E293" i="23" s="1"/>
  <c r="Y313" i="23"/>
  <c r="E313" i="23" s="1"/>
  <c r="Y382" i="23"/>
  <c r="E382" i="23" s="1"/>
  <c r="Y156" i="23"/>
  <c r="E156" i="23" s="1"/>
  <c r="Y358" i="23"/>
  <c r="E358" i="23" s="1"/>
  <c r="Y223" i="23"/>
  <c r="E223" i="23" s="1"/>
  <c r="Y379" i="23"/>
  <c r="E379" i="23" s="1"/>
  <c r="Y86" i="23"/>
  <c r="E86" i="23" s="1"/>
  <c r="Y348" i="23"/>
  <c r="E348" i="23" s="1"/>
  <c r="Y47" i="23"/>
  <c r="E47" i="23" s="1"/>
  <c r="Y92" i="23"/>
  <c r="E92" i="23" s="1"/>
  <c r="Y400" i="23"/>
  <c r="E400" i="23" s="1"/>
  <c r="Y317" i="23"/>
  <c r="E317" i="23" s="1"/>
  <c r="Y105" i="23"/>
  <c r="E105" i="23" s="1"/>
  <c r="Y96" i="23"/>
  <c r="E96" i="23" s="1"/>
  <c r="Y169" i="23"/>
  <c r="E169" i="23" s="1"/>
  <c r="Y278" i="23"/>
  <c r="E278" i="23" s="1"/>
  <c r="Y284" i="23"/>
  <c r="E284" i="23" s="1"/>
  <c r="Y384" i="23"/>
  <c r="E384" i="23" s="1"/>
  <c r="Y193" i="23"/>
  <c r="E193" i="23" s="1"/>
  <c r="Y121" i="23"/>
  <c r="E121" i="23" s="1"/>
  <c r="Y79" i="23"/>
  <c r="E79" i="23" s="1"/>
  <c r="Y275" i="23"/>
  <c r="E275" i="23" s="1"/>
  <c r="Y93" i="23"/>
  <c r="E93" i="23" s="1"/>
  <c r="Y85" i="23"/>
  <c r="E85" i="23" s="1"/>
  <c r="Y324" i="23"/>
  <c r="E324" i="23" s="1"/>
  <c r="Y394" i="23"/>
  <c r="E394" i="23" s="1"/>
  <c r="Y299" i="23"/>
  <c r="E299" i="23" s="1"/>
  <c r="Y95" i="23"/>
  <c r="E95" i="23" s="1"/>
  <c r="Y372" i="23"/>
  <c r="E372" i="23" s="1"/>
  <c r="Y306" i="23"/>
  <c r="E306" i="23" s="1"/>
  <c r="Y288" i="23"/>
  <c r="E288" i="23" s="1"/>
  <c r="Y56" i="23"/>
  <c r="E56" i="23" s="1"/>
  <c r="Y143" i="23"/>
  <c r="E143" i="23" s="1"/>
  <c r="Y195" i="23"/>
  <c r="E195" i="23" s="1"/>
  <c r="Y282" i="23"/>
  <c r="E282" i="23" s="1"/>
  <c r="Y371" i="23"/>
  <c r="E371" i="23" s="1"/>
  <c r="Y367" i="23"/>
  <c r="E367" i="23" s="1"/>
  <c r="Y251" i="23"/>
  <c r="E251" i="23" s="1"/>
  <c r="Y333" i="23"/>
  <c r="E333" i="23" s="1"/>
  <c r="Y397" i="23"/>
  <c r="E397" i="23" s="1"/>
  <c r="Y45" i="23"/>
  <c r="E45" i="23" s="1"/>
  <c r="Y323" i="23"/>
  <c r="E323" i="23" s="1"/>
  <c r="Y300" i="23"/>
  <c r="E300" i="23" s="1"/>
  <c r="Y361" i="23"/>
  <c r="E361" i="23" s="1"/>
  <c r="Y69" i="23"/>
  <c r="E69" i="23" s="1"/>
  <c r="Y131" i="23"/>
  <c r="E131" i="23" s="1"/>
  <c r="Y87" i="23"/>
  <c r="E87" i="23" s="1"/>
  <c r="Y320" i="23"/>
  <c r="E320" i="23" s="1"/>
  <c r="Y272" i="23"/>
  <c r="E272" i="23" s="1"/>
  <c r="Y270" i="23"/>
  <c r="E270" i="23" s="1"/>
  <c r="Y137" i="23"/>
  <c r="E137" i="23" s="1"/>
  <c r="Y174" i="23"/>
  <c r="E174" i="23" s="1"/>
  <c r="Y385" i="23"/>
  <c r="E385" i="23" s="1"/>
  <c r="Y61" i="23"/>
  <c r="E61" i="23" s="1"/>
  <c r="Y248" i="23"/>
  <c r="E248" i="23" s="1"/>
  <c r="Y149" i="23"/>
  <c r="E149" i="23" s="1"/>
  <c r="Y41" i="23"/>
  <c r="E41" i="23" s="1"/>
  <c r="Y233" i="23"/>
  <c r="E233" i="23" s="1"/>
  <c r="Y307" i="23"/>
  <c r="E307" i="23" s="1"/>
  <c r="Y250" i="23"/>
  <c r="E250" i="23" s="1"/>
  <c r="Y325" i="23"/>
  <c r="E325" i="23" s="1"/>
  <c r="Y308" i="23"/>
  <c r="E308" i="23" s="1"/>
  <c r="Y368" i="23"/>
  <c r="E368" i="23" s="1"/>
  <c r="Y355" i="23"/>
  <c r="E355" i="23" s="1"/>
  <c r="Y314" i="23"/>
  <c r="E314" i="23" s="1"/>
  <c r="Y264" i="23"/>
  <c r="E264" i="23" s="1"/>
  <c r="Y329" i="23"/>
  <c r="E329" i="23" s="1"/>
  <c r="Y130" i="23"/>
  <c r="E130" i="23" s="1"/>
  <c r="Y108" i="23"/>
  <c r="E108" i="23" s="1"/>
  <c r="Y291" i="23"/>
  <c r="E291" i="23" s="1"/>
  <c r="Y365" i="23"/>
  <c r="E365" i="23" s="1"/>
  <c r="Y256" i="23"/>
  <c r="E256" i="23" s="1"/>
  <c r="Y249" i="23"/>
  <c r="E249" i="23" s="1"/>
  <c r="Y260" i="23"/>
  <c r="E260" i="23" s="1"/>
  <c r="Y377" i="23"/>
  <c r="E377" i="23" s="1"/>
  <c r="Y392" i="23"/>
  <c r="E392" i="23" s="1"/>
  <c r="Y326" i="23"/>
  <c r="E326" i="23" s="1"/>
  <c r="Y245" i="23"/>
  <c r="E245" i="23" s="1"/>
  <c r="Y135" i="23"/>
  <c r="E135" i="23" s="1"/>
  <c r="Y393" i="23"/>
  <c r="E393" i="23" s="1"/>
  <c r="Y215" i="23"/>
  <c r="E215" i="23" s="1"/>
  <c r="Y362" i="23"/>
  <c r="E362" i="23" s="1"/>
  <c r="Y124" i="23"/>
  <c r="E124" i="23" s="1"/>
  <c r="Y208" i="23"/>
  <c r="E208" i="23" s="1"/>
  <c r="Y322" i="23"/>
  <c r="E322" i="23" s="1"/>
  <c r="Y139" i="23"/>
  <c r="E139" i="23" s="1"/>
  <c r="Y84" i="23"/>
  <c r="E84" i="23" s="1"/>
  <c r="Y388" i="23"/>
  <c r="E388" i="23" s="1"/>
  <c r="Y171" i="23"/>
  <c r="E171" i="23" s="1"/>
  <c r="Y261" i="23"/>
  <c r="E261" i="23" s="1"/>
  <c r="Y103" i="23"/>
  <c r="E103" i="23" s="1"/>
  <c r="Y267" i="23"/>
  <c r="E267" i="23" s="1"/>
  <c r="Y206" i="23"/>
  <c r="E206" i="23" s="1"/>
  <c r="Y119" i="23"/>
  <c r="E119" i="23" s="1"/>
  <c r="Y354" i="23"/>
  <c r="E354" i="23" s="1"/>
  <c r="Y78" i="23"/>
  <c r="E78" i="23" s="1"/>
  <c r="Y344" i="23"/>
  <c r="E344" i="23" s="1"/>
  <c r="Y331" i="23"/>
  <c r="E331" i="23" s="1"/>
  <c r="Y134" i="23"/>
  <c r="E134" i="23" s="1"/>
  <c r="Y155" i="23"/>
  <c r="E155" i="23" s="1"/>
  <c r="Y290" i="23"/>
  <c r="E290" i="23" s="1"/>
  <c r="Y254" i="23"/>
  <c r="E254" i="23" s="1"/>
  <c r="Y170" i="23"/>
  <c r="E170" i="23" s="1"/>
  <c r="Y240" i="23"/>
  <c r="E240" i="23" s="1"/>
  <c r="Y310" i="23"/>
  <c r="E310" i="23" s="1"/>
  <c r="Y190" i="23"/>
  <c r="E190" i="23" s="1"/>
  <c r="Y315" i="23"/>
  <c r="E315" i="23" s="1"/>
  <c r="Y116" i="23"/>
  <c r="E116" i="23" s="1"/>
  <c r="Y189" i="23"/>
  <c r="E189" i="23" s="1"/>
  <c r="Y59" i="23"/>
  <c r="E59" i="23" s="1"/>
  <c r="Y177" i="23"/>
  <c r="E177" i="23" s="1"/>
  <c r="Y351" i="23"/>
  <c r="E351" i="23" s="1"/>
  <c r="Y311" i="23"/>
  <c r="E311" i="23" s="1"/>
  <c r="Y334" i="23"/>
  <c r="E334" i="23" s="1"/>
  <c r="Y253" i="23"/>
  <c r="E253" i="23" s="1"/>
  <c r="Y201" i="23"/>
  <c r="E201" i="23" s="1"/>
  <c r="Y97" i="23"/>
  <c r="E97" i="23" s="1"/>
  <c r="Y350" i="23"/>
  <c r="E350" i="23" s="1"/>
  <c r="Y218" i="23"/>
  <c r="E218" i="23" s="1"/>
  <c r="Y207" i="23"/>
  <c r="E207" i="23" s="1"/>
  <c r="Y182" i="23"/>
  <c r="E182" i="23" s="1"/>
  <c r="Y180" i="23"/>
  <c r="E180" i="23" s="1"/>
  <c r="Y319" i="23"/>
  <c r="E319" i="23" s="1"/>
  <c r="H319" i="23" s="1"/>
  <c r="Y205" i="23"/>
  <c r="E205" i="23" s="1"/>
  <c r="Y198" i="23"/>
  <c r="E198" i="23" s="1"/>
  <c r="Y340" i="23"/>
  <c r="E340" i="23" s="1"/>
  <c r="Y391" i="23"/>
  <c r="E391" i="23" s="1"/>
  <c r="Y161" i="23"/>
  <c r="E161" i="23" s="1"/>
  <c r="Y353" i="23"/>
  <c r="E353" i="23" s="1"/>
  <c r="Y39" i="23"/>
  <c r="E39" i="23" s="1"/>
  <c r="Y295" i="23"/>
  <c r="E295" i="23" s="1"/>
  <c r="Y221" i="23"/>
  <c r="E221" i="23" s="1"/>
  <c r="Y165" i="23"/>
  <c r="E165" i="23" s="1"/>
  <c r="Y101" i="23"/>
  <c r="E101" i="23" s="1"/>
  <c r="Y118" i="23"/>
  <c r="E118" i="23" s="1"/>
  <c r="Y386" i="23"/>
  <c r="E386" i="23" s="1"/>
  <c r="Y203" i="23"/>
  <c r="E203" i="23" s="1"/>
  <c r="Y133" i="23"/>
  <c r="E133" i="23" s="1"/>
  <c r="Y211" i="23"/>
  <c r="E211" i="23" s="1"/>
  <c r="Y94" i="23"/>
  <c r="E94" i="23" s="1"/>
  <c r="Y338" i="23"/>
  <c r="E338" i="23" s="1"/>
  <c r="Y274" i="23"/>
  <c r="E274" i="23" s="1"/>
  <c r="Y352" i="23"/>
  <c r="E352" i="23" s="1"/>
  <c r="Y98" i="23"/>
  <c r="E98" i="23" s="1"/>
  <c r="Y332" i="23"/>
  <c r="E332" i="23" s="1"/>
  <c r="Y395" i="23"/>
  <c r="E395" i="23" s="1"/>
  <c r="Y73" i="23"/>
  <c r="E73" i="23" s="1"/>
  <c r="Y50" i="23"/>
  <c r="E50" i="23" s="1"/>
  <c r="Y277" i="23"/>
  <c r="E277" i="23" s="1"/>
  <c r="Y389" i="23"/>
  <c r="E389" i="23" s="1"/>
  <c r="Y75" i="23"/>
  <c r="E75" i="23" s="1"/>
  <c r="Y88" i="23"/>
  <c r="E88" i="23" s="1"/>
  <c r="Y113" i="23"/>
  <c r="E113" i="23" s="1"/>
  <c r="Y255" i="23"/>
  <c r="E255" i="23" s="1"/>
  <c r="Y102" i="23"/>
  <c r="E102" i="23" s="1"/>
  <c r="Y48" i="23"/>
  <c r="E48" i="23" s="1"/>
  <c r="Y49" i="23"/>
  <c r="E49" i="23" s="1"/>
  <c r="Y281" i="23"/>
  <c r="E281" i="23" s="1"/>
  <c r="Y234" i="23"/>
  <c r="E234" i="23" s="1"/>
  <c r="Y375" i="23"/>
  <c r="E375" i="23" s="1"/>
  <c r="Y123" i="23"/>
  <c r="E123" i="23" s="1"/>
  <c r="Y209" i="23"/>
  <c r="E209" i="23" s="1"/>
  <c r="Y112" i="23"/>
  <c r="E112" i="23" s="1"/>
  <c r="Y276" i="23"/>
  <c r="E276" i="23" s="1"/>
  <c r="Y252" i="23"/>
  <c r="E252" i="23" s="1"/>
  <c r="Y364" i="23"/>
  <c r="E364" i="23" s="1"/>
  <c r="Y136" i="23"/>
  <c r="E136" i="23" s="1"/>
  <c r="Y292" i="23"/>
  <c r="E292" i="23" s="1"/>
  <c r="Y109" i="23"/>
  <c r="E109" i="23" s="1"/>
  <c r="Y337" i="23"/>
  <c r="E337" i="23" s="1"/>
  <c r="Y125" i="23"/>
  <c r="E125" i="23" s="1"/>
  <c r="Y76" i="23"/>
  <c r="E76" i="23" s="1"/>
  <c r="Y204" i="23"/>
  <c r="E204" i="23" s="1"/>
  <c r="Y243" i="23"/>
  <c r="E243" i="23" s="1"/>
  <c r="Y40" i="23"/>
  <c r="E40" i="23" s="1"/>
  <c r="Y62" i="23"/>
  <c r="E62" i="23" s="1"/>
  <c r="Y179" i="23"/>
  <c r="E179" i="23" s="1"/>
  <c r="Y120" i="23"/>
  <c r="E120" i="23" s="1"/>
  <c r="Y226" i="23"/>
  <c r="E226" i="23" s="1"/>
  <c r="Y376" i="23"/>
  <c r="E376" i="23" s="1"/>
  <c r="Y89" i="23"/>
  <c r="E89" i="23" s="1"/>
  <c r="Y345" i="23"/>
  <c r="E345" i="23" s="1"/>
  <c r="Y366" i="23"/>
  <c r="E366" i="23" s="1"/>
  <c r="Y114" i="23"/>
  <c r="E114" i="23" s="1"/>
  <c r="Y127" i="23"/>
  <c r="E127" i="23" s="1"/>
  <c r="Y184" i="23"/>
  <c r="E184" i="23" s="1"/>
  <c r="Y380" i="23"/>
  <c r="E380" i="23" s="1"/>
  <c r="Y81" i="23"/>
  <c r="E81" i="23" s="1"/>
  <c r="Y309" i="23"/>
  <c r="E309" i="23" s="1"/>
  <c r="Y357" i="23"/>
  <c r="E357" i="23" s="1"/>
  <c r="Y283" i="23"/>
  <c r="E283" i="23" s="1"/>
  <c r="Y236" i="29"/>
  <c r="E236" i="29" s="1"/>
  <c r="Y212" i="29"/>
  <c r="E212" i="29" s="1"/>
  <c r="Y353" i="29"/>
  <c r="E353" i="29" s="1"/>
  <c r="Y84" i="29"/>
  <c r="E84" i="29" s="1"/>
  <c r="Y121" i="29"/>
  <c r="E121" i="29" s="1"/>
  <c r="Y255" i="29"/>
  <c r="E255" i="29" s="1"/>
  <c r="Y172" i="29"/>
  <c r="E172" i="29" s="1"/>
  <c r="Y292" i="29"/>
  <c r="E292" i="29" s="1"/>
  <c r="Y174" i="29"/>
  <c r="E174" i="29" s="1"/>
  <c r="Y39" i="29"/>
  <c r="E39" i="29" s="1"/>
  <c r="Y320" i="29"/>
  <c r="E320" i="29" s="1"/>
  <c r="Y103" i="29"/>
  <c r="E103" i="29" s="1"/>
  <c r="Y168" i="29"/>
  <c r="E168" i="29" s="1"/>
  <c r="Y241" i="29"/>
  <c r="E241" i="29" s="1"/>
  <c r="Y181" i="29"/>
  <c r="E181" i="29" s="1"/>
  <c r="Y96" i="29"/>
  <c r="E96" i="29" s="1"/>
  <c r="Y153" i="29"/>
  <c r="E153" i="29" s="1"/>
  <c r="Y355" i="29"/>
  <c r="E355" i="29" s="1"/>
  <c r="Y147" i="29"/>
  <c r="E147" i="29" s="1"/>
  <c r="Y307" i="29"/>
  <c r="E307" i="29" s="1"/>
  <c r="Y227" i="29"/>
  <c r="E227" i="29" s="1"/>
  <c r="Y113" i="29"/>
  <c r="E113" i="29" s="1"/>
  <c r="Y298" i="29"/>
  <c r="E298" i="29" s="1"/>
  <c r="Y118" i="29"/>
  <c r="E118" i="29" s="1"/>
  <c r="Y56" i="29"/>
  <c r="E56" i="29" s="1"/>
  <c r="Y114" i="29"/>
  <c r="E114" i="29" s="1"/>
  <c r="Y268" i="29"/>
  <c r="E268" i="29" s="1"/>
  <c r="Y171" i="29"/>
  <c r="E171" i="29" s="1"/>
  <c r="Y271" i="29"/>
  <c r="E271" i="29" s="1"/>
  <c r="Y182" i="29"/>
  <c r="E182" i="29" s="1"/>
  <c r="Y128" i="29"/>
  <c r="E128" i="29" s="1"/>
  <c r="Y257" i="29"/>
  <c r="E257" i="29" s="1"/>
  <c r="Y247" i="29"/>
  <c r="E247" i="29" s="1"/>
  <c r="Y267" i="29"/>
  <c r="E267" i="29" s="1"/>
  <c r="Y82" i="29"/>
  <c r="E82" i="29" s="1"/>
  <c r="Y45" i="29"/>
  <c r="E45" i="29" s="1"/>
  <c r="Y77" i="29"/>
  <c r="E77" i="29" s="1"/>
  <c r="Y250" i="29"/>
  <c r="E250" i="29" s="1"/>
  <c r="Y166" i="29"/>
  <c r="E166" i="29" s="1"/>
  <c r="Y260" i="29"/>
  <c r="E260" i="29" s="1"/>
  <c r="Y275" i="29"/>
  <c r="E275" i="29" s="1"/>
  <c r="Y178" i="29"/>
  <c r="E178" i="29" s="1"/>
  <c r="Y215" i="29"/>
  <c r="E215" i="29" s="1"/>
  <c r="Y66" i="29"/>
  <c r="E66" i="29" s="1"/>
  <c r="Y368" i="29"/>
  <c r="E368" i="29" s="1"/>
  <c r="Y43" i="29"/>
  <c r="E43" i="29" s="1"/>
  <c r="Y399" i="29"/>
  <c r="E399" i="29" s="1"/>
  <c r="Y299" i="29"/>
  <c r="E299" i="29" s="1"/>
  <c r="Y385" i="29"/>
  <c r="E385" i="29" s="1"/>
  <c r="Y42" i="29"/>
  <c r="E42" i="29" s="1"/>
  <c r="Y216" i="29"/>
  <c r="E216" i="29" s="1"/>
  <c r="Y289" i="29"/>
  <c r="E289" i="29" s="1"/>
  <c r="Y245" i="29"/>
  <c r="E245" i="29" s="1"/>
  <c r="Y240" i="29"/>
  <c r="E240" i="29" s="1"/>
  <c r="Y110" i="29"/>
  <c r="E110" i="29" s="1"/>
  <c r="Y169" i="29"/>
  <c r="E169" i="29" s="1"/>
  <c r="Y246" i="29"/>
  <c r="E246" i="29" s="1"/>
  <c r="Y367" i="29"/>
  <c r="E367" i="29" s="1"/>
  <c r="Y112" i="29"/>
  <c r="E112" i="29" s="1"/>
  <c r="Y46" i="29"/>
  <c r="E46" i="29" s="1"/>
  <c r="Y389" i="29"/>
  <c r="E389" i="29" s="1"/>
  <c r="Y184" i="29"/>
  <c r="E184" i="29" s="1"/>
  <c r="Y132" i="29"/>
  <c r="E132" i="29" s="1"/>
  <c r="Y373" i="29"/>
  <c r="E373" i="29" s="1"/>
  <c r="Y74" i="29"/>
  <c r="E74" i="29" s="1"/>
  <c r="Y316" i="29"/>
  <c r="E316" i="29" s="1"/>
  <c r="Y161" i="29"/>
  <c r="E161" i="29" s="1"/>
  <c r="Y361" i="29"/>
  <c r="E361" i="29" s="1"/>
  <c r="Y119" i="29"/>
  <c r="E119" i="29" s="1"/>
  <c r="Y238" i="29"/>
  <c r="E238" i="29" s="1"/>
  <c r="Y242" i="29"/>
  <c r="E242" i="29" s="1"/>
  <c r="Y314" i="29"/>
  <c r="E314" i="29" s="1"/>
  <c r="Y371" i="29"/>
  <c r="E371" i="29" s="1"/>
  <c r="Y232" i="29"/>
  <c r="E232" i="29" s="1"/>
  <c r="Y148" i="29"/>
  <c r="E148" i="29" s="1"/>
  <c r="Y98" i="29"/>
  <c r="E98" i="29" s="1"/>
  <c r="Y218" i="29"/>
  <c r="E218" i="29" s="1"/>
  <c r="Y288" i="29"/>
  <c r="E288" i="29" s="1"/>
  <c r="Y318" i="29"/>
  <c r="E318" i="29" s="1"/>
  <c r="Y377" i="29"/>
  <c r="E377" i="29" s="1"/>
  <c r="Y327" i="29"/>
  <c r="E327" i="29" s="1"/>
  <c r="Y151" i="29"/>
  <c r="E151" i="29" s="1"/>
  <c r="Y382" i="29"/>
  <c r="E382" i="29" s="1"/>
  <c r="Y41" i="29"/>
  <c r="E41" i="29" s="1"/>
  <c r="Y279" i="29"/>
  <c r="E279" i="29" s="1"/>
  <c r="Y149" i="29"/>
  <c r="E149" i="29" s="1"/>
  <c r="Y80" i="29"/>
  <c r="E80" i="29" s="1"/>
  <c r="Y324" i="29"/>
  <c r="E324" i="29" s="1"/>
  <c r="Y183" i="29"/>
  <c r="E183" i="29" s="1"/>
  <c r="Y337" i="29"/>
  <c r="E337" i="29" s="1"/>
  <c r="Y256" i="29"/>
  <c r="E256" i="29" s="1"/>
  <c r="Y400" i="29"/>
  <c r="E400" i="29" s="1"/>
  <c r="Y131" i="29"/>
  <c r="E131" i="29" s="1"/>
  <c r="Y49" i="29"/>
  <c r="E49" i="29" s="1"/>
  <c r="Y297" i="29"/>
  <c r="E297" i="29" s="1"/>
  <c r="Y283" i="29"/>
  <c r="E283" i="29" s="1"/>
  <c r="Y75" i="29"/>
  <c r="E75" i="29" s="1"/>
  <c r="Y244" i="29"/>
  <c r="E244" i="29" s="1"/>
  <c r="Y129" i="29"/>
  <c r="E129" i="29" s="1"/>
  <c r="Y387" i="29"/>
  <c r="E387" i="29" s="1"/>
  <c r="Y341" i="29"/>
  <c r="E341" i="29" s="1"/>
  <c r="Y221" i="29"/>
  <c r="E221" i="29" s="1"/>
  <c r="Y281" i="29"/>
  <c r="E281" i="29" s="1"/>
  <c r="Y334" i="29"/>
  <c r="E334" i="29" s="1"/>
  <c r="Y317" i="29"/>
  <c r="E317" i="29" s="1"/>
  <c r="Y104" i="29"/>
  <c r="E104" i="29" s="1"/>
  <c r="Y108" i="29"/>
  <c r="E108" i="29" s="1"/>
  <c r="Y155" i="29"/>
  <c r="E155" i="29" s="1"/>
  <c r="Y225" i="29"/>
  <c r="E225" i="29" s="1"/>
  <c r="Y360" i="29"/>
  <c r="E360" i="29" s="1"/>
  <c r="Y90" i="29"/>
  <c r="E90" i="29" s="1"/>
  <c r="Y386" i="29"/>
  <c r="E386" i="29" s="1"/>
  <c r="Y93" i="29"/>
  <c r="E93" i="29" s="1"/>
  <c r="Y89" i="29"/>
  <c r="E89" i="29" s="1"/>
  <c r="Y102" i="29"/>
  <c r="E102" i="29" s="1"/>
  <c r="Y94" i="29"/>
  <c r="E94" i="29" s="1"/>
  <c r="Y233" i="29"/>
  <c r="E233" i="29" s="1"/>
  <c r="Y273" i="29"/>
  <c r="E273" i="29" s="1"/>
  <c r="Y86" i="29"/>
  <c r="E86" i="29" s="1"/>
  <c r="Y160" i="29"/>
  <c r="E160" i="29" s="1"/>
  <c r="Y40" i="29"/>
  <c r="E40" i="29" s="1"/>
  <c r="Y356" i="29"/>
  <c r="E356" i="29" s="1"/>
  <c r="Y79" i="29"/>
  <c r="E79" i="29" s="1"/>
  <c r="Y384" i="29"/>
  <c r="E384" i="29" s="1"/>
  <c r="Y65" i="29"/>
  <c r="E65" i="29" s="1"/>
  <c r="Y322" i="29"/>
  <c r="E322" i="29" s="1"/>
  <c r="Y340" i="29"/>
  <c r="E340" i="29" s="1"/>
  <c r="Y204" i="29"/>
  <c r="E204" i="29" s="1"/>
  <c r="Y197" i="29"/>
  <c r="E197" i="29" s="1"/>
  <c r="Y133" i="29"/>
  <c r="E133" i="29" s="1"/>
  <c r="Y154" i="29"/>
  <c r="E154" i="29" s="1"/>
  <c r="Y394" i="29"/>
  <c r="E394" i="29" s="1"/>
  <c r="Y261" i="29"/>
  <c r="E261" i="29" s="1"/>
  <c r="Y99" i="29"/>
  <c r="E99" i="29" s="1"/>
  <c r="Y203" i="29"/>
  <c r="E203" i="29" s="1"/>
  <c r="Y378" i="29"/>
  <c r="E378" i="29" s="1"/>
  <c r="Y390" i="29"/>
  <c r="E390" i="29" s="1"/>
  <c r="Y95" i="29"/>
  <c r="E95" i="29" s="1"/>
  <c r="Y61" i="29"/>
  <c r="E61" i="29" s="1"/>
  <c r="Y333" i="29"/>
  <c r="E333" i="29" s="1"/>
  <c r="Y306" i="29"/>
  <c r="E306" i="29" s="1"/>
  <c r="Y226" i="29"/>
  <c r="E226" i="29" s="1"/>
  <c r="Y116" i="29"/>
  <c r="E116" i="29" s="1"/>
  <c r="Y52" i="29"/>
  <c r="E52" i="29" s="1"/>
  <c r="Y208" i="29"/>
  <c r="E208" i="29" s="1"/>
  <c r="Y164" i="29"/>
  <c r="E164" i="29" s="1"/>
  <c r="Y303" i="29"/>
  <c r="E303" i="29" s="1"/>
  <c r="Y209" i="29"/>
  <c r="E209" i="29" s="1"/>
  <c r="Y167" i="29"/>
  <c r="E167" i="29" s="1"/>
  <c r="Y339" i="29"/>
  <c r="E339" i="29" s="1"/>
  <c r="Y347" i="29"/>
  <c r="E347" i="29" s="1"/>
  <c r="Y222" i="29"/>
  <c r="E222" i="29" s="1"/>
  <c r="Y239" i="29"/>
  <c r="E239" i="29" s="1"/>
  <c r="Y109" i="29"/>
  <c r="E109" i="29" s="1"/>
  <c r="Y230" i="29"/>
  <c r="E230" i="29" s="1"/>
  <c r="Y343" i="29"/>
  <c r="E343" i="29" s="1"/>
  <c r="Y122" i="29"/>
  <c r="E122" i="29" s="1"/>
  <c r="Y72" i="29"/>
  <c r="E72" i="29" s="1"/>
  <c r="Y217" i="29"/>
  <c r="E217" i="29" s="1"/>
  <c r="Y125" i="29"/>
  <c r="E125" i="29" s="1"/>
  <c r="Y231" i="29"/>
  <c r="E231" i="29" s="1"/>
  <c r="Y195" i="29"/>
  <c r="E195" i="29" s="1"/>
  <c r="Y351" i="29"/>
  <c r="E351" i="29" s="1"/>
  <c r="Y177" i="29"/>
  <c r="E177" i="29" s="1"/>
  <c r="Y189" i="29"/>
  <c r="E189" i="29" s="1"/>
  <c r="Y263" i="29"/>
  <c r="E263" i="29" s="1"/>
  <c r="Y397" i="29"/>
  <c r="E397" i="29" s="1"/>
  <c r="Y191" i="29"/>
  <c r="E191" i="29" s="1"/>
  <c r="Y383" i="29"/>
  <c r="E383" i="29" s="1"/>
  <c r="Y47" i="29"/>
  <c r="E47" i="29" s="1"/>
  <c r="Y207" i="29"/>
  <c r="E207" i="29" s="1"/>
  <c r="Y173" i="29"/>
  <c r="E173" i="29" s="1"/>
  <c r="Y274" i="29"/>
  <c r="E274" i="29" s="1"/>
  <c r="Y67" i="29"/>
  <c r="E67" i="29" s="1"/>
  <c r="Y344" i="29"/>
  <c r="E344" i="29" s="1"/>
  <c r="Y278" i="29"/>
  <c r="E278" i="29" s="1"/>
  <c r="Y170" i="29"/>
  <c r="E170" i="29" s="1"/>
  <c r="Y64" i="29"/>
  <c r="E64" i="29" s="1"/>
  <c r="Y254" i="29"/>
  <c r="E254" i="29" s="1"/>
  <c r="Y186" i="29"/>
  <c r="E186" i="29" s="1"/>
  <c r="Y71" i="29"/>
  <c r="E71" i="29" s="1"/>
  <c r="Y364" i="29"/>
  <c r="E364" i="29" s="1"/>
  <c r="Y362" i="29"/>
  <c r="E362" i="29" s="1"/>
  <c r="Y366" i="29"/>
  <c r="E366" i="29" s="1"/>
  <c r="Y88" i="29"/>
  <c r="E88" i="29" s="1"/>
  <c r="Y180" i="29"/>
  <c r="E180" i="29" s="1"/>
  <c r="Y44" i="29"/>
  <c r="E44" i="29" s="1"/>
  <c r="Y300" i="29"/>
  <c r="E300" i="29" s="1"/>
  <c r="Y346" i="29"/>
  <c r="E346" i="29" s="1"/>
  <c r="Y370" i="29"/>
  <c r="E370" i="29" s="1"/>
  <c r="Y143" i="29"/>
  <c r="E143" i="29" s="1"/>
  <c r="Y145" i="29"/>
  <c r="E145" i="29" s="1"/>
  <c r="Y243" i="29"/>
  <c r="E243" i="29" s="1"/>
  <c r="Y284" i="29"/>
  <c r="E284" i="29" s="1"/>
  <c r="Y205" i="29"/>
  <c r="E205" i="29" s="1"/>
  <c r="Y158" i="29"/>
  <c r="E158" i="29" s="1"/>
  <c r="Y326" i="29"/>
  <c r="E326" i="29" s="1"/>
  <c r="Y302" i="29"/>
  <c r="E302" i="29" s="1"/>
  <c r="Y134" i="29"/>
  <c r="E134" i="29" s="1"/>
  <c r="Y301" i="29"/>
  <c r="E301" i="29" s="1"/>
  <c r="Y130" i="29"/>
  <c r="E130" i="29" s="1"/>
  <c r="Y331" i="29"/>
  <c r="E331" i="29" s="1"/>
  <c r="Y206" i="29"/>
  <c r="E206" i="29" s="1"/>
  <c r="Y352" i="29"/>
  <c r="E352" i="29" s="1"/>
  <c r="Y51" i="29"/>
  <c r="E51" i="29" s="1"/>
  <c r="Y332" i="29"/>
  <c r="E332" i="29" s="1"/>
  <c r="Y272" i="29"/>
  <c r="E272" i="29" s="1"/>
  <c r="Y58" i="29"/>
  <c r="E58" i="29" s="1"/>
  <c r="Y350" i="29"/>
  <c r="E350" i="29" s="1"/>
  <c r="Y295" i="29"/>
  <c r="E295" i="29" s="1"/>
  <c r="Y395" i="29"/>
  <c r="E395" i="29" s="1"/>
  <c r="Y115" i="29"/>
  <c r="E115" i="29" s="1"/>
  <c r="Y70" i="29"/>
  <c r="E70" i="29" s="1"/>
  <c r="Y381" i="29"/>
  <c r="E381" i="29" s="1"/>
  <c r="Y391" i="29"/>
  <c r="E391" i="29" s="1"/>
  <c r="Y120" i="29"/>
  <c r="E120" i="29" s="1"/>
  <c r="Y228" i="29"/>
  <c r="E228" i="29" s="1"/>
  <c r="Y214" i="29"/>
  <c r="E214" i="29" s="1"/>
  <c r="Y179" i="29"/>
  <c r="E179" i="29" s="1"/>
  <c r="Y398" i="29"/>
  <c r="E398" i="29" s="1"/>
  <c r="Y345" i="29"/>
  <c r="E345" i="29" s="1"/>
  <c r="Y354" i="29"/>
  <c r="E354" i="29" s="1"/>
  <c r="Y213" i="29"/>
  <c r="E213" i="29" s="1"/>
  <c r="Y321" i="29"/>
  <c r="E321" i="29" s="1"/>
  <c r="Y294" i="29"/>
  <c r="E294" i="29" s="1"/>
  <c r="Y111" i="29"/>
  <c r="E111" i="29" s="1"/>
  <c r="Y60" i="29"/>
  <c r="E60" i="29" s="1"/>
  <c r="Y202" i="29"/>
  <c r="E202" i="29" s="1"/>
  <c r="Y251" i="29"/>
  <c r="E251" i="29" s="1"/>
  <c r="Y59" i="29"/>
  <c r="E59" i="29" s="1"/>
  <c r="Y57" i="29"/>
  <c r="E57" i="29" s="1"/>
  <c r="Y342" i="29"/>
  <c r="E342" i="29" s="1"/>
  <c r="Y124" i="29"/>
  <c r="E124" i="29" s="1"/>
  <c r="Y376" i="29"/>
  <c r="E376" i="29" s="1"/>
  <c r="Y328" i="29"/>
  <c r="E328" i="29" s="1"/>
  <c r="Y396" i="29"/>
  <c r="E396" i="29" s="1"/>
  <c r="Y127" i="29"/>
  <c r="E127" i="29" s="1"/>
  <c r="Y159" i="29"/>
  <c r="E159" i="29" s="1"/>
  <c r="Y135" i="29"/>
  <c r="E135" i="29" s="1"/>
  <c r="Y78" i="29"/>
  <c r="E78" i="29" s="1"/>
  <c r="Y199" i="29"/>
  <c r="E199" i="29" s="1"/>
  <c r="Y358" i="29"/>
  <c r="E358" i="29" s="1"/>
  <c r="Y312" i="29"/>
  <c r="E312" i="29" s="1"/>
  <c r="Y319" i="29"/>
  <c r="E319" i="29" s="1"/>
  <c r="Y369" i="29"/>
  <c r="E369" i="29" s="1"/>
  <c r="Y62" i="29"/>
  <c r="E62" i="29" s="1"/>
  <c r="Y68" i="29"/>
  <c r="E68" i="29" s="1"/>
  <c r="Y85" i="29"/>
  <c r="E85" i="29" s="1"/>
  <c r="Y188" i="29"/>
  <c r="E188" i="29" s="1"/>
  <c r="Y211" i="29"/>
  <c r="E211" i="29" s="1"/>
  <c r="Y50" i="29"/>
  <c r="E50" i="29" s="1"/>
  <c r="Y176" i="29"/>
  <c r="E176" i="29" s="1"/>
  <c r="Y63" i="29"/>
  <c r="E63" i="29" s="1"/>
  <c r="Y296" i="29"/>
  <c r="E296" i="29" s="1"/>
  <c r="Y277" i="29"/>
  <c r="E277" i="29" s="1"/>
  <c r="Y193" i="29"/>
  <c r="E193" i="29" s="1"/>
  <c r="Y201" i="29"/>
  <c r="E201" i="29" s="1"/>
  <c r="Y259" i="29"/>
  <c r="E259" i="29" s="1"/>
  <c r="Y311" i="29"/>
  <c r="E311" i="29" s="1"/>
  <c r="Y253" i="29"/>
  <c r="E253" i="29" s="1"/>
  <c r="Y137" i="29"/>
  <c r="E137" i="29" s="1"/>
  <c r="Y330" i="29"/>
  <c r="E330" i="29" s="1"/>
  <c r="Y48" i="29"/>
  <c r="E48" i="29" s="1"/>
  <c r="Y338" i="29"/>
  <c r="E338" i="29" s="1"/>
  <c r="Y194" i="29"/>
  <c r="E194" i="29" s="1"/>
  <c r="Y97" i="29"/>
  <c r="E97" i="29" s="1"/>
  <c r="Y365" i="29"/>
  <c r="E365" i="29" s="1"/>
  <c r="Y380" i="29"/>
  <c r="E380" i="29" s="1"/>
  <c r="Y262" i="29"/>
  <c r="E262" i="29" s="1"/>
  <c r="Y249" i="29"/>
  <c r="E249" i="29" s="1"/>
  <c r="Y55" i="29"/>
  <c r="E55" i="29" s="1"/>
  <c r="Y196" i="29"/>
  <c r="E196" i="29" s="1"/>
  <c r="Y315" i="29"/>
  <c r="E315" i="29" s="1"/>
  <c r="Y126" i="29"/>
  <c r="E126" i="29" s="1"/>
  <c r="Y357" i="29"/>
  <c r="E357" i="29" s="1"/>
  <c r="Y336" i="29"/>
  <c r="E336" i="29" s="1"/>
  <c r="Y157" i="29"/>
  <c r="E157" i="29" s="1"/>
  <c r="Y69" i="29"/>
  <c r="E69" i="29" s="1"/>
  <c r="Y388" i="29"/>
  <c r="E388" i="29" s="1"/>
  <c r="Y392" i="29"/>
  <c r="E392" i="29" s="1"/>
  <c r="Y192" i="29"/>
  <c r="E192" i="29" s="1"/>
  <c r="Y235" i="29"/>
  <c r="E235" i="29" s="1"/>
  <c r="Y139" i="29"/>
  <c r="E139" i="29" s="1"/>
  <c r="Y163" i="29"/>
  <c r="E163" i="29" s="1"/>
  <c r="Y210" i="29"/>
  <c r="E210" i="29" s="1"/>
  <c r="Y162" i="29"/>
  <c r="E162" i="29" s="1"/>
  <c r="Y287" i="29"/>
  <c r="E287" i="29" s="1"/>
  <c r="Y325" i="29"/>
  <c r="E325" i="29" s="1"/>
  <c r="Y140" i="29"/>
  <c r="E140" i="29" s="1"/>
  <c r="Y276" i="29"/>
  <c r="E276" i="29" s="1"/>
  <c r="Y286" i="29"/>
  <c r="E286" i="29" s="1"/>
  <c r="Y200" i="29"/>
  <c r="E200" i="29" s="1"/>
  <c r="Y265" i="29"/>
  <c r="E265" i="29" s="1"/>
  <c r="Y348" i="29"/>
  <c r="E348" i="29" s="1"/>
  <c r="Y266" i="29"/>
  <c r="E266" i="29" s="1"/>
  <c r="Y101" i="29"/>
  <c r="E101" i="29" s="1"/>
  <c r="Y285" i="29"/>
  <c r="E285" i="29" s="1"/>
  <c r="Y374" i="29"/>
  <c r="E374" i="29" s="1"/>
  <c r="Y305" i="29"/>
  <c r="E305" i="29" s="1"/>
  <c r="Y117" i="29"/>
  <c r="E117" i="29" s="1"/>
  <c r="Y393" i="29"/>
  <c r="E393" i="29" s="1"/>
  <c r="Y123" i="29"/>
  <c r="E123" i="29" s="1"/>
  <c r="Y92" i="29"/>
  <c r="E92" i="29" s="1"/>
  <c r="Y83" i="29"/>
  <c r="E83" i="29" s="1"/>
  <c r="Y291" i="29"/>
  <c r="E291" i="29" s="1"/>
  <c r="Y106" i="29"/>
  <c r="E106" i="29" s="1"/>
  <c r="Y100" i="29"/>
  <c r="E100" i="29" s="1"/>
  <c r="Y156" i="29"/>
  <c r="E156" i="29" s="1"/>
  <c r="Y375" i="29"/>
  <c r="E375" i="29" s="1"/>
  <c r="Y165" i="29"/>
  <c r="E165" i="29" s="1"/>
  <c r="Y310" i="29"/>
  <c r="E310" i="29" s="1"/>
  <c r="Y107" i="29"/>
  <c r="E107" i="29" s="1"/>
  <c r="Y198" i="29"/>
  <c r="E198" i="29" s="1"/>
  <c r="Y264" i="29"/>
  <c r="E264" i="29" s="1"/>
  <c r="Y87" i="29"/>
  <c r="E87" i="29" s="1"/>
  <c r="Y293" i="29"/>
  <c r="E293" i="29" s="1"/>
  <c r="Y329" i="29"/>
  <c r="E329" i="29" s="1"/>
  <c r="Y141" i="29"/>
  <c r="E141" i="29" s="1"/>
  <c r="Y304" i="29"/>
  <c r="E304" i="29" s="1"/>
  <c r="Y379" i="29"/>
  <c r="E379" i="29" s="1"/>
  <c r="Y237" i="29"/>
  <c r="E237" i="29" s="1"/>
  <c r="Y54" i="29"/>
  <c r="E54" i="29" s="1"/>
  <c r="Y359" i="29"/>
  <c r="E359" i="29" s="1"/>
  <c r="Y152" i="29"/>
  <c r="E152" i="29" s="1"/>
  <c r="Y185" i="29"/>
  <c r="E185" i="29" s="1"/>
  <c r="Y252" i="29"/>
  <c r="E252" i="29" s="1"/>
  <c r="Y91" i="29"/>
  <c r="E91" i="29" s="1"/>
  <c r="Y229" i="29"/>
  <c r="E229" i="29" s="1"/>
  <c r="Y53" i="29"/>
  <c r="E53" i="29" s="1"/>
  <c r="Y313" i="29"/>
  <c r="E313" i="29" s="1"/>
  <c r="Y142" i="29"/>
  <c r="E142" i="29" s="1"/>
  <c r="Y349" i="29"/>
  <c r="E349" i="29" s="1"/>
  <c r="Y248" i="29"/>
  <c r="E248" i="29" s="1"/>
  <c r="Y224" i="29"/>
  <c r="E224" i="29" s="1"/>
  <c r="Y282" i="29"/>
  <c r="E282" i="29" s="1"/>
  <c r="Y270" i="29"/>
  <c r="E270" i="29" s="1"/>
  <c r="Y335" i="29"/>
  <c r="E335" i="29" s="1"/>
  <c r="Y190" i="29"/>
  <c r="E190" i="29" s="1"/>
  <c r="Y323" i="29"/>
  <c r="E323" i="29" s="1"/>
  <c r="Y234" i="29"/>
  <c r="E234" i="29" s="1"/>
  <c r="Y105" i="29"/>
  <c r="E105" i="29" s="1"/>
  <c r="Y136" i="29"/>
  <c r="E136" i="29" s="1"/>
  <c r="Y372" i="29"/>
  <c r="E372" i="29" s="1"/>
  <c r="Y81" i="29"/>
  <c r="E81" i="29" s="1"/>
  <c r="Y223" i="29"/>
  <c r="E223" i="29" s="1"/>
  <c r="Y144" i="29"/>
  <c r="E144" i="29" s="1"/>
  <c r="Y258" i="29"/>
  <c r="E258" i="29" s="1"/>
  <c r="Y150" i="29"/>
  <c r="E150" i="29" s="1"/>
  <c r="Y269" i="29"/>
  <c r="E269" i="29" s="1"/>
  <c r="Y290" i="29"/>
  <c r="E290" i="29" s="1"/>
  <c r="Y309" i="29"/>
  <c r="E309" i="29" s="1"/>
  <c r="Y138" i="29"/>
  <c r="E138" i="29" s="1"/>
  <c r="Y187" i="29"/>
  <c r="E187" i="29" s="1"/>
  <c r="Y76" i="29"/>
  <c r="E76" i="29" s="1"/>
  <c r="Y73" i="29"/>
  <c r="E73" i="29" s="1"/>
  <c r="Y280" i="29"/>
  <c r="E280" i="29" s="1"/>
  <c r="Y363" i="29"/>
  <c r="E363" i="29" s="1"/>
  <c r="Y308" i="29"/>
  <c r="E308" i="29" s="1"/>
  <c r="Y175" i="29"/>
  <c r="E175" i="29" s="1"/>
  <c r="Y146" i="29"/>
  <c r="E146" i="29" s="1"/>
  <c r="AG59" i="29"/>
  <c r="G59" i="29" s="1"/>
  <c r="AG370" i="29"/>
  <c r="G370" i="29" s="1"/>
  <c r="AG72" i="29"/>
  <c r="G72" i="29" s="1"/>
  <c r="AG185" i="29"/>
  <c r="G185" i="29" s="1"/>
  <c r="AG119" i="29"/>
  <c r="G119" i="29" s="1"/>
  <c r="AG268" i="29"/>
  <c r="G268" i="29" s="1"/>
  <c r="AG152" i="29"/>
  <c r="G152" i="29" s="1"/>
  <c r="AG255" i="29"/>
  <c r="G255" i="29" s="1"/>
  <c r="AG317" i="29"/>
  <c r="G317" i="29" s="1"/>
  <c r="AG251" i="29"/>
  <c r="G251" i="29" s="1"/>
  <c r="AG350" i="29"/>
  <c r="G350" i="29" s="1"/>
  <c r="AG245" i="29"/>
  <c r="G245" i="29" s="1"/>
  <c r="AG51" i="29"/>
  <c r="G51" i="29" s="1"/>
  <c r="AG228" i="29"/>
  <c r="G228" i="29" s="1"/>
  <c r="AG136" i="29"/>
  <c r="G136" i="29" s="1"/>
  <c r="AG50" i="29"/>
  <c r="G50" i="29" s="1"/>
  <c r="AG122" i="29"/>
  <c r="G122" i="29" s="1"/>
  <c r="AG395" i="29"/>
  <c r="G395" i="29" s="1"/>
  <c r="AG170" i="29"/>
  <c r="G170" i="29" s="1"/>
  <c r="AG40" i="29"/>
  <c r="G40" i="29" s="1"/>
  <c r="AG133" i="29"/>
  <c r="G133" i="29" s="1"/>
  <c r="AG222" i="29"/>
  <c r="G222" i="29" s="1"/>
  <c r="AG374" i="29"/>
  <c r="G374" i="29" s="1"/>
  <c r="AG260" i="29"/>
  <c r="G260" i="29" s="1"/>
  <c r="AG141" i="29"/>
  <c r="G141" i="29" s="1"/>
  <c r="AG131" i="29"/>
  <c r="G131" i="29" s="1"/>
  <c r="AG272" i="29"/>
  <c r="G272" i="29" s="1"/>
  <c r="AG331" i="29"/>
  <c r="G331" i="29" s="1"/>
  <c r="AG293" i="29"/>
  <c r="G293" i="29" s="1"/>
  <c r="AG284" i="29"/>
  <c r="G284" i="29" s="1"/>
  <c r="AG43" i="29"/>
  <c r="G43" i="29" s="1"/>
  <c r="AG381" i="29"/>
  <c r="G381" i="29" s="1"/>
  <c r="AG125" i="29"/>
  <c r="G125" i="29" s="1"/>
  <c r="AG101" i="29"/>
  <c r="G101" i="29" s="1"/>
  <c r="AG139" i="29"/>
  <c r="G139" i="29" s="1"/>
  <c r="AG91" i="29"/>
  <c r="G91" i="29" s="1"/>
  <c r="AG292" i="29"/>
  <c r="G292" i="29" s="1"/>
  <c r="AG53" i="29"/>
  <c r="G53" i="29" s="1"/>
  <c r="AG318" i="29"/>
  <c r="G318" i="29" s="1"/>
  <c r="AG270" i="29"/>
  <c r="G270" i="29" s="1"/>
  <c r="AG386" i="29"/>
  <c r="G386" i="29" s="1"/>
  <c r="AG124" i="29"/>
  <c r="G124" i="29" s="1"/>
  <c r="AG309" i="29"/>
  <c r="G309" i="29" s="1"/>
  <c r="AG231" i="29"/>
  <c r="G231" i="29" s="1"/>
  <c r="AG155" i="29"/>
  <c r="G155" i="29" s="1"/>
  <c r="AG373" i="29"/>
  <c r="G373" i="29" s="1"/>
  <c r="AG367" i="29"/>
  <c r="G367" i="29" s="1"/>
  <c r="AG343" i="29"/>
  <c r="G343" i="29" s="1"/>
  <c r="AG193" i="29"/>
  <c r="G193" i="29" s="1"/>
  <c r="AG165" i="29"/>
  <c r="G165" i="29" s="1"/>
  <c r="AG45" i="29"/>
  <c r="G45" i="29" s="1"/>
  <c r="AG345" i="29"/>
  <c r="G345" i="29" s="1"/>
  <c r="AG324" i="29"/>
  <c r="G324" i="29" s="1"/>
  <c r="AG82" i="29"/>
  <c r="G82" i="29" s="1"/>
  <c r="AG379" i="29"/>
  <c r="G379" i="29" s="1"/>
  <c r="AG194" i="29"/>
  <c r="G194" i="29" s="1"/>
  <c r="AG147" i="29"/>
  <c r="G147" i="29" s="1"/>
  <c r="AG312" i="29"/>
  <c r="G312" i="29" s="1"/>
  <c r="AG93" i="29"/>
  <c r="G93" i="29" s="1"/>
  <c r="AG290" i="29"/>
  <c r="G290" i="29" s="1"/>
  <c r="AG54" i="29"/>
  <c r="G54" i="29" s="1"/>
  <c r="AG118" i="29"/>
  <c r="G118" i="29" s="1"/>
  <c r="AG106" i="29"/>
  <c r="G106" i="29" s="1"/>
  <c r="AG39" i="29"/>
  <c r="G39" i="29" s="1"/>
  <c r="AG352" i="29"/>
  <c r="G352" i="29" s="1"/>
  <c r="AG328" i="29"/>
  <c r="G328" i="29" s="1"/>
  <c r="AG160" i="29"/>
  <c r="G160" i="29" s="1"/>
  <c r="AG258" i="29"/>
  <c r="G258" i="29" s="1"/>
  <c r="AG55" i="29"/>
  <c r="G55" i="29" s="1"/>
  <c r="AG63" i="29"/>
  <c r="G63" i="29" s="1"/>
  <c r="AG210" i="29"/>
  <c r="G210" i="29" s="1"/>
  <c r="AG61" i="29"/>
  <c r="G61" i="29" s="1"/>
  <c r="AG310" i="29"/>
  <c r="G310" i="29" s="1"/>
  <c r="AG201" i="29"/>
  <c r="G201" i="29" s="1"/>
  <c r="AG190" i="29"/>
  <c r="G190" i="29" s="1"/>
  <c r="AG176" i="29"/>
  <c r="G176" i="29" s="1"/>
  <c r="AG42" i="29"/>
  <c r="G42" i="29" s="1"/>
  <c r="AG232" i="29"/>
  <c r="G232" i="29" s="1"/>
  <c r="AG322" i="29"/>
  <c r="G322" i="29" s="1"/>
  <c r="AG186" i="29"/>
  <c r="G186" i="29" s="1"/>
  <c r="AG65" i="29"/>
  <c r="G65" i="29" s="1"/>
  <c r="AG102" i="29"/>
  <c r="G102" i="29" s="1"/>
  <c r="AG397" i="29"/>
  <c r="G397" i="29" s="1"/>
  <c r="AG364" i="29"/>
  <c r="G364" i="29" s="1"/>
  <c r="AG192" i="29"/>
  <c r="G192" i="29" s="1"/>
  <c r="AG85" i="29"/>
  <c r="G85" i="29" s="1"/>
  <c r="AG323" i="29"/>
  <c r="G323" i="29" s="1"/>
  <c r="AG315" i="29"/>
  <c r="G315" i="29" s="1"/>
  <c r="AG372" i="29"/>
  <c r="G372" i="29" s="1"/>
  <c r="AG302" i="29"/>
  <c r="G302" i="29" s="1"/>
  <c r="AG283" i="29"/>
  <c r="G283" i="29" s="1"/>
  <c r="AG166" i="29"/>
  <c r="G166" i="29" s="1"/>
  <c r="AG382" i="29"/>
  <c r="G382" i="29" s="1"/>
  <c r="AG56" i="29"/>
  <c r="G56" i="29" s="1"/>
  <c r="AG215" i="29"/>
  <c r="G215" i="29" s="1"/>
  <c r="AG187" i="29"/>
  <c r="G187" i="29" s="1"/>
  <c r="AG129" i="29"/>
  <c r="G129" i="29" s="1"/>
  <c r="AG286" i="29"/>
  <c r="G286" i="29" s="1"/>
  <c r="AG48" i="29"/>
  <c r="G48" i="29" s="1"/>
  <c r="AG277" i="29"/>
  <c r="G277" i="29" s="1"/>
  <c r="AG387" i="29"/>
  <c r="G387" i="29" s="1"/>
  <c r="AG243" i="29"/>
  <c r="G243" i="29" s="1"/>
  <c r="AG339" i="29"/>
  <c r="G339" i="29" s="1"/>
  <c r="AG371" i="29"/>
  <c r="G371" i="29" s="1"/>
  <c r="AG167" i="29"/>
  <c r="G167" i="29" s="1"/>
  <c r="AG354" i="29"/>
  <c r="G354" i="29" s="1"/>
  <c r="AG144" i="29"/>
  <c r="G144" i="29" s="1"/>
  <c r="AG327" i="29"/>
  <c r="G327" i="29" s="1"/>
  <c r="AG214" i="29"/>
  <c r="G214" i="29" s="1"/>
  <c r="AG303" i="29"/>
  <c r="G303" i="29" s="1"/>
  <c r="AG58" i="29"/>
  <c r="G58" i="29" s="1"/>
  <c r="AG276" i="29"/>
  <c r="G276" i="29" s="1"/>
  <c r="AG70" i="29"/>
  <c r="G70" i="29" s="1"/>
  <c r="AG161" i="29"/>
  <c r="G161" i="29" s="1"/>
  <c r="AG223" i="29"/>
  <c r="G223" i="29" s="1"/>
  <c r="AG246" i="29"/>
  <c r="G246" i="29" s="1"/>
  <c r="AG351" i="29"/>
  <c r="G351" i="29" s="1"/>
  <c r="AG338" i="29"/>
  <c r="G338" i="29" s="1"/>
  <c r="AG153" i="29"/>
  <c r="G153" i="29" s="1"/>
  <c r="AG196" i="29"/>
  <c r="G196" i="29" s="1"/>
  <c r="AG264" i="29"/>
  <c r="G264" i="29" s="1"/>
  <c r="AG368" i="29"/>
  <c r="G368" i="29" s="1"/>
  <c r="AG273" i="29"/>
  <c r="G273" i="29" s="1"/>
  <c r="AG285" i="29"/>
  <c r="G285" i="29" s="1"/>
  <c r="AG79" i="29"/>
  <c r="G79" i="29" s="1"/>
  <c r="AG248" i="29"/>
  <c r="G248" i="29" s="1"/>
  <c r="AG123" i="29"/>
  <c r="G123" i="29" s="1"/>
  <c r="AG266" i="29"/>
  <c r="G266" i="29" s="1"/>
  <c r="AG294" i="29"/>
  <c r="G294" i="29" s="1"/>
  <c r="AG342" i="29"/>
  <c r="G342" i="29" s="1"/>
  <c r="AG282" i="29"/>
  <c r="G282" i="29" s="1"/>
  <c r="AG207" i="29"/>
  <c r="G207" i="29" s="1"/>
  <c r="AG138" i="29"/>
  <c r="G138" i="29" s="1"/>
  <c r="AG199" i="29"/>
  <c r="G199" i="29" s="1"/>
  <c r="AG183" i="29"/>
  <c r="G183" i="29" s="1"/>
  <c r="AG229" i="29"/>
  <c r="G229" i="29" s="1"/>
  <c r="AG241" i="29"/>
  <c r="G241" i="29" s="1"/>
  <c r="AG52" i="29"/>
  <c r="G52" i="29" s="1"/>
  <c r="AG127" i="29"/>
  <c r="G127" i="29" s="1"/>
  <c r="AG333" i="29"/>
  <c r="G333" i="29" s="1"/>
  <c r="AG87" i="29"/>
  <c r="G87" i="29" s="1"/>
  <c r="AG146" i="29"/>
  <c r="G146" i="29" s="1"/>
  <c r="AG240" i="29"/>
  <c r="G240" i="29" s="1"/>
  <c r="AG83" i="29"/>
  <c r="G83" i="29" s="1"/>
  <c r="AG344" i="29"/>
  <c r="G344" i="29" s="1"/>
  <c r="AG169" i="29"/>
  <c r="G169" i="29" s="1"/>
  <c r="AG396" i="29"/>
  <c r="G396" i="29" s="1"/>
  <c r="AG236" i="29"/>
  <c r="G236" i="29" s="1"/>
  <c r="AG235" i="29"/>
  <c r="G235" i="29" s="1"/>
  <c r="AG88" i="29"/>
  <c r="G88" i="29" s="1"/>
  <c r="AG385" i="29"/>
  <c r="G385" i="29" s="1"/>
  <c r="AG244" i="29"/>
  <c r="G244" i="29" s="1"/>
  <c r="AG171" i="29"/>
  <c r="G171" i="29" s="1"/>
  <c r="AG378" i="29"/>
  <c r="G378" i="29" s="1"/>
  <c r="AG97" i="29"/>
  <c r="G97" i="29" s="1"/>
  <c r="AG358" i="29"/>
  <c r="G358" i="29" s="1"/>
  <c r="AG105" i="29"/>
  <c r="G105" i="29" s="1"/>
  <c r="AG376" i="29"/>
  <c r="G376" i="29" s="1"/>
  <c r="AG256" i="29"/>
  <c r="G256" i="29" s="1"/>
  <c r="AG84" i="29"/>
  <c r="G84" i="29" s="1"/>
  <c r="AG132" i="29"/>
  <c r="G132" i="29" s="1"/>
  <c r="AG114" i="29"/>
  <c r="G114" i="29" s="1"/>
  <c r="AG178" i="29"/>
  <c r="G178" i="29" s="1"/>
  <c r="AG237" i="29"/>
  <c r="G237" i="29" s="1"/>
  <c r="AG174" i="29"/>
  <c r="G174" i="29" s="1"/>
  <c r="AG356" i="29"/>
  <c r="G356" i="29" s="1"/>
  <c r="AG151" i="29"/>
  <c r="G151" i="29" s="1"/>
  <c r="AG384" i="29"/>
  <c r="G384" i="29" s="1"/>
  <c r="AG115" i="29"/>
  <c r="G115" i="29" s="1"/>
  <c r="AG62" i="29"/>
  <c r="G62" i="29" s="1"/>
  <c r="AG81" i="29"/>
  <c r="G81" i="29" s="1"/>
  <c r="AG380" i="29"/>
  <c r="G380" i="29" s="1"/>
  <c r="AG261" i="29"/>
  <c r="G261" i="29" s="1"/>
  <c r="AG208" i="29"/>
  <c r="G208" i="29" s="1"/>
  <c r="AG46" i="29"/>
  <c r="G46" i="29" s="1"/>
  <c r="AG205" i="29"/>
  <c r="G205" i="29" s="1"/>
  <c r="AG202" i="29"/>
  <c r="G202" i="29" s="1"/>
  <c r="AG203" i="29"/>
  <c r="G203" i="29" s="1"/>
  <c r="AG140" i="29"/>
  <c r="G140" i="29" s="1"/>
  <c r="AG142" i="29"/>
  <c r="G142" i="29" s="1"/>
  <c r="AG311" i="29"/>
  <c r="G311" i="29" s="1"/>
  <c r="AG360" i="29"/>
  <c r="G360" i="29" s="1"/>
  <c r="AG279" i="29"/>
  <c r="G279" i="29" s="1"/>
  <c r="AG280" i="29"/>
  <c r="G280" i="29" s="1"/>
  <c r="AG195" i="29"/>
  <c r="G195" i="29" s="1"/>
  <c r="AG168" i="29"/>
  <c r="G168" i="29" s="1"/>
  <c r="AG216" i="29"/>
  <c r="G216" i="29" s="1"/>
  <c r="AG163" i="29"/>
  <c r="G163" i="29" s="1"/>
  <c r="AG67" i="29"/>
  <c r="G67" i="29" s="1"/>
  <c r="AG130" i="29"/>
  <c r="G130" i="29" s="1"/>
  <c r="AG189" i="29"/>
  <c r="G189" i="29" s="1"/>
  <c r="AG218" i="29"/>
  <c r="G218" i="29" s="1"/>
  <c r="AG108" i="29"/>
  <c r="G108" i="29" s="1"/>
  <c r="AG226" i="29"/>
  <c r="G226" i="29" s="1"/>
  <c r="AG64" i="29"/>
  <c r="G64" i="29" s="1"/>
  <c r="AG107" i="29"/>
  <c r="G107" i="29" s="1"/>
  <c r="AG341" i="29"/>
  <c r="G341" i="29" s="1"/>
  <c r="AG74" i="29"/>
  <c r="G74" i="29" s="1"/>
  <c r="AG400" i="29"/>
  <c r="G400" i="29" s="1"/>
  <c r="AG92" i="29"/>
  <c r="G92" i="29" s="1"/>
  <c r="AG305" i="29"/>
  <c r="G305" i="29" s="1"/>
  <c r="AG44" i="29"/>
  <c r="G44" i="29" s="1"/>
  <c r="AG375" i="29"/>
  <c r="G375" i="29" s="1"/>
  <c r="AG197" i="29"/>
  <c r="G197" i="29" s="1"/>
  <c r="AG308" i="29"/>
  <c r="G308" i="29" s="1"/>
  <c r="AG80" i="29"/>
  <c r="G80" i="29" s="1"/>
  <c r="AG340" i="29"/>
  <c r="G340" i="29" s="1"/>
  <c r="AG288" i="29"/>
  <c r="G288" i="29" s="1"/>
  <c r="AG393" i="29"/>
  <c r="G393" i="29" s="1"/>
  <c r="AG394" i="29"/>
  <c r="G394" i="29" s="1"/>
  <c r="AG301" i="29"/>
  <c r="G301" i="29" s="1"/>
  <c r="AG287" i="29"/>
  <c r="G287" i="29" s="1"/>
  <c r="AG180" i="29"/>
  <c r="G180" i="29" s="1"/>
  <c r="AG361" i="29"/>
  <c r="G361" i="29" s="1"/>
  <c r="AG206" i="29"/>
  <c r="G206" i="29" s="1"/>
  <c r="AG239" i="29"/>
  <c r="G239" i="29" s="1"/>
  <c r="AG148" i="29"/>
  <c r="G148" i="29" s="1"/>
  <c r="AG181" i="29"/>
  <c r="G181" i="29" s="1"/>
  <c r="AG182" i="29"/>
  <c r="G182" i="29" s="1"/>
  <c r="AG128" i="29"/>
  <c r="G128" i="29" s="1"/>
  <c r="AG259" i="29"/>
  <c r="G259" i="29" s="1"/>
  <c r="AG306" i="29"/>
  <c r="G306" i="29" s="1"/>
  <c r="AG173" i="29"/>
  <c r="G173" i="29" s="1"/>
  <c r="AG103" i="29"/>
  <c r="G103" i="29" s="1"/>
  <c r="AG137" i="29"/>
  <c r="G137" i="29" s="1"/>
  <c r="AG334" i="29"/>
  <c r="G334" i="29" s="1"/>
  <c r="AG320" i="29"/>
  <c r="G320" i="29" s="1"/>
  <c r="AG213" i="29"/>
  <c r="G213" i="29" s="1"/>
  <c r="AG188" i="29"/>
  <c r="G188" i="29" s="1"/>
  <c r="AG69" i="29"/>
  <c r="G69" i="29" s="1"/>
  <c r="AG112" i="29"/>
  <c r="G112" i="29" s="1"/>
  <c r="AG347" i="29"/>
  <c r="G347" i="29" s="1"/>
  <c r="AG398" i="29"/>
  <c r="G398" i="29" s="1"/>
  <c r="AG389" i="29"/>
  <c r="G389" i="29" s="1"/>
  <c r="AG325" i="29"/>
  <c r="G325" i="29" s="1"/>
  <c r="AG233" i="29"/>
  <c r="G233" i="29" s="1"/>
  <c r="AG60" i="29"/>
  <c r="G60" i="29" s="1"/>
  <c r="AG249" i="29"/>
  <c r="G249" i="29" s="1"/>
  <c r="AG316" i="29"/>
  <c r="G316" i="29" s="1"/>
  <c r="AG391" i="29"/>
  <c r="G391" i="29" s="1"/>
  <c r="AG221" i="29"/>
  <c r="G221" i="29" s="1"/>
  <c r="AG225" i="29"/>
  <c r="G225" i="29" s="1"/>
  <c r="AG275" i="29"/>
  <c r="G275" i="29" s="1"/>
  <c r="AG211" i="29"/>
  <c r="G211" i="29" s="1"/>
  <c r="AG76" i="29"/>
  <c r="G76" i="29" s="1"/>
  <c r="AG120" i="29"/>
  <c r="G120" i="29" s="1"/>
  <c r="AG209" i="29"/>
  <c r="G209" i="29" s="1"/>
  <c r="AG86" i="29"/>
  <c r="G86" i="29" s="1"/>
  <c r="AG184" i="29"/>
  <c r="G184" i="29" s="1"/>
  <c r="AG314" i="29"/>
  <c r="G314" i="29" s="1"/>
  <c r="AG369" i="29"/>
  <c r="G369" i="29" s="1"/>
  <c r="AG162" i="29"/>
  <c r="G162" i="29" s="1"/>
  <c r="AG359" i="29"/>
  <c r="G359" i="29" s="1"/>
  <c r="AG392" i="29"/>
  <c r="G392" i="29" s="1"/>
  <c r="AG399" i="29"/>
  <c r="G399" i="29" s="1"/>
  <c r="AG362" i="29"/>
  <c r="G362" i="29" s="1"/>
  <c r="AG94" i="29"/>
  <c r="G94" i="29" s="1"/>
  <c r="AG319" i="29"/>
  <c r="G319" i="29" s="1"/>
  <c r="AG110" i="29"/>
  <c r="G110" i="29" s="1"/>
  <c r="AG77" i="29"/>
  <c r="G77" i="29" s="1"/>
  <c r="AG234" i="29"/>
  <c r="G234" i="29" s="1"/>
  <c r="AG198" i="29"/>
  <c r="G198" i="29" s="1"/>
  <c r="AG349" i="29"/>
  <c r="G349" i="29" s="1"/>
  <c r="AG156" i="29"/>
  <c r="G156" i="29" s="1"/>
  <c r="AG366" i="29"/>
  <c r="G366" i="29" s="1"/>
  <c r="AG313" i="29"/>
  <c r="G313" i="29" s="1"/>
  <c r="AG47" i="29"/>
  <c r="G47" i="29" s="1"/>
  <c r="AG238" i="29"/>
  <c r="G238" i="29" s="1"/>
  <c r="AG68" i="29"/>
  <c r="G68" i="29" s="1"/>
  <c r="AG179" i="29"/>
  <c r="G179" i="29" s="1"/>
  <c r="AG383" i="29"/>
  <c r="G383" i="29" s="1"/>
  <c r="AG150" i="29"/>
  <c r="G150" i="29" s="1"/>
  <c r="AG49" i="29"/>
  <c r="G49" i="29" s="1"/>
  <c r="AG250" i="29"/>
  <c r="G250" i="29" s="1"/>
  <c r="AG298" i="29"/>
  <c r="G298" i="29" s="1"/>
  <c r="AG253" i="29"/>
  <c r="G253" i="29" s="1"/>
  <c r="AG265" i="29"/>
  <c r="G265" i="29" s="1"/>
  <c r="AG71" i="29"/>
  <c r="G71" i="29" s="1"/>
  <c r="AG297" i="29"/>
  <c r="G297" i="29" s="1"/>
  <c r="AG321" i="29"/>
  <c r="G321" i="29" s="1"/>
  <c r="AG230" i="29"/>
  <c r="G230" i="29" s="1"/>
  <c r="AG154" i="29"/>
  <c r="G154" i="29" s="1"/>
  <c r="AG204" i="29"/>
  <c r="G204" i="29" s="1"/>
  <c r="AG99" i="29"/>
  <c r="G99" i="29" s="1"/>
  <c r="AG388" i="29"/>
  <c r="G388" i="29" s="1"/>
  <c r="AG348" i="29"/>
  <c r="G348" i="29" s="1"/>
  <c r="AG289" i="29"/>
  <c r="G289" i="29" s="1"/>
  <c r="AG262" i="29"/>
  <c r="G262" i="29" s="1"/>
  <c r="AG104" i="29"/>
  <c r="G104" i="29" s="1"/>
  <c r="AG335" i="29"/>
  <c r="G335" i="29" s="1"/>
  <c r="AG242" i="29"/>
  <c r="G242" i="29" s="1"/>
  <c r="AG175" i="29"/>
  <c r="G175" i="29" s="1"/>
  <c r="AG75" i="29"/>
  <c r="G75" i="29" s="1"/>
  <c r="AG329" i="29"/>
  <c r="G329" i="29" s="1"/>
  <c r="AG134" i="29"/>
  <c r="G134" i="29" s="1"/>
  <c r="AG252" i="29"/>
  <c r="G252" i="29" s="1"/>
  <c r="AG295" i="29"/>
  <c r="G295" i="29" s="1"/>
  <c r="AG304" i="29"/>
  <c r="G304" i="29" s="1"/>
  <c r="AG157" i="29"/>
  <c r="G157" i="29" s="1"/>
  <c r="AG353" i="29"/>
  <c r="G353" i="29" s="1"/>
  <c r="AG217" i="29"/>
  <c r="G217" i="29" s="1"/>
  <c r="AG98" i="29"/>
  <c r="G98" i="29" s="1"/>
  <c r="AG89" i="29"/>
  <c r="G89" i="29" s="1"/>
  <c r="AG336" i="29"/>
  <c r="G336" i="29" s="1"/>
  <c r="AG109" i="29"/>
  <c r="G109" i="29" s="1"/>
  <c r="AG143" i="29"/>
  <c r="G143" i="29" s="1"/>
  <c r="AG145" i="29"/>
  <c r="G145" i="29" s="1"/>
  <c r="AG271" i="29"/>
  <c r="G271" i="29" s="1"/>
  <c r="AG274" i="29"/>
  <c r="G274" i="29" s="1"/>
  <c r="AG299" i="29"/>
  <c r="G299" i="29" s="1"/>
  <c r="AG263" i="29"/>
  <c r="G263" i="29" s="1"/>
  <c r="AG177" i="29"/>
  <c r="G177" i="29" s="1"/>
  <c r="AG227" i="29"/>
  <c r="G227" i="29" s="1"/>
  <c r="AG41" i="29"/>
  <c r="G41" i="29" s="1"/>
  <c r="AG278" i="29"/>
  <c r="G278" i="29" s="1"/>
  <c r="AG96" i="29"/>
  <c r="G96" i="29" s="1"/>
  <c r="AG357" i="29"/>
  <c r="G357" i="29" s="1"/>
  <c r="AG326" i="29"/>
  <c r="G326" i="29" s="1"/>
  <c r="AG257" i="29"/>
  <c r="G257" i="29" s="1"/>
  <c r="AG100" i="29"/>
  <c r="G100" i="29" s="1"/>
  <c r="AG172" i="29"/>
  <c r="G172" i="29" s="1"/>
  <c r="AG254" i="29"/>
  <c r="G254" i="29" s="1"/>
  <c r="AG224" i="29"/>
  <c r="G224" i="29" s="1"/>
  <c r="AG164" i="29"/>
  <c r="G164" i="29" s="1"/>
  <c r="AG212" i="29"/>
  <c r="G212" i="29" s="1"/>
  <c r="AG90" i="29"/>
  <c r="G90" i="29" s="1"/>
  <c r="AG135" i="29"/>
  <c r="G135" i="29" s="1"/>
  <c r="AG126" i="29"/>
  <c r="G126" i="29" s="1"/>
  <c r="AG363" i="29"/>
  <c r="G363" i="29" s="1"/>
  <c r="AG355" i="29"/>
  <c r="G355" i="29" s="1"/>
  <c r="AG269" i="29"/>
  <c r="G269" i="29" s="1"/>
  <c r="AG117" i="29"/>
  <c r="G117" i="29" s="1"/>
  <c r="AG191" i="29"/>
  <c r="G191" i="29" s="1"/>
  <c r="AG73" i="29"/>
  <c r="G73" i="29" s="1"/>
  <c r="AG159" i="29"/>
  <c r="G159" i="29" s="1"/>
  <c r="AG113" i="29"/>
  <c r="G113" i="29" s="1"/>
  <c r="AG95" i="29"/>
  <c r="G95" i="29" s="1"/>
  <c r="AG377" i="29"/>
  <c r="G377" i="29" s="1"/>
  <c r="AG267" i="29"/>
  <c r="G267" i="29" s="1"/>
  <c r="AG158" i="29"/>
  <c r="G158" i="29" s="1"/>
  <c r="AG57" i="29"/>
  <c r="G57" i="29" s="1"/>
  <c r="AG300" i="29"/>
  <c r="G300" i="29" s="1"/>
  <c r="AG332" i="29"/>
  <c r="G332" i="29" s="1"/>
  <c r="AG337" i="29"/>
  <c r="G337" i="29" s="1"/>
  <c r="AG149" i="29"/>
  <c r="G149" i="29" s="1"/>
  <c r="AG116" i="29"/>
  <c r="G116" i="29" s="1"/>
  <c r="AG330" i="29"/>
  <c r="G330" i="29" s="1"/>
  <c r="AG390" i="29"/>
  <c r="G390" i="29" s="1"/>
  <c r="AG78" i="29"/>
  <c r="G78" i="29" s="1"/>
  <c r="AG291" i="29"/>
  <c r="G291" i="29" s="1"/>
  <c r="AG296" i="29"/>
  <c r="G296" i="29" s="1"/>
  <c r="AG200" i="29"/>
  <c r="G200" i="29" s="1"/>
  <c r="AG346" i="29"/>
  <c r="G346" i="29" s="1"/>
  <c r="AG365" i="29"/>
  <c r="G365" i="29" s="1"/>
  <c r="AG121" i="29"/>
  <c r="G121" i="29" s="1"/>
  <c r="AG247" i="29"/>
  <c r="G247" i="29" s="1"/>
  <c r="AG111" i="29"/>
  <c r="G111" i="29" s="1"/>
  <c r="AG66" i="29"/>
  <c r="G66" i="29" s="1"/>
  <c r="AG281" i="29"/>
  <c r="G281" i="29" s="1"/>
  <c r="AG307" i="29"/>
  <c r="G307" i="29" s="1"/>
  <c r="H180" i="23" l="1"/>
  <c r="H50" i="23"/>
  <c r="H358" i="23"/>
  <c r="H143" i="23"/>
  <c r="H100" i="23"/>
  <c r="H41" i="23"/>
  <c r="H321" i="23"/>
  <c r="N321" i="23" s="1"/>
  <c r="H105" i="23"/>
  <c r="I105" i="23" s="1"/>
  <c r="H263" i="23"/>
  <c r="I263" i="23" s="1"/>
  <c r="H366" i="23"/>
  <c r="I366" i="23" s="1"/>
  <c r="H317" i="23"/>
  <c r="I317" i="23" s="1"/>
  <c r="H78" i="23"/>
  <c r="N78" i="23" s="1"/>
  <c r="H290" i="23"/>
  <c r="I290" i="23" s="1"/>
  <c r="H333" i="23"/>
  <c r="H314" i="23"/>
  <c r="H376" i="23"/>
  <c r="H386" i="23"/>
  <c r="I386" i="23" s="1"/>
  <c r="U93" i="24"/>
  <c r="D93" i="24" s="1"/>
  <c r="U212" i="24"/>
  <c r="D212" i="24" s="1"/>
  <c r="U389" i="24"/>
  <c r="D389" i="24" s="1"/>
  <c r="U248" i="24"/>
  <c r="D248" i="24" s="1"/>
  <c r="U328" i="24"/>
  <c r="D328" i="24" s="1"/>
  <c r="U121" i="24"/>
  <c r="D121" i="24" s="1"/>
  <c r="U372" i="24"/>
  <c r="D372" i="24" s="1"/>
  <c r="U261" i="24"/>
  <c r="D261" i="24" s="1"/>
  <c r="U84" i="24"/>
  <c r="D84" i="24" s="1"/>
  <c r="U99" i="24"/>
  <c r="D99" i="24" s="1"/>
  <c r="U56" i="24"/>
  <c r="D56" i="24" s="1"/>
  <c r="U103" i="24"/>
  <c r="D103" i="24" s="1"/>
  <c r="U349" i="24"/>
  <c r="D349" i="24" s="1"/>
  <c r="U285" i="24"/>
  <c r="D285" i="24" s="1"/>
  <c r="U54" i="24"/>
  <c r="D54" i="24" s="1"/>
  <c r="U383" i="24"/>
  <c r="D383" i="24" s="1"/>
  <c r="U333" i="24"/>
  <c r="D333" i="24" s="1"/>
  <c r="U322" i="24"/>
  <c r="D322" i="24" s="1"/>
  <c r="U268" i="24"/>
  <c r="D268" i="24" s="1"/>
  <c r="U67" i="24"/>
  <c r="D67" i="24" s="1"/>
  <c r="U363" i="24"/>
  <c r="D363" i="24" s="1"/>
  <c r="U353" i="24"/>
  <c r="D353" i="24" s="1"/>
  <c r="U307" i="24"/>
  <c r="D307" i="24" s="1"/>
  <c r="U395" i="24"/>
  <c r="D395" i="24" s="1"/>
  <c r="U293" i="24"/>
  <c r="D293" i="24" s="1"/>
  <c r="U161" i="24"/>
  <c r="D161" i="24" s="1"/>
  <c r="U90" i="24"/>
  <c r="D90" i="24" s="1"/>
  <c r="U369" i="24"/>
  <c r="D369" i="24" s="1"/>
  <c r="U180" i="24"/>
  <c r="D180" i="24" s="1"/>
  <c r="U168" i="24"/>
  <c r="D168" i="24" s="1"/>
  <c r="U138" i="24"/>
  <c r="D138" i="24" s="1"/>
  <c r="U254" i="24"/>
  <c r="D254" i="24" s="1"/>
  <c r="U326" i="24"/>
  <c r="D326" i="24" s="1"/>
  <c r="U151" i="24"/>
  <c r="D151" i="24" s="1"/>
  <c r="U264" i="24"/>
  <c r="D264" i="24" s="1"/>
  <c r="U344" i="24"/>
  <c r="D344" i="24" s="1"/>
  <c r="U149" i="24"/>
  <c r="D149" i="24" s="1"/>
  <c r="U163" i="24"/>
  <c r="D163" i="24" s="1"/>
  <c r="U300" i="24"/>
  <c r="D300" i="24" s="1"/>
  <c r="U228" i="24"/>
  <c r="D228" i="24" s="1"/>
  <c r="U308" i="24"/>
  <c r="D308" i="24" s="1"/>
  <c r="U329" i="24"/>
  <c r="D329" i="24" s="1"/>
  <c r="U205" i="24"/>
  <c r="D205" i="24" s="1"/>
  <c r="U280" i="24"/>
  <c r="D280" i="24" s="1"/>
  <c r="U267" i="24"/>
  <c r="D267" i="24" s="1"/>
  <c r="U221" i="24"/>
  <c r="D221" i="24" s="1"/>
  <c r="U312" i="24"/>
  <c r="D312" i="24" s="1"/>
  <c r="U183" i="24"/>
  <c r="D183" i="24" s="1"/>
  <c r="U204" i="24"/>
  <c r="D204" i="24" s="1"/>
  <c r="U286" i="24"/>
  <c r="D286" i="24" s="1"/>
  <c r="U292" i="24"/>
  <c r="D292" i="24" s="1"/>
  <c r="U320" i="24"/>
  <c r="D320" i="24" s="1"/>
  <c r="U295" i="24"/>
  <c r="D295" i="24" s="1"/>
  <c r="U153" i="24"/>
  <c r="D153" i="24" s="1"/>
  <c r="U278" i="24"/>
  <c r="D278" i="24" s="1"/>
  <c r="U226" i="24"/>
  <c r="D226" i="24" s="1"/>
  <c r="U305" i="24"/>
  <c r="D305" i="24" s="1"/>
  <c r="U319" i="24"/>
  <c r="D319" i="24" s="1"/>
  <c r="U199" i="24"/>
  <c r="D199" i="24" s="1"/>
  <c r="U128" i="24"/>
  <c r="D128" i="24" s="1"/>
  <c r="U243" i="24"/>
  <c r="D243" i="24" s="1"/>
  <c r="U279" i="24"/>
  <c r="D279" i="24" s="1"/>
  <c r="U399" i="24"/>
  <c r="D399" i="24" s="1"/>
  <c r="U207" i="24"/>
  <c r="D207" i="24" s="1"/>
  <c r="U87" i="24"/>
  <c r="D87" i="24" s="1"/>
  <c r="U40" i="24"/>
  <c r="D40" i="24" s="1"/>
  <c r="U378" i="24"/>
  <c r="D378" i="24" s="1"/>
  <c r="U214" i="24"/>
  <c r="D214" i="24" s="1"/>
  <c r="U116" i="24"/>
  <c r="D116" i="24" s="1"/>
  <c r="U250" i="24"/>
  <c r="D250" i="24" s="1"/>
  <c r="U274" i="24"/>
  <c r="D274" i="24" s="1"/>
  <c r="U110" i="24"/>
  <c r="D110" i="24" s="1"/>
  <c r="U208" i="24"/>
  <c r="D208" i="24" s="1"/>
  <c r="U196" i="24"/>
  <c r="D196" i="24" s="1"/>
  <c r="U346" i="24"/>
  <c r="D346" i="24" s="1"/>
  <c r="U282" i="24"/>
  <c r="D282" i="24" s="1"/>
  <c r="U98" i="24"/>
  <c r="D98" i="24" s="1"/>
  <c r="U62" i="24"/>
  <c r="D62" i="24" s="1"/>
  <c r="U88" i="24"/>
  <c r="D88" i="24" s="1"/>
  <c r="U96" i="24"/>
  <c r="D96" i="24" s="1"/>
  <c r="U97" i="24"/>
  <c r="D97" i="24" s="1"/>
  <c r="U397" i="24"/>
  <c r="D397" i="24" s="1"/>
  <c r="U92" i="24"/>
  <c r="D92" i="24" s="1"/>
  <c r="U181" i="24"/>
  <c r="D181" i="24" s="1"/>
  <c r="U154" i="24"/>
  <c r="D154" i="24" s="1"/>
  <c r="U120" i="24"/>
  <c r="D120" i="24" s="1"/>
  <c r="U244" i="24"/>
  <c r="D244" i="24" s="1"/>
  <c r="U117" i="24"/>
  <c r="D117" i="24" s="1"/>
  <c r="U251" i="24"/>
  <c r="D251" i="24" s="1"/>
  <c r="U105" i="24"/>
  <c r="D105" i="24" s="1"/>
  <c r="U247" i="24"/>
  <c r="D247" i="24" s="1"/>
  <c r="U186" i="24"/>
  <c r="D186" i="24" s="1"/>
  <c r="U191" i="24"/>
  <c r="D191" i="24" s="1"/>
  <c r="U44" i="24"/>
  <c r="D44" i="24" s="1"/>
  <c r="U301" i="24"/>
  <c r="D301" i="24" s="1"/>
  <c r="U213" i="24"/>
  <c r="D213" i="24" s="1"/>
  <c r="U356" i="24"/>
  <c r="D356" i="24" s="1"/>
  <c r="U70" i="24"/>
  <c r="D70" i="24" s="1"/>
  <c r="U314" i="24"/>
  <c r="D314" i="24" s="1"/>
  <c r="U49" i="24"/>
  <c r="D49" i="24" s="1"/>
  <c r="U297" i="24"/>
  <c r="D297" i="24" s="1"/>
  <c r="U289" i="24"/>
  <c r="D289" i="24" s="1"/>
  <c r="U294" i="24"/>
  <c r="D294" i="24" s="1"/>
  <c r="U345" i="24"/>
  <c r="D345" i="24" s="1"/>
  <c r="U156" i="24"/>
  <c r="D156" i="24" s="1"/>
  <c r="U309" i="24"/>
  <c r="D309" i="24" s="1"/>
  <c r="U206" i="24"/>
  <c r="D206" i="24" s="1"/>
  <c r="U343" i="24"/>
  <c r="D343" i="24" s="1"/>
  <c r="U263" i="24"/>
  <c r="D263" i="24" s="1"/>
  <c r="U78" i="24"/>
  <c r="D78" i="24" s="1"/>
  <c r="U310" i="24"/>
  <c r="D310" i="24" s="1"/>
  <c r="U146" i="24"/>
  <c r="D146" i="24" s="1"/>
  <c r="U223" i="24"/>
  <c r="D223" i="24" s="1"/>
  <c r="U382" i="24"/>
  <c r="D382" i="24" s="1"/>
  <c r="U265" i="24"/>
  <c r="D265" i="24" s="1"/>
  <c r="U192" i="24"/>
  <c r="D192" i="24" s="1"/>
  <c r="U142" i="24"/>
  <c r="D142" i="24" s="1"/>
  <c r="U215" i="24"/>
  <c r="D215" i="24" s="1"/>
  <c r="U379" i="24"/>
  <c r="D379" i="24" s="1"/>
  <c r="U176" i="24"/>
  <c r="D176" i="24" s="1"/>
  <c r="U377" i="24"/>
  <c r="D377" i="24" s="1"/>
  <c r="U370" i="24"/>
  <c r="D370" i="24" s="1"/>
  <c r="U94" i="24"/>
  <c r="D94" i="24" s="1"/>
  <c r="U238" i="24"/>
  <c r="D238" i="24" s="1"/>
  <c r="U198" i="24"/>
  <c r="D198" i="24" s="1"/>
  <c r="U373" i="24"/>
  <c r="D373" i="24" s="1"/>
  <c r="U316" i="24"/>
  <c r="D316" i="24" s="1"/>
  <c r="U253" i="24"/>
  <c r="D253" i="24" s="1"/>
  <c r="U387" i="24"/>
  <c r="D387" i="24" s="1"/>
  <c r="U227" i="24"/>
  <c r="D227" i="24" s="1"/>
  <c r="U242" i="24"/>
  <c r="D242" i="24" s="1"/>
  <c r="U235" i="24"/>
  <c r="D235" i="24" s="1"/>
  <c r="U50" i="24"/>
  <c r="D50" i="24" s="1"/>
  <c r="U260" i="24"/>
  <c r="D260" i="24" s="1"/>
  <c r="U187" i="24"/>
  <c r="D187" i="24" s="1"/>
  <c r="U147" i="24"/>
  <c r="D147" i="24" s="1"/>
  <c r="U400" i="24"/>
  <c r="D400" i="24" s="1"/>
  <c r="U57" i="24"/>
  <c r="D57" i="24" s="1"/>
  <c r="U376" i="24"/>
  <c r="D376" i="24" s="1"/>
  <c r="U296" i="24"/>
  <c r="D296" i="24" s="1"/>
  <c r="U339" i="24"/>
  <c r="D339" i="24" s="1"/>
  <c r="U313" i="24"/>
  <c r="D313" i="24" s="1"/>
  <c r="U143" i="24"/>
  <c r="D143" i="24" s="1"/>
  <c r="U350" i="24"/>
  <c r="D350" i="24" s="1"/>
  <c r="U256" i="24"/>
  <c r="D256" i="24" s="1"/>
  <c r="U74" i="24"/>
  <c r="D74" i="24" s="1"/>
  <c r="U229" i="24"/>
  <c r="D229" i="24" s="1"/>
  <c r="U258" i="24"/>
  <c r="D258" i="24" s="1"/>
  <c r="U384" i="24"/>
  <c r="D384" i="24" s="1"/>
  <c r="U277" i="24"/>
  <c r="D277" i="24" s="1"/>
  <c r="U127" i="24"/>
  <c r="D127" i="24" s="1"/>
  <c r="U68" i="24"/>
  <c r="D68" i="24" s="1"/>
  <c r="U165" i="24"/>
  <c r="D165" i="24" s="1"/>
  <c r="U359" i="24"/>
  <c r="D359" i="24" s="1"/>
  <c r="U381" i="24"/>
  <c r="D381" i="24" s="1"/>
  <c r="U266" i="24"/>
  <c r="D266" i="24" s="1"/>
  <c r="U63" i="24"/>
  <c r="D63" i="24" s="1"/>
  <c r="U358" i="24"/>
  <c r="D358" i="24" s="1"/>
  <c r="U386" i="24"/>
  <c r="D386" i="24" s="1"/>
  <c r="U262" i="24"/>
  <c r="D262" i="24" s="1"/>
  <c r="U347" i="24"/>
  <c r="D347" i="24" s="1"/>
  <c r="U252" i="24"/>
  <c r="D252" i="24" s="1"/>
  <c r="U43" i="24"/>
  <c r="D43" i="24" s="1"/>
  <c r="U298" i="24"/>
  <c r="D298" i="24" s="1"/>
  <c r="U104" i="24"/>
  <c r="D104" i="24" s="1"/>
  <c r="U47" i="24"/>
  <c r="D47" i="24" s="1"/>
  <c r="U51" i="24"/>
  <c r="D51" i="24" s="1"/>
  <c r="U91" i="24"/>
  <c r="D91" i="24" s="1"/>
  <c r="U159" i="24"/>
  <c r="D159" i="24" s="1"/>
  <c r="U150" i="24"/>
  <c r="D150" i="24" s="1"/>
  <c r="U288" i="24"/>
  <c r="D288" i="24" s="1"/>
  <c r="U281" i="24"/>
  <c r="D281" i="24" s="1"/>
  <c r="U257" i="24"/>
  <c r="D257" i="24" s="1"/>
  <c r="U115" i="24"/>
  <c r="D115" i="24" s="1"/>
  <c r="U80" i="24"/>
  <c r="D80" i="24" s="1"/>
  <c r="U75" i="24"/>
  <c r="D75" i="24" s="1"/>
  <c r="U173" i="24"/>
  <c r="D173" i="24" s="1"/>
  <c r="U139" i="24"/>
  <c r="D139" i="24" s="1"/>
  <c r="U249" i="24"/>
  <c r="D249" i="24" s="1"/>
  <c r="U209" i="24"/>
  <c r="D209" i="24" s="1"/>
  <c r="U396" i="24"/>
  <c r="D396" i="24" s="1"/>
  <c r="U166" i="24"/>
  <c r="D166" i="24" s="1"/>
  <c r="U53" i="24"/>
  <c r="D53" i="24" s="1"/>
  <c r="U42" i="24"/>
  <c r="D42" i="24" s="1"/>
  <c r="U69" i="24"/>
  <c r="D69" i="24" s="1"/>
  <c r="U325" i="24"/>
  <c r="D325" i="24" s="1"/>
  <c r="U355" i="24"/>
  <c r="D355" i="24" s="1"/>
  <c r="U393" i="24"/>
  <c r="D393" i="24" s="1"/>
  <c r="U340" i="24"/>
  <c r="D340" i="24" s="1"/>
  <c r="U306" i="24"/>
  <c r="D306" i="24" s="1"/>
  <c r="U122" i="24"/>
  <c r="D122" i="24" s="1"/>
  <c r="U140" i="24"/>
  <c r="D140" i="24" s="1"/>
  <c r="U118" i="24"/>
  <c r="D118" i="24" s="1"/>
  <c r="U190" i="24"/>
  <c r="D190" i="24" s="1"/>
  <c r="U102" i="24"/>
  <c r="D102" i="24" s="1"/>
  <c r="U392" i="24"/>
  <c r="D392" i="24" s="1"/>
  <c r="U224" i="24"/>
  <c r="D224" i="24" s="1"/>
  <c r="U184" i="24"/>
  <c r="D184" i="24" s="1"/>
  <c r="U255" i="24"/>
  <c r="D255" i="24" s="1"/>
  <c r="U270" i="24"/>
  <c r="D270" i="24" s="1"/>
  <c r="U175" i="24"/>
  <c r="D175" i="24" s="1"/>
  <c r="U272" i="24"/>
  <c r="D272" i="24" s="1"/>
  <c r="U241" i="24"/>
  <c r="D241" i="24" s="1"/>
  <c r="U302" i="24"/>
  <c r="D302" i="24" s="1"/>
  <c r="U65" i="24"/>
  <c r="D65" i="24" s="1"/>
  <c r="U148" i="24"/>
  <c r="D148" i="24" s="1"/>
  <c r="U109" i="24"/>
  <c r="D109" i="24" s="1"/>
  <c r="U134" i="24"/>
  <c r="D134" i="24" s="1"/>
  <c r="U135" i="24"/>
  <c r="D135" i="24" s="1"/>
  <c r="U338" i="24"/>
  <c r="D338" i="24" s="1"/>
  <c r="U287" i="24"/>
  <c r="D287" i="24" s="1"/>
  <c r="U48" i="24"/>
  <c r="D48" i="24" s="1"/>
  <c r="U341" i="24"/>
  <c r="D341" i="24" s="1"/>
  <c r="U284" i="24"/>
  <c r="D284" i="24" s="1"/>
  <c r="U239" i="24"/>
  <c r="D239" i="24" s="1"/>
  <c r="U232" i="24"/>
  <c r="D232" i="24" s="1"/>
  <c r="U72" i="24"/>
  <c r="D72" i="24" s="1"/>
  <c r="U374" i="24"/>
  <c r="D374" i="24" s="1"/>
  <c r="U119" i="24"/>
  <c r="D119" i="24" s="1"/>
  <c r="U259" i="24"/>
  <c r="D259" i="24" s="1"/>
  <c r="U315" i="24"/>
  <c r="D315" i="24" s="1"/>
  <c r="U236" i="24"/>
  <c r="D236" i="24" s="1"/>
  <c r="U189" i="24"/>
  <c r="D189" i="24" s="1"/>
  <c r="U368" i="24"/>
  <c r="D368" i="24" s="1"/>
  <c r="U167" i="24"/>
  <c r="D167" i="24" s="1"/>
  <c r="U364" i="24"/>
  <c r="D364" i="24" s="1"/>
  <c r="U171" i="24"/>
  <c r="D171" i="24" s="1"/>
  <c r="U388" i="24"/>
  <c r="D388" i="24" s="1"/>
  <c r="U106" i="24"/>
  <c r="D106" i="24" s="1"/>
  <c r="U66" i="24"/>
  <c r="D66" i="24" s="1"/>
  <c r="U73" i="24"/>
  <c r="D73" i="24" s="1"/>
  <c r="U354" i="24"/>
  <c r="D354" i="24" s="1"/>
  <c r="U360" i="24"/>
  <c r="D360" i="24" s="1"/>
  <c r="U89" i="24"/>
  <c r="D89" i="24" s="1"/>
  <c r="U76" i="24"/>
  <c r="D76" i="24" s="1"/>
  <c r="U123" i="24"/>
  <c r="D123" i="24" s="1"/>
  <c r="U101" i="24"/>
  <c r="D101" i="24" s="1"/>
  <c r="U327" i="24"/>
  <c r="D327" i="24" s="1"/>
  <c r="U337" i="24"/>
  <c r="D337" i="24" s="1"/>
  <c r="U137" i="24"/>
  <c r="D137" i="24" s="1"/>
  <c r="U170" i="24"/>
  <c r="D170" i="24" s="1"/>
  <c r="U246" i="24"/>
  <c r="D246" i="24" s="1"/>
  <c r="U398" i="24"/>
  <c r="D398" i="24" s="1"/>
  <c r="U164" i="24"/>
  <c r="D164" i="24" s="1"/>
  <c r="U380" i="24"/>
  <c r="D380" i="24" s="1"/>
  <c r="U271" i="24"/>
  <c r="D271" i="24" s="1"/>
  <c r="U200" i="24"/>
  <c r="D200" i="24" s="1"/>
  <c r="U39" i="24"/>
  <c r="D39" i="24" s="1"/>
  <c r="U178" i="24"/>
  <c r="D178" i="24" s="1"/>
  <c r="U46" i="24"/>
  <c r="D46" i="24" s="1"/>
  <c r="U130" i="24"/>
  <c r="D130" i="24" s="1"/>
  <c r="U79" i="24"/>
  <c r="D79" i="24" s="1"/>
  <c r="U108" i="24"/>
  <c r="D108" i="24" s="1"/>
  <c r="U129" i="24"/>
  <c r="D129" i="24" s="1"/>
  <c r="U64" i="24"/>
  <c r="D64" i="24" s="1"/>
  <c r="U303" i="24"/>
  <c r="D303" i="24" s="1"/>
  <c r="U107" i="24"/>
  <c r="D107" i="24" s="1"/>
  <c r="U162" i="24"/>
  <c r="D162" i="24" s="1"/>
  <c r="U371" i="24"/>
  <c r="D371" i="24" s="1"/>
  <c r="U81" i="24"/>
  <c r="D81" i="24" s="1"/>
  <c r="U276" i="24"/>
  <c r="D276" i="24" s="1"/>
  <c r="U197" i="24"/>
  <c r="D197" i="24" s="1"/>
  <c r="U304" i="24"/>
  <c r="D304" i="24" s="1"/>
  <c r="U335" i="24"/>
  <c r="D335" i="24" s="1"/>
  <c r="U233" i="24"/>
  <c r="D233" i="24" s="1"/>
  <c r="U55" i="24"/>
  <c r="D55" i="24" s="1"/>
  <c r="U367" i="24"/>
  <c r="D367" i="24" s="1"/>
  <c r="U217" i="24"/>
  <c r="D217" i="24" s="1"/>
  <c r="U321" i="24"/>
  <c r="D321" i="24" s="1"/>
  <c r="U225" i="24"/>
  <c r="D225" i="24" s="1"/>
  <c r="U230" i="24"/>
  <c r="D230" i="24" s="1"/>
  <c r="U351" i="24"/>
  <c r="D351" i="24" s="1"/>
  <c r="U361" i="24"/>
  <c r="D361" i="24" s="1"/>
  <c r="U334" i="24"/>
  <c r="D334" i="24" s="1"/>
  <c r="U352" i="24"/>
  <c r="D352" i="24" s="1"/>
  <c r="U283" i="24"/>
  <c r="D283" i="24" s="1"/>
  <c r="U114" i="24"/>
  <c r="D114" i="24" s="1"/>
  <c r="U59" i="24"/>
  <c r="D59" i="24" s="1"/>
  <c r="U203" i="24"/>
  <c r="D203" i="24" s="1"/>
  <c r="U193" i="24"/>
  <c r="D193" i="24" s="1"/>
  <c r="U126" i="24"/>
  <c r="D126" i="24" s="1"/>
  <c r="U375" i="24"/>
  <c r="D375" i="24" s="1"/>
  <c r="U299" i="24"/>
  <c r="D299" i="24" s="1"/>
  <c r="U71" i="24"/>
  <c r="D71" i="24" s="1"/>
  <c r="U141" i="24"/>
  <c r="D141" i="24" s="1"/>
  <c r="U152" i="24"/>
  <c r="D152" i="24" s="1"/>
  <c r="U113" i="24"/>
  <c r="D113" i="24" s="1"/>
  <c r="U86" i="24"/>
  <c r="D86" i="24" s="1"/>
  <c r="U332" i="24"/>
  <c r="D332" i="24" s="1"/>
  <c r="U160" i="24"/>
  <c r="D160" i="24" s="1"/>
  <c r="U273" i="24"/>
  <c r="D273" i="24" s="1"/>
  <c r="U169" i="24"/>
  <c r="D169" i="24" s="1"/>
  <c r="U144" i="24"/>
  <c r="D144" i="24" s="1"/>
  <c r="U391" i="24"/>
  <c r="D391" i="24" s="1"/>
  <c r="U95" i="24"/>
  <c r="D95" i="24" s="1"/>
  <c r="U111" i="24"/>
  <c r="D111" i="24" s="1"/>
  <c r="U83" i="24"/>
  <c r="D83" i="24" s="1"/>
  <c r="U390" i="24"/>
  <c r="D390" i="24" s="1"/>
  <c r="U45" i="24"/>
  <c r="D45" i="24" s="1"/>
  <c r="U234" i="24"/>
  <c r="D234" i="24" s="1"/>
  <c r="U132" i="24"/>
  <c r="D132" i="24" s="1"/>
  <c r="U60" i="24"/>
  <c r="D60" i="24" s="1"/>
  <c r="U216" i="24"/>
  <c r="D216" i="24" s="1"/>
  <c r="U291" i="24"/>
  <c r="D291" i="24" s="1"/>
  <c r="U61" i="24"/>
  <c r="D61" i="24" s="1"/>
  <c r="U394" i="24"/>
  <c r="D394" i="24" s="1"/>
  <c r="U112" i="24"/>
  <c r="D112" i="24" s="1"/>
  <c r="U211" i="24"/>
  <c r="D211" i="24" s="1"/>
  <c r="U240" i="24"/>
  <c r="D240" i="24" s="1"/>
  <c r="U275" i="24"/>
  <c r="D275" i="24" s="1"/>
  <c r="U133" i="24"/>
  <c r="D133" i="24" s="1"/>
  <c r="U179" i="24"/>
  <c r="D179" i="24" s="1"/>
  <c r="U58" i="24"/>
  <c r="D58" i="24" s="1"/>
  <c r="U365" i="24"/>
  <c r="D365" i="24" s="1"/>
  <c r="U366" i="24"/>
  <c r="D366" i="24" s="1"/>
  <c r="U195" i="24"/>
  <c r="D195" i="24" s="1"/>
  <c r="U245" i="24"/>
  <c r="D245" i="24" s="1"/>
  <c r="U136" i="24"/>
  <c r="D136" i="24" s="1"/>
  <c r="U385" i="24"/>
  <c r="D385" i="24" s="1"/>
  <c r="U174" i="24"/>
  <c r="D174" i="24" s="1"/>
  <c r="U52" i="24"/>
  <c r="D52" i="24" s="1"/>
  <c r="U330" i="24"/>
  <c r="D330" i="24" s="1"/>
  <c r="U41" i="24"/>
  <c r="D41" i="24" s="1"/>
  <c r="U82" i="24"/>
  <c r="D82" i="24" s="1"/>
  <c r="U290" i="24"/>
  <c r="D290" i="24" s="1"/>
  <c r="U125" i="24"/>
  <c r="D125" i="24" s="1"/>
  <c r="U362" i="24"/>
  <c r="D362" i="24" s="1"/>
  <c r="U231" i="24"/>
  <c r="D231" i="24" s="1"/>
  <c r="U318" i="24"/>
  <c r="D318" i="24" s="1"/>
  <c r="U155" i="24"/>
  <c r="D155" i="24" s="1"/>
  <c r="U269" i="24"/>
  <c r="D269" i="24" s="1"/>
  <c r="U323" i="24"/>
  <c r="D323" i="24" s="1"/>
  <c r="U185" i="24"/>
  <c r="D185" i="24" s="1"/>
  <c r="U100" i="24"/>
  <c r="D100" i="24" s="1"/>
  <c r="U158" i="24"/>
  <c r="D158" i="24" s="1"/>
  <c r="U357" i="24"/>
  <c r="D357" i="24" s="1"/>
  <c r="U317" i="24"/>
  <c r="D317" i="24" s="1"/>
  <c r="U188" i="24"/>
  <c r="D188" i="24" s="1"/>
  <c r="U177" i="24"/>
  <c r="D177" i="24" s="1"/>
  <c r="U331" i="24"/>
  <c r="D331" i="24" s="1"/>
  <c r="U237" i="24"/>
  <c r="D237" i="24" s="1"/>
  <c r="U172" i="24"/>
  <c r="D172" i="24" s="1"/>
  <c r="U85" i="24"/>
  <c r="D85" i="24" s="1"/>
  <c r="U218" i="24"/>
  <c r="D218" i="24" s="1"/>
  <c r="U210" i="24"/>
  <c r="D210" i="24" s="1"/>
  <c r="U348" i="24"/>
  <c r="D348" i="24" s="1"/>
  <c r="U201" i="24"/>
  <c r="D201" i="24" s="1"/>
  <c r="U124" i="24"/>
  <c r="D124" i="24" s="1"/>
  <c r="U182" i="24"/>
  <c r="D182" i="24" s="1"/>
  <c r="U194" i="24"/>
  <c r="D194" i="24" s="1"/>
  <c r="U342" i="24"/>
  <c r="D342" i="24" s="1"/>
  <c r="U145" i="24"/>
  <c r="D145" i="24" s="1"/>
  <c r="U157" i="24"/>
  <c r="D157" i="24" s="1"/>
  <c r="U222" i="24"/>
  <c r="D222" i="24" s="1"/>
  <c r="U131" i="24"/>
  <c r="D131" i="24" s="1"/>
  <c r="U202" i="24"/>
  <c r="D202" i="24" s="1"/>
  <c r="U336" i="24"/>
  <c r="D336" i="24" s="1"/>
  <c r="U77" i="24"/>
  <c r="D77" i="24" s="1"/>
  <c r="U311" i="24"/>
  <c r="D311" i="24" s="1"/>
  <c r="U324" i="24"/>
  <c r="D324" i="24" s="1"/>
  <c r="AC319" i="24"/>
  <c r="F319" i="24" s="1"/>
  <c r="H319" i="24" s="1"/>
  <c r="I319" i="24" s="1"/>
  <c r="AC134" i="24"/>
  <c r="F134" i="24" s="1"/>
  <c r="AC68" i="24"/>
  <c r="F68" i="24" s="1"/>
  <c r="AC113" i="24"/>
  <c r="F113" i="24" s="1"/>
  <c r="AC351" i="24"/>
  <c r="F351" i="24" s="1"/>
  <c r="AC358" i="24"/>
  <c r="F358" i="24" s="1"/>
  <c r="AC382" i="24"/>
  <c r="F382" i="24" s="1"/>
  <c r="AC259" i="24"/>
  <c r="F259" i="24" s="1"/>
  <c r="AC377" i="24"/>
  <c r="F377" i="24" s="1"/>
  <c r="AC137" i="24"/>
  <c r="F137" i="24" s="1"/>
  <c r="AC212" i="24"/>
  <c r="F212" i="24" s="1"/>
  <c r="AC241" i="24"/>
  <c r="F241" i="24" s="1"/>
  <c r="AC335" i="24"/>
  <c r="F335" i="24" s="1"/>
  <c r="AC352" i="24"/>
  <c r="F352" i="24" s="1"/>
  <c r="AC242" i="24"/>
  <c r="F242" i="24" s="1"/>
  <c r="AC125" i="24"/>
  <c r="F125" i="24" s="1"/>
  <c r="AC327" i="24"/>
  <c r="F327" i="24" s="1"/>
  <c r="AC347" i="24"/>
  <c r="F347" i="24" s="1"/>
  <c r="AC138" i="24"/>
  <c r="F138" i="24" s="1"/>
  <c r="AC365" i="24"/>
  <c r="F365" i="24" s="1"/>
  <c r="AC72" i="24"/>
  <c r="F72" i="24" s="1"/>
  <c r="AC185" i="24"/>
  <c r="F185" i="24" s="1"/>
  <c r="AC301" i="24"/>
  <c r="F301" i="24" s="1"/>
  <c r="AC367" i="24"/>
  <c r="F367" i="24" s="1"/>
  <c r="AC153" i="24"/>
  <c r="F153" i="24" s="1"/>
  <c r="AC388" i="24"/>
  <c r="F388" i="24" s="1"/>
  <c r="AC389" i="24"/>
  <c r="F389" i="24" s="1"/>
  <c r="AC183" i="24"/>
  <c r="F183" i="24" s="1"/>
  <c r="AC195" i="24"/>
  <c r="F195" i="24" s="1"/>
  <c r="AC129" i="24"/>
  <c r="F129" i="24" s="1"/>
  <c r="AC228" i="24"/>
  <c r="F228" i="24" s="1"/>
  <c r="AC277" i="24"/>
  <c r="F277" i="24" s="1"/>
  <c r="AC117" i="24"/>
  <c r="F117" i="24" s="1"/>
  <c r="AC176" i="24"/>
  <c r="F176" i="24" s="1"/>
  <c r="AC328" i="24"/>
  <c r="F328" i="24" s="1"/>
  <c r="AC84" i="24"/>
  <c r="F84" i="24" s="1"/>
  <c r="AC132" i="24"/>
  <c r="F132" i="24" s="1"/>
  <c r="AC254" i="24"/>
  <c r="F254" i="24" s="1"/>
  <c r="AC334" i="24"/>
  <c r="F334" i="24" s="1"/>
  <c r="AC81" i="24"/>
  <c r="F81" i="24" s="1"/>
  <c r="AC53" i="24"/>
  <c r="F53" i="24" s="1"/>
  <c r="AC93" i="24"/>
  <c r="F93" i="24" s="1"/>
  <c r="AC96" i="24"/>
  <c r="F96" i="24" s="1"/>
  <c r="AC174" i="24"/>
  <c r="F174" i="24" s="1"/>
  <c r="AC369" i="24"/>
  <c r="F369" i="24" s="1"/>
  <c r="AC390" i="24"/>
  <c r="F390" i="24" s="1"/>
  <c r="AC362" i="24"/>
  <c r="F362" i="24" s="1"/>
  <c r="AC159" i="24"/>
  <c r="F159" i="24" s="1"/>
  <c r="AC188" i="24"/>
  <c r="F188" i="24" s="1"/>
  <c r="AC290" i="24"/>
  <c r="F290" i="24" s="1"/>
  <c r="AC157" i="24"/>
  <c r="F157" i="24" s="1"/>
  <c r="AC110" i="24"/>
  <c r="F110" i="24" s="1"/>
  <c r="AC233" i="24"/>
  <c r="F233" i="24" s="1"/>
  <c r="AC309" i="24"/>
  <c r="F309" i="24" s="1"/>
  <c r="H309" i="24" s="1"/>
  <c r="I309" i="24" s="1"/>
  <c r="AC146" i="24"/>
  <c r="F146" i="24" s="1"/>
  <c r="AC297" i="24"/>
  <c r="F297" i="24" s="1"/>
  <c r="AC189" i="24"/>
  <c r="F189" i="24" s="1"/>
  <c r="AC40" i="24"/>
  <c r="F40" i="24" s="1"/>
  <c r="AC229" i="24"/>
  <c r="F229" i="24" s="1"/>
  <c r="AC310" i="24"/>
  <c r="F310" i="24" s="1"/>
  <c r="AC340" i="24"/>
  <c r="F340" i="24" s="1"/>
  <c r="AC243" i="24"/>
  <c r="F243" i="24" s="1"/>
  <c r="AC252" i="24"/>
  <c r="F252" i="24" s="1"/>
  <c r="AC261" i="24"/>
  <c r="F261" i="24" s="1"/>
  <c r="AC395" i="24"/>
  <c r="F395" i="24" s="1"/>
  <c r="AC167" i="24"/>
  <c r="F167" i="24" s="1"/>
  <c r="AC83" i="24"/>
  <c r="F83" i="24" s="1"/>
  <c r="AC111" i="24"/>
  <c r="F111" i="24" s="1"/>
  <c r="AC199" i="24"/>
  <c r="F199" i="24" s="1"/>
  <c r="AC333" i="24"/>
  <c r="F333" i="24" s="1"/>
  <c r="AC296" i="24"/>
  <c r="F296" i="24" s="1"/>
  <c r="AC160" i="24"/>
  <c r="F160" i="24" s="1"/>
  <c r="AC149" i="24"/>
  <c r="F149" i="24" s="1"/>
  <c r="AC400" i="24"/>
  <c r="F400" i="24" s="1"/>
  <c r="AC108" i="24"/>
  <c r="F108" i="24" s="1"/>
  <c r="AC269" i="24"/>
  <c r="F269" i="24" s="1"/>
  <c r="AC155" i="24"/>
  <c r="F155" i="24" s="1"/>
  <c r="AC374" i="24"/>
  <c r="F374" i="24" s="1"/>
  <c r="AC154" i="24"/>
  <c r="F154" i="24" s="1"/>
  <c r="AC140" i="24"/>
  <c r="F140" i="24" s="1"/>
  <c r="AC249" i="24"/>
  <c r="F249" i="24" s="1"/>
  <c r="AC59" i="24"/>
  <c r="F59" i="24" s="1"/>
  <c r="AC139" i="24"/>
  <c r="F139" i="24" s="1"/>
  <c r="AC204" i="24"/>
  <c r="F204" i="24" s="1"/>
  <c r="AC184" i="24"/>
  <c r="F184" i="24" s="1"/>
  <c r="AC383" i="24"/>
  <c r="F383" i="24" s="1"/>
  <c r="AC116" i="24"/>
  <c r="F116" i="24" s="1"/>
  <c r="AC235" i="24"/>
  <c r="F235" i="24" s="1"/>
  <c r="AC151" i="24"/>
  <c r="F151" i="24" s="1"/>
  <c r="H151" i="24" s="1"/>
  <c r="AC211" i="24"/>
  <c r="F211" i="24" s="1"/>
  <c r="AC121" i="24"/>
  <c r="F121" i="24" s="1"/>
  <c r="AC295" i="24"/>
  <c r="F295" i="24" s="1"/>
  <c r="AC69" i="24"/>
  <c r="F69" i="24" s="1"/>
  <c r="AC363" i="24"/>
  <c r="F363" i="24" s="1"/>
  <c r="AC267" i="24"/>
  <c r="F267" i="24" s="1"/>
  <c r="AC161" i="24"/>
  <c r="F161" i="24" s="1"/>
  <c r="AC311" i="24"/>
  <c r="F311" i="24" s="1"/>
  <c r="AC202" i="24"/>
  <c r="F202" i="24" s="1"/>
  <c r="AC218" i="24"/>
  <c r="F218" i="24" s="1"/>
  <c r="AC292" i="24"/>
  <c r="F292" i="24" s="1"/>
  <c r="AC45" i="24"/>
  <c r="F45" i="24" s="1"/>
  <c r="AC206" i="24"/>
  <c r="F206" i="24" s="1"/>
  <c r="AC135" i="24"/>
  <c r="F135" i="24" s="1"/>
  <c r="AC102" i="24"/>
  <c r="F102" i="24" s="1"/>
  <c r="AC313" i="24"/>
  <c r="F313" i="24" s="1"/>
  <c r="AC291" i="24"/>
  <c r="F291" i="24" s="1"/>
  <c r="AC356" i="24"/>
  <c r="F356" i="24" s="1"/>
  <c r="AC344" i="24"/>
  <c r="F344" i="24" s="1"/>
  <c r="AC148" i="24"/>
  <c r="F148" i="24" s="1"/>
  <c r="AC142" i="24"/>
  <c r="F142" i="24" s="1"/>
  <c r="AC270" i="24"/>
  <c r="F270" i="24" s="1"/>
  <c r="AC326" i="24"/>
  <c r="F326" i="24" s="1"/>
  <c r="AC240" i="24"/>
  <c r="F240" i="24" s="1"/>
  <c r="AC366" i="24"/>
  <c r="F366" i="24" s="1"/>
  <c r="AC300" i="24"/>
  <c r="F300" i="24" s="1"/>
  <c r="AC305" i="24"/>
  <c r="F305" i="24" s="1"/>
  <c r="AC213" i="24"/>
  <c r="F213" i="24" s="1"/>
  <c r="AC215" i="24"/>
  <c r="F215" i="24" s="1"/>
  <c r="AC76" i="24"/>
  <c r="F76" i="24" s="1"/>
  <c r="AC289" i="24"/>
  <c r="F289" i="24" s="1"/>
  <c r="AC150" i="24"/>
  <c r="F150" i="24" s="1"/>
  <c r="AC56" i="24"/>
  <c r="F56" i="24" s="1"/>
  <c r="AC214" i="24"/>
  <c r="F214" i="24" s="1"/>
  <c r="AC64" i="24"/>
  <c r="F64" i="24" s="1"/>
  <c r="AC200" i="24"/>
  <c r="F200" i="24" s="1"/>
  <c r="AC97" i="24"/>
  <c r="F97" i="24" s="1"/>
  <c r="AC141" i="24"/>
  <c r="F141" i="24" s="1"/>
  <c r="H141" i="24" s="1"/>
  <c r="I141" i="24" s="1"/>
  <c r="AC205" i="24"/>
  <c r="F205" i="24" s="1"/>
  <c r="AC196" i="24"/>
  <c r="F196" i="24" s="1"/>
  <c r="AC136" i="24"/>
  <c r="F136" i="24" s="1"/>
  <c r="AC61" i="24"/>
  <c r="F61" i="24" s="1"/>
  <c r="AC287" i="24"/>
  <c r="F287" i="24" s="1"/>
  <c r="AC216" i="24"/>
  <c r="F216" i="24" s="1"/>
  <c r="AC247" i="24"/>
  <c r="F247" i="24" s="1"/>
  <c r="AC257" i="24"/>
  <c r="F257" i="24" s="1"/>
  <c r="AC156" i="24"/>
  <c r="F156" i="24" s="1"/>
  <c r="AC322" i="24"/>
  <c r="F322" i="24" s="1"/>
  <c r="AC325" i="24"/>
  <c r="F325" i="24" s="1"/>
  <c r="AC332" i="24"/>
  <c r="F332" i="24" s="1"/>
  <c r="AC94" i="24"/>
  <c r="F94" i="24" s="1"/>
  <c r="AC112" i="24"/>
  <c r="F112" i="24" s="1"/>
  <c r="AC163" i="24"/>
  <c r="F163" i="24" s="1"/>
  <c r="AC144" i="24"/>
  <c r="F144" i="24" s="1"/>
  <c r="AC303" i="24"/>
  <c r="F303" i="24" s="1"/>
  <c r="AC293" i="24"/>
  <c r="F293" i="24" s="1"/>
  <c r="AC175" i="24"/>
  <c r="F175" i="24" s="1"/>
  <c r="AC285" i="24"/>
  <c r="F285" i="24" s="1"/>
  <c r="AC370" i="24"/>
  <c r="F370" i="24" s="1"/>
  <c r="AC208" i="24"/>
  <c r="F208" i="24" s="1"/>
  <c r="AC263" i="24"/>
  <c r="F263" i="24" s="1"/>
  <c r="AC361" i="24"/>
  <c r="F361" i="24" s="1"/>
  <c r="AC294" i="24"/>
  <c r="F294" i="24" s="1"/>
  <c r="AC39" i="24"/>
  <c r="F39" i="24" s="1"/>
  <c r="AC124" i="24"/>
  <c r="F124" i="24" s="1"/>
  <c r="AC98" i="24"/>
  <c r="F98" i="24" s="1"/>
  <c r="AC75" i="24"/>
  <c r="F75" i="24" s="1"/>
  <c r="AC251" i="24"/>
  <c r="F251" i="24" s="1"/>
  <c r="AC288" i="24"/>
  <c r="F288" i="24" s="1"/>
  <c r="AC268" i="24"/>
  <c r="F268" i="24" s="1"/>
  <c r="AC284" i="24"/>
  <c r="F284" i="24" s="1"/>
  <c r="H284" i="24" s="1"/>
  <c r="AC152" i="24"/>
  <c r="F152" i="24" s="1"/>
  <c r="AC187" i="24"/>
  <c r="F187" i="24" s="1"/>
  <c r="AC384" i="24"/>
  <c r="F384" i="24" s="1"/>
  <c r="AC119" i="24"/>
  <c r="F119" i="24" s="1"/>
  <c r="AC278" i="24"/>
  <c r="F278" i="24" s="1"/>
  <c r="AC217" i="24"/>
  <c r="F217" i="24" s="1"/>
  <c r="AC171" i="24"/>
  <c r="F171" i="24" s="1"/>
  <c r="AC272" i="24"/>
  <c r="F272" i="24" s="1"/>
  <c r="AC105" i="24"/>
  <c r="F105" i="24" s="1"/>
  <c r="AC262" i="24"/>
  <c r="F262" i="24" s="1"/>
  <c r="AC380" i="24"/>
  <c r="F380" i="24" s="1"/>
  <c r="AC44" i="24"/>
  <c r="F44" i="24" s="1"/>
  <c r="H44" i="24" s="1"/>
  <c r="I44" i="24" s="1"/>
  <c r="AC266" i="24"/>
  <c r="F266" i="24" s="1"/>
  <c r="AC386" i="24"/>
  <c r="F386" i="24" s="1"/>
  <c r="AC339" i="24"/>
  <c r="F339" i="24" s="1"/>
  <c r="AC63" i="24"/>
  <c r="F63" i="24" s="1"/>
  <c r="AC357" i="24"/>
  <c r="F357" i="24" s="1"/>
  <c r="AC275" i="24"/>
  <c r="F275" i="24" s="1"/>
  <c r="AC73" i="24"/>
  <c r="F73" i="24" s="1"/>
  <c r="AC260" i="24"/>
  <c r="F260" i="24" s="1"/>
  <c r="AC345" i="24"/>
  <c r="F345" i="24" s="1"/>
  <c r="AC168" i="24"/>
  <c r="F168" i="24" s="1"/>
  <c r="AC359" i="24"/>
  <c r="F359" i="24" s="1"/>
  <c r="H359" i="24" s="1"/>
  <c r="I359" i="24" s="1"/>
  <c r="AC41" i="24"/>
  <c r="F41" i="24" s="1"/>
  <c r="AC222" i="24"/>
  <c r="F222" i="24" s="1"/>
  <c r="AC54" i="24"/>
  <c r="F54" i="24" s="1"/>
  <c r="AC316" i="24"/>
  <c r="F316" i="24" s="1"/>
  <c r="AC190" i="24"/>
  <c r="F190" i="24" s="1"/>
  <c r="AC282" i="24"/>
  <c r="F282" i="24" s="1"/>
  <c r="AC312" i="24"/>
  <c r="F312" i="24" s="1"/>
  <c r="AC253" i="24"/>
  <c r="F253" i="24" s="1"/>
  <c r="AC245" i="24"/>
  <c r="F245" i="24" s="1"/>
  <c r="AC181" i="24"/>
  <c r="F181" i="24" s="1"/>
  <c r="AC223" i="24"/>
  <c r="F223" i="24" s="1"/>
  <c r="AC258" i="24"/>
  <c r="F258" i="24" s="1"/>
  <c r="AC57" i="24"/>
  <c r="F57" i="24" s="1"/>
  <c r="AC375" i="24"/>
  <c r="F375" i="24" s="1"/>
  <c r="AC48" i="24"/>
  <c r="F48" i="24" s="1"/>
  <c r="AC128" i="24"/>
  <c r="F128" i="24" s="1"/>
  <c r="AC203" i="24"/>
  <c r="F203" i="24" s="1"/>
  <c r="AC89" i="24"/>
  <c r="F89" i="24" s="1"/>
  <c r="AC373" i="24"/>
  <c r="F373" i="24" s="1"/>
  <c r="AC244" i="24"/>
  <c r="F244" i="24" s="1"/>
  <c r="AC82" i="24"/>
  <c r="F82" i="24" s="1"/>
  <c r="AC304" i="24"/>
  <c r="F304" i="24" s="1"/>
  <c r="AC70" i="24"/>
  <c r="F70" i="24" s="1"/>
  <c r="AC74" i="24"/>
  <c r="F74" i="24" s="1"/>
  <c r="AC271" i="24"/>
  <c r="F271" i="24" s="1"/>
  <c r="AC320" i="24"/>
  <c r="F320" i="24" s="1"/>
  <c r="AC393" i="24"/>
  <c r="F393" i="24" s="1"/>
  <c r="AC62" i="24"/>
  <c r="F62" i="24" s="1"/>
  <c r="AC186" i="24"/>
  <c r="F186" i="24" s="1"/>
  <c r="AC120" i="24"/>
  <c r="F120" i="24" s="1"/>
  <c r="AC237" i="24"/>
  <c r="F237" i="24" s="1"/>
  <c r="AC192" i="24"/>
  <c r="F192" i="24" s="1"/>
  <c r="AC360" i="24"/>
  <c r="F360" i="24" s="1"/>
  <c r="AC280" i="24"/>
  <c r="F280" i="24" s="1"/>
  <c r="AC115" i="24"/>
  <c r="F115" i="24" s="1"/>
  <c r="AC78" i="24"/>
  <c r="F78" i="24" s="1"/>
  <c r="AC122" i="24"/>
  <c r="F122" i="24" s="1"/>
  <c r="AC227" i="24"/>
  <c r="F227" i="24" s="1"/>
  <c r="H227" i="24" s="1"/>
  <c r="AC394" i="24"/>
  <c r="F394" i="24" s="1"/>
  <c r="AC162" i="24"/>
  <c r="F162" i="24" s="1"/>
  <c r="AC91" i="24"/>
  <c r="F91" i="24" s="1"/>
  <c r="AC232" i="24"/>
  <c r="F232" i="24" s="1"/>
  <c r="AC239" i="24"/>
  <c r="F239" i="24" s="1"/>
  <c r="AC398" i="24"/>
  <c r="F398" i="24" s="1"/>
  <c r="AC118" i="24"/>
  <c r="F118" i="24" s="1"/>
  <c r="AC109" i="24"/>
  <c r="F109" i="24" s="1"/>
  <c r="AC314" i="24"/>
  <c r="F314" i="24" s="1"/>
  <c r="AC279" i="24"/>
  <c r="F279" i="24" s="1"/>
  <c r="AC123" i="24"/>
  <c r="F123" i="24" s="1"/>
  <c r="AC264" i="24"/>
  <c r="F264" i="24" s="1"/>
  <c r="H264" i="24" s="1"/>
  <c r="AC126" i="24"/>
  <c r="F126" i="24" s="1"/>
  <c r="AC197" i="24"/>
  <c r="F197" i="24" s="1"/>
  <c r="H197" i="24" s="1"/>
  <c r="I197" i="24" s="1"/>
  <c r="AC231" i="24"/>
  <c r="F231" i="24" s="1"/>
  <c r="AC182" i="24"/>
  <c r="F182" i="24" s="1"/>
  <c r="AC391" i="24"/>
  <c r="F391" i="24" s="1"/>
  <c r="AC127" i="24"/>
  <c r="F127" i="24" s="1"/>
  <c r="AC364" i="24"/>
  <c r="F364" i="24" s="1"/>
  <c r="H364" i="24" s="1"/>
  <c r="I364" i="24" s="1"/>
  <c r="AC66" i="24"/>
  <c r="F66" i="24" s="1"/>
  <c r="AC209" i="24"/>
  <c r="F209" i="24" s="1"/>
  <c r="AC50" i="24"/>
  <c r="F50" i="24" s="1"/>
  <c r="AC346" i="24"/>
  <c r="F346" i="24" s="1"/>
  <c r="AC221" i="24"/>
  <c r="F221" i="24" s="1"/>
  <c r="H221" i="24" s="1"/>
  <c r="AC95" i="24"/>
  <c r="F95" i="24" s="1"/>
  <c r="AC143" i="24"/>
  <c r="F143" i="24" s="1"/>
  <c r="AC298" i="24"/>
  <c r="F298" i="24" s="1"/>
  <c r="AC67" i="24"/>
  <c r="F67" i="24" s="1"/>
  <c r="AC308" i="24"/>
  <c r="F308" i="24" s="1"/>
  <c r="AC42" i="24"/>
  <c r="F42" i="24" s="1"/>
  <c r="AC379" i="24"/>
  <c r="F379" i="24" s="1"/>
  <c r="H379" i="24" s="1"/>
  <c r="N379" i="24" s="1"/>
  <c r="AC318" i="24"/>
  <c r="F318" i="24" s="1"/>
  <c r="AC46" i="24"/>
  <c r="F46" i="24" s="1"/>
  <c r="H46" i="24" s="1"/>
  <c r="AC230" i="24"/>
  <c r="F230" i="24" s="1"/>
  <c r="AC306" i="24"/>
  <c r="F306" i="24" s="1"/>
  <c r="H306" i="24" s="1"/>
  <c r="N306" i="24" s="1"/>
  <c r="AC238" i="24"/>
  <c r="F238" i="24" s="1"/>
  <c r="AC307" i="24"/>
  <c r="F307" i="24" s="1"/>
  <c r="H307" i="24" s="1"/>
  <c r="N307" i="24" s="1"/>
  <c r="AC226" i="24"/>
  <c r="F226" i="24" s="1"/>
  <c r="AC350" i="24"/>
  <c r="F350" i="24" s="1"/>
  <c r="AC198" i="24"/>
  <c r="F198" i="24" s="1"/>
  <c r="AC52" i="24"/>
  <c r="F52" i="24" s="1"/>
  <c r="AC224" i="24"/>
  <c r="F224" i="24" s="1"/>
  <c r="AC165" i="24"/>
  <c r="F165" i="24" s="1"/>
  <c r="AC172" i="24"/>
  <c r="F172" i="24" s="1"/>
  <c r="AC354" i="24"/>
  <c r="F354" i="24" s="1"/>
  <c r="AC210" i="24"/>
  <c r="F210" i="24" s="1"/>
  <c r="H210" i="24" s="1"/>
  <c r="I210" i="24" s="1"/>
  <c r="AC194" i="24"/>
  <c r="F194" i="24" s="1"/>
  <c r="AC79" i="24"/>
  <c r="F79" i="24" s="1"/>
  <c r="AC396" i="24"/>
  <c r="F396" i="24" s="1"/>
  <c r="AC341" i="24"/>
  <c r="F341" i="24" s="1"/>
  <c r="AC101" i="24"/>
  <c r="F101" i="24" s="1"/>
  <c r="AC371" i="24"/>
  <c r="F371" i="24" s="1"/>
  <c r="AC321" i="24"/>
  <c r="F321" i="24" s="1"/>
  <c r="AC77" i="24"/>
  <c r="F77" i="24" s="1"/>
  <c r="AC399" i="24"/>
  <c r="F399" i="24" s="1"/>
  <c r="AC250" i="24"/>
  <c r="F250" i="24" s="1"/>
  <c r="H250" i="24" s="1"/>
  <c r="I250" i="24" s="1"/>
  <c r="AC114" i="24"/>
  <c r="F114" i="24" s="1"/>
  <c r="AC178" i="24"/>
  <c r="F178" i="24" s="1"/>
  <c r="AC225" i="24"/>
  <c r="F225" i="24" s="1"/>
  <c r="AC338" i="24"/>
  <c r="F338" i="24" s="1"/>
  <c r="AC85" i="24"/>
  <c r="F85" i="24" s="1"/>
  <c r="AC103" i="24"/>
  <c r="F103" i="24" s="1"/>
  <c r="AC145" i="24"/>
  <c r="F145" i="24" s="1"/>
  <c r="AC342" i="24"/>
  <c r="F342" i="24" s="1"/>
  <c r="AC104" i="24"/>
  <c r="F104" i="24" s="1"/>
  <c r="AC234" i="24"/>
  <c r="F234" i="24" s="1"/>
  <c r="AC281" i="24"/>
  <c r="F281" i="24" s="1"/>
  <c r="AC201" i="24"/>
  <c r="F201" i="24" s="1"/>
  <c r="AC193" i="24"/>
  <c r="F193" i="24" s="1"/>
  <c r="AC133" i="24"/>
  <c r="F133" i="24" s="1"/>
  <c r="AC92" i="24"/>
  <c r="F92" i="24" s="1"/>
  <c r="AC207" i="24"/>
  <c r="F207" i="24" s="1"/>
  <c r="AC337" i="24"/>
  <c r="F337" i="24" s="1"/>
  <c r="AC355" i="24"/>
  <c r="F355" i="24" s="1"/>
  <c r="AC173" i="24"/>
  <c r="F173" i="24" s="1"/>
  <c r="AC276" i="24"/>
  <c r="F276" i="24" s="1"/>
  <c r="AC131" i="24"/>
  <c r="F131" i="24" s="1"/>
  <c r="AC323" i="24"/>
  <c r="F323" i="24" s="1"/>
  <c r="AC58" i="24"/>
  <c r="F58" i="24" s="1"/>
  <c r="AC324" i="24"/>
  <c r="F324" i="24" s="1"/>
  <c r="AC169" i="24"/>
  <c r="F169" i="24" s="1"/>
  <c r="AC80" i="24"/>
  <c r="F80" i="24" s="1"/>
  <c r="AC130" i="24"/>
  <c r="F130" i="24" s="1"/>
  <c r="AC315" i="24"/>
  <c r="F315" i="24" s="1"/>
  <c r="AC353" i="24"/>
  <c r="F353" i="24" s="1"/>
  <c r="H353" i="24" s="1"/>
  <c r="I353" i="24" s="1"/>
  <c r="AC170" i="24"/>
  <c r="F170" i="24" s="1"/>
  <c r="AC179" i="24"/>
  <c r="F179" i="24" s="1"/>
  <c r="AC47" i="24"/>
  <c r="F47" i="24" s="1"/>
  <c r="AC381" i="24"/>
  <c r="F381" i="24" s="1"/>
  <c r="H381" i="24" s="1"/>
  <c r="I381" i="24" s="1"/>
  <c r="AC49" i="24"/>
  <c r="F49" i="24" s="1"/>
  <c r="AC164" i="24"/>
  <c r="F164" i="24" s="1"/>
  <c r="AC265" i="24"/>
  <c r="F265" i="24" s="1"/>
  <c r="AC336" i="24"/>
  <c r="F336" i="24" s="1"/>
  <c r="AC256" i="24"/>
  <c r="F256" i="24" s="1"/>
  <c r="AC180" i="24"/>
  <c r="F180" i="24" s="1"/>
  <c r="AC90" i="24"/>
  <c r="F90" i="24" s="1"/>
  <c r="AC255" i="24"/>
  <c r="F255" i="24" s="1"/>
  <c r="AC246" i="24"/>
  <c r="F246" i="24" s="1"/>
  <c r="AC107" i="24"/>
  <c r="F107" i="24" s="1"/>
  <c r="AC302" i="24"/>
  <c r="F302" i="24" s="1"/>
  <c r="AC87" i="24"/>
  <c r="F87" i="24" s="1"/>
  <c r="AC248" i="24"/>
  <c r="F248" i="24" s="1"/>
  <c r="AC236" i="24"/>
  <c r="F236" i="24" s="1"/>
  <c r="AC88" i="24"/>
  <c r="F88" i="24" s="1"/>
  <c r="AC348" i="24"/>
  <c r="F348" i="24" s="1"/>
  <c r="H348" i="24" s="1"/>
  <c r="I348" i="24" s="1"/>
  <c r="AC378" i="24"/>
  <c r="F378" i="24" s="1"/>
  <c r="AC43" i="24"/>
  <c r="F43" i="24" s="1"/>
  <c r="AC329" i="24"/>
  <c r="F329" i="24" s="1"/>
  <c r="AC385" i="24"/>
  <c r="F385" i="24" s="1"/>
  <c r="AC147" i="24"/>
  <c r="F147" i="24" s="1"/>
  <c r="AC191" i="24"/>
  <c r="F191" i="24" s="1"/>
  <c r="AC71" i="24"/>
  <c r="F71" i="24" s="1"/>
  <c r="AC349" i="24"/>
  <c r="F349" i="24" s="1"/>
  <c r="AC372" i="24"/>
  <c r="F372" i="24" s="1"/>
  <c r="AC368" i="24"/>
  <c r="F368" i="24" s="1"/>
  <c r="AC397" i="24"/>
  <c r="F397" i="24" s="1"/>
  <c r="H397" i="24" s="1"/>
  <c r="AC99" i="24"/>
  <c r="F99" i="24" s="1"/>
  <c r="H99" i="24" s="1"/>
  <c r="AC100" i="24"/>
  <c r="F100" i="24" s="1"/>
  <c r="H100" i="24" s="1"/>
  <c r="I100" i="24" s="1"/>
  <c r="AC106" i="24"/>
  <c r="F106" i="24" s="1"/>
  <c r="AC286" i="24"/>
  <c r="F286" i="24" s="1"/>
  <c r="AC343" i="24"/>
  <c r="F343" i="24" s="1"/>
  <c r="AC299" i="24"/>
  <c r="F299" i="24" s="1"/>
  <c r="H299" i="24" s="1"/>
  <c r="AC392" i="24"/>
  <c r="F392" i="24" s="1"/>
  <c r="AC60" i="24"/>
  <c r="F60" i="24" s="1"/>
  <c r="AC330" i="24"/>
  <c r="F330" i="24" s="1"/>
  <c r="AC317" i="24"/>
  <c r="F317" i="24" s="1"/>
  <c r="AC177" i="24"/>
  <c r="F177" i="24" s="1"/>
  <c r="AC158" i="24"/>
  <c r="F158" i="24" s="1"/>
  <c r="AC273" i="24"/>
  <c r="F273" i="24" s="1"/>
  <c r="AC274" i="24"/>
  <c r="F274" i="24" s="1"/>
  <c r="H274" i="24" s="1"/>
  <c r="AC65" i="24"/>
  <c r="F65" i="24" s="1"/>
  <c r="AC166" i="24"/>
  <c r="F166" i="24" s="1"/>
  <c r="AC86" i="24"/>
  <c r="F86" i="24" s="1"/>
  <c r="AC331" i="24"/>
  <c r="F331" i="24" s="1"/>
  <c r="AC51" i="24"/>
  <c r="F51" i="24" s="1"/>
  <c r="H51" i="24" s="1"/>
  <c r="N51" i="24" s="1"/>
  <c r="AC283" i="24"/>
  <c r="F283" i="24" s="1"/>
  <c r="AC387" i="24"/>
  <c r="F387" i="24" s="1"/>
  <c r="AC55" i="24"/>
  <c r="F55" i="24" s="1"/>
  <c r="AC376" i="24"/>
  <c r="F376" i="24" s="1"/>
  <c r="H75" i="23"/>
  <c r="I75" i="23" s="1"/>
  <c r="H170" i="23"/>
  <c r="I170" i="23" s="1"/>
  <c r="H351" i="23"/>
  <c r="I351" i="23" s="1"/>
  <c r="H73" i="23"/>
  <c r="I73" i="23" s="1"/>
  <c r="H102" i="23"/>
  <c r="N102" i="23" s="1"/>
  <c r="AD349" i="14"/>
  <c r="F349" i="14" s="1"/>
  <c r="AD60" i="14"/>
  <c r="F60" i="14" s="1"/>
  <c r="AD119" i="14"/>
  <c r="F119" i="14" s="1"/>
  <c r="AD200" i="14"/>
  <c r="F200" i="14" s="1"/>
  <c r="AD336" i="14"/>
  <c r="F336" i="14" s="1"/>
  <c r="AD106" i="14"/>
  <c r="F106" i="14" s="1"/>
  <c r="AD136" i="14"/>
  <c r="F136" i="14" s="1"/>
  <c r="AD62" i="14"/>
  <c r="F62" i="14" s="1"/>
  <c r="AD288" i="14"/>
  <c r="F288" i="14" s="1"/>
  <c r="AD314" i="14"/>
  <c r="F314" i="14" s="1"/>
  <c r="AD199" i="14"/>
  <c r="F199" i="14" s="1"/>
  <c r="AD177" i="14"/>
  <c r="F177" i="14" s="1"/>
  <c r="AD179" i="14"/>
  <c r="F179" i="14" s="1"/>
  <c r="AD127" i="14"/>
  <c r="F127" i="14" s="1"/>
  <c r="AD160" i="14"/>
  <c r="F160" i="14" s="1"/>
  <c r="AD141" i="14"/>
  <c r="F141" i="14" s="1"/>
  <c r="AD116" i="14"/>
  <c r="F116" i="14" s="1"/>
  <c r="AD96" i="14"/>
  <c r="F96" i="14" s="1"/>
  <c r="AD246" i="14"/>
  <c r="F246" i="14" s="1"/>
  <c r="AD237" i="14"/>
  <c r="F237" i="14" s="1"/>
  <c r="AD41" i="14"/>
  <c r="F41" i="14" s="1"/>
  <c r="AD351" i="14"/>
  <c r="F351" i="14" s="1"/>
  <c r="AD360" i="14"/>
  <c r="F360" i="14" s="1"/>
  <c r="AD125" i="14"/>
  <c r="F125" i="14" s="1"/>
  <c r="AD378" i="14"/>
  <c r="F378" i="14" s="1"/>
  <c r="AD223" i="14"/>
  <c r="F223" i="14" s="1"/>
  <c r="AD171" i="14"/>
  <c r="F171" i="14" s="1"/>
  <c r="AD175" i="14"/>
  <c r="F175" i="14" s="1"/>
  <c r="AD215" i="14"/>
  <c r="F215" i="14" s="1"/>
  <c r="AD307" i="14"/>
  <c r="F307" i="14" s="1"/>
  <c r="AD206" i="14"/>
  <c r="F206" i="14" s="1"/>
  <c r="AD339" i="14"/>
  <c r="F339" i="14" s="1"/>
  <c r="AD174" i="14"/>
  <c r="F174" i="14" s="1"/>
  <c r="AD298" i="14"/>
  <c r="F298" i="14" s="1"/>
  <c r="AD264" i="14"/>
  <c r="F264" i="14" s="1"/>
  <c r="AD353" i="14"/>
  <c r="F353" i="14" s="1"/>
  <c r="AD373" i="14"/>
  <c r="F373" i="14" s="1"/>
  <c r="AD291" i="14"/>
  <c r="F291" i="14" s="1"/>
  <c r="AD268" i="14"/>
  <c r="F268" i="14" s="1"/>
  <c r="AD379" i="14"/>
  <c r="F379" i="14" s="1"/>
  <c r="AD112" i="14"/>
  <c r="F112" i="14" s="1"/>
  <c r="AD332" i="14"/>
  <c r="F332" i="14" s="1"/>
  <c r="AD126" i="14"/>
  <c r="F126" i="14" s="1"/>
  <c r="AD55" i="14"/>
  <c r="F55" i="14" s="1"/>
  <c r="AD162" i="14"/>
  <c r="F162" i="14" s="1"/>
  <c r="AD188" i="14"/>
  <c r="F188" i="14" s="1"/>
  <c r="AD153" i="14"/>
  <c r="F153" i="14" s="1"/>
  <c r="AD211" i="14"/>
  <c r="F211" i="14" s="1"/>
  <c r="AD180" i="14"/>
  <c r="F180" i="14" s="1"/>
  <c r="AD73" i="14"/>
  <c r="F73" i="14" s="1"/>
  <c r="AD109" i="14"/>
  <c r="F109" i="14" s="1"/>
  <c r="AD79" i="14"/>
  <c r="F79" i="14" s="1"/>
  <c r="AD167" i="14"/>
  <c r="F167" i="14" s="1"/>
  <c r="AD392" i="14"/>
  <c r="F392" i="14" s="1"/>
  <c r="AD173" i="14"/>
  <c r="F173" i="14" s="1"/>
  <c r="AD56" i="14"/>
  <c r="F56" i="14" s="1"/>
  <c r="AD228" i="14"/>
  <c r="F228" i="14" s="1"/>
  <c r="AD344" i="14"/>
  <c r="F344" i="14" s="1"/>
  <c r="AD245" i="14"/>
  <c r="F245" i="14" s="1"/>
  <c r="AD259" i="14"/>
  <c r="F259" i="14" s="1"/>
  <c r="AD128" i="14"/>
  <c r="F128" i="14" s="1"/>
  <c r="AD164" i="14"/>
  <c r="F164" i="14" s="1"/>
  <c r="AD120" i="14"/>
  <c r="F120" i="14" s="1"/>
  <c r="AD250" i="14"/>
  <c r="F250" i="14" s="1"/>
  <c r="AD210" i="14"/>
  <c r="F210" i="14" s="1"/>
  <c r="H210" i="14" s="1"/>
  <c r="I210" i="14" s="1"/>
  <c r="AD283" i="14"/>
  <c r="F283" i="14" s="1"/>
  <c r="AD363" i="14"/>
  <c r="F363" i="14" s="1"/>
  <c r="AD338" i="14"/>
  <c r="F338" i="14" s="1"/>
  <c r="AD132" i="14"/>
  <c r="F132" i="14" s="1"/>
  <c r="AD371" i="14"/>
  <c r="F371" i="14" s="1"/>
  <c r="AD95" i="14"/>
  <c r="F95" i="14" s="1"/>
  <c r="AD86" i="14"/>
  <c r="F86" i="14" s="1"/>
  <c r="AD273" i="14"/>
  <c r="F273" i="14" s="1"/>
  <c r="AD355" i="14"/>
  <c r="F355" i="14" s="1"/>
  <c r="AD108" i="14"/>
  <c r="F108" i="14" s="1"/>
  <c r="AD310" i="14"/>
  <c r="F310" i="14" s="1"/>
  <c r="AD261" i="14"/>
  <c r="F261" i="14" s="1"/>
  <c r="AD242" i="14"/>
  <c r="F242" i="14" s="1"/>
  <c r="AD99" i="14"/>
  <c r="F99" i="14" s="1"/>
  <c r="AD382" i="14"/>
  <c r="F382" i="14" s="1"/>
  <c r="AD303" i="14"/>
  <c r="F303" i="14" s="1"/>
  <c r="AD347" i="14"/>
  <c r="F347" i="14" s="1"/>
  <c r="AD327" i="14"/>
  <c r="F327" i="14" s="1"/>
  <c r="AD192" i="14"/>
  <c r="F192" i="14" s="1"/>
  <c r="AD57" i="14"/>
  <c r="F57" i="14" s="1"/>
  <c r="AD348" i="14"/>
  <c r="F348" i="14" s="1"/>
  <c r="AD49" i="14"/>
  <c r="F49" i="14" s="1"/>
  <c r="AD398" i="14"/>
  <c r="F398" i="14" s="1"/>
  <c r="AD42" i="14"/>
  <c r="F42" i="14" s="1"/>
  <c r="AD54" i="14"/>
  <c r="F54" i="14" s="1"/>
  <c r="AD78" i="14"/>
  <c r="F78" i="14" s="1"/>
  <c r="AD358" i="14"/>
  <c r="F358" i="14" s="1"/>
  <c r="AD374" i="14"/>
  <c r="F374" i="14" s="1"/>
  <c r="AD76" i="14"/>
  <c r="F76" i="14" s="1"/>
  <c r="AD311" i="14"/>
  <c r="F311" i="14" s="1"/>
  <c r="AD330" i="14"/>
  <c r="F330" i="14" s="1"/>
  <c r="AD350" i="14"/>
  <c r="F350" i="14" s="1"/>
  <c r="AD282" i="14"/>
  <c r="F282" i="14" s="1"/>
  <c r="AD354" i="14"/>
  <c r="F354" i="14" s="1"/>
  <c r="AD39" i="14"/>
  <c r="F39" i="14" s="1"/>
  <c r="AD328" i="14"/>
  <c r="F328" i="14" s="1"/>
  <c r="AD216" i="14"/>
  <c r="F216" i="14" s="1"/>
  <c r="AD145" i="14"/>
  <c r="F145" i="14" s="1"/>
  <c r="AD214" i="14"/>
  <c r="F214" i="14" s="1"/>
  <c r="AD158" i="14"/>
  <c r="F158" i="14" s="1"/>
  <c r="AD58" i="14"/>
  <c r="F58" i="14" s="1"/>
  <c r="AD316" i="14"/>
  <c r="F316" i="14" s="1"/>
  <c r="AD193" i="14"/>
  <c r="F193" i="14" s="1"/>
  <c r="AD110" i="14"/>
  <c r="F110" i="14" s="1"/>
  <c r="AD399" i="14"/>
  <c r="F399" i="14" s="1"/>
  <c r="AD40" i="14"/>
  <c r="F40" i="14" s="1"/>
  <c r="AD138" i="14"/>
  <c r="F138" i="14" s="1"/>
  <c r="AD293" i="14"/>
  <c r="F293" i="14" s="1"/>
  <c r="AD47" i="14"/>
  <c r="F47" i="14" s="1"/>
  <c r="AD320" i="14"/>
  <c r="F320" i="14" s="1"/>
  <c r="AD213" i="14"/>
  <c r="F213" i="14" s="1"/>
  <c r="AD226" i="14"/>
  <c r="F226" i="14" s="1"/>
  <c r="AD69" i="14"/>
  <c r="F69" i="14" s="1"/>
  <c r="AD151" i="14"/>
  <c r="F151" i="14" s="1"/>
  <c r="AD322" i="14"/>
  <c r="F322" i="14" s="1"/>
  <c r="AD92" i="14"/>
  <c r="F92" i="14" s="1"/>
  <c r="AD305" i="14"/>
  <c r="F305" i="14" s="1"/>
  <c r="AD262" i="14"/>
  <c r="F262" i="14" s="1"/>
  <c r="AD91" i="14"/>
  <c r="F91" i="14" s="1"/>
  <c r="AD187" i="14"/>
  <c r="F187" i="14" s="1"/>
  <c r="AD94" i="14"/>
  <c r="F94" i="14" s="1"/>
  <c r="AD346" i="14"/>
  <c r="F346" i="14" s="1"/>
  <c r="AD142" i="14"/>
  <c r="F142" i="14" s="1"/>
  <c r="AD292" i="14"/>
  <c r="F292" i="14" s="1"/>
  <c r="AD366" i="14"/>
  <c r="F366" i="14" s="1"/>
  <c r="AD65" i="14"/>
  <c r="F65" i="14" s="1"/>
  <c r="AD391" i="14"/>
  <c r="F391" i="14" s="1"/>
  <c r="AD342" i="14"/>
  <c r="F342" i="14" s="1"/>
  <c r="AD287" i="14"/>
  <c r="F287" i="14" s="1"/>
  <c r="AD247" i="14"/>
  <c r="F247" i="14" s="1"/>
  <c r="AD183" i="14"/>
  <c r="F183" i="14" s="1"/>
  <c r="AD306" i="14"/>
  <c r="F306" i="14" s="1"/>
  <c r="AD184" i="14"/>
  <c r="F184" i="14" s="1"/>
  <c r="AD384" i="14"/>
  <c r="F384" i="14" s="1"/>
  <c r="AD182" i="14"/>
  <c r="F182" i="14" s="1"/>
  <c r="AD274" i="14"/>
  <c r="F274" i="14" s="1"/>
  <c r="AD370" i="14"/>
  <c r="F370" i="14" s="1"/>
  <c r="AD362" i="14"/>
  <c r="F362" i="14" s="1"/>
  <c r="AD386" i="14"/>
  <c r="F386" i="14" s="1"/>
  <c r="AD321" i="14"/>
  <c r="F321" i="14" s="1"/>
  <c r="AD43" i="14"/>
  <c r="F43" i="14" s="1"/>
  <c r="AD377" i="14"/>
  <c r="F377" i="14" s="1"/>
  <c r="AD308" i="14"/>
  <c r="F308" i="14" s="1"/>
  <c r="AD74" i="14"/>
  <c r="F74" i="14" s="1"/>
  <c r="AD387" i="14"/>
  <c r="F387" i="14" s="1"/>
  <c r="AD345" i="14"/>
  <c r="F345" i="14" s="1"/>
  <c r="AD289" i="14"/>
  <c r="F289" i="14" s="1"/>
  <c r="AD88" i="14"/>
  <c r="F88" i="14" s="1"/>
  <c r="AD385" i="14"/>
  <c r="F385" i="14" s="1"/>
  <c r="AD241" i="14"/>
  <c r="F241" i="14" s="1"/>
  <c r="AD260" i="14"/>
  <c r="F260" i="14" s="1"/>
  <c r="AD157" i="14"/>
  <c r="F157" i="14" s="1"/>
  <c r="AD341" i="14"/>
  <c r="F341" i="14" s="1"/>
  <c r="AD300" i="14"/>
  <c r="F300" i="14" s="1"/>
  <c r="AD255" i="14"/>
  <c r="F255" i="14" s="1"/>
  <c r="AD165" i="14"/>
  <c r="F165" i="14" s="1"/>
  <c r="AD154" i="14"/>
  <c r="F154" i="14" s="1"/>
  <c r="AD312" i="14"/>
  <c r="F312" i="14" s="1"/>
  <c r="AD212" i="14"/>
  <c r="F212" i="14" s="1"/>
  <c r="AD243" i="14"/>
  <c r="F243" i="14" s="1"/>
  <c r="AD111" i="14"/>
  <c r="F111" i="14" s="1"/>
  <c r="AD284" i="14"/>
  <c r="F284" i="14" s="1"/>
  <c r="AD335" i="14"/>
  <c r="F335" i="14" s="1"/>
  <c r="AD266" i="14"/>
  <c r="F266" i="14" s="1"/>
  <c r="AD149" i="14"/>
  <c r="F149" i="14" s="1"/>
  <c r="AD85" i="14"/>
  <c r="F85" i="14" s="1"/>
  <c r="AD381" i="14"/>
  <c r="F381" i="14" s="1"/>
  <c r="AD89" i="14"/>
  <c r="F89" i="14" s="1"/>
  <c r="AD279" i="14"/>
  <c r="F279" i="14" s="1"/>
  <c r="AD365" i="14"/>
  <c r="F365" i="14" s="1"/>
  <c r="AD204" i="14"/>
  <c r="F204" i="14" s="1"/>
  <c r="AD302" i="14"/>
  <c r="F302" i="14" s="1"/>
  <c r="AD296" i="14"/>
  <c r="F296" i="14" s="1"/>
  <c r="AD315" i="14"/>
  <c r="F315" i="14" s="1"/>
  <c r="AD318" i="14"/>
  <c r="F318" i="14" s="1"/>
  <c r="AD297" i="14"/>
  <c r="F297" i="14" s="1"/>
  <c r="AD113" i="14"/>
  <c r="F113" i="14" s="1"/>
  <c r="AD103" i="14"/>
  <c r="F103" i="14" s="1"/>
  <c r="AD356" i="14"/>
  <c r="F356" i="14" s="1"/>
  <c r="AD313" i="14"/>
  <c r="F313" i="14" s="1"/>
  <c r="AD194" i="14"/>
  <c r="F194" i="14" s="1"/>
  <c r="AD281" i="14"/>
  <c r="F281" i="14" s="1"/>
  <c r="AD137" i="14"/>
  <c r="F137" i="14" s="1"/>
  <c r="AD231" i="14"/>
  <c r="F231" i="14" s="1"/>
  <c r="AD90" i="14"/>
  <c r="F90" i="14" s="1"/>
  <c r="AD233" i="14"/>
  <c r="F233" i="14" s="1"/>
  <c r="AD81" i="14"/>
  <c r="F81" i="14" s="1"/>
  <c r="AD343" i="14"/>
  <c r="F343" i="14" s="1"/>
  <c r="AD166" i="14"/>
  <c r="F166" i="14" s="1"/>
  <c r="AD275" i="14"/>
  <c r="F275" i="14" s="1"/>
  <c r="AD68" i="14"/>
  <c r="F68" i="14" s="1"/>
  <c r="AD133" i="14"/>
  <c r="F133" i="14" s="1"/>
  <c r="AD232" i="14"/>
  <c r="F232" i="14" s="1"/>
  <c r="AD169" i="14"/>
  <c r="F169" i="14" s="1"/>
  <c r="AD185" i="14"/>
  <c r="F185" i="14" s="1"/>
  <c r="AD323" i="14"/>
  <c r="F323" i="14" s="1"/>
  <c r="AD205" i="14"/>
  <c r="F205" i="14" s="1"/>
  <c r="AD276" i="14"/>
  <c r="F276" i="14" s="1"/>
  <c r="AD84" i="14"/>
  <c r="F84" i="14" s="1"/>
  <c r="AD107" i="14"/>
  <c r="F107" i="14" s="1"/>
  <c r="AD189" i="14"/>
  <c r="F189" i="14" s="1"/>
  <c r="AD176" i="14"/>
  <c r="F176" i="14" s="1"/>
  <c r="AD257" i="14"/>
  <c r="F257" i="14" s="1"/>
  <c r="AD163" i="14"/>
  <c r="F163" i="14" s="1"/>
  <c r="AD333" i="14"/>
  <c r="F333" i="14" s="1"/>
  <c r="AD196" i="14"/>
  <c r="F196" i="14" s="1"/>
  <c r="AD59" i="14"/>
  <c r="F59" i="14" s="1"/>
  <c r="AD155" i="14"/>
  <c r="F155" i="14" s="1"/>
  <c r="AD130" i="14"/>
  <c r="F130" i="14" s="1"/>
  <c r="AD122" i="14"/>
  <c r="F122" i="14" s="1"/>
  <c r="AD208" i="14"/>
  <c r="F208" i="14" s="1"/>
  <c r="AD324" i="14"/>
  <c r="F324" i="14" s="1"/>
  <c r="AD357" i="14"/>
  <c r="F357" i="14" s="1"/>
  <c r="AD249" i="14"/>
  <c r="F249" i="14" s="1"/>
  <c r="AD100" i="14"/>
  <c r="F100" i="14" s="1"/>
  <c r="AD218" i="14"/>
  <c r="F218" i="14" s="1"/>
  <c r="AD168" i="14"/>
  <c r="F168" i="14" s="1"/>
  <c r="AD66" i="14"/>
  <c r="F66" i="14" s="1"/>
  <c r="AD117" i="14"/>
  <c r="F117" i="14" s="1"/>
  <c r="AD337" i="14"/>
  <c r="F337" i="14" s="1"/>
  <c r="AD295" i="14"/>
  <c r="F295" i="14" s="1"/>
  <c r="AD146" i="14"/>
  <c r="F146" i="14" s="1"/>
  <c r="AD222" i="14"/>
  <c r="F222" i="14" s="1"/>
  <c r="AD131" i="14"/>
  <c r="F131" i="14" s="1"/>
  <c r="AD299" i="14"/>
  <c r="F299" i="14" s="1"/>
  <c r="AD364" i="14"/>
  <c r="F364" i="14" s="1"/>
  <c r="AD309" i="14"/>
  <c r="F309" i="14" s="1"/>
  <c r="AD75" i="14"/>
  <c r="F75" i="14" s="1"/>
  <c r="AD285" i="14"/>
  <c r="F285" i="14" s="1"/>
  <c r="AD139" i="14"/>
  <c r="F139" i="14" s="1"/>
  <c r="AD389" i="14"/>
  <c r="F389" i="14" s="1"/>
  <c r="AD317" i="14"/>
  <c r="F317" i="14" s="1"/>
  <c r="AD195" i="14"/>
  <c r="F195" i="14" s="1"/>
  <c r="AD304" i="14"/>
  <c r="F304" i="14" s="1"/>
  <c r="AD115" i="14"/>
  <c r="F115" i="14" s="1"/>
  <c r="AD134" i="14"/>
  <c r="F134" i="14" s="1"/>
  <c r="AD265" i="14"/>
  <c r="F265" i="14" s="1"/>
  <c r="AD148" i="14"/>
  <c r="F148" i="14" s="1"/>
  <c r="AD143" i="14"/>
  <c r="F143" i="14" s="1"/>
  <c r="AD388" i="14"/>
  <c r="F388" i="14" s="1"/>
  <c r="AD209" i="14"/>
  <c r="F209" i="14" s="1"/>
  <c r="AD118" i="14"/>
  <c r="F118" i="14" s="1"/>
  <c r="AD181" i="14"/>
  <c r="F181" i="14" s="1"/>
  <c r="AD98" i="14"/>
  <c r="F98" i="14" s="1"/>
  <c r="AD225" i="14"/>
  <c r="F225" i="14" s="1"/>
  <c r="AD156" i="14"/>
  <c r="F156" i="14" s="1"/>
  <c r="AD352" i="14"/>
  <c r="F352" i="14" s="1"/>
  <c r="AD280" i="14"/>
  <c r="F280" i="14" s="1"/>
  <c r="AD114" i="14"/>
  <c r="F114" i="14" s="1"/>
  <c r="AD368" i="14"/>
  <c r="F368" i="14" s="1"/>
  <c r="AD87" i="14"/>
  <c r="F87" i="14" s="1"/>
  <c r="AD135" i="14"/>
  <c r="F135" i="14" s="1"/>
  <c r="AD161" i="14"/>
  <c r="F161" i="14" s="1"/>
  <c r="AD83" i="14"/>
  <c r="F83" i="14" s="1"/>
  <c r="AD186" i="14"/>
  <c r="F186" i="14" s="1"/>
  <c r="AD97" i="14"/>
  <c r="F97" i="14" s="1"/>
  <c r="AD93" i="14"/>
  <c r="F93" i="14" s="1"/>
  <c r="AD278" i="14"/>
  <c r="F278" i="14" s="1"/>
  <c r="AD104" i="14"/>
  <c r="F104" i="14" s="1"/>
  <c r="AD359" i="14"/>
  <c r="F359" i="14" s="1"/>
  <c r="AD150" i="14"/>
  <c r="F150" i="14" s="1"/>
  <c r="AD390" i="14"/>
  <c r="F390" i="14" s="1"/>
  <c r="AD277" i="14"/>
  <c r="F277" i="14" s="1"/>
  <c r="AD367" i="14"/>
  <c r="F367" i="14" s="1"/>
  <c r="AD221" i="14"/>
  <c r="F221" i="14" s="1"/>
  <c r="AD227" i="14"/>
  <c r="F227" i="14" s="1"/>
  <c r="AD52" i="14"/>
  <c r="F52" i="14" s="1"/>
  <c r="AD263" i="14"/>
  <c r="F263" i="14" s="1"/>
  <c r="AD72" i="14"/>
  <c r="F72" i="14" s="1"/>
  <c r="AD198" i="14"/>
  <c r="F198" i="14" s="1"/>
  <c r="AD51" i="14"/>
  <c r="F51" i="14" s="1"/>
  <c r="AD197" i="14"/>
  <c r="F197" i="14" s="1"/>
  <c r="AD334" i="14"/>
  <c r="F334" i="14" s="1"/>
  <c r="AD224" i="14"/>
  <c r="F224" i="14" s="1"/>
  <c r="AD267" i="14"/>
  <c r="F267" i="14" s="1"/>
  <c r="AD256" i="14"/>
  <c r="F256" i="14" s="1"/>
  <c r="AD238" i="14"/>
  <c r="F238" i="14" s="1"/>
  <c r="AD190" i="14"/>
  <c r="F190" i="14" s="1"/>
  <c r="AD271" i="14"/>
  <c r="F271" i="14" s="1"/>
  <c r="AD272" i="14"/>
  <c r="F272" i="14" s="1"/>
  <c r="AD235" i="14"/>
  <c r="F235" i="14" s="1"/>
  <c r="AD252" i="14"/>
  <c r="F252" i="14" s="1"/>
  <c r="AD170" i="14"/>
  <c r="F170" i="14" s="1"/>
  <c r="AD376" i="14"/>
  <c r="F376" i="14" s="1"/>
  <c r="AD71" i="14"/>
  <c r="F71" i="14" s="1"/>
  <c r="AD61" i="14"/>
  <c r="F61" i="14" s="1"/>
  <c r="AD230" i="14"/>
  <c r="F230" i="14" s="1"/>
  <c r="AD236" i="14"/>
  <c r="F236" i="14" s="1"/>
  <c r="AD70" i="14"/>
  <c r="F70" i="14" s="1"/>
  <c r="AD286" i="14"/>
  <c r="F286" i="14" s="1"/>
  <c r="AD258" i="14"/>
  <c r="F258" i="14" s="1"/>
  <c r="AD123" i="14"/>
  <c r="F123" i="14" s="1"/>
  <c r="AD397" i="14"/>
  <c r="F397" i="14" s="1"/>
  <c r="AD140" i="14"/>
  <c r="F140" i="14" s="1"/>
  <c r="AD319" i="14"/>
  <c r="F319" i="14" s="1"/>
  <c r="AD102" i="14"/>
  <c r="F102" i="14" s="1"/>
  <c r="AD124" i="14"/>
  <c r="F124" i="14" s="1"/>
  <c r="AD383" i="14"/>
  <c r="F383" i="14" s="1"/>
  <c r="AD251" i="14"/>
  <c r="F251" i="14" s="1"/>
  <c r="AD53" i="14"/>
  <c r="F53" i="14" s="1"/>
  <c r="AD239" i="14"/>
  <c r="F239" i="14" s="1"/>
  <c r="AD203" i="14"/>
  <c r="F203" i="14" s="1"/>
  <c r="AD50" i="14"/>
  <c r="F50" i="14" s="1"/>
  <c r="AD77" i="14"/>
  <c r="F77" i="14" s="1"/>
  <c r="AD152" i="14"/>
  <c r="F152" i="14" s="1"/>
  <c r="AD244" i="14"/>
  <c r="F244" i="14" s="1"/>
  <c r="AD340" i="14"/>
  <c r="F340" i="14" s="1"/>
  <c r="AD82" i="14"/>
  <c r="F82" i="14" s="1"/>
  <c r="AD121" i="14"/>
  <c r="F121" i="14" s="1"/>
  <c r="AD400" i="14"/>
  <c r="F400" i="14" s="1"/>
  <c r="AD45" i="14"/>
  <c r="F45" i="14" s="1"/>
  <c r="AD369" i="14"/>
  <c r="F369" i="14" s="1"/>
  <c r="AD329" i="14"/>
  <c r="F329" i="14" s="1"/>
  <c r="AD396" i="14"/>
  <c r="F396" i="14" s="1"/>
  <c r="AD294" i="14"/>
  <c r="F294" i="14" s="1"/>
  <c r="AD129" i="14"/>
  <c r="F129" i="14" s="1"/>
  <c r="AD290" i="14"/>
  <c r="F290" i="14" s="1"/>
  <c r="AD270" i="14"/>
  <c r="F270" i="14" s="1"/>
  <c r="AD147" i="14"/>
  <c r="F147" i="14" s="1"/>
  <c r="AD217" i="14"/>
  <c r="F217" i="14" s="1"/>
  <c r="AD105" i="14"/>
  <c r="F105" i="14" s="1"/>
  <c r="AD269" i="14"/>
  <c r="F269" i="14" s="1"/>
  <c r="AD191" i="14"/>
  <c r="F191" i="14" s="1"/>
  <c r="AD202" i="14"/>
  <c r="F202" i="14" s="1"/>
  <c r="AD201" i="14"/>
  <c r="F201" i="14" s="1"/>
  <c r="AD394" i="14"/>
  <c r="F394" i="14" s="1"/>
  <c r="AD393" i="14"/>
  <c r="F393" i="14" s="1"/>
  <c r="AD172" i="14"/>
  <c r="F172" i="14" s="1"/>
  <c r="AD229" i="14"/>
  <c r="F229" i="14" s="1"/>
  <c r="AD159" i="14"/>
  <c r="F159" i="14" s="1"/>
  <c r="AD48" i="14"/>
  <c r="F48" i="14" s="1"/>
  <c r="AD372" i="14"/>
  <c r="F372" i="14" s="1"/>
  <c r="AD64" i="14"/>
  <c r="F64" i="14" s="1"/>
  <c r="AD63" i="14"/>
  <c r="F63" i="14" s="1"/>
  <c r="AD301" i="14"/>
  <c r="F301" i="14" s="1"/>
  <c r="AD46" i="14"/>
  <c r="F46" i="14" s="1"/>
  <c r="AD144" i="14"/>
  <c r="F144" i="14" s="1"/>
  <c r="AD44" i="14"/>
  <c r="F44" i="14" s="1"/>
  <c r="AD325" i="14"/>
  <c r="F325" i="14" s="1"/>
  <c r="AD101" i="14"/>
  <c r="F101" i="14" s="1"/>
  <c r="AD380" i="14"/>
  <c r="F380" i="14" s="1"/>
  <c r="AD395" i="14"/>
  <c r="F395" i="14" s="1"/>
  <c r="AD234" i="14"/>
  <c r="F234" i="14" s="1"/>
  <c r="AD361" i="14"/>
  <c r="F361" i="14" s="1"/>
  <c r="AD326" i="14"/>
  <c r="F326" i="14" s="1"/>
  <c r="AD80" i="14"/>
  <c r="F80" i="14" s="1"/>
  <c r="AD375" i="14"/>
  <c r="F375" i="14" s="1"/>
  <c r="AD240" i="14"/>
  <c r="F240" i="14" s="1"/>
  <c r="AD254" i="14"/>
  <c r="F254" i="14" s="1"/>
  <c r="AD67" i="14"/>
  <c r="F67" i="14" s="1"/>
  <c r="AD331" i="14"/>
  <c r="F331" i="14" s="1"/>
  <c r="AD253" i="14"/>
  <c r="F253" i="14" s="1"/>
  <c r="AD207" i="14"/>
  <c r="F207" i="14" s="1"/>
  <c r="AD248" i="14"/>
  <c r="F248" i="14" s="1"/>
  <c r="AD178" i="14"/>
  <c r="F178" i="14" s="1"/>
  <c r="H179" i="23"/>
  <c r="I179" i="23" s="1"/>
  <c r="H97" i="23"/>
  <c r="N97" i="23" s="1"/>
  <c r="H217" i="23"/>
  <c r="I217" i="23" s="1"/>
  <c r="V396" i="14"/>
  <c r="D396" i="14" s="1"/>
  <c r="V231" i="14"/>
  <c r="D231" i="14" s="1"/>
  <c r="V337" i="14"/>
  <c r="D337" i="14" s="1"/>
  <c r="V316" i="14"/>
  <c r="D316" i="14" s="1"/>
  <c r="V331" i="14"/>
  <c r="D331" i="14" s="1"/>
  <c r="H331" i="14" s="1"/>
  <c r="I331" i="14" s="1"/>
  <c r="V249" i="14"/>
  <c r="D249" i="14" s="1"/>
  <c r="V115" i="14"/>
  <c r="D115" i="14" s="1"/>
  <c r="V174" i="14"/>
  <c r="D174" i="14" s="1"/>
  <c r="V137" i="14"/>
  <c r="D137" i="14" s="1"/>
  <c r="V310" i="14"/>
  <c r="D310" i="14" s="1"/>
  <c r="V153" i="14"/>
  <c r="D153" i="14" s="1"/>
  <c r="V395" i="14"/>
  <c r="D395" i="14" s="1"/>
  <c r="V167" i="14"/>
  <c r="D167" i="14" s="1"/>
  <c r="V256" i="14"/>
  <c r="D256" i="14" s="1"/>
  <c r="H256" i="14" s="1"/>
  <c r="I256" i="14" s="1"/>
  <c r="V227" i="14"/>
  <c r="D227" i="14" s="1"/>
  <c r="V40" i="14"/>
  <c r="D40" i="14" s="1"/>
  <c r="V63" i="14"/>
  <c r="D63" i="14" s="1"/>
  <c r="V325" i="14"/>
  <c r="D325" i="14" s="1"/>
  <c r="V346" i="14"/>
  <c r="D346" i="14" s="1"/>
  <c r="V128" i="14"/>
  <c r="D128" i="14" s="1"/>
  <c r="V353" i="14"/>
  <c r="D353" i="14" s="1"/>
  <c r="H353" i="14" s="1"/>
  <c r="I353" i="14" s="1"/>
  <c r="V288" i="14"/>
  <c r="D288" i="14" s="1"/>
  <c r="V303" i="14"/>
  <c r="D303" i="14" s="1"/>
  <c r="V194" i="14"/>
  <c r="D194" i="14" s="1"/>
  <c r="V338" i="14"/>
  <c r="D338" i="14" s="1"/>
  <c r="V52" i="14"/>
  <c r="D52" i="14" s="1"/>
  <c r="V59" i="14"/>
  <c r="D59" i="14" s="1"/>
  <c r="V53" i="14"/>
  <c r="D53" i="14" s="1"/>
  <c r="V177" i="14"/>
  <c r="D177" i="14" s="1"/>
  <c r="V186" i="14"/>
  <c r="D186" i="14" s="1"/>
  <c r="V391" i="14"/>
  <c r="D391" i="14" s="1"/>
  <c r="V229" i="14"/>
  <c r="D229" i="14" s="1"/>
  <c r="V271" i="14"/>
  <c r="D271" i="14" s="1"/>
  <c r="V344" i="14"/>
  <c r="D344" i="14" s="1"/>
  <c r="V342" i="14"/>
  <c r="D342" i="14" s="1"/>
  <c r="V332" i="14"/>
  <c r="D332" i="14" s="1"/>
  <c r="V143" i="14"/>
  <c r="D143" i="14" s="1"/>
  <c r="H143" i="14" s="1"/>
  <c r="I143" i="14" s="1"/>
  <c r="V296" i="14"/>
  <c r="D296" i="14" s="1"/>
  <c r="V208" i="14"/>
  <c r="D208" i="14" s="1"/>
  <c r="V380" i="14"/>
  <c r="D380" i="14" s="1"/>
  <c r="V394" i="14"/>
  <c r="D394" i="14" s="1"/>
  <c r="V135" i="14"/>
  <c r="D135" i="14" s="1"/>
  <c r="V204" i="14"/>
  <c r="D204" i="14" s="1"/>
  <c r="V330" i="14"/>
  <c r="D330" i="14" s="1"/>
  <c r="V152" i="14"/>
  <c r="D152" i="14" s="1"/>
  <c r="V392" i="14"/>
  <c r="D392" i="14" s="1"/>
  <c r="V69" i="14"/>
  <c r="D69" i="14" s="1"/>
  <c r="V195" i="14"/>
  <c r="D195" i="14" s="1"/>
  <c r="V228" i="14"/>
  <c r="D228" i="14" s="1"/>
  <c r="V210" i="14"/>
  <c r="D210" i="14" s="1"/>
  <c r="V64" i="14"/>
  <c r="D64" i="14" s="1"/>
  <c r="V341" i="14"/>
  <c r="D341" i="14" s="1"/>
  <c r="V261" i="14"/>
  <c r="D261" i="14" s="1"/>
  <c r="V145" i="14"/>
  <c r="D145" i="14" s="1"/>
  <c r="V357" i="14"/>
  <c r="D357" i="14" s="1"/>
  <c r="V183" i="14"/>
  <c r="D183" i="14" s="1"/>
  <c r="V273" i="14"/>
  <c r="D273" i="14" s="1"/>
  <c r="V43" i="14"/>
  <c r="D43" i="14" s="1"/>
  <c r="V89" i="14"/>
  <c r="D89" i="14" s="1"/>
  <c r="V71" i="14"/>
  <c r="D71" i="14" s="1"/>
  <c r="V182" i="14"/>
  <c r="D182" i="14" s="1"/>
  <c r="V166" i="14"/>
  <c r="D166" i="14" s="1"/>
  <c r="V272" i="14"/>
  <c r="D272" i="14" s="1"/>
  <c r="V193" i="14"/>
  <c r="D193" i="14" s="1"/>
  <c r="V67" i="14"/>
  <c r="D67" i="14" s="1"/>
  <c r="V111" i="14"/>
  <c r="D111" i="14" s="1"/>
  <c r="V223" i="14"/>
  <c r="D223" i="14" s="1"/>
  <c r="V98" i="14"/>
  <c r="D98" i="14" s="1"/>
  <c r="V200" i="14"/>
  <c r="D200" i="14" s="1"/>
  <c r="V47" i="14"/>
  <c r="D47" i="14" s="1"/>
  <c r="V206" i="14"/>
  <c r="D206" i="14" s="1"/>
  <c r="V44" i="14"/>
  <c r="D44" i="14" s="1"/>
  <c r="V86" i="14"/>
  <c r="D86" i="14" s="1"/>
  <c r="V156" i="14"/>
  <c r="D156" i="14" s="1"/>
  <c r="V134" i="14"/>
  <c r="D134" i="14" s="1"/>
  <c r="V350" i="14"/>
  <c r="D350" i="14" s="1"/>
  <c r="V321" i="14"/>
  <c r="D321" i="14" s="1"/>
  <c r="V340" i="14"/>
  <c r="D340" i="14" s="1"/>
  <c r="V250" i="14"/>
  <c r="D250" i="14" s="1"/>
  <c r="V399" i="14"/>
  <c r="D399" i="14" s="1"/>
  <c r="V91" i="14"/>
  <c r="D91" i="14" s="1"/>
  <c r="V359" i="14"/>
  <c r="D359" i="14" s="1"/>
  <c r="V251" i="14"/>
  <c r="D251" i="14" s="1"/>
  <c r="V48" i="14"/>
  <c r="D48" i="14" s="1"/>
  <c r="V85" i="14"/>
  <c r="D85" i="14" s="1"/>
  <c r="V384" i="14"/>
  <c r="D384" i="14" s="1"/>
  <c r="V246" i="14"/>
  <c r="D246" i="14" s="1"/>
  <c r="V284" i="14"/>
  <c r="D284" i="14" s="1"/>
  <c r="V46" i="14"/>
  <c r="D46" i="14" s="1"/>
  <c r="V77" i="14"/>
  <c r="D77" i="14" s="1"/>
  <c r="H77" i="14" s="1"/>
  <c r="I77" i="14" s="1"/>
  <c r="V369" i="14"/>
  <c r="D369" i="14" s="1"/>
  <c r="V378" i="14"/>
  <c r="D378" i="14" s="1"/>
  <c r="V51" i="14"/>
  <c r="D51" i="14" s="1"/>
  <c r="H51" i="14" s="1"/>
  <c r="N51" i="14" s="1"/>
  <c r="V176" i="14"/>
  <c r="D176" i="14" s="1"/>
  <c r="V372" i="14"/>
  <c r="D372" i="14" s="1"/>
  <c r="V298" i="14"/>
  <c r="D298" i="14" s="1"/>
  <c r="V280" i="14"/>
  <c r="D280" i="14" s="1"/>
  <c r="V270" i="14"/>
  <c r="D270" i="14" s="1"/>
  <c r="V103" i="14"/>
  <c r="D103" i="14" s="1"/>
  <c r="V207" i="14"/>
  <c r="D207" i="14" s="1"/>
  <c r="V269" i="14"/>
  <c r="D269" i="14" s="1"/>
  <c r="V130" i="14"/>
  <c r="D130" i="14" s="1"/>
  <c r="V257" i="14"/>
  <c r="D257" i="14" s="1"/>
  <c r="V191" i="14"/>
  <c r="D191" i="14" s="1"/>
  <c r="V112" i="14"/>
  <c r="D112" i="14" s="1"/>
  <c r="V90" i="14"/>
  <c r="D90" i="14" s="1"/>
  <c r="V93" i="14"/>
  <c r="D93" i="14" s="1"/>
  <c r="V203" i="14"/>
  <c r="D203" i="14" s="1"/>
  <c r="V50" i="14"/>
  <c r="D50" i="14" s="1"/>
  <c r="V275" i="14"/>
  <c r="D275" i="14" s="1"/>
  <c r="V318" i="14"/>
  <c r="D318" i="14" s="1"/>
  <c r="V400" i="14"/>
  <c r="D400" i="14" s="1"/>
  <c r="V212" i="14"/>
  <c r="D212" i="14" s="1"/>
  <c r="H212" i="14" s="1"/>
  <c r="I212" i="14" s="1"/>
  <c r="V213" i="14"/>
  <c r="D213" i="14" s="1"/>
  <c r="V238" i="14"/>
  <c r="D238" i="14" s="1"/>
  <c r="V136" i="14"/>
  <c r="D136" i="14" s="1"/>
  <c r="V202" i="14"/>
  <c r="D202" i="14" s="1"/>
  <c r="V165" i="14"/>
  <c r="D165" i="14" s="1"/>
  <c r="V122" i="14"/>
  <c r="D122" i="14" s="1"/>
  <c r="V297" i="14"/>
  <c r="D297" i="14" s="1"/>
  <c r="V382" i="14"/>
  <c r="D382" i="14" s="1"/>
  <c r="V294" i="14"/>
  <c r="D294" i="14" s="1"/>
  <c r="V150" i="14"/>
  <c r="D150" i="14" s="1"/>
  <c r="V175" i="14"/>
  <c r="D175" i="14" s="1"/>
  <c r="H175" i="14" s="1"/>
  <c r="I175" i="14" s="1"/>
  <c r="V241" i="14"/>
  <c r="D241" i="14" s="1"/>
  <c r="V179" i="14"/>
  <c r="D179" i="14" s="1"/>
  <c r="V386" i="14"/>
  <c r="D386" i="14" s="1"/>
  <c r="V279" i="14"/>
  <c r="D279" i="14" s="1"/>
  <c r="V390" i="14"/>
  <c r="D390" i="14" s="1"/>
  <c r="V106" i="14"/>
  <c r="D106" i="14" s="1"/>
  <c r="V326" i="14"/>
  <c r="D326" i="14" s="1"/>
  <c r="V277" i="14"/>
  <c r="D277" i="14" s="1"/>
  <c r="V222" i="14"/>
  <c r="D222" i="14" s="1"/>
  <c r="V81" i="14"/>
  <c r="D81" i="14" s="1"/>
  <c r="V367" i="14"/>
  <c r="D367" i="14" s="1"/>
  <c r="V262" i="14"/>
  <c r="D262" i="14" s="1"/>
  <c r="V328" i="14"/>
  <c r="D328" i="14" s="1"/>
  <c r="V109" i="14"/>
  <c r="D109" i="14" s="1"/>
  <c r="V393" i="14"/>
  <c r="D393" i="14" s="1"/>
  <c r="V234" i="14"/>
  <c r="D234" i="14" s="1"/>
  <c r="V398" i="14"/>
  <c r="D398" i="14" s="1"/>
  <c r="V140" i="14"/>
  <c r="D140" i="14" s="1"/>
  <c r="V123" i="14"/>
  <c r="D123" i="14" s="1"/>
  <c r="V66" i="14"/>
  <c r="D66" i="14" s="1"/>
  <c r="V339" i="14"/>
  <c r="D339" i="14" s="1"/>
  <c r="V319" i="14"/>
  <c r="D319" i="14" s="1"/>
  <c r="V282" i="14"/>
  <c r="D282" i="14" s="1"/>
  <c r="V267" i="14"/>
  <c r="D267" i="14" s="1"/>
  <c r="V356" i="14"/>
  <c r="D356" i="14" s="1"/>
  <c r="V360" i="14"/>
  <c r="D360" i="14" s="1"/>
  <c r="V97" i="14"/>
  <c r="D97" i="14" s="1"/>
  <c r="V305" i="14"/>
  <c r="D305" i="14" s="1"/>
  <c r="V110" i="14"/>
  <c r="D110" i="14" s="1"/>
  <c r="V142" i="14"/>
  <c r="D142" i="14" s="1"/>
  <c r="V299" i="14"/>
  <c r="D299" i="14" s="1"/>
  <c r="V315" i="14"/>
  <c r="D315" i="14" s="1"/>
  <c r="V336" i="14"/>
  <c r="D336" i="14" s="1"/>
  <c r="H336" i="14" s="1"/>
  <c r="V131" i="14"/>
  <c r="D131" i="14" s="1"/>
  <c r="V397" i="14"/>
  <c r="D397" i="14" s="1"/>
  <c r="V226" i="14"/>
  <c r="D226" i="14" s="1"/>
  <c r="V148" i="14"/>
  <c r="D148" i="14" s="1"/>
  <c r="V293" i="14"/>
  <c r="D293" i="14" s="1"/>
  <c r="V161" i="14"/>
  <c r="D161" i="14" s="1"/>
  <c r="V141" i="14"/>
  <c r="D141" i="14" s="1"/>
  <c r="V119" i="14"/>
  <c r="D119" i="14" s="1"/>
  <c r="V322" i="14"/>
  <c r="D322" i="14" s="1"/>
  <c r="V144" i="14"/>
  <c r="D144" i="14" s="1"/>
  <c r="V349" i="14"/>
  <c r="D349" i="14" s="1"/>
  <c r="V159" i="14"/>
  <c r="D159" i="14" s="1"/>
  <c r="V287" i="14"/>
  <c r="D287" i="14" s="1"/>
  <c r="V88" i="14"/>
  <c r="D88" i="14" s="1"/>
  <c r="V133" i="14"/>
  <c r="D133" i="14" s="1"/>
  <c r="V232" i="14"/>
  <c r="D232" i="14" s="1"/>
  <c r="V117" i="14"/>
  <c r="D117" i="14" s="1"/>
  <c r="V335" i="14"/>
  <c r="D335" i="14" s="1"/>
  <c r="V258" i="14"/>
  <c r="D258" i="14" s="1"/>
  <c r="V387" i="14"/>
  <c r="D387" i="14" s="1"/>
  <c r="V125" i="14"/>
  <c r="D125" i="14" s="1"/>
  <c r="V265" i="14"/>
  <c r="D265" i="14" s="1"/>
  <c r="H265" i="14" s="1"/>
  <c r="N265" i="14" s="1"/>
  <c r="V361" i="14"/>
  <c r="D361" i="14" s="1"/>
  <c r="V264" i="14"/>
  <c r="D264" i="14" s="1"/>
  <c r="V94" i="14"/>
  <c r="D94" i="14" s="1"/>
  <c r="V147" i="14"/>
  <c r="D147" i="14" s="1"/>
  <c r="V263" i="14"/>
  <c r="D263" i="14" s="1"/>
  <c r="V281" i="14"/>
  <c r="D281" i="14" s="1"/>
  <c r="V95" i="14"/>
  <c r="D95" i="14" s="1"/>
  <c r="V345" i="14"/>
  <c r="D345" i="14" s="1"/>
  <c r="V355" i="14"/>
  <c r="D355" i="14" s="1"/>
  <c r="V292" i="14"/>
  <c r="D292" i="14" s="1"/>
  <c r="V248" i="14"/>
  <c r="D248" i="14" s="1"/>
  <c r="V57" i="14"/>
  <c r="D57" i="14" s="1"/>
  <c r="V163" i="14"/>
  <c r="D163" i="14" s="1"/>
  <c r="V217" i="14"/>
  <c r="D217" i="14" s="1"/>
  <c r="V247" i="14"/>
  <c r="D247" i="14" s="1"/>
  <c r="V291" i="14"/>
  <c r="D291" i="14" s="1"/>
  <c r="V107" i="14"/>
  <c r="D107" i="14" s="1"/>
  <c r="V76" i="14"/>
  <c r="D76" i="14" s="1"/>
  <c r="V79" i="14"/>
  <c r="D79" i="14" s="1"/>
  <c r="H79" i="14" s="1"/>
  <c r="V56" i="14"/>
  <c r="D56" i="14" s="1"/>
  <c r="V368" i="14"/>
  <c r="D368" i="14" s="1"/>
  <c r="V84" i="14"/>
  <c r="D84" i="14" s="1"/>
  <c r="H84" i="14" s="1"/>
  <c r="V124" i="14"/>
  <c r="D124" i="14" s="1"/>
  <c r="V54" i="14"/>
  <c r="D54" i="14" s="1"/>
  <c r="V65" i="14"/>
  <c r="D65" i="14" s="1"/>
  <c r="V320" i="14"/>
  <c r="D320" i="14" s="1"/>
  <c r="V244" i="14"/>
  <c r="D244" i="14" s="1"/>
  <c r="V127" i="14"/>
  <c r="D127" i="14" s="1"/>
  <c r="V132" i="14"/>
  <c r="D132" i="14" s="1"/>
  <c r="V385" i="14"/>
  <c r="D385" i="14" s="1"/>
  <c r="V312" i="14"/>
  <c r="D312" i="14" s="1"/>
  <c r="V266" i="14"/>
  <c r="D266" i="14" s="1"/>
  <c r="V239" i="14"/>
  <c r="D239" i="14" s="1"/>
  <c r="V68" i="14"/>
  <c r="D68" i="14" s="1"/>
  <c r="V178" i="14"/>
  <c r="D178" i="14" s="1"/>
  <c r="V290" i="14"/>
  <c r="D290" i="14" s="1"/>
  <c r="V149" i="14"/>
  <c r="D149" i="14" s="1"/>
  <c r="V151" i="14"/>
  <c r="D151" i="14" s="1"/>
  <c r="V197" i="14"/>
  <c r="D197" i="14" s="1"/>
  <c r="V101" i="14"/>
  <c r="D101" i="14" s="1"/>
  <c r="V164" i="14"/>
  <c r="D164" i="14" s="1"/>
  <c r="V185" i="14"/>
  <c r="D185" i="14" s="1"/>
  <c r="H185" i="14" s="1"/>
  <c r="N185" i="14" s="1"/>
  <c r="V383" i="14"/>
  <c r="D383" i="14" s="1"/>
  <c r="V300" i="14"/>
  <c r="D300" i="14" s="1"/>
  <c r="V224" i="14"/>
  <c r="D224" i="14" s="1"/>
  <c r="V138" i="14"/>
  <c r="D138" i="14" s="1"/>
  <c r="V334" i="14"/>
  <c r="D334" i="14" s="1"/>
  <c r="V80" i="14"/>
  <c r="D80" i="14" s="1"/>
  <c r="V205" i="14"/>
  <c r="D205" i="14" s="1"/>
  <c r="V70" i="14"/>
  <c r="D70" i="14" s="1"/>
  <c r="V126" i="14"/>
  <c r="D126" i="14" s="1"/>
  <c r="V61" i="14"/>
  <c r="D61" i="14" s="1"/>
  <c r="V314" i="14"/>
  <c r="D314" i="14" s="1"/>
  <c r="V102" i="14"/>
  <c r="D102" i="14" s="1"/>
  <c r="V374" i="14"/>
  <c r="D374" i="14" s="1"/>
  <c r="H374" i="14" s="1"/>
  <c r="V327" i="14"/>
  <c r="D327" i="14" s="1"/>
  <c r="V371" i="14"/>
  <c r="D371" i="14" s="1"/>
  <c r="V333" i="14"/>
  <c r="D333" i="14" s="1"/>
  <c r="V58" i="14"/>
  <c r="D58" i="14" s="1"/>
  <c r="V255" i="14"/>
  <c r="D255" i="14" s="1"/>
  <c r="V104" i="14"/>
  <c r="D104" i="14" s="1"/>
  <c r="V157" i="14"/>
  <c r="D157" i="14" s="1"/>
  <c r="V218" i="14"/>
  <c r="D218" i="14" s="1"/>
  <c r="H218" i="14" s="1"/>
  <c r="V373" i="14"/>
  <c r="D373" i="14" s="1"/>
  <c r="V233" i="14"/>
  <c r="D233" i="14" s="1"/>
  <c r="V324" i="14"/>
  <c r="D324" i="14" s="1"/>
  <c r="V309" i="14"/>
  <c r="D309" i="14" s="1"/>
  <c r="H309" i="14" s="1"/>
  <c r="V323" i="14"/>
  <c r="D323" i="14" s="1"/>
  <c r="V192" i="14"/>
  <c r="D192" i="14" s="1"/>
  <c r="V381" i="14"/>
  <c r="D381" i="14" s="1"/>
  <c r="H381" i="14" s="1"/>
  <c r="V45" i="14"/>
  <c r="D45" i="14" s="1"/>
  <c r="V116" i="14"/>
  <c r="D116" i="14" s="1"/>
  <c r="V242" i="14"/>
  <c r="D242" i="14" s="1"/>
  <c r="V363" i="14"/>
  <c r="D363" i="14" s="1"/>
  <c r="V155" i="14"/>
  <c r="D155" i="14" s="1"/>
  <c r="V173" i="14"/>
  <c r="D173" i="14" s="1"/>
  <c r="V370" i="14"/>
  <c r="D370" i="14" s="1"/>
  <c r="V377" i="14"/>
  <c r="D377" i="14" s="1"/>
  <c r="V168" i="14"/>
  <c r="D168" i="14" s="1"/>
  <c r="V307" i="14"/>
  <c r="D307" i="14" s="1"/>
  <c r="V259" i="14"/>
  <c r="D259" i="14" s="1"/>
  <c r="V92" i="14"/>
  <c r="D92" i="14" s="1"/>
  <c r="V268" i="14"/>
  <c r="D268" i="14" s="1"/>
  <c r="V158" i="14"/>
  <c r="D158" i="14" s="1"/>
  <c r="V317" i="14"/>
  <c r="D317" i="14" s="1"/>
  <c r="V366" i="14"/>
  <c r="D366" i="14" s="1"/>
  <c r="V215" i="14"/>
  <c r="D215" i="14" s="1"/>
  <c r="H215" i="14" s="1"/>
  <c r="V313" i="14"/>
  <c r="D313" i="14" s="1"/>
  <c r="V352" i="14"/>
  <c r="D352" i="14" s="1"/>
  <c r="V42" i="14"/>
  <c r="D42" i="14" s="1"/>
  <c r="V100" i="14"/>
  <c r="D100" i="14" s="1"/>
  <c r="H100" i="14" s="1"/>
  <c r="I100" i="14" s="1"/>
  <c r="V162" i="14"/>
  <c r="D162" i="14" s="1"/>
  <c r="V311" i="14"/>
  <c r="D311" i="14" s="1"/>
  <c r="H311" i="14" s="1"/>
  <c r="V121" i="14"/>
  <c r="D121" i="14" s="1"/>
  <c r="V74" i="14"/>
  <c r="D74" i="14" s="1"/>
  <c r="H74" i="14" s="1"/>
  <c r="I74" i="14" s="1"/>
  <c r="V62" i="14"/>
  <c r="D62" i="14" s="1"/>
  <c r="V154" i="14"/>
  <c r="D154" i="14" s="1"/>
  <c r="V235" i="14"/>
  <c r="D235" i="14" s="1"/>
  <c r="V216" i="14"/>
  <c r="D216" i="14" s="1"/>
  <c r="V379" i="14"/>
  <c r="D379" i="14" s="1"/>
  <c r="V160" i="14"/>
  <c r="D160" i="14" s="1"/>
  <c r="V49" i="14"/>
  <c r="D49" i="14" s="1"/>
  <c r="V343" i="14"/>
  <c r="D343" i="14" s="1"/>
  <c r="V211" i="14"/>
  <c r="D211" i="14" s="1"/>
  <c r="V225" i="14"/>
  <c r="D225" i="14" s="1"/>
  <c r="V190" i="14"/>
  <c r="D190" i="14" s="1"/>
  <c r="V376" i="14"/>
  <c r="D376" i="14" s="1"/>
  <c r="H376" i="14" s="1"/>
  <c r="V308" i="14"/>
  <c r="D308" i="14" s="1"/>
  <c r="V187" i="14"/>
  <c r="D187" i="14" s="1"/>
  <c r="H187" i="14" s="1"/>
  <c r="I187" i="14" s="1"/>
  <c r="V236" i="14"/>
  <c r="D236" i="14" s="1"/>
  <c r="V120" i="14"/>
  <c r="D120" i="14" s="1"/>
  <c r="V289" i="14"/>
  <c r="D289" i="14" s="1"/>
  <c r="V286" i="14"/>
  <c r="D286" i="14" s="1"/>
  <c r="H286" i="14" s="1"/>
  <c r="I286" i="14" s="1"/>
  <c r="V274" i="14"/>
  <c r="D274" i="14" s="1"/>
  <c r="V146" i="14"/>
  <c r="D146" i="14" s="1"/>
  <c r="V39" i="14"/>
  <c r="D39" i="14" s="1"/>
  <c r="V72" i="14"/>
  <c r="D72" i="14" s="1"/>
  <c r="V114" i="14"/>
  <c r="D114" i="14" s="1"/>
  <c r="V306" i="14"/>
  <c r="D306" i="14" s="1"/>
  <c r="V283" i="14"/>
  <c r="D283" i="14" s="1"/>
  <c r="V364" i="14"/>
  <c r="D364" i="14" s="1"/>
  <c r="H364" i="14" s="1"/>
  <c r="N364" i="14" s="1"/>
  <c r="V87" i="14"/>
  <c r="D87" i="14" s="1"/>
  <c r="H87" i="14" s="1"/>
  <c r="V278" i="14"/>
  <c r="D278" i="14" s="1"/>
  <c r="V347" i="14"/>
  <c r="D347" i="14" s="1"/>
  <c r="V351" i="14"/>
  <c r="D351" i="14" s="1"/>
  <c r="V108" i="14"/>
  <c r="D108" i="14" s="1"/>
  <c r="V221" i="14"/>
  <c r="D221" i="14" s="1"/>
  <c r="V105" i="14"/>
  <c r="D105" i="14" s="1"/>
  <c r="V388" i="14"/>
  <c r="D388" i="14" s="1"/>
  <c r="H388" i="14" s="1"/>
  <c r="V365" i="14"/>
  <c r="D365" i="14" s="1"/>
  <c r="V389" i="14"/>
  <c r="D389" i="14" s="1"/>
  <c r="V302" i="14"/>
  <c r="D302" i="14" s="1"/>
  <c r="V245" i="14"/>
  <c r="D245" i="14" s="1"/>
  <c r="H245" i="14" s="1"/>
  <c r="I245" i="14" s="1"/>
  <c r="V201" i="14"/>
  <c r="D201" i="14" s="1"/>
  <c r="V304" i="14"/>
  <c r="D304" i="14" s="1"/>
  <c r="V172" i="14"/>
  <c r="D172" i="14" s="1"/>
  <c r="V243" i="14"/>
  <c r="D243" i="14" s="1"/>
  <c r="V96" i="14"/>
  <c r="D96" i="14" s="1"/>
  <c r="V253" i="14"/>
  <c r="D253" i="14" s="1"/>
  <c r="H253" i="14" s="1"/>
  <c r="I253" i="14" s="1"/>
  <c r="V170" i="14"/>
  <c r="D170" i="14" s="1"/>
  <c r="V237" i="14"/>
  <c r="D237" i="14" s="1"/>
  <c r="V118" i="14"/>
  <c r="D118" i="14" s="1"/>
  <c r="V60" i="14"/>
  <c r="D60" i="14" s="1"/>
  <c r="V83" i="14"/>
  <c r="D83" i="14" s="1"/>
  <c r="V362" i="14"/>
  <c r="D362" i="14" s="1"/>
  <c r="V295" i="14"/>
  <c r="D295" i="14" s="1"/>
  <c r="V181" i="14"/>
  <c r="D181" i="14" s="1"/>
  <c r="V99" i="14"/>
  <c r="D99" i="14" s="1"/>
  <c r="V171" i="14"/>
  <c r="D171" i="14" s="1"/>
  <c r="V41" i="14"/>
  <c r="D41" i="14" s="1"/>
  <c r="V75" i="14"/>
  <c r="D75" i="14" s="1"/>
  <c r="V354" i="14"/>
  <c r="D354" i="14" s="1"/>
  <c r="V129" i="14"/>
  <c r="D129" i="14" s="1"/>
  <c r="V375" i="14"/>
  <c r="D375" i="14" s="1"/>
  <c r="V209" i="14"/>
  <c r="D209" i="14" s="1"/>
  <c r="V113" i="14"/>
  <c r="D113" i="14" s="1"/>
  <c r="H113" i="14" s="1"/>
  <c r="I113" i="14" s="1"/>
  <c r="V55" i="14"/>
  <c r="D55" i="14" s="1"/>
  <c r="V180" i="14"/>
  <c r="D180" i="14" s="1"/>
  <c r="V82" i="14"/>
  <c r="D82" i="14" s="1"/>
  <c r="V329" i="14"/>
  <c r="D329" i="14" s="1"/>
  <c r="H329" i="14" s="1"/>
  <c r="I329" i="14" s="1"/>
  <c r="V240" i="14"/>
  <c r="D240" i="14" s="1"/>
  <c r="V301" i="14"/>
  <c r="D301" i="14" s="1"/>
  <c r="V189" i="14"/>
  <c r="D189" i="14" s="1"/>
  <c r="V196" i="14"/>
  <c r="D196" i="14" s="1"/>
  <c r="V73" i="14"/>
  <c r="D73" i="14" s="1"/>
  <c r="V276" i="14"/>
  <c r="D276" i="14" s="1"/>
  <c r="V230" i="14"/>
  <c r="D230" i="14" s="1"/>
  <c r="V78" i="14"/>
  <c r="D78" i="14" s="1"/>
  <c r="V358" i="14"/>
  <c r="D358" i="14" s="1"/>
  <c r="V169" i="14"/>
  <c r="D169" i="14" s="1"/>
  <c r="V188" i="14"/>
  <c r="D188" i="14" s="1"/>
  <c r="V254" i="14"/>
  <c r="D254" i="14" s="1"/>
  <c r="H254" i="14" s="1"/>
  <c r="I254" i="14" s="1"/>
  <c r="V214" i="14"/>
  <c r="D214" i="14" s="1"/>
  <c r="V348" i="14"/>
  <c r="D348" i="14" s="1"/>
  <c r="V260" i="14"/>
  <c r="D260" i="14" s="1"/>
  <c r="V184" i="14"/>
  <c r="D184" i="14" s="1"/>
  <c r="V139" i="14"/>
  <c r="D139" i="14" s="1"/>
  <c r="V285" i="14"/>
  <c r="D285" i="14" s="1"/>
  <c r="V252" i="14"/>
  <c r="D252" i="14" s="1"/>
  <c r="V199" i="14"/>
  <c r="D199" i="14" s="1"/>
  <c r="V198" i="14"/>
  <c r="D198" i="14" s="1"/>
  <c r="H357" i="23"/>
  <c r="H275" i="23"/>
  <c r="H135" i="23"/>
  <c r="I135" i="23" s="1"/>
  <c r="H234" i="23"/>
  <c r="I234" i="23" s="1"/>
  <c r="H134" i="23"/>
  <c r="I134" i="23" s="1"/>
  <c r="H270" i="23"/>
  <c r="I270" i="23" s="1"/>
  <c r="H382" i="23"/>
  <c r="I382" i="23" s="1"/>
  <c r="H58" i="23"/>
  <c r="N58" i="23" s="1"/>
  <c r="H54" i="23"/>
  <c r="I54" i="23" s="1"/>
  <c r="H342" i="23"/>
  <c r="I342" i="23" s="1"/>
  <c r="H187" i="23"/>
  <c r="I187" i="23" s="1"/>
  <c r="H238" i="23"/>
  <c r="I238" i="23" s="1"/>
  <c r="H184" i="23"/>
  <c r="H261" i="23"/>
  <c r="H294" i="23"/>
  <c r="I294" i="23" s="1"/>
  <c r="H199" i="23"/>
  <c r="N199" i="23" s="1"/>
  <c r="H237" i="23"/>
  <c r="N237" i="23" s="1"/>
  <c r="H125" i="23"/>
  <c r="I125" i="23" s="1"/>
  <c r="H137" i="23"/>
  <c r="I137" i="23" s="1"/>
  <c r="H289" i="23"/>
  <c r="N289" i="23" s="1"/>
  <c r="H387" i="23"/>
  <c r="N387" i="23" s="1"/>
  <c r="H213" i="23"/>
  <c r="I213" i="23" s="1"/>
  <c r="H371" i="23"/>
  <c r="N371" i="23" s="1"/>
  <c r="H315" i="23"/>
  <c r="I315" i="23" s="1"/>
  <c r="H400" i="23"/>
  <c r="H108" i="23"/>
  <c r="I108" i="23" s="1"/>
  <c r="H62" i="23"/>
  <c r="N62" i="23" s="1"/>
  <c r="H253" i="23"/>
  <c r="I253" i="23" s="1"/>
  <c r="H379" i="23"/>
  <c r="I379" i="23" s="1"/>
  <c r="H127" i="23"/>
  <c r="I127" i="23" s="1"/>
  <c r="H326" i="23"/>
  <c r="I326" i="23" s="1"/>
  <c r="H163" i="23"/>
  <c r="N163" i="23" s="1"/>
  <c r="H397" i="23"/>
  <c r="I397" i="23" s="1"/>
  <c r="H395" i="23"/>
  <c r="I395" i="23" s="1"/>
  <c r="H101" i="23"/>
  <c r="I101" i="23" s="1"/>
  <c r="H260" i="23"/>
  <c r="I260" i="23" s="1"/>
  <c r="H82" i="23"/>
  <c r="I82" i="23" s="1"/>
  <c r="H98" i="23"/>
  <c r="N98" i="23" s="1"/>
  <c r="H256" i="23"/>
  <c r="I256" i="23" s="1"/>
  <c r="H229" i="23"/>
  <c r="I229" i="23" s="1"/>
  <c r="H131" i="23"/>
  <c r="I131" i="23" s="1"/>
  <c r="H359" i="23"/>
  <c r="I359" i="23" s="1"/>
  <c r="H106" i="23"/>
  <c r="N106" i="23" s="1"/>
  <c r="H104" i="24"/>
  <c r="I104" i="24" s="1"/>
  <c r="H158" i="23"/>
  <c r="I158" i="23" s="1"/>
  <c r="H76" i="23"/>
  <c r="N76" i="23" s="1"/>
  <c r="H109" i="23"/>
  <c r="I109" i="23" s="1"/>
  <c r="H325" i="23"/>
  <c r="H104" i="23"/>
  <c r="I104" i="23" s="1"/>
  <c r="H192" i="23"/>
  <c r="H292" i="23"/>
  <c r="I292" i="23" s="1"/>
  <c r="H202" i="23"/>
  <c r="I202" i="23" s="1"/>
  <c r="H120" i="23"/>
  <c r="N120" i="23" s="1"/>
  <c r="H364" i="23"/>
  <c r="I364" i="23" s="1"/>
  <c r="H301" i="24"/>
  <c r="I301" i="24" s="1"/>
  <c r="H310" i="23"/>
  <c r="I310" i="23" s="1"/>
  <c r="H69" i="23"/>
  <c r="N69" i="23" s="1"/>
  <c r="H51" i="23"/>
  <c r="I51" i="23" s="1"/>
  <c r="H378" i="23"/>
  <c r="I378" i="23" s="1"/>
  <c r="H398" i="23"/>
  <c r="I398" i="23" s="1"/>
  <c r="H312" i="23"/>
  <c r="I312" i="23" s="1"/>
  <c r="H231" i="23"/>
  <c r="N231" i="23" s="1"/>
  <c r="H115" i="23"/>
  <c r="I115" i="23" s="1"/>
  <c r="H155" i="23"/>
  <c r="N155" i="23" s="1"/>
  <c r="H196" i="23"/>
  <c r="I196" i="23" s="1"/>
  <c r="H343" i="23"/>
  <c r="I343" i="23" s="1"/>
  <c r="H164" i="23"/>
  <c r="I164" i="23" s="1"/>
  <c r="H388" i="23"/>
  <c r="I388" i="23" s="1"/>
  <c r="H330" i="24"/>
  <c r="N330" i="24" s="1"/>
  <c r="H338" i="23"/>
  <c r="N338" i="23" s="1"/>
  <c r="H353" i="23"/>
  <c r="I353" i="23" s="1"/>
  <c r="H262" i="23"/>
  <c r="I262" i="23" s="1"/>
  <c r="H201" i="23"/>
  <c r="I201" i="23" s="1"/>
  <c r="H121" i="23"/>
  <c r="H348" i="23"/>
  <c r="N348" i="23" s="1"/>
  <c r="H132" i="23"/>
  <c r="I132" i="23" s="1"/>
  <c r="H306" i="23"/>
  <c r="N306" i="23" s="1"/>
  <c r="H277" i="23"/>
  <c r="I277" i="23" s="1"/>
  <c r="H205" i="23"/>
  <c r="I205" i="23" s="1"/>
  <c r="H392" i="23"/>
  <c r="I392" i="23" s="1"/>
  <c r="H305" i="23"/>
  <c r="I305" i="23" s="1"/>
  <c r="H309" i="23"/>
  <c r="I309" i="23" s="1"/>
  <c r="H130" i="23"/>
  <c r="N130" i="23" s="1"/>
  <c r="H103" i="23"/>
  <c r="I103" i="23" s="1"/>
  <c r="H298" i="23"/>
  <c r="I298" i="23" s="1"/>
  <c r="H119" i="23"/>
  <c r="I119" i="23" s="1"/>
  <c r="H215" i="23"/>
  <c r="N215" i="23" s="1"/>
  <c r="H380" i="23"/>
  <c r="I380" i="23" s="1"/>
  <c r="H112" i="23"/>
  <c r="I112" i="23" s="1"/>
  <c r="H391" i="23"/>
  <c r="I391" i="23" s="1"/>
  <c r="H194" i="23"/>
  <c r="I194" i="23" s="1"/>
  <c r="H181" i="23"/>
  <c r="I181" i="23" s="1"/>
  <c r="H209" i="23"/>
  <c r="I209" i="23" s="1"/>
  <c r="H347" i="23"/>
  <c r="I347" i="23" s="1"/>
  <c r="H223" i="23"/>
  <c r="I223" i="23" s="1"/>
  <c r="H95" i="23"/>
  <c r="N95" i="23" s="1"/>
  <c r="H332" i="23"/>
  <c r="I332" i="23" s="1"/>
  <c r="H165" i="23"/>
  <c r="I165" i="23" s="1"/>
  <c r="H111" i="23"/>
  <c r="I111" i="23" s="1"/>
  <c r="H337" i="23"/>
  <c r="I337" i="23" s="1"/>
  <c r="H394" i="23"/>
  <c r="I394" i="23" s="1"/>
  <c r="H322" i="23"/>
  <c r="I322" i="23" s="1"/>
  <c r="H249" i="23"/>
  <c r="I249" i="23" s="1"/>
  <c r="H116" i="23"/>
  <c r="I116" i="23" s="1"/>
  <c r="H208" i="23"/>
  <c r="I208" i="23" s="1"/>
  <c r="H218" i="23"/>
  <c r="I218" i="23" s="1"/>
  <c r="H354" i="23"/>
  <c r="I354" i="23" s="1"/>
  <c r="H282" i="23"/>
  <c r="I282" i="23" s="1"/>
  <c r="H150" i="23"/>
  <c r="N150" i="23" s="1"/>
  <c r="H350" i="23"/>
  <c r="I350" i="23" s="1"/>
  <c r="H362" i="23"/>
  <c r="I362" i="23" s="1"/>
  <c r="H195" i="23"/>
  <c r="I195" i="23" s="1"/>
  <c r="H88" i="23"/>
  <c r="I88" i="23" s="1"/>
  <c r="H94" i="23"/>
  <c r="I94" i="23" s="1"/>
  <c r="I56" i="23"/>
  <c r="H212" i="23"/>
  <c r="I212" i="23" s="1"/>
  <c r="H279" i="23"/>
  <c r="I279" i="23" s="1"/>
  <c r="H133" i="23"/>
  <c r="I133" i="23" s="1"/>
  <c r="H245" i="23"/>
  <c r="I245" i="23" s="1"/>
  <c r="H221" i="23"/>
  <c r="I221" i="23" s="1"/>
  <c r="H200" i="23"/>
  <c r="H361" i="23"/>
  <c r="I361" i="23" s="1"/>
  <c r="H60" i="23"/>
  <c r="I60" i="23" s="1"/>
  <c r="H299" i="23"/>
  <c r="I299" i="23" s="1"/>
  <c r="H77" i="24"/>
  <c r="I77" i="24" s="1"/>
  <c r="H85" i="23"/>
  <c r="I85" i="23" s="1"/>
  <c r="H172" i="23"/>
  <c r="I172" i="23" s="1"/>
  <c r="H228" i="23"/>
  <c r="N228" i="23" s="1"/>
  <c r="H396" i="23"/>
  <c r="I396" i="23" s="1"/>
  <c r="H352" i="23"/>
  <c r="I352" i="23" s="1"/>
  <c r="H369" i="23"/>
  <c r="I369" i="23" s="1"/>
  <c r="H232" i="23"/>
  <c r="I232" i="23" s="1"/>
  <c r="H214" i="23"/>
  <c r="I214" i="23" s="1"/>
  <c r="H66" i="23"/>
  <c r="I66" i="23" s="1"/>
  <c r="H190" i="23"/>
  <c r="N190" i="23" s="1"/>
  <c r="H183" i="23"/>
  <c r="I183" i="23" s="1"/>
  <c r="H303" i="23"/>
  <c r="I303" i="23" s="1"/>
  <c r="H52" i="23"/>
  <c r="I52" i="23" s="1"/>
  <c r="H383" i="23"/>
  <c r="N383" i="23" s="1"/>
  <c r="H67" i="23"/>
  <c r="I67" i="23" s="1"/>
  <c r="H349" i="23"/>
  <c r="I349" i="23" s="1"/>
  <c r="H145" i="23"/>
  <c r="I145" i="23" s="1"/>
  <c r="H367" i="23"/>
  <c r="I367" i="23" s="1"/>
  <c r="H83" i="23"/>
  <c r="I83" i="23" s="1"/>
  <c r="H161" i="23"/>
  <c r="I161" i="23" s="1"/>
  <c r="H393" i="23"/>
  <c r="N393" i="23" s="1"/>
  <c r="H91" i="23"/>
  <c r="N91" i="23" s="1"/>
  <c r="H151" i="23"/>
  <c r="I151" i="23" s="1"/>
  <c r="H40" i="23"/>
  <c r="I40" i="23" s="1"/>
  <c r="H64" i="23"/>
  <c r="N64" i="23" s="1"/>
  <c r="H243" i="23"/>
  <c r="N243" i="23" s="1"/>
  <c r="H61" i="23"/>
  <c r="I61" i="23" s="1"/>
  <c r="H323" i="23"/>
  <c r="I323" i="23" s="1"/>
  <c r="H157" i="23"/>
  <c r="I157" i="23" s="1"/>
  <c r="H204" i="23"/>
  <c r="I204" i="23" s="1"/>
  <c r="H198" i="23"/>
  <c r="I198" i="23" s="1"/>
  <c r="H284" i="23"/>
  <c r="I284" i="23" s="1"/>
  <c r="H168" i="23"/>
  <c r="N168" i="23" s="1"/>
  <c r="H259" i="23"/>
  <c r="I259" i="23" s="1"/>
  <c r="H140" i="23"/>
  <c r="I140" i="23" s="1"/>
  <c r="H167" i="23"/>
  <c r="I167" i="23" s="1"/>
  <c r="H175" i="23"/>
  <c r="I175" i="23" s="1"/>
  <c r="H55" i="23"/>
  <c r="I55" i="23" s="1"/>
  <c r="H390" i="24"/>
  <c r="N390" i="24" s="1"/>
  <c r="H389" i="23"/>
  <c r="I389" i="23" s="1"/>
  <c r="H244" i="23"/>
  <c r="N244" i="23" s="1"/>
  <c r="H235" i="23"/>
  <c r="N235" i="23" s="1"/>
  <c r="H118" i="23"/>
  <c r="I118" i="23" s="1"/>
  <c r="H345" i="23"/>
  <c r="I345" i="23" s="1"/>
  <c r="H49" i="23"/>
  <c r="I49" i="23" s="1"/>
  <c r="H39" i="23"/>
  <c r="I39" i="23" s="1"/>
  <c r="H318" i="23"/>
  <c r="I318" i="23" s="1"/>
  <c r="H107" i="23"/>
  <c r="I107" i="23" s="1"/>
  <c r="H197" i="23"/>
  <c r="I197" i="23" s="1"/>
  <c r="H211" i="23"/>
  <c r="I211" i="23" s="1"/>
  <c r="H193" i="23"/>
  <c r="I193" i="23" s="1"/>
  <c r="H375" i="23"/>
  <c r="N375" i="23" s="1"/>
  <c r="H174" i="23"/>
  <c r="I174" i="23" s="1"/>
  <c r="H278" i="23"/>
  <c r="I278" i="23" s="1"/>
  <c r="H159" i="23"/>
  <c r="I159" i="23" s="1"/>
  <c r="H177" i="23"/>
  <c r="I177" i="23" s="1"/>
  <c r="H281" i="23"/>
  <c r="I281" i="23" s="1"/>
  <c r="H59" i="23"/>
  <c r="I59" i="23" s="1"/>
  <c r="H224" i="23"/>
  <c r="I224" i="23" s="1"/>
  <c r="H313" i="23"/>
  <c r="I313" i="23" s="1"/>
  <c r="H173" i="23"/>
  <c r="N173" i="23" s="1"/>
  <c r="H142" i="23"/>
  <c r="I142" i="23" s="1"/>
  <c r="H226" i="23"/>
  <c r="I226" i="23" s="1"/>
  <c r="H295" i="23"/>
  <c r="I295" i="23" s="1"/>
  <c r="H124" i="23"/>
  <c r="I124" i="23" s="1"/>
  <c r="H93" i="23"/>
  <c r="N93" i="23" s="1"/>
  <c r="H126" i="23"/>
  <c r="H273" i="23"/>
  <c r="N273" i="23" s="1"/>
  <c r="H255" i="23"/>
  <c r="I255" i="23" s="1"/>
  <c r="H274" i="23"/>
  <c r="I274" i="23" s="1"/>
  <c r="H291" i="23"/>
  <c r="I291" i="23" s="1"/>
  <c r="H233" i="23"/>
  <c r="I233" i="23" s="1"/>
  <c r="H92" i="23"/>
  <c r="I92" i="23" s="1"/>
  <c r="H266" i="23"/>
  <c r="I266" i="23" s="1"/>
  <c r="H146" i="23"/>
  <c r="N146" i="23" s="1"/>
  <c r="H230" i="23"/>
  <c r="N230" i="23" s="1"/>
  <c r="H269" i="23"/>
  <c r="I269" i="23" s="1"/>
  <c r="H81" i="23"/>
  <c r="I81" i="23" s="1"/>
  <c r="H276" i="23"/>
  <c r="H267" i="23"/>
  <c r="I267" i="23" s="1"/>
  <c r="H271" i="23"/>
  <c r="I271" i="23" s="1"/>
  <c r="H71" i="23"/>
  <c r="I71" i="23" s="1"/>
  <c r="H110" i="23"/>
  <c r="I110" i="23" s="1"/>
  <c r="H239" i="24"/>
  <c r="I239" i="24" s="1"/>
  <c r="H312" i="24"/>
  <c r="I312" i="24" s="1"/>
  <c r="H349" i="24"/>
  <c r="N349" i="24" s="1"/>
  <c r="H114" i="23"/>
  <c r="I114" i="23" s="1"/>
  <c r="H113" i="23"/>
  <c r="I113" i="23" s="1"/>
  <c r="H206" i="23"/>
  <c r="N206" i="23" s="1"/>
  <c r="H79" i="23"/>
  <c r="I79" i="23" s="1"/>
  <c r="H329" i="23"/>
  <c r="I329" i="23" s="1"/>
  <c r="H248" i="23"/>
  <c r="N248" i="23" s="1"/>
  <c r="H144" i="23"/>
  <c r="I144" i="23" s="1"/>
  <c r="H203" i="23"/>
  <c r="I203" i="23" s="1"/>
  <c r="H311" i="23"/>
  <c r="I311" i="23" s="1"/>
  <c r="H385" i="23"/>
  <c r="I385" i="23" s="1"/>
  <c r="H363" i="23"/>
  <c r="I363" i="23" s="1"/>
  <c r="H355" i="23"/>
  <c r="I355" i="23" s="1"/>
  <c r="H377" i="23"/>
  <c r="I377" i="23" s="1"/>
  <c r="H156" i="23"/>
  <c r="I156" i="23" s="1"/>
  <c r="H257" i="23"/>
  <c r="I257" i="23" s="1"/>
  <c r="H239" i="23"/>
  <c r="I239" i="23" s="1"/>
  <c r="H96" i="23"/>
  <c r="N96" i="23" s="1"/>
  <c r="H374" i="23"/>
  <c r="I374" i="23" s="1"/>
  <c r="H346" i="23"/>
  <c r="N346" i="23" s="1"/>
  <c r="H301" i="23"/>
  <c r="N301" i="23" s="1"/>
  <c r="H189" i="23"/>
  <c r="I189" i="23" s="1"/>
  <c r="H70" i="23"/>
  <c r="I70" i="23" s="1"/>
  <c r="H320" i="23"/>
  <c r="I320" i="23" s="1"/>
  <c r="H316" i="23"/>
  <c r="N316" i="23" s="1"/>
  <c r="H222" i="23"/>
  <c r="I222" i="23" s="1"/>
  <c r="H399" i="23"/>
  <c r="N399" i="23" s="1"/>
  <c r="H286" i="23"/>
  <c r="I286" i="23" s="1"/>
  <c r="H46" i="23"/>
  <c r="N46" i="23" s="1"/>
  <c r="H293" i="23"/>
  <c r="I293" i="23" s="1"/>
  <c r="H162" i="23"/>
  <c r="N162" i="23" s="1"/>
  <c r="H160" i="23"/>
  <c r="N160" i="23" s="1"/>
  <c r="H340" i="23"/>
  <c r="N340" i="23" s="1"/>
  <c r="H139" i="23"/>
  <c r="I139" i="23" s="1"/>
  <c r="H308" i="23"/>
  <c r="I308" i="23" s="1"/>
  <c r="H390" i="23"/>
  <c r="I390" i="23" s="1"/>
  <c r="H149" i="23"/>
  <c r="I149" i="23" s="1"/>
  <c r="H138" i="23"/>
  <c r="I138" i="23" s="1"/>
  <c r="H370" i="23"/>
  <c r="I370" i="23" s="1"/>
  <c r="H47" i="23"/>
  <c r="N47" i="23" s="1"/>
  <c r="H42" i="23"/>
  <c r="I42" i="23" s="1"/>
  <c r="H77" i="23"/>
  <c r="I77" i="23" s="1"/>
  <c r="H341" i="23"/>
  <c r="I341" i="23" s="1"/>
  <c r="H300" i="23"/>
  <c r="I300" i="23" s="1"/>
  <c r="H288" i="23"/>
  <c r="I288" i="23" s="1"/>
  <c r="H86" i="23"/>
  <c r="I86" i="23" s="1"/>
  <c r="H225" i="23"/>
  <c r="N225" i="23" s="1"/>
  <c r="H280" i="23"/>
  <c r="I280" i="23" s="1"/>
  <c r="H334" i="23"/>
  <c r="I334" i="23" s="1"/>
  <c r="H254" i="23"/>
  <c r="I254" i="23" s="1"/>
  <c r="H384" i="23"/>
  <c r="N384" i="23" s="1"/>
  <c r="H63" i="23"/>
  <c r="I63" i="23" s="1"/>
  <c r="H381" i="23"/>
  <c r="N381" i="23" s="1"/>
  <c r="H147" i="23"/>
  <c r="N147" i="23" s="1"/>
  <c r="H90" i="23"/>
  <c r="N90" i="23" s="1"/>
  <c r="H302" i="23"/>
  <c r="I302" i="23" s="1"/>
  <c r="H246" i="23"/>
  <c r="I246" i="23" s="1"/>
  <c r="H285" i="23"/>
  <c r="N285" i="23" s="1"/>
  <c r="H171" i="23"/>
  <c r="I171" i="23" s="1"/>
  <c r="H372" i="23"/>
  <c r="I372" i="23" s="1"/>
  <c r="H210" i="23"/>
  <c r="I210" i="23" s="1"/>
  <c r="H236" i="23"/>
  <c r="N236" i="23" s="1"/>
  <c r="H268" i="23"/>
  <c r="N268" i="23" s="1"/>
  <c r="H368" i="23"/>
  <c r="N368" i="23" s="1"/>
  <c r="H169" i="23"/>
  <c r="N169" i="23" s="1"/>
  <c r="H166" i="23"/>
  <c r="N166" i="23" s="1"/>
  <c r="H241" i="23"/>
  <c r="I241" i="23" s="1"/>
  <c r="H296" i="23"/>
  <c r="I296" i="23" s="1"/>
  <c r="H188" i="23"/>
  <c r="I188" i="23" s="1"/>
  <c r="H80" i="23"/>
  <c r="I80" i="23" s="1"/>
  <c r="H344" i="23"/>
  <c r="I344" i="23" s="1"/>
  <c r="H272" i="23"/>
  <c r="I272" i="23" s="1"/>
  <c r="H148" i="23"/>
  <c r="I148" i="23" s="1"/>
  <c r="H339" i="23"/>
  <c r="I339" i="23" s="1"/>
  <c r="H44" i="23"/>
  <c r="N44" i="23" s="1"/>
  <c r="H328" i="23"/>
  <c r="N328" i="23" s="1"/>
  <c r="H327" i="23"/>
  <c r="I327" i="23" s="1"/>
  <c r="H152" i="23"/>
  <c r="I152" i="23" s="1"/>
  <c r="H247" i="23"/>
  <c r="I247" i="23" s="1"/>
  <c r="H258" i="23"/>
  <c r="I258" i="23" s="1"/>
  <c r="H178" i="23"/>
  <c r="N178" i="23" s="1"/>
  <c r="H283" i="23"/>
  <c r="I283" i="23" s="1"/>
  <c r="H136" i="23"/>
  <c r="I136" i="23" s="1"/>
  <c r="H307" i="23"/>
  <c r="I307" i="23" s="1"/>
  <c r="H87" i="23"/>
  <c r="I87" i="23" s="1"/>
  <c r="H335" i="23"/>
  <c r="I335" i="23" s="1"/>
  <c r="H128" i="23"/>
  <c r="N128" i="23" s="1"/>
  <c r="H154" i="23"/>
  <c r="I154" i="23" s="1"/>
  <c r="H84" i="23"/>
  <c r="N84" i="23" s="1"/>
  <c r="H57" i="23"/>
  <c r="I57" i="23" s="1"/>
  <c r="H356" i="23"/>
  <c r="I356" i="23" s="1"/>
  <c r="H68" i="23"/>
  <c r="I68" i="23" s="1"/>
  <c r="H331" i="23"/>
  <c r="I331" i="23" s="1"/>
  <c r="H251" i="23"/>
  <c r="I251" i="23" s="1"/>
  <c r="H304" i="23"/>
  <c r="I304" i="23" s="1"/>
  <c r="H99" i="23"/>
  <c r="I99" i="23" s="1"/>
  <c r="H141" i="23"/>
  <c r="I141" i="23" s="1"/>
  <c r="H242" i="23"/>
  <c r="I242" i="23" s="1"/>
  <c r="H275" i="24"/>
  <c r="I275" i="24" s="1"/>
  <c r="H89" i="23"/>
  <c r="I89" i="23" s="1"/>
  <c r="H182" i="23"/>
  <c r="N182" i="23" s="1"/>
  <c r="H324" i="23"/>
  <c r="I324" i="23" s="1"/>
  <c r="H65" i="23"/>
  <c r="N65" i="23" s="1"/>
  <c r="H72" i="23"/>
  <c r="N72" i="23" s="1"/>
  <c r="H48" i="23"/>
  <c r="I48" i="23" s="1"/>
  <c r="H207" i="23"/>
  <c r="I207" i="23" s="1"/>
  <c r="H250" i="23"/>
  <c r="I250" i="23" s="1"/>
  <c r="H360" i="23"/>
  <c r="I360" i="23" s="1"/>
  <c r="H267" i="24"/>
  <c r="N267" i="24" s="1"/>
  <c r="H365" i="23"/>
  <c r="N365" i="23" s="1"/>
  <c r="H265" i="23"/>
  <c r="I265" i="23" s="1"/>
  <c r="H215" i="24"/>
  <c r="I215" i="24" s="1"/>
  <c r="H129" i="23"/>
  <c r="I129" i="23" s="1"/>
  <c r="H252" i="23"/>
  <c r="I252" i="23" s="1"/>
  <c r="H185" i="23"/>
  <c r="I185" i="23" s="1"/>
  <c r="H240" i="23"/>
  <c r="I240" i="23" s="1"/>
  <c r="H216" i="23"/>
  <c r="N216" i="23" s="1"/>
  <c r="H122" i="23"/>
  <c r="I122" i="23" s="1"/>
  <c r="H117" i="23"/>
  <c r="I117" i="23" s="1"/>
  <c r="H287" i="23"/>
  <c r="I287" i="23" s="1"/>
  <c r="H43" i="23"/>
  <c r="I43" i="23" s="1"/>
  <c r="H330" i="23"/>
  <c r="I330" i="23" s="1"/>
  <c r="H176" i="23"/>
  <c r="I176" i="23" s="1"/>
  <c r="H264" i="23"/>
  <c r="I264" i="23" s="1"/>
  <c r="H123" i="23"/>
  <c r="N123" i="23" s="1"/>
  <c r="H45" i="23"/>
  <c r="I45" i="23" s="1"/>
  <c r="H153" i="23"/>
  <c r="I153" i="23" s="1"/>
  <c r="H186" i="23"/>
  <c r="N186" i="23" s="1"/>
  <c r="H297" i="23"/>
  <c r="I297" i="23" s="1"/>
  <c r="H53" i="23"/>
  <c r="I53" i="23" s="1"/>
  <c r="H227" i="23"/>
  <c r="I227" i="23" s="1"/>
  <c r="H191" i="23"/>
  <c r="N191" i="23" s="1"/>
  <c r="H74" i="23"/>
  <c r="I74" i="23" s="1"/>
  <c r="H373" i="23"/>
  <c r="I373" i="23" s="1"/>
  <c r="H171" i="24"/>
  <c r="I171" i="24" s="1"/>
  <c r="H336" i="23"/>
  <c r="I336" i="23" s="1"/>
  <c r="H309" i="29"/>
  <c r="I309" i="29" s="1"/>
  <c r="H152" i="29"/>
  <c r="I152" i="29" s="1"/>
  <c r="H76" i="29"/>
  <c r="H136" i="29"/>
  <c r="H313" i="29"/>
  <c r="H141" i="29"/>
  <c r="H106" i="29"/>
  <c r="H348" i="29"/>
  <c r="H235" i="29"/>
  <c r="H249" i="29"/>
  <c r="H259" i="29"/>
  <c r="H62" i="29"/>
  <c r="H376" i="29"/>
  <c r="H354" i="29"/>
  <c r="H295" i="29"/>
  <c r="H302" i="29"/>
  <c r="H180" i="29"/>
  <c r="H67" i="29"/>
  <c r="H195" i="29"/>
  <c r="H339" i="29"/>
  <c r="H95" i="29"/>
  <c r="H322" i="29"/>
  <c r="H89" i="29"/>
  <c r="H221" i="29"/>
  <c r="H337" i="29"/>
  <c r="H288" i="29"/>
  <c r="H316" i="29"/>
  <c r="H240" i="29"/>
  <c r="H178" i="29"/>
  <c r="H182" i="29"/>
  <c r="H355" i="29"/>
  <c r="H255" i="29"/>
  <c r="I314" i="23"/>
  <c r="N314" i="23"/>
  <c r="H187" i="29"/>
  <c r="H105" i="29"/>
  <c r="H53" i="29"/>
  <c r="H329" i="29"/>
  <c r="H291" i="29"/>
  <c r="H265" i="29"/>
  <c r="H192" i="29"/>
  <c r="H262" i="29"/>
  <c r="H201" i="29"/>
  <c r="H369" i="29"/>
  <c r="H124" i="29"/>
  <c r="H345" i="29"/>
  <c r="H350" i="29"/>
  <c r="H326" i="29"/>
  <c r="H88" i="29"/>
  <c r="H274" i="29"/>
  <c r="H231" i="29"/>
  <c r="H167" i="29"/>
  <c r="H390" i="29"/>
  <c r="H65" i="29"/>
  <c r="H93" i="29"/>
  <c r="H341" i="29"/>
  <c r="H183" i="29"/>
  <c r="H218" i="29"/>
  <c r="H74" i="29"/>
  <c r="H245" i="29"/>
  <c r="H275" i="29"/>
  <c r="H271" i="29"/>
  <c r="H153" i="29"/>
  <c r="H121" i="29"/>
  <c r="I50" i="23"/>
  <c r="N50" i="23"/>
  <c r="I95" i="23"/>
  <c r="I358" i="23"/>
  <c r="N358" i="23"/>
  <c r="H138" i="29"/>
  <c r="H234" i="29"/>
  <c r="H229" i="29"/>
  <c r="H293" i="29"/>
  <c r="H83" i="29"/>
  <c r="H200" i="29"/>
  <c r="H392" i="29"/>
  <c r="H380" i="29"/>
  <c r="H193" i="29"/>
  <c r="H319" i="29"/>
  <c r="H342" i="29"/>
  <c r="H398" i="29"/>
  <c r="H58" i="29"/>
  <c r="H158" i="29"/>
  <c r="H366" i="29"/>
  <c r="H173" i="29"/>
  <c r="H125" i="29"/>
  <c r="H209" i="29"/>
  <c r="H378" i="29"/>
  <c r="H384" i="29"/>
  <c r="H386" i="29"/>
  <c r="H387" i="29"/>
  <c r="H324" i="29"/>
  <c r="H98" i="29"/>
  <c r="H373" i="29"/>
  <c r="H289" i="29"/>
  <c r="H260" i="29"/>
  <c r="H171" i="29"/>
  <c r="H96" i="29"/>
  <c r="H84" i="29"/>
  <c r="N73" i="23"/>
  <c r="I319" i="23"/>
  <c r="N319" i="23"/>
  <c r="I333" i="23"/>
  <c r="N333" i="23"/>
  <c r="H323" i="29"/>
  <c r="H91" i="29"/>
  <c r="H87" i="29"/>
  <c r="H92" i="29"/>
  <c r="H286" i="29"/>
  <c r="H388" i="29"/>
  <c r="H365" i="29"/>
  <c r="H277" i="29"/>
  <c r="H312" i="29"/>
  <c r="H57" i="29"/>
  <c r="H179" i="29"/>
  <c r="H272" i="29"/>
  <c r="H205" i="29"/>
  <c r="H362" i="29"/>
  <c r="H207" i="29"/>
  <c r="H217" i="29"/>
  <c r="H303" i="29"/>
  <c r="H203" i="29"/>
  <c r="H79" i="29"/>
  <c r="H90" i="29"/>
  <c r="H129" i="29"/>
  <c r="H80" i="29"/>
  <c r="H148" i="29"/>
  <c r="H132" i="29"/>
  <c r="H216" i="29"/>
  <c r="H166" i="29"/>
  <c r="H268" i="29"/>
  <c r="H181" i="29"/>
  <c r="H353" i="29"/>
  <c r="I180" i="23"/>
  <c r="N180" i="23"/>
  <c r="N82" i="23"/>
  <c r="H290" i="29"/>
  <c r="H190" i="29"/>
  <c r="H252" i="29"/>
  <c r="H264" i="29"/>
  <c r="H123" i="29"/>
  <c r="H276" i="29"/>
  <c r="H69" i="29"/>
  <c r="H97" i="29"/>
  <c r="H296" i="29"/>
  <c r="H358" i="29"/>
  <c r="H59" i="29"/>
  <c r="H214" i="29"/>
  <c r="H332" i="29"/>
  <c r="H284" i="29"/>
  <c r="H364" i="29"/>
  <c r="H47" i="29"/>
  <c r="H72" i="29"/>
  <c r="H164" i="29"/>
  <c r="H99" i="29"/>
  <c r="H356" i="29"/>
  <c r="H360" i="29"/>
  <c r="H244" i="29"/>
  <c r="H149" i="29"/>
  <c r="H232" i="29"/>
  <c r="H184" i="29"/>
  <c r="H42" i="29"/>
  <c r="H250" i="29"/>
  <c r="H114" i="29"/>
  <c r="H241" i="29"/>
  <c r="H212" i="29"/>
  <c r="I325" i="23"/>
  <c r="N325" i="23"/>
  <c r="N105" i="23"/>
  <c r="N192" i="23"/>
  <c r="I192" i="23"/>
  <c r="H269" i="29"/>
  <c r="H335" i="29"/>
  <c r="H185" i="29"/>
  <c r="H198" i="29"/>
  <c r="H393" i="29"/>
  <c r="H140" i="29"/>
  <c r="H157" i="29"/>
  <c r="H194" i="29"/>
  <c r="H63" i="29"/>
  <c r="H199" i="29"/>
  <c r="H251" i="29"/>
  <c r="H228" i="29"/>
  <c r="H51" i="29"/>
  <c r="H243" i="29"/>
  <c r="H71" i="29"/>
  <c r="H383" i="29"/>
  <c r="H122" i="29"/>
  <c r="H208" i="29"/>
  <c r="H261" i="29"/>
  <c r="H40" i="29"/>
  <c r="H225" i="29"/>
  <c r="H75" i="29"/>
  <c r="H279" i="29"/>
  <c r="H371" i="29"/>
  <c r="H389" i="29"/>
  <c r="H385" i="29"/>
  <c r="H77" i="29"/>
  <c r="H56" i="29"/>
  <c r="H168" i="29"/>
  <c r="H236" i="29"/>
  <c r="I376" i="23"/>
  <c r="N376" i="23"/>
  <c r="I200" i="23"/>
  <c r="N200" i="23"/>
  <c r="H146" i="29"/>
  <c r="H150" i="29"/>
  <c r="H270" i="29"/>
  <c r="H107" i="29"/>
  <c r="H117" i="29"/>
  <c r="H325" i="29"/>
  <c r="H336" i="29"/>
  <c r="H338" i="29"/>
  <c r="H176" i="29"/>
  <c r="H78" i="29"/>
  <c r="H202" i="29"/>
  <c r="H120" i="29"/>
  <c r="H352" i="29"/>
  <c r="H145" i="29"/>
  <c r="H186" i="29"/>
  <c r="H191" i="29"/>
  <c r="H343" i="29"/>
  <c r="H52" i="29"/>
  <c r="H394" i="29"/>
  <c r="H160" i="29"/>
  <c r="H155" i="29"/>
  <c r="H283" i="29"/>
  <c r="H41" i="29"/>
  <c r="H314" i="29"/>
  <c r="H46" i="29"/>
  <c r="H299" i="29"/>
  <c r="H45" i="29"/>
  <c r="H118" i="29"/>
  <c r="H103" i="29"/>
  <c r="I400" i="23"/>
  <c r="N400" i="23"/>
  <c r="I126" i="23"/>
  <c r="N126" i="23"/>
  <c r="N229" i="23"/>
  <c r="H175" i="29"/>
  <c r="H258" i="29"/>
  <c r="H282" i="29"/>
  <c r="H359" i="29"/>
  <c r="H310" i="29"/>
  <c r="H305" i="29"/>
  <c r="H287" i="29"/>
  <c r="H357" i="29"/>
  <c r="H48" i="29"/>
  <c r="H50" i="29"/>
  <c r="H135" i="29"/>
  <c r="H60" i="29"/>
  <c r="H391" i="29"/>
  <c r="H206" i="29"/>
  <c r="H143" i="29"/>
  <c r="H254" i="29"/>
  <c r="H397" i="29"/>
  <c r="H230" i="29"/>
  <c r="H116" i="29"/>
  <c r="H154" i="29"/>
  <c r="H86" i="29"/>
  <c r="H108" i="29"/>
  <c r="H297" i="29"/>
  <c r="H382" i="29"/>
  <c r="H242" i="29"/>
  <c r="H112" i="29"/>
  <c r="H399" i="29"/>
  <c r="H82" i="29"/>
  <c r="H298" i="29"/>
  <c r="H320" i="29"/>
  <c r="I357" i="23"/>
  <c r="N357" i="23"/>
  <c r="I275" i="23"/>
  <c r="N275" i="23"/>
  <c r="H308" i="29"/>
  <c r="H144" i="29"/>
  <c r="H224" i="29"/>
  <c r="H54" i="29"/>
  <c r="H165" i="29"/>
  <c r="H374" i="29"/>
  <c r="H162" i="29"/>
  <c r="H126" i="29"/>
  <c r="H330" i="29"/>
  <c r="H211" i="29"/>
  <c r="H159" i="29"/>
  <c r="H111" i="29"/>
  <c r="H381" i="29"/>
  <c r="H331" i="29"/>
  <c r="H370" i="29"/>
  <c r="H64" i="29"/>
  <c r="H263" i="29"/>
  <c r="H109" i="29"/>
  <c r="H226" i="29"/>
  <c r="H133" i="29"/>
  <c r="H273" i="29"/>
  <c r="H104" i="29"/>
  <c r="H49" i="29"/>
  <c r="H151" i="29"/>
  <c r="H238" i="29"/>
  <c r="H367" i="29"/>
  <c r="H43" i="29"/>
  <c r="H267" i="29"/>
  <c r="H113" i="29"/>
  <c r="H39" i="29"/>
  <c r="I41" i="23"/>
  <c r="N41" i="23"/>
  <c r="I143" i="23"/>
  <c r="N143" i="23"/>
  <c r="I100" i="23"/>
  <c r="N100" i="23"/>
  <c r="I321" i="23"/>
  <c r="H363" i="29"/>
  <c r="H223" i="29"/>
  <c r="H248" i="29"/>
  <c r="H237" i="29"/>
  <c r="H375" i="29"/>
  <c r="H285" i="29"/>
  <c r="H210" i="29"/>
  <c r="H315" i="29"/>
  <c r="H137" i="29"/>
  <c r="H188" i="29"/>
  <c r="H127" i="29"/>
  <c r="H294" i="29"/>
  <c r="H70" i="29"/>
  <c r="H130" i="29"/>
  <c r="H346" i="29"/>
  <c r="H170" i="29"/>
  <c r="H189" i="29"/>
  <c r="H239" i="29"/>
  <c r="H306" i="29"/>
  <c r="H197" i="29"/>
  <c r="H233" i="29"/>
  <c r="H317" i="29"/>
  <c r="H131" i="29"/>
  <c r="H327" i="29"/>
  <c r="H119" i="29"/>
  <c r="H246" i="29"/>
  <c r="H368" i="29"/>
  <c r="H247" i="29"/>
  <c r="H227" i="29"/>
  <c r="H174" i="29"/>
  <c r="I276" i="23"/>
  <c r="N276" i="23"/>
  <c r="I121" i="23"/>
  <c r="N121" i="23"/>
  <c r="H280" i="29"/>
  <c r="H81" i="29"/>
  <c r="H349" i="29"/>
  <c r="H379" i="29"/>
  <c r="H156" i="29"/>
  <c r="H101" i="29"/>
  <c r="H163" i="29"/>
  <c r="H196" i="29"/>
  <c r="H253" i="29"/>
  <c r="H85" i="29"/>
  <c r="H396" i="29"/>
  <c r="H321" i="29"/>
  <c r="H115" i="29"/>
  <c r="H301" i="29"/>
  <c r="H300" i="29"/>
  <c r="H278" i="29"/>
  <c r="H177" i="29"/>
  <c r="H222" i="29"/>
  <c r="H333" i="29"/>
  <c r="H204" i="29"/>
  <c r="H94" i="29"/>
  <c r="H334" i="29"/>
  <c r="H400" i="29"/>
  <c r="H377" i="29"/>
  <c r="H361" i="29"/>
  <c r="H169" i="29"/>
  <c r="H66" i="29"/>
  <c r="H257" i="29"/>
  <c r="H307" i="29"/>
  <c r="H292" i="29"/>
  <c r="N380" i="23"/>
  <c r="H73" i="29"/>
  <c r="H372" i="29"/>
  <c r="H142" i="29"/>
  <c r="H304" i="29"/>
  <c r="H100" i="29"/>
  <c r="H266" i="29"/>
  <c r="H139" i="29"/>
  <c r="H55" i="29"/>
  <c r="H311" i="29"/>
  <c r="H68" i="29"/>
  <c r="H328" i="29"/>
  <c r="H213" i="29"/>
  <c r="H395" i="29"/>
  <c r="H134" i="29"/>
  <c r="H44" i="29"/>
  <c r="H344" i="29"/>
  <c r="H351" i="29"/>
  <c r="H347" i="29"/>
  <c r="H61" i="29"/>
  <c r="H340" i="29"/>
  <c r="H102" i="29"/>
  <c r="H281" i="29"/>
  <c r="H256" i="29"/>
  <c r="H318" i="29"/>
  <c r="H161" i="29"/>
  <c r="H110" i="29"/>
  <c r="H215" i="29"/>
  <c r="H128" i="29"/>
  <c r="H147" i="29"/>
  <c r="H172" i="29"/>
  <c r="N184" i="23"/>
  <c r="I184" i="23"/>
  <c r="I261" i="23"/>
  <c r="N261" i="23"/>
  <c r="H202" i="14" l="1"/>
  <c r="I202" i="14" s="1"/>
  <c r="H240" i="14"/>
  <c r="H267" i="14"/>
  <c r="H42" i="14"/>
  <c r="I42" i="14" s="1"/>
  <c r="N256" i="14"/>
  <c r="H313" i="14"/>
  <c r="I313" i="14" s="1"/>
  <c r="M313" i="14" s="1"/>
  <c r="H116" i="14"/>
  <c r="I116" i="14" s="1"/>
  <c r="L116" i="14" s="1"/>
  <c r="H306" i="14"/>
  <c r="H293" i="14"/>
  <c r="H359" i="14"/>
  <c r="I359" i="14" s="1"/>
  <c r="H75" i="14"/>
  <c r="H299" i="14"/>
  <c r="H362" i="14"/>
  <c r="I362" i="14" s="1"/>
  <c r="H198" i="14"/>
  <c r="I198" i="14" s="1"/>
  <c r="M198" i="14" s="1"/>
  <c r="I348" i="23"/>
  <c r="H365" i="14"/>
  <c r="N365" i="14" s="1"/>
  <c r="N366" i="23"/>
  <c r="I102" i="23"/>
  <c r="I387" i="23"/>
  <c r="N353" i="14"/>
  <c r="H294" i="24"/>
  <c r="I294" i="24" s="1"/>
  <c r="H190" i="24"/>
  <c r="I190" i="24" s="1"/>
  <c r="L190" i="24" s="1"/>
  <c r="I230" i="23"/>
  <c r="L230" i="23" s="1"/>
  <c r="H62" i="14"/>
  <c r="I62" i="14" s="1"/>
  <c r="L62" i="14" s="1"/>
  <c r="N253" i="23"/>
  <c r="N263" i="23"/>
  <c r="Q263" i="23" s="1"/>
  <c r="R263" i="23" s="1"/>
  <c r="I58" i="23"/>
  <c r="N379" i="23"/>
  <c r="Q379" i="23" s="1"/>
  <c r="R379" i="23" s="1"/>
  <c r="H244" i="14"/>
  <c r="I244" i="14" s="1"/>
  <c r="N295" i="23"/>
  <c r="H199" i="14"/>
  <c r="I199" i="14" s="1"/>
  <c r="M199" i="14" s="1"/>
  <c r="H146" i="14"/>
  <c r="H95" i="14"/>
  <c r="H360" i="14"/>
  <c r="I360" i="14" s="1"/>
  <c r="L360" i="14" s="1"/>
  <c r="H304" i="14"/>
  <c r="I304" i="14" s="1"/>
  <c r="M304" i="14" s="1"/>
  <c r="I371" i="23"/>
  <c r="M371" i="23" s="1"/>
  <c r="H127" i="24"/>
  <c r="I127" i="24" s="1"/>
  <c r="H337" i="24"/>
  <c r="I337" i="24" s="1"/>
  <c r="H95" i="24"/>
  <c r="I95" i="24" s="1"/>
  <c r="L95" i="24" s="1"/>
  <c r="H206" i="24"/>
  <c r="I206" i="24" s="1"/>
  <c r="L206" i="24" s="1"/>
  <c r="N133" i="23"/>
  <c r="Q133" i="23" s="1"/>
  <c r="R133" i="23" s="1"/>
  <c r="H233" i="14"/>
  <c r="I233" i="14" s="1"/>
  <c r="H241" i="24"/>
  <c r="I241" i="24" s="1"/>
  <c r="H278" i="14"/>
  <c r="I278" i="14" s="1"/>
  <c r="H136" i="24"/>
  <c r="I136" i="24" s="1"/>
  <c r="L136" i="24" s="1"/>
  <c r="H394" i="24"/>
  <c r="I394" i="24" s="1"/>
  <c r="M394" i="24" s="1"/>
  <c r="N323" i="23"/>
  <c r="Q323" i="23" s="1"/>
  <c r="R323" i="23" s="1"/>
  <c r="H275" i="14"/>
  <c r="I275" i="14" s="1"/>
  <c r="L275" i="14" s="1"/>
  <c r="H277" i="24"/>
  <c r="I277" i="24" s="1"/>
  <c r="M277" i="24" s="1"/>
  <c r="N213" i="23"/>
  <c r="Q213" i="23" s="1"/>
  <c r="R213" i="23" s="1"/>
  <c r="N315" i="23"/>
  <c r="Q315" i="23" s="1"/>
  <c r="R315" i="23" s="1"/>
  <c r="N197" i="23"/>
  <c r="Q197" i="23" s="1"/>
  <c r="R197" i="23" s="1"/>
  <c r="I340" i="23"/>
  <c r="L340" i="23" s="1"/>
  <c r="H186" i="24"/>
  <c r="I186" i="24" s="1"/>
  <c r="H162" i="24"/>
  <c r="I162" i="24" s="1"/>
  <c r="H268" i="14"/>
  <c r="N49" i="23"/>
  <c r="Q49" i="23" s="1"/>
  <c r="R49" i="23" s="1"/>
  <c r="H390" i="14"/>
  <c r="I390" i="14" s="1"/>
  <c r="M390" i="14" s="1"/>
  <c r="N238" i="23"/>
  <c r="Q238" i="23" s="1"/>
  <c r="R238" i="23" s="1"/>
  <c r="H368" i="14"/>
  <c r="I368" i="14" s="1"/>
  <c r="L368" i="14" s="1"/>
  <c r="H354" i="14"/>
  <c r="I354" i="14" s="1"/>
  <c r="L354" i="14" s="1"/>
  <c r="H300" i="14"/>
  <c r="I300" i="14" s="1"/>
  <c r="M300" i="14" s="1"/>
  <c r="N310" i="23"/>
  <c r="Q310" i="23" s="1"/>
  <c r="R310" i="23" s="1"/>
  <c r="N395" i="23"/>
  <c r="Q395" i="23" s="1"/>
  <c r="R395" i="23" s="1"/>
  <c r="H383" i="14"/>
  <c r="I383" i="14" s="1"/>
  <c r="L383" i="14" s="1"/>
  <c r="H109" i="14"/>
  <c r="N109" i="14" s="1"/>
  <c r="R109" i="14" s="1"/>
  <c r="S109" i="14" s="1"/>
  <c r="H249" i="14"/>
  <c r="I249" i="14" s="1"/>
  <c r="H108" i="14"/>
  <c r="N108" i="14" s="1"/>
  <c r="H49" i="14"/>
  <c r="I49" i="14" s="1"/>
  <c r="M49" i="14" s="1"/>
  <c r="H377" i="14"/>
  <c r="I377" i="14" s="1"/>
  <c r="M377" i="14" s="1"/>
  <c r="H148" i="14"/>
  <c r="I148" i="14" s="1"/>
  <c r="L148" i="14" s="1"/>
  <c r="H171" i="14"/>
  <c r="I171" i="14" s="1"/>
  <c r="H160" i="14"/>
  <c r="I160" i="14" s="1"/>
  <c r="N267" i="23"/>
  <c r="Q267" i="23" s="1"/>
  <c r="R267" i="23" s="1"/>
  <c r="H61" i="14"/>
  <c r="I61" i="14" s="1"/>
  <c r="M61" i="14" s="1"/>
  <c r="H120" i="14"/>
  <c r="N120" i="14" s="1"/>
  <c r="R120" i="14" s="1"/>
  <c r="S120" i="14" s="1"/>
  <c r="I381" i="23"/>
  <c r="L381" i="23" s="1"/>
  <c r="N217" i="23"/>
  <c r="Q217" i="23" s="1"/>
  <c r="R217" i="23" s="1"/>
  <c r="N85" i="23"/>
  <c r="H326" i="14"/>
  <c r="I326" i="14" s="1"/>
  <c r="N398" i="23"/>
  <c r="Q398" i="23" s="1"/>
  <c r="R398" i="23" s="1"/>
  <c r="H131" i="24"/>
  <c r="I131" i="24" s="1"/>
  <c r="L131" i="24" s="1"/>
  <c r="H76" i="24"/>
  <c r="I76" i="24" s="1"/>
  <c r="L76" i="24" s="1"/>
  <c r="H189" i="24"/>
  <c r="N189" i="24" s="1"/>
  <c r="Q189" i="24" s="1"/>
  <c r="R189" i="24" s="1"/>
  <c r="H316" i="24"/>
  <c r="I316" i="24" s="1"/>
  <c r="L316" i="24" s="1"/>
  <c r="H138" i="24"/>
  <c r="N138" i="24" s="1"/>
  <c r="Q138" i="24" s="1"/>
  <c r="R138" i="24" s="1"/>
  <c r="H372" i="24"/>
  <c r="I372" i="24" s="1"/>
  <c r="M372" i="24" s="1"/>
  <c r="N183" i="23"/>
  <c r="Q183" i="23" s="1"/>
  <c r="R183" i="23" s="1"/>
  <c r="N397" i="23"/>
  <c r="Q397" i="23" s="1"/>
  <c r="R397" i="23" s="1"/>
  <c r="N299" i="23"/>
  <c r="Q299" i="23" s="1"/>
  <c r="R299" i="23" s="1"/>
  <c r="N301" i="24"/>
  <c r="H385" i="24"/>
  <c r="N385" i="24" s="1"/>
  <c r="Q385" i="24" s="1"/>
  <c r="R385" i="24" s="1"/>
  <c r="H255" i="24"/>
  <c r="I255" i="24" s="1"/>
  <c r="M255" i="24" s="1"/>
  <c r="H85" i="24"/>
  <c r="I85" i="24" s="1"/>
  <c r="M85" i="24" s="1"/>
  <c r="N361" i="23"/>
  <c r="Q361" i="23" s="1"/>
  <c r="R361" i="23" s="1"/>
  <c r="N362" i="23"/>
  <c r="Q362" i="23" s="1"/>
  <c r="R362" i="23" s="1"/>
  <c r="H200" i="24"/>
  <c r="I200" i="24" s="1"/>
  <c r="L200" i="24" s="1"/>
  <c r="N350" i="23"/>
  <c r="Q350" i="23" s="1"/>
  <c r="R350" i="23" s="1"/>
  <c r="H43" i="24"/>
  <c r="I43" i="24" s="1"/>
  <c r="L43" i="24" s="1"/>
  <c r="H269" i="24"/>
  <c r="I269" i="24" s="1"/>
  <c r="M269" i="24" s="1"/>
  <c r="H343" i="14"/>
  <c r="N343" i="14" s="1"/>
  <c r="R343" i="14" s="1"/>
  <c r="S343" i="14" s="1"/>
  <c r="H378" i="24"/>
  <c r="I378" i="24" s="1"/>
  <c r="M378" i="24" s="1"/>
  <c r="H80" i="24"/>
  <c r="I80" i="24" s="1"/>
  <c r="H230" i="24"/>
  <c r="N230" i="24" s="1"/>
  <c r="Q230" i="24" s="1"/>
  <c r="R230" i="24" s="1"/>
  <c r="H268" i="24"/>
  <c r="N268" i="24" s="1"/>
  <c r="Q268" i="24" s="1"/>
  <c r="R268" i="24" s="1"/>
  <c r="N232" i="23"/>
  <c r="Q232" i="23" s="1"/>
  <c r="R232" i="23" s="1"/>
  <c r="H102" i="14"/>
  <c r="I102" i="14" s="1"/>
  <c r="L102" i="14" s="1"/>
  <c r="H247" i="24"/>
  <c r="N247" i="24" s="1"/>
  <c r="Q247" i="24" s="1"/>
  <c r="R247" i="24" s="1"/>
  <c r="H88" i="24"/>
  <c r="I88" i="24" s="1"/>
  <c r="M88" i="24" s="1"/>
  <c r="H265" i="24"/>
  <c r="I265" i="24" s="1"/>
  <c r="L265" i="24" s="1"/>
  <c r="H287" i="24"/>
  <c r="N287" i="24" s="1"/>
  <c r="Q287" i="24" s="1"/>
  <c r="R287" i="24" s="1"/>
  <c r="N342" i="23"/>
  <c r="Q342" i="23" s="1"/>
  <c r="R342" i="23" s="1"/>
  <c r="I78" i="23"/>
  <c r="L78" i="23" s="1"/>
  <c r="H280" i="14"/>
  <c r="I280" i="14" s="1"/>
  <c r="L280" i="14" s="1"/>
  <c r="H278" i="24"/>
  <c r="H112" i="24"/>
  <c r="I112" i="24" s="1"/>
  <c r="L112" i="24" s="1"/>
  <c r="I93" i="23"/>
  <c r="M93" i="23" s="1"/>
  <c r="N111" i="23"/>
  <c r="Q111" i="23" s="1"/>
  <c r="R111" i="23" s="1"/>
  <c r="H166" i="14"/>
  <c r="I166" i="14" s="1"/>
  <c r="M166" i="14" s="1"/>
  <c r="H211" i="24"/>
  <c r="N211" i="24" s="1"/>
  <c r="Q211" i="24" s="1"/>
  <c r="R211" i="24" s="1"/>
  <c r="H330" i="14"/>
  <c r="I330" i="14" s="1"/>
  <c r="L330" i="14" s="1"/>
  <c r="H391" i="24"/>
  <c r="I391" i="24" s="1"/>
  <c r="M391" i="24" s="1"/>
  <c r="H325" i="24"/>
  <c r="N325" i="24" s="1"/>
  <c r="Q325" i="24" s="1"/>
  <c r="R325" i="24" s="1"/>
  <c r="H373" i="24"/>
  <c r="I373" i="24" s="1"/>
  <c r="L373" i="24" s="1"/>
  <c r="H62" i="24"/>
  <c r="I62" i="24" s="1"/>
  <c r="M62" i="24" s="1"/>
  <c r="H40" i="24"/>
  <c r="I40" i="24" s="1"/>
  <c r="M40" i="24" s="1"/>
  <c r="H121" i="24"/>
  <c r="I121" i="24" s="1"/>
  <c r="H125" i="14"/>
  <c r="N125" i="14" s="1"/>
  <c r="R125" i="14" s="1"/>
  <c r="S125" i="14" s="1"/>
  <c r="N317" i="23"/>
  <c r="Q317" i="23" s="1"/>
  <c r="R317" i="23" s="1"/>
  <c r="H259" i="14"/>
  <c r="I259" i="14" s="1"/>
  <c r="M259" i="14" s="1"/>
  <c r="H192" i="14"/>
  <c r="N192" i="14" s="1"/>
  <c r="R192" i="14" s="1"/>
  <c r="S192" i="14" s="1"/>
  <c r="H329" i="24"/>
  <c r="I329" i="24" s="1"/>
  <c r="H338" i="24"/>
  <c r="N338" i="24" s="1"/>
  <c r="Q338" i="24" s="1"/>
  <c r="R338" i="24" s="1"/>
  <c r="H322" i="24"/>
  <c r="I322" i="24" s="1"/>
  <c r="M322" i="24" s="1"/>
  <c r="I231" i="23"/>
  <c r="L231" i="23" s="1"/>
  <c r="H170" i="14"/>
  <c r="I170" i="14" s="1"/>
  <c r="L170" i="14" s="1"/>
  <c r="H211" i="14"/>
  <c r="H260" i="14"/>
  <c r="I260" i="14" s="1"/>
  <c r="M260" i="14" s="1"/>
  <c r="H137" i="14"/>
  <c r="I137" i="14" s="1"/>
  <c r="L137" i="14" s="1"/>
  <c r="H55" i="24"/>
  <c r="N55" i="24" s="1"/>
  <c r="Q55" i="24" s="1"/>
  <c r="R55" i="24" s="1"/>
  <c r="H163" i="24"/>
  <c r="I163" i="24" s="1"/>
  <c r="L163" i="24" s="1"/>
  <c r="H212" i="24"/>
  <c r="I212" i="24" s="1"/>
  <c r="L212" i="24" s="1"/>
  <c r="N124" i="23"/>
  <c r="Q124" i="23" s="1"/>
  <c r="R124" i="23" s="1"/>
  <c r="H352" i="14"/>
  <c r="I352" i="14" s="1"/>
  <c r="L352" i="14" s="1"/>
  <c r="H318" i="14"/>
  <c r="I318" i="14" s="1"/>
  <c r="M318" i="14" s="1"/>
  <c r="H236" i="24"/>
  <c r="I236" i="24" s="1"/>
  <c r="L236" i="24" s="1"/>
  <c r="I178" i="23"/>
  <c r="M178" i="23" s="1"/>
  <c r="N40" i="23"/>
  <c r="Q40" i="23" s="1"/>
  <c r="R40" i="23" s="1"/>
  <c r="N271" i="23"/>
  <c r="I62" i="23"/>
  <c r="L62" i="23" s="1"/>
  <c r="N104" i="23"/>
  <c r="Q104" i="23" s="1"/>
  <c r="R104" i="23" s="1"/>
  <c r="N255" i="23"/>
  <c r="Q255" i="23" s="1"/>
  <c r="R255" i="23" s="1"/>
  <c r="H117" i="14"/>
  <c r="N117" i="14" s="1"/>
  <c r="R117" i="14" s="1"/>
  <c r="S117" i="14" s="1"/>
  <c r="H213" i="14"/>
  <c r="I213" i="14" s="1"/>
  <c r="L213" i="14" s="1"/>
  <c r="H279" i="24"/>
  <c r="I279" i="24" s="1"/>
  <c r="L279" i="24" s="1"/>
  <c r="H78" i="24"/>
  <c r="I78" i="24" s="1"/>
  <c r="L78" i="24" s="1"/>
  <c r="H74" i="24"/>
  <c r="N74" i="24" s="1"/>
  <c r="Q74" i="24" s="1"/>
  <c r="R74" i="24" s="1"/>
  <c r="H66" i="24"/>
  <c r="I66" i="24" s="1"/>
  <c r="L66" i="24" s="1"/>
  <c r="H289" i="14"/>
  <c r="I289" i="14" s="1"/>
  <c r="L289" i="14" s="1"/>
  <c r="H161" i="24"/>
  <c r="I161" i="24" s="1"/>
  <c r="L161" i="24" s="1"/>
  <c r="N331" i="14"/>
  <c r="N277" i="23"/>
  <c r="Q277" i="23" s="1"/>
  <c r="R277" i="23" s="1"/>
  <c r="H121" i="14"/>
  <c r="I121" i="14" s="1"/>
  <c r="L121" i="14" s="1"/>
  <c r="H323" i="24"/>
  <c r="I323" i="24" s="1"/>
  <c r="M323" i="24" s="1"/>
  <c r="H48" i="24"/>
  <c r="I48" i="24" s="1"/>
  <c r="L48" i="24" s="1"/>
  <c r="H393" i="24"/>
  <c r="I393" i="24" s="1"/>
  <c r="M393" i="24" s="1"/>
  <c r="H296" i="24"/>
  <c r="N296" i="24" s="1"/>
  <c r="Q296" i="24" s="1"/>
  <c r="R296" i="24" s="1"/>
  <c r="H253" i="24"/>
  <c r="N253" i="24" s="1"/>
  <c r="Q253" i="24" s="1"/>
  <c r="R253" i="24" s="1"/>
  <c r="H192" i="24"/>
  <c r="I192" i="24" s="1"/>
  <c r="H96" i="24"/>
  <c r="I96" i="24" s="1"/>
  <c r="M96" i="24" s="1"/>
  <c r="H226" i="24"/>
  <c r="N226" i="24" s="1"/>
  <c r="Q226" i="24" s="1"/>
  <c r="R226" i="24" s="1"/>
  <c r="H280" i="24"/>
  <c r="I280" i="24" s="1"/>
  <c r="M280" i="24" s="1"/>
  <c r="H67" i="24"/>
  <c r="I67" i="24" s="1"/>
  <c r="H298" i="24"/>
  <c r="I298" i="24" s="1"/>
  <c r="M298" i="24" s="1"/>
  <c r="I130" i="23"/>
  <c r="M130" i="23" s="1"/>
  <c r="I51" i="14"/>
  <c r="L51" i="14" s="1"/>
  <c r="N83" i="23"/>
  <c r="Q83" i="23" s="1"/>
  <c r="R83" i="23" s="1"/>
  <c r="H147" i="14"/>
  <c r="N147" i="14" s="1"/>
  <c r="R147" i="14" s="1"/>
  <c r="S147" i="14" s="1"/>
  <c r="H208" i="14"/>
  <c r="I208" i="14" s="1"/>
  <c r="M208" i="14" s="1"/>
  <c r="H289" i="24"/>
  <c r="N289" i="24" s="1"/>
  <c r="Q289" i="24" s="1"/>
  <c r="R289" i="24" s="1"/>
  <c r="N154" i="23"/>
  <c r="I155" i="23"/>
  <c r="M155" i="23" s="1"/>
  <c r="H111" i="24"/>
  <c r="I111" i="24" s="1"/>
  <c r="M111" i="24" s="1"/>
  <c r="N112" i="23"/>
  <c r="N290" i="23"/>
  <c r="Q290" i="23" s="1"/>
  <c r="R290" i="23" s="1"/>
  <c r="I97" i="23"/>
  <c r="L97" i="23" s="1"/>
  <c r="N305" i="23"/>
  <c r="Q305" i="23" s="1"/>
  <c r="R305" i="23" s="1"/>
  <c r="N274" i="23"/>
  <c r="Q274" i="23" s="1"/>
  <c r="R274" i="23" s="1"/>
  <c r="H174" i="24"/>
  <c r="I174" i="24" s="1"/>
  <c r="H60" i="14"/>
  <c r="I60" i="14" s="1"/>
  <c r="M60" i="14" s="1"/>
  <c r="H114" i="14"/>
  <c r="I114" i="14" s="1"/>
  <c r="H73" i="14"/>
  <c r="H355" i="14"/>
  <c r="I355" i="14" s="1"/>
  <c r="L355" i="14" s="1"/>
  <c r="H305" i="14"/>
  <c r="N79" i="23"/>
  <c r="Q79" i="23" s="1"/>
  <c r="R79" i="23" s="1"/>
  <c r="N113" i="14"/>
  <c r="H105" i="14"/>
  <c r="N105" i="14" s="1"/>
  <c r="R105" i="14" s="1"/>
  <c r="S105" i="14" s="1"/>
  <c r="H223" i="14"/>
  <c r="I223" i="14" s="1"/>
  <c r="L223" i="14" s="1"/>
  <c r="H189" i="14"/>
  <c r="I189" i="14" s="1"/>
  <c r="L189" i="14" s="1"/>
  <c r="H214" i="24"/>
  <c r="I214" i="24" s="1"/>
  <c r="L214" i="24" s="1"/>
  <c r="I265" i="14"/>
  <c r="M265" i="14" s="1"/>
  <c r="H348" i="14"/>
  <c r="I348" i="14" s="1"/>
  <c r="M348" i="14" s="1"/>
  <c r="H164" i="14"/>
  <c r="I164" i="14" s="1"/>
  <c r="L164" i="14" s="1"/>
  <c r="H341" i="14"/>
  <c r="I341" i="14" s="1"/>
  <c r="M341" i="14" s="1"/>
  <c r="H345" i="24"/>
  <c r="N345" i="24" s="1"/>
  <c r="Q345" i="24" s="1"/>
  <c r="R345" i="24" s="1"/>
  <c r="H127" i="14"/>
  <c r="I127" i="14" s="1"/>
  <c r="L127" i="14" s="1"/>
  <c r="H291" i="14"/>
  <c r="I291" i="14" s="1"/>
  <c r="M291" i="14" s="1"/>
  <c r="H282" i="14"/>
  <c r="N282" i="14" s="1"/>
  <c r="R282" i="14" s="1"/>
  <c r="S282" i="14" s="1"/>
  <c r="H150" i="14"/>
  <c r="N150" i="14" s="1"/>
  <c r="R150" i="14" s="1"/>
  <c r="S150" i="14" s="1"/>
  <c r="H368" i="24"/>
  <c r="I368" i="24" s="1"/>
  <c r="L368" i="24" s="1"/>
  <c r="H75" i="24"/>
  <c r="N75" i="24" s="1"/>
  <c r="Q75" i="24" s="1"/>
  <c r="R75" i="24" s="1"/>
  <c r="H149" i="14"/>
  <c r="I149" i="14" s="1"/>
  <c r="M149" i="14" s="1"/>
  <c r="H144" i="14"/>
  <c r="N144" i="14" s="1"/>
  <c r="R144" i="14" s="1"/>
  <c r="S144" i="14" s="1"/>
  <c r="H239" i="14"/>
  <c r="I239" i="14" s="1"/>
  <c r="M239" i="14" s="1"/>
  <c r="H333" i="14"/>
  <c r="I333" i="14" s="1"/>
  <c r="L333" i="14" s="1"/>
  <c r="H94" i="14"/>
  <c r="I94" i="14" s="1"/>
  <c r="M94" i="14" s="1"/>
  <c r="H54" i="14"/>
  <c r="I54" i="14" s="1"/>
  <c r="M54" i="14" s="1"/>
  <c r="H283" i="14"/>
  <c r="I283" i="14" s="1"/>
  <c r="M283" i="14" s="1"/>
  <c r="H124" i="24"/>
  <c r="I124" i="24" s="1"/>
  <c r="H179" i="24"/>
  <c r="I179" i="24" s="1"/>
  <c r="L179" i="24" s="1"/>
  <c r="H234" i="24"/>
  <c r="I234" i="24" s="1"/>
  <c r="M234" i="24" s="1"/>
  <c r="H137" i="24"/>
  <c r="I137" i="24" s="1"/>
  <c r="L137" i="24" s="1"/>
  <c r="H140" i="24"/>
  <c r="I140" i="24" s="1"/>
  <c r="M140" i="24" s="1"/>
  <c r="H91" i="24"/>
  <c r="I91" i="24" s="1"/>
  <c r="L91" i="24" s="1"/>
  <c r="H350" i="24"/>
  <c r="I350" i="24" s="1"/>
  <c r="L350" i="24" s="1"/>
  <c r="H343" i="24"/>
  <c r="I343" i="24" s="1"/>
  <c r="M343" i="24" s="1"/>
  <c r="H181" i="24"/>
  <c r="I181" i="24" s="1"/>
  <c r="L181" i="24" s="1"/>
  <c r="H128" i="24"/>
  <c r="N128" i="24" s="1"/>
  <c r="Q128" i="24" s="1"/>
  <c r="R128" i="24" s="1"/>
  <c r="H103" i="24"/>
  <c r="N103" i="24" s="1"/>
  <c r="Q103" i="24" s="1"/>
  <c r="R103" i="24" s="1"/>
  <c r="I168" i="23"/>
  <c r="M168" i="23" s="1"/>
  <c r="N77" i="23"/>
  <c r="N312" i="24"/>
  <c r="Q312" i="24" s="1"/>
  <c r="R312" i="24" s="1"/>
  <c r="N196" i="23"/>
  <c r="Q196" i="23" s="1"/>
  <c r="R196" i="23" s="1"/>
  <c r="I146" i="23"/>
  <c r="M146" i="23" s="1"/>
  <c r="I147" i="23"/>
  <c r="L147" i="23" s="1"/>
  <c r="H344" i="24"/>
  <c r="I344" i="24" s="1"/>
  <c r="L344" i="24" s="1"/>
  <c r="N172" i="23"/>
  <c r="Q172" i="23" s="1"/>
  <c r="R172" i="23" s="1"/>
  <c r="N193" i="23"/>
  <c r="Q193" i="23" s="1"/>
  <c r="R193" i="23" s="1"/>
  <c r="H82" i="24"/>
  <c r="I82" i="24" s="1"/>
  <c r="M82" i="24" s="1"/>
  <c r="I338" i="23"/>
  <c r="L338" i="23" s="1"/>
  <c r="N282" i="23"/>
  <c r="Q282" i="23" s="1"/>
  <c r="R282" i="23" s="1"/>
  <c r="N313" i="23"/>
  <c r="Q313" i="23" s="1"/>
  <c r="R313" i="23" s="1"/>
  <c r="H334" i="24"/>
  <c r="N334" i="24" s="1"/>
  <c r="Q334" i="24" s="1"/>
  <c r="R334" i="24" s="1"/>
  <c r="N94" i="23"/>
  <c r="Q94" i="23" s="1"/>
  <c r="R94" i="23" s="1"/>
  <c r="N329" i="14"/>
  <c r="R329" i="14" s="1"/>
  <c r="S329" i="14" s="1"/>
  <c r="H216" i="14"/>
  <c r="I216" i="14" s="1"/>
  <c r="L216" i="14" s="1"/>
  <c r="N113" i="23"/>
  <c r="Q113" i="23" s="1"/>
  <c r="R113" i="23" s="1"/>
  <c r="N145" i="23"/>
  <c r="Q145" i="23" s="1"/>
  <c r="R145" i="23" s="1"/>
  <c r="N386" i="23"/>
  <c r="Q386" i="23" s="1"/>
  <c r="R386" i="23" s="1"/>
  <c r="N308" i="23"/>
  <c r="Q308" i="23" s="1"/>
  <c r="R308" i="23" s="1"/>
  <c r="H154" i="14"/>
  <c r="N154" i="14" s="1"/>
  <c r="R154" i="14" s="1"/>
  <c r="S154" i="14" s="1"/>
  <c r="H242" i="14"/>
  <c r="I242" i="14" s="1"/>
  <c r="N135" i="23"/>
  <c r="Q135" i="23" s="1"/>
  <c r="R135" i="23" s="1"/>
  <c r="N364" i="23"/>
  <c r="Q364" i="23" s="1"/>
  <c r="R364" i="23" s="1"/>
  <c r="I330" i="24"/>
  <c r="M330" i="24" s="1"/>
  <c r="H209" i="14"/>
  <c r="N209" i="14" s="1"/>
  <c r="R209" i="14" s="1"/>
  <c r="S209" i="14" s="1"/>
  <c r="N294" i="23"/>
  <c r="Q294" i="23" s="1"/>
  <c r="R294" i="23" s="1"/>
  <c r="N103" i="23"/>
  <c r="Q103" i="23" s="1"/>
  <c r="R103" i="23" s="1"/>
  <c r="I76" i="23"/>
  <c r="L76" i="23" s="1"/>
  <c r="H285" i="14"/>
  <c r="I285" i="14" s="1"/>
  <c r="M285" i="14" s="1"/>
  <c r="N115" i="23"/>
  <c r="Q115" i="23" s="1"/>
  <c r="R115" i="23" s="1"/>
  <c r="N181" i="23"/>
  <c r="Q181" i="23" s="1"/>
  <c r="R181" i="23" s="1"/>
  <c r="H184" i="14"/>
  <c r="I184" i="14" s="1"/>
  <c r="L184" i="14" s="1"/>
  <c r="H307" i="14"/>
  <c r="I307" i="14" s="1"/>
  <c r="L307" i="14" s="1"/>
  <c r="H221" i="14"/>
  <c r="N221" i="14" s="1"/>
  <c r="J308" i="25" s="1"/>
  <c r="H168" i="14"/>
  <c r="I168" i="14" s="1"/>
  <c r="L168" i="14" s="1"/>
  <c r="N254" i="14"/>
  <c r="R254" i="14" s="1"/>
  <c r="S254" i="14" s="1"/>
  <c r="H96" i="14"/>
  <c r="N96" i="14" s="1"/>
  <c r="R96" i="14" s="1"/>
  <c r="S96" i="14" s="1"/>
  <c r="H133" i="14"/>
  <c r="I133" i="14" s="1"/>
  <c r="L133" i="14" s="1"/>
  <c r="H367" i="14"/>
  <c r="I367" i="14" s="1"/>
  <c r="M367" i="14" s="1"/>
  <c r="H252" i="14"/>
  <c r="I252" i="14" s="1"/>
  <c r="M252" i="14" s="1"/>
  <c r="H276" i="14"/>
  <c r="H112" i="14"/>
  <c r="H327" i="14"/>
  <c r="I327" i="14" s="1"/>
  <c r="M327" i="14" s="1"/>
  <c r="N207" i="23"/>
  <c r="Q207" i="23" s="1"/>
  <c r="R207" i="23" s="1"/>
  <c r="N99" i="23"/>
  <c r="Q99" i="23" s="1"/>
  <c r="R99" i="23" s="1"/>
  <c r="H279" i="14"/>
  <c r="H266" i="24"/>
  <c r="I266" i="24" s="1"/>
  <c r="L266" i="24" s="1"/>
  <c r="I72" i="23"/>
  <c r="L72" i="23" s="1"/>
  <c r="I381" i="14"/>
  <c r="L381" i="14" s="1"/>
  <c r="N381" i="14"/>
  <c r="R381" i="14" s="1"/>
  <c r="S381" i="14" s="1"/>
  <c r="H53" i="14"/>
  <c r="I53" i="14" s="1"/>
  <c r="L53" i="14" s="1"/>
  <c r="H158" i="24"/>
  <c r="N158" i="24" s="1"/>
  <c r="Q158" i="24" s="1"/>
  <c r="R158" i="24" s="1"/>
  <c r="H172" i="24"/>
  <c r="I172" i="24" s="1"/>
  <c r="M172" i="24" s="1"/>
  <c r="H105" i="24"/>
  <c r="I105" i="24" s="1"/>
  <c r="L105" i="24" s="1"/>
  <c r="H311" i="24"/>
  <c r="I311" i="24" s="1"/>
  <c r="M311" i="24" s="1"/>
  <c r="H184" i="24"/>
  <c r="I184" i="24" s="1"/>
  <c r="M184" i="24" s="1"/>
  <c r="H153" i="24"/>
  <c r="N153" i="24" s="1"/>
  <c r="Q153" i="24" s="1"/>
  <c r="R153" i="24" s="1"/>
  <c r="I244" i="23"/>
  <c r="M244" i="23" s="1"/>
  <c r="H201" i="14"/>
  <c r="I201" i="14" s="1"/>
  <c r="L201" i="14" s="1"/>
  <c r="H236" i="14"/>
  <c r="I236" i="14" s="1"/>
  <c r="L236" i="14" s="1"/>
  <c r="H70" i="14"/>
  <c r="I70" i="14" s="1"/>
  <c r="M70" i="14" s="1"/>
  <c r="H151" i="14"/>
  <c r="I151" i="14" s="1"/>
  <c r="L151" i="14" s="1"/>
  <c r="H264" i="14"/>
  <c r="N264" i="14" s="1"/>
  <c r="R264" i="14" s="1"/>
  <c r="S264" i="14" s="1"/>
  <c r="H86" i="14"/>
  <c r="I86" i="14" s="1"/>
  <c r="M86" i="14" s="1"/>
  <c r="H167" i="14"/>
  <c r="N167" i="14" s="1"/>
  <c r="R167" i="14" s="1"/>
  <c r="S167" i="14" s="1"/>
  <c r="H104" i="14"/>
  <c r="I104" i="14" s="1"/>
  <c r="L104" i="14" s="1"/>
  <c r="H65" i="14"/>
  <c r="N65" i="14" s="1"/>
  <c r="R65" i="14" s="1"/>
  <c r="S65" i="14" s="1"/>
  <c r="H163" i="14"/>
  <c r="I163" i="14" s="1"/>
  <c r="M163" i="14" s="1"/>
  <c r="H283" i="24"/>
  <c r="I283" i="24" s="1"/>
  <c r="M283" i="24" s="1"/>
  <c r="H302" i="24"/>
  <c r="I302" i="24" s="1"/>
  <c r="L302" i="24" s="1"/>
  <c r="H232" i="24"/>
  <c r="N232" i="24" s="1"/>
  <c r="Q232" i="24" s="1"/>
  <c r="R232" i="24" s="1"/>
  <c r="H89" i="14"/>
  <c r="H322" i="14"/>
  <c r="N322" i="14" s="1"/>
  <c r="R322" i="14" s="1"/>
  <c r="S322" i="14" s="1"/>
  <c r="H106" i="14"/>
  <c r="I106" i="14" s="1"/>
  <c r="M106" i="14" s="1"/>
  <c r="H165" i="14"/>
  <c r="I165" i="14" s="1"/>
  <c r="L165" i="14" s="1"/>
  <c r="H335" i="14"/>
  <c r="I335" i="14" s="1"/>
  <c r="M335" i="14" s="1"/>
  <c r="H161" i="14"/>
  <c r="I161" i="14" s="1"/>
  <c r="M161" i="14" s="1"/>
  <c r="H386" i="14"/>
  <c r="I386" i="14" s="1"/>
  <c r="L386" i="14" s="1"/>
  <c r="H238" i="14"/>
  <c r="I238" i="14" s="1"/>
  <c r="M238" i="14" s="1"/>
  <c r="H369" i="14"/>
  <c r="I369" i="14" s="1"/>
  <c r="M369" i="14" s="1"/>
  <c r="H391" i="14"/>
  <c r="I391" i="14" s="1"/>
  <c r="L391" i="14" s="1"/>
  <c r="H130" i="24"/>
  <c r="N130" i="24" s="1"/>
  <c r="Q130" i="24" s="1"/>
  <c r="R130" i="24" s="1"/>
  <c r="H225" i="24"/>
  <c r="N225" i="24" s="1"/>
  <c r="Q225" i="24" s="1"/>
  <c r="R225" i="24" s="1"/>
  <c r="H122" i="24"/>
  <c r="N122" i="24" s="1"/>
  <c r="Q122" i="24" s="1"/>
  <c r="R122" i="24" s="1"/>
  <c r="H57" i="24"/>
  <c r="N57" i="24" s="1"/>
  <c r="Q57" i="24" s="1"/>
  <c r="R57" i="24" s="1"/>
  <c r="H41" i="24"/>
  <c r="N41" i="24" s="1"/>
  <c r="Q41" i="24" s="1"/>
  <c r="R41" i="24" s="1"/>
  <c r="H113" i="24"/>
  <c r="I113" i="24" s="1"/>
  <c r="M113" i="24" s="1"/>
  <c r="H340" i="14"/>
  <c r="N340" i="14" s="1"/>
  <c r="R340" i="14" s="1"/>
  <c r="S340" i="14" s="1"/>
  <c r="H135" i="14"/>
  <c r="I135" i="14" s="1"/>
  <c r="M135" i="14" s="1"/>
  <c r="H242" i="24"/>
  <c r="I242" i="24" s="1"/>
  <c r="L242" i="24" s="1"/>
  <c r="H328" i="14"/>
  <c r="I328" i="14" s="1"/>
  <c r="M328" i="14" s="1"/>
  <c r="H46" i="14"/>
  <c r="I46" i="14" s="1"/>
  <c r="M46" i="14" s="1"/>
  <c r="H261" i="14"/>
  <c r="H177" i="14"/>
  <c r="I177" i="14" s="1"/>
  <c r="L177" i="14" s="1"/>
  <c r="H115" i="24"/>
  <c r="N115" i="24" s="1"/>
  <c r="Q115" i="24" s="1"/>
  <c r="R115" i="24" s="1"/>
  <c r="H168" i="24"/>
  <c r="I168" i="24" s="1"/>
  <c r="H56" i="24"/>
  <c r="N56" i="24" s="1"/>
  <c r="Q56" i="24" s="1"/>
  <c r="R56" i="24" s="1"/>
  <c r="H190" i="14"/>
  <c r="I190" i="14" s="1"/>
  <c r="M190" i="14" s="1"/>
  <c r="H83" i="14"/>
  <c r="I83" i="14" s="1"/>
  <c r="L83" i="14" s="1"/>
  <c r="H118" i="14"/>
  <c r="I118" i="14" s="1"/>
  <c r="M118" i="14" s="1"/>
  <c r="H99" i="14"/>
  <c r="I99" i="14" s="1"/>
  <c r="L99" i="14" s="1"/>
  <c r="H173" i="14"/>
  <c r="I173" i="14" s="1"/>
  <c r="M173" i="14" s="1"/>
  <c r="H126" i="14"/>
  <c r="I126" i="14" s="1"/>
  <c r="H317" i="24"/>
  <c r="I317" i="24" s="1"/>
  <c r="L317" i="24" s="1"/>
  <c r="H58" i="24"/>
  <c r="I58" i="24" s="1"/>
  <c r="L58" i="24" s="1"/>
  <c r="H132" i="24"/>
  <c r="I132" i="24" s="1"/>
  <c r="M132" i="24" s="1"/>
  <c r="H170" i="24"/>
  <c r="I170" i="24" s="1"/>
  <c r="L170" i="24" s="1"/>
  <c r="H118" i="24"/>
  <c r="I118" i="24" s="1"/>
  <c r="H159" i="24"/>
  <c r="I159" i="24" s="1"/>
  <c r="H63" i="24"/>
  <c r="N63" i="24" s="1"/>
  <c r="Q63" i="24" s="1"/>
  <c r="R63" i="24" s="1"/>
  <c r="H263" i="24"/>
  <c r="I263" i="24" s="1"/>
  <c r="M263" i="24" s="1"/>
  <c r="H356" i="24"/>
  <c r="N356" i="24" s="1"/>
  <c r="Q356" i="24" s="1"/>
  <c r="R356" i="24" s="1"/>
  <c r="H154" i="24"/>
  <c r="I154" i="24" s="1"/>
  <c r="L154" i="24" s="1"/>
  <c r="H204" i="24"/>
  <c r="I204" i="24" s="1"/>
  <c r="L204" i="24" s="1"/>
  <c r="H293" i="24"/>
  <c r="I293" i="24" s="1"/>
  <c r="L293" i="24" s="1"/>
  <c r="H93" i="24"/>
  <c r="I93" i="24" s="1"/>
  <c r="L93" i="24" s="1"/>
  <c r="N278" i="23"/>
  <c r="Q278" i="23" s="1"/>
  <c r="R278" i="23" s="1"/>
  <c r="I397" i="24"/>
  <c r="L397" i="24" s="1"/>
  <c r="N397" i="24"/>
  <c r="Q397" i="24" s="1"/>
  <c r="R397" i="24" s="1"/>
  <c r="H114" i="24"/>
  <c r="N114" i="24" s="1"/>
  <c r="Q114" i="24" s="1"/>
  <c r="R114" i="24" s="1"/>
  <c r="H202" i="24"/>
  <c r="I202" i="24" s="1"/>
  <c r="L202" i="24" s="1"/>
  <c r="H243" i="24"/>
  <c r="I243" i="24" s="1"/>
  <c r="M243" i="24" s="1"/>
  <c r="H254" i="24"/>
  <c r="I254" i="24" s="1"/>
  <c r="I393" i="23"/>
  <c r="M393" i="23" s="1"/>
  <c r="N322" i="23"/>
  <c r="Q322" i="23" s="1"/>
  <c r="R322" i="23" s="1"/>
  <c r="N364" i="24"/>
  <c r="Q364" i="24" s="1"/>
  <c r="R364" i="24" s="1"/>
  <c r="H287" i="14"/>
  <c r="H169" i="14"/>
  <c r="H363" i="14"/>
  <c r="I363" i="14" s="1"/>
  <c r="H320" i="14"/>
  <c r="I320" i="14" s="1"/>
  <c r="H71" i="24"/>
  <c r="I71" i="24" s="1"/>
  <c r="L71" i="24" s="1"/>
  <c r="H39" i="24"/>
  <c r="N39" i="24" s="1"/>
  <c r="N75" i="23"/>
  <c r="Q75" i="23" s="1"/>
  <c r="R75" i="23" s="1"/>
  <c r="N88" i="23"/>
  <c r="Q88" i="23" s="1"/>
  <c r="R88" i="23" s="1"/>
  <c r="N370" i="23"/>
  <c r="Q370" i="23" s="1"/>
  <c r="R370" i="23" s="1"/>
  <c r="H334" i="14"/>
  <c r="I334" i="14" s="1"/>
  <c r="M334" i="14" s="1"/>
  <c r="H124" i="14"/>
  <c r="N124" i="14" s="1"/>
  <c r="R124" i="14" s="1"/>
  <c r="S124" i="14" s="1"/>
  <c r="H43" i="14"/>
  <c r="N43" i="14" s="1"/>
  <c r="R43" i="14" s="1"/>
  <c r="S43" i="14" s="1"/>
  <c r="N194" i="23"/>
  <c r="Q194" i="23" s="1"/>
  <c r="R194" i="23" s="1"/>
  <c r="H396" i="24"/>
  <c r="I396" i="24" s="1"/>
  <c r="N157" i="23"/>
  <c r="Q157" i="23" s="1"/>
  <c r="R157" i="23" s="1"/>
  <c r="N234" i="23"/>
  <c r="Q234" i="23" s="1"/>
  <c r="R234" i="23" s="1"/>
  <c r="H399" i="14"/>
  <c r="H208" i="24"/>
  <c r="H357" i="14"/>
  <c r="N357" i="14" s="1"/>
  <c r="R357" i="14" s="1"/>
  <c r="S357" i="14" s="1"/>
  <c r="H65" i="24"/>
  <c r="N65" i="24" s="1"/>
  <c r="Q65" i="24" s="1"/>
  <c r="R65" i="24" s="1"/>
  <c r="H106" i="24"/>
  <c r="I106" i="24" s="1"/>
  <c r="M106" i="24" s="1"/>
  <c r="H123" i="24"/>
  <c r="I123" i="24" s="1"/>
  <c r="M123" i="24" s="1"/>
  <c r="H261" i="24"/>
  <c r="N261" i="24" s="1"/>
  <c r="Q261" i="24" s="1"/>
  <c r="R261" i="24" s="1"/>
  <c r="H81" i="24"/>
  <c r="I81" i="24" s="1"/>
  <c r="M81" i="24" s="1"/>
  <c r="H312" i="14"/>
  <c r="I312" i="14" s="1"/>
  <c r="M312" i="14" s="1"/>
  <c r="H145" i="14"/>
  <c r="N145" i="14" s="1"/>
  <c r="R145" i="14" s="1"/>
  <c r="S145" i="14" s="1"/>
  <c r="H256" i="24"/>
  <c r="I256" i="24" s="1"/>
  <c r="M256" i="24" s="1"/>
  <c r="H50" i="24"/>
  <c r="I50" i="24" s="1"/>
  <c r="M50" i="24" s="1"/>
  <c r="H270" i="24"/>
  <c r="I270" i="24" s="1"/>
  <c r="M270" i="24" s="1"/>
  <c r="H218" i="24"/>
  <c r="I218" i="24" s="1"/>
  <c r="H108" i="24"/>
  <c r="I108" i="24" s="1"/>
  <c r="M108" i="24" s="1"/>
  <c r="H68" i="24"/>
  <c r="N68" i="24" s="1"/>
  <c r="Q68" i="24" s="1"/>
  <c r="R68" i="24" s="1"/>
  <c r="H252" i="24"/>
  <c r="I252" i="24" s="1"/>
  <c r="H271" i="14"/>
  <c r="N271" i="14" s="1"/>
  <c r="R271" i="14" s="1"/>
  <c r="S271" i="14" s="1"/>
  <c r="H388" i="24"/>
  <c r="I388" i="24" s="1"/>
  <c r="L388" i="24" s="1"/>
  <c r="H193" i="14"/>
  <c r="H324" i="24"/>
  <c r="I324" i="24" s="1"/>
  <c r="H319" i="14"/>
  <c r="I319" i="14" s="1"/>
  <c r="L319" i="14" s="1"/>
  <c r="H81" i="14"/>
  <c r="H222" i="14"/>
  <c r="H48" i="14"/>
  <c r="I48" i="14" s="1"/>
  <c r="H213" i="24"/>
  <c r="N213" i="24" s="1"/>
  <c r="Q213" i="24" s="1"/>
  <c r="R213" i="24" s="1"/>
  <c r="H178" i="14"/>
  <c r="I178" i="14" s="1"/>
  <c r="L178" i="14" s="1"/>
  <c r="H234" i="14"/>
  <c r="H395" i="24"/>
  <c r="I395" i="24" s="1"/>
  <c r="L395" i="24" s="1"/>
  <c r="H115" i="14"/>
  <c r="I115" i="14" s="1"/>
  <c r="L115" i="14" s="1"/>
  <c r="H110" i="24"/>
  <c r="I110" i="24" s="1"/>
  <c r="M110" i="24" s="1"/>
  <c r="H290" i="24"/>
  <c r="I290" i="24" s="1"/>
  <c r="L290" i="24" s="1"/>
  <c r="H188" i="24"/>
  <c r="I188" i="24" s="1"/>
  <c r="L188" i="24" s="1"/>
  <c r="N349" i="23"/>
  <c r="Q349" i="23" s="1"/>
  <c r="R349" i="23" s="1"/>
  <c r="N392" i="23"/>
  <c r="Q392" i="23" s="1"/>
  <c r="R392" i="23" s="1"/>
  <c r="N389" i="23"/>
  <c r="Q389" i="23" s="1"/>
  <c r="R389" i="23" s="1"/>
  <c r="N309" i="24"/>
  <c r="Q309" i="24" s="1"/>
  <c r="R309" i="24" s="1"/>
  <c r="N205" i="23"/>
  <c r="N201" i="23"/>
  <c r="Q201" i="23" s="1"/>
  <c r="R201" i="23" s="1"/>
  <c r="N266" i="23"/>
  <c r="Q266" i="23" s="1"/>
  <c r="R266" i="23" s="1"/>
  <c r="H362" i="24"/>
  <c r="N362" i="24" s="1"/>
  <c r="Q362" i="24" s="1"/>
  <c r="R362" i="24" s="1"/>
  <c r="H244" i="24"/>
  <c r="N244" i="24" s="1"/>
  <c r="Q244" i="24" s="1"/>
  <c r="R244" i="24" s="1"/>
  <c r="H237" i="14"/>
  <c r="I237" i="14" s="1"/>
  <c r="H160" i="24"/>
  <c r="I160" i="24" s="1"/>
  <c r="L160" i="24" s="1"/>
  <c r="H59" i="24"/>
  <c r="I59" i="24" s="1"/>
  <c r="H129" i="24"/>
  <c r="I129" i="24" s="1"/>
  <c r="M129" i="24" s="1"/>
  <c r="H246" i="24"/>
  <c r="N246" i="24" s="1"/>
  <c r="Q246" i="24" s="1"/>
  <c r="R246" i="24" s="1"/>
  <c r="H374" i="24"/>
  <c r="I374" i="24" s="1"/>
  <c r="M374" i="24" s="1"/>
  <c r="H148" i="24"/>
  <c r="I148" i="24" s="1"/>
  <c r="L148" i="24" s="1"/>
  <c r="H150" i="24"/>
  <c r="I150" i="24" s="1"/>
  <c r="H358" i="24"/>
  <c r="I358" i="24" s="1"/>
  <c r="M358" i="24" s="1"/>
  <c r="H260" i="24"/>
  <c r="I260" i="24" s="1"/>
  <c r="H70" i="24"/>
  <c r="I70" i="24" s="1"/>
  <c r="L70" i="24" s="1"/>
  <c r="I328" i="23"/>
  <c r="L328" i="23" s="1"/>
  <c r="N385" i="23"/>
  <c r="Q385" i="23" s="1"/>
  <c r="R385" i="23" s="1"/>
  <c r="N70" i="23"/>
  <c r="Q70" i="23" s="1"/>
  <c r="R70" i="23" s="1"/>
  <c r="N114" i="23"/>
  <c r="Q114" i="23" s="1"/>
  <c r="R114" i="23" s="1"/>
  <c r="N46" i="24"/>
  <c r="Q46" i="24" s="1"/>
  <c r="R46" i="24" s="1"/>
  <c r="I46" i="24"/>
  <c r="M46" i="24" s="1"/>
  <c r="H56" i="14"/>
  <c r="I56" i="14" s="1"/>
  <c r="H370" i="24"/>
  <c r="N370" i="24" s="1"/>
  <c r="N165" i="23"/>
  <c r="Q165" i="23" s="1"/>
  <c r="R165" i="23" s="1"/>
  <c r="H214" i="14"/>
  <c r="N292" i="23"/>
  <c r="Q292" i="23" s="1"/>
  <c r="R292" i="23" s="1"/>
  <c r="I69" i="23"/>
  <c r="M69" i="23" s="1"/>
  <c r="N158" i="23"/>
  <c r="Q158" i="23" s="1"/>
  <c r="R158" i="23" s="1"/>
  <c r="H358" i="14"/>
  <c r="N358" i="14" s="1"/>
  <c r="R358" i="14" s="1"/>
  <c r="S358" i="14" s="1"/>
  <c r="H55" i="14"/>
  <c r="N212" i="14"/>
  <c r="R212" i="14" s="1"/>
  <c r="S212" i="14" s="1"/>
  <c r="N335" i="23"/>
  <c r="Q335" i="23" s="1"/>
  <c r="R335" i="23" s="1"/>
  <c r="N134" i="23"/>
  <c r="Q134" i="23" s="1"/>
  <c r="R134" i="23" s="1"/>
  <c r="N170" i="23"/>
  <c r="Q170" i="23" s="1"/>
  <c r="R170" i="23" s="1"/>
  <c r="I237" i="23"/>
  <c r="L237" i="23" s="1"/>
  <c r="I346" i="23"/>
  <c r="L346" i="23" s="1"/>
  <c r="N327" i="23"/>
  <c r="Q327" i="23" s="1"/>
  <c r="R327" i="23" s="1"/>
  <c r="H262" i="14"/>
  <c r="H247" i="14"/>
  <c r="I162" i="23"/>
  <c r="M162" i="23" s="1"/>
  <c r="N272" i="23"/>
  <c r="Q272" i="23" s="1"/>
  <c r="R272" i="23" s="1"/>
  <c r="N202" i="14"/>
  <c r="R202" i="14" s="1"/>
  <c r="S202" i="14" s="1"/>
  <c r="I150" i="23"/>
  <c r="L150" i="23" s="1"/>
  <c r="H119" i="14"/>
  <c r="I285" i="23"/>
  <c r="M285" i="23" s="1"/>
  <c r="H224" i="14"/>
  <c r="I224" i="14" s="1"/>
  <c r="M224" i="14" s="1"/>
  <c r="H331" i="24"/>
  <c r="I331" i="24" s="1"/>
  <c r="L331" i="24" s="1"/>
  <c r="H248" i="24"/>
  <c r="I248" i="24" s="1"/>
  <c r="L248" i="24" s="1"/>
  <c r="N344" i="23"/>
  <c r="Q344" i="23" s="1"/>
  <c r="R344" i="23" s="1"/>
  <c r="N221" i="23"/>
  <c r="Q221" i="23" s="1"/>
  <c r="R221" i="23" s="1"/>
  <c r="N143" i="14"/>
  <c r="I190" i="23"/>
  <c r="M190" i="23" s="1"/>
  <c r="N374" i="23"/>
  <c r="Q374" i="23" s="1"/>
  <c r="R374" i="23" s="1"/>
  <c r="N77" i="24"/>
  <c r="Q77" i="24" s="1"/>
  <c r="R77" i="24" s="1"/>
  <c r="N378" i="23"/>
  <c r="Q378" i="23" s="1"/>
  <c r="R378" i="23" s="1"/>
  <c r="N137" i="23"/>
  <c r="Q137" i="23" s="1"/>
  <c r="R137" i="23" s="1"/>
  <c r="N250" i="24"/>
  <c r="Q250" i="24" s="1"/>
  <c r="R250" i="24" s="1"/>
  <c r="H177" i="24"/>
  <c r="I177" i="24" s="1"/>
  <c r="H366" i="24"/>
  <c r="I366" i="24" s="1"/>
  <c r="M366" i="24" s="1"/>
  <c r="H216" i="24"/>
  <c r="I216" i="24" s="1"/>
  <c r="L216" i="24" s="1"/>
  <c r="H273" i="24"/>
  <c r="I273" i="24" s="1"/>
  <c r="L273" i="24" s="1"/>
  <c r="H203" i="24"/>
  <c r="N203" i="24" s="1"/>
  <c r="Q203" i="24" s="1"/>
  <c r="R203" i="24" s="1"/>
  <c r="H367" i="24"/>
  <c r="I367" i="24" s="1"/>
  <c r="L367" i="24" s="1"/>
  <c r="H398" i="24"/>
  <c r="I398" i="24" s="1"/>
  <c r="M398" i="24" s="1"/>
  <c r="H73" i="24"/>
  <c r="I73" i="24" s="1"/>
  <c r="L73" i="24" s="1"/>
  <c r="H109" i="24"/>
  <c r="I109" i="24" s="1"/>
  <c r="H102" i="24"/>
  <c r="I102" i="24" s="1"/>
  <c r="M102" i="24" s="1"/>
  <c r="H386" i="24"/>
  <c r="N386" i="24" s="1"/>
  <c r="Q386" i="24" s="1"/>
  <c r="R386" i="24" s="1"/>
  <c r="H187" i="24"/>
  <c r="I187" i="24" s="1"/>
  <c r="H94" i="24"/>
  <c r="N94" i="24" s="1"/>
  <c r="Q94" i="24" s="1"/>
  <c r="R94" i="24" s="1"/>
  <c r="H310" i="24"/>
  <c r="N310" i="24" s="1"/>
  <c r="Q310" i="24" s="1"/>
  <c r="R310" i="24" s="1"/>
  <c r="H314" i="24"/>
  <c r="I314" i="24" s="1"/>
  <c r="M314" i="24" s="1"/>
  <c r="H300" i="24"/>
  <c r="N300" i="24" s="1"/>
  <c r="Q300" i="24" s="1"/>
  <c r="R300" i="24" s="1"/>
  <c r="H54" i="24"/>
  <c r="I54" i="24" s="1"/>
  <c r="H389" i="24"/>
  <c r="I389" i="24" s="1"/>
  <c r="L389" i="24" s="1"/>
  <c r="H294" i="14"/>
  <c r="N294" i="14" s="1"/>
  <c r="R294" i="14" s="1"/>
  <c r="S294" i="14" s="1"/>
  <c r="N142" i="23"/>
  <c r="Q142" i="23" s="1"/>
  <c r="R142" i="23" s="1"/>
  <c r="N188" i="23"/>
  <c r="Q188" i="23" s="1"/>
  <c r="R188" i="23" s="1"/>
  <c r="I274" i="24"/>
  <c r="M274" i="24" s="1"/>
  <c r="N274" i="24"/>
  <c r="Q274" i="24" s="1"/>
  <c r="R274" i="24" s="1"/>
  <c r="I120" i="23"/>
  <c r="M120" i="23" s="1"/>
  <c r="H204" i="14"/>
  <c r="N204" i="14" s="1"/>
  <c r="R204" i="14" s="1"/>
  <c r="S204" i="14" s="1"/>
  <c r="H194" i="24"/>
  <c r="N194" i="24" s="1"/>
  <c r="Q194" i="24" s="1"/>
  <c r="R194" i="24" s="1"/>
  <c r="H346" i="24"/>
  <c r="I346" i="24" s="1"/>
  <c r="M346" i="24" s="1"/>
  <c r="H64" i="24"/>
  <c r="I64" i="24" s="1"/>
  <c r="H292" i="24"/>
  <c r="I292" i="24" s="1"/>
  <c r="H125" i="24"/>
  <c r="N125" i="24" s="1"/>
  <c r="Q125" i="24" s="1"/>
  <c r="R125" i="24" s="1"/>
  <c r="N144" i="23"/>
  <c r="Q144" i="23" s="1"/>
  <c r="R144" i="23" s="1"/>
  <c r="N59" i="23"/>
  <c r="Q59" i="23" s="1"/>
  <c r="R59" i="23" s="1"/>
  <c r="N239" i="23"/>
  <c r="Q239" i="23" s="1"/>
  <c r="R239" i="23" s="1"/>
  <c r="H181" i="14"/>
  <c r="N181" i="14" s="1"/>
  <c r="R181" i="14" s="1"/>
  <c r="S181" i="14" s="1"/>
  <c r="I306" i="23"/>
  <c r="M306" i="23" s="1"/>
  <c r="N286" i="23"/>
  <c r="Q286" i="23" s="1"/>
  <c r="R286" i="23" s="1"/>
  <c r="H339" i="14"/>
  <c r="N339" i="14" s="1"/>
  <c r="R339" i="14" s="1"/>
  <c r="S339" i="14" s="1"/>
  <c r="H382" i="14"/>
  <c r="N382" i="14" s="1"/>
  <c r="R382" i="14" s="1"/>
  <c r="S382" i="14" s="1"/>
  <c r="H50" i="14"/>
  <c r="N50" i="14" s="1"/>
  <c r="R50" i="14" s="1"/>
  <c r="S50" i="14" s="1"/>
  <c r="H396" i="14"/>
  <c r="N396" i="14" s="1"/>
  <c r="R396" i="14" s="1"/>
  <c r="S396" i="14" s="1"/>
  <c r="I399" i="23"/>
  <c r="M399" i="23" s="1"/>
  <c r="H342" i="24"/>
  <c r="N342" i="24" s="1"/>
  <c r="Q342" i="24" s="1"/>
  <c r="R342" i="24" s="1"/>
  <c r="N373" i="23"/>
  <c r="Q373" i="23" s="1"/>
  <c r="R373" i="23" s="1"/>
  <c r="H389" i="14"/>
  <c r="I389" i="14" s="1"/>
  <c r="L389" i="14" s="1"/>
  <c r="H142" i="14"/>
  <c r="N142" i="14" s="1"/>
  <c r="R142" i="14" s="1"/>
  <c r="S142" i="14" s="1"/>
  <c r="N61" i="23"/>
  <c r="Q61" i="23" s="1"/>
  <c r="R61" i="23" s="1"/>
  <c r="N208" i="23"/>
  <c r="Q208" i="23" s="1"/>
  <c r="R208" i="23" s="1"/>
  <c r="H258" i="14"/>
  <c r="N258" i="14" s="1"/>
  <c r="R258" i="14" s="1"/>
  <c r="S258" i="14" s="1"/>
  <c r="H90" i="24"/>
  <c r="N90" i="24" s="1"/>
  <c r="Q90" i="24" s="1"/>
  <c r="R90" i="24" s="1"/>
  <c r="H53" i="24"/>
  <c r="I53" i="24" s="1"/>
  <c r="L53" i="24" s="1"/>
  <c r="H351" i="24"/>
  <c r="I351" i="24" s="1"/>
  <c r="L351" i="24" s="1"/>
  <c r="H375" i="24"/>
  <c r="I375" i="24" s="1"/>
  <c r="L375" i="24" s="1"/>
  <c r="H222" i="24"/>
  <c r="I222" i="24" s="1"/>
  <c r="M222" i="24" s="1"/>
  <c r="H155" i="24"/>
  <c r="I155" i="24" s="1"/>
  <c r="M155" i="24" s="1"/>
  <c r="H271" i="24"/>
  <c r="I271" i="24" s="1"/>
  <c r="M271" i="24" s="1"/>
  <c r="N356" i="23"/>
  <c r="Q356" i="23" s="1"/>
  <c r="R356" i="23" s="1"/>
  <c r="H232" i="14"/>
  <c r="H241" i="14"/>
  <c r="H284" i="14"/>
  <c r="H316" i="14"/>
  <c r="H270" i="14"/>
  <c r="H156" i="14"/>
  <c r="H159" i="14"/>
  <c r="H315" i="14"/>
  <c r="H332" i="14"/>
  <c r="I332" i="14" s="1"/>
  <c r="L332" i="14" s="1"/>
  <c r="H194" i="14"/>
  <c r="I194" i="14" s="1"/>
  <c r="H395" i="14"/>
  <c r="I395" i="14" s="1"/>
  <c r="M395" i="14" s="1"/>
  <c r="H122" i="14"/>
  <c r="I122" i="14" s="1"/>
  <c r="M122" i="14" s="1"/>
  <c r="H153" i="14"/>
  <c r="H89" i="24"/>
  <c r="N89" i="24" s="1"/>
  <c r="Q89" i="24" s="1"/>
  <c r="R89" i="24" s="1"/>
  <c r="H72" i="24"/>
  <c r="I72" i="24" s="1"/>
  <c r="L72" i="24" s="1"/>
  <c r="H377" i="24"/>
  <c r="I377" i="24" s="1"/>
  <c r="H248" i="14"/>
  <c r="I248" i="14" s="1"/>
  <c r="H140" i="14"/>
  <c r="N140" i="14" s="1"/>
  <c r="R140" i="14" s="1"/>
  <c r="S140" i="14" s="1"/>
  <c r="H47" i="14"/>
  <c r="I47" i="14" s="1"/>
  <c r="H392" i="14"/>
  <c r="I392" i="14" s="1"/>
  <c r="H387" i="14"/>
  <c r="N210" i="14"/>
  <c r="R210" i="14" s="1"/>
  <c r="S210" i="14" s="1"/>
  <c r="N254" i="23"/>
  <c r="Q254" i="23" s="1"/>
  <c r="R254" i="23" s="1"/>
  <c r="N298" i="23"/>
  <c r="Q298" i="23" s="1"/>
  <c r="R298" i="23" s="1"/>
  <c r="N161" i="23"/>
  <c r="Q161" i="23" s="1"/>
  <c r="R161" i="23" s="1"/>
  <c r="N101" i="23"/>
  <c r="Q101" i="23" s="1"/>
  <c r="R101" i="23" s="1"/>
  <c r="H145" i="24"/>
  <c r="I145" i="24" s="1"/>
  <c r="H231" i="24"/>
  <c r="I231" i="24" s="1"/>
  <c r="H291" i="24"/>
  <c r="I291" i="24" s="1"/>
  <c r="L291" i="24" s="1"/>
  <c r="H193" i="24"/>
  <c r="N193" i="24" s="1"/>
  <c r="Q193" i="24" s="1"/>
  <c r="R193" i="24" s="1"/>
  <c r="H217" i="24"/>
  <c r="I217" i="24" s="1"/>
  <c r="H303" i="24"/>
  <c r="N303" i="24" s="1"/>
  <c r="Q303" i="24" s="1"/>
  <c r="R303" i="24" s="1"/>
  <c r="H354" i="24"/>
  <c r="I354" i="24" s="1"/>
  <c r="M354" i="24" s="1"/>
  <c r="H259" i="24"/>
  <c r="I259" i="24" s="1"/>
  <c r="H134" i="24"/>
  <c r="I134" i="24" s="1"/>
  <c r="H281" i="24"/>
  <c r="I281" i="24" s="1"/>
  <c r="H258" i="24"/>
  <c r="I258" i="24" s="1"/>
  <c r="H147" i="24"/>
  <c r="I147" i="24" s="1"/>
  <c r="H146" i="24"/>
  <c r="I146" i="24" s="1"/>
  <c r="L146" i="24" s="1"/>
  <c r="H49" i="24"/>
  <c r="I49" i="24" s="1"/>
  <c r="L49" i="24" s="1"/>
  <c r="H228" i="24"/>
  <c r="I228" i="24" s="1"/>
  <c r="M228" i="24" s="1"/>
  <c r="H383" i="24"/>
  <c r="N383" i="24" s="1"/>
  <c r="Q383" i="24" s="1"/>
  <c r="R383" i="24" s="1"/>
  <c r="H67" i="14"/>
  <c r="N67" i="14" s="1"/>
  <c r="R67" i="14" s="1"/>
  <c r="S67" i="14" s="1"/>
  <c r="H44" i="14"/>
  <c r="N44" i="14" s="1"/>
  <c r="R44" i="14" s="1"/>
  <c r="S44" i="14" s="1"/>
  <c r="N171" i="24"/>
  <c r="Q171" i="24" s="1"/>
  <c r="R171" i="24" s="1"/>
  <c r="H191" i="14"/>
  <c r="N191" i="14" s="1"/>
  <c r="R191" i="14" s="1"/>
  <c r="S191" i="14" s="1"/>
  <c r="H68" i="14"/>
  <c r="I68" i="14" s="1"/>
  <c r="L68" i="14" s="1"/>
  <c r="H356" i="14"/>
  <c r="N356" i="14" s="1"/>
  <c r="R356" i="14" s="1"/>
  <c r="S356" i="14" s="1"/>
  <c r="H308" i="14"/>
  <c r="N308" i="14" s="1"/>
  <c r="R308" i="14" s="1"/>
  <c r="S308" i="14" s="1"/>
  <c r="H183" i="14"/>
  <c r="N183" i="14" s="1"/>
  <c r="R183" i="14" s="1"/>
  <c r="S183" i="14" s="1"/>
  <c r="I84" i="23"/>
  <c r="M84" i="23" s="1"/>
  <c r="I240" i="14"/>
  <c r="L240" i="14" s="1"/>
  <c r="N240" i="14"/>
  <c r="R240" i="14" s="1"/>
  <c r="S240" i="14" s="1"/>
  <c r="I99" i="24"/>
  <c r="L99" i="24" s="1"/>
  <c r="N99" i="24"/>
  <c r="Q99" i="24" s="1"/>
  <c r="R99" i="24" s="1"/>
  <c r="I284" i="24"/>
  <c r="M284" i="24" s="1"/>
  <c r="N284" i="24"/>
  <c r="Q284" i="24" s="1"/>
  <c r="R284" i="24" s="1"/>
  <c r="I336" i="14"/>
  <c r="L336" i="14" s="1"/>
  <c r="N336" i="14"/>
  <c r="R336" i="14" s="1"/>
  <c r="S336" i="14" s="1"/>
  <c r="N347" i="23"/>
  <c r="Q347" i="23" s="1"/>
  <c r="R347" i="23" s="1"/>
  <c r="I215" i="23"/>
  <c r="L215" i="23" s="1"/>
  <c r="I65" i="23"/>
  <c r="M65" i="23" s="1"/>
  <c r="I96" i="23"/>
  <c r="L96" i="23" s="1"/>
  <c r="H196" i="14"/>
  <c r="N196" i="14" s="1"/>
  <c r="R196" i="14" s="1"/>
  <c r="S196" i="14" s="1"/>
  <c r="H39" i="14"/>
  <c r="I39" i="14" s="1"/>
  <c r="H345" i="14"/>
  <c r="I345" i="14" s="1"/>
  <c r="H257" i="14"/>
  <c r="N257" i="14" s="1"/>
  <c r="R257" i="14" s="1"/>
  <c r="S257" i="14" s="1"/>
  <c r="H250" i="14"/>
  <c r="N250" i="14" s="1"/>
  <c r="R250" i="14" s="1"/>
  <c r="S250" i="14" s="1"/>
  <c r="H346" i="14"/>
  <c r="N346" i="14" s="1"/>
  <c r="R346" i="14" s="1"/>
  <c r="S346" i="14" s="1"/>
  <c r="H397" i="14"/>
  <c r="N397" i="14" s="1"/>
  <c r="R397" i="14" s="1"/>
  <c r="S397" i="14" s="1"/>
  <c r="H166" i="24"/>
  <c r="N166" i="24" s="1"/>
  <c r="Q166" i="24" s="1"/>
  <c r="R166" i="24" s="1"/>
  <c r="H286" i="24"/>
  <c r="N286" i="24" s="1"/>
  <c r="Q286" i="24" s="1"/>
  <c r="R286" i="24" s="1"/>
  <c r="H207" i="24"/>
  <c r="N207" i="24" s="1"/>
  <c r="Q207" i="24" s="1"/>
  <c r="R207" i="24" s="1"/>
  <c r="H238" i="24"/>
  <c r="N238" i="24" s="1"/>
  <c r="Q238" i="24" s="1"/>
  <c r="R238" i="24" s="1"/>
  <c r="H320" i="24"/>
  <c r="N320" i="24" s="1"/>
  <c r="Q320" i="24" s="1"/>
  <c r="R320" i="24" s="1"/>
  <c r="H45" i="24"/>
  <c r="I45" i="24" s="1"/>
  <c r="L45" i="24" s="1"/>
  <c r="N100" i="24"/>
  <c r="Q100" i="24" s="1"/>
  <c r="R100" i="24" s="1"/>
  <c r="I163" i="23"/>
  <c r="L163" i="23" s="1"/>
  <c r="N127" i="23"/>
  <c r="Q127" i="23" s="1"/>
  <c r="R127" i="23" s="1"/>
  <c r="H301" i="14"/>
  <c r="H281" i="14"/>
  <c r="N281" i="14" s="1"/>
  <c r="R281" i="14" s="1"/>
  <c r="S281" i="14" s="1"/>
  <c r="H394" i="14"/>
  <c r="N110" i="23"/>
  <c r="Q110" i="23" s="1"/>
  <c r="R110" i="23" s="1"/>
  <c r="H379" i="14"/>
  <c r="I379" i="14" s="1"/>
  <c r="M379" i="14" s="1"/>
  <c r="H246" i="14"/>
  <c r="H227" i="14"/>
  <c r="I227" i="14" s="1"/>
  <c r="L227" i="14" s="1"/>
  <c r="N280" i="23"/>
  <c r="Q280" i="23" s="1"/>
  <c r="R280" i="23" s="1"/>
  <c r="N212" i="23"/>
  <c r="Q212" i="23" s="1"/>
  <c r="R212" i="23" s="1"/>
  <c r="H384" i="14"/>
  <c r="I106" i="23"/>
  <c r="L106" i="23" s="1"/>
  <c r="N214" i="23"/>
  <c r="Q214" i="23" s="1"/>
  <c r="R214" i="23" s="1"/>
  <c r="H66" i="14"/>
  <c r="I66" i="14" s="1"/>
  <c r="H277" i="14"/>
  <c r="I277" i="14" s="1"/>
  <c r="L277" i="14" s="1"/>
  <c r="H203" i="14"/>
  <c r="I203" i="14" s="1"/>
  <c r="M203" i="14" s="1"/>
  <c r="N330" i="23"/>
  <c r="Q330" i="23" s="1"/>
  <c r="R330" i="23" s="1"/>
  <c r="N43" i="23"/>
  <c r="Q43" i="23" s="1"/>
  <c r="R43" i="23" s="1"/>
  <c r="N149" i="23"/>
  <c r="Q149" i="23" s="1"/>
  <c r="R149" i="23" s="1"/>
  <c r="N388" i="23"/>
  <c r="Q388" i="23" s="1"/>
  <c r="R388" i="23" s="1"/>
  <c r="H78" i="14"/>
  <c r="H255" i="14"/>
  <c r="N255" i="14" s="1"/>
  <c r="R255" i="14" s="1"/>
  <c r="S255" i="14" s="1"/>
  <c r="H251" i="14"/>
  <c r="H206" i="14"/>
  <c r="H60" i="24"/>
  <c r="I60" i="24" s="1"/>
  <c r="H120" i="24"/>
  <c r="I120" i="24" s="1"/>
  <c r="H282" i="24"/>
  <c r="N282" i="24" s="1"/>
  <c r="Q282" i="24" s="1"/>
  <c r="R282" i="24" s="1"/>
  <c r="H196" i="24"/>
  <c r="I196" i="24" s="1"/>
  <c r="H249" i="24"/>
  <c r="I249" i="24" s="1"/>
  <c r="M249" i="24" s="1"/>
  <c r="H199" i="24"/>
  <c r="N199" i="24" s="1"/>
  <c r="Q199" i="24" s="1"/>
  <c r="R199" i="24" s="1"/>
  <c r="N249" i="23"/>
  <c r="Q249" i="23" s="1"/>
  <c r="R249" i="23" s="1"/>
  <c r="H230" i="14"/>
  <c r="H45" i="14"/>
  <c r="N45" i="14" s="1"/>
  <c r="R45" i="14" s="1"/>
  <c r="S45" i="14" s="1"/>
  <c r="H310" i="14"/>
  <c r="N44" i="24"/>
  <c r="Q44" i="24" s="1"/>
  <c r="R44" i="24" s="1"/>
  <c r="N249" i="14"/>
  <c r="R249" i="14" s="1"/>
  <c r="S249" i="14" s="1"/>
  <c r="N52" i="23"/>
  <c r="Q52" i="23" s="1"/>
  <c r="R52" i="23" s="1"/>
  <c r="N369" i="23"/>
  <c r="Q369" i="23" s="1"/>
  <c r="R369" i="23" s="1"/>
  <c r="N360" i="23"/>
  <c r="Q360" i="23" s="1"/>
  <c r="R360" i="23" s="1"/>
  <c r="N337" i="23"/>
  <c r="Q337" i="23" s="1"/>
  <c r="R337" i="23" s="1"/>
  <c r="N311" i="23"/>
  <c r="Q311" i="23" s="1"/>
  <c r="R311" i="23" s="1"/>
  <c r="H375" i="14"/>
  <c r="H138" i="14"/>
  <c r="N138" i="14" s="1"/>
  <c r="R138" i="14" s="1"/>
  <c r="S138" i="14" s="1"/>
  <c r="H398" i="14"/>
  <c r="I398" i="14" s="1"/>
  <c r="L398" i="14" s="1"/>
  <c r="H91" i="14"/>
  <c r="H200" i="14"/>
  <c r="N200" i="14" s="1"/>
  <c r="R200" i="14" s="1"/>
  <c r="S200" i="14" s="1"/>
  <c r="H139" i="14"/>
  <c r="I139" i="14" s="1"/>
  <c r="L139" i="14" s="1"/>
  <c r="H141" i="14"/>
  <c r="I141" i="14" s="1"/>
  <c r="L141" i="14" s="1"/>
  <c r="H136" i="14"/>
  <c r="H290" i="14"/>
  <c r="I290" i="14" s="1"/>
  <c r="H235" i="14"/>
  <c r="I235" i="14" s="1"/>
  <c r="H72" i="14"/>
  <c r="I72" i="14" s="1"/>
  <c r="L72" i="14" s="1"/>
  <c r="H195" i="14"/>
  <c r="I195" i="14" s="1"/>
  <c r="M195" i="14" s="1"/>
  <c r="H295" i="14"/>
  <c r="I295" i="14" s="1"/>
  <c r="M295" i="14" s="1"/>
  <c r="H385" i="14"/>
  <c r="I385" i="14" s="1"/>
  <c r="L385" i="14" s="1"/>
  <c r="H370" i="14"/>
  <c r="I370" i="14" s="1"/>
  <c r="H366" i="14"/>
  <c r="N366" i="14" s="1"/>
  <c r="R366" i="14" s="1"/>
  <c r="S366" i="14" s="1"/>
  <c r="H347" i="14"/>
  <c r="I347" i="14" s="1"/>
  <c r="H371" i="14"/>
  <c r="I371" i="14" s="1"/>
  <c r="L371" i="14" s="1"/>
  <c r="H351" i="14"/>
  <c r="I351" i="14" s="1"/>
  <c r="L351" i="14" s="1"/>
  <c r="H314" i="14"/>
  <c r="I314" i="14" s="1"/>
  <c r="H152" i="24"/>
  <c r="I152" i="24" s="1"/>
  <c r="M152" i="24" s="1"/>
  <c r="H195" i="24"/>
  <c r="I195" i="24" s="1"/>
  <c r="L195" i="24" s="1"/>
  <c r="H327" i="24"/>
  <c r="N327" i="24" s="1"/>
  <c r="Q327" i="24" s="1"/>
  <c r="R327" i="24" s="1"/>
  <c r="H157" i="24"/>
  <c r="I157" i="24" s="1"/>
  <c r="M157" i="24" s="1"/>
  <c r="H98" i="24"/>
  <c r="N98" i="24" s="1"/>
  <c r="Q98" i="24" s="1"/>
  <c r="R98" i="24" s="1"/>
  <c r="H308" i="24"/>
  <c r="I308" i="24" s="1"/>
  <c r="L308" i="24" s="1"/>
  <c r="H333" i="24"/>
  <c r="I333" i="24" s="1"/>
  <c r="L333" i="24" s="1"/>
  <c r="N48" i="23"/>
  <c r="Q48" i="23" s="1"/>
  <c r="R48" i="23" s="1"/>
  <c r="N167" i="23"/>
  <c r="Q167" i="23" s="1"/>
  <c r="R167" i="23" s="1"/>
  <c r="H269" i="14"/>
  <c r="H400" i="14"/>
  <c r="H40" i="14"/>
  <c r="N140" i="23"/>
  <c r="Q140" i="23" s="1"/>
  <c r="R140" i="23" s="1"/>
  <c r="H103" i="14"/>
  <c r="I103" i="14" s="1"/>
  <c r="H85" i="14"/>
  <c r="H313" i="24"/>
  <c r="I313" i="24" s="1"/>
  <c r="H176" i="14"/>
  <c r="I176" i="14" s="1"/>
  <c r="M176" i="14" s="1"/>
  <c r="I390" i="24"/>
  <c r="M390" i="24" s="1"/>
  <c r="N132" i="23"/>
  <c r="Q132" i="23" s="1"/>
  <c r="R132" i="23" s="1"/>
  <c r="I306" i="24"/>
  <c r="L306" i="24" s="1"/>
  <c r="N390" i="23"/>
  <c r="Q390" i="23" s="1"/>
  <c r="R390" i="23" s="1"/>
  <c r="N281" i="23"/>
  <c r="Q281" i="23" s="1"/>
  <c r="R281" i="23" s="1"/>
  <c r="N355" i="23"/>
  <c r="Q355" i="23" s="1"/>
  <c r="R355" i="23" s="1"/>
  <c r="N223" i="23"/>
  <c r="Q223" i="23" s="1"/>
  <c r="R223" i="23" s="1"/>
  <c r="N362" i="14"/>
  <c r="R362" i="14" s="1"/>
  <c r="S362" i="14" s="1"/>
  <c r="N42" i="23"/>
  <c r="Q42" i="23" s="1"/>
  <c r="R42" i="23" s="1"/>
  <c r="N189" i="23"/>
  <c r="Q189" i="23" s="1"/>
  <c r="R189" i="23" s="1"/>
  <c r="H63" i="14"/>
  <c r="I383" i="23"/>
  <c r="L383" i="23" s="1"/>
  <c r="N215" i="24"/>
  <c r="Q215" i="24" s="1"/>
  <c r="R215" i="24" s="1"/>
  <c r="N348" i="24"/>
  <c r="Q348" i="24" s="1"/>
  <c r="R348" i="24" s="1"/>
  <c r="N260" i="23"/>
  <c r="Q260" i="23" s="1"/>
  <c r="R260" i="23" s="1"/>
  <c r="N359" i="23"/>
  <c r="Q359" i="23" s="1"/>
  <c r="R359" i="23" s="1"/>
  <c r="N202" i="23"/>
  <c r="Q202" i="23" s="1"/>
  <c r="R202" i="23" s="1"/>
  <c r="N309" i="23"/>
  <c r="Q309" i="23" s="1"/>
  <c r="R309" i="23" s="1"/>
  <c r="N66" i="23"/>
  <c r="Q66" i="23" s="1"/>
  <c r="R66" i="23" s="1"/>
  <c r="N124" i="24"/>
  <c r="Q124" i="24" s="1"/>
  <c r="R124" i="24" s="1"/>
  <c r="I273" i="23"/>
  <c r="M273" i="23" s="1"/>
  <c r="I216" i="23"/>
  <c r="M216" i="23" s="1"/>
  <c r="N74" i="23"/>
  <c r="Q74" i="23" s="1"/>
  <c r="R74" i="23" s="1"/>
  <c r="N326" i="23"/>
  <c r="Q326" i="23" s="1"/>
  <c r="R326" i="23" s="1"/>
  <c r="H80" i="14"/>
  <c r="I80" i="14" s="1"/>
  <c r="L80" i="14" s="1"/>
  <c r="H117" i="24"/>
  <c r="N117" i="24" s="1"/>
  <c r="Q117" i="24" s="1"/>
  <c r="R117" i="24" s="1"/>
  <c r="N300" i="23"/>
  <c r="Q300" i="23" s="1"/>
  <c r="R300" i="23" s="1"/>
  <c r="N51" i="23"/>
  <c r="Q51" i="23" s="1"/>
  <c r="R51" i="23" s="1"/>
  <c r="N239" i="24"/>
  <c r="Q239" i="24" s="1"/>
  <c r="R239" i="24" s="1"/>
  <c r="N187" i="23"/>
  <c r="Q187" i="23" s="1"/>
  <c r="R187" i="23" s="1"/>
  <c r="Q56" i="23"/>
  <c r="R56" i="23" s="1"/>
  <c r="H225" i="14"/>
  <c r="I225" i="14" s="1"/>
  <c r="N80" i="24"/>
  <c r="Q80" i="24" s="1"/>
  <c r="R80" i="24" s="1"/>
  <c r="N131" i="23"/>
  <c r="Q131" i="23" s="1"/>
  <c r="R131" i="23" s="1"/>
  <c r="N197" i="24"/>
  <c r="Q197" i="24" s="1"/>
  <c r="R197" i="24" s="1"/>
  <c r="N164" i="23"/>
  <c r="Q164" i="23" s="1"/>
  <c r="R164" i="23" s="1"/>
  <c r="N250" i="23"/>
  <c r="Q250" i="23" s="1"/>
  <c r="R250" i="23" s="1"/>
  <c r="N351" i="23"/>
  <c r="Q351" i="23" s="1"/>
  <c r="R351" i="23" s="1"/>
  <c r="H76" i="14"/>
  <c r="I76" i="14" s="1"/>
  <c r="M76" i="14" s="1"/>
  <c r="N209" i="23"/>
  <c r="Q209" i="23" s="1"/>
  <c r="R209" i="23" s="1"/>
  <c r="N291" i="23"/>
  <c r="Q291" i="23" s="1"/>
  <c r="R291" i="23" s="1"/>
  <c r="I90" i="23"/>
  <c r="M90" i="23" s="1"/>
  <c r="N382" i="23"/>
  <c r="Q382" i="23" s="1"/>
  <c r="R382" i="23" s="1"/>
  <c r="N262" i="23"/>
  <c r="Q262" i="23" s="1"/>
  <c r="R262" i="23" s="1"/>
  <c r="N125" i="23"/>
  <c r="Q125" i="23" s="1"/>
  <c r="R125" i="23" s="1"/>
  <c r="N174" i="23"/>
  <c r="Q174" i="23" s="1"/>
  <c r="R174" i="23" s="1"/>
  <c r="H188" i="14"/>
  <c r="N341" i="23"/>
  <c r="Q341" i="23" s="1"/>
  <c r="R341" i="23" s="1"/>
  <c r="N119" i="23"/>
  <c r="Q119" i="23" s="1"/>
  <c r="R119" i="23" s="1"/>
  <c r="N116" i="23"/>
  <c r="Q116" i="23" s="1"/>
  <c r="R116" i="23" s="1"/>
  <c r="N287" i="23"/>
  <c r="Q287" i="23" s="1"/>
  <c r="R287" i="23" s="1"/>
  <c r="N283" i="23"/>
  <c r="Q283" i="23" s="1"/>
  <c r="R283" i="23" s="1"/>
  <c r="N67" i="23"/>
  <c r="Q67" i="23" s="1"/>
  <c r="R67" i="23" s="1"/>
  <c r="H58" i="14"/>
  <c r="I58" i="14" s="1"/>
  <c r="M58" i="14" s="1"/>
  <c r="I173" i="23"/>
  <c r="M173" i="23" s="1"/>
  <c r="N152" i="23"/>
  <c r="Q152" i="23" s="1"/>
  <c r="R152" i="23" s="1"/>
  <c r="H237" i="24"/>
  <c r="I237" i="24" s="1"/>
  <c r="H245" i="24"/>
  <c r="I245" i="24" s="1"/>
  <c r="M245" i="24" s="1"/>
  <c r="H61" i="24"/>
  <c r="I61" i="24" s="1"/>
  <c r="H144" i="24"/>
  <c r="I144" i="24" s="1"/>
  <c r="H126" i="24"/>
  <c r="I126" i="24" s="1"/>
  <c r="H107" i="24"/>
  <c r="I107" i="24" s="1"/>
  <c r="L107" i="24" s="1"/>
  <c r="H380" i="24"/>
  <c r="N380" i="24" s="1"/>
  <c r="Q380" i="24" s="1"/>
  <c r="R380" i="24" s="1"/>
  <c r="H360" i="24"/>
  <c r="I360" i="24" s="1"/>
  <c r="L360" i="24" s="1"/>
  <c r="H315" i="24"/>
  <c r="N315" i="24" s="1"/>
  <c r="Q315" i="24" s="1"/>
  <c r="R315" i="24" s="1"/>
  <c r="H135" i="24"/>
  <c r="I135" i="24" s="1"/>
  <c r="M135" i="24" s="1"/>
  <c r="H257" i="24"/>
  <c r="N257" i="24" s="1"/>
  <c r="Q257" i="24" s="1"/>
  <c r="R257" i="24" s="1"/>
  <c r="H384" i="24"/>
  <c r="N384" i="24" s="1"/>
  <c r="Q384" i="24" s="1"/>
  <c r="R384" i="24" s="1"/>
  <c r="H400" i="24"/>
  <c r="N400" i="24" s="1"/>
  <c r="Q400" i="24" s="1"/>
  <c r="R400" i="24" s="1"/>
  <c r="H223" i="24"/>
  <c r="I223" i="24" s="1"/>
  <c r="M223" i="24" s="1"/>
  <c r="H297" i="24"/>
  <c r="I297" i="24" s="1"/>
  <c r="L297" i="24" s="1"/>
  <c r="H251" i="24"/>
  <c r="N251" i="24" s="1"/>
  <c r="Q251" i="24" s="1"/>
  <c r="R251" i="24" s="1"/>
  <c r="H87" i="24"/>
  <c r="N87" i="24" s="1"/>
  <c r="Q87" i="24" s="1"/>
  <c r="R87" i="24" s="1"/>
  <c r="H295" i="24"/>
  <c r="I295" i="24" s="1"/>
  <c r="H180" i="24"/>
  <c r="N180" i="24" s="1"/>
  <c r="Q180" i="24" s="1"/>
  <c r="R180" i="24" s="1"/>
  <c r="H328" i="24"/>
  <c r="I328" i="24" s="1"/>
  <c r="M328" i="24" s="1"/>
  <c r="H172" i="14"/>
  <c r="I172" i="14" s="1"/>
  <c r="M172" i="14" s="1"/>
  <c r="H129" i="14"/>
  <c r="N129" i="14" s="1"/>
  <c r="J310" i="25" s="1"/>
  <c r="H123" i="14"/>
  <c r="I123" i="14" s="1"/>
  <c r="H263" i="14"/>
  <c r="N263" i="14" s="1"/>
  <c r="R263" i="14" s="1"/>
  <c r="S263" i="14" s="1"/>
  <c r="H317" i="14"/>
  <c r="I317" i="14" s="1"/>
  <c r="H323" i="14"/>
  <c r="I323" i="14" s="1"/>
  <c r="L323" i="14" s="1"/>
  <c r="H231" i="14"/>
  <c r="N231" i="14" s="1"/>
  <c r="R231" i="14" s="1"/>
  <c r="S231" i="14" s="1"/>
  <c r="H302" i="14"/>
  <c r="I302" i="14" s="1"/>
  <c r="L302" i="14" s="1"/>
  <c r="H243" i="14"/>
  <c r="I243" i="14" s="1"/>
  <c r="M243" i="14" s="1"/>
  <c r="H274" i="14"/>
  <c r="I274" i="14" s="1"/>
  <c r="L274" i="14" s="1"/>
  <c r="H226" i="14"/>
  <c r="N226" i="14" s="1"/>
  <c r="R226" i="14" s="1"/>
  <c r="S226" i="14" s="1"/>
  <c r="H158" i="14"/>
  <c r="I158" i="14" s="1"/>
  <c r="H303" i="14"/>
  <c r="I303" i="14" s="1"/>
  <c r="M303" i="14" s="1"/>
  <c r="H41" i="14"/>
  <c r="N41" i="14" s="1"/>
  <c r="R41" i="14" s="1"/>
  <c r="S41" i="14" s="1"/>
  <c r="N68" i="23"/>
  <c r="Q68" i="23" s="1"/>
  <c r="R68" i="23" s="1"/>
  <c r="N153" i="23"/>
  <c r="Q153" i="23" s="1"/>
  <c r="R153" i="23" s="1"/>
  <c r="N233" i="14"/>
  <c r="R233" i="14" s="1"/>
  <c r="S233" i="14" s="1"/>
  <c r="H64" i="14"/>
  <c r="H71" i="14"/>
  <c r="N309" i="29"/>
  <c r="Q309" i="29" s="1"/>
  <c r="R309" i="29" s="1"/>
  <c r="H90" i="14"/>
  <c r="N90" i="14" s="1"/>
  <c r="R90" i="14" s="1"/>
  <c r="S90" i="14" s="1"/>
  <c r="H372" i="14"/>
  <c r="I372" i="14" s="1"/>
  <c r="M372" i="14" s="1"/>
  <c r="I293" i="14"/>
  <c r="M293" i="14" s="1"/>
  <c r="N293" i="14"/>
  <c r="R293" i="14" s="1"/>
  <c r="S293" i="14" s="1"/>
  <c r="I227" i="24"/>
  <c r="M227" i="24" s="1"/>
  <c r="N227" i="24"/>
  <c r="Q227" i="24" s="1"/>
  <c r="R227" i="24" s="1"/>
  <c r="N374" i="14"/>
  <c r="R374" i="14" s="1"/>
  <c r="S374" i="14" s="1"/>
  <c r="I374" i="14"/>
  <c r="L374" i="14" s="1"/>
  <c r="I146" i="14"/>
  <c r="M146" i="14" s="1"/>
  <c r="N146" i="14"/>
  <c r="R146" i="14" s="1"/>
  <c r="S146" i="14" s="1"/>
  <c r="N309" i="14"/>
  <c r="R309" i="14" s="1"/>
  <c r="S309" i="14" s="1"/>
  <c r="I309" i="14"/>
  <c r="M309" i="14" s="1"/>
  <c r="N95" i="14"/>
  <c r="R95" i="14" s="1"/>
  <c r="S95" i="14" s="1"/>
  <c r="I95" i="14"/>
  <c r="M95" i="14" s="1"/>
  <c r="I221" i="24"/>
  <c r="L221" i="24" s="1"/>
  <c r="N221" i="24"/>
  <c r="Q221" i="24" s="1"/>
  <c r="R221" i="24" s="1"/>
  <c r="I151" i="24"/>
  <c r="M151" i="24" s="1"/>
  <c r="N151" i="24"/>
  <c r="Q151" i="24" s="1"/>
  <c r="R151" i="24" s="1"/>
  <c r="I264" i="24"/>
  <c r="M264" i="24" s="1"/>
  <c r="N264" i="24"/>
  <c r="Q264" i="24" s="1"/>
  <c r="R264" i="24" s="1"/>
  <c r="N334" i="23"/>
  <c r="Q334" i="23" s="1"/>
  <c r="R334" i="23" s="1"/>
  <c r="I47" i="23"/>
  <c r="L47" i="23" s="1"/>
  <c r="I206" i="23"/>
  <c r="L206" i="23" s="1"/>
  <c r="I51" i="24"/>
  <c r="M51" i="24" s="1"/>
  <c r="I160" i="23"/>
  <c r="L160" i="23" s="1"/>
  <c r="H162" i="14"/>
  <c r="I162" i="14" s="1"/>
  <c r="H97" i="14"/>
  <c r="I97" i="14" s="1"/>
  <c r="I307" i="24"/>
  <c r="M307" i="24" s="1"/>
  <c r="I199" i="23"/>
  <c r="L199" i="23" s="1"/>
  <c r="N245" i="23"/>
  <c r="Q245" i="23" s="1"/>
  <c r="R245" i="23" s="1"/>
  <c r="H132" i="14"/>
  <c r="I132" i="14" s="1"/>
  <c r="N87" i="23"/>
  <c r="Q87" i="23" s="1"/>
  <c r="R87" i="23" s="1"/>
  <c r="N320" i="23"/>
  <c r="Q320" i="23" s="1"/>
  <c r="R320" i="23" s="1"/>
  <c r="N60" i="23"/>
  <c r="Q60" i="23" s="1"/>
  <c r="R60" i="23" s="1"/>
  <c r="N332" i="23"/>
  <c r="Q332" i="23" s="1"/>
  <c r="R332" i="23" s="1"/>
  <c r="N259" i="23"/>
  <c r="Q259" i="23" s="1"/>
  <c r="R259" i="23" s="1"/>
  <c r="H101" i="14"/>
  <c r="N101" i="14" s="1"/>
  <c r="R101" i="14" s="1"/>
  <c r="S101" i="14" s="1"/>
  <c r="H88" i="14"/>
  <c r="N88" i="14" s="1"/>
  <c r="R88" i="14" s="1"/>
  <c r="S88" i="14" s="1"/>
  <c r="H272" i="14"/>
  <c r="H337" i="14"/>
  <c r="N240" i="23"/>
  <c r="Q240" i="23" s="1"/>
  <c r="R240" i="23" s="1"/>
  <c r="N353" i="23"/>
  <c r="Q353" i="23" s="1"/>
  <c r="R353" i="23" s="1"/>
  <c r="H155" i="14"/>
  <c r="I155" i="14" s="1"/>
  <c r="N77" i="14"/>
  <c r="R77" i="14" s="1"/>
  <c r="S77" i="14" s="1"/>
  <c r="H228" i="14"/>
  <c r="N108" i="23"/>
  <c r="Q108" i="23" s="1"/>
  <c r="R108" i="23" s="1"/>
  <c r="I345" i="24"/>
  <c r="M345" i="24" s="1"/>
  <c r="H224" i="24"/>
  <c r="I224" i="24" s="1"/>
  <c r="N354" i="23"/>
  <c r="Q354" i="23" s="1"/>
  <c r="R354" i="23" s="1"/>
  <c r="N109" i="23"/>
  <c r="Q109" i="23" s="1"/>
  <c r="R109" i="23" s="1"/>
  <c r="H288" i="14"/>
  <c r="N288" i="14" s="1"/>
  <c r="R288" i="14" s="1"/>
  <c r="S288" i="14" s="1"/>
  <c r="H69" i="24"/>
  <c r="I69" i="24" s="1"/>
  <c r="N176" i="23"/>
  <c r="Q176" i="23" s="1"/>
  <c r="R176" i="23" s="1"/>
  <c r="N381" i="24"/>
  <c r="Q381" i="24" s="1"/>
  <c r="R381" i="24" s="1"/>
  <c r="N270" i="23"/>
  <c r="Q270" i="23" s="1"/>
  <c r="R270" i="23" s="1"/>
  <c r="N100" i="14"/>
  <c r="R100" i="14" s="1"/>
  <c r="S100" i="14" s="1"/>
  <c r="I108" i="14"/>
  <c r="L108" i="14" s="1"/>
  <c r="H292" i="14"/>
  <c r="H98" i="14"/>
  <c r="H174" i="14"/>
  <c r="H361" i="14"/>
  <c r="I361" i="14" s="1"/>
  <c r="L361" i="14" s="1"/>
  <c r="H217" i="14"/>
  <c r="I217" i="14" s="1"/>
  <c r="H131" i="14"/>
  <c r="N131" i="14" s="1"/>
  <c r="R131" i="14" s="1"/>
  <c r="S131" i="14" s="1"/>
  <c r="H107" i="14"/>
  <c r="I107" i="14" s="1"/>
  <c r="H297" i="14"/>
  <c r="I297" i="14" s="1"/>
  <c r="H273" i="14"/>
  <c r="I273" i="14" s="1"/>
  <c r="L273" i="14" s="1"/>
  <c r="H128" i="14"/>
  <c r="I128" i="14" s="1"/>
  <c r="L128" i="14" s="1"/>
  <c r="H185" i="24"/>
  <c r="I185" i="24" s="1"/>
  <c r="L185" i="24" s="1"/>
  <c r="H83" i="24"/>
  <c r="I83" i="24" s="1"/>
  <c r="H324" i="14"/>
  <c r="I324" i="14" s="1"/>
  <c r="L324" i="14" s="1"/>
  <c r="H266" i="14"/>
  <c r="N266" i="14" s="1"/>
  <c r="R266" i="14" s="1"/>
  <c r="S266" i="14" s="1"/>
  <c r="H157" i="14"/>
  <c r="N157" i="14" s="1"/>
  <c r="R157" i="14" s="1"/>
  <c r="S157" i="14" s="1"/>
  <c r="H92" i="14"/>
  <c r="I92" i="14" s="1"/>
  <c r="L92" i="14" s="1"/>
  <c r="H57" i="14"/>
  <c r="N57" i="14" s="1"/>
  <c r="R57" i="14" s="1"/>
  <c r="S57" i="14" s="1"/>
  <c r="H179" i="14"/>
  <c r="I179" i="14" s="1"/>
  <c r="L179" i="14" s="1"/>
  <c r="H349" i="14"/>
  <c r="I349" i="14" s="1"/>
  <c r="H336" i="24"/>
  <c r="I336" i="24" s="1"/>
  <c r="L336" i="24" s="1"/>
  <c r="H52" i="24"/>
  <c r="N52" i="24" s="1"/>
  <c r="Q52" i="24" s="1"/>
  <c r="R52" i="24" s="1"/>
  <c r="H240" i="24"/>
  <c r="I240" i="24" s="1"/>
  <c r="M240" i="24" s="1"/>
  <c r="H361" i="24"/>
  <c r="I361" i="24" s="1"/>
  <c r="H276" i="24"/>
  <c r="I276" i="24" s="1"/>
  <c r="L276" i="24" s="1"/>
  <c r="H178" i="24"/>
  <c r="N178" i="24" s="1"/>
  <c r="Q178" i="24" s="1"/>
  <c r="R178" i="24" s="1"/>
  <c r="H101" i="24"/>
  <c r="I101" i="24" s="1"/>
  <c r="H167" i="24"/>
  <c r="I167" i="24" s="1"/>
  <c r="L167" i="24" s="1"/>
  <c r="H341" i="24"/>
  <c r="I341" i="24" s="1"/>
  <c r="M341" i="24" s="1"/>
  <c r="H175" i="24"/>
  <c r="I175" i="24" s="1"/>
  <c r="H340" i="24"/>
  <c r="I340" i="24" s="1"/>
  <c r="L340" i="24" s="1"/>
  <c r="H173" i="24"/>
  <c r="I173" i="24" s="1"/>
  <c r="L173" i="24" s="1"/>
  <c r="H387" i="24"/>
  <c r="I387" i="24" s="1"/>
  <c r="H142" i="24"/>
  <c r="I142" i="24" s="1"/>
  <c r="H156" i="24"/>
  <c r="N156" i="24" s="1"/>
  <c r="Q156" i="24" s="1"/>
  <c r="R156" i="24" s="1"/>
  <c r="H191" i="24"/>
  <c r="N191" i="24" s="1"/>
  <c r="Q191" i="24" s="1"/>
  <c r="R191" i="24" s="1"/>
  <c r="H97" i="24"/>
  <c r="N97" i="24" s="1"/>
  <c r="Q97" i="24" s="1"/>
  <c r="R97" i="24" s="1"/>
  <c r="H116" i="24"/>
  <c r="N116" i="24" s="1"/>
  <c r="Q116" i="24" s="1"/>
  <c r="R116" i="24" s="1"/>
  <c r="H305" i="24"/>
  <c r="I305" i="24" s="1"/>
  <c r="H326" i="24"/>
  <c r="I326" i="24" s="1"/>
  <c r="H363" i="24"/>
  <c r="I363" i="24" s="1"/>
  <c r="H84" i="24"/>
  <c r="I84" i="24" s="1"/>
  <c r="M84" i="24" s="1"/>
  <c r="N257" i="23"/>
  <c r="Q257" i="23" s="1"/>
  <c r="R257" i="23" s="1"/>
  <c r="I368" i="23"/>
  <c r="L368" i="23" s="1"/>
  <c r="N138" i="23"/>
  <c r="Q138" i="23" s="1"/>
  <c r="R138" i="23" s="1"/>
  <c r="N224" i="23"/>
  <c r="Q224" i="23" s="1"/>
  <c r="R224" i="23" s="1"/>
  <c r="I267" i="24"/>
  <c r="L267" i="24" s="1"/>
  <c r="N141" i="23"/>
  <c r="Q141" i="23" s="1"/>
  <c r="R141" i="23" s="1"/>
  <c r="N372" i="23"/>
  <c r="Q372" i="23" s="1"/>
  <c r="R372" i="23" s="1"/>
  <c r="I278" i="24"/>
  <c r="M278" i="24" s="1"/>
  <c r="N278" i="24"/>
  <c r="Q278" i="24" s="1"/>
  <c r="R278" i="24" s="1"/>
  <c r="I213" i="24"/>
  <c r="M213" i="24" s="1"/>
  <c r="I306" i="14"/>
  <c r="L306" i="14" s="1"/>
  <c r="N306" i="14"/>
  <c r="R306" i="14" s="1"/>
  <c r="S306" i="14" s="1"/>
  <c r="I209" i="14"/>
  <c r="L209" i="14" s="1"/>
  <c r="I384" i="23"/>
  <c r="L384" i="23" s="1"/>
  <c r="I228" i="23"/>
  <c r="M228" i="23" s="1"/>
  <c r="I301" i="23"/>
  <c r="L301" i="23" s="1"/>
  <c r="H342" i="14"/>
  <c r="N391" i="23"/>
  <c r="Q391" i="23" s="1"/>
  <c r="R391" i="23" s="1"/>
  <c r="N241" i="24"/>
  <c r="Q241" i="24" s="1"/>
  <c r="R241" i="24" s="1"/>
  <c r="N152" i="29"/>
  <c r="Q152" i="29" s="1"/>
  <c r="R152" i="29" s="1"/>
  <c r="H110" i="14"/>
  <c r="N275" i="24"/>
  <c r="Q275" i="24" s="1"/>
  <c r="R275" i="24" s="1"/>
  <c r="H378" i="14"/>
  <c r="N104" i="24"/>
  <c r="Q104" i="24" s="1"/>
  <c r="R104" i="24" s="1"/>
  <c r="H393" i="14"/>
  <c r="N312" i="23"/>
  <c r="Q312" i="23" s="1"/>
  <c r="R312" i="23" s="1"/>
  <c r="N269" i="23"/>
  <c r="Q269" i="23" s="1"/>
  <c r="R269" i="23" s="1"/>
  <c r="I46" i="23"/>
  <c r="M46" i="23" s="1"/>
  <c r="N218" i="24"/>
  <c r="Q218" i="24" s="1"/>
  <c r="R218" i="24" s="1"/>
  <c r="H186" i="14"/>
  <c r="H325" i="14"/>
  <c r="N325" i="14" s="1"/>
  <c r="R325" i="14" s="1"/>
  <c r="S325" i="14" s="1"/>
  <c r="N359" i="14"/>
  <c r="R359" i="14" s="1"/>
  <c r="S359" i="14" s="1"/>
  <c r="H321" i="14"/>
  <c r="I64" i="23"/>
  <c r="M64" i="23" s="1"/>
  <c r="N318" i="23"/>
  <c r="Q318" i="23" s="1"/>
  <c r="R318" i="23" s="1"/>
  <c r="N210" i="24"/>
  <c r="Q210" i="24" s="1"/>
  <c r="R210" i="24" s="1"/>
  <c r="N67" i="24"/>
  <c r="Q67" i="24" s="1"/>
  <c r="R67" i="24" s="1"/>
  <c r="N175" i="14"/>
  <c r="R175" i="14" s="1"/>
  <c r="S175" i="14" s="1"/>
  <c r="N129" i="23"/>
  <c r="Q129" i="23" s="1"/>
  <c r="R129" i="23" s="1"/>
  <c r="I289" i="23"/>
  <c r="M289" i="23" s="1"/>
  <c r="H350" i="14"/>
  <c r="N179" i="23"/>
  <c r="Q179" i="23" s="1"/>
  <c r="R179" i="23" s="1"/>
  <c r="N136" i="23"/>
  <c r="Q136" i="23" s="1"/>
  <c r="R136" i="23" s="1"/>
  <c r="N247" i="23"/>
  <c r="Q247" i="23" s="1"/>
  <c r="R247" i="23" s="1"/>
  <c r="H373" i="14"/>
  <c r="I373" i="14" s="1"/>
  <c r="H134" i="14"/>
  <c r="H59" i="14"/>
  <c r="N122" i="23"/>
  <c r="Q122" i="23" s="1"/>
  <c r="R122" i="23" s="1"/>
  <c r="N256" i="23"/>
  <c r="Q256" i="23" s="1"/>
  <c r="R256" i="23" s="1"/>
  <c r="N394" i="23"/>
  <c r="Q394" i="23" s="1"/>
  <c r="R394" i="23" s="1"/>
  <c r="H82" i="14"/>
  <c r="H197" i="14"/>
  <c r="I197" i="14" s="1"/>
  <c r="H52" i="14"/>
  <c r="N195" i="23"/>
  <c r="Q195" i="23" s="1"/>
  <c r="R195" i="23" s="1"/>
  <c r="N141" i="24"/>
  <c r="Q141" i="24" s="1"/>
  <c r="R141" i="24" s="1"/>
  <c r="N187" i="14"/>
  <c r="R187" i="14" s="1"/>
  <c r="S187" i="14" s="1"/>
  <c r="H180" i="14"/>
  <c r="I180" i="14" s="1"/>
  <c r="L180" i="14" s="1"/>
  <c r="H182" i="14"/>
  <c r="H338" i="14"/>
  <c r="N277" i="24"/>
  <c r="Q277" i="24" s="1"/>
  <c r="R277" i="24" s="1"/>
  <c r="H205" i="14"/>
  <c r="I205" i="14" s="1"/>
  <c r="H298" i="14"/>
  <c r="H382" i="24"/>
  <c r="N382" i="24" s="1"/>
  <c r="Q382" i="24" s="1"/>
  <c r="R382" i="24" s="1"/>
  <c r="N171" i="23"/>
  <c r="Q171" i="23" s="1"/>
  <c r="R171" i="23" s="1"/>
  <c r="H357" i="24"/>
  <c r="I357" i="24" s="1"/>
  <c r="H86" i="24"/>
  <c r="I86" i="24" s="1"/>
  <c r="H335" i="24"/>
  <c r="I335" i="24" s="1"/>
  <c r="H79" i="24"/>
  <c r="N79" i="24" s="1"/>
  <c r="H209" i="24"/>
  <c r="N209" i="24" s="1"/>
  <c r="Q209" i="24" s="1"/>
  <c r="R209" i="24" s="1"/>
  <c r="H235" i="24"/>
  <c r="N235" i="24" s="1"/>
  <c r="Q235" i="24" s="1"/>
  <c r="R235" i="24" s="1"/>
  <c r="H176" i="24"/>
  <c r="I176" i="24" s="1"/>
  <c r="H183" i="24"/>
  <c r="I183" i="24" s="1"/>
  <c r="H201" i="24"/>
  <c r="I201" i="24" s="1"/>
  <c r="H133" i="24"/>
  <c r="I133" i="24" s="1"/>
  <c r="H352" i="24"/>
  <c r="I352" i="24" s="1"/>
  <c r="H304" i="24"/>
  <c r="I304" i="24" s="1"/>
  <c r="H143" i="24"/>
  <c r="N143" i="24" s="1"/>
  <c r="Q143" i="24" s="1"/>
  <c r="R143" i="24" s="1"/>
  <c r="H92" i="24"/>
  <c r="I92" i="24" s="1"/>
  <c r="H93" i="14"/>
  <c r="H69" i="14"/>
  <c r="H272" i="24"/>
  <c r="N272" i="24" s="1"/>
  <c r="Q272" i="24" s="1"/>
  <c r="R272" i="24" s="1"/>
  <c r="H139" i="24"/>
  <c r="I139" i="24" s="1"/>
  <c r="H47" i="24"/>
  <c r="N47" i="24" s="1"/>
  <c r="Q47" i="24" s="1"/>
  <c r="R47" i="24" s="1"/>
  <c r="H344" i="14"/>
  <c r="I344" i="14" s="1"/>
  <c r="L344" i="14" s="1"/>
  <c r="H165" i="24"/>
  <c r="I165" i="24" s="1"/>
  <c r="H339" i="24"/>
  <c r="I339" i="24" s="1"/>
  <c r="H152" i="14"/>
  <c r="H229" i="14"/>
  <c r="I229" i="14" s="1"/>
  <c r="H371" i="24"/>
  <c r="I371" i="24" s="1"/>
  <c r="L371" i="24" s="1"/>
  <c r="H355" i="24"/>
  <c r="I355" i="24" s="1"/>
  <c r="H376" i="24"/>
  <c r="N376" i="24" s="1"/>
  <c r="Q376" i="24" s="1"/>
  <c r="R376" i="24" s="1"/>
  <c r="H205" i="24"/>
  <c r="I205" i="24" s="1"/>
  <c r="H130" i="14"/>
  <c r="I130" i="14" s="1"/>
  <c r="M130" i="14" s="1"/>
  <c r="H111" i="14"/>
  <c r="H318" i="24"/>
  <c r="N318" i="24" s="1"/>
  <c r="Q318" i="24" s="1"/>
  <c r="R318" i="24" s="1"/>
  <c r="H321" i="24"/>
  <c r="I321" i="24" s="1"/>
  <c r="H347" i="24"/>
  <c r="I347" i="24" s="1"/>
  <c r="H198" i="24"/>
  <c r="N198" i="24" s="1"/>
  <c r="Q198" i="24" s="1"/>
  <c r="R198" i="24" s="1"/>
  <c r="H169" i="24"/>
  <c r="I169" i="24" s="1"/>
  <c r="H164" i="24"/>
  <c r="I164" i="24" s="1"/>
  <c r="H392" i="24"/>
  <c r="I392" i="24" s="1"/>
  <c r="H42" i="24"/>
  <c r="N42" i="24" s="1"/>
  <c r="Q42" i="24" s="1"/>
  <c r="R42" i="24" s="1"/>
  <c r="H262" i="24"/>
  <c r="I262" i="24" s="1"/>
  <c r="H369" i="24"/>
  <c r="N369" i="24" s="1"/>
  <c r="Q369" i="24" s="1"/>
  <c r="R369" i="24" s="1"/>
  <c r="H207" i="14"/>
  <c r="H380" i="14"/>
  <c r="H119" i="24"/>
  <c r="I119" i="24" s="1"/>
  <c r="M119" i="24" s="1"/>
  <c r="H288" i="24"/>
  <c r="N288" i="24" s="1"/>
  <c r="H229" i="24"/>
  <c r="N229" i="24" s="1"/>
  <c r="Q229" i="24" s="1"/>
  <c r="R229" i="24" s="1"/>
  <c r="H399" i="24"/>
  <c r="N399" i="24" s="1"/>
  <c r="Q399" i="24" s="1"/>
  <c r="R399" i="24" s="1"/>
  <c r="H365" i="24"/>
  <c r="I365" i="24" s="1"/>
  <c r="H285" i="24"/>
  <c r="I285" i="24" s="1"/>
  <c r="H296" i="14"/>
  <c r="N296" i="14" s="1"/>
  <c r="R296" i="14" s="1"/>
  <c r="S296" i="14" s="1"/>
  <c r="H182" i="24"/>
  <c r="I182" i="24" s="1"/>
  <c r="H332" i="24"/>
  <c r="N332" i="24" s="1"/>
  <c r="Q332" i="24" s="1"/>
  <c r="R332" i="24" s="1"/>
  <c r="H233" i="24"/>
  <c r="N233" i="24" s="1"/>
  <c r="Q233" i="24" s="1"/>
  <c r="R233" i="24" s="1"/>
  <c r="H149" i="24"/>
  <c r="N149" i="24" s="1"/>
  <c r="Q149" i="24" s="1"/>
  <c r="R149" i="24" s="1"/>
  <c r="I299" i="24"/>
  <c r="M299" i="24" s="1"/>
  <c r="N299" i="24"/>
  <c r="Q299" i="24" s="1"/>
  <c r="R299" i="24" s="1"/>
  <c r="I208" i="24"/>
  <c r="M208" i="24" s="1"/>
  <c r="N208" i="24"/>
  <c r="Q208" i="24" s="1"/>
  <c r="R208" i="24" s="1"/>
  <c r="I215" i="14"/>
  <c r="M215" i="14" s="1"/>
  <c r="N215" i="14"/>
  <c r="R215" i="14" s="1"/>
  <c r="S215" i="14" s="1"/>
  <c r="I218" i="14"/>
  <c r="M218" i="14" s="1"/>
  <c r="N218" i="14"/>
  <c r="R218" i="14" s="1"/>
  <c r="S218" i="14" s="1"/>
  <c r="I87" i="14"/>
  <c r="M87" i="14" s="1"/>
  <c r="N87" i="14"/>
  <c r="R87" i="14" s="1"/>
  <c r="S87" i="14" s="1"/>
  <c r="N199" i="14"/>
  <c r="R199" i="14" s="1"/>
  <c r="S199" i="14" s="1"/>
  <c r="I299" i="14"/>
  <c r="M299" i="14" s="1"/>
  <c r="N299" i="14"/>
  <c r="R299" i="14" s="1"/>
  <c r="S299" i="14" s="1"/>
  <c r="I376" i="14"/>
  <c r="M376" i="14" s="1"/>
  <c r="N376" i="14"/>
  <c r="R376" i="14" s="1"/>
  <c r="S376" i="14" s="1"/>
  <c r="I268" i="14"/>
  <c r="L268" i="14" s="1"/>
  <c r="N268" i="14"/>
  <c r="R268" i="14" s="1"/>
  <c r="S268" i="14" s="1"/>
  <c r="I84" i="14"/>
  <c r="M84" i="14" s="1"/>
  <c r="N84" i="14"/>
  <c r="R84" i="14" s="1"/>
  <c r="S84" i="14" s="1"/>
  <c r="I388" i="14"/>
  <c r="M388" i="14" s="1"/>
  <c r="N388" i="14"/>
  <c r="R388" i="14" s="1"/>
  <c r="S388" i="14" s="1"/>
  <c r="N311" i="14"/>
  <c r="R311" i="14" s="1"/>
  <c r="S311" i="14" s="1"/>
  <c r="I311" i="14"/>
  <c r="L311" i="14" s="1"/>
  <c r="I305" i="14"/>
  <c r="L305" i="14" s="1"/>
  <c r="N305" i="14"/>
  <c r="R305" i="14" s="1"/>
  <c r="S305" i="14" s="1"/>
  <c r="I211" i="14"/>
  <c r="L211" i="14" s="1"/>
  <c r="N211" i="14"/>
  <c r="R211" i="14" s="1"/>
  <c r="S211" i="14" s="1"/>
  <c r="I75" i="14"/>
  <c r="L75" i="14" s="1"/>
  <c r="N75" i="14"/>
  <c r="R75" i="14" s="1"/>
  <c r="S75" i="14" s="1"/>
  <c r="I79" i="14"/>
  <c r="L79" i="14" s="1"/>
  <c r="N79" i="14"/>
  <c r="R79" i="14" s="1"/>
  <c r="S79" i="14" s="1"/>
  <c r="I267" i="14"/>
  <c r="M267" i="14" s="1"/>
  <c r="N267" i="14"/>
  <c r="R267" i="14" s="1"/>
  <c r="S267" i="14" s="1"/>
  <c r="I225" i="23"/>
  <c r="M225" i="23" s="1"/>
  <c r="I44" i="23"/>
  <c r="L44" i="23" s="1"/>
  <c r="I191" i="23"/>
  <c r="L191" i="23" s="1"/>
  <c r="N246" i="23"/>
  <c r="Q246" i="23" s="1"/>
  <c r="R246" i="23" s="1"/>
  <c r="N226" i="23"/>
  <c r="Q226" i="23" s="1"/>
  <c r="R226" i="23" s="1"/>
  <c r="N324" i="23"/>
  <c r="Q324" i="23" s="1"/>
  <c r="R324" i="23" s="1"/>
  <c r="N211" i="23"/>
  <c r="Q211" i="23" s="1"/>
  <c r="R211" i="23" s="1"/>
  <c r="I248" i="23"/>
  <c r="L248" i="23" s="1"/>
  <c r="N218" i="23"/>
  <c r="Q218" i="23" s="1"/>
  <c r="R218" i="23" s="1"/>
  <c r="I98" i="23"/>
  <c r="L98" i="23" s="1"/>
  <c r="I235" i="23"/>
  <c r="M235" i="23" s="1"/>
  <c r="I268" i="23"/>
  <c r="M268" i="23" s="1"/>
  <c r="N253" i="14"/>
  <c r="R253" i="14" s="1"/>
  <c r="S253" i="14" s="1"/>
  <c r="N279" i="23"/>
  <c r="Q279" i="23" s="1"/>
  <c r="R279" i="23" s="1"/>
  <c r="N92" i="23"/>
  <c r="Q92" i="23" s="1"/>
  <c r="R92" i="23" s="1"/>
  <c r="N265" i="23"/>
  <c r="Q265" i="23" s="1"/>
  <c r="R265" i="23" s="1"/>
  <c r="N156" i="23"/>
  <c r="Q156" i="23" s="1"/>
  <c r="R156" i="23" s="1"/>
  <c r="N162" i="24"/>
  <c r="Q162" i="24" s="1"/>
  <c r="R162" i="24" s="1"/>
  <c r="I379" i="24"/>
  <c r="L379" i="24" s="1"/>
  <c r="N359" i="24"/>
  <c r="Q359" i="24" s="1"/>
  <c r="R359" i="24" s="1"/>
  <c r="N345" i="23"/>
  <c r="Q345" i="23" s="1"/>
  <c r="R345" i="23" s="1"/>
  <c r="N294" i="24"/>
  <c r="Q294" i="24" s="1"/>
  <c r="R294" i="24" s="1"/>
  <c r="N177" i="23"/>
  <c r="Q177" i="23" s="1"/>
  <c r="R177" i="23" s="1"/>
  <c r="N286" i="14"/>
  <c r="R286" i="14" s="1"/>
  <c r="S286" i="14" s="1"/>
  <c r="I243" i="23"/>
  <c r="L243" i="23" s="1"/>
  <c r="N151" i="23"/>
  <c r="Q151" i="23" s="1"/>
  <c r="R151" i="23" s="1"/>
  <c r="N352" i="23"/>
  <c r="Q352" i="23" s="1"/>
  <c r="R352" i="23" s="1"/>
  <c r="N54" i="23"/>
  <c r="Q54" i="23" s="1"/>
  <c r="R54" i="23" s="1"/>
  <c r="N304" i="23"/>
  <c r="Q304" i="23" s="1"/>
  <c r="R304" i="23" s="1"/>
  <c r="N241" i="23"/>
  <c r="Q241" i="23" s="1"/>
  <c r="R241" i="23" s="1"/>
  <c r="N343" i="23"/>
  <c r="Q343" i="23" s="1"/>
  <c r="R343" i="23" s="1"/>
  <c r="N284" i="23"/>
  <c r="Q284" i="23" s="1"/>
  <c r="R284" i="23" s="1"/>
  <c r="N252" i="23"/>
  <c r="Q252" i="23" s="1"/>
  <c r="R252" i="23" s="1"/>
  <c r="N53" i="23"/>
  <c r="Q53" i="23" s="1"/>
  <c r="R53" i="23" s="1"/>
  <c r="N204" i="23"/>
  <c r="Q204" i="23" s="1"/>
  <c r="R204" i="23" s="1"/>
  <c r="I128" i="23"/>
  <c r="L128" i="23" s="1"/>
  <c r="N89" i="23"/>
  <c r="Q89" i="23" s="1"/>
  <c r="R89" i="23" s="1"/>
  <c r="N61" i="14"/>
  <c r="R61" i="14" s="1"/>
  <c r="S61" i="14" s="1"/>
  <c r="I185" i="14"/>
  <c r="L185" i="14" s="1"/>
  <c r="N203" i="23"/>
  <c r="I123" i="23"/>
  <c r="L123" i="23" s="1"/>
  <c r="I186" i="23"/>
  <c r="L186" i="23" s="1"/>
  <c r="I365" i="14"/>
  <c r="M365" i="14" s="1"/>
  <c r="I91" i="23"/>
  <c r="L91" i="23" s="1"/>
  <c r="I349" i="24"/>
  <c r="L349" i="24" s="1"/>
  <c r="I169" i="23"/>
  <c r="M169" i="23" s="1"/>
  <c r="N175" i="23"/>
  <c r="Q175" i="23" s="1"/>
  <c r="R175" i="23" s="1"/>
  <c r="N288" i="23"/>
  <c r="Q288" i="23" s="1"/>
  <c r="R288" i="23" s="1"/>
  <c r="N71" i="23"/>
  <c r="Q71" i="23" s="1"/>
  <c r="R71" i="23" s="1"/>
  <c r="N233" i="23"/>
  <c r="Q233" i="23" s="1"/>
  <c r="R233" i="23" s="1"/>
  <c r="N39" i="23"/>
  <c r="Q39" i="23" s="1"/>
  <c r="R39" i="23" s="1"/>
  <c r="I166" i="23"/>
  <c r="L166" i="23" s="1"/>
  <c r="N303" i="23"/>
  <c r="Q303" i="23" s="1"/>
  <c r="R303" i="23" s="1"/>
  <c r="N331" i="23"/>
  <c r="Q331" i="23" s="1"/>
  <c r="R331" i="23" s="1"/>
  <c r="N222" i="23"/>
  <c r="Q222" i="23" s="1"/>
  <c r="R222" i="23" s="1"/>
  <c r="N367" i="23"/>
  <c r="Q367" i="23" s="1"/>
  <c r="R367" i="23" s="1"/>
  <c r="N353" i="24"/>
  <c r="Q353" i="24" s="1"/>
  <c r="R353" i="24" s="1"/>
  <c r="N159" i="23"/>
  <c r="Q159" i="23" s="1"/>
  <c r="R159" i="23" s="1"/>
  <c r="N329" i="23"/>
  <c r="Q329" i="23" s="1"/>
  <c r="R329" i="23" s="1"/>
  <c r="N148" i="23"/>
  <c r="Q148" i="23" s="1"/>
  <c r="R148" i="23" s="1"/>
  <c r="Q55" i="23"/>
  <c r="R55" i="23" s="1"/>
  <c r="N198" i="23"/>
  <c r="Q198" i="23" s="1"/>
  <c r="R198" i="23" s="1"/>
  <c r="N336" i="23"/>
  <c r="Q336" i="23" s="1"/>
  <c r="R336" i="23" s="1"/>
  <c r="I316" i="23"/>
  <c r="M316" i="23" s="1"/>
  <c r="N264" i="23"/>
  <c r="Q264" i="23" s="1"/>
  <c r="R264" i="23" s="1"/>
  <c r="N210" i="23"/>
  <c r="Q210" i="23" s="1"/>
  <c r="R210" i="23" s="1"/>
  <c r="N185" i="23"/>
  <c r="Q185" i="23" s="1"/>
  <c r="R185" i="23" s="1"/>
  <c r="I364" i="14"/>
  <c r="L364" i="14" s="1"/>
  <c r="I375" i="23"/>
  <c r="L375" i="23" s="1"/>
  <c r="N293" i="23"/>
  <c r="Q293" i="23" s="1"/>
  <c r="R293" i="23" s="1"/>
  <c r="N118" i="23"/>
  <c r="Q118" i="23" s="1"/>
  <c r="R118" i="23" s="1"/>
  <c r="N117" i="23"/>
  <c r="Q117" i="23" s="1"/>
  <c r="R117" i="23" s="1"/>
  <c r="N81" i="23"/>
  <c r="Q81" i="23" s="1"/>
  <c r="R81" i="23" s="1"/>
  <c r="N396" i="23"/>
  <c r="Q396" i="23" s="1"/>
  <c r="R396" i="23" s="1"/>
  <c r="N63" i="23"/>
  <c r="Q63" i="23" s="1"/>
  <c r="R63" i="23" s="1"/>
  <c r="N258" i="23"/>
  <c r="Q258" i="23" s="1"/>
  <c r="R258" i="23" s="1"/>
  <c r="N107" i="23"/>
  <c r="Q107" i="23" s="1"/>
  <c r="R107" i="23" s="1"/>
  <c r="N80" i="23"/>
  <c r="Q80" i="23" s="1"/>
  <c r="R80" i="23" s="1"/>
  <c r="N139" i="23"/>
  <c r="Q139" i="23" s="1"/>
  <c r="R139" i="23" s="1"/>
  <c r="N307" i="23"/>
  <c r="Q307" i="23" s="1"/>
  <c r="R307" i="23" s="1"/>
  <c r="N245" i="14"/>
  <c r="R245" i="14" s="1"/>
  <c r="S245" i="14" s="1"/>
  <c r="N278" i="14"/>
  <c r="R278" i="14" s="1"/>
  <c r="S278" i="14" s="1"/>
  <c r="N339" i="23"/>
  <c r="N363" i="23"/>
  <c r="Q363" i="23" s="1"/>
  <c r="R363" i="23" s="1"/>
  <c r="N86" i="23"/>
  <c r="Q86" i="23" s="1"/>
  <c r="R86" i="23" s="1"/>
  <c r="N319" i="24"/>
  <c r="Q319" i="24" s="1"/>
  <c r="R319" i="24" s="1"/>
  <c r="N227" i="23"/>
  <c r="Q227" i="23" s="1"/>
  <c r="R227" i="23" s="1"/>
  <c r="N377" i="23"/>
  <c r="Q377" i="23" s="1"/>
  <c r="R377" i="23" s="1"/>
  <c r="I365" i="23"/>
  <c r="L365" i="23" s="1"/>
  <c r="I182" i="23"/>
  <c r="L182" i="23" s="1"/>
  <c r="N302" i="23"/>
  <c r="Q302" i="23" s="1"/>
  <c r="R302" i="23" s="1"/>
  <c r="I236" i="23"/>
  <c r="M236" i="23" s="1"/>
  <c r="N74" i="14"/>
  <c r="R74" i="14" s="1"/>
  <c r="S74" i="14" s="1"/>
  <c r="N251" i="23"/>
  <c r="Q251" i="23" s="1"/>
  <c r="R251" i="23" s="1"/>
  <c r="N296" i="23"/>
  <c r="Q296" i="23" s="1"/>
  <c r="R296" i="23" s="1"/>
  <c r="N57" i="23"/>
  <c r="N242" i="23"/>
  <c r="Q242" i="23" s="1"/>
  <c r="R242" i="23" s="1"/>
  <c r="N42" i="14"/>
  <c r="R42" i="14" s="1"/>
  <c r="S42" i="14" s="1"/>
  <c r="N45" i="23"/>
  <c r="R45" i="23" s="1"/>
  <c r="N297" i="23"/>
  <c r="Q297" i="23" s="1"/>
  <c r="R297" i="23" s="1"/>
  <c r="I340" i="29"/>
  <c r="N340" i="29"/>
  <c r="I334" i="29"/>
  <c r="N334" i="29"/>
  <c r="I85" i="29"/>
  <c r="N85" i="29"/>
  <c r="Q130" i="23"/>
  <c r="R130" i="23" s="1"/>
  <c r="I247" i="29"/>
  <c r="N247" i="29"/>
  <c r="I170" i="29"/>
  <c r="N170" i="29"/>
  <c r="I237" i="29"/>
  <c r="N237" i="29"/>
  <c r="Q206" i="23"/>
  <c r="R206" i="23" s="1"/>
  <c r="I151" i="29"/>
  <c r="N151" i="29"/>
  <c r="I111" i="29"/>
  <c r="N111" i="29"/>
  <c r="Q357" i="23"/>
  <c r="R357" i="23" s="1"/>
  <c r="N154" i="29"/>
  <c r="I154" i="29"/>
  <c r="I357" i="29"/>
  <c r="N357" i="29"/>
  <c r="Q365" i="23"/>
  <c r="R365" i="23" s="1"/>
  <c r="I45" i="29"/>
  <c r="N45" i="29"/>
  <c r="I186" i="29"/>
  <c r="N186" i="29"/>
  <c r="L197" i="24"/>
  <c r="M197" i="24"/>
  <c r="M396" i="23"/>
  <c r="L396" i="23"/>
  <c r="M142" i="23"/>
  <c r="L142" i="23"/>
  <c r="M85" i="23"/>
  <c r="L85" i="23"/>
  <c r="Q78" i="23"/>
  <c r="R78" i="23" s="1"/>
  <c r="M292" i="23"/>
  <c r="L292" i="23"/>
  <c r="I225" i="29"/>
  <c r="N225" i="29"/>
  <c r="I63" i="29"/>
  <c r="N63" i="29"/>
  <c r="L143" i="14"/>
  <c r="M143" i="14"/>
  <c r="L359" i="24"/>
  <c r="M359" i="24"/>
  <c r="M339" i="23"/>
  <c r="L339" i="23"/>
  <c r="L105" i="23"/>
  <c r="M105" i="23"/>
  <c r="M322" i="23"/>
  <c r="L322" i="23"/>
  <c r="M49" i="23"/>
  <c r="L49" i="23"/>
  <c r="I149" i="29"/>
  <c r="N149" i="29"/>
  <c r="I59" i="29"/>
  <c r="N59" i="29"/>
  <c r="L224" i="23"/>
  <c r="M224" i="23"/>
  <c r="M99" i="23"/>
  <c r="L99" i="23"/>
  <c r="M213" i="23"/>
  <c r="L213" i="23"/>
  <c r="M270" i="23"/>
  <c r="L270" i="23"/>
  <c r="L180" i="23"/>
  <c r="M180" i="23"/>
  <c r="I181" i="29"/>
  <c r="N181" i="29"/>
  <c r="I217" i="29"/>
  <c r="N217" i="29"/>
  <c r="I92" i="29"/>
  <c r="N92" i="29"/>
  <c r="Q169" i="23"/>
  <c r="R169" i="23" s="1"/>
  <c r="Q84" i="23"/>
  <c r="R84" i="23" s="1"/>
  <c r="I98" i="29"/>
  <c r="N98" i="29"/>
  <c r="I398" i="29"/>
  <c r="N398" i="29"/>
  <c r="Q205" i="23"/>
  <c r="R205" i="23" s="1"/>
  <c r="N121" i="29"/>
  <c r="I121" i="29"/>
  <c r="I167" i="29"/>
  <c r="N167" i="29"/>
  <c r="N265" i="29"/>
  <c r="I265" i="29"/>
  <c r="M326" i="23"/>
  <c r="L326" i="23"/>
  <c r="N240" i="29"/>
  <c r="I240" i="29"/>
  <c r="I302" i="29"/>
  <c r="N302" i="29"/>
  <c r="I136" i="29"/>
  <c r="N136" i="29"/>
  <c r="R108" i="14"/>
  <c r="S108" i="14" s="1"/>
  <c r="M184" i="23"/>
  <c r="L184" i="23"/>
  <c r="I55" i="29"/>
  <c r="N55" i="29"/>
  <c r="M80" i="24"/>
  <c r="L80" i="24"/>
  <c r="L144" i="23"/>
  <c r="M144" i="23"/>
  <c r="Q147" i="23"/>
  <c r="R147" i="23" s="1"/>
  <c r="M323" i="23"/>
  <c r="L323" i="23"/>
  <c r="M334" i="23"/>
  <c r="L334" i="23"/>
  <c r="Q184" i="23"/>
  <c r="R184" i="23" s="1"/>
  <c r="I61" i="29"/>
  <c r="N61" i="29"/>
  <c r="I139" i="29"/>
  <c r="N139" i="29"/>
  <c r="M330" i="23"/>
  <c r="L330" i="23"/>
  <c r="M194" i="23"/>
  <c r="L194" i="23"/>
  <c r="M288" i="23"/>
  <c r="L288" i="23"/>
  <c r="L170" i="23"/>
  <c r="M170" i="23"/>
  <c r="M40" i="23"/>
  <c r="L40" i="23"/>
  <c r="I94" i="29"/>
  <c r="N94" i="29"/>
  <c r="N253" i="29"/>
  <c r="I253" i="29"/>
  <c r="M43" i="23"/>
  <c r="L43" i="23"/>
  <c r="L107" i="23"/>
  <c r="M107" i="23"/>
  <c r="M132" i="23"/>
  <c r="L132" i="23"/>
  <c r="L130" i="23"/>
  <c r="L94" i="23"/>
  <c r="M94" i="23"/>
  <c r="I368" i="29"/>
  <c r="N368" i="29"/>
  <c r="I346" i="29"/>
  <c r="N346" i="29"/>
  <c r="I248" i="29"/>
  <c r="N248" i="29"/>
  <c r="L210" i="24"/>
  <c r="M210" i="24"/>
  <c r="Q379" i="24"/>
  <c r="R379" i="24" s="1"/>
  <c r="L222" i="23"/>
  <c r="M222" i="23"/>
  <c r="L378" i="23"/>
  <c r="M378" i="23"/>
  <c r="M79" i="23"/>
  <c r="L79" i="23"/>
  <c r="M252" i="23"/>
  <c r="L252" i="23"/>
  <c r="I49" i="29"/>
  <c r="N49" i="29"/>
  <c r="I159" i="29"/>
  <c r="N159" i="29"/>
  <c r="L129" i="23"/>
  <c r="M129" i="23"/>
  <c r="L370" i="23"/>
  <c r="M370" i="23"/>
  <c r="M131" i="23"/>
  <c r="L131" i="23"/>
  <c r="L350" i="23"/>
  <c r="M350" i="23"/>
  <c r="L357" i="23"/>
  <c r="M357" i="23"/>
  <c r="I116" i="29"/>
  <c r="N116" i="29"/>
  <c r="I287" i="29"/>
  <c r="N287" i="29"/>
  <c r="L66" i="23"/>
  <c r="M66" i="23"/>
  <c r="L232" i="23"/>
  <c r="M232" i="23"/>
  <c r="L369" i="23"/>
  <c r="M369" i="23"/>
  <c r="M352" i="23"/>
  <c r="L352" i="23"/>
  <c r="I299" i="29"/>
  <c r="N299" i="29"/>
  <c r="I145" i="29"/>
  <c r="N145" i="29"/>
  <c r="M152" i="29"/>
  <c r="L152" i="29"/>
  <c r="Q371" i="23"/>
  <c r="R371" i="23" s="1"/>
  <c r="Q376" i="23"/>
  <c r="R376" i="23" s="1"/>
  <c r="I40" i="29"/>
  <c r="N40" i="29"/>
  <c r="I194" i="29"/>
  <c r="N194" i="29"/>
  <c r="Q328" i="23"/>
  <c r="R328" i="23" s="1"/>
  <c r="I244" i="29"/>
  <c r="N244" i="29"/>
  <c r="I358" i="29"/>
  <c r="N358" i="29"/>
  <c r="R113" i="14"/>
  <c r="S113" i="14" s="1"/>
  <c r="Q301" i="23"/>
  <c r="R301" i="23" s="1"/>
  <c r="I268" i="29"/>
  <c r="N268" i="29"/>
  <c r="I207" i="29"/>
  <c r="N207" i="29"/>
  <c r="I87" i="29"/>
  <c r="N87" i="29"/>
  <c r="L239" i="23"/>
  <c r="M239" i="23"/>
  <c r="Q46" i="23"/>
  <c r="R46" i="23" s="1"/>
  <c r="L234" i="23"/>
  <c r="M234" i="23"/>
  <c r="I324" i="29"/>
  <c r="N324" i="29"/>
  <c r="I342" i="29"/>
  <c r="N342" i="29"/>
  <c r="M353" i="24"/>
  <c r="L353" i="24"/>
  <c r="L138" i="23"/>
  <c r="M138" i="23"/>
  <c r="M196" i="23"/>
  <c r="L196" i="23"/>
  <c r="L305" i="23"/>
  <c r="M305" i="23"/>
  <c r="L174" i="23"/>
  <c r="M174" i="23"/>
  <c r="M205" i="23"/>
  <c r="L205" i="23"/>
  <c r="I153" i="29"/>
  <c r="N153" i="29"/>
  <c r="I231" i="29"/>
  <c r="N231" i="29"/>
  <c r="I291" i="29"/>
  <c r="N291" i="29"/>
  <c r="M218" i="24"/>
  <c r="L218" i="24"/>
  <c r="M140" i="23"/>
  <c r="L140" i="23"/>
  <c r="M363" i="23"/>
  <c r="L363" i="23"/>
  <c r="L223" i="23"/>
  <c r="M223" i="23"/>
  <c r="L277" i="23"/>
  <c r="M277" i="23"/>
  <c r="I316" i="29"/>
  <c r="N316" i="29"/>
  <c r="I295" i="29"/>
  <c r="N295" i="29"/>
  <c r="I76" i="29"/>
  <c r="N76" i="29"/>
  <c r="R365" i="14"/>
  <c r="S365" i="14" s="1"/>
  <c r="L278" i="14"/>
  <c r="M278" i="14"/>
  <c r="M187" i="14"/>
  <c r="L187" i="14"/>
  <c r="I172" i="29"/>
  <c r="N172" i="29"/>
  <c r="I266" i="29"/>
  <c r="N266" i="29"/>
  <c r="Q390" i="24"/>
  <c r="R390" i="24" s="1"/>
  <c r="Q380" i="23"/>
  <c r="R380" i="23" s="1"/>
  <c r="I204" i="29"/>
  <c r="N204" i="29"/>
  <c r="I196" i="29"/>
  <c r="N196" i="29"/>
  <c r="Q271" i="23"/>
  <c r="R271" i="23" s="1"/>
  <c r="Q348" i="23"/>
  <c r="R348" i="23" s="1"/>
  <c r="Q393" i="23"/>
  <c r="R393" i="23" s="1"/>
  <c r="I246" i="29"/>
  <c r="N246" i="29"/>
  <c r="N130" i="29"/>
  <c r="I130" i="29"/>
  <c r="I223" i="29"/>
  <c r="N223" i="29"/>
  <c r="Q143" i="23"/>
  <c r="R143" i="23" s="1"/>
  <c r="I104" i="29"/>
  <c r="N104" i="29"/>
  <c r="I211" i="29"/>
  <c r="N211" i="29"/>
  <c r="I320" i="29"/>
  <c r="N320" i="29"/>
  <c r="I230" i="29"/>
  <c r="N230" i="29"/>
  <c r="I305" i="29"/>
  <c r="N305" i="29"/>
  <c r="Q150" i="23"/>
  <c r="R150" i="23" s="1"/>
  <c r="Q400" i="23"/>
  <c r="R400" i="23" s="1"/>
  <c r="Q102" i="23"/>
  <c r="R102" i="23" s="1"/>
  <c r="I46" i="29"/>
  <c r="N46" i="29"/>
  <c r="I352" i="29"/>
  <c r="N352" i="29"/>
  <c r="I270" i="29"/>
  <c r="N270" i="29"/>
  <c r="M258" i="23"/>
  <c r="L258" i="23"/>
  <c r="L247" i="23"/>
  <c r="M247" i="23"/>
  <c r="M116" i="23"/>
  <c r="L116" i="23"/>
  <c r="L376" i="23"/>
  <c r="M376" i="23"/>
  <c r="I261" i="29"/>
  <c r="N261" i="29"/>
  <c r="I157" i="29"/>
  <c r="N157" i="29"/>
  <c r="L104" i="23"/>
  <c r="M104" i="23"/>
  <c r="M324" i="23"/>
  <c r="L324" i="23"/>
  <c r="L344" i="23"/>
  <c r="M344" i="23"/>
  <c r="M109" i="23"/>
  <c r="L109" i="23"/>
  <c r="I360" i="29"/>
  <c r="N360" i="29"/>
  <c r="I296" i="29"/>
  <c r="N296" i="29"/>
  <c r="M113" i="14"/>
  <c r="L113" i="14"/>
  <c r="L312" i="24"/>
  <c r="M312" i="24"/>
  <c r="R265" i="14"/>
  <c r="S265" i="14" s="1"/>
  <c r="L390" i="23"/>
  <c r="M390" i="23"/>
  <c r="M374" i="23"/>
  <c r="L374" i="23"/>
  <c r="M308" i="23"/>
  <c r="L308" i="23"/>
  <c r="L101" i="23"/>
  <c r="M101" i="23"/>
  <c r="I166" i="29"/>
  <c r="N166" i="29"/>
  <c r="I362" i="29"/>
  <c r="N362" i="29"/>
  <c r="I91" i="29"/>
  <c r="N91" i="29"/>
  <c r="M387" i="23"/>
  <c r="L387" i="23"/>
  <c r="I387" i="29"/>
  <c r="N387" i="29"/>
  <c r="I319" i="29"/>
  <c r="N319" i="29"/>
  <c r="I271" i="29"/>
  <c r="N271" i="29"/>
  <c r="I274" i="29"/>
  <c r="N274" i="29"/>
  <c r="I329" i="29"/>
  <c r="N329" i="29"/>
  <c r="Q168" i="23"/>
  <c r="R168" i="23" s="1"/>
  <c r="Q123" i="23"/>
  <c r="R123" i="23" s="1"/>
  <c r="I288" i="29"/>
  <c r="N288" i="29"/>
  <c r="I354" i="29"/>
  <c r="N354" i="29"/>
  <c r="R364" i="14"/>
  <c r="S364" i="14" s="1"/>
  <c r="M157" i="23"/>
  <c r="L157" i="23"/>
  <c r="Q381" i="23"/>
  <c r="R381" i="23" s="1"/>
  <c r="Q340" i="23"/>
  <c r="R340" i="23" s="1"/>
  <c r="I347" i="29"/>
  <c r="N347" i="29"/>
  <c r="Q306" i="24"/>
  <c r="R306" i="24" s="1"/>
  <c r="Q253" i="23"/>
  <c r="R253" i="23" s="1"/>
  <c r="M302" i="23"/>
  <c r="L302" i="23"/>
  <c r="M381" i="23"/>
  <c r="M61" i="23"/>
  <c r="L61" i="23"/>
  <c r="I147" i="29"/>
  <c r="N147" i="29"/>
  <c r="I351" i="29"/>
  <c r="N351" i="29"/>
  <c r="I100" i="29"/>
  <c r="N100" i="29"/>
  <c r="L249" i="14"/>
  <c r="M249" i="14"/>
  <c r="M238" i="23"/>
  <c r="L238" i="23"/>
  <c r="L279" i="23"/>
  <c r="M279" i="23"/>
  <c r="L300" i="23"/>
  <c r="M300" i="23"/>
  <c r="M253" i="23"/>
  <c r="L253" i="23"/>
  <c r="L380" i="23"/>
  <c r="M380" i="23"/>
  <c r="I333" i="29"/>
  <c r="N333" i="29"/>
  <c r="I163" i="29"/>
  <c r="N163" i="29"/>
  <c r="M77" i="14"/>
  <c r="L77" i="14"/>
  <c r="M254" i="14"/>
  <c r="L254" i="14"/>
  <c r="L241" i="24"/>
  <c r="M241" i="24"/>
  <c r="M341" i="23"/>
  <c r="L341" i="23"/>
  <c r="L271" i="23"/>
  <c r="M271" i="23"/>
  <c r="M348" i="23"/>
  <c r="L348" i="23"/>
  <c r="M88" i="23"/>
  <c r="L88" i="23"/>
  <c r="N119" i="29"/>
  <c r="I119" i="29"/>
  <c r="I70" i="29"/>
  <c r="N70" i="29"/>
  <c r="I363" i="29"/>
  <c r="N363" i="29"/>
  <c r="M42" i="23"/>
  <c r="L42" i="23"/>
  <c r="L217" i="23"/>
  <c r="M217" i="23"/>
  <c r="L143" i="23"/>
  <c r="M143" i="23"/>
  <c r="L310" i="23"/>
  <c r="M310" i="23"/>
  <c r="M179" i="23"/>
  <c r="L179" i="23"/>
  <c r="I273" i="29"/>
  <c r="N273" i="29"/>
  <c r="I330" i="29"/>
  <c r="N330" i="29"/>
  <c r="M145" i="23"/>
  <c r="L145" i="23"/>
  <c r="M359" i="23"/>
  <c r="L359" i="23"/>
  <c r="Q146" i="23"/>
  <c r="R146" i="23" s="1"/>
  <c r="M233" i="23"/>
  <c r="L233" i="23"/>
  <c r="M39" i="23"/>
  <c r="L39" i="23"/>
  <c r="I298" i="29"/>
  <c r="N298" i="29"/>
  <c r="I397" i="29"/>
  <c r="N397" i="29"/>
  <c r="I310" i="29"/>
  <c r="N310" i="29"/>
  <c r="M265" i="23"/>
  <c r="L265" i="23"/>
  <c r="L400" i="23"/>
  <c r="M400" i="23"/>
  <c r="M124" i="23"/>
  <c r="L124" i="23"/>
  <c r="M102" i="23"/>
  <c r="L102" i="23"/>
  <c r="I314" i="29"/>
  <c r="N314" i="29"/>
  <c r="I120" i="29"/>
  <c r="N120" i="29"/>
  <c r="N150" i="29"/>
  <c r="I150" i="29"/>
  <c r="Q301" i="24"/>
  <c r="R301" i="24" s="1"/>
  <c r="Q178" i="23"/>
  <c r="R178" i="23" s="1"/>
  <c r="Q228" i="23"/>
  <c r="R228" i="23" s="1"/>
  <c r="Q200" i="23"/>
  <c r="R200" i="23" s="1"/>
  <c r="I236" i="29"/>
  <c r="N236" i="29"/>
  <c r="I208" i="29"/>
  <c r="N208" i="29"/>
  <c r="I140" i="29"/>
  <c r="N140" i="29"/>
  <c r="Q330" i="24"/>
  <c r="R330" i="24" s="1"/>
  <c r="N356" i="29"/>
  <c r="I356" i="29"/>
  <c r="I97" i="29"/>
  <c r="N97" i="29"/>
  <c r="I216" i="29"/>
  <c r="N216" i="29"/>
  <c r="I205" i="29"/>
  <c r="N205" i="29"/>
  <c r="I323" i="29"/>
  <c r="N323" i="29"/>
  <c r="Q387" i="23"/>
  <c r="R387" i="23" s="1"/>
  <c r="L57" i="23"/>
  <c r="M57" i="23"/>
  <c r="L299" i="23"/>
  <c r="M299" i="23"/>
  <c r="L134" i="23"/>
  <c r="M134" i="23"/>
  <c r="L125" i="23"/>
  <c r="M125" i="23"/>
  <c r="I386" i="29"/>
  <c r="N386" i="29"/>
  <c r="I193" i="29"/>
  <c r="N193" i="29"/>
  <c r="L286" i="23"/>
  <c r="M286" i="23"/>
  <c r="M53" i="23"/>
  <c r="L53" i="23"/>
  <c r="L159" i="23"/>
  <c r="M159" i="23"/>
  <c r="M355" i="23"/>
  <c r="L355" i="23"/>
  <c r="L386" i="23"/>
  <c r="M386" i="23"/>
  <c r="I275" i="29"/>
  <c r="N275" i="29"/>
  <c r="I88" i="29"/>
  <c r="N88" i="29"/>
  <c r="I53" i="29"/>
  <c r="N53" i="29"/>
  <c r="M373" i="24"/>
  <c r="L124" i="24"/>
  <c r="M124" i="24"/>
  <c r="L259" i="23"/>
  <c r="M259" i="23"/>
  <c r="L284" i="23"/>
  <c r="M284" i="23"/>
  <c r="L171" i="23"/>
  <c r="M171" i="23"/>
  <c r="I337" i="29"/>
  <c r="N337" i="29"/>
  <c r="I376" i="29"/>
  <c r="N376" i="29"/>
  <c r="L74" i="14"/>
  <c r="M74" i="14"/>
  <c r="M245" i="14"/>
  <c r="L245" i="14"/>
  <c r="I344" i="29"/>
  <c r="N344" i="29"/>
  <c r="Q248" i="23"/>
  <c r="R248" i="23" s="1"/>
  <c r="I292" i="29"/>
  <c r="N292" i="29"/>
  <c r="I222" i="29"/>
  <c r="N222" i="29"/>
  <c r="I101" i="29"/>
  <c r="N101" i="29"/>
  <c r="Q121" i="23"/>
  <c r="R121" i="23" s="1"/>
  <c r="Q276" i="23"/>
  <c r="R276" i="23" s="1"/>
  <c r="I327" i="29"/>
  <c r="N327" i="29"/>
  <c r="I294" i="29"/>
  <c r="N294" i="29"/>
  <c r="Q69" i="23"/>
  <c r="R69" i="23" s="1"/>
  <c r="Q97" i="23"/>
  <c r="R97" i="23" s="1"/>
  <c r="I133" i="29"/>
  <c r="N133" i="29"/>
  <c r="I126" i="29"/>
  <c r="N126" i="29"/>
  <c r="Q106" i="23"/>
  <c r="R106" i="23" s="1"/>
  <c r="I82" i="29"/>
  <c r="N82" i="29"/>
  <c r="I254" i="29"/>
  <c r="N254" i="29"/>
  <c r="I359" i="29"/>
  <c r="N359" i="29"/>
  <c r="Q93" i="23"/>
  <c r="R93" i="23" s="1"/>
  <c r="I41" i="29"/>
  <c r="N41" i="29"/>
  <c r="I202" i="29"/>
  <c r="N202" i="29"/>
  <c r="I146" i="29"/>
  <c r="N146" i="29"/>
  <c r="L210" i="14"/>
  <c r="M210" i="14"/>
  <c r="M301" i="24"/>
  <c r="L301" i="24"/>
  <c r="M200" i="23"/>
  <c r="L200" i="23"/>
  <c r="L320" i="23"/>
  <c r="M320" i="23"/>
  <c r="L207" i="23"/>
  <c r="M207" i="23"/>
  <c r="I168" i="29"/>
  <c r="N168" i="29"/>
  <c r="I122" i="29"/>
  <c r="N122" i="29"/>
  <c r="I393" i="29"/>
  <c r="N393" i="29"/>
  <c r="L83" i="23"/>
  <c r="M83" i="23"/>
  <c r="L70" i="23"/>
  <c r="M70" i="23"/>
  <c r="L367" i="23"/>
  <c r="M367" i="23"/>
  <c r="M189" i="23"/>
  <c r="L189" i="23"/>
  <c r="L89" i="23"/>
  <c r="M89" i="23"/>
  <c r="I99" i="29"/>
  <c r="N99" i="29"/>
  <c r="I69" i="29"/>
  <c r="N69" i="29"/>
  <c r="L275" i="24"/>
  <c r="M275" i="24"/>
  <c r="L242" i="23"/>
  <c r="M242" i="23"/>
  <c r="M80" i="23"/>
  <c r="L80" i="23"/>
  <c r="L382" i="23"/>
  <c r="M382" i="23"/>
  <c r="M260" i="23"/>
  <c r="L260" i="23"/>
  <c r="L395" i="23"/>
  <c r="M395" i="23"/>
  <c r="I132" i="29"/>
  <c r="N132" i="29"/>
  <c r="N272" i="29"/>
  <c r="I272" i="29"/>
  <c r="Q166" i="23"/>
  <c r="R166" i="23" s="1"/>
  <c r="Q333" i="23"/>
  <c r="R333" i="23" s="1"/>
  <c r="Q366" i="23"/>
  <c r="R366" i="23" s="1"/>
  <c r="I384" i="29"/>
  <c r="N384" i="29"/>
  <c r="N380" i="29"/>
  <c r="I380" i="29"/>
  <c r="Q399" i="23"/>
  <c r="R399" i="23" s="1"/>
  <c r="Q358" i="23"/>
  <c r="R358" i="23" s="1"/>
  <c r="Q50" i="23"/>
  <c r="R50" i="23" s="1"/>
  <c r="I245" i="29"/>
  <c r="N245" i="29"/>
  <c r="I326" i="29"/>
  <c r="N326" i="29"/>
  <c r="I105" i="29"/>
  <c r="N105" i="29"/>
  <c r="Q236" i="23"/>
  <c r="R236" i="23" s="1"/>
  <c r="Q237" i="23"/>
  <c r="R237" i="23" s="1"/>
  <c r="J340" i="25"/>
  <c r="I221" i="29"/>
  <c r="N221" i="29"/>
  <c r="N62" i="29"/>
  <c r="I62" i="29"/>
  <c r="Q285" i="23"/>
  <c r="R285" i="23" s="1"/>
  <c r="I128" i="29"/>
  <c r="N128" i="29"/>
  <c r="I304" i="29"/>
  <c r="N304" i="29"/>
  <c r="L115" i="23"/>
  <c r="M115" i="23"/>
  <c r="L63" i="23"/>
  <c r="M63" i="23"/>
  <c r="M264" i="23"/>
  <c r="L264" i="23"/>
  <c r="L133" i="23"/>
  <c r="M133" i="23"/>
  <c r="I215" i="29"/>
  <c r="N215" i="29"/>
  <c r="I44" i="29"/>
  <c r="N44" i="29"/>
  <c r="N142" i="29"/>
  <c r="I142" i="29"/>
  <c r="M181" i="23"/>
  <c r="L181" i="23"/>
  <c r="M187" i="23"/>
  <c r="L187" i="23"/>
  <c r="L298" i="23"/>
  <c r="M298" i="23"/>
  <c r="M391" i="23"/>
  <c r="L391" i="23"/>
  <c r="I307" i="29"/>
  <c r="N307" i="29"/>
  <c r="I177" i="29"/>
  <c r="N177" i="29"/>
  <c r="I156" i="29"/>
  <c r="N156" i="29"/>
  <c r="M104" i="24"/>
  <c r="L104" i="24"/>
  <c r="L287" i="23"/>
  <c r="M287" i="23"/>
  <c r="M318" i="23"/>
  <c r="L318" i="23"/>
  <c r="L121" i="23"/>
  <c r="M121" i="23"/>
  <c r="M267" i="23"/>
  <c r="L267" i="23"/>
  <c r="L276" i="23"/>
  <c r="M276" i="23"/>
  <c r="I131" i="29"/>
  <c r="N131" i="29"/>
  <c r="I127" i="29"/>
  <c r="N127" i="29"/>
  <c r="L212" i="14"/>
  <c r="M212" i="14"/>
  <c r="M67" i="24"/>
  <c r="L67" i="24"/>
  <c r="M175" i="14"/>
  <c r="L175" i="14"/>
  <c r="M336" i="23"/>
  <c r="L336" i="23"/>
  <c r="M51" i="23"/>
  <c r="L51" i="23"/>
  <c r="M309" i="23"/>
  <c r="L309" i="23"/>
  <c r="I226" i="29"/>
  <c r="N226" i="29"/>
  <c r="I162" i="29"/>
  <c r="N162" i="29"/>
  <c r="L52" i="23"/>
  <c r="M52" i="23"/>
  <c r="L266" i="23"/>
  <c r="M266" i="23"/>
  <c r="L291" i="23"/>
  <c r="M291" i="23"/>
  <c r="M274" i="23"/>
  <c r="L274" i="23"/>
  <c r="I399" i="29"/>
  <c r="N399" i="29"/>
  <c r="I143" i="29"/>
  <c r="N143" i="29"/>
  <c r="I282" i="29"/>
  <c r="N282" i="29"/>
  <c r="M141" i="24"/>
  <c r="L141" i="24"/>
  <c r="M214" i="23"/>
  <c r="L214" i="23"/>
  <c r="Q273" i="23"/>
  <c r="R273" i="23" s="1"/>
  <c r="M354" i="23"/>
  <c r="L354" i="23"/>
  <c r="M136" i="23"/>
  <c r="L136" i="23"/>
  <c r="I283" i="29"/>
  <c r="N283" i="29"/>
  <c r="I78" i="29"/>
  <c r="N78" i="29"/>
  <c r="I56" i="29"/>
  <c r="N56" i="29"/>
  <c r="I383" i="29"/>
  <c r="N383" i="29"/>
  <c r="I198" i="29"/>
  <c r="N198" i="29"/>
  <c r="Q349" i="24"/>
  <c r="R349" i="24" s="1"/>
  <c r="Q44" i="23"/>
  <c r="R44" i="23" s="1"/>
  <c r="I212" i="29"/>
  <c r="N212" i="29"/>
  <c r="I164" i="29"/>
  <c r="N164" i="29"/>
  <c r="N276" i="29"/>
  <c r="I276" i="29"/>
  <c r="Q191" i="23"/>
  <c r="R191" i="23" s="1"/>
  <c r="Q96" i="23"/>
  <c r="R96" i="23" s="1"/>
  <c r="I148" i="29"/>
  <c r="N148" i="29"/>
  <c r="I179" i="29"/>
  <c r="N179" i="29"/>
  <c r="M309" i="29"/>
  <c r="L309" i="29"/>
  <c r="M257" i="23"/>
  <c r="L257" i="23"/>
  <c r="L333" i="23"/>
  <c r="M333" i="23"/>
  <c r="L177" i="23"/>
  <c r="M177" i="23"/>
  <c r="M366" i="23"/>
  <c r="L366" i="23"/>
  <c r="I378" i="29"/>
  <c r="N378" i="29"/>
  <c r="I392" i="29"/>
  <c r="N392" i="29"/>
  <c r="L55" i="23"/>
  <c r="M55" i="23"/>
  <c r="L358" i="23"/>
  <c r="M358" i="23"/>
  <c r="M392" i="23"/>
  <c r="L392" i="23"/>
  <c r="M50" i="23"/>
  <c r="L50" i="23"/>
  <c r="I74" i="29"/>
  <c r="N74" i="29"/>
  <c r="I350" i="29"/>
  <c r="N350" i="29"/>
  <c r="I187" i="29"/>
  <c r="N187" i="29"/>
  <c r="M372" i="23"/>
  <c r="L372" i="23"/>
  <c r="M290" i="23"/>
  <c r="L290" i="23"/>
  <c r="L204" i="23"/>
  <c r="M204" i="23"/>
  <c r="N89" i="29"/>
  <c r="I89" i="29"/>
  <c r="I259" i="29"/>
  <c r="N259" i="29"/>
  <c r="L42" i="14"/>
  <c r="M42" i="14"/>
  <c r="Q199" i="23"/>
  <c r="R199" i="23" s="1"/>
  <c r="I134" i="29"/>
  <c r="N134" i="29"/>
  <c r="I257" i="29"/>
  <c r="N257" i="29"/>
  <c r="I278" i="29"/>
  <c r="N278" i="29"/>
  <c r="I379" i="29"/>
  <c r="N379" i="29"/>
  <c r="Q62" i="23"/>
  <c r="R62" i="23" s="1"/>
  <c r="I317" i="29"/>
  <c r="N317" i="29"/>
  <c r="I188" i="29"/>
  <c r="N188" i="29"/>
  <c r="Q321" i="23"/>
  <c r="R321" i="23" s="1"/>
  <c r="I39" i="29"/>
  <c r="N39" i="29"/>
  <c r="I109" i="29"/>
  <c r="N109" i="29"/>
  <c r="I374" i="29"/>
  <c r="N374" i="29"/>
  <c r="I112" i="29"/>
  <c r="N112" i="29"/>
  <c r="I206" i="29"/>
  <c r="N206" i="29"/>
  <c r="I258" i="29"/>
  <c r="N258" i="29"/>
  <c r="Q154" i="23"/>
  <c r="R154" i="23" s="1"/>
  <c r="Q126" i="23"/>
  <c r="R126" i="23" s="1"/>
  <c r="N155" i="29"/>
  <c r="I155" i="29"/>
  <c r="I176" i="29"/>
  <c r="N176" i="29"/>
  <c r="M373" i="23"/>
  <c r="L373" i="23"/>
  <c r="L172" i="23"/>
  <c r="M172" i="23"/>
  <c r="Q316" i="23"/>
  <c r="R316" i="23" s="1"/>
  <c r="L250" i="23"/>
  <c r="M250" i="23"/>
  <c r="L221" i="23"/>
  <c r="M221" i="23"/>
  <c r="I77" i="29"/>
  <c r="N77" i="29"/>
  <c r="I71" i="29"/>
  <c r="N71" i="29"/>
  <c r="I185" i="29"/>
  <c r="N185" i="29"/>
  <c r="L152" i="23"/>
  <c r="M152" i="23"/>
  <c r="M148" i="23"/>
  <c r="L148" i="23"/>
  <c r="M272" i="23"/>
  <c r="L272" i="23"/>
  <c r="Q182" i="23"/>
  <c r="R182" i="23" s="1"/>
  <c r="I241" i="29"/>
  <c r="N241" i="29"/>
  <c r="I72" i="29"/>
  <c r="N72" i="29"/>
  <c r="I123" i="29"/>
  <c r="N123" i="29"/>
  <c r="M304" i="23"/>
  <c r="L304" i="23"/>
  <c r="M139" i="23"/>
  <c r="L139" i="23"/>
  <c r="L281" i="23"/>
  <c r="M281" i="23"/>
  <c r="I80" i="29"/>
  <c r="N80" i="29"/>
  <c r="I57" i="29"/>
  <c r="N57" i="29"/>
  <c r="Q319" i="23"/>
  <c r="R319" i="23" s="1"/>
  <c r="N84" i="29"/>
  <c r="I84" i="29"/>
  <c r="I209" i="29"/>
  <c r="N209" i="29"/>
  <c r="I200" i="29"/>
  <c r="N200" i="29"/>
  <c r="Q235" i="23"/>
  <c r="R235" i="23" s="1"/>
  <c r="Q375" i="23"/>
  <c r="R375" i="23" s="1"/>
  <c r="I218" i="29"/>
  <c r="N218" i="29"/>
  <c r="I345" i="29"/>
  <c r="N345" i="29"/>
  <c r="M127" i="23"/>
  <c r="L127" i="23"/>
  <c r="I322" i="29"/>
  <c r="N322" i="29"/>
  <c r="I249" i="29"/>
  <c r="N249" i="29"/>
  <c r="Q90" i="23"/>
  <c r="R90" i="23" s="1"/>
  <c r="I110" i="29"/>
  <c r="N110" i="29"/>
  <c r="I372" i="29"/>
  <c r="N372" i="29"/>
  <c r="L44" i="24"/>
  <c r="M44" i="24"/>
  <c r="M379" i="23"/>
  <c r="L379" i="23"/>
  <c r="L245" i="23"/>
  <c r="M245" i="23"/>
  <c r="M389" i="23"/>
  <c r="L389" i="23"/>
  <c r="I161" i="29"/>
  <c r="N161" i="29"/>
  <c r="I395" i="29"/>
  <c r="N395" i="29"/>
  <c r="I73" i="29"/>
  <c r="N73" i="29"/>
  <c r="M176" i="23"/>
  <c r="L176" i="23"/>
  <c r="M312" i="23"/>
  <c r="L312" i="23"/>
  <c r="L212" i="23"/>
  <c r="M212" i="23"/>
  <c r="L329" i="23"/>
  <c r="M329" i="23"/>
  <c r="L211" i="23"/>
  <c r="M211" i="23"/>
  <c r="I66" i="29"/>
  <c r="N66" i="29"/>
  <c r="I300" i="29"/>
  <c r="N300" i="29"/>
  <c r="I349" i="29"/>
  <c r="N349" i="29"/>
  <c r="M197" i="23"/>
  <c r="L197" i="23"/>
  <c r="M122" i="23"/>
  <c r="L122" i="23"/>
  <c r="L56" i="23"/>
  <c r="M56" i="23"/>
  <c r="L240" i="23"/>
  <c r="M240" i="23"/>
  <c r="I233" i="29"/>
  <c r="N233" i="29"/>
  <c r="I137" i="29"/>
  <c r="N137" i="29"/>
  <c r="M309" i="24"/>
  <c r="L309" i="24"/>
  <c r="M321" i="23"/>
  <c r="L321" i="23"/>
  <c r="L269" i="23"/>
  <c r="M269" i="23"/>
  <c r="L185" i="23"/>
  <c r="M185" i="23"/>
  <c r="L41" i="23"/>
  <c r="M41" i="23"/>
  <c r="M353" i="23"/>
  <c r="L353" i="23"/>
  <c r="I113" i="29"/>
  <c r="N113" i="29"/>
  <c r="I263" i="29"/>
  <c r="N263" i="29"/>
  <c r="I165" i="29"/>
  <c r="N165" i="29"/>
  <c r="L96" i="24"/>
  <c r="M349" i="23"/>
  <c r="L349" i="23"/>
  <c r="M303" i="23"/>
  <c r="L303" i="23"/>
  <c r="M92" i="23"/>
  <c r="L92" i="23"/>
  <c r="M362" i="23"/>
  <c r="L362" i="23"/>
  <c r="L255" i="23"/>
  <c r="M255" i="23"/>
  <c r="I242" i="29"/>
  <c r="N242" i="29"/>
  <c r="I391" i="29"/>
  <c r="N391" i="29"/>
  <c r="I175" i="29"/>
  <c r="N175" i="29"/>
  <c r="M215" i="24"/>
  <c r="L215" i="24"/>
  <c r="M154" i="23"/>
  <c r="L154" i="23"/>
  <c r="M126" i="23"/>
  <c r="L126" i="23"/>
  <c r="L282" i="23"/>
  <c r="M282" i="23"/>
  <c r="L315" i="23"/>
  <c r="M315" i="23"/>
  <c r="L226" i="23"/>
  <c r="M226" i="23"/>
  <c r="I160" i="29"/>
  <c r="N160" i="29"/>
  <c r="I338" i="29"/>
  <c r="N338" i="29"/>
  <c r="Q267" i="24"/>
  <c r="R267" i="24" s="1"/>
  <c r="J365" i="25"/>
  <c r="Q370" i="24"/>
  <c r="R370" i="24" s="1"/>
  <c r="Q98" i="23"/>
  <c r="R98" i="23" s="1"/>
  <c r="I385" i="29"/>
  <c r="N385" i="29"/>
  <c r="I243" i="29"/>
  <c r="N243" i="29"/>
  <c r="I335" i="29"/>
  <c r="N335" i="29"/>
  <c r="L192" i="23"/>
  <c r="M192" i="23"/>
  <c r="Q65" i="23"/>
  <c r="R65" i="23" s="1"/>
  <c r="Q325" i="23"/>
  <c r="R325" i="23" s="1"/>
  <c r="I114" i="29"/>
  <c r="N114" i="29"/>
  <c r="I47" i="29"/>
  <c r="N47" i="29"/>
  <c r="I264" i="29"/>
  <c r="N264" i="29"/>
  <c r="Q82" i="23"/>
  <c r="R82" i="23" s="1"/>
  <c r="I129" i="29"/>
  <c r="N129" i="29"/>
  <c r="I312" i="29"/>
  <c r="N312" i="29"/>
  <c r="M250" i="24"/>
  <c r="L250" i="24"/>
  <c r="M239" i="24"/>
  <c r="L239" i="24"/>
  <c r="M227" i="23"/>
  <c r="L227" i="23"/>
  <c r="L68" i="23"/>
  <c r="M68" i="23"/>
  <c r="Q289" i="23"/>
  <c r="R289" i="23" s="1"/>
  <c r="L137" i="23"/>
  <c r="M137" i="23"/>
  <c r="L319" i="23"/>
  <c r="M319" i="23"/>
  <c r="I96" i="29"/>
  <c r="N96" i="29"/>
  <c r="N125" i="29"/>
  <c r="I125" i="29"/>
  <c r="I83" i="29"/>
  <c r="N83" i="29"/>
  <c r="L359" i="14"/>
  <c r="M359" i="14"/>
  <c r="M100" i="24"/>
  <c r="L100" i="24"/>
  <c r="L164" i="23"/>
  <c r="M164" i="23"/>
  <c r="L278" i="23"/>
  <c r="M278" i="23"/>
  <c r="L388" i="23"/>
  <c r="M388" i="23"/>
  <c r="I183" i="29"/>
  <c r="N183" i="29"/>
  <c r="I124" i="29"/>
  <c r="N124" i="29"/>
  <c r="L202" i="14"/>
  <c r="M202" i="14"/>
  <c r="M137" i="24"/>
  <c r="L158" i="23"/>
  <c r="M158" i="23"/>
  <c r="L153" i="23"/>
  <c r="M153" i="23"/>
  <c r="L45" i="23"/>
  <c r="M45" i="23"/>
  <c r="M311" i="23"/>
  <c r="L311" i="23"/>
  <c r="I95" i="29"/>
  <c r="N95" i="29"/>
  <c r="I235" i="29"/>
  <c r="N235" i="29"/>
  <c r="M233" i="14"/>
  <c r="L233" i="14"/>
  <c r="M168" i="14"/>
  <c r="L253" i="14"/>
  <c r="M253" i="14"/>
  <c r="M381" i="14"/>
  <c r="Q261" i="23"/>
  <c r="R261" i="23" s="1"/>
  <c r="I318" i="29"/>
  <c r="N318" i="29"/>
  <c r="Q225" i="23"/>
  <c r="R225" i="23" s="1"/>
  <c r="I169" i="29"/>
  <c r="N169" i="29"/>
  <c r="I301" i="29"/>
  <c r="N301" i="29"/>
  <c r="I81" i="29"/>
  <c r="N81" i="29"/>
  <c r="Q216" i="23"/>
  <c r="R216" i="23" s="1"/>
  <c r="I197" i="29"/>
  <c r="N197" i="29"/>
  <c r="I315" i="29"/>
  <c r="N315" i="29"/>
  <c r="R331" i="14"/>
  <c r="S331" i="14" s="1"/>
  <c r="Q230" i="23"/>
  <c r="R230" i="23" s="1"/>
  <c r="Q100" i="23"/>
  <c r="R100" i="23" s="1"/>
  <c r="Q338" i="23"/>
  <c r="R338" i="23" s="1"/>
  <c r="I267" i="29"/>
  <c r="N267" i="29"/>
  <c r="I64" i="29"/>
  <c r="N64" i="29"/>
  <c r="I54" i="29"/>
  <c r="N54" i="29"/>
  <c r="Q51" i="24"/>
  <c r="R51" i="24" s="1"/>
  <c r="Q275" i="23"/>
  <c r="R275" i="23" s="1"/>
  <c r="I382" i="29"/>
  <c r="N382" i="29"/>
  <c r="I60" i="29"/>
  <c r="N60" i="29"/>
  <c r="Q229" i="23"/>
  <c r="R229" i="23" s="1"/>
  <c r="I394" i="29"/>
  <c r="N394" i="29"/>
  <c r="I336" i="29"/>
  <c r="N336" i="29"/>
  <c r="M74" i="23"/>
  <c r="L74" i="23"/>
  <c r="M263" i="23"/>
  <c r="L263" i="23"/>
  <c r="L293" i="23"/>
  <c r="M293" i="23"/>
  <c r="M256" i="23"/>
  <c r="L256" i="23"/>
  <c r="I389" i="29"/>
  <c r="N389" i="29"/>
  <c r="N51" i="29"/>
  <c r="I51" i="29"/>
  <c r="I269" i="29"/>
  <c r="N269" i="29"/>
  <c r="L60" i="23"/>
  <c r="M60" i="23"/>
  <c r="Q192" i="23"/>
  <c r="R192" i="23" s="1"/>
  <c r="M325" i="23"/>
  <c r="L325" i="23"/>
  <c r="M165" i="23"/>
  <c r="L165" i="23"/>
  <c r="I250" i="29"/>
  <c r="N250" i="29"/>
  <c r="I364" i="29"/>
  <c r="N364" i="29"/>
  <c r="I252" i="29"/>
  <c r="N252" i="29"/>
  <c r="L141" i="23"/>
  <c r="M141" i="23"/>
  <c r="L82" i="23"/>
  <c r="M82" i="23"/>
  <c r="M394" i="23"/>
  <c r="L394" i="23"/>
  <c r="L331" i="23"/>
  <c r="M331" i="23"/>
  <c r="L337" i="23"/>
  <c r="M337" i="23"/>
  <c r="I90" i="29"/>
  <c r="N90" i="29"/>
  <c r="I277" i="29"/>
  <c r="N277" i="29"/>
  <c r="I171" i="29"/>
  <c r="N171" i="29"/>
  <c r="I173" i="29"/>
  <c r="N173" i="29"/>
  <c r="I293" i="29"/>
  <c r="N293" i="29"/>
  <c r="Q95" i="23"/>
  <c r="R95" i="23" s="1"/>
  <c r="Q155" i="23"/>
  <c r="R155" i="23" s="1"/>
  <c r="Q76" i="23"/>
  <c r="R76" i="23" s="1"/>
  <c r="I341" i="29"/>
  <c r="N341" i="29"/>
  <c r="I369" i="29"/>
  <c r="N369" i="29"/>
  <c r="I255" i="29"/>
  <c r="N255" i="29"/>
  <c r="I339" i="29"/>
  <c r="N339" i="29"/>
  <c r="I348" i="29"/>
  <c r="N348" i="29"/>
  <c r="Q384" i="23"/>
  <c r="R384" i="23" s="1"/>
  <c r="I213" i="29"/>
  <c r="N213" i="29"/>
  <c r="Q64" i="23"/>
  <c r="R64" i="23" s="1"/>
  <c r="M294" i="23"/>
  <c r="L294" i="23"/>
  <c r="Q231" i="23"/>
  <c r="R231" i="23" s="1"/>
  <c r="M261" i="23"/>
  <c r="L261" i="23"/>
  <c r="L209" i="23"/>
  <c r="M209" i="23"/>
  <c r="I256" i="29"/>
  <c r="N256" i="29"/>
  <c r="I328" i="29"/>
  <c r="N328" i="29"/>
  <c r="L86" i="23"/>
  <c r="M86" i="23"/>
  <c r="M135" i="23"/>
  <c r="L135" i="23"/>
  <c r="M75" i="23"/>
  <c r="L75" i="23"/>
  <c r="I361" i="29"/>
  <c r="N361" i="29"/>
  <c r="I115" i="29"/>
  <c r="N115" i="29"/>
  <c r="I280" i="29"/>
  <c r="N280" i="29"/>
  <c r="M117" i="23"/>
  <c r="L117" i="23"/>
  <c r="M361" i="23"/>
  <c r="L361" i="23"/>
  <c r="M201" i="23"/>
  <c r="L201" i="23"/>
  <c r="L81" i="23"/>
  <c r="M81" i="23"/>
  <c r="I306" i="29"/>
  <c r="N306" i="29"/>
  <c r="I210" i="29"/>
  <c r="N210" i="29"/>
  <c r="M331" i="14"/>
  <c r="L331" i="14"/>
  <c r="L186" i="24"/>
  <c r="M186" i="24"/>
  <c r="M398" i="23"/>
  <c r="L398" i="23"/>
  <c r="M230" i="23"/>
  <c r="M100" i="23"/>
  <c r="L100" i="23"/>
  <c r="L108" i="23"/>
  <c r="M108" i="23"/>
  <c r="I43" i="29"/>
  <c r="N43" i="29"/>
  <c r="I370" i="29"/>
  <c r="N370" i="29"/>
  <c r="I224" i="29"/>
  <c r="N224" i="29"/>
  <c r="M67" i="23"/>
  <c r="L67" i="23"/>
  <c r="M183" i="23"/>
  <c r="L183" i="23"/>
  <c r="L275" i="23"/>
  <c r="M275" i="23"/>
  <c r="M119" i="23"/>
  <c r="L119" i="23"/>
  <c r="M364" i="23"/>
  <c r="L364" i="23"/>
  <c r="I297" i="29"/>
  <c r="N297" i="29"/>
  <c r="I135" i="29"/>
  <c r="N135" i="29"/>
  <c r="M229" i="23"/>
  <c r="L229" i="23"/>
  <c r="Q128" i="23"/>
  <c r="R128" i="23" s="1"/>
  <c r="M87" i="23"/>
  <c r="L87" i="23"/>
  <c r="M218" i="23"/>
  <c r="L218" i="23"/>
  <c r="M283" i="23"/>
  <c r="L283" i="23"/>
  <c r="I52" i="29"/>
  <c r="N52" i="29"/>
  <c r="I325" i="29"/>
  <c r="N325" i="29"/>
  <c r="R256" i="14"/>
  <c r="S256" i="14" s="1"/>
  <c r="I371" i="29"/>
  <c r="N371" i="29"/>
  <c r="I228" i="29"/>
  <c r="N228" i="29"/>
  <c r="Q173" i="23"/>
  <c r="R173" i="23" s="1"/>
  <c r="I42" i="29"/>
  <c r="N42" i="29"/>
  <c r="I284" i="29"/>
  <c r="N284" i="29"/>
  <c r="I190" i="29"/>
  <c r="N190" i="29"/>
  <c r="Q58" i="23"/>
  <c r="R58" i="23" s="1"/>
  <c r="Q346" i="23"/>
  <c r="R346" i="23" s="1"/>
  <c r="I79" i="29"/>
  <c r="N79" i="29"/>
  <c r="I365" i="29"/>
  <c r="N365" i="29"/>
  <c r="L188" i="23"/>
  <c r="M188" i="23"/>
  <c r="M356" i="23"/>
  <c r="L356" i="23"/>
  <c r="L111" i="23"/>
  <c r="M111" i="23"/>
  <c r="Q368" i="23"/>
  <c r="R368" i="23" s="1"/>
  <c r="M118" i="23"/>
  <c r="L118" i="23"/>
  <c r="I260" i="29"/>
  <c r="N260" i="29"/>
  <c r="I366" i="29"/>
  <c r="N366" i="29"/>
  <c r="I229" i="29"/>
  <c r="N229" i="29"/>
  <c r="M343" i="23"/>
  <c r="L343" i="23"/>
  <c r="M175" i="23"/>
  <c r="L175" i="23"/>
  <c r="M95" i="23"/>
  <c r="L95" i="23"/>
  <c r="I93" i="29"/>
  <c r="N93" i="29"/>
  <c r="I201" i="29"/>
  <c r="N201" i="29"/>
  <c r="M162" i="24"/>
  <c r="L162" i="24"/>
  <c r="L167" i="23"/>
  <c r="M167" i="23"/>
  <c r="M297" i="23"/>
  <c r="L297" i="23"/>
  <c r="M210" i="23"/>
  <c r="L210" i="23"/>
  <c r="L385" i="23"/>
  <c r="M385" i="23"/>
  <c r="L198" i="23"/>
  <c r="M198" i="23"/>
  <c r="I355" i="29"/>
  <c r="N355" i="29"/>
  <c r="I195" i="29"/>
  <c r="N195" i="29"/>
  <c r="I106" i="29"/>
  <c r="N106" i="29"/>
  <c r="M286" i="14"/>
  <c r="L286" i="14"/>
  <c r="M100" i="14"/>
  <c r="L100" i="14"/>
  <c r="L362" i="14"/>
  <c r="M362" i="14"/>
  <c r="Q306" i="23"/>
  <c r="R306" i="23" s="1"/>
  <c r="Q243" i="23"/>
  <c r="R243" i="23" s="1"/>
  <c r="I68" i="29"/>
  <c r="N68" i="29"/>
  <c r="Q112" i="23"/>
  <c r="R112" i="23" s="1"/>
  <c r="I377" i="29"/>
  <c r="N377" i="29"/>
  <c r="I321" i="29"/>
  <c r="N321" i="29"/>
  <c r="Q91" i="23"/>
  <c r="R91" i="23" s="1"/>
  <c r="I174" i="29"/>
  <c r="N174" i="29"/>
  <c r="I239" i="29"/>
  <c r="N239" i="29"/>
  <c r="I285" i="29"/>
  <c r="N285" i="29"/>
  <c r="Q77" i="23"/>
  <c r="R77" i="23" s="1"/>
  <c r="Q47" i="23"/>
  <c r="R47" i="23" s="1"/>
  <c r="Q215" i="23"/>
  <c r="R215" i="23" s="1"/>
  <c r="I367" i="29"/>
  <c r="N367" i="29"/>
  <c r="I331" i="29"/>
  <c r="N331" i="29"/>
  <c r="I144" i="29"/>
  <c r="N144" i="29"/>
  <c r="Q383" i="23"/>
  <c r="R383" i="23" s="1"/>
  <c r="Q190" i="23"/>
  <c r="R190" i="23" s="1"/>
  <c r="Q120" i="23"/>
  <c r="R120" i="23" s="1"/>
  <c r="I108" i="29"/>
  <c r="N108" i="29"/>
  <c r="I50" i="29"/>
  <c r="N50" i="29"/>
  <c r="Q160" i="23"/>
  <c r="R160" i="23" s="1"/>
  <c r="Q162" i="23"/>
  <c r="R162" i="23" s="1"/>
  <c r="Q295" i="23"/>
  <c r="R295" i="23" s="1"/>
  <c r="I103" i="29"/>
  <c r="N103" i="29"/>
  <c r="I343" i="29"/>
  <c r="N343" i="29"/>
  <c r="I117" i="29"/>
  <c r="N117" i="29"/>
  <c r="M256" i="14"/>
  <c r="L256" i="14"/>
  <c r="L360" i="23"/>
  <c r="M360" i="23"/>
  <c r="L202" i="23"/>
  <c r="M202" i="23"/>
  <c r="L317" i="23"/>
  <c r="M317" i="23"/>
  <c r="L208" i="23"/>
  <c r="M208" i="23"/>
  <c r="L48" i="23"/>
  <c r="M48" i="23"/>
  <c r="I279" i="29"/>
  <c r="N279" i="29"/>
  <c r="I251" i="29"/>
  <c r="N251" i="29"/>
  <c r="L327" i="23"/>
  <c r="M327" i="23"/>
  <c r="M313" i="23"/>
  <c r="L313" i="23"/>
  <c r="L249" i="23"/>
  <c r="M249" i="23"/>
  <c r="L332" i="23"/>
  <c r="M332" i="23"/>
  <c r="I184" i="29"/>
  <c r="N184" i="29"/>
  <c r="I332" i="29"/>
  <c r="N332" i="29"/>
  <c r="I290" i="29"/>
  <c r="N290" i="29"/>
  <c r="M381" i="24"/>
  <c r="L381" i="24"/>
  <c r="Q307" i="24"/>
  <c r="R307" i="24" s="1"/>
  <c r="L348" i="24"/>
  <c r="M348" i="24"/>
  <c r="L326" i="14"/>
  <c r="M326" i="14"/>
  <c r="L58" i="23"/>
  <c r="M58" i="23"/>
  <c r="L251" i="23"/>
  <c r="M251" i="23"/>
  <c r="L59" i="23"/>
  <c r="M59" i="23"/>
  <c r="M345" i="23"/>
  <c r="L345" i="23"/>
  <c r="I203" i="29"/>
  <c r="N203" i="29"/>
  <c r="I388" i="29"/>
  <c r="N388" i="29"/>
  <c r="Q73" i="23"/>
  <c r="R73" i="23" s="1"/>
  <c r="I289" i="29"/>
  <c r="N289" i="29"/>
  <c r="N158" i="29"/>
  <c r="I158" i="29"/>
  <c r="I234" i="29"/>
  <c r="N234" i="29"/>
  <c r="Q244" i="23"/>
  <c r="R244" i="23" s="1"/>
  <c r="I65" i="29"/>
  <c r="N65" i="29"/>
  <c r="I262" i="29"/>
  <c r="N262" i="29"/>
  <c r="R51" i="14"/>
  <c r="S51" i="14" s="1"/>
  <c r="R353" i="14"/>
  <c r="S353" i="14" s="1"/>
  <c r="Q268" i="23"/>
  <c r="R268" i="23" s="1"/>
  <c r="Q186" i="23"/>
  <c r="R186" i="23" s="1"/>
  <c r="Q314" i="23"/>
  <c r="R314" i="23" s="1"/>
  <c r="I182" i="29"/>
  <c r="N182" i="29"/>
  <c r="I67" i="29"/>
  <c r="N67" i="29"/>
  <c r="I141" i="29"/>
  <c r="N141" i="29"/>
  <c r="R185" i="14"/>
  <c r="S185" i="14" s="1"/>
  <c r="I281" i="29"/>
  <c r="N281" i="29"/>
  <c r="M246" i="23"/>
  <c r="L246" i="23"/>
  <c r="L347" i="23"/>
  <c r="M347" i="23"/>
  <c r="L254" i="23"/>
  <c r="M254" i="23"/>
  <c r="I102" i="29"/>
  <c r="N102" i="29"/>
  <c r="I311" i="29"/>
  <c r="N311" i="29"/>
  <c r="M280" i="23"/>
  <c r="L280" i="23"/>
  <c r="M342" i="23"/>
  <c r="L342" i="23"/>
  <c r="L193" i="23"/>
  <c r="M193" i="23"/>
  <c r="M103" i="23"/>
  <c r="L103" i="23"/>
  <c r="L112" i="23"/>
  <c r="M112" i="23"/>
  <c r="I400" i="29"/>
  <c r="N400" i="29"/>
  <c r="I396" i="29"/>
  <c r="N396" i="29"/>
  <c r="M151" i="23"/>
  <c r="L151" i="23"/>
  <c r="L71" i="23"/>
  <c r="M71" i="23"/>
  <c r="L149" i="23"/>
  <c r="M149" i="23"/>
  <c r="L161" i="23"/>
  <c r="M161" i="23"/>
  <c r="I227" i="29"/>
  <c r="N227" i="29"/>
  <c r="I189" i="29"/>
  <c r="N189" i="29"/>
  <c r="I375" i="29"/>
  <c r="N375" i="29"/>
  <c r="L329" i="14"/>
  <c r="M329" i="14"/>
  <c r="M319" i="24"/>
  <c r="L319" i="24"/>
  <c r="M77" i="23"/>
  <c r="L77" i="23"/>
  <c r="M262" i="23"/>
  <c r="L262" i="23"/>
  <c r="M113" i="23"/>
  <c r="L113" i="23"/>
  <c r="I238" i="29"/>
  <c r="N238" i="29"/>
  <c r="N381" i="29"/>
  <c r="I381" i="29"/>
  <c r="I308" i="29"/>
  <c r="N308" i="29"/>
  <c r="M54" i="23"/>
  <c r="L54" i="23"/>
  <c r="M195" i="23"/>
  <c r="L195" i="23"/>
  <c r="I86" i="29"/>
  <c r="N86" i="29"/>
  <c r="I48" i="29"/>
  <c r="N48" i="29"/>
  <c r="L94" i="14"/>
  <c r="M171" i="24"/>
  <c r="L171" i="24"/>
  <c r="M335" i="23"/>
  <c r="L335" i="23"/>
  <c r="L307" i="23"/>
  <c r="M307" i="23"/>
  <c r="L295" i="23"/>
  <c r="M295" i="23"/>
  <c r="I118" i="29"/>
  <c r="N118" i="29"/>
  <c r="I191" i="29"/>
  <c r="N191" i="29"/>
  <c r="I107" i="29"/>
  <c r="N107" i="29"/>
  <c r="Q85" i="23"/>
  <c r="R85" i="23" s="1"/>
  <c r="I75" i="29"/>
  <c r="N75" i="29"/>
  <c r="I199" i="29"/>
  <c r="N199" i="29"/>
  <c r="Q72" i="23"/>
  <c r="R72" i="23" s="1"/>
  <c r="Q105" i="23"/>
  <c r="R105" i="23" s="1"/>
  <c r="I232" i="29"/>
  <c r="N232" i="29"/>
  <c r="I214" i="29"/>
  <c r="N214" i="29"/>
  <c r="Q180" i="23"/>
  <c r="R180" i="23" s="1"/>
  <c r="I353" i="29"/>
  <c r="N353" i="29"/>
  <c r="I303" i="29"/>
  <c r="N303" i="29"/>
  <c r="I286" i="29"/>
  <c r="N286" i="29"/>
  <c r="L294" i="24"/>
  <c r="M294" i="24"/>
  <c r="L296" i="23"/>
  <c r="M296" i="23"/>
  <c r="L241" i="23"/>
  <c r="M241" i="23"/>
  <c r="L156" i="23"/>
  <c r="M156" i="23"/>
  <c r="L377" i="23"/>
  <c r="M377" i="23"/>
  <c r="L73" i="23"/>
  <c r="M73" i="23"/>
  <c r="I373" i="29"/>
  <c r="N373" i="29"/>
  <c r="I58" i="29"/>
  <c r="N58" i="29"/>
  <c r="I138" i="29"/>
  <c r="N138" i="29"/>
  <c r="L127" i="24"/>
  <c r="M127" i="24"/>
  <c r="L77" i="24"/>
  <c r="M77" i="24"/>
  <c r="L110" i="23"/>
  <c r="M110" i="23"/>
  <c r="L397" i="23"/>
  <c r="M397" i="23"/>
  <c r="L351" i="23"/>
  <c r="M351" i="23"/>
  <c r="M114" i="23"/>
  <c r="L114" i="23"/>
  <c r="N390" i="29"/>
  <c r="I390" i="29"/>
  <c r="I192" i="29"/>
  <c r="N192" i="29"/>
  <c r="M51" i="14"/>
  <c r="M353" i="14"/>
  <c r="L353" i="14"/>
  <c r="M364" i="24"/>
  <c r="L364" i="24"/>
  <c r="Q163" i="23"/>
  <c r="R163" i="23" s="1"/>
  <c r="M314" i="23"/>
  <c r="L314" i="23"/>
  <c r="M203" i="23"/>
  <c r="L203" i="23"/>
  <c r="I178" i="29"/>
  <c r="N178" i="29"/>
  <c r="I180" i="29"/>
  <c r="N180" i="29"/>
  <c r="I313" i="29"/>
  <c r="N313" i="29"/>
  <c r="N198" i="14" l="1"/>
  <c r="R198" i="14" s="1"/>
  <c r="S198" i="14" s="1"/>
  <c r="N116" i="14"/>
  <c r="R116" i="14" s="1"/>
  <c r="S116" i="14" s="1"/>
  <c r="L291" i="14"/>
  <c r="L313" i="14"/>
  <c r="N313" i="14"/>
  <c r="R313" i="14" s="1"/>
  <c r="S313" i="14" s="1"/>
  <c r="L82" i="24"/>
  <c r="M184" i="14"/>
  <c r="M148" i="14"/>
  <c r="M73" i="24"/>
  <c r="L259" i="14"/>
  <c r="N304" i="14"/>
  <c r="R304" i="14" s="1"/>
  <c r="S304" i="14" s="1"/>
  <c r="N127" i="24"/>
  <c r="Q127" i="24" s="1"/>
  <c r="R127" i="24" s="1"/>
  <c r="M290" i="24"/>
  <c r="N184" i="14"/>
  <c r="R184" i="14" s="1"/>
  <c r="S184" i="14" s="1"/>
  <c r="I154" i="14"/>
  <c r="L154" i="14" s="1"/>
  <c r="N190" i="24"/>
  <c r="Q190" i="24" s="1"/>
  <c r="R190" i="24" s="1"/>
  <c r="N394" i="24"/>
  <c r="Q394" i="24" s="1"/>
  <c r="R394" i="24" s="1"/>
  <c r="M190" i="24"/>
  <c r="I396" i="14"/>
  <c r="M396" i="14" s="1"/>
  <c r="N354" i="24"/>
  <c r="Q354" i="24" s="1"/>
  <c r="R354" i="24" s="1"/>
  <c r="N239" i="14"/>
  <c r="R239" i="14" s="1"/>
  <c r="S239" i="14" s="1"/>
  <c r="N62" i="14"/>
  <c r="R62" i="14" s="1"/>
  <c r="S62" i="14" s="1"/>
  <c r="L371" i="23"/>
  <c r="N70" i="24"/>
  <c r="Q70" i="24" s="1"/>
  <c r="R70" i="24" s="1"/>
  <c r="L106" i="24"/>
  <c r="M68" i="14"/>
  <c r="M62" i="14"/>
  <c r="M99" i="14"/>
  <c r="L69" i="23"/>
  <c r="N106" i="24"/>
  <c r="Q106" i="24" s="1"/>
  <c r="R106" i="24" s="1"/>
  <c r="M70" i="24"/>
  <c r="I167" i="14"/>
  <c r="M167" i="14" s="1"/>
  <c r="M391" i="14"/>
  <c r="M188" i="24"/>
  <c r="L341" i="14"/>
  <c r="N94" i="14"/>
  <c r="R94" i="14" s="1"/>
  <c r="S94" i="14" s="1"/>
  <c r="N242" i="14"/>
  <c r="R242" i="14" s="1"/>
  <c r="S242" i="14" s="1"/>
  <c r="N95" i="24"/>
  <c r="Q95" i="24" s="1"/>
  <c r="R95" i="24" s="1"/>
  <c r="M58" i="24"/>
  <c r="N322" i="24"/>
  <c r="Q322" i="24" s="1"/>
  <c r="R322" i="24" s="1"/>
  <c r="I128" i="24"/>
  <c r="M128" i="24" s="1"/>
  <c r="M236" i="24"/>
  <c r="N127" i="14"/>
  <c r="R127" i="14" s="1"/>
  <c r="S127" i="14" s="1"/>
  <c r="M161" i="24"/>
  <c r="M340" i="23"/>
  <c r="O340" i="23" s="1"/>
  <c r="P340" i="23" s="1"/>
  <c r="N323" i="14"/>
  <c r="R323" i="14" s="1"/>
  <c r="S323" i="14" s="1"/>
  <c r="N170" i="14"/>
  <c r="R170" i="14" s="1"/>
  <c r="S170" i="14" s="1"/>
  <c r="N373" i="24"/>
  <c r="Q373" i="24" s="1"/>
  <c r="R373" i="24" s="1"/>
  <c r="L280" i="24"/>
  <c r="M170" i="14"/>
  <c r="N206" i="24"/>
  <c r="Q206" i="24" s="1"/>
  <c r="R206" i="24" s="1"/>
  <c r="N161" i="24"/>
  <c r="Q161" i="24" s="1"/>
  <c r="R161" i="24" s="1"/>
  <c r="N168" i="14"/>
  <c r="R168" i="14" s="1"/>
  <c r="S168" i="14" s="1"/>
  <c r="L111" i="24"/>
  <c r="L283" i="14"/>
  <c r="L168" i="23"/>
  <c r="O168" i="23" s="1"/>
  <c r="P168" i="23" s="1"/>
  <c r="N383" i="14"/>
  <c r="R383" i="14" s="1"/>
  <c r="S383" i="14" s="1"/>
  <c r="T383" i="14" s="1"/>
  <c r="M360" i="14"/>
  <c r="N360" i="14"/>
  <c r="R360" i="14" s="1"/>
  <c r="S360" i="14" s="1"/>
  <c r="L93" i="23"/>
  <c r="L337" i="24"/>
  <c r="M337" i="24"/>
  <c r="L244" i="14"/>
  <c r="M244" i="14"/>
  <c r="N337" i="24"/>
  <c r="Q337" i="24" s="1"/>
  <c r="R337" i="24" s="1"/>
  <c r="J329" i="25"/>
  <c r="L334" i="14"/>
  <c r="N104" i="14"/>
  <c r="R104" i="14" s="1"/>
  <c r="S104" i="14" s="1"/>
  <c r="T104" i="14" s="1"/>
  <c r="N244" i="14"/>
  <c r="R244" i="14" s="1"/>
  <c r="S244" i="14" s="1"/>
  <c r="U244" i="14" s="1"/>
  <c r="L58" i="14"/>
  <c r="L343" i="24"/>
  <c r="M115" i="14"/>
  <c r="L391" i="24"/>
  <c r="L61" i="14"/>
  <c r="L311" i="24"/>
  <c r="L173" i="14"/>
  <c r="N114" i="14"/>
  <c r="R114" i="14" s="1"/>
  <c r="S114" i="14" s="1"/>
  <c r="N265" i="24"/>
  <c r="Q265" i="24" s="1"/>
  <c r="R265" i="24" s="1"/>
  <c r="L372" i="24"/>
  <c r="M105" i="24"/>
  <c r="N343" i="24"/>
  <c r="Q343" i="24" s="1"/>
  <c r="R343" i="24" s="1"/>
  <c r="S343" i="24" s="1"/>
  <c r="N372" i="24"/>
  <c r="Q372" i="24" s="1"/>
  <c r="R372" i="24" s="1"/>
  <c r="S372" i="24" s="1"/>
  <c r="M204" i="24"/>
  <c r="N105" i="24"/>
  <c r="Q105" i="24" s="1"/>
  <c r="R105" i="24" s="1"/>
  <c r="S105" i="24" s="1"/>
  <c r="N386" i="14"/>
  <c r="R386" i="14" s="1"/>
  <c r="S386" i="14" s="1"/>
  <c r="M336" i="14"/>
  <c r="M293" i="24"/>
  <c r="L328" i="14"/>
  <c r="O328" i="14" s="1"/>
  <c r="P328" i="14" s="1"/>
  <c r="L123" i="24"/>
  <c r="M206" i="24"/>
  <c r="M388" i="24"/>
  <c r="M265" i="24"/>
  <c r="L393" i="23"/>
  <c r="O393" i="23" s="1"/>
  <c r="P393" i="23" s="1"/>
  <c r="I287" i="24"/>
  <c r="M287" i="24" s="1"/>
  <c r="N391" i="24"/>
  <c r="Q391" i="24" s="1"/>
  <c r="R391" i="24" s="1"/>
  <c r="L155" i="24"/>
  <c r="L208" i="14"/>
  <c r="L239" i="14"/>
  <c r="M95" i="24"/>
  <c r="M242" i="24"/>
  <c r="N242" i="24"/>
  <c r="Q242" i="24" s="1"/>
  <c r="R242" i="24" s="1"/>
  <c r="I281" i="14"/>
  <c r="L281" i="14" s="1"/>
  <c r="M181" i="24"/>
  <c r="N329" i="24"/>
  <c r="Q329" i="24" s="1"/>
  <c r="R329" i="24" s="1"/>
  <c r="S329" i="24" s="1"/>
  <c r="M236" i="14"/>
  <c r="N136" i="24"/>
  <c r="Q136" i="24" s="1"/>
  <c r="R136" i="24" s="1"/>
  <c r="L298" i="24"/>
  <c r="M136" i="24"/>
  <c r="L49" i="14"/>
  <c r="N298" i="24"/>
  <c r="Q298" i="24" s="1"/>
  <c r="R298" i="24" s="1"/>
  <c r="N85" i="24"/>
  <c r="Q85" i="24" s="1"/>
  <c r="R85" i="24" s="1"/>
  <c r="N131" i="24"/>
  <c r="Q131" i="24" s="1"/>
  <c r="R131" i="24" s="1"/>
  <c r="N223" i="14"/>
  <c r="R223" i="14" s="1"/>
  <c r="S223" i="14" s="1"/>
  <c r="I268" i="24"/>
  <c r="M131" i="24"/>
  <c r="M137" i="14"/>
  <c r="N390" i="14"/>
  <c r="R390" i="14" s="1"/>
  <c r="S390" i="14" s="1"/>
  <c r="U390" i="14" s="1"/>
  <c r="L85" i="24"/>
  <c r="N137" i="14"/>
  <c r="R137" i="14" s="1"/>
  <c r="S137" i="14" s="1"/>
  <c r="T137" i="14" s="1"/>
  <c r="M97" i="23"/>
  <c r="O97" i="23" s="1"/>
  <c r="P97" i="23" s="1"/>
  <c r="M223" i="14"/>
  <c r="L377" i="14"/>
  <c r="L390" i="14"/>
  <c r="L394" i="24"/>
  <c r="N377" i="14"/>
  <c r="R377" i="14" s="1"/>
  <c r="S377" i="14" s="1"/>
  <c r="M121" i="14"/>
  <c r="N121" i="14"/>
  <c r="R121" i="14" s="1"/>
  <c r="S121" i="14" s="1"/>
  <c r="T121" i="14" s="1"/>
  <c r="I96" i="14"/>
  <c r="M96" i="14" s="1"/>
  <c r="J335" i="25"/>
  <c r="M323" i="14"/>
  <c r="N223" i="24"/>
  <c r="Q223" i="24" s="1"/>
  <c r="R223" i="24" s="1"/>
  <c r="N245" i="24"/>
  <c r="Q245" i="24" s="1"/>
  <c r="R245" i="24" s="1"/>
  <c r="T245" i="24" s="1"/>
  <c r="L223" i="24"/>
  <c r="L245" i="24"/>
  <c r="N178" i="14"/>
  <c r="R178" i="14" s="1"/>
  <c r="S178" i="14" s="1"/>
  <c r="T178" i="14" s="1"/>
  <c r="N275" i="14"/>
  <c r="R275" i="14" s="1"/>
  <c r="S275" i="14" s="1"/>
  <c r="T275" i="14" s="1"/>
  <c r="N368" i="14"/>
  <c r="N171" i="14"/>
  <c r="R171" i="14" s="1"/>
  <c r="S171" i="14" s="1"/>
  <c r="N367" i="14"/>
  <c r="R367" i="14" s="1"/>
  <c r="S367" i="14" s="1"/>
  <c r="T367" i="14" s="1"/>
  <c r="N102" i="14"/>
  <c r="R102" i="14" s="1"/>
  <c r="S102" i="14" s="1"/>
  <c r="T102" i="14" s="1"/>
  <c r="M163" i="24"/>
  <c r="M275" i="14"/>
  <c r="M102" i="14"/>
  <c r="M368" i="14"/>
  <c r="M214" i="24"/>
  <c r="M48" i="24"/>
  <c r="L166" i="14"/>
  <c r="M165" i="14"/>
  <c r="I189" i="24"/>
  <c r="L189" i="24" s="1"/>
  <c r="N216" i="24"/>
  <c r="Q216" i="24" s="1"/>
  <c r="R216" i="24" s="1"/>
  <c r="N280" i="24"/>
  <c r="Q280" i="24" s="1"/>
  <c r="R280" i="24" s="1"/>
  <c r="T280" i="24" s="1"/>
  <c r="L90" i="23"/>
  <c r="O90" i="23" s="1"/>
  <c r="P90" i="23" s="1"/>
  <c r="I255" i="14"/>
  <c r="M255" i="14" s="1"/>
  <c r="N283" i="14"/>
  <c r="R283" i="14" s="1"/>
  <c r="S283" i="14" s="1"/>
  <c r="N111" i="24"/>
  <c r="Q111" i="24" s="1"/>
  <c r="R111" i="24" s="1"/>
  <c r="L171" i="14"/>
  <c r="M171" i="14"/>
  <c r="M316" i="24"/>
  <c r="M212" i="24"/>
  <c r="N316" i="24"/>
  <c r="Q316" i="24" s="1"/>
  <c r="R316" i="24" s="1"/>
  <c r="M351" i="24"/>
  <c r="N346" i="24"/>
  <c r="Q346" i="24" s="1"/>
  <c r="R346" i="24" s="1"/>
  <c r="N163" i="24"/>
  <c r="Q163" i="24" s="1"/>
  <c r="R163" i="24" s="1"/>
  <c r="T163" i="24" s="1"/>
  <c r="N48" i="24"/>
  <c r="Q48" i="24" s="1"/>
  <c r="R48" i="24" s="1"/>
  <c r="S48" i="24" s="1"/>
  <c r="M213" i="14"/>
  <c r="N354" i="14"/>
  <c r="R354" i="14" s="1"/>
  <c r="S354" i="14" s="1"/>
  <c r="I247" i="24"/>
  <c r="L247" i="24" s="1"/>
  <c r="L277" i="24"/>
  <c r="O277" i="24" s="1"/>
  <c r="P277" i="24" s="1"/>
  <c r="N166" i="14"/>
  <c r="R166" i="14" s="1"/>
  <c r="S166" i="14" s="1"/>
  <c r="L393" i="24"/>
  <c r="I117" i="14"/>
  <c r="L117" i="14" s="1"/>
  <c r="M160" i="14"/>
  <c r="L160" i="14"/>
  <c r="N212" i="24"/>
  <c r="Q212" i="24" s="1"/>
  <c r="R212" i="24" s="1"/>
  <c r="N160" i="14"/>
  <c r="R160" i="14" s="1"/>
  <c r="S160" i="14" s="1"/>
  <c r="U160" i="14" s="1"/>
  <c r="N200" i="24"/>
  <c r="Q200" i="24" s="1"/>
  <c r="R200" i="24" s="1"/>
  <c r="S200" i="24" s="1"/>
  <c r="N213" i="14"/>
  <c r="R213" i="14" s="1"/>
  <c r="S213" i="14" s="1"/>
  <c r="U213" i="14" s="1"/>
  <c r="N259" i="14"/>
  <c r="R259" i="14" s="1"/>
  <c r="S259" i="14" s="1"/>
  <c r="N393" i="24"/>
  <c r="Q393" i="24" s="1"/>
  <c r="R393" i="24" s="1"/>
  <c r="S393" i="24" s="1"/>
  <c r="N269" i="24"/>
  <c r="Q269" i="24" s="1"/>
  <c r="R269" i="24" s="1"/>
  <c r="S269" i="24" s="1"/>
  <c r="I120" i="14"/>
  <c r="L120" i="14" s="1"/>
  <c r="N82" i="24"/>
  <c r="Q82" i="24" s="1"/>
  <c r="R82" i="24" s="1"/>
  <c r="S82" i="24" s="1"/>
  <c r="N49" i="14"/>
  <c r="R49" i="14" s="1"/>
  <c r="S49" i="14" s="1"/>
  <c r="T49" i="14" s="1"/>
  <c r="I105" i="14"/>
  <c r="M105" i="14" s="1"/>
  <c r="M179" i="24"/>
  <c r="M106" i="23"/>
  <c r="L314" i="24"/>
  <c r="M112" i="24"/>
  <c r="N255" i="24"/>
  <c r="Q255" i="24" s="1"/>
  <c r="R255" i="24" s="1"/>
  <c r="S255" i="24" s="1"/>
  <c r="N260" i="14"/>
  <c r="M62" i="23"/>
  <c r="O62" i="23" s="1"/>
  <c r="P62" i="23" s="1"/>
  <c r="M170" i="24"/>
  <c r="N112" i="24"/>
  <c r="Q112" i="24" s="1"/>
  <c r="R112" i="24" s="1"/>
  <c r="I115" i="24"/>
  <c r="L115" i="24" s="1"/>
  <c r="I230" i="24"/>
  <c r="M230" i="24" s="1"/>
  <c r="L256" i="24"/>
  <c r="N179" i="24"/>
  <c r="Q179" i="24" s="1"/>
  <c r="R179" i="24" s="1"/>
  <c r="L260" i="14"/>
  <c r="L255" i="24"/>
  <c r="I334" i="24"/>
  <c r="L334" i="24" s="1"/>
  <c r="L354" i="24"/>
  <c r="O354" i="24" s="1"/>
  <c r="P354" i="24" s="1"/>
  <c r="I225" i="24"/>
  <c r="L225" i="24" s="1"/>
  <c r="I55" i="24"/>
  <c r="M55" i="24" s="1"/>
  <c r="N323" i="24"/>
  <c r="Q323" i="24" s="1"/>
  <c r="R323" i="24" s="1"/>
  <c r="S323" i="24" s="1"/>
  <c r="L274" i="24"/>
  <c r="M173" i="24"/>
  <c r="L323" i="24"/>
  <c r="M72" i="14"/>
  <c r="M76" i="24"/>
  <c r="N189" i="14"/>
  <c r="R189" i="14" s="1"/>
  <c r="S189" i="14" s="1"/>
  <c r="M200" i="24"/>
  <c r="N76" i="24"/>
  <c r="Q76" i="24" s="1"/>
  <c r="R76" i="24" s="1"/>
  <c r="S76" i="24" s="1"/>
  <c r="I125" i="14"/>
  <c r="M125" i="14" s="1"/>
  <c r="N148" i="14"/>
  <c r="R148" i="14" s="1"/>
  <c r="S148" i="14" s="1"/>
  <c r="T148" i="14" s="1"/>
  <c r="N72" i="14"/>
  <c r="R72" i="14" s="1"/>
  <c r="S72" i="14" s="1"/>
  <c r="T72" i="14" s="1"/>
  <c r="M384" i="23"/>
  <c r="O384" i="23" s="1"/>
  <c r="P384" i="23" s="1"/>
  <c r="L299" i="14"/>
  <c r="O299" i="14" s="1"/>
  <c r="P299" i="14" s="1"/>
  <c r="M344" i="24"/>
  <c r="L215" i="14"/>
  <c r="N188" i="24"/>
  <c r="Q188" i="24" s="1"/>
  <c r="R188" i="24" s="1"/>
  <c r="M160" i="23"/>
  <c r="I45" i="14"/>
  <c r="L45" i="14" s="1"/>
  <c r="M350" i="24"/>
  <c r="L285" i="14"/>
  <c r="L208" i="24"/>
  <c r="O208" i="24" s="1"/>
  <c r="P208" i="24" s="1"/>
  <c r="N285" i="14"/>
  <c r="R285" i="14" s="1"/>
  <c r="S285" i="14" s="1"/>
  <c r="T285" i="14" s="1"/>
  <c r="L293" i="14"/>
  <c r="I199" i="24"/>
  <c r="I90" i="14"/>
  <c r="L90" i="14" s="1"/>
  <c r="I211" i="24"/>
  <c r="L211" i="24" s="1"/>
  <c r="M178" i="14"/>
  <c r="L358" i="24"/>
  <c r="L88" i="24"/>
  <c r="N108" i="24"/>
  <c r="Q108" i="24" s="1"/>
  <c r="R108" i="24" s="1"/>
  <c r="T108" i="24" s="1"/>
  <c r="M202" i="24"/>
  <c r="N113" i="24"/>
  <c r="Q113" i="24" s="1"/>
  <c r="R113" i="24" s="1"/>
  <c r="S113" i="24" s="1"/>
  <c r="L108" i="24"/>
  <c r="M330" i="14"/>
  <c r="N263" i="24"/>
  <c r="Q263" i="24" s="1"/>
  <c r="R263" i="24" s="1"/>
  <c r="T263" i="24" s="1"/>
  <c r="L113" i="24"/>
  <c r="N53" i="14"/>
  <c r="R53" i="14" s="1"/>
  <c r="S53" i="14" s="1"/>
  <c r="T53" i="14" s="1"/>
  <c r="L60" i="14"/>
  <c r="M237" i="23"/>
  <c r="M331" i="24"/>
  <c r="N358" i="24"/>
  <c r="Q358" i="24" s="1"/>
  <c r="R358" i="24" s="1"/>
  <c r="S358" i="24" s="1"/>
  <c r="N83" i="14"/>
  <c r="R83" i="14" s="1"/>
  <c r="S83" i="14" s="1"/>
  <c r="U83" i="14" s="1"/>
  <c r="I357" i="14"/>
  <c r="M357" i="14" s="1"/>
  <c r="N165" i="14"/>
  <c r="R165" i="14" s="1"/>
  <c r="S165" i="14" s="1"/>
  <c r="T165" i="14" s="1"/>
  <c r="N202" i="24"/>
  <c r="Q202" i="24" s="1"/>
  <c r="R202" i="24" s="1"/>
  <c r="S202" i="24" s="1"/>
  <c r="M83" i="14"/>
  <c r="N300" i="14"/>
  <c r="R300" i="14" s="1"/>
  <c r="S300" i="14" s="1"/>
  <c r="U300" i="14" s="1"/>
  <c r="L213" i="24"/>
  <c r="O213" i="24" s="1"/>
  <c r="P213" i="24" s="1"/>
  <c r="L263" i="24"/>
  <c r="M76" i="23"/>
  <c r="L235" i="23"/>
  <c r="I138" i="24"/>
  <c r="M138" i="24" s="1"/>
  <c r="I282" i="14"/>
  <c r="L388" i="14"/>
  <c r="O388" i="14" s="1"/>
  <c r="P388" i="14" s="1"/>
  <c r="I322" i="14"/>
  <c r="L322" i="14" s="1"/>
  <c r="N88" i="24"/>
  <c r="Q88" i="24" s="1"/>
  <c r="R88" i="24" s="1"/>
  <c r="S88" i="24" s="1"/>
  <c r="I57" i="24"/>
  <c r="M57" i="24" s="1"/>
  <c r="N186" i="24"/>
  <c r="Q186" i="24" s="1"/>
  <c r="R186" i="24" s="1"/>
  <c r="L140" i="24"/>
  <c r="N60" i="14"/>
  <c r="R60" i="14" s="1"/>
  <c r="S60" i="14" s="1"/>
  <c r="T60" i="14" s="1"/>
  <c r="N330" i="14"/>
  <c r="R330" i="14" s="1"/>
  <c r="S330" i="14" s="1"/>
  <c r="U330" i="14" s="1"/>
  <c r="L95" i="14"/>
  <c r="N214" i="24"/>
  <c r="Q214" i="24" s="1"/>
  <c r="R214" i="24" s="1"/>
  <c r="L84" i="14"/>
  <c r="L178" i="23"/>
  <c r="O178" i="23" s="1"/>
  <c r="P178" i="23" s="1"/>
  <c r="M333" i="14"/>
  <c r="N333" i="14"/>
  <c r="R333" i="14" s="1"/>
  <c r="S333" i="14" s="1"/>
  <c r="T333" i="14" s="1"/>
  <c r="M45" i="24"/>
  <c r="N243" i="24"/>
  <c r="Q243" i="24" s="1"/>
  <c r="R243" i="24" s="1"/>
  <c r="M289" i="14"/>
  <c r="N355" i="14"/>
  <c r="R355" i="14" s="1"/>
  <c r="S355" i="14" s="1"/>
  <c r="U355" i="14" s="1"/>
  <c r="I370" i="24"/>
  <c r="L370" i="24" s="1"/>
  <c r="M346" i="23"/>
  <c r="O346" i="23" s="1"/>
  <c r="P346" i="23" s="1"/>
  <c r="L155" i="23"/>
  <c r="L218" i="14"/>
  <c r="O218" i="14" s="1"/>
  <c r="P218" i="14" s="1"/>
  <c r="N335" i="14"/>
  <c r="R335" i="14" s="1"/>
  <c r="S335" i="14" s="1"/>
  <c r="T335" i="14" s="1"/>
  <c r="N181" i="24"/>
  <c r="Q181" i="24" s="1"/>
  <c r="R181" i="24" s="1"/>
  <c r="M248" i="24"/>
  <c r="M355" i="14"/>
  <c r="N167" i="24"/>
  <c r="Q167" i="24" s="1"/>
  <c r="R167" i="24" s="1"/>
  <c r="T167" i="24" s="1"/>
  <c r="I340" i="14"/>
  <c r="M340" i="14" s="1"/>
  <c r="I158" i="24"/>
  <c r="L158" i="24" s="1"/>
  <c r="L243" i="24"/>
  <c r="N291" i="14"/>
  <c r="R291" i="14" s="1"/>
  <c r="S291" i="14" s="1"/>
  <c r="T291" i="14" s="1"/>
  <c r="I196" i="14"/>
  <c r="M196" i="14" s="1"/>
  <c r="M231" i="23"/>
  <c r="O231" i="23" s="1"/>
  <c r="P231" i="23" s="1"/>
  <c r="L118" i="14"/>
  <c r="M164" i="14"/>
  <c r="N86" i="14"/>
  <c r="R86" i="14" s="1"/>
  <c r="S86" i="14" s="1"/>
  <c r="L303" i="14"/>
  <c r="N164" i="14"/>
  <c r="R164" i="14" s="1"/>
  <c r="S164" i="14" s="1"/>
  <c r="U164" i="14" s="1"/>
  <c r="I109" i="14"/>
  <c r="N118" i="14"/>
  <c r="R118" i="14" s="1"/>
  <c r="S118" i="14" s="1"/>
  <c r="L329" i="24"/>
  <c r="M329" i="24"/>
  <c r="N43" i="24"/>
  <c r="Q43" i="24" s="1"/>
  <c r="R43" i="24" s="1"/>
  <c r="I325" i="24"/>
  <c r="N352" i="14"/>
  <c r="R352" i="14" s="1"/>
  <c r="S352" i="14" s="1"/>
  <c r="I385" i="24"/>
  <c r="I253" i="24"/>
  <c r="L253" i="24" s="1"/>
  <c r="N326" i="14"/>
  <c r="R326" i="14" s="1"/>
  <c r="S326" i="14" s="1"/>
  <c r="M340" i="24"/>
  <c r="L199" i="14"/>
  <c r="O199" i="14" s="1"/>
  <c r="P199" i="14" s="1"/>
  <c r="N78" i="24"/>
  <c r="Q78" i="24" s="1"/>
  <c r="R78" i="24" s="1"/>
  <c r="S78" i="24" s="1"/>
  <c r="L248" i="14"/>
  <c r="M248" i="14"/>
  <c r="N302" i="24"/>
  <c r="Q302" i="24" s="1"/>
  <c r="R302" i="24" s="1"/>
  <c r="T302" i="24" s="1"/>
  <c r="N243" i="14"/>
  <c r="R243" i="14" s="1"/>
  <c r="S243" i="14" s="1"/>
  <c r="T243" i="14" s="1"/>
  <c r="N248" i="14"/>
  <c r="R248" i="14" s="1"/>
  <c r="S248" i="14" s="1"/>
  <c r="T248" i="14" s="1"/>
  <c r="I282" i="24"/>
  <c r="L282" i="24" s="1"/>
  <c r="L146" i="14"/>
  <c r="I147" i="14"/>
  <c r="L147" i="14" s="1"/>
  <c r="M311" i="14"/>
  <c r="M243" i="23"/>
  <c r="O243" i="23" s="1"/>
  <c r="P243" i="23" s="1"/>
  <c r="L264" i="24"/>
  <c r="O264" i="24" s="1"/>
  <c r="P264" i="24" s="1"/>
  <c r="L243" i="14"/>
  <c r="M368" i="24"/>
  <c r="N73" i="24"/>
  <c r="Q73" i="24" s="1"/>
  <c r="R73" i="24" s="1"/>
  <c r="L132" i="24"/>
  <c r="N279" i="24"/>
  <c r="Q279" i="24" s="1"/>
  <c r="R279" i="24" s="1"/>
  <c r="M361" i="14"/>
  <c r="L50" i="24"/>
  <c r="N40" i="24"/>
  <c r="Q40" i="24" s="1"/>
  <c r="R40" i="24" s="1"/>
  <c r="I342" i="24"/>
  <c r="M342" i="24" s="1"/>
  <c r="M91" i="24"/>
  <c r="L322" i="24"/>
  <c r="L374" i="24"/>
  <c r="L62" i="24"/>
  <c r="N228" i="24"/>
  <c r="Q228" i="24" s="1"/>
  <c r="R228" i="24" s="1"/>
  <c r="N133" i="14"/>
  <c r="R133" i="14" s="1"/>
  <c r="S133" i="14" s="1"/>
  <c r="N70" i="14"/>
  <c r="R70" i="14" s="1"/>
  <c r="S70" i="14" s="1"/>
  <c r="T70" i="14" s="1"/>
  <c r="N71" i="24"/>
  <c r="Q71" i="24" s="1"/>
  <c r="R71" i="24" s="1"/>
  <c r="N280" i="14"/>
  <c r="R280" i="14" s="1"/>
  <c r="S280" i="14" s="1"/>
  <c r="U280" i="14" s="1"/>
  <c r="M92" i="14"/>
  <c r="L102" i="24"/>
  <c r="M354" i="14"/>
  <c r="M133" i="14"/>
  <c r="L64" i="23"/>
  <c r="O64" i="23" s="1"/>
  <c r="P64" i="23" s="1"/>
  <c r="L86" i="14"/>
  <c r="L285" i="23"/>
  <c r="O285" i="23" s="1"/>
  <c r="P285" i="23" s="1"/>
  <c r="L378" i="24"/>
  <c r="M147" i="23"/>
  <c r="N374" i="24"/>
  <c r="Q374" i="24" s="1"/>
  <c r="R374" i="24" s="1"/>
  <c r="S374" i="24" s="1"/>
  <c r="N291" i="24"/>
  <c r="Q291" i="24" s="1"/>
  <c r="R291" i="24" s="1"/>
  <c r="I343" i="14"/>
  <c r="N378" i="24"/>
  <c r="Q378" i="24" s="1"/>
  <c r="R378" i="24" s="1"/>
  <c r="N96" i="24"/>
  <c r="Q96" i="24" s="1"/>
  <c r="R96" i="24" s="1"/>
  <c r="N236" i="14"/>
  <c r="R236" i="14" s="1"/>
  <c r="S236" i="14" s="1"/>
  <c r="U236" i="14" s="1"/>
  <c r="N216" i="14"/>
  <c r="R216" i="14" s="1"/>
  <c r="S216" i="14" s="1"/>
  <c r="N236" i="24"/>
  <c r="Q236" i="24" s="1"/>
  <c r="R236" i="24" s="1"/>
  <c r="T236" i="24" s="1"/>
  <c r="M186" i="23"/>
  <c r="O186" i="23" s="1"/>
  <c r="P186" i="23" s="1"/>
  <c r="M99" i="24"/>
  <c r="O99" i="24" s="1"/>
  <c r="P99" i="24" s="1"/>
  <c r="I144" i="14"/>
  <c r="L144" i="14" s="1"/>
  <c r="N350" i="24"/>
  <c r="Q350" i="24" s="1"/>
  <c r="R350" i="24" s="1"/>
  <c r="S350" i="24" s="1"/>
  <c r="N66" i="24"/>
  <c r="Q66" i="24" s="1"/>
  <c r="R66" i="24" s="1"/>
  <c r="T66" i="24" s="1"/>
  <c r="M397" i="24"/>
  <c r="M66" i="24"/>
  <c r="L348" i="14"/>
  <c r="N62" i="24"/>
  <c r="Q62" i="24" s="1"/>
  <c r="R62" i="24" s="1"/>
  <c r="S62" i="24" s="1"/>
  <c r="N50" i="24"/>
  <c r="Q50" i="24" s="1"/>
  <c r="R50" i="24" s="1"/>
  <c r="M78" i="23"/>
  <c r="M47" i="23"/>
  <c r="O47" i="23" s="1"/>
  <c r="P47" i="23" s="1"/>
  <c r="L173" i="23"/>
  <c r="O173" i="23" s="1"/>
  <c r="P173" i="23" s="1"/>
  <c r="M291" i="24"/>
  <c r="L65" i="23"/>
  <c r="L70" i="14"/>
  <c r="L40" i="24"/>
  <c r="L228" i="24"/>
  <c r="N80" i="14"/>
  <c r="R80" i="14" s="1"/>
  <c r="S80" i="14" s="1"/>
  <c r="N344" i="24"/>
  <c r="M215" i="23"/>
  <c r="I56" i="24"/>
  <c r="N201" i="14"/>
  <c r="R201" i="14" s="1"/>
  <c r="S201" i="14" s="1"/>
  <c r="U201" i="14" s="1"/>
  <c r="L335" i="14"/>
  <c r="I289" i="24"/>
  <c r="N170" i="24"/>
  <c r="Q170" i="24" s="1"/>
  <c r="R170" i="24" s="1"/>
  <c r="I232" i="24"/>
  <c r="N256" i="24"/>
  <c r="Q256" i="24" s="1"/>
  <c r="R256" i="24" s="1"/>
  <c r="T256" i="24" s="1"/>
  <c r="N351" i="24"/>
  <c r="Q351" i="24" s="1"/>
  <c r="R351" i="24" s="1"/>
  <c r="N155" i="14"/>
  <c r="R155" i="14" s="1"/>
  <c r="S155" i="14" s="1"/>
  <c r="U155" i="14" s="1"/>
  <c r="M306" i="14"/>
  <c r="O306" i="14" s="1"/>
  <c r="P306" i="14" s="1"/>
  <c r="N121" i="24"/>
  <c r="Q121" i="24" s="1"/>
  <c r="R121" i="24" s="1"/>
  <c r="T121" i="24" s="1"/>
  <c r="L121" i="24"/>
  <c r="M121" i="24"/>
  <c r="O121" i="24" s="1"/>
  <c r="P121" i="24" s="1"/>
  <c r="O99" i="23"/>
  <c r="P99" i="23" s="1"/>
  <c r="L114" i="14"/>
  <c r="M114" i="14"/>
  <c r="L162" i="23"/>
  <c r="N184" i="24"/>
  <c r="Q184" i="24" s="1"/>
  <c r="R184" i="24" s="1"/>
  <c r="T184" i="24" s="1"/>
  <c r="N317" i="24"/>
  <c r="Q317" i="24" s="1"/>
  <c r="R317" i="24" s="1"/>
  <c r="S317" i="24" s="1"/>
  <c r="M317" i="24"/>
  <c r="N234" i="24"/>
  <c r="Q234" i="24" s="1"/>
  <c r="R234" i="24" s="1"/>
  <c r="T234" i="24" s="1"/>
  <c r="I74" i="24"/>
  <c r="N163" i="14"/>
  <c r="R163" i="14" s="1"/>
  <c r="S163" i="14" s="1"/>
  <c r="T163" i="14" s="1"/>
  <c r="L307" i="24"/>
  <c r="M240" i="14"/>
  <c r="O240" i="14" s="1"/>
  <c r="P240" i="14" s="1"/>
  <c r="M93" i="24"/>
  <c r="M351" i="14"/>
  <c r="I43" i="14"/>
  <c r="I117" i="24"/>
  <c r="M117" i="24" s="1"/>
  <c r="I89" i="24"/>
  <c r="L89" i="24" s="1"/>
  <c r="L244" i="23"/>
  <c r="O244" i="23" s="1"/>
  <c r="P244" i="23" s="1"/>
  <c r="M128" i="23"/>
  <c r="L234" i="24"/>
  <c r="M160" i="24"/>
  <c r="I75" i="24"/>
  <c r="L75" i="24" s="1"/>
  <c r="R221" i="14"/>
  <c r="S221" i="14" s="1"/>
  <c r="T221" i="14" s="1"/>
  <c r="L46" i="14"/>
  <c r="M96" i="23"/>
  <c r="O96" i="23" s="1"/>
  <c r="P96" i="23" s="1"/>
  <c r="L146" i="23"/>
  <c r="O146" i="23" s="1"/>
  <c r="P146" i="23" s="1"/>
  <c r="N81" i="24"/>
  <c r="Q81" i="24" s="1"/>
  <c r="R81" i="24" s="1"/>
  <c r="S81" i="24" s="1"/>
  <c r="I258" i="14"/>
  <c r="I338" i="24"/>
  <c r="I192" i="14"/>
  <c r="L81" i="24"/>
  <c r="M216" i="24"/>
  <c r="L265" i="14"/>
  <c r="O265" i="14" s="1"/>
  <c r="P265" i="14" s="1"/>
  <c r="M72" i="23"/>
  <c r="N318" i="14"/>
  <c r="R318" i="14" s="1"/>
  <c r="S318" i="14" s="1"/>
  <c r="U318" i="14" s="1"/>
  <c r="N177" i="14"/>
  <c r="R177" i="14" s="1"/>
  <c r="S177" i="14" s="1"/>
  <c r="U177" i="14" s="1"/>
  <c r="I296" i="24"/>
  <c r="M296" i="24" s="1"/>
  <c r="L346" i="24"/>
  <c r="L330" i="24"/>
  <c r="O330" i="24" s="1"/>
  <c r="P330" i="24" s="1"/>
  <c r="N132" i="24"/>
  <c r="Q132" i="24" s="1"/>
  <c r="R132" i="24" s="1"/>
  <c r="T132" i="24" s="1"/>
  <c r="N369" i="14"/>
  <c r="R369" i="14" s="1"/>
  <c r="S369" i="14" s="1"/>
  <c r="M279" i="24"/>
  <c r="L184" i="24"/>
  <c r="M189" i="14"/>
  <c r="L129" i="24"/>
  <c r="N192" i="24"/>
  <c r="Q192" i="24" s="1"/>
  <c r="R192" i="24" s="1"/>
  <c r="T192" i="24" s="1"/>
  <c r="I130" i="24"/>
  <c r="M130" i="24" s="1"/>
  <c r="N140" i="24"/>
  <c r="Q140" i="24" s="1"/>
  <c r="R140" i="24" s="1"/>
  <c r="I221" i="14"/>
  <c r="M221" i="14" s="1"/>
  <c r="N377" i="24"/>
  <c r="Q377" i="24" s="1"/>
  <c r="R377" i="24" s="1"/>
  <c r="S377" i="24" s="1"/>
  <c r="M324" i="24"/>
  <c r="L324" i="24"/>
  <c r="L66" i="14"/>
  <c r="M66" i="14"/>
  <c r="M192" i="24"/>
  <c r="L192" i="24"/>
  <c r="L194" i="14"/>
  <c r="M194" i="14"/>
  <c r="N289" i="14"/>
  <c r="R289" i="14" s="1"/>
  <c r="S289" i="14" s="1"/>
  <c r="U289" i="14" s="1"/>
  <c r="N194" i="14"/>
  <c r="R194" i="14" s="1"/>
  <c r="S194" i="14" s="1"/>
  <c r="U194" i="14" s="1"/>
  <c r="N324" i="24"/>
  <c r="Q324" i="24" s="1"/>
  <c r="R324" i="24" s="1"/>
  <c r="T324" i="24" s="1"/>
  <c r="N91" i="24"/>
  <c r="Q91" i="24" s="1"/>
  <c r="R91" i="24" s="1"/>
  <c r="S91" i="24" s="1"/>
  <c r="M199" i="23"/>
  <c r="O199" i="23" s="1"/>
  <c r="P199" i="23" s="1"/>
  <c r="N312" i="14"/>
  <c r="R312" i="14" s="1"/>
  <c r="S312" i="14" s="1"/>
  <c r="U312" i="14" s="1"/>
  <c r="N66" i="14"/>
  <c r="R66" i="14" s="1"/>
  <c r="S66" i="14" s="1"/>
  <c r="N208" i="14"/>
  <c r="R208" i="14" s="1"/>
  <c r="S208" i="14" s="1"/>
  <c r="T208" i="14" s="1"/>
  <c r="N172" i="14"/>
  <c r="R172" i="14" s="1"/>
  <c r="S172" i="14" s="1"/>
  <c r="T172" i="14" s="1"/>
  <c r="N149" i="14"/>
  <c r="R149" i="14" s="1"/>
  <c r="S149" i="14" s="1"/>
  <c r="T149" i="14" s="1"/>
  <c r="I261" i="24"/>
  <c r="M261" i="24" s="1"/>
  <c r="N303" i="14"/>
  <c r="R303" i="14" s="1"/>
  <c r="S303" i="14" s="1"/>
  <c r="U303" i="14" s="1"/>
  <c r="L172" i="14"/>
  <c r="I142" i="14"/>
  <c r="L142" i="14" s="1"/>
  <c r="I226" i="24"/>
  <c r="N283" i="24"/>
  <c r="Q283" i="24" s="1"/>
  <c r="R283" i="24" s="1"/>
  <c r="S283" i="24" s="1"/>
  <c r="N155" i="24"/>
  <c r="Q155" i="24" s="1"/>
  <c r="R155" i="24" s="1"/>
  <c r="T155" i="24" s="1"/>
  <c r="N58" i="14"/>
  <c r="R58" i="14" s="1"/>
  <c r="S58" i="14" s="1"/>
  <c r="U58" i="14" s="1"/>
  <c r="N341" i="24"/>
  <c r="Q341" i="24" s="1"/>
  <c r="R341" i="24" s="1"/>
  <c r="N348" i="14"/>
  <c r="R348" i="14" s="1"/>
  <c r="S348" i="14" s="1"/>
  <c r="U348" i="14" s="1"/>
  <c r="O143" i="14"/>
  <c r="R143" i="14"/>
  <c r="S143" i="14" s="1"/>
  <c r="T143" i="14" s="1"/>
  <c r="M43" i="24"/>
  <c r="M333" i="24"/>
  <c r="J367" i="25"/>
  <c r="N398" i="14"/>
  <c r="R398" i="14" s="1"/>
  <c r="S398" i="14" s="1"/>
  <c r="T398" i="14" s="1"/>
  <c r="L46" i="24"/>
  <c r="O46" i="24" s="1"/>
  <c r="P46" i="24" s="1"/>
  <c r="M273" i="24"/>
  <c r="N174" i="24"/>
  <c r="Q174" i="24" s="1"/>
  <c r="R174" i="24" s="1"/>
  <c r="S174" i="24" s="1"/>
  <c r="L242" i="14"/>
  <c r="M242" i="14"/>
  <c r="L174" i="24"/>
  <c r="M174" i="24"/>
  <c r="L300" i="14"/>
  <c r="R129" i="14"/>
  <c r="S129" i="14" s="1"/>
  <c r="M79" i="14"/>
  <c r="O79" i="14" s="1"/>
  <c r="P79" i="14" s="1"/>
  <c r="N361" i="14"/>
  <c r="R361" i="14" s="1"/>
  <c r="S361" i="14" s="1"/>
  <c r="U361" i="14" s="1"/>
  <c r="N92" i="14"/>
  <c r="R92" i="14" s="1"/>
  <c r="S92" i="14" s="1"/>
  <c r="N122" i="14"/>
  <c r="R122" i="14" s="1"/>
  <c r="S122" i="14" s="1"/>
  <c r="U122" i="14" s="1"/>
  <c r="N388" i="24"/>
  <c r="Q388" i="24" s="1"/>
  <c r="R388" i="24" s="1"/>
  <c r="S388" i="24" s="1"/>
  <c r="N248" i="24"/>
  <c r="Q248" i="24" s="1"/>
  <c r="R248" i="24" s="1"/>
  <c r="S248" i="24" s="1"/>
  <c r="N47" i="14"/>
  <c r="R47" i="14" s="1"/>
  <c r="S47" i="14" s="1"/>
  <c r="T47" i="14" s="1"/>
  <c r="I124" i="14"/>
  <c r="L124" i="14" s="1"/>
  <c r="N368" i="24"/>
  <c r="Q368" i="24" s="1"/>
  <c r="R368" i="24" s="1"/>
  <c r="S368" i="24" s="1"/>
  <c r="N110" i="24"/>
  <c r="Q110" i="24" s="1"/>
  <c r="R110" i="24" s="1"/>
  <c r="L341" i="24"/>
  <c r="L135" i="24"/>
  <c r="N311" i="24"/>
  <c r="Q311" i="24" s="1"/>
  <c r="R311" i="24" s="1"/>
  <c r="N307" i="14"/>
  <c r="R307" i="14" s="1"/>
  <c r="S307" i="14" s="1"/>
  <c r="T307" i="14" s="1"/>
  <c r="I339" i="14"/>
  <c r="L339" i="14" s="1"/>
  <c r="M268" i="14"/>
  <c r="O268" i="14" s="1"/>
  <c r="P268" i="14" s="1"/>
  <c r="I41" i="14"/>
  <c r="L41" i="14" s="1"/>
  <c r="N227" i="14"/>
  <c r="R227" i="14" s="1"/>
  <c r="S227" i="14" s="1"/>
  <c r="T227" i="14" s="1"/>
  <c r="I65" i="14"/>
  <c r="M65" i="14" s="1"/>
  <c r="I44" i="14"/>
  <c r="N137" i="24"/>
  <c r="Q137" i="24" s="1"/>
  <c r="R137" i="24" s="1"/>
  <c r="S137" i="24" s="1"/>
  <c r="M163" i="23"/>
  <c r="O163" i="23" s="1"/>
  <c r="P163" i="23" s="1"/>
  <c r="L106" i="14"/>
  <c r="I150" i="14"/>
  <c r="M338" i="23"/>
  <c r="L190" i="14"/>
  <c r="I87" i="24"/>
  <c r="I73" i="14"/>
  <c r="N73" i="14"/>
  <c r="R73" i="14" s="1"/>
  <c r="S73" i="14" s="1"/>
  <c r="T73" i="14" s="1"/>
  <c r="I103" i="24"/>
  <c r="N54" i="14"/>
  <c r="R54" i="14" s="1"/>
  <c r="S54" i="14" s="1"/>
  <c r="T54" i="14" s="1"/>
  <c r="M120" i="14"/>
  <c r="O120" i="14" s="1"/>
  <c r="P120" i="14" s="1"/>
  <c r="M148" i="24"/>
  <c r="L54" i="14"/>
  <c r="N314" i="24"/>
  <c r="Q314" i="24" s="1"/>
  <c r="R314" i="24" s="1"/>
  <c r="T314" i="24" s="1"/>
  <c r="N341" i="14"/>
  <c r="R341" i="14" s="1"/>
  <c r="S341" i="14" s="1"/>
  <c r="I382" i="24"/>
  <c r="L382" i="24" s="1"/>
  <c r="M154" i="14"/>
  <c r="O154" i="14" s="1"/>
  <c r="P154" i="14" s="1"/>
  <c r="L296" i="24"/>
  <c r="O296" i="24" s="1"/>
  <c r="P296" i="24" s="1"/>
  <c r="L252" i="14"/>
  <c r="I39" i="24"/>
  <c r="M39" i="24" s="1"/>
  <c r="N281" i="24"/>
  <c r="Q281" i="24" s="1"/>
  <c r="R281" i="24" s="1"/>
  <c r="T281" i="24" s="1"/>
  <c r="N351" i="14"/>
  <c r="R351" i="14" s="1"/>
  <c r="S351" i="14" s="1"/>
  <c r="L149" i="14"/>
  <c r="O105" i="23"/>
  <c r="P105" i="23" s="1"/>
  <c r="N190" i="14"/>
  <c r="R190" i="14" s="1"/>
  <c r="S190" i="14" s="1"/>
  <c r="U190" i="14" s="1"/>
  <c r="N252" i="14"/>
  <c r="R252" i="14" s="1"/>
  <c r="S252" i="14" s="1"/>
  <c r="U252" i="14" s="1"/>
  <c r="L273" i="23"/>
  <c r="O273" i="23" s="1"/>
  <c r="P273" i="23" s="1"/>
  <c r="L395" i="14"/>
  <c r="L203" i="14"/>
  <c r="L271" i="24"/>
  <c r="L270" i="24"/>
  <c r="I397" i="14"/>
  <c r="L397" i="14" s="1"/>
  <c r="L48" i="14"/>
  <c r="M48" i="14"/>
  <c r="L360" i="25"/>
  <c r="Q39" i="24"/>
  <c r="R39" i="24" s="1"/>
  <c r="T39" i="24" s="1"/>
  <c r="L358" i="25"/>
  <c r="M308" i="24"/>
  <c r="M385" i="14"/>
  <c r="M273" i="14"/>
  <c r="N308" i="24"/>
  <c r="Q308" i="24" s="1"/>
  <c r="R308" i="24" s="1"/>
  <c r="N271" i="24"/>
  <c r="Q271" i="24" s="1"/>
  <c r="R271" i="24" s="1"/>
  <c r="S271" i="24" s="1"/>
  <c r="N48" i="14"/>
  <c r="R48" i="14" s="1"/>
  <c r="S48" i="14" s="1"/>
  <c r="U48" i="14" s="1"/>
  <c r="I358" i="14"/>
  <c r="N151" i="14"/>
  <c r="R151" i="14" s="1"/>
  <c r="S151" i="14" s="1"/>
  <c r="T151" i="14" s="1"/>
  <c r="N106" i="14"/>
  <c r="R106" i="14" s="1"/>
  <c r="S106" i="14" s="1"/>
  <c r="N395" i="14"/>
  <c r="R395" i="14" s="1"/>
  <c r="S395" i="14" s="1"/>
  <c r="T395" i="14" s="1"/>
  <c r="N385" i="14"/>
  <c r="R385" i="14" s="1"/>
  <c r="S385" i="14" s="1"/>
  <c r="U385" i="14" s="1"/>
  <c r="N270" i="24"/>
  <c r="Q270" i="24" s="1"/>
  <c r="R270" i="24" s="1"/>
  <c r="S270" i="24" s="1"/>
  <c r="I114" i="24"/>
  <c r="N148" i="24"/>
  <c r="Q148" i="24" s="1"/>
  <c r="R148" i="24" s="1"/>
  <c r="T148" i="24" s="1"/>
  <c r="I194" i="24"/>
  <c r="L194" i="24" s="1"/>
  <c r="M47" i="14"/>
  <c r="L47" i="14"/>
  <c r="M39" i="14"/>
  <c r="L39" i="14"/>
  <c r="M280" i="14"/>
  <c r="M166" i="23"/>
  <c r="N334" i="14"/>
  <c r="R334" i="14" s="1"/>
  <c r="S334" i="14" s="1"/>
  <c r="U334" i="14" s="1"/>
  <c r="N224" i="14"/>
  <c r="R224" i="14" s="1"/>
  <c r="S224" i="14" s="1"/>
  <c r="T224" i="14" s="1"/>
  <c r="N293" i="24"/>
  <c r="Q293" i="24" s="1"/>
  <c r="R293" i="24" s="1"/>
  <c r="S293" i="24" s="1"/>
  <c r="N123" i="24"/>
  <c r="Q123" i="24" s="1"/>
  <c r="R123" i="24" s="1"/>
  <c r="L87" i="14"/>
  <c r="O87" i="14" s="1"/>
  <c r="P87" i="14" s="1"/>
  <c r="N238" i="14"/>
  <c r="R238" i="14" s="1"/>
  <c r="S238" i="14" s="1"/>
  <c r="N39" i="14"/>
  <c r="N115" i="14"/>
  <c r="R115" i="14" s="1"/>
  <c r="S115" i="14" s="1"/>
  <c r="U115" i="14" s="1"/>
  <c r="N139" i="14"/>
  <c r="R139" i="14" s="1"/>
  <c r="S139" i="14" s="1"/>
  <c r="T139" i="14" s="1"/>
  <c r="I183" i="14"/>
  <c r="M183" i="14" s="1"/>
  <c r="I271" i="14"/>
  <c r="L271" i="14" s="1"/>
  <c r="N328" i="14"/>
  <c r="R328" i="14" s="1"/>
  <c r="S328" i="14" s="1"/>
  <c r="M155" i="14"/>
  <c r="L155" i="14"/>
  <c r="N204" i="24"/>
  <c r="Q204" i="24" s="1"/>
  <c r="R204" i="24" s="1"/>
  <c r="T204" i="24" s="1"/>
  <c r="L337" i="25"/>
  <c r="N173" i="14"/>
  <c r="R173" i="14" s="1"/>
  <c r="S173" i="14" s="1"/>
  <c r="N290" i="24"/>
  <c r="Q290" i="24" s="1"/>
  <c r="R290" i="24" s="1"/>
  <c r="I138" i="14"/>
  <c r="L138" i="14" s="1"/>
  <c r="I153" i="24"/>
  <c r="I386" i="24"/>
  <c r="N395" i="24"/>
  <c r="Q395" i="24" s="1"/>
  <c r="R395" i="24" s="1"/>
  <c r="S395" i="24" s="1"/>
  <c r="N391" i="14"/>
  <c r="R391" i="14" s="1"/>
  <c r="S391" i="14" s="1"/>
  <c r="N331" i="24"/>
  <c r="Q331" i="24" s="1"/>
  <c r="R331" i="24" s="1"/>
  <c r="I356" i="14"/>
  <c r="N295" i="14"/>
  <c r="R295" i="14" s="1"/>
  <c r="S295" i="14" s="1"/>
  <c r="I263" i="14"/>
  <c r="N266" i="24"/>
  <c r="Q266" i="24" s="1"/>
  <c r="R266" i="24" s="1"/>
  <c r="T266" i="24" s="1"/>
  <c r="I383" i="24"/>
  <c r="M383" i="24" s="1"/>
  <c r="M254" i="24"/>
  <c r="L254" i="24"/>
  <c r="L172" i="24"/>
  <c r="M154" i="24"/>
  <c r="M107" i="24"/>
  <c r="M306" i="24"/>
  <c r="O306" i="24" s="1"/>
  <c r="P306" i="24" s="1"/>
  <c r="L284" i="24"/>
  <c r="O284" i="24" s="1"/>
  <c r="P284" i="24" s="1"/>
  <c r="N372" i="14"/>
  <c r="R372" i="14" s="1"/>
  <c r="S372" i="14" s="1"/>
  <c r="I65" i="24"/>
  <c r="L65" i="24" s="1"/>
  <c r="M375" i="23"/>
  <c r="N154" i="24"/>
  <c r="Q154" i="24" s="1"/>
  <c r="R154" i="24" s="1"/>
  <c r="L372" i="14"/>
  <c r="M389" i="14"/>
  <c r="N336" i="24"/>
  <c r="Q336" i="24" s="1"/>
  <c r="R336" i="24" s="1"/>
  <c r="S336" i="24" s="1"/>
  <c r="N274" i="14"/>
  <c r="R274" i="14" s="1"/>
  <c r="S274" i="14" s="1"/>
  <c r="T274" i="14" s="1"/>
  <c r="N254" i="24"/>
  <c r="Q254" i="24" s="1"/>
  <c r="R254" i="24" s="1"/>
  <c r="T254" i="24" s="1"/>
  <c r="L367" i="14"/>
  <c r="I68" i="24"/>
  <c r="O396" i="23"/>
  <c r="P396" i="23" s="1"/>
  <c r="M274" i="14"/>
  <c r="L327" i="14"/>
  <c r="M368" i="23"/>
  <c r="L306" i="23"/>
  <c r="N107" i="24"/>
  <c r="Q107" i="24" s="1"/>
  <c r="R107" i="24" s="1"/>
  <c r="S107" i="24" s="1"/>
  <c r="M336" i="24"/>
  <c r="M225" i="24"/>
  <c r="O225" i="24" s="1"/>
  <c r="P225" i="24" s="1"/>
  <c r="I193" i="24"/>
  <c r="N327" i="14"/>
  <c r="R327" i="14" s="1"/>
  <c r="S327" i="14" s="1"/>
  <c r="U327" i="14" s="1"/>
  <c r="N172" i="24"/>
  <c r="Q172" i="24" s="1"/>
  <c r="R172" i="24" s="1"/>
  <c r="S172" i="24" s="1"/>
  <c r="N161" i="14"/>
  <c r="R161" i="14" s="1"/>
  <c r="S161" i="14" s="1"/>
  <c r="N135" i="14"/>
  <c r="R135" i="14" s="1"/>
  <c r="S135" i="14" s="1"/>
  <c r="U135" i="14" s="1"/>
  <c r="N99" i="14"/>
  <c r="R99" i="14" s="1"/>
  <c r="S99" i="14" s="1"/>
  <c r="U99" i="14" s="1"/>
  <c r="N130" i="14"/>
  <c r="R130" i="14" s="1"/>
  <c r="S130" i="14" s="1"/>
  <c r="T130" i="14" s="1"/>
  <c r="L97" i="14"/>
  <c r="M97" i="14"/>
  <c r="I257" i="14"/>
  <c r="L257" i="14" s="1"/>
  <c r="I264" i="14"/>
  <c r="N340" i="24"/>
  <c r="Q340" i="24" s="1"/>
  <c r="R340" i="24" s="1"/>
  <c r="S340" i="24" s="1"/>
  <c r="N58" i="24"/>
  <c r="Q58" i="24" s="1"/>
  <c r="R58" i="24" s="1"/>
  <c r="S58" i="24" s="1"/>
  <c r="N97" i="14"/>
  <c r="R97" i="14" s="1"/>
  <c r="S97" i="14" s="1"/>
  <c r="U97" i="14" s="1"/>
  <c r="N112" i="14"/>
  <c r="R112" i="14" s="1"/>
  <c r="S112" i="14" s="1"/>
  <c r="T112" i="14" s="1"/>
  <c r="I112" i="14"/>
  <c r="I276" i="14"/>
  <c r="N276" i="14"/>
  <c r="R276" i="14" s="1"/>
  <c r="S276" i="14" s="1"/>
  <c r="T276" i="14" s="1"/>
  <c r="N69" i="24"/>
  <c r="Q69" i="24" s="1"/>
  <c r="R69" i="24" s="1"/>
  <c r="S69" i="24" s="1"/>
  <c r="N160" i="24"/>
  <c r="Q160" i="24" s="1"/>
  <c r="R160" i="24" s="1"/>
  <c r="I356" i="24"/>
  <c r="I63" i="24"/>
  <c r="N240" i="24"/>
  <c r="Q240" i="24" s="1"/>
  <c r="R240" i="24" s="1"/>
  <c r="M56" i="14"/>
  <c r="L56" i="14"/>
  <c r="M168" i="24"/>
  <c r="L168" i="24"/>
  <c r="N195" i="24"/>
  <c r="Q195" i="24" s="1"/>
  <c r="R195" i="24" s="1"/>
  <c r="I122" i="24"/>
  <c r="N159" i="24"/>
  <c r="Q159" i="24" s="1"/>
  <c r="R159" i="24" s="1"/>
  <c r="S159" i="24" s="1"/>
  <c r="N56" i="14"/>
  <c r="R56" i="14" s="1"/>
  <c r="S56" i="14" s="1"/>
  <c r="U56" i="14" s="1"/>
  <c r="N126" i="14"/>
  <c r="R126" i="14" s="1"/>
  <c r="S126" i="14" s="1"/>
  <c r="U126" i="14" s="1"/>
  <c r="N168" i="24"/>
  <c r="Q168" i="24" s="1"/>
  <c r="R168" i="24" s="1"/>
  <c r="S168" i="24" s="1"/>
  <c r="I279" i="14"/>
  <c r="N279" i="14"/>
  <c r="R279" i="14" s="1"/>
  <c r="S279" i="14" s="1"/>
  <c r="M126" i="14"/>
  <c r="L126" i="14"/>
  <c r="M320" i="14"/>
  <c r="L320" i="14"/>
  <c r="L159" i="24"/>
  <c r="M159" i="24"/>
  <c r="L252" i="24"/>
  <c r="M252" i="24"/>
  <c r="I41" i="24"/>
  <c r="N261" i="14"/>
  <c r="R261" i="14" s="1"/>
  <c r="S261" i="14" s="1"/>
  <c r="I261" i="14"/>
  <c r="I362" i="24"/>
  <c r="N320" i="14"/>
  <c r="R320" i="14" s="1"/>
  <c r="S320" i="14" s="1"/>
  <c r="T320" i="14" s="1"/>
  <c r="N252" i="24"/>
  <c r="Q252" i="24" s="1"/>
  <c r="R252" i="24" s="1"/>
  <c r="S252" i="24" s="1"/>
  <c r="Q57" i="23"/>
  <c r="R57" i="23" s="1"/>
  <c r="T57" i="23" s="1"/>
  <c r="I101" i="14"/>
  <c r="J333" i="25"/>
  <c r="I89" i="14"/>
  <c r="N89" i="14"/>
  <c r="R89" i="14" s="1"/>
  <c r="S89" i="14" s="1"/>
  <c r="U89" i="14" s="1"/>
  <c r="N46" i="14"/>
  <c r="R46" i="14" s="1"/>
  <c r="S46" i="14" s="1"/>
  <c r="T46" i="14" s="1"/>
  <c r="N93" i="24"/>
  <c r="Q93" i="24" s="1"/>
  <c r="R93" i="24" s="1"/>
  <c r="L118" i="24"/>
  <c r="M118" i="24"/>
  <c r="N128" i="14"/>
  <c r="R128" i="14" s="1"/>
  <c r="S128" i="14" s="1"/>
  <c r="N118" i="24"/>
  <c r="Q118" i="24" s="1"/>
  <c r="R118" i="24" s="1"/>
  <c r="S118" i="24" s="1"/>
  <c r="M345" i="14"/>
  <c r="L345" i="14"/>
  <c r="L396" i="24"/>
  <c r="M396" i="24"/>
  <c r="M363" i="14"/>
  <c r="L363" i="14"/>
  <c r="L120" i="24"/>
  <c r="M120" i="24"/>
  <c r="N396" i="24"/>
  <c r="Q396" i="24" s="1"/>
  <c r="R396" i="24" s="1"/>
  <c r="T396" i="24" s="1"/>
  <c r="N169" i="14"/>
  <c r="R169" i="14" s="1"/>
  <c r="S169" i="14" s="1"/>
  <c r="T169" i="14" s="1"/>
  <c r="I169" i="14"/>
  <c r="L269" i="24"/>
  <c r="M191" i="23"/>
  <c r="O191" i="23" s="1"/>
  <c r="P191" i="23" s="1"/>
  <c r="N277" i="14"/>
  <c r="R277" i="14" s="1"/>
  <c r="S277" i="14" s="1"/>
  <c r="U277" i="14" s="1"/>
  <c r="N129" i="24"/>
  <c r="Q129" i="24" s="1"/>
  <c r="R129" i="24" s="1"/>
  <c r="I287" i="14"/>
  <c r="N287" i="14"/>
  <c r="R287" i="14" s="1"/>
  <c r="S287" i="14" s="1"/>
  <c r="T287" i="14" s="1"/>
  <c r="N176" i="14"/>
  <c r="R176" i="14" s="1"/>
  <c r="S176" i="14" s="1"/>
  <c r="N363" i="14"/>
  <c r="R363" i="14" s="1"/>
  <c r="S363" i="14" s="1"/>
  <c r="U363" i="14" s="1"/>
  <c r="L345" i="24"/>
  <c r="N379" i="14"/>
  <c r="R379" i="14" s="1"/>
  <c r="S379" i="14" s="1"/>
  <c r="T379" i="14" s="1"/>
  <c r="I200" i="14"/>
  <c r="N120" i="24"/>
  <c r="Q120" i="24" s="1"/>
  <c r="R120" i="24" s="1"/>
  <c r="T120" i="24" s="1"/>
  <c r="I145" i="14"/>
  <c r="N59" i="24"/>
  <c r="Q59" i="24" s="1"/>
  <c r="R59" i="24" s="1"/>
  <c r="S59" i="24" s="1"/>
  <c r="M383" i="14"/>
  <c r="O383" i="14" s="1"/>
  <c r="P383" i="14" s="1"/>
  <c r="M185" i="14"/>
  <c r="O185" i="14" s="1"/>
  <c r="P185" i="14" s="1"/>
  <c r="M177" i="14"/>
  <c r="N345" i="14"/>
  <c r="R345" i="14" s="1"/>
  <c r="S345" i="14" s="1"/>
  <c r="T345" i="14" s="1"/>
  <c r="I140" i="14"/>
  <c r="M307" i="14"/>
  <c r="N319" i="14"/>
  <c r="R319" i="14" s="1"/>
  <c r="S319" i="14" s="1"/>
  <c r="T319" i="14" s="1"/>
  <c r="I308" i="14"/>
  <c r="M308" i="14" s="1"/>
  <c r="M277" i="14"/>
  <c r="M116" i="14"/>
  <c r="O116" i="14" s="1"/>
  <c r="P116" i="14" s="1"/>
  <c r="I399" i="14"/>
  <c r="N399" i="14"/>
  <c r="R399" i="14" s="1"/>
  <c r="S399" i="14" s="1"/>
  <c r="U399" i="14" s="1"/>
  <c r="M151" i="14"/>
  <c r="I366" i="14"/>
  <c r="M366" i="14" s="1"/>
  <c r="O322" i="23"/>
  <c r="P322" i="23" s="1"/>
  <c r="O359" i="24"/>
  <c r="P359" i="24" s="1"/>
  <c r="L59" i="24"/>
  <c r="M59" i="24"/>
  <c r="I234" i="14"/>
  <c r="N234" i="14"/>
  <c r="R234" i="14" s="1"/>
  <c r="S234" i="14" s="1"/>
  <c r="T234" i="14" s="1"/>
  <c r="N349" i="14"/>
  <c r="R349" i="14" s="1"/>
  <c r="S349" i="14" s="1"/>
  <c r="T349" i="14" s="1"/>
  <c r="I222" i="14"/>
  <c r="N222" i="14"/>
  <c r="R222" i="14" s="1"/>
  <c r="S222" i="14" s="1"/>
  <c r="U222" i="14" s="1"/>
  <c r="O339" i="23"/>
  <c r="N81" i="14"/>
  <c r="R81" i="14" s="1"/>
  <c r="S81" i="14" s="1"/>
  <c r="U81" i="14" s="1"/>
  <c r="I81" i="14"/>
  <c r="N237" i="14"/>
  <c r="R237" i="14" s="1"/>
  <c r="S237" i="14" s="1"/>
  <c r="U237" i="14" s="1"/>
  <c r="N193" i="14"/>
  <c r="R193" i="14" s="1"/>
  <c r="S193" i="14" s="1"/>
  <c r="T193" i="14" s="1"/>
  <c r="I193" i="14"/>
  <c r="L237" i="14"/>
  <c r="M237" i="14"/>
  <c r="M224" i="24"/>
  <c r="L224" i="24"/>
  <c r="L196" i="24"/>
  <c r="M196" i="24"/>
  <c r="L150" i="24"/>
  <c r="M150" i="24"/>
  <c r="I244" i="24"/>
  <c r="M244" i="24" s="1"/>
  <c r="N398" i="24"/>
  <c r="Q398" i="24" s="1"/>
  <c r="R398" i="24" s="1"/>
  <c r="T398" i="24" s="1"/>
  <c r="N392" i="14"/>
  <c r="R392" i="14" s="1"/>
  <c r="S392" i="14" s="1"/>
  <c r="U392" i="14" s="1"/>
  <c r="M201" i="14"/>
  <c r="I178" i="24"/>
  <c r="N141" i="14"/>
  <c r="R141" i="14" s="1"/>
  <c r="S141" i="14" s="1"/>
  <c r="T141" i="14" s="1"/>
  <c r="M371" i="14"/>
  <c r="I246" i="24"/>
  <c r="N224" i="24"/>
  <c r="Q224" i="24" s="1"/>
  <c r="R224" i="24" s="1"/>
  <c r="N196" i="24"/>
  <c r="Q196" i="24" s="1"/>
  <c r="R196" i="24" s="1"/>
  <c r="T196" i="24" s="1"/>
  <c r="L120" i="23"/>
  <c r="O120" i="23" s="1"/>
  <c r="P120" i="23" s="1"/>
  <c r="M328" i="23"/>
  <c r="O328" i="23" s="1"/>
  <c r="P328" i="23" s="1"/>
  <c r="L379" i="14"/>
  <c r="M150" i="23"/>
  <c r="O150" i="23" s="1"/>
  <c r="P150" i="23" s="1"/>
  <c r="N324" i="14"/>
  <c r="R324" i="14" s="1"/>
  <c r="S324" i="14" s="1"/>
  <c r="T324" i="14" s="1"/>
  <c r="M182" i="23"/>
  <c r="O182" i="23" s="1"/>
  <c r="P182" i="23" s="1"/>
  <c r="M305" i="14"/>
  <c r="O305" i="14" s="1"/>
  <c r="P305" i="14" s="1"/>
  <c r="I294" i="14"/>
  <c r="M324" i="14"/>
  <c r="N150" i="24"/>
  <c r="Q150" i="24" s="1"/>
  <c r="R150" i="24" s="1"/>
  <c r="S150" i="24" s="1"/>
  <c r="Q339" i="23"/>
  <c r="R339" i="23" s="1"/>
  <c r="L398" i="24"/>
  <c r="N371" i="14"/>
  <c r="R371" i="14" s="1"/>
  <c r="S371" i="14" s="1"/>
  <c r="T371" i="14" s="1"/>
  <c r="I250" i="14"/>
  <c r="L250" i="14" s="1"/>
  <c r="M260" i="24"/>
  <c r="L260" i="24"/>
  <c r="M69" i="24"/>
  <c r="L69" i="24"/>
  <c r="N177" i="24"/>
  <c r="Q177" i="24" s="1"/>
  <c r="R177" i="24" s="1"/>
  <c r="S177" i="24" s="1"/>
  <c r="N392" i="24"/>
  <c r="Q392" i="24" s="1"/>
  <c r="R392" i="24" s="1"/>
  <c r="T392" i="24" s="1"/>
  <c r="I209" i="24"/>
  <c r="M209" i="24" s="1"/>
  <c r="I116" i="24"/>
  <c r="N86" i="24"/>
  <c r="Q86" i="24" s="1"/>
  <c r="R86" i="24" s="1"/>
  <c r="N260" i="24"/>
  <c r="Q260" i="24" s="1"/>
  <c r="R260" i="24" s="1"/>
  <c r="S260" i="24" s="1"/>
  <c r="I94" i="24"/>
  <c r="L377" i="24"/>
  <c r="M377" i="24"/>
  <c r="L103" i="14"/>
  <c r="M103" i="14"/>
  <c r="L392" i="24"/>
  <c r="M392" i="24"/>
  <c r="L92" i="24"/>
  <c r="M92" i="24"/>
  <c r="M86" i="24"/>
  <c r="L86" i="24"/>
  <c r="L177" i="24"/>
  <c r="M177" i="24"/>
  <c r="J363" i="25"/>
  <c r="M367" i="24"/>
  <c r="M297" i="24"/>
  <c r="I90" i="24"/>
  <c r="I296" i="14"/>
  <c r="M296" i="14" s="1"/>
  <c r="N195" i="14"/>
  <c r="R195" i="14" s="1"/>
  <c r="S195" i="14" s="1"/>
  <c r="T195" i="14" s="1"/>
  <c r="M383" i="23"/>
  <c r="O383" i="23" s="1"/>
  <c r="P383" i="23" s="1"/>
  <c r="J342" i="25"/>
  <c r="M389" i="24"/>
  <c r="M276" i="24"/>
  <c r="N297" i="24"/>
  <c r="Q297" i="24" s="1"/>
  <c r="R297" i="24" s="1"/>
  <c r="T297" i="24" s="1"/>
  <c r="N68" i="14"/>
  <c r="R68" i="14" s="1"/>
  <c r="S68" i="14" s="1"/>
  <c r="T68" i="14" s="1"/>
  <c r="N72" i="24"/>
  <c r="Q72" i="24" s="1"/>
  <c r="R72" i="24" s="1"/>
  <c r="S72" i="24" s="1"/>
  <c r="Q203" i="23"/>
  <c r="R203" i="23" s="1"/>
  <c r="L51" i="24"/>
  <c r="O51" i="24" s="1"/>
  <c r="P51" i="24" s="1"/>
  <c r="M302" i="14"/>
  <c r="L399" i="23"/>
  <c r="O399" i="23" s="1"/>
  <c r="P399" i="23" s="1"/>
  <c r="N344" i="14"/>
  <c r="R344" i="14" s="1"/>
  <c r="S344" i="14" s="1"/>
  <c r="U344" i="14" s="1"/>
  <c r="N92" i="24"/>
  <c r="Q92" i="24" s="1"/>
  <c r="R92" i="24" s="1"/>
  <c r="S92" i="24" s="1"/>
  <c r="N203" i="14"/>
  <c r="R203" i="14" s="1"/>
  <c r="S203" i="14" s="1"/>
  <c r="T203" i="14" s="1"/>
  <c r="N55" i="14"/>
  <c r="R55" i="14" s="1"/>
  <c r="S55" i="14" s="1"/>
  <c r="T55" i="14" s="1"/>
  <c r="I55" i="14"/>
  <c r="M91" i="23"/>
  <c r="O91" i="23" s="1"/>
  <c r="P91" i="23" s="1"/>
  <c r="M352" i="14"/>
  <c r="N103" i="14"/>
  <c r="R103" i="14" s="1"/>
  <c r="S103" i="14" s="1"/>
  <c r="U103" i="14" s="1"/>
  <c r="N53" i="24"/>
  <c r="Q53" i="24" s="1"/>
  <c r="R53" i="24" s="1"/>
  <c r="S53" i="24" s="1"/>
  <c r="N367" i="24"/>
  <c r="Q367" i="24" s="1"/>
  <c r="R367" i="24" s="1"/>
  <c r="S367" i="24" s="1"/>
  <c r="N214" i="14"/>
  <c r="R214" i="14" s="1"/>
  <c r="S214" i="14" s="1"/>
  <c r="U214" i="14" s="1"/>
  <c r="I214" i="14"/>
  <c r="N389" i="24"/>
  <c r="Q389" i="24" s="1"/>
  <c r="R389" i="24" s="1"/>
  <c r="I238" i="24"/>
  <c r="L157" i="24"/>
  <c r="M78" i="24"/>
  <c r="J356" i="25"/>
  <c r="M195" i="24"/>
  <c r="N157" i="24"/>
  <c r="Q157" i="24" s="1"/>
  <c r="R157" i="24" s="1"/>
  <c r="S157" i="24" s="1"/>
  <c r="I203" i="24"/>
  <c r="L190" i="23"/>
  <c r="O190" i="23" s="1"/>
  <c r="P190" i="23" s="1"/>
  <c r="L390" i="24"/>
  <c r="M267" i="24"/>
  <c r="O267" i="24" s="1"/>
  <c r="P267" i="24" s="1"/>
  <c r="E365" i="25" s="1"/>
  <c r="L295" i="14"/>
  <c r="L198" i="14"/>
  <c r="O198" i="14" s="1"/>
  <c r="P198" i="14" s="1"/>
  <c r="M108" i="14"/>
  <c r="O108" i="14" s="1"/>
  <c r="P108" i="14" s="1"/>
  <c r="N371" i="24"/>
  <c r="Q371" i="24" s="1"/>
  <c r="R371" i="24" s="1"/>
  <c r="T371" i="24" s="1"/>
  <c r="N347" i="14"/>
  <c r="R347" i="14" s="1"/>
  <c r="S347" i="14" s="1"/>
  <c r="T347" i="14" s="1"/>
  <c r="M206" i="23"/>
  <c r="O206" i="23" s="1"/>
  <c r="P206" i="23" s="1"/>
  <c r="L126" i="24"/>
  <c r="M126" i="24"/>
  <c r="N45" i="24"/>
  <c r="Q45" i="24" s="1"/>
  <c r="R45" i="24" s="1"/>
  <c r="T45" i="24" s="1"/>
  <c r="N259" i="24"/>
  <c r="Q259" i="24" s="1"/>
  <c r="R259" i="24" s="1"/>
  <c r="T259" i="24" s="1"/>
  <c r="N107" i="14"/>
  <c r="R107" i="14" s="1"/>
  <c r="S107" i="14" s="1"/>
  <c r="U107" i="14" s="1"/>
  <c r="N126" i="24"/>
  <c r="Q126" i="24" s="1"/>
  <c r="R126" i="24" s="1"/>
  <c r="T126" i="24" s="1"/>
  <c r="I384" i="24"/>
  <c r="M221" i="24"/>
  <c r="O221" i="24" s="1"/>
  <c r="P221" i="24" s="1"/>
  <c r="I125" i="24"/>
  <c r="N302" i="14"/>
  <c r="R302" i="14" s="1"/>
  <c r="S302" i="14" s="1"/>
  <c r="U302" i="14" s="1"/>
  <c r="L278" i="24"/>
  <c r="O278" i="24" s="1"/>
  <c r="P278" i="24" s="1"/>
  <c r="I369" i="24"/>
  <c r="L369" i="24" s="1"/>
  <c r="L331" i="25"/>
  <c r="N173" i="24"/>
  <c r="Q173" i="24" s="1"/>
  <c r="R173" i="24" s="1"/>
  <c r="S173" i="24" s="1"/>
  <c r="M313" i="24"/>
  <c r="L313" i="24"/>
  <c r="M370" i="14"/>
  <c r="L370" i="14"/>
  <c r="M60" i="24"/>
  <c r="L60" i="24"/>
  <c r="L292" i="24"/>
  <c r="M292" i="24"/>
  <c r="N333" i="24"/>
  <c r="Q333" i="24" s="1"/>
  <c r="R333" i="24" s="1"/>
  <c r="S333" i="24" s="1"/>
  <c r="N235" i="14"/>
  <c r="R235" i="14" s="1"/>
  <c r="S235" i="14" s="1"/>
  <c r="U235" i="14" s="1"/>
  <c r="N313" i="24"/>
  <c r="Q313" i="24" s="1"/>
  <c r="R313" i="24" s="1"/>
  <c r="S313" i="24" s="1"/>
  <c r="I50" i="14"/>
  <c r="N119" i="14"/>
  <c r="R119" i="14" s="1"/>
  <c r="S119" i="14" s="1"/>
  <c r="U119" i="14" s="1"/>
  <c r="I119" i="14"/>
  <c r="N60" i="24"/>
  <c r="Q60" i="24" s="1"/>
  <c r="R60" i="24" s="1"/>
  <c r="T60" i="24" s="1"/>
  <c r="I300" i="24"/>
  <c r="N292" i="24"/>
  <c r="Q292" i="24" s="1"/>
  <c r="R292" i="24" s="1"/>
  <c r="S292" i="24" s="1"/>
  <c r="L267" i="14"/>
  <c r="O267" i="14" s="1"/>
  <c r="P267" i="14" s="1"/>
  <c r="O270" i="23"/>
  <c r="P270" i="23" s="1"/>
  <c r="O142" i="23"/>
  <c r="P142" i="23" s="1"/>
  <c r="N370" i="14"/>
  <c r="R370" i="14" s="1"/>
  <c r="S370" i="14" s="1"/>
  <c r="T370" i="14" s="1"/>
  <c r="N247" i="14"/>
  <c r="R247" i="14" s="1"/>
  <c r="S247" i="14" s="1"/>
  <c r="T247" i="14" s="1"/>
  <c r="I247" i="14"/>
  <c r="I262" i="14"/>
  <c r="N262" i="14"/>
  <c r="R262" i="14" s="1"/>
  <c r="S262" i="14" s="1"/>
  <c r="T262" i="14" s="1"/>
  <c r="N185" i="24"/>
  <c r="Q185" i="24" s="1"/>
  <c r="R185" i="24" s="1"/>
  <c r="T185" i="24" s="1"/>
  <c r="M365" i="23"/>
  <c r="O365" i="23" s="1"/>
  <c r="P365" i="23" s="1"/>
  <c r="N139" i="24"/>
  <c r="M364" i="14"/>
  <c r="O364" i="14" s="1"/>
  <c r="P364" i="14" s="1"/>
  <c r="I235" i="24"/>
  <c r="M361" i="24"/>
  <c r="L361" i="24"/>
  <c r="N176" i="24"/>
  <c r="Q176" i="24" s="1"/>
  <c r="R176" i="24" s="1"/>
  <c r="S176" i="24" s="1"/>
  <c r="I191" i="24"/>
  <c r="N361" i="24"/>
  <c r="Q361" i="24" s="1"/>
  <c r="R361" i="24" s="1"/>
  <c r="S361" i="24" s="1"/>
  <c r="L235" i="14"/>
  <c r="M235" i="14"/>
  <c r="I79" i="24"/>
  <c r="M79" i="24" s="1"/>
  <c r="L110" i="24"/>
  <c r="L366" i="24"/>
  <c r="I310" i="24"/>
  <c r="L84" i="23"/>
  <c r="O84" i="23" s="1"/>
  <c r="P84" i="23" s="1"/>
  <c r="I166" i="24"/>
  <c r="L161" i="14"/>
  <c r="M75" i="14"/>
  <c r="O75" i="14" s="1"/>
  <c r="P75" i="14" s="1"/>
  <c r="N366" i="24"/>
  <c r="Q366" i="24" s="1"/>
  <c r="R366" i="24" s="1"/>
  <c r="S366" i="24" s="1"/>
  <c r="M127" i="14"/>
  <c r="O127" i="14" s="1"/>
  <c r="P127" i="14" s="1"/>
  <c r="L340" i="14"/>
  <c r="O340" i="14" s="1"/>
  <c r="P340" i="14" s="1"/>
  <c r="L309" i="14"/>
  <c r="O309" i="14" s="1"/>
  <c r="P309" i="14" s="1"/>
  <c r="M371" i="24"/>
  <c r="L228" i="23"/>
  <c r="O228" i="23" s="1"/>
  <c r="P228" i="23" s="1"/>
  <c r="L238" i="14"/>
  <c r="M98" i="23"/>
  <c r="O98" i="23" s="1"/>
  <c r="P98" i="23" s="1"/>
  <c r="M146" i="24"/>
  <c r="M266" i="24"/>
  <c r="M375" i="24"/>
  <c r="M209" i="14"/>
  <c r="O209" i="14" s="1"/>
  <c r="P209" i="14" s="1"/>
  <c r="I180" i="24"/>
  <c r="M180" i="24" s="1"/>
  <c r="I67" i="14"/>
  <c r="N54" i="24"/>
  <c r="Q54" i="24" s="1"/>
  <c r="R54" i="24" s="1"/>
  <c r="T54" i="24" s="1"/>
  <c r="L187" i="24"/>
  <c r="M187" i="24"/>
  <c r="M217" i="24"/>
  <c r="L217" i="24"/>
  <c r="L64" i="24"/>
  <c r="M64" i="24"/>
  <c r="L54" i="24"/>
  <c r="M54" i="24"/>
  <c r="N119" i="24"/>
  <c r="Q119" i="24" s="1"/>
  <c r="R119" i="24" s="1"/>
  <c r="S119" i="24" s="1"/>
  <c r="N64" i="24"/>
  <c r="Q64" i="24" s="1"/>
  <c r="R64" i="24" s="1"/>
  <c r="S64" i="24" s="1"/>
  <c r="N135" i="24"/>
  <c r="Q135" i="24" s="1"/>
  <c r="R135" i="24" s="1"/>
  <c r="T135" i="24" s="1"/>
  <c r="I129" i="14"/>
  <c r="I382" i="14"/>
  <c r="N132" i="14"/>
  <c r="R132" i="14" s="1"/>
  <c r="S132" i="14" s="1"/>
  <c r="T132" i="14" s="1"/>
  <c r="I272" i="24"/>
  <c r="M272" i="24" s="1"/>
  <c r="L130" i="14"/>
  <c r="L369" i="14"/>
  <c r="O369" i="14" s="1"/>
  <c r="P369" i="14" s="1"/>
  <c r="N249" i="24"/>
  <c r="Q249" i="24" s="1"/>
  <c r="R249" i="24" s="1"/>
  <c r="N144" i="24"/>
  <c r="Q144" i="24" s="1"/>
  <c r="R144" i="24" s="1"/>
  <c r="T144" i="24" s="1"/>
  <c r="N187" i="24"/>
  <c r="Q187" i="24" s="1"/>
  <c r="R187" i="24" s="1"/>
  <c r="S187" i="24" s="1"/>
  <c r="O49" i="23"/>
  <c r="P49" i="23" s="1"/>
  <c r="I376" i="24"/>
  <c r="N217" i="24"/>
  <c r="Q217" i="24" s="1"/>
  <c r="R217" i="24" s="1"/>
  <c r="T217" i="24" s="1"/>
  <c r="N109" i="24"/>
  <c r="Q109" i="24" s="1"/>
  <c r="R109" i="24" s="1"/>
  <c r="T109" i="24" s="1"/>
  <c r="I98" i="24"/>
  <c r="L98" i="24" s="1"/>
  <c r="L144" i="24"/>
  <c r="M144" i="24"/>
  <c r="M109" i="24"/>
  <c r="L109" i="24"/>
  <c r="L132" i="14"/>
  <c r="M132" i="14"/>
  <c r="M349" i="14"/>
  <c r="L349" i="14"/>
  <c r="M107" i="14"/>
  <c r="L107" i="14"/>
  <c r="M259" i="24"/>
  <c r="L259" i="24"/>
  <c r="L295" i="24"/>
  <c r="M295" i="24"/>
  <c r="I325" i="14"/>
  <c r="I52" i="24"/>
  <c r="N295" i="24"/>
  <c r="Q295" i="24" s="1"/>
  <c r="R295" i="24" s="1"/>
  <c r="N273" i="14"/>
  <c r="R273" i="14" s="1"/>
  <c r="S273" i="14" s="1"/>
  <c r="U273" i="14" s="1"/>
  <c r="I320" i="24"/>
  <c r="I191" i="14"/>
  <c r="M191" i="14" s="1"/>
  <c r="N102" i="24"/>
  <c r="Q102" i="24" s="1"/>
  <c r="R102" i="24" s="1"/>
  <c r="S102" i="24" s="1"/>
  <c r="I47" i="24"/>
  <c r="N290" i="14"/>
  <c r="R290" i="14" s="1"/>
  <c r="S290" i="14" s="1"/>
  <c r="T290" i="14" s="1"/>
  <c r="I346" i="14"/>
  <c r="O224" i="23"/>
  <c r="I251" i="24"/>
  <c r="N273" i="24"/>
  <c r="Q273" i="24" s="1"/>
  <c r="R273" i="24" s="1"/>
  <c r="S273" i="24" s="1"/>
  <c r="L392" i="14"/>
  <c r="M392" i="14"/>
  <c r="M352" i="24"/>
  <c r="L352" i="24"/>
  <c r="M290" i="14"/>
  <c r="L290" i="14"/>
  <c r="M314" i="14"/>
  <c r="L314" i="14"/>
  <c r="L231" i="24"/>
  <c r="M231" i="24"/>
  <c r="M162" i="14"/>
  <c r="L162" i="14"/>
  <c r="L158" i="14"/>
  <c r="M158" i="14"/>
  <c r="I157" i="14"/>
  <c r="L316" i="23"/>
  <c r="O316" i="23" s="1"/>
  <c r="P316" i="23" s="1"/>
  <c r="L222" i="24"/>
  <c r="L128" i="24"/>
  <c r="O128" i="24" s="1"/>
  <c r="P128" i="24" s="1"/>
  <c r="I198" i="24"/>
  <c r="N375" i="24"/>
  <c r="Q375" i="24" s="1"/>
  <c r="R375" i="24" s="1"/>
  <c r="T375" i="24" s="1"/>
  <c r="N49" i="24"/>
  <c r="Q49" i="24" s="1"/>
  <c r="R49" i="24" s="1"/>
  <c r="T49" i="24" s="1"/>
  <c r="I204" i="14"/>
  <c r="M44" i="23"/>
  <c r="O44" i="23" s="1"/>
  <c r="L163" i="14"/>
  <c r="N360" i="24"/>
  <c r="Q360" i="24" s="1"/>
  <c r="R360" i="24" s="1"/>
  <c r="L216" i="23"/>
  <c r="O216" i="23" s="1"/>
  <c r="P216" i="23" s="1"/>
  <c r="M71" i="24"/>
  <c r="O71" i="24" s="1"/>
  <c r="P71" i="24" s="1"/>
  <c r="M123" i="23"/>
  <c r="O123" i="23" s="1"/>
  <c r="P123" i="23" s="1"/>
  <c r="L328" i="24"/>
  <c r="J317" i="25"/>
  <c r="N152" i="24"/>
  <c r="Q152" i="24" s="1"/>
  <c r="R152" i="24" s="1"/>
  <c r="S152" i="24" s="1"/>
  <c r="I181" i="14"/>
  <c r="N158" i="14"/>
  <c r="R158" i="14" s="1"/>
  <c r="S158" i="14" s="1"/>
  <c r="U158" i="14" s="1"/>
  <c r="I207" i="24"/>
  <c r="M374" i="14"/>
  <c r="O374" i="14" s="1"/>
  <c r="P374" i="14" s="1"/>
  <c r="N389" i="14"/>
  <c r="R389" i="14" s="1"/>
  <c r="S389" i="14" s="1"/>
  <c r="T389" i="14" s="1"/>
  <c r="I156" i="24"/>
  <c r="M167" i="24"/>
  <c r="L318" i="14"/>
  <c r="M53" i="14"/>
  <c r="N222" i="24"/>
  <c r="Q222" i="24" s="1"/>
  <c r="R222" i="24" s="1"/>
  <c r="S222" i="24" s="1"/>
  <c r="N76" i="14"/>
  <c r="R76" i="14" s="1"/>
  <c r="S76" i="14" s="1"/>
  <c r="U76" i="14" s="1"/>
  <c r="I226" i="14"/>
  <c r="M80" i="14"/>
  <c r="M216" i="14"/>
  <c r="I286" i="24"/>
  <c r="N352" i="24"/>
  <c r="Q352" i="24" s="1"/>
  <c r="R352" i="24" s="1"/>
  <c r="T352" i="24" s="1"/>
  <c r="M53" i="24"/>
  <c r="M349" i="24"/>
  <c r="O349" i="24" s="1"/>
  <c r="P349" i="24" s="1"/>
  <c r="L152" i="24"/>
  <c r="N332" i="14"/>
  <c r="R332" i="14" s="1"/>
  <c r="S332" i="14" s="1"/>
  <c r="T332" i="14" s="1"/>
  <c r="M49" i="24"/>
  <c r="M395" i="24"/>
  <c r="N314" i="14"/>
  <c r="R314" i="14" s="1"/>
  <c r="S314" i="14" s="1"/>
  <c r="U314" i="14" s="1"/>
  <c r="N231" i="24"/>
  <c r="Q231" i="24" s="1"/>
  <c r="R231" i="24" s="1"/>
  <c r="S231" i="24" s="1"/>
  <c r="L283" i="24"/>
  <c r="M104" i="14"/>
  <c r="M302" i="24"/>
  <c r="N328" i="24"/>
  <c r="N162" i="14"/>
  <c r="R162" i="14" s="1"/>
  <c r="S162" i="14" s="1"/>
  <c r="T162" i="14" s="1"/>
  <c r="I380" i="24"/>
  <c r="N146" i="24"/>
  <c r="Q146" i="24" s="1"/>
  <c r="R146" i="24" s="1"/>
  <c r="S146" i="24" s="1"/>
  <c r="I270" i="14"/>
  <c r="N270" i="14"/>
  <c r="R270" i="14" s="1"/>
  <c r="S270" i="14" s="1"/>
  <c r="U270" i="14" s="1"/>
  <c r="I316" i="14"/>
  <c r="N316" i="14"/>
  <c r="R316" i="14" s="1"/>
  <c r="S316" i="14" s="1"/>
  <c r="T316" i="14" s="1"/>
  <c r="I284" i="14"/>
  <c r="N284" i="14"/>
  <c r="R284" i="14" s="1"/>
  <c r="S284" i="14" s="1"/>
  <c r="T284" i="14" s="1"/>
  <c r="I241" i="14"/>
  <c r="N241" i="14"/>
  <c r="R241" i="14" s="1"/>
  <c r="S241" i="14" s="1"/>
  <c r="T241" i="14" s="1"/>
  <c r="I153" i="14"/>
  <c r="N153" i="14"/>
  <c r="R153" i="14" s="1"/>
  <c r="S153" i="14" s="1"/>
  <c r="I232" i="14"/>
  <c r="N232" i="14"/>
  <c r="R232" i="14" s="1"/>
  <c r="S232" i="14" s="1"/>
  <c r="T232" i="14" s="1"/>
  <c r="N258" i="24"/>
  <c r="Q258" i="24" s="1"/>
  <c r="R258" i="24" s="1"/>
  <c r="S258" i="24" s="1"/>
  <c r="I303" i="24"/>
  <c r="I387" i="14"/>
  <c r="N387" i="14"/>
  <c r="R387" i="14" s="1"/>
  <c r="S387" i="14" s="1"/>
  <c r="T387" i="14" s="1"/>
  <c r="N315" i="14"/>
  <c r="R315" i="14" s="1"/>
  <c r="S315" i="14" s="1"/>
  <c r="T315" i="14" s="1"/>
  <c r="I315" i="14"/>
  <c r="I159" i="14"/>
  <c r="N159" i="14"/>
  <c r="R159" i="14" s="1"/>
  <c r="S159" i="14" s="1"/>
  <c r="T159" i="14" s="1"/>
  <c r="I156" i="14"/>
  <c r="N156" i="14"/>
  <c r="R156" i="14" s="1"/>
  <c r="S156" i="14" s="1"/>
  <c r="U156" i="14" s="1"/>
  <c r="L258" i="24"/>
  <c r="M258" i="24"/>
  <c r="M281" i="24"/>
  <c r="L281" i="24"/>
  <c r="N134" i="24"/>
  <c r="Q134" i="24" s="1"/>
  <c r="R134" i="24" s="1"/>
  <c r="T134" i="24" s="1"/>
  <c r="L134" i="24"/>
  <c r="M134" i="24"/>
  <c r="N179" i="14"/>
  <c r="R179" i="14" s="1"/>
  <c r="S179" i="14" s="1"/>
  <c r="T179" i="14" s="1"/>
  <c r="I131" i="14"/>
  <c r="N147" i="24"/>
  <c r="Q147" i="24" s="1"/>
  <c r="R147" i="24" s="1"/>
  <c r="S147" i="24" s="1"/>
  <c r="M147" i="24"/>
  <c r="L147" i="24"/>
  <c r="I399" i="24"/>
  <c r="L399" i="24" s="1"/>
  <c r="M145" i="24"/>
  <c r="L145" i="24"/>
  <c r="N145" i="24"/>
  <c r="Q145" i="24" s="1"/>
  <c r="R145" i="24" s="1"/>
  <c r="S145" i="24" s="1"/>
  <c r="N183" i="24"/>
  <c r="Q183" i="24" s="1"/>
  <c r="R183" i="24" s="1"/>
  <c r="S183" i="24" s="1"/>
  <c r="M183" i="24"/>
  <c r="L183" i="24"/>
  <c r="I318" i="24"/>
  <c r="M176" i="24"/>
  <c r="L176" i="24"/>
  <c r="I384" i="14"/>
  <c r="N384" i="14"/>
  <c r="R384" i="14" s="1"/>
  <c r="S384" i="14" s="1"/>
  <c r="T384" i="14" s="1"/>
  <c r="N394" i="14"/>
  <c r="R394" i="14" s="1"/>
  <c r="S394" i="14" s="1"/>
  <c r="U394" i="14" s="1"/>
  <c r="I394" i="14"/>
  <c r="I136" i="14"/>
  <c r="N136" i="14"/>
  <c r="R136" i="14" s="1"/>
  <c r="S136" i="14" s="1"/>
  <c r="T136" i="14" s="1"/>
  <c r="N301" i="14"/>
  <c r="R301" i="14" s="1"/>
  <c r="S301" i="14" s="1"/>
  <c r="U301" i="14" s="1"/>
  <c r="I301" i="14"/>
  <c r="I246" i="14"/>
  <c r="N246" i="14"/>
  <c r="R246" i="14" s="1"/>
  <c r="S246" i="14" s="1"/>
  <c r="T246" i="14" s="1"/>
  <c r="I91" i="14"/>
  <c r="N91" i="14"/>
  <c r="R91" i="14" s="1"/>
  <c r="S91" i="14" s="1"/>
  <c r="T91" i="14" s="1"/>
  <c r="N142" i="24"/>
  <c r="Q142" i="24" s="1"/>
  <c r="R142" i="24" s="1"/>
  <c r="S142" i="24" s="1"/>
  <c r="N310" i="14"/>
  <c r="R310" i="14" s="1"/>
  <c r="S310" i="14" s="1"/>
  <c r="I310" i="14"/>
  <c r="I206" i="14"/>
  <c r="N206" i="14"/>
  <c r="R206" i="14" s="1"/>
  <c r="S206" i="14" s="1"/>
  <c r="T206" i="14" s="1"/>
  <c r="I375" i="14"/>
  <c r="N375" i="14"/>
  <c r="R375" i="14" s="1"/>
  <c r="S375" i="14" s="1"/>
  <c r="T375" i="14" s="1"/>
  <c r="I251" i="14"/>
  <c r="N251" i="14"/>
  <c r="R251" i="14" s="1"/>
  <c r="S251" i="14" s="1"/>
  <c r="U251" i="14" s="1"/>
  <c r="I230" i="14"/>
  <c r="N230" i="14"/>
  <c r="R230" i="14" s="1"/>
  <c r="S230" i="14" s="1"/>
  <c r="T230" i="14" s="1"/>
  <c r="I78" i="14"/>
  <c r="N78" i="14"/>
  <c r="R78" i="14" s="1"/>
  <c r="S78" i="14" s="1"/>
  <c r="T78" i="14" s="1"/>
  <c r="L61" i="24"/>
  <c r="M61" i="24"/>
  <c r="L142" i="24"/>
  <c r="M142" i="24"/>
  <c r="L347" i="14"/>
  <c r="M347" i="14"/>
  <c r="M387" i="24"/>
  <c r="L387" i="24"/>
  <c r="L297" i="14"/>
  <c r="M297" i="14"/>
  <c r="L262" i="24"/>
  <c r="M262" i="24"/>
  <c r="I332" i="24"/>
  <c r="N387" i="24"/>
  <c r="Q387" i="24" s="1"/>
  <c r="R387" i="24" s="1"/>
  <c r="T387" i="24" s="1"/>
  <c r="I327" i="24"/>
  <c r="I231" i="14"/>
  <c r="I315" i="24"/>
  <c r="I269" i="14"/>
  <c r="N269" i="14"/>
  <c r="R269" i="14" s="1"/>
  <c r="S269" i="14" s="1"/>
  <c r="U269" i="14" s="1"/>
  <c r="N347" i="24"/>
  <c r="Q347" i="24" s="1"/>
  <c r="R347" i="24" s="1"/>
  <c r="S347" i="24" s="1"/>
  <c r="N61" i="24"/>
  <c r="Q61" i="24" s="1"/>
  <c r="R61" i="24" s="1"/>
  <c r="T61" i="24" s="1"/>
  <c r="I85" i="14"/>
  <c r="N85" i="14"/>
  <c r="R85" i="14" s="1"/>
  <c r="S85" i="14" s="1"/>
  <c r="U85" i="14" s="1"/>
  <c r="I88" i="14"/>
  <c r="N180" i="14"/>
  <c r="R180" i="14" s="1"/>
  <c r="S180" i="14" s="1"/>
  <c r="U180" i="14" s="1"/>
  <c r="I229" i="24"/>
  <c r="N262" i="24"/>
  <c r="Q262" i="24" s="1"/>
  <c r="R262" i="24" s="1"/>
  <c r="T262" i="24" s="1"/>
  <c r="N297" i="14"/>
  <c r="N40" i="14"/>
  <c r="R40" i="14" s="1"/>
  <c r="S40" i="14" s="1"/>
  <c r="U40" i="14" s="1"/>
  <c r="I40" i="14"/>
  <c r="I400" i="14"/>
  <c r="N400" i="14"/>
  <c r="R400" i="14" s="1"/>
  <c r="S400" i="14" s="1"/>
  <c r="T400" i="14" s="1"/>
  <c r="M83" i="24"/>
  <c r="L83" i="24"/>
  <c r="M317" i="14"/>
  <c r="L317" i="14"/>
  <c r="L123" i="14"/>
  <c r="M123" i="14"/>
  <c r="L225" i="14"/>
  <c r="M225" i="14"/>
  <c r="L237" i="24"/>
  <c r="M237" i="24"/>
  <c r="L347" i="24"/>
  <c r="M347" i="24"/>
  <c r="M339" i="24"/>
  <c r="L339" i="24"/>
  <c r="L133" i="24"/>
  <c r="M133" i="24"/>
  <c r="M197" i="14"/>
  <c r="L197" i="14"/>
  <c r="L305" i="24"/>
  <c r="M305" i="24"/>
  <c r="M101" i="24"/>
  <c r="L101" i="24"/>
  <c r="I97" i="24"/>
  <c r="I400" i="24"/>
  <c r="M227" i="14"/>
  <c r="N197" i="14"/>
  <c r="R197" i="14" s="1"/>
  <c r="S197" i="14" s="1"/>
  <c r="U197" i="14" s="1"/>
  <c r="N339" i="24"/>
  <c r="Q339" i="24" s="1"/>
  <c r="R339" i="24" s="1"/>
  <c r="S339" i="24" s="1"/>
  <c r="N133" i="24"/>
  <c r="Q133" i="24" s="1"/>
  <c r="R133" i="24" s="1"/>
  <c r="S133" i="24" s="1"/>
  <c r="N317" i="14"/>
  <c r="R317" i="14" s="1"/>
  <c r="S317" i="14" s="1"/>
  <c r="U317" i="14" s="1"/>
  <c r="N237" i="24"/>
  <c r="Q237" i="24" s="1"/>
  <c r="R237" i="24" s="1"/>
  <c r="T237" i="24" s="1"/>
  <c r="L195" i="14"/>
  <c r="N101" i="24"/>
  <c r="Q101" i="24" s="1"/>
  <c r="R101" i="24" s="1"/>
  <c r="T101" i="24" s="1"/>
  <c r="N63" i="14"/>
  <c r="I63" i="14"/>
  <c r="L240" i="24"/>
  <c r="M386" i="14"/>
  <c r="O386" i="14" s="1"/>
  <c r="P386" i="14" s="1"/>
  <c r="N123" i="14"/>
  <c r="R123" i="14" s="1"/>
  <c r="S123" i="14" s="1"/>
  <c r="T123" i="14" s="1"/>
  <c r="N83" i="24"/>
  <c r="Q83" i="24" s="1"/>
  <c r="R83" i="24" s="1"/>
  <c r="T83" i="24" s="1"/>
  <c r="N225" i="14"/>
  <c r="R225" i="14" s="1"/>
  <c r="S225" i="14" s="1"/>
  <c r="T225" i="14" s="1"/>
  <c r="N365" i="24"/>
  <c r="Q365" i="24" s="1"/>
  <c r="R365" i="24" s="1"/>
  <c r="S365" i="24" s="1"/>
  <c r="N169" i="24"/>
  <c r="Q169" i="24" s="1"/>
  <c r="R169" i="24" s="1"/>
  <c r="S169" i="24" s="1"/>
  <c r="N305" i="24"/>
  <c r="Q305" i="24" s="1"/>
  <c r="R305" i="24" s="1"/>
  <c r="T305" i="24" s="1"/>
  <c r="I266" i="14"/>
  <c r="I257" i="24"/>
  <c r="L376" i="14"/>
  <c r="O376" i="14" s="1"/>
  <c r="P376" i="14" s="1"/>
  <c r="M141" i="14"/>
  <c r="N276" i="24"/>
  <c r="Q276" i="24" s="1"/>
  <c r="R276" i="24" s="1"/>
  <c r="T276" i="24" s="1"/>
  <c r="N188" i="14"/>
  <c r="R188" i="14" s="1"/>
  <c r="S188" i="14" s="1"/>
  <c r="T188" i="14" s="1"/>
  <c r="I188" i="14"/>
  <c r="N71" i="14"/>
  <c r="R71" i="14" s="1"/>
  <c r="S71" i="14" s="1"/>
  <c r="T71" i="14" s="1"/>
  <c r="I71" i="14"/>
  <c r="I64" i="14"/>
  <c r="N64" i="14"/>
  <c r="R64" i="14" s="1"/>
  <c r="S64" i="14" s="1"/>
  <c r="U64" i="14" s="1"/>
  <c r="M175" i="24"/>
  <c r="L175" i="24"/>
  <c r="M217" i="14"/>
  <c r="L217" i="14"/>
  <c r="M363" i="24"/>
  <c r="L363" i="24"/>
  <c r="Q288" i="24"/>
  <c r="R288" i="24" s="1"/>
  <c r="T288" i="24" s="1"/>
  <c r="M321" i="24"/>
  <c r="L321" i="24"/>
  <c r="L165" i="24"/>
  <c r="M165" i="24"/>
  <c r="L201" i="24"/>
  <c r="M201" i="24"/>
  <c r="N165" i="24"/>
  <c r="Q165" i="24" s="1"/>
  <c r="R165" i="24" s="1"/>
  <c r="S165" i="24" s="1"/>
  <c r="L135" i="14"/>
  <c r="N201" i="24"/>
  <c r="Q201" i="24" s="1"/>
  <c r="R201" i="24" s="1"/>
  <c r="M128" i="14"/>
  <c r="L84" i="24"/>
  <c r="I288" i="14"/>
  <c r="I288" i="24"/>
  <c r="I174" i="14"/>
  <c r="N174" i="14"/>
  <c r="R174" i="14" s="1"/>
  <c r="S174" i="14" s="1"/>
  <c r="U174" i="14" s="1"/>
  <c r="N84" i="24"/>
  <c r="Q84" i="24" s="1"/>
  <c r="R84" i="24" s="1"/>
  <c r="T84" i="24" s="1"/>
  <c r="N217" i="14"/>
  <c r="R217" i="14" s="1"/>
  <c r="S217" i="14" s="1"/>
  <c r="T217" i="14" s="1"/>
  <c r="I98" i="14"/>
  <c r="N98" i="14"/>
  <c r="R98" i="14" s="1"/>
  <c r="S98" i="14" s="1"/>
  <c r="U98" i="14" s="1"/>
  <c r="I57" i="14"/>
  <c r="M57" i="14" s="1"/>
  <c r="N321" i="24"/>
  <c r="Q321" i="24" s="1"/>
  <c r="R321" i="24" s="1"/>
  <c r="S321" i="24" s="1"/>
  <c r="I292" i="14"/>
  <c r="N292" i="14"/>
  <c r="R292" i="14" s="1"/>
  <c r="S292" i="14" s="1"/>
  <c r="T292" i="14" s="1"/>
  <c r="L76" i="14"/>
  <c r="N363" i="24"/>
  <c r="Q363" i="24" s="1"/>
  <c r="R363" i="24" s="1"/>
  <c r="S363" i="24" s="1"/>
  <c r="J344" i="25"/>
  <c r="L289" i="23"/>
  <c r="O289" i="23" s="1"/>
  <c r="P289" i="23" s="1"/>
  <c r="L151" i="24"/>
  <c r="O151" i="24" s="1"/>
  <c r="P151" i="24" s="1"/>
  <c r="N337" i="14"/>
  <c r="R337" i="14" s="1"/>
  <c r="S337" i="14" s="1"/>
  <c r="T337" i="14" s="1"/>
  <c r="I337" i="14"/>
  <c r="M72" i="24"/>
  <c r="I272" i="14"/>
  <c r="N272" i="14"/>
  <c r="R272" i="14" s="1"/>
  <c r="S272" i="14" s="1"/>
  <c r="T272" i="14" s="1"/>
  <c r="M185" i="24"/>
  <c r="M360" i="24"/>
  <c r="L227" i="24"/>
  <c r="O227" i="24" s="1"/>
  <c r="P227" i="24" s="1"/>
  <c r="L249" i="24"/>
  <c r="M301" i="23"/>
  <c r="O301" i="23" s="1"/>
  <c r="P301" i="23" s="1"/>
  <c r="N175" i="24"/>
  <c r="Q175" i="24" s="1"/>
  <c r="R175" i="24" s="1"/>
  <c r="S175" i="24" s="1"/>
  <c r="I228" i="14"/>
  <c r="N228" i="14"/>
  <c r="R228" i="14" s="1"/>
  <c r="S228" i="14" s="1"/>
  <c r="T228" i="14" s="1"/>
  <c r="I233" i="24"/>
  <c r="M205" i="24"/>
  <c r="L205" i="24"/>
  <c r="N205" i="24"/>
  <c r="Q205" i="24" s="1"/>
  <c r="R205" i="24" s="1"/>
  <c r="T205" i="24" s="1"/>
  <c r="I149" i="24"/>
  <c r="L326" i="24"/>
  <c r="M326" i="24"/>
  <c r="N326" i="24"/>
  <c r="Q326" i="24" s="1"/>
  <c r="R326" i="24" s="1"/>
  <c r="T326" i="24" s="1"/>
  <c r="M373" i="14"/>
  <c r="L373" i="14"/>
  <c r="M205" i="14"/>
  <c r="L205" i="14"/>
  <c r="L182" i="24"/>
  <c r="M182" i="24"/>
  <c r="L355" i="24"/>
  <c r="M355" i="24"/>
  <c r="L335" i="24"/>
  <c r="M335" i="24"/>
  <c r="I134" i="14"/>
  <c r="N134" i="14"/>
  <c r="R134" i="14" s="1"/>
  <c r="S134" i="14" s="1"/>
  <c r="U134" i="14" s="1"/>
  <c r="I342" i="14"/>
  <c r="N342" i="14"/>
  <c r="R342" i="14" s="1"/>
  <c r="S342" i="14" s="1"/>
  <c r="U342" i="14" s="1"/>
  <c r="M139" i="14"/>
  <c r="N373" i="14"/>
  <c r="R373" i="14" s="1"/>
  <c r="S373" i="14" s="1"/>
  <c r="U373" i="14" s="1"/>
  <c r="N182" i="24"/>
  <c r="Q182" i="24" s="1"/>
  <c r="R182" i="24" s="1"/>
  <c r="T182" i="24" s="1"/>
  <c r="M179" i="14"/>
  <c r="M180" i="14"/>
  <c r="I52" i="14"/>
  <c r="N52" i="14"/>
  <c r="R52" i="14" s="1"/>
  <c r="S52" i="14" s="1"/>
  <c r="U52" i="14" s="1"/>
  <c r="I321" i="14"/>
  <c r="N321" i="14"/>
  <c r="R321" i="14" s="1"/>
  <c r="S321" i="14" s="1"/>
  <c r="T321" i="14" s="1"/>
  <c r="L236" i="23"/>
  <c r="O236" i="23" s="1"/>
  <c r="P236" i="23" s="1"/>
  <c r="L312" i="14"/>
  <c r="N355" i="24"/>
  <c r="Q355" i="24" s="1"/>
  <c r="R355" i="24" s="1"/>
  <c r="T355" i="24" s="1"/>
  <c r="N335" i="24"/>
  <c r="Q335" i="24" s="1"/>
  <c r="R335" i="24" s="1"/>
  <c r="T335" i="24" s="1"/>
  <c r="I350" i="14"/>
  <c r="N350" i="14"/>
  <c r="R350" i="14" s="1"/>
  <c r="S350" i="14" s="1"/>
  <c r="U350" i="14" s="1"/>
  <c r="I393" i="14"/>
  <c r="N393" i="14"/>
  <c r="R393" i="14" s="1"/>
  <c r="S393" i="14" s="1"/>
  <c r="T393" i="14" s="1"/>
  <c r="I110" i="14"/>
  <c r="N110" i="14"/>
  <c r="R110" i="14" s="1"/>
  <c r="S110" i="14" s="1"/>
  <c r="T110" i="14" s="1"/>
  <c r="I42" i="24"/>
  <c r="I82" i="14"/>
  <c r="N82" i="14"/>
  <c r="R82" i="14" s="1"/>
  <c r="S82" i="14" s="1"/>
  <c r="U82" i="14" s="1"/>
  <c r="L169" i="23"/>
  <c r="O169" i="23" s="1"/>
  <c r="P169" i="23" s="1"/>
  <c r="N205" i="14"/>
  <c r="R205" i="14" s="1"/>
  <c r="S205" i="14" s="1"/>
  <c r="T205" i="14" s="1"/>
  <c r="M344" i="14"/>
  <c r="L46" i="23"/>
  <c r="O46" i="23" s="1"/>
  <c r="P46" i="23" s="1"/>
  <c r="N338" i="14"/>
  <c r="R338" i="14" s="1"/>
  <c r="S338" i="14" s="1"/>
  <c r="T338" i="14" s="1"/>
  <c r="I338" i="14"/>
  <c r="I182" i="14"/>
  <c r="N182" i="14"/>
  <c r="R182" i="14" s="1"/>
  <c r="S182" i="14" s="1"/>
  <c r="U182" i="14" s="1"/>
  <c r="I59" i="14"/>
  <c r="N59" i="14"/>
  <c r="R59" i="14" s="1"/>
  <c r="S59" i="14" s="1"/>
  <c r="T59" i="14" s="1"/>
  <c r="I186" i="14"/>
  <c r="N186" i="14"/>
  <c r="R186" i="14" s="1"/>
  <c r="S186" i="14" s="1"/>
  <c r="T186" i="14" s="1"/>
  <c r="I378" i="14"/>
  <c r="N378" i="14"/>
  <c r="R378" i="14" s="1"/>
  <c r="S378" i="14" s="1"/>
  <c r="T378" i="14" s="1"/>
  <c r="M139" i="24"/>
  <c r="L139" i="24"/>
  <c r="O72" i="23"/>
  <c r="P72" i="23" s="1"/>
  <c r="O197" i="24"/>
  <c r="P197" i="24" s="1"/>
  <c r="I298" i="14"/>
  <c r="N298" i="14"/>
  <c r="R298" i="14" s="1"/>
  <c r="S298" i="14" s="1"/>
  <c r="U298" i="14" s="1"/>
  <c r="O180" i="23"/>
  <c r="P180" i="23" s="1"/>
  <c r="L285" i="24"/>
  <c r="M285" i="24"/>
  <c r="L164" i="24"/>
  <c r="M164" i="24"/>
  <c r="L229" i="14"/>
  <c r="M229" i="14"/>
  <c r="L357" i="24"/>
  <c r="M357" i="24"/>
  <c r="M365" i="24"/>
  <c r="L365" i="24"/>
  <c r="M169" i="24"/>
  <c r="L169" i="24"/>
  <c r="L304" i="24"/>
  <c r="M304" i="24"/>
  <c r="L304" i="14"/>
  <c r="O304" i="14" s="1"/>
  <c r="P304" i="14" s="1"/>
  <c r="N164" i="24"/>
  <c r="Q164" i="24" s="1"/>
  <c r="R164" i="24" s="1"/>
  <c r="S164" i="24" s="1"/>
  <c r="M398" i="14"/>
  <c r="M379" i="24"/>
  <c r="O379" i="24" s="1"/>
  <c r="P379" i="24" s="1"/>
  <c r="N285" i="24"/>
  <c r="Q285" i="24" s="1"/>
  <c r="R285" i="24" s="1"/>
  <c r="S285" i="24" s="1"/>
  <c r="M319" i="14"/>
  <c r="M211" i="14"/>
  <c r="O211" i="14" s="1"/>
  <c r="P211" i="14" s="1"/>
  <c r="N229" i="14"/>
  <c r="R229" i="14" s="1"/>
  <c r="S229" i="14" s="1"/>
  <c r="U229" i="14" s="1"/>
  <c r="I143" i="24"/>
  <c r="L225" i="23"/>
  <c r="O225" i="23" s="1"/>
  <c r="P225" i="23" s="1"/>
  <c r="L268" i="23"/>
  <c r="O268" i="23" s="1"/>
  <c r="P268" i="23" s="1"/>
  <c r="Q79" i="24"/>
  <c r="R79" i="24" s="1"/>
  <c r="S79" i="24" s="1"/>
  <c r="L299" i="24"/>
  <c r="O299" i="24" s="1"/>
  <c r="P299" i="24" s="1"/>
  <c r="L176" i="14"/>
  <c r="N304" i="24"/>
  <c r="Q304" i="24" s="1"/>
  <c r="R304" i="24" s="1"/>
  <c r="S304" i="24" s="1"/>
  <c r="N357" i="24"/>
  <c r="Q357" i="24" s="1"/>
  <c r="R357" i="24" s="1"/>
  <c r="T357" i="24" s="1"/>
  <c r="L122" i="14"/>
  <c r="L119" i="24"/>
  <c r="M332" i="14"/>
  <c r="L224" i="14"/>
  <c r="O85" i="23"/>
  <c r="P85" i="23" s="1"/>
  <c r="I69" i="14"/>
  <c r="N69" i="14"/>
  <c r="R69" i="14" s="1"/>
  <c r="S69" i="14" s="1"/>
  <c r="U69" i="14" s="1"/>
  <c r="I93" i="14"/>
  <c r="N93" i="14"/>
  <c r="R93" i="14" s="1"/>
  <c r="S93" i="14" s="1"/>
  <c r="T93" i="14" s="1"/>
  <c r="I152" i="14"/>
  <c r="N152" i="14"/>
  <c r="R152" i="14" s="1"/>
  <c r="S152" i="14" s="1"/>
  <c r="T152" i="14" s="1"/>
  <c r="I380" i="14"/>
  <c r="N380" i="14"/>
  <c r="R380" i="14" s="1"/>
  <c r="S380" i="14" s="1"/>
  <c r="T380" i="14" s="1"/>
  <c r="I111" i="14"/>
  <c r="N111" i="14"/>
  <c r="R111" i="14" s="1"/>
  <c r="S111" i="14" s="1"/>
  <c r="T111" i="14" s="1"/>
  <c r="I207" i="14"/>
  <c r="N207" i="14"/>
  <c r="R207" i="14" s="1"/>
  <c r="S207" i="14" s="1"/>
  <c r="T207" i="14" s="1"/>
  <c r="L365" i="14"/>
  <c r="O365" i="14" s="1"/>
  <c r="P365" i="14" s="1"/>
  <c r="M248" i="23"/>
  <c r="O248" i="23" s="1"/>
  <c r="P248" i="23" s="1"/>
  <c r="M189" i="24"/>
  <c r="O189" i="24" s="1"/>
  <c r="P189" i="24" s="1"/>
  <c r="O192" i="23"/>
  <c r="P192" i="23" s="1"/>
  <c r="O144" i="23"/>
  <c r="P144" i="23" s="1"/>
  <c r="O376" i="23"/>
  <c r="P376" i="23" s="1"/>
  <c r="O147" i="23"/>
  <c r="P147" i="23" s="1"/>
  <c r="O307" i="24"/>
  <c r="P307" i="24" s="1"/>
  <c r="O326" i="23"/>
  <c r="P326" i="23" s="1"/>
  <c r="O184" i="23"/>
  <c r="P184" i="23" s="1"/>
  <c r="O157" i="23"/>
  <c r="P157" i="23" s="1"/>
  <c r="O127" i="23"/>
  <c r="P127" i="23" s="1"/>
  <c r="O292" i="23"/>
  <c r="P292" i="23" s="1"/>
  <c r="O213" i="23"/>
  <c r="P213" i="23" s="1"/>
  <c r="O206" i="24"/>
  <c r="P206" i="24" s="1"/>
  <c r="O187" i="14"/>
  <c r="P187" i="14" s="1"/>
  <c r="O320" i="23"/>
  <c r="P320" i="23" s="1"/>
  <c r="O307" i="23"/>
  <c r="P307" i="23" s="1"/>
  <c r="O360" i="14"/>
  <c r="P360" i="14" s="1"/>
  <c r="O293" i="23"/>
  <c r="P293" i="23" s="1"/>
  <c r="O202" i="14"/>
  <c r="P202" i="14" s="1"/>
  <c r="O235" i="23"/>
  <c r="P235" i="23" s="1"/>
  <c r="O252" i="23"/>
  <c r="P252" i="23" s="1"/>
  <c r="O132" i="23"/>
  <c r="P132" i="23" s="1"/>
  <c r="O369" i="23"/>
  <c r="P369" i="23" s="1"/>
  <c r="O107" i="23"/>
  <c r="P107" i="23" s="1"/>
  <c r="O368" i="23"/>
  <c r="P368" i="23" s="1"/>
  <c r="O51" i="14"/>
  <c r="P51" i="14" s="1"/>
  <c r="O311" i="14"/>
  <c r="P311" i="14" s="1"/>
  <c r="E317" i="25" s="1"/>
  <c r="O388" i="23"/>
  <c r="P388" i="23" s="1"/>
  <c r="O68" i="23"/>
  <c r="P68" i="23" s="1"/>
  <c r="O352" i="23"/>
  <c r="P352" i="23" s="1"/>
  <c r="O82" i="23"/>
  <c r="P82" i="23" s="1"/>
  <c r="O382" i="23"/>
  <c r="P382" i="23" s="1"/>
  <c r="O392" i="23"/>
  <c r="P392" i="23" s="1"/>
  <c r="O257" i="23"/>
  <c r="P257" i="23" s="1"/>
  <c r="O354" i="23"/>
  <c r="P354" i="23" s="1"/>
  <c r="O309" i="23"/>
  <c r="P309" i="23" s="1"/>
  <c r="O104" i="24"/>
  <c r="P104" i="24" s="1"/>
  <c r="O181" i="23"/>
  <c r="P181" i="23" s="1"/>
  <c r="O95" i="14"/>
  <c r="P95" i="14" s="1"/>
  <c r="O242" i="23"/>
  <c r="P242" i="23" s="1"/>
  <c r="O372" i="23"/>
  <c r="P372" i="23" s="1"/>
  <c r="O309" i="29"/>
  <c r="P309" i="29" s="1"/>
  <c r="O123" i="24"/>
  <c r="P123" i="24" s="1"/>
  <c r="O214" i="23"/>
  <c r="P214" i="23" s="1"/>
  <c r="O274" i="23"/>
  <c r="P274" i="23" s="1"/>
  <c r="O51" i="23"/>
  <c r="P51" i="23" s="1"/>
  <c r="O348" i="24"/>
  <c r="P348" i="24" s="1"/>
  <c r="O202" i="23"/>
  <c r="P202" i="23" s="1"/>
  <c r="O265" i="23"/>
  <c r="P265" i="23" s="1"/>
  <c r="O39" i="23"/>
  <c r="P39" i="23" s="1"/>
  <c r="O130" i="23"/>
  <c r="P130" i="23" s="1"/>
  <c r="O247" i="23"/>
  <c r="P247" i="23" s="1"/>
  <c r="O116" i="23"/>
  <c r="P116" i="23" s="1"/>
  <c r="O173" i="14"/>
  <c r="P173" i="14" s="1"/>
  <c r="O140" i="23"/>
  <c r="P140" i="23" s="1"/>
  <c r="O209" i="23"/>
  <c r="P209" i="23" s="1"/>
  <c r="O275" i="14"/>
  <c r="P275" i="14" s="1"/>
  <c r="O124" i="23"/>
  <c r="P124" i="23" s="1"/>
  <c r="O359" i="23"/>
  <c r="P359" i="23" s="1"/>
  <c r="O258" i="23"/>
  <c r="P258" i="23" s="1"/>
  <c r="O345" i="24"/>
  <c r="P345" i="24" s="1"/>
  <c r="O288" i="23"/>
  <c r="P288" i="23" s="1"/>
  <c r="O222" i="23"/>
  <c r="P222" i="23" s="1"/>
  <c r="O94" i="23"/>
  <c r="P94" i="23" s="1"/>
  <c r="O205" i="23"/>
  <c r="P205" i="23" s="1"/>
  <c r="O40" i="24"/>
  <c r="P40" i="24" s="1"/>
  <c r="O338" i="23"/>
  <c r="P338" i="23" s="1"/>
  <c r="O153" i="23"/>
  <c r="P153" i="23" s="1"/>
  <c r="O221" i="23"/>
  <c r="P221" i="23" s="1"/>
  <c r="O277" i="23"/>
  <c r="P277" i="23" s="1"/>
  <c r="O305" i="23"/>
  <c r="P305" i="23" s="1"/>
  <c r="O128" i="23"/>
  <c r="P128" i="23" s="1"/>
  <c r="O264" i="23"/>
  <c r="P264" i="23" s="1"/>
  <c r="O386" i="23"/>
  <c r="P386" i="23" s="1"/>
  <c r="O57" i="23"/>
  <c r="O259" i="23"/>
  <c r="P259" i="23" s="1"/>
  <c r="O183" i="23"/>
  <c r="P183" i="23" s="1"/>
  <c r="O331" i="14"/>
  <c r="P331" i="14" s="1"/>
  <c r="O361" i="23"/>
  <c r="P361" i="23" s="1"/>
  <c r="O263" i="23"/>
  <c r="P263" i="23" s="1"/>
  <c r="O239" i="14"/>
  <c r="P239" i="14" s="1"/>
  <c r="O239" i="24"/>
  <c r="P239" i="24" s="1"/>
  <c r="O179" i="23"/>
  <c r="P179" i="23" s="1"/>
  <c r="O348" i="23"/>
  <c r="P348" i="23" s="1"/>
  <c r="O109" i="23"/>
  <c r="P109" i="23" s="1"/>
  <c r="O371" i="23"/>
  <c r="P371" i="23" s="1"/>
  <c r="O353" i="24"/>
  <c r="P353" i="24" s="1"/>
  <c r="O155" i="23"/>
  <c r="P155" i="23" s="1"/>
  <c r="O356" i="23"/>
  <c r="P356" i="23" s="1"/>
  <c r="O218" i="23"/>
  <c r="P218" i="23" s="1"/>
  <c r="O355" i="23"/>
  <c r="P355" i="23" s="1"/>
  <c r="O54" i="23"/>
  <c r="P54" i="23" s="1"/>
  <c r="O280" i="23"/>
  <c r="P280" i="23" s="1"/>
  <c r="O188" i="23"/>
  <c r="P188" i="23" s="1"/>
  <c r="O331" i="23"/>
  <c r="P331" i="23" s="1"/>
  <c r="O283" i="14"/>
  <c r="P283" i="14" s="1"/>
  <c r="O145" i="23"/>
  <c r="P145" i="23" s="1"/>
  <c r="O387" i="23"/>
  <c r="P387" i="23" s="1"/>
  <c r="O143" i="23"/>
  <c r="P143" i="23" s="1"/>
  <c r="O152" i="29"/>
  <c r="P152" i="29" s="1"/>
  <c r="O179" i="24"/>
  <c r="P179" i="24" s="1"/>
  <c r="O125" i="23"/>
  <c r="P125" i="23" s="1"/>
  <c r="O171" i="23"/>
  <c r="P171" i="23" s="1"/>
  <c r="O229" i="23"/>
  <c r="P229" i="23" s="1"/>
  <c r="O364" i="23"/>
  <c r="P364" i="23" s="1"/>
  <c r="O92" i="23"/>
  <c r="P92" i="23" s="1"/>
  <c r="O321" i="23"/>
  <c r="P321" i="23" s="1"/>
  <c r="O312" i="23"/>
  <c r="P312" i="23" s="1"/>
  <c r="O218" i="24"/>
  <c r="P218" i="24" s="1"/>
  <c r="O343" i="23"/>
  <c r="P343" i="23" s="1"/>
  <c r="O118" i="23"/>
  <c r="P118" i="23" s="1"/>
  <c r="O84" i="14"/>
  <c r="P84" i="14" s="1"/>
  <c r="O171" i="24"/>
  <c r="P171" i="24" s="1"/>
  <c r="O298" i="24"/>
  <c r="P298" i="24" s="1"/>
  <c r="O151" i="23"/>
  <c r="P151" i="23" s="1"/>
  <c r="O103" i="23"/>
  <c r="P103" i="23" s="1"/>
  <c r="O256" i="14"/>
  <c r="P256" i="14" s="1"/>
  <c r="O266" i="23"/>
  <c r="P266" i="23" s="1"/>
  <c r="O260" i="23"/>
  <c r="P260" i="23" s="1"/>
  <c r="O210" i="14"/>
  <c r="P210" i="14" s="1"/>
  <c r="O233" i="23"/>
  <c r="P233" i="23" s="1"/>
  <c r="O42" i="23"/>
  <c r="P42" i="23" s="1"/>
  <c r="O88" i="23"/>
  <c r="P88" i="23" s="1"/>
  <c r="O77" i="14"/>
  <c r="P77" i="14" s="1"/>
  <c r="O302" i="23"/>
  <c r="P302" i="23" s="1"/>
  <c r="O308" i="23"/>
  <c r="P308" i="23" s="1"/>
  <c r="O148" i="23"/>
  <c r="P148" i="23" s="1"/>
  <c r="O314" i="23"/>
  <c r="P314" i="23" s="1"/>
  <c r="O175" i="23"/>
  <c r="P175" i="23" s="1"/>
  <c r="O50" i="24"/>
  <c r="P50" i="24" s="1"/>
  <c r="O196" i="23"/>
  <c r="P196" i="23" s="1"/>
  <c r="O364" i="24"/>
  <c r="P364" i="24" s="1"/>
  <c r="O394" i="23"/>
  <c r="P394" i="23" s="1"/>
  <c r="O381" i="14"/>
  <c r="P381" i="14" s="1"/>
  <c r="O100" i="24"/>
  <c r="P100" i="24" s="1"/>
  <c r="O80" i="23"/>
  <c r="P80" i="23" s="1"/>
  <c r="O234" i="24"/>
  <c r="P234" i="24" s="1"/>
  <c r="O397" i="23"/>
  <c r="P397" i="23" s="1"/>
  <c r="O127" i="24"/>
  <c r="P127" i="24" s="1"/>
  <c r="O296" i="23"/>
  <c r="P296" i="23" s="1"/>
  <c r="O165" i="23"/>
  <c r="P165" i="23" s="1"/>
  <c r="O256" i="23"/>
  <c r="P256" i="23" s="1"/>
  <c r="O233" i="14"/>
  <c r="P233" i="14" s="1"/>
  <c r="O227" i="23"/>
  <c r="P227" i="23" s="1"/>
  <c r="O315" i="23"/>
  <c r="P315" i="23" s="1"/>
  <c r="O56" i="23"/>
  <c r="P56" i="23" s="1"/>
  <c r="O200" i="23"/>
  <c r="P200" i="23" s="1"/>
  <c r="O395" i="23"/>
  <c r="P395" i="23" s="1"/>
  <c r="O188" i="24"/>
  <c r="P188" i="24" s="1"/>
  <c r="O70" i="23"/>
  <c r="P70" i="23" s="1"/>
  <c r="O215" i="24"/>
  <c r="P215" i="24" s="1"/>
  <c r="O349" i="23"/>
  <c r="P349" i="23" s="1"/>
  <c r="O96" i="24"/>
  <c r="P96" i="24" s="1"/>
  <c r="O353" i="23"/>
  <c r="P353" i="23" s="1"/>
  <c r="O122" i="23"/>
  <c r="P122" i="23" s="1"/>
  <c r="O389" i="23"/>
  <c r="P389" i="23" s="1"/>
  <c r="O336" i="23"/>
  <c r="P336" i="23" s="1"/>
  <c r="O311" i="24"/>
  <c r="P311" i="24" s="1"/>
  <c r="O71" i="23"/>
  <c r="P71" i="23" s="1"/>
  <c r="O112" i="23"/>
  <c r="P112" i="23" s="1"/>
  <c r="O254" i="23"/>
  <c r="P254" i="23" s="1"/>
  <c r="O242" i="24"/>
  <c r="P242" i="24" s="1"/>
  <c r="O300" i="23"/>
  <c r="P300" i="23" s="1"/>
  <c r="O274" i="24"/>
  <c r="P274" i="24" s="1"/>
  <c r="O117" i="23"/>
  <c r="P117" i="23" s="1"/>
  <c r="O261" i="23"/>
  <c r="P261" i="23" s="1"/>
  <c r="O126" i="23"/>
  <c r="P126" i="23" s="1"/>
  <c r="O394" i="24"/>
  <c r="P394" i="24" s="1"/>
  <c r="O197" i="23"/>
  <c r="P197" i="23" s="1"/>
  <c r="O79" i="23"/>
  <c r="P79" i="23" s="1"/>
  <c r="O43" i="23"/>
  <c r="O250" i="24"/>
  <c r="P250" i="24" s="1"/>
  <c r="O255" i="23"/>
  <c r="P255" i="23" s="1"/>
  <c r="O185" i="23"/>
  <c r="P185" i="23" s="1"/>
  <c r="O329" i="23"/>
  <c r="P329" i="23" s="1"/>
  <c r="O262" i="23"/>
  <c r="P262" i="23" s="1"/>
  <c r="O210" i="23"/>
  <c r="P210" i="23" s="1"/>
  <c r="O119" i="23"/>
  <c r="P119" i="23" s="1"/>
  <c r="O230" i="23"/>
  <c r="P230" i="23" s="1"/>
  <c r="O362" i="23"/>
  <c r="P362" i="23" s="1"/>
  <c r="O93" i="23"/>
  <c r="P93" i="23" s="1"/>
  <c r="O141" i="24"/>
  <c r="P141" i="24" s="1"/>
  <c r="O67" i="24"/>
  <c r="P67" i="24" s="1"/>
  <c r="O318" i="23"/>
  <c r="P318" i="23" s="1"/>
  <c r="O351" i="23"/>
  <c r="P351" i="23" s="1"/>
  <c r="O241" i="23"/>
  <c r="P241" i="23" s="1"/>
  <c r="O161" i="23"/>
  <c r="P161" i="23" s="1"/>
  <c r="O212" i="24"/>
  <c r="P212" i="24" s="1"/>
  <c r="O58" i="23"/>
  <c r="P58" i="23" s="1"/>
  <c r="O332" i="23"/>
  <c r="P332" i="23" s="1"/>
  <c r="O208" i="23"/>
  <c r="P208" i="23" s="1"/>
  <c r="O259" i="14"/>
  <c r="P259" i="14" s="1"/>
  <c r="O76" i="23"/>
  <c r="P76" i="23" s="1"/>
  <c r="O111" i="23"/>
  <c r="P111" i="23" s="1"/>
  <c r="O275" i="23"/>
  <c r="P275" i="23" s="1"/>
  <c r="P55" i="23"/>
  <c r="O287" i="23"/>
  <c r="P287" i="23" s="1"/>
  <c r="O114" i="23"/>
  <c r="P114" i="23" s="1"/>
  <c r="O294" i="24"/>
  <c r="P294" i="24" s="1"/>
  <c r="O295" i="23"/>
  <c r="P295" i="23" s="1"/>
  <c r="O329" i="14"/>
  <c r="P329" i="14" s="1"/>
  <c r="O149" i="23"/>
  <c r="P149" i="23" s="1"/>
  <c r="O203" i="23"/>
  <c r="P203" i="23" s="1"/>
  <c r="E342" i="25" s="1"/>
  <c r="O113" i="23"/>
  <c r="P113" i="23" s="1"/>
  <c r="O353" i="14"/>
  <c r="P353" i="14" s="1"/>
  <c r="O62" i="14"/>
  <c r="P62" i="14" s="1"/>
  <c r="O184" i="14"/>
  <c r="P184" i="14" s="1"/>
  <c r="O110" i="23"/>
  <c r="P110" i="23" s="1"/>
  <c r="O73" i="23"/>
  <c r="P73" i="23" s="1"/>
  <c r="O335" i="23"/>
  <c r="P335" i="23" s="1"/>
  <c r="O85" i="24"/>
  <c r="P85" i="24" s="1"/>
  <c r="O215" i="23"/>
  <c r="P215" i="23" s="1"/>
  <c r="O377" i="23"/>
  <c r="P377" i="23" s="1"/>
  <c r="O78" i="23"/>
  <c r="P78" i="23" s="1"/>
  <c r="O162" i="23"/>
  <c r="P162" i="23" s="1"/>
  <c r="O306" i="23"/>
  <c r="P306" i="23" s="1"/>
  <c r="O77" i="24"/>
  <c r="P77" i="24" s="1"/>
  <c r="O156" i="23"/>
  <c r="P156" i="23" s="1"/>
  <c r="O160" i="23"/>
  <c r="P160" i="23" s="1"/>
  <c r="O94" i="14"/>
  <c r="P94" i="14" s="1"/>
  <c r="O193" i="23"/>
  <c r="P193" i="23" s="1"/>
  <c r="O195" i="23"/>
  <c r="P195" i="23" s="1"/>
  <c r="O77" i="23"/>
  <c r="P77" i="23" s="1"/>
  <c r="O41" i="23"/>
  <c r="P41" i="23" s="1"/>
  <c r="O211" i="23"/>
  <c r="P211" i="23" s="1"/>
  <c r="O245" i="23"/>
  <c r="P245" i="23" s="1"/>
  <c r="O44" i="24"/>
  <c r="P44" i="24" s="1"/>
  <c r="O237" i="23"/>
  <c r="P237" i="23" s="1"/>
  <c r="O333" i="23"/>
  <c r="P333" i="23" s="1"/>
  <c r="O291" i="23"/>
  <c r="P291" i="23" s="1"/>
  <c r="O276" i="23"/>
  <c r="P276" i="23" s="1"/>
  <c r="O298" i="23"/>
  <c r="P298" i="23" s="1"/>
  <c r="O115" i="23"/>
  <c r="P115" i="23" s="1"/>
  <c r="O124" i="24"/>
  <c r="P124" i="24" s="1"/>
  <c r="O159" i="23"/>
  <c r="P159" i="23" s="1"/>
  <c r="O400" i="23"/>
  <c r="P400" i="23" s="1"/>
  <c r="O310" i="23"/>
  <c r="P310" i="23" s="1"/>
  <c r="O271" i="23"/>
  <c r="P271" i="23" s="1"/>
  <c r="O380" i="23"/>
  <c r="P380" i="23" s="1"/>
  <c r="O249" i="14"/>
  <c r="P249" i="14" s="1"/>
  <c r="O344" i="23"/>
  <c r="P344" i="23" s="1"/>
  <c r="O174" i="23"/>
  <c r="P174" i="23" s="1"/>
  <c r="O239" i="23"/>
  <c r="P239" i="23" s="1"/>
  <c r="O129" i="23"/>
  <c r="P129" i="23" s="1"/>
  <c r="O95" i="24"/>
  <c r="P95" i="24" s="1"/>
  <c r="O251" i="23"/>
  <c r="P251" i="23" s="1"/>
  <c r="O327" i="23"/>
  <c r="P327" i="23" s="1"/>
  <c r="O336" i="14"/>
  <c r="P336" i="14" s="1"/>
  <c r="O313" i="14"/>
  <c r="P313" i="14" s="1"/>
  <c r="O385" i="23"/>
  <c r="P385" i="23" s="1"/>
  <c r="O137" i="23"/>
  <c r="P137" i="23" s="1"/>
  <c r="O80" i="24"/>
  <c r="P80" i="24" s="1"/>
  <c r="O100" i="23"/>
  <c r="P100" i="23" s="1"/>
  <c r="O135" i="23"/>
  <c r="P135" i="23" s="1"/>
  <c r="O74" i="23"/>
  <c r="P74" i="23" s="1"/>
  <c r="O61" i="14"/>
  <c r="P61" i="14" s="1"/>
  <c r="O139" i="23"/>
  <c r="P139" i="23" s="1"/>
  <c r="O373" i="23"/>
  <c r="P373" i="23" s="1"/>
  <c r="O347" i="23"/>
  <c r="P347" i="23" s="1"/>
  <c r="O48" i="23"/>
  <c r="P48" i="23" s="1"/>
  <c r="O362" i="14"/>
  <c r="P362" i="14" s="1"/>
  <c r="O186" i="24"/>
  <c r="P186" i="24" s="1"/>
  <c r="O81" i="23"/>
  <c r="P81" i="23" s="1"/>
  <c r="O86" i="23"/>
  <c r="P86" i="23" s="1"/>
  <c r="O60" i="23"/>
  <c r="P60" i="23" s="1"/>
  <c r="O158" i="23"/>
  <c r="P158" i="23" s="1"/>
  <c r="O375" i="23"/>
  <c r="P375" i="23" s="1"/>
  <c r="O359" i="14"/>
  <c r="P359" i="14" s="1"/>
  <c r="O154" i="23"/>
  <c r="P154" i="23" s="1"/>
  <c r="O309" i="24"/>
  <c r="P309" i="24" s="1"/>
  <c r="O379" i="23"/>
  <c r="P379" i="23" s="1"/>
  <c r="O152" i="23"/>
  <c r="P152" i="23" s="1"/>
  <c r="O215" i="14"/>
  <c r="P215" i="14" s="1"/>
  <c r="O50" i="23"/>
  <c r="P50" i="23" s="1"/>
  <c r="O166" i="23"/>
  <c r="P166" i="23" s="1"/>
  <c r="O223" i="24"/>
  <c r="P223" i="24" s="1"/>
  <c r="O136" i="23"/>
  <c r="P136" i="23" s="1"/>
  <c r="O175" i="14"/>
  <c r="P175" i="14" s="1"/>
  <c r="O267" i="23"/>
  <c r="P267" i="23" s="1"/>
  <c r="O187" i="23"/>
  <c r="P187" i="23" s="1"/>
  <c r="O275" i="24"/>
  <c r="P275" i="24" s="1"/>
  <c r="O83" i="23"/>
  <c r="P83" i="23" s="1"/>
  <c r="O245" i="14"/>
  <c r="P245" i="14" s="1"/>
  <c r="O373" i="24"/>
  <c r="P373" i="24" s="1"/>
  <c r="O53" i="23"/>
  <c r="P53" i="23" s="1"/>
  <c r="O73" i="24"/>
  <c r="P73" i="24" s="1"/>
  <c r="O341" i="23"/>
  <c r="P341" i="23" s="1"/>
  <c r="O253" i="23"/>
  <c r="P253" i="23" s="1"/>
  <c r="O390" i="24"/>
  <c r="P390" i="24" s="1"/>
  <c r="O61" i="23"/>
  <c r="P61" i="23" s="1"/>
  <c r="O113" i="14"/>
  <c r="P113" i="14" s="1"/>
  <c r="O324" i="23"/>
  <c r="P324" i="23" s="1"/>
  <c r="O146" i="14"/>
  <c r="P146" i="14" s="1"/>
  <c r="O391" i="24"/>
  <c r="P391" i="24" s="1"/>
  <c r="O40" i="23"/>
  <c r="P40" i="23" s="1"/>
  <c r="O378" i="24"/>
  <c r="P378" i="24" s="1"/>
  <c r="O334" i="23"/>
  <c r="P334" i="23" s="1"/>
  <c r="O269" i="23"/>
  <c r="P269" i="23" s="1"/>
  <c r="O212" i="23"/>
  <c r="P212" i="23" s="1"/>
  <c r="O190" i="24"/>
  <c r="P190" i="24" s="1"/>
  <c r="O52" i="23"/>
  <c r="P52" i="23" s="1"/>
  <c r="O121" i="23"/>
  <c r="P121" i="23" s="1"/>
  <c r="O284" i="23"/>
  <c r="P284" i="23" s="1"/>
  <c r="O286" i="23"/>
  <c r="P286" i="23" s="1"/>
  <c r="O134" i="23"/>
  <c r="P134" i="23" s="1"/>
  <c r="O217" i="23"/>
  <c r="P217" i="23" s="1"/>
  <c r="O381" i="23"/>
  <c r="P381" i="23" s="1"/>
  <c r="O101" i="23"/>
  <c r="P101" i="23" s="1"/>
  <c r="O104" i="23"/>
  <c r="P104" i="23" s="1"/>
  <c r="O214" i="24"/>
  <c r="P214" i="24" s="1"/>
  <c r="O234" i="23"/>
  <c r="P234" i="23" s="1"/>
  <c r="O232" i="23"/>
  <c r="P232" i="23" s="1"/>
  <c r="O357" i="23"/>
  <c r="P357" i="23" s="1"/>
  <c r="O210" i="24"/>
  <c r="P210" i="24" s="1"/>
  <c r="O170" i="23"/>
  <c r="P170" i="23" s="1"/>
  <c r="O254" i="14"/>
  <c r="P254" i="14" s="1"/>
  <c r="O323" i="23"/>
  <c r="P323" i="23" s="1"/>
  <c r="O319" i="24"/>
  <c r="P319" i="24" s="1"/>
  <c r="O342" i="23"/>
  <c r="P342" i="23" s="1"/>
  <c r="O246" i="23"/>
  <c r="P246" i="23" s="1"/>
  <c r="O381" i="24"/>
  <c r="P381" i="24" s="1"/>
  <c r="O297" i="23"/>
  <c r="P297" i="23" s="1"/>
  <c r="O162" i="24"/>
  <c r="P162" i="24" s="1"/>
  <c r="O283" i="23"/>
  <c r="P283" i="23" s="1"/>
  <c r="O398" i="23"/>
  <c r="P398" i="23" s="1"/>
  <c r="O201" i="23"/>
  <c r="P201" i="23" s="1"/>
  <c r="O294" i="23"/>
  <c r="P294" i="23" s="1"/>
  <c r="O168" i="14"/>
  <c r="P168" i="14" s="1"/>
  <c r="O226" i="23"/>
  <c r="P226" i="23" s="1"/>
  <c r="O240" i="23"/>
  <c r="P240" i="23" s="1"/>
  <c r="O304" i="23"/>
  <c r="P304" i="23" s="1"/>
  <c r="O204" i="23"/>
  <c r="P204" i="23" s="1"/>
  <c r="O358" i="23"/>
  <c r="P358" i="23" s="1"/>
  <c r="O106" i="23"/>
  <c r="P106" i="23" s="1"/>
  <c r="O331" i="24"/>
  <c r="P331" i="24" s="1"/>
  <c r="O212" i="14"/>
  <c r="P212" i="14" s="1"/>
  <c r="O133" i="23"/>
  <c r="P133" i="23" s="1"/>
  <c r="O301" i="24"/>
  <c r="P301" i="24" s="1"/>
  <c r="O74" i="14"/>
  <c r="P74" i="14" s="1"/>
  <c r="O299" i="23"/>
  <c r="P299" i="23" s="1"/>
  <c r="O279" i="23"/>
  <c r="P279" i="23" s="1"/>
  <c r="O312" i="24"/>
  <c r="P312" i="24" s="1"/>
  <c r="O278" i="14"/>
  <c r="P278" i="14" s="1"/>
  <c r="O223" i="23"/>
  <c r="P223" i="23" s="1"/>
  <c r="O138" i="23"/>
  <c r="P138" i="23" s="1"/>
  <c r="O66" i="23"/>
  <c r="P66" i="23" s="1"/>
  <c r="O350" i="23"/>
  <c r="P350" i="23" s="1"/>
  <c r="O378" i="23"/>
  <c r="P378" i="23" s="1"/>
  <c r="O326" i="14"/>
  <c r="P326" i="14" s="1"/>
  <c r="O249" i="23"/>
  <c r="P249" i="23" s="1"/>
  <c r="O317" i="23"/>
  <c r="P317" i="23" s="1"/>
  <c r="O351" i="24"/>
  <c r="P351" i="24" s="1"/>
  <c r="O323" i="14"/>
  <c r="P323" i="14" s="1"/>
  <c r="O167" i="23"/>
  <c r="P167" i="23" s="1"/>
  <c r="O133" i="14"/>
  <c r="P133" i="14" s="1"/>
  <c r="O141" i="23"/>
  <c r="P141" i="23" s="1"/>
  <c r="O253" i="14"/>
  <c r="P253" i="14" s="1"/>
  <c r="O278" i="23"/>
  <c r="P278" i="23" s="1"/>
  <c r="O250" i="23"/>
  <c r="P250" i="23" s="1"/>
  <c r="O89" i="23"/>
  <c r="P89" i="23" s="1"/>
  <c r="O207" i="23"/>
  <c r="P207" i="23" s="1"/>
  <c r="O303" i="23"/>
  <c r="P303" i="23" s="1"/>
  <c r="O176" i="23"/>
  <c r="P176" i="23" s="1"/>
  <c r="O290" i="23"/>
  <c r="P290" i="23" s="1"/>
  <c r="O106" i="24"/>
  <c r="P106" i="24" s="1"/>
  <c r="O366" i="23"/>
  <c r="P366" i="23" s="1"/>
  <c r="O111" i="24"/>
  <c r="P111" i="24" s="1"/>
  <c r="O69" i="23"/>
  <c r="P69" i="23" s="1"/>
  <c r="O391" i="23"/>
  <c r="P391" i="23" s="1"/>
  <c r="O260" i="14"/>
  <c r="O322" i="24"/>
  <c r="P322" i="24" s="1"/>
  <c r="O102" i="23"/>
  <c r="P102" i="23" s="1"/>
  <c r="O238" i="23"/>
  <c r="P238" i="23" s="1"/>
  <c r="O374" i="23"/>
  <c r="P374" i="23" s="1"/>
  <c r="O166" i="14"/>
  <c r="P166" i="14" s="1"/>
  <c r="O363" i="23"/>
  <c r="P363" i="23" s="1"/>
  <c r="O131" i="23"/>
  <c r="P131" i="23" s="1"/>
  <c r="O194" i="23"/>
  <c r="P194" i="23" s="1"/>
  <c r="O345" i="23"/>
  <c r="P345" i="23" s="1"/>
  <c r="O313" i="23"/>
  <c r="P313" i="23" s="1"/>
  <c r="O100" i="14"/>
  <c r="P100" i="14" s="1"/>
  <c r="O286" i="14"/>
  <c r="P286" i="14" s="1"/>
  <c r="O95" i="23"/>
  <c r="P95" i="23" s="1"/>
  <c r="O87" i="23"/>
  <c r="P87" i="23" s="1"/>
  <c r="O67" i="23"/>
  <c r="P67" i="23" s="1"/>
  <c r="O337" i="24"/>
  <c r="P337" i="24" s="1"/>
  <c r="O293" i="14"/>
  <c r="P293" i="14" s="1"/>
  <c r="O325" i="23"/>
  <c r="P325" i="23" s="1"/>
  <c r="O118" i="14"/>
  <c r="P118" i="14" s="1"/>
  <c r="O311" i="23"/>
  <c r="P311" i="23" s="1"/>
  <c r="O282" i="23"/>
  <c r="P282" i="23" s="1"/>
  <c r="O70" i="24"/>
  <c r="P70" i="24" s="1"/>
  <c r="O272" i="23"/>
  <c r="P272" i="23" s="1"/>
  <c r="O42" i="14"/>
  <c r="P42" i="14" s="1"/>
  <c r="O177" i="23"/>
  <c r="P177" i="23" s="1"/>
  <c r="O223" i="14"/>
  <c r="P223" i="14" s="1"/>
  <c r="O63" i="23"/>
  <c r="P63" i="23" s="1"/>
  <c r="O189" i="23"/>
  <c r="P189" i="23" s="1"/>
  <c r="O241" i="24"/>
  <c r="P241" i="24" s="1"/>
  <c r="O390" i="23"/>
  <c r="P390" i="23" s="1"/>
  <c r="O370" i="23"/>
  <c r="P370" i="23" s="1"/>
  <c r="O59" i="23"/>
  <c r="P59" i="23" s="1"/>
  <c r="O360" i="23"/>
  <c r="P360" i="23" s="1"/>
  <c r="O198" i="23"/>
  <c r="P198" i="23" s="1"/>
  <c r="O108" i="23"/>
  <c r="P108" i="23" s="1"/>
  <c r="O397" i="24"/>
  <c r="P397" i="24" s="1"/>
  <c r="O75" i="23"/>
  <c r="P75" i="23" s="1"/>
  <c r="O337" i="23"/>
  <c r="P337" i="23" s="1"/>
  <c r="O65" i="23"/>
  <c r="P65" i="23" s="1"/>
  <c r="O72" i="14"/>
  <c r="P72" i="14" s="1"/>
  <c r="O45" i="23"/>
  <c r="O164" i="23"/>
  <c r="P164" i="23" s="1"/>
  <c r="O319" i="23"/>
  <c r="P319" i="23" s="1"/>
  <c r="O281" i="23"/>
  <c r="P281" i="23" s="1"/>
  <c r="O172" i="23"/>
  <c r="P172" i="23" s="1"/>
  <c r="O367" i="23"/>
  <c r="P367" i="23" s="1"/>
  <c r="O330" i="23"/>
  <c r="P330" i="23" s="1"/>
  <c r="U101" i="14"/>
  <c r="T101" i="14"/>
  <c r="L373" i="29"/>
  <c r="M373" i="29"/>
  <c r="L214" i="29"/>
  <c r="M214" i="29"/>
  <c r="T72" i="23"/>
  <c r="S72" i="23"/>
  <c r="M75" i="29"/>
  <c r="L75" i="29"/>
  <c r="T339" i="14"/>
  <c r="U339" i="14"/>
  <c r="T231" i="14"/>
  <c r="U231" i="14"/>
  <c r="L48" i="29"/>
  <c r="M48" i="29"/>
  <c r="L400" i="29"/>
  <c r="M400" i="29"/>
  <c r="T257" i="14"/>
  <c r="U257" i="14"/>
  <c r="S110" i="24"/>
  <c r="T110" i="24"/>
  <c r="Q141" i="29"/>
  <c r="R141" i="29" s="1"/>
  <c r="S198" i="24"/>
  <c r="T198" i="24"/>
  <c r="M65" i="29"/>
  <c r="L65" i="29"/>
  <c r="M388" i="29"/>
  <c r="L388" i="29"/>
  <c r="L117" i="29"/>
  <c r="M117" i="29"/>
  <c r="T162" i="23"/>
  <c r="S162" i="23"/>
  <c r="T47" i="23"/>
  <c r="S47" i="23"/>
  <c r="T298" i="24"/>
  <c r="S298" i="24"/>
  <c r="M239" i="29"/>
  <c r="L239" i="29"/>
  <c r="L106" i="29"/>
  <c r="M106" i="29"/>
  <c r="L79" i="29"/>
  <c r="M79" i="29"/>
  <c r="T326" i="14"/>
  <c r="U326" i="14"/>
  <c r="T249" i="23"/>
  <c r="S249" i="23"/>
  <c r="S291" i="24"/>
  <c r="T291" i="24"/>
  <c r="L325" i="29"/>
  <c r="M325" i="29"/>
  <c r="M306" i="29"/>
  <c r="L306" i="29"/>
  <c r="T157" i="14"/>
  <c r="U157" i="14"/>
  <c r="T198" i="23"/>
  <c r="S198" i="23"/>
  <c r="S233" i="24"/>
  <c r="T233" i="24"/>
  <c r="T175" i="23"/>
  <c r="S175" i="23"/>
  <c r="S199" i="24"/>
  <c r="T199" i="24"/>
  <c r="M171" i="29"/>
  <c r="L171" i="29"/>
  <c r="T125" i="14"/>
  <c r="U125" i="14"/>
  <c r="L364" i="29"/>
  <c r="M364" i="29"/>
  <c r="L389" i="29"/>
  <c r="M389" i="29"/>
  <c r="T115" i="24"/>
  <c r="S115" i="24"/>
  <c r="M60" i="29"/>
  <c r="L60" i="29"/>
  <c r="S51" i="24"/>
  <c r="T51" i="24"/>
  <c r="S337" i="24"/>
  <c r="T337" i="24"/>
  <c r="M169" i="29"/>
  <c r="L169" i="29"/>
  <c r="M183" i="29"/>
  <c r="L183" i="29"/>
  <c r="L312" i="29"/>
  <c r="M312" i="29"/>
  <c r="S141" i="23"/>
  <c r="T141" i="23"/>
  <c r="S376" i="24"/>
  <c r="T376" i="24"/>
  <c r="L242" i="29"/>
  <c r="M242" i="29"/>
  <c r="M137" i="29"/>
  <c r="L137" i="29"/>
  <c r="L372" i="29"/>
  <c r="M372" i="29"/>
  <c r="U120" i="14"/>
  <c r="T120" i="14"/>
  <c r="Q249" i="29"/>
  <c r="R249" i="29" s="1"/>
  <c r="Q80" i="29"/>
  <c r="R80" i="29" s="1"/>
  <c r="M155" i="29"/>
  <c r="L155" i="29"/>
  <c r="T94" i="24"/>
  <c r="S94" i="24"/>
  <c r="T185" i="23"/>
  <c r="S185" i="23"/>
  <c r="M317" i="29"/>
  <c r="L317" i="29"/>
  <c r="S329" i="23"/>
  <c r="T329" i="23"/>
  <c r="M134" i="29"/>
  <c r="L134" i="29"/>
  <c r="U374" i="14"/>
  <c r="T374" i="14"/>
  <c r="L74" i="29"/>
  <c r="M74" i="29"/>
  <c r="L179" i="29"/>
  <c r="M179" i="29"/>
  <c r="T264" i="24"/>
  <c r="S264" i="24"/>
  <c r="S349" i="24"/>
  <c r="T349" i="24"/>
  <c r="U198" i="14"/>
  <c r="T198" i="14"/>
  <c r="L78" i="29"/>
  <c r="M78" i="29"/>
  <c r="L131" i="29"/>
  <c r="M131" i="29"/>
  <c r="T264" i="23"/>
  <c r="S264" i="23"/>
  <c r="T43" i="24"/>
  <c r="S43" i="24"/>
  <c r="Q326" i="29"/>
  <c r="R326" i="29" s="1"/>
  <c r="S399" i="23"/>
  <c r="T399" i="23"/>
  <c r="Q146" i="29"/>
  <c r="R146" i="29" s="1"/>
  <c r="T111" i="24"/>
  <c r="S111" i="24"/>
  <c r="Q82" i="29"/>
  <c r="R82" i="29" s="1"/>
  <c r="S67" i="24"/>
  <c r="T67" i="24"/>
  <c r="T212" i="14"/>
  <c r="U212" i="14"/>
  <c r="T180" i="24"/>
  <c r="S180" i="24"/>
  <c r="M292" i="29"/>
  <c r="L292" i="29"/>
  <c r="L376" i="29"/>
  <c r="M376" i="29"/>
  <c r="L216" i="29"/>
  <c r="M216" i="29"/>
  <c r="T144" i="14"/>
  <c r="U144" i="14"/>
  <c r="S367" i="23"/>
  <c r="T367" i="23"/>
  <c r="T341" i="24"/>
  <c r="S341" i="24"/>
  <c r="S200" i="23"/>
  <c r="T200" i="23"/>
  <c r="S386" i="24"/>
  <c r="T386" i="24"/>
  <c r="L314" i="29"/>
  <c r="M314" i="29"/>
  <c r="L330" i="29"/>
  <c r="M330" i="29"/>
  <c r="M100" i="29"/>
  <c r="L100" i="29"/>
  <c r="Q274" i="29"/>
  <c r="R274" i="29" s="1"/>
  <c r="S134" i="23"/>
  <c r="T134" i="23"/>
  <c r="M360" i="29"/>
  <c r="L360" i="29"/>
  <c r="L230" i="29"/>
  <c r="M230" i="29"/>
  <c r="S179" i="23"/>
  <c r="T179" i="23"/>
  <c r="T241" i="24"/>
  <c r="S241" i="24"/>
  <c r="Q204" i="29"/>
  <c r="R204" i="29" s="1"/>
  <c r="S46" i="24"/>
  <c r="T46" i="24"/>
  <c r="Q231" i="29"/>
  <c r="R231" i="29" s="1"/>
  <c r="Q87" i="29"/>
  <c r="R87" i="29" s="1"/>
  <c r="S149" i="24"/>
  <c r="T149" i="24"/>
  <c r="T253" i="24"/>
  <c r="S253" i="24"/>
  <c r="T116" i="23"/>
  <c r="S116" i="23"/>
  <c r="Q346" i="29"/>
  <c r="R346" i="29" s="1"/>
  <c r="T346" i="14"/>
  <c r="U346" i="14"/>
  <c r="U187" i="14"/>
  <c r="T187" i="14"/>
  <c r="S50" i="24"/>
  <c r="T50" i="24"/>
  <c r="Q265" i="29"/>
  <c r="R265" i="29" s="1"/>
  <c r="T196" i="23"/>
  <c r="S196" i="23"/>
  <c r="L149" i="29"/>
  <c r="M149" i="29"/>
  <c r="T391" i="24"/>
  <c r="S391" i="24"/>
  <c r="Q154" i="29"/>
  <c r="R154" i="29" s="1"/>
  <c r="L237" i="29"/>
  <c r="M237" i="29"/>
  <c r="T40" i="23"/>
  <c r="S40" i="23"/>
  <c r="Q340" i="29"/>
  <c r="R340" i="29" s="1"/>
  <c r="S206" i="24"/>
  <c r="T206" i="24"/>
  <c r="Q232" i="29"/>
  <c r="R232" i="29" s="1"/>
  <c r="T197" i="24"/>
  <c r="S197" i="24"/>
  <c r="Q86" i="29"/>
  <c r="R86" i="29" s="1"/>
  <c r="Q375" i="29"/>
  <c r="R375" i="29" s="1"/>
  <c r="Q281" i="29"/>
  <c r="R281" i="29" s="1"/>
  <c r="U185" i="14"/>
  <c r="T185" i="14"/>
  <c r="L141" i="29"/>
  <c r="M141" i="29"/>
  <c r="S161" i="24"/>
  <c r="T161" i="24"/>
  <c r="T43" i="14"/>
  <c r="U43" i="14"/>
  <c r="S156" i="23"/>
  <c r="T156" i="23"/>
  <c r="Q203" i="29"/>
  <c r="R203" i="29" s="1"/>
  <c r="Q343" i="29"/>
  <c r="R343" i="29" s="1"/>
  <c r="S190" i="23"/>
  <c r="T190" i="23"/>
  <c r="S383" i="24"/>
  <c r="T383" i="24"/>
  <c r="Q144" i="29"/>
  <c r="R144" i="29" s="1"/>
  <c r="S262" i="23"/>
  <c r="T262" i="23"/>
  <c r="Q174" i="29"/>
  <c r="R174" i="29" s="1"/>
  <c r="Q68" i="29"/>
  <c r="R68" i="29" s="1"/>
  <c r="S400" i="24"/>
  <c r="T400" i="24"/>
  <c r="Q195" i="29"/>
  <c r="R195" i="29" s="1"/>
  <c r="Q229" i="29"/>
  <c r="R229" i="29" s="1"/>
  <c r="S345" i="23"/>
  <c r="T345" i="23"/>
  <c r="U54" i="14"/>
  <c r="T117" i="24"/>
  <c r="S117" i="24"/>
  <c r="S351" i="24"/>
  <c r="T351" i="24"/>
  <c r="Q52" i="29"/>
  <c r="R52" i="29" s="1"/>
  <c r="Q224" i="29"/>
  <c r="R224" i="29" s="1"/>
  <c r="U242" i="14"/>
  <c r="T242" i="14"/>
  <c r="T313" i="14"/>
  <c r="U313" i="14"/>
  <c r="T385" i="23"/>
  <c r="S385" i="23"/>
  <c r="Q369" i="29"/>
  <c r="R369" i="29" s="1"/>
  <c r="T65" i="24"/>
  <c r="S65" i="24"/>
  <c r="S118" i="23"/>
  <c r="T118" i="23"/>
  <c r="S47" i="24"/>
  <c r="T47" i="24"/>
  <c r="Q250" i="29"/>
  <c r="R250" i="29" s="1"/>
  <c r="S274" i="24"/>
  <c r="T274" i="24"/>
  <c r="Q382" i="29"/>
  <c r="R382" i="29" s="1"/>
  <c r="Q315" i="29"/>
  <c r="R315" i="29" s="1"/>
  <c r="S279" i="24"/>
  <c r="T279" i="24"/>
  <c r="Q235" i="29"/>
  <c r="R235" i="29" s="1"/>
  <c r="Q129" i="29"/>
  <c r="R129" i="29" s="1"/>
  <c r="J377" i="25"/>
  <c r="U129" i="14"/>
  <c r="T129" i="14"/>
  <c r="E404" i="25" s="1"/>
  <c r="T165" i="23"/>
  <c r="S165" i="23"/>
  <c r="T256" i="23"/>
  <c r="S256" i="23"/>
  <c r="S370" i="24"/>
  <c r="T370" i="24"/>
  <c r="Q338" i="29"/>
  <c r="R338" i="29" s="1"/>
  <c r="Q233" i="29"/>
  <c r="R233" i="29" s="1"/>
  <c r="Q110" i="29"/>
  <c r="R110" i="29" s="1"/>
  <c r="L249" i="29"/>
  <c r="M249" i="29"/>
  <c r="T158" i="23"/>
  <c r="S158" i="23"/>
  <c r="T375" i="23"/>
  <c r="S375" i="23"/>
  <c r="S100" i="24"/>
  <c r="T100" i="24"/>
  <c r="T359" i="14"/>
  <c r="U359" i="14"/>
  <c r="L80" i="29"/>
  <c r="M80" i="29"/>
  <c r="S316" i="23"/>
  <c r="T316" i="23"/>
  <c r="Q155" i="29"/>
  <c r="R155" i="29" s="1"/>
  <c r="S362" i="23"/>
  <c r="T362" i="23"/>
  <c r="Q374" i="29"/>
  <c r="R374" i="29" s="1"/>
  <c r="S269" i="23"/>
  <c r="T269" i="23"/>
  <c r="T75" i="24"/>
  <c r="S75" i="24"/>
  <c r="S320" i="24"/>
  <c r="T320" i="24"/>
  <c r="Q259" i="29"/>
  <c r="R259" i="29" s="1"/>
  <c r="Q148" i="29"/>
  <c r="R148" i="29" s="1"/>
  <c r="U299" i="14"/>
  <c r="T299" i="14"/>
  <c r="T272" i="23"/>
  <c r="S272" i="23"/>
  <c r="Q283" i="29"/>
  <c r="R283" i="29" s="1"/>
  <c r="Q162" i="29"/>
  <c r="R162" i="29" s="1"/>
  <c r="L142" i="29"/>
  <c r="M142" i="29"/>
  <c r="M326" i="29"/>
  <c r="L326" i="29"/>
  <c r="S177" i="23"/>
  <c r="T177" i="23"/>
  <c r="T230" i="24"/>
  <c r="S230" i="24"/>
  <c r="T309" i="29"/>
  <c r="S309" i="29"/>
  <c r="M146" i="29"/>
  <c r="L146" i="29"/>
  <c r="M82" i="29"/>
  <c r="L82" i="29"/>
  <c r="U88" i="14"/>
  <c r="T88" i="14"/>
  <c r="Q294" i="29"/>
  <c r="R294" i="29" s="1"/>
  <c r="Q337" i="29"/>
  <c r="R337" i="29" s="1"/>
  <c r="Q193" i="29"/>
  <c r="R193" i="29" s="1"/>
  <c r="T188" i="24"/>
  <c r="S188" i="24"/>
  <c r="T330" i="24"/>
  <c r="S330" i="24"/>
  <c r="Q140" i="29"/>
  <c r="R140" i="29" s="1"/>
  <c r="S228" i="23"/>
  <c r="T228" i="23"/>
  <c r="Q273" i="29"/>
  <c r="R273" i="29" s="1"/>
  <c r="Q163" i="29"/>
  <c r="R163" i="29" s="1"/>
  <c r="Q351" i="29"/>
  <c r="R351" i="29" s="1"/>
  <c r="S157" i="23"/>
  <c r="T157" i="23"/>
  <c r="T249" i="14"/>
  <c r="U249" i="14"/>
  <c r="T277" i="24"/>
  <c r="S277" i="24"/>
  <c r="U138" i="14"/>
  <c r="T138" i="14"/>
  <c r="S284" i="23"/>
  <c r="T284" i="23"/>
  <c r="L274" i="29"/>
  <c r="M274" i="29"/>
  <c r="T286" i="23"/>
  <c r="S286" i="23"/>
  <c r="T303" i="24"/>
  <c r="S303" i="24"/>
  <c r="Q91" i="29"/>
  <c r="R91" i="29" s="1"/>
  <c r="Q270" i="29"/>
  <c r="R270" i="29" s="1"/>
  <c r="Q320" i="29"/>
  <c r="R320" i="29" s="1"/>
  <c r="Q223" i="29"/>
  <c r="R223" i="29" s="1"/>
  <c r="M204" i="29"/>
  <c r="L204" i="29"/>
  <c r="S302" i="23"/>
  <c r="T302" i="23"/>
  <c r="M231" i="29"/>
  <c r="L231" i="29"/>
  <c r="L87" i="29"/>
  <c r="M87" i="29"/>
  <c r="T390" i="23"/>
  <c r="S390" i="23"/>
  <c r="S109" i="23"/>
  <c r="T109" i="23"/>
  <c r="T170" i="24"/>
  <c r="S170" i="24"/>
  <c r="M346" i="29"/>
  <c r="L346" i="29"/>
  <c r="S354" i="24"/>
  <c r="T354" i="24"/>
  <c r="T183" i="14"/>
  <c r="U183" i="14"/>
  <c r="T223" i="23"/>
  <c r="S223" i="23"/>
  <c r="S218" i="24"/>
  <c r="T218" i="24"/>
  <c r="Q167" i="29"/>
  <c r="R167" i="29" s="1"/>
  <c r="Q92" i="29"/>
  <c r="R92" i="29" s="1"/>
  <c r="T152" i="29"/>
  <c r="S152" i="29"/>
  <c r="S129" i="24"/>
  <c r="T129" i="24"/>
  <c r="S79" i="23"/>
  <c r="T79" i="23"/>
  <c r="T210" i="24"/>
  <c r="S210" i="24"/>
  <c r="Q170" i="29"/>
  <c r="R170" i="29" s="1"/>
  <c r="S170" i="23"/>
  <c r="T170" i="23"/>
  <c r="S378" i="24"/>
  <c r="T378" i="24"/>
  <c r="L340" i="29"/>
  <c r="M340" i="29"/>
  <c r="L192" i="29"/>
  <c r="M192" i="29"/>
  <c r="S292" i="23"/>
  <c r="T292" i="23"/>
  <c r="L86" i="29"/>
  <c r="M86" i="29"/>
  <c r="M375" i="29"/>
  <c r="L375" i="29"/>
  <c r="L281" i="29"/>
  <c r="M281" i="29"/>
  <c r="T366" i="14"/>
  <c r="U366" i="14"/>
  <c r="Q67" i="29"/>
  <c r="R67" i="29" s="1"/>
  <c r="S186" i="23"/>
  <c r="T186" i="23"/>
  <c r="T114" i="23"/>
  <c r="S114" i="23"/>
  <c r="T77" i="24"/>
  <c r="S77" i="24"/>
  <c r="S342" i="24"/>
  <c r="T342" i="24"/>
  <c r="L203" i="29"/>
  <c r="M203" i="29"/>
  <c r="L343" i="29"/>
  <c r="M343" i="29"/>
  <c r="S160" i="23"/>
  <c r="T160" i="23"/>
  <c r="T94" i="14"/>
  <c r="U94" i="14"/>
  <c r="L144" i="29"/>
  <c r="M144" i="29"/>
  <c r="M174" i="29"/>
  <c r="L174" i="29"/>
  <c r="S193" i="23"/>
  <c r="T193" i="23"/>
  <c r="T201" i="24"/>
  <c r="S201" i="24"/>
  <c r="L68" i="29"/>
  <c r="M68" i="29"/>
  <c r="M195" i="29"/>
  <c r="L195" i="29"/>
  <c r="M229" i="29"/>
  <c r="L229" i="29"/>
  <c r="T348" i="24"/>
  <c r="S348" i="24"/>
  <c r="S313" i="23"/>
  <c r="T313" i="23"/>
  <c r="T317" i="23"/>
  <c r="S317" i="23"/>
  <c r="L52" i="29"/>
  <c r="M52" i="29"/>
  <c r="M224" i="29"/>
  <c r="L224" i="29"/>
  <c r="T325" i="14"/>
  <c r="U325" i="14"/>
  <c r="T231" i="23"/>
  <c r="S231" i="23"/>
  <c r="L369" i="29"/>
  <c r="M369" i="29"/>
  <c r="S343" i="23"/>
  <c r="T343" i="23"/>
  <c r="M250" i="29"/>
  <c r="L250" i="29"/>
  <c r="M382" i="29"/>
  <c r="L382" i="29"/>
  <c r="T282" i="14"/>
  <c r="U282" i="14"/>
  <c r="T396" i="14"/>
  <c r="U396" i="14"/>
  <c r="S108" i="23"/>
  <c r="T108" i="23"/>
  <c r="T397" i="24"/>
  <c r="S397" i="24"/>
  <c r="M315" i="29"/>
  <c r="L315" i="29"/>
  <c r="S117" i="23"/>
  <c r="T117" i="23"/>
  <c r="S135" i="23"/>
  <c r="T135" i="23"/>
  <c r="T240" i="14"/>
  <c r="U240" i="14"/>
  <c r="M235" i="29"/>
  <c r="L235" i="29"/>
  <c r="T289" i="23"/>
  <c r="S289" i="23"/>
  <c r="L129" i="29"/>
  <c r="M129" i="29"/>
  <c r="T325" i="23"/>
  <c r="S325" i="23"/>
  <c r="T194" i="24"/>
  <c r="S194" i="24"/>
  <c r="L338" i="29"/>
  <c r="M338" i="29"/>
  <c r="M233" i="29"/>
  <c r="L233" i="29"/>
  <c r="M110" i="29"/>
  <c r="L110" i="29"/>
  <c r="T311" i="14"/>
  <c r="E412" i="25" s="1"/>
  <c r="U311" i="14"/>
  <c r="T168" i="14"/>
  <c r="U168" i="14"/>
  <c r="Q322" i="29"/>
  <c r="R322" i="29" s="1"/>
  <c r="U279" i="14"/>
  <c r="T279" i="14"/>
  <c r="T299" i="24"/>
  <c r="S299" i="24"/>
  <c r="Q200" i="29"/>
  <c r="R200" i="29" s="1"/>
  <c r="Q185" i="29"/>
  <c r="R185" i="29" s="1"/>
  <c r="T226" i="23"/>
  <c r="S226" i="23"/>
  <c r="L374" i="29"/>
  <c r="M374" i="29"/>
  <c r="T62" i="23"/>
  <c r="S62" i="23"/>
  <c r="S251" i="24"/>
  <c r="T251" i="24"/>
  <c r="T212" i="23"/>
  <c r="S212" i="23"/>
  <c r="T389" i="23"/>
  <c r="S389" i="23"/>
  <c r="M259" i="29"/>
  <c r="L259" i="29"/>
  <c r="M148" i="29"/>
  <c r="L148" i="29"/>
  <c r="T86" i="14"/>
  <c r="U86" i="14"/>
  <c r="T179" i="24"/>
  <c r="S179" i="24"/>
  <c r="M283" i="29"/>
  <c r="L283" i="29"/>
  <c r="L162" i="29"/>
  <c r="M162" i="29"/>
  <c r="Q142" i="29"/>
  <c r="R142" i="29" s="1"/>
  <c r="S285" i="23"/>
  <c r="T285" i="23"/>
  <c r="U41" i="14"/>
  <c r="T41" i="14"/>
  <c r="T191" i="14"/>
  <c r="U191" i="14"/>
  <c r="T237" i="23"/>
  <c r="S237" i="23"/>
  <c r="Q245" i="29"/>
  <c r="R245" i="29" s="1"/>
  <c r="U288" i="14"/>
  <c r="T288" i="14"/>
  <c r="M272" i="29"/>
  <c r="L272" i="29"/>
  <c r="Q202" i="29"/>
  <c r="R202" i="29" s="1"/>
  <c r="T214" i="23"/>
  <c r="S214" i="23"/>
  <c r="T69" i="23"/>
  <c r="S69" i="23"/>
  <c r="L294" i="29"/>
  <c r="M294" i="29"/>
  <c r="T287" i="23"/>
  <c r="S287" i="23"/>
  <c r="T300" i="24"/>
  <c r="S300" i="24"/>
  <c r="S391" i="23"/>
  <c r="T391" i="23"/>
  <c r="T223" i="14"/>
  <c r="U223" i="14"/>
  <c r="S154" i="24"/>
  <c r="T154" i="24"/>
  <c r="M337" i="29"/>
  <c r="L337" i="29"/>
  <c r="M193" i="29"/>
  <c r="L193" i="29"/>
  <c r="T387" i="23"/>
  <c r="S387" i="23"/>
  <c r="S395" i="23"/>
  <c r="T395" i="23"/>
  <c r="T70" i="23"/>
  <c r="S70" i="23"/>
  <c r="L140" i="29"/>
  <c r="M140" i="29"/>
  <c r="S265" i="24"/>
  <c r="T265" i="24"/>
  <c r="S146" i="23"/>
  <c r="T146" i="23"/>
  <c r="L273" i="29"/>
  <c r="M273" i="29"/>
  <c r="M163" i="29"/>
  <c r="L163" i="29"/>
  <c r="M351" i="29"/>
  <c r="L351" i="29"/>
  <c r="S168" i="23"/>
  <c r="T168" i="23"/>
  <c r="Q271" i="29"/>
  <c r="R271" i="29" s="1"/>
  <c r="T299" i="23"/>
  <c r="S299" i="23"/>
  <c r="M91" i="29"/>
  <c r="L91" i="29"/>
  <c r="M270" i="29"/>
  <c r="L270" i="29"/>
  <c r="S150" i="23"/>
  <c r="T150" i="23"/>
  <c r="M320" i="29"/>
  <c r="L320" i="29"/>
  <c r="S145" i="23"/>
  <c r="T145" i="23"/>
  <c r="T147" i="14"/>
  <c r="U147" i="14"/>
  <c r="S310" i="23"/>
  <c r="T310" i="23"/>
  <c r="L223" i="29"/>
  <c r="M223" i="29"/>
  <c r="S271" i="23"/>
  <c r="T271" i="23"/>
  <c r="Q76" i="29"/>
  <c r="R76" i="29" s="1"/>
  <c r="Q153" i="29"/>
  <c r="R153" i="29" s="1"/>
  <c r="Q207" i="29"/>
  <c r="R207" i="29" s="1"/>
  <c r="T371" i="23"/>
  <c r="S371" i="23"/>
  <c r="Q145" i="29"/>
  <c r="R145" i="29" s="1"/>
  <c r="Q368" i="29"/>
  <c r="R368" i="29" s="1"/>
  <c r="Q55" i="29"/>
  <c r="R55" i="29" s="1"/>
  <c r="T278" i="14"/>
  <c r="U278" i="14"/>
  <c r="L167" i="29"/>
  <c r="M167" i="29"/>
  <c r="T138" i="23"/>
  <c r="S138" i="23"/>
  <c r="S84" i="23"/>
  <c r="T84" i="23"/>
  <c r="T380" i="24"/>
  <c r="S380" i="24"/>
  <c r="L92" i="29"/>
  <c r="M92" i="29"/>
  <c r="U44" i="14"/>
  <c r="T44" i="14"/>
  <c r="S78" i="23"/>
  <c r="T78" i="23"/>
  <c r="T232" i="23"/>
  <c r="S232" i="23"/>
  <c r="T357" i="23"/>
  <c r="S357" i="23"/>
  <c r="M170" i="29"/>
  <c r="L170" i="29"/>
  <c r="T43" i="23"/>
  <c r="S334" i="23"/>
  <c r="T334" i="23"/>
  <c r="Q192" i="29"/>
  <c r="R192" i="29" s="1"/>
  <c r="T213" i="23"/>
  <c r="S213" i="23"/>
  <c r="L232" i="29"/>
  <c r="M232" i="29"/>
  <c r="Q286" i="29"/>
  <c r="R286" i="29" s="1"/>
  <c r="T225" i="24"/>
  <c r="S225" i="24"/>
  <c r="Q107" i="29"/>
  <c r="R107" i="29" s="1"/>
  <c r="Q189" i="29"/>
  <c r="R189" i="29" s="1"/>
  <c r="T254" i="23"/>
  <c r="S254" i="23"/>
  <c r="L67" i="29"/>
  <c r="M67" i="29"/>
  <c r="T103" i="24"/>
  <c r="S103" i="24"/>
  <c r="S208" i="24"/>
  <c r="T208" i="24"/>
  <c r="Q234" i="29"/>
  <c r="R234" i="29" s="1"/>
  <c r="T241" i="23"/>
  <c r="S241" i="23"/>
  <c r="Q103" i="29"/>
  <c r="R103" i="29" s="1"/>
  <c r="Q331" i="29"/>
  <c r="R331" i="29" s="1"/>
  <c r="S77" i="23"/>
  <c r="T77" i="23"/>
  <c r="S161" i="23"/>
  <c r="T161" i="23"/>
  <c r="Q355" i="29"/>
  <c r="R355" i="29" s="1"/>
  <c r="Q366" i="29"/>
  <c r="R366" i="29" s="1"/>
  <c r="T59" i="23"/>
  <c r="S59" i="23"/>
  <c r="T130" i="24"/>
  <c r="S130" i="24"/>
  <c r="T226" i="24"/>
  <c r="S226" i="24"/>
  <c r="Q370" i="29"/>
  <c r="R370" i="29" s="1"/>
  <c r="Q280" i="29"/>
  <c r="R280" i="29" s="1"/>
  <c r="Q328" i="29"/>
  <c r="R328" i="29" s="1"/>
  <c r="T362" i="14"/>
  <c r="U362" i="14"/>
  <c r="T210" i="23"/>
  <c r="S210" i="23"/>
  <c r="Q341" i="29"/>
  <c r="R341" i="29" s="1"/>
  <c r="U398" i="14"/>
  <c r="T99" i="24"/>
  <c r="S99" i="24"/>
  <c r="Q277" i="29"/>
  <c r="R277" i="29" s="1"/>
  <c r="Q336" i="29"/>
  <c r="R336" i="29" s="1"/>
  <c r="S229" i="23"/>
  <c r="T229" i="23"/>
  <c r="T100" i="23"/>
  <c r="S100" i="23"/>
  <c r="Q197" i="29"/>
  <c r="R197" i="29" s="1"/>
  <c r="S86" i="23"/>
  <c r="T86" i="23"/>
  <c r="T238" i="14"/>
  <c r="U238" i="14"/>
  <c r="Q95" i="29"/>
  <c r="R95" i="29" s="1"/>
  <c r="Q83" i="29"/>
  <c r="R83" i="29" s="1"/>
  <c r="S337" i="23"/>
  <c r="T337" i="23"/>
  <c r="T68" i="24"/>
  <c r="S68" i="24"/>
  <c r="T293" i="23"/>
  <c r="S293" i="23"/>
  <c r="Q160" i="29"/>
  <c r="R160" i="29" s="1"/>
  <c r="Q165" i="29"/>
  <c r="R165" i="29" s="1"/>
  <c r="Q73" i="29"/>
  <c r="R73" i="29" s="1"/>
  <c r="T245" i="23"/>
  <c r="S245" i="23"/>
  <c r="L322" i="29"/>
  <c r="M322" i="29"/>
  <c r="S388" i="23"/>
  <c r="T388" i="23"/>
  <c r="M200" i="29"/>
  <c r="L200" i="29"/>
  <c r="S68" i="23"/>
  <c r="T68" i="23"/>
  <c r="M185" i="29"/>
  <c r="L185" i="29"/>
  <c r="Q109" i="29"/>
  <c r="R109" i="29" s="1"/>
  <c r="S321" i="23"/>
  <c r="T321" i="23"/>
  <c r="M89" i="29"/>
  <c r="L89" i="29"/>
  <c r="Q392" i="29"/>
  <c r="R392" i="29" s="1"/>
  <c r="S148" i="23"/>
  <c r="T148" i="23"/>
  <c r="Q198" i="29"/>
  <c r="R198" i="29" s="1"/>
  <c r="S172" i="23"/>
  <c r="T172" i="23"/>
  <c r="Q226" i="29"/>
  <c r="R226" i="29" s="1"/>
  <c r="Q156" i="29"/>
  <c r="R156" i="29" s="1"/>
  <c r="Q44" i="29"/>
  <c r="R44" i="29" s="1"/>
  <c r="S362" i="24"/>
  <c r="T362" i="24"/>
  <c r="M62" i="29"/>
  <c r="L62" i="29"/>
  <c r="L245" i="29"/>
  <c r="M245" i="29"/>
  <c r="S333" i="23"/>
  <c r="T333" i="23"/>
  <c r="T385" i="24"/>
  <c r="S385" i="24"/>
  <c r="Q272" i="29"/>
  <c r="R272" i="29" s="1"/>
  <c r="L202" i="29"/>
  <c r="M202" i="29"/>
  <c r="T274" i="23"/>
  <c r="S274" i="23"/>
  <c r="S126" i="24"/>
  <c r="Q327" i="29"/>
  <c r="R327" i="29" s="1"/>
  <c r="T248" i="23"/>
  <c r="S248" i="23"/>
  <c r="Q344" i="29"/>
  <c r="R344" i="29" s="1"/>
  <c r="Q386" i="29"/>
  <c r="R386" i="29" s="1"/>
  <c r="T275" i="24"/>
  <c r="S275" i="24"/>
  <c r="Q97" i="29"/>
  <c r="R97" i="29" s="1"/>
  <c r="Q208" i="29"/>
  <c r="R208" i="29" s="1"/>
  <c r="Q310" i="29"/>
  <c r="R310" i="29" s="1"/>
  <c r="Q333" i="29"/>
  <c r="R333" i="29" s="1"/>
  <c r="Q147" i="29"/>
  <c r="R147" i="29" s="1"/>
  <c r="T306" i="14"/>
  <c r="U306" i="14"/>
  <c r="U74" i="14"/>
  <c r="T74" i="14"/>
  <c r="T92" i="24"/>
  <c r="L271" i="29"/>
  <c r="M271" i="29"/>
  <c r="Q362" i="29"/>
  <c r="R362" i="29" s="1"/>
  <c r="Q352" i="29"/>
  <c r="R352" i="29" s="1"/>
  <c r="T143" i="23"/>
  <c r="S143" i="23"/>
  <c r="T315" i="24"/>
  <c r="S315" i="24"/>
  <c r="L130" i="29"/>
  <c r="M130" i="29"/>
  <c r="S341" i="23"/>
  <c r="T341" i="23"/>
  <c r="T380" i="23"/>
  <c r="S380" i="23"/>
  <c r="U79" i="14"/>
  <c r="T79" i="14"/>
  <c r="L76" i="29"/>
  <c r="M76" i="29"/>
  <c r="M153" i="29"/>
  <c r="L153" i="29"/>
  <c r="M207" i="29"/>
  <c r="L207" i="29"/>
  <c r="T301" i="23"/>
  <c r="S301" i="23"/>
  <c r="T344" i="23"/>
  <c r="S344" i="23"/>
  <c r="L145" i="29"/>
  <c r="M145" i="29"/>
  <c r="L368" i="29"/>
  <c r="M368" i="29"/>
  <c r="S147" i="23"/>
  <c r="T147" i="23"/>
  <c r="M55" i="29"/>
  <c r="L55" i="29"/>
  <c r="Q136" i="29"/>
  <c r="R136" i="29" s="1"/>
  <c r="S286" i="24"/>
  <c r="T286" i="24"/>
  <c r="M121" i="29"/>
  <c r="L121" i="29"/>
  <c r="T257" i="24"/>
  <c r="S257" i="24"/>
  <c r="S169" i="23"/>
  <c r="T169" i="23"/>
  <c r="Q217" i="29"/>
  <c r="R217" i="29" s="1"/>
  <c r="Q186" i="29"/>
  <c r="R186" i="29" s="1"/>
  <c r="S345" i="24"/>
  <c r="T345" i="24"/>
  <c r="S369" i="24"/>
  <c r="T369" i="24"/>
  <c r="T378" i="23"/>
  <c r="S378" i="23"/>
  <c r="Q247" i="29"/>
  <c r="R247" i="29" s="1"/>
  <c r="M390" i="29"/>
  <c r="L390" i="29"/>
  <c r="S99" i="23"/>
  <c r="T99" i="23"/>
  <c r="S49" i="23"/>
  <c r="T49" i="23"/>
  <c r="S221" i="24"/>
  <c r="T221" i="24"/>
  <c r="S163" i="23"/>
  <c r="T163" i="23"/>
  <c r="Q390" i="29"/>
  <c r="R390" i="29" s="1"/>
  <c r="M286" i="29"/>
  <c r="L286" i="29"/>
  <c r="L107" i="29"/>
  <c r="M107" i="29"/>
  <c r="M189" i="29"/>
  <c r="L189" i="29"/>
  <c r="Q182" i="29"/>
  <c r="R182" i="29" s="1"/>
  <c r="T268" i="23"/>
  <c r="S268" i="23"/>
  <c r="S351" i="23"/>
  <c r="T351" i="23"/>
  <c r="L234" i="29"/>
  <c r="M234" i="29"/>
  <c r="L103" i="29"/>
  <c r="M103" i="29"/>
  <c r="T195" i="23"/>
  <c r="S195" i="23"/>
  <c r="L331" i="29"/>
  <c r="M331" i="29"/>
  <c r="T319" i="24"/>
  <c r="S319" i="24"/>
  <c r="S212" i="24"/>
  <c r="T212" i="24"/>
  <c r="S342" i="23"/>
  <c r="T342" i="23"/>
  <c r="S243" i="23"/>
  <c r="T243" i="23"/>
  <c r="L355" i="29"/>
  <c r="M355" i="29"/>
  <c r="M366" i="29"/>
  <c r="L366" i="29"/>
  <c r="Q190" i="29"/>
  <c r="R190" i="29" s="1"/>
  <c r="S173" i="23"/>
  <c r="T173" i="23"/>
  <c r="U382" i="14"/>
  <c r="T382" i="14"/>
  <c r="T202" i="23"/>
  <c r="S202" i="23"/>
  <c r="M370" i="29"/>
  <c r="L370" i="29"/>
  <c r="L280" i="29"/>
  <c r="M280" i="29"/>
  <c r="M328" i="29"/>
  <c r="L328" i="29"/>
  <c r="T340" i="14"/>
  <c r="U340" i="14"/>
  <c r="T255" i="14"/>
  <c r="U255" i="14"/>
  <c r="M341" i="29"/>
  <c r="L341" i="29"/>
  <c r="M277" i="29"/>
  <c r="L277" i="29"/>
  <c r="T358" i="14"/>
  <c r="U358" i="14"/>
  <c r="M336" i="29"/>
  <c r="L336" i="29"/>
  <c r="S86" i="24"/>
  <c r="T86" i="24"/>
  <c r="T364" i="23"/>
  <c r="S364" i="23"/>
  <c r="T125" i="24"/>
  <c r="S125" i="24"/>
  <c r="L197" i="29"/>
  <c r="M197" i="29"/>
  <c r="M95" i="29"/>
  <c r="L95" i="29"/>
  <c r="M83" i="29"/>
  <c r="L83" i="29"/>
  <c r="S52" i="24"/>
  <c r="T52" i="24"/>
  <c r="Q335" i="29"/>
  <c r="R335" i="29" s="1"/>
  <c r="S263" i="23"/>
  <c r="T263" i="23"/>
  <c r="M160" i="29"/>
  <c r="L160" i="29"/>
  <c r="S143" i="24"/>
  <c r="T143" i="24"/>
  <c r="L165" i="29"/>
  <c r="M165" i="29"/>
  <c r="M73" i="29"/>
  <c r="L73" i="29"/>
  <c r="U253" i="14"/>
  <c r="T253" i="14"/>
  <c r="T278" i="23"/>
  <c r="S278" i="23"/>
  <c r="T189" i="24"/>
  <c r="S189" i="24"/>
  <c r="Q209" i="29"/>
  <c r="R209" i="29" s="1"/>
  <c r="Q123" i="29"/>
  <c r="R123" i="29" s="1"/>
  <c r="Q71" i="29"/>
  <c r="R71" i="29" s="1"/>
  <c r="T315" i="23"/>
  <c r="S315" i="23"/>
  <c r="S92" i="23"/>
  <c r="T92" i="23"/>
  <c r="L109" i="29"/>
  <c r="M109" i="29"/>
  <c r="T263" i="14"/>
  <c r="U263" i="14"/>
  <c r="T240" i="23"/>
  <c r="S240" i="23"/>
  <c r="Q379" i="29"/>
  <c r="R379" i="29" s="1"/>
  <c r="S312" i="23"/>
  <c r="T312" i="23"/>
  <c r="T379" i="23"/>
  <c r="S379" i="23"/>
  <c r="S249" i="24"/>
  <c r="T249" i="24"/>
  <c r="Q89" i="29"/>
  <c r="R89" i="29" s="1"/>
  <c r="L392" i="29"/>
  <c r="M392" i="29"/>
  <c r="S281" i="23"/>
  <c r="T281" i="23"/>
  <c r="L198" i="29"/>
  <c r="M198" i="29"/>
  <c r="S245" i="24"/>
  <c r="M226" i="29"/>
  <c r="L226" i="29"/>
  <c r="L156" i="29"/>
  <c r="M156" i="29"/>
  <c r="M44" i="29"/>
  <c r="L44" i="29"/>
  <c r="U215" i="14"/>
  <c r="T215" i="14"/>
  <c r="Q62" i="29"/>
  <c r="R62" i="29" s="1"/>
  <c r="S272" i="24"/>
  <c r="T272" i="24"/>
  <c r="S50" i="23"/>
  <c r="T50" i="23"/>
  <c r="S156" i="24"/>
  <c r="T156" i="24"/>
  <c r="Q132" i="29"/>
  <c r="R132" i="29" s="1"/>
  <c r="Q41" i="29"/>
  <c r="R41" i="29" s="1"/>
  <c r="T291" i="23"/>
  <c r="S291" i="23"/>
  <c r="Q126" i="29"/>
  <c r="R126" i="29" s="1"/>
  <c r="T51" i="23"/>
  <c r="S51" i="23"/>
  <c r="S158" i="24"/>
  <c r="T158" i="24"/>
  <c r="L327" i="29"/>
  <c r="M327" i="29"/>
  <c r="U356" i="14"/>
  <c r="T356" i="14"/>
  <c r="M344" i="29"/>
  <c r="L344" i="29"/>
  <c r="T96" i="14"/>
  <c r="U96" i="14"/>
  <c r="U200" i="14"/>
  <c r="T200" i="14"/>
  <c r="M386" i="29"/>
  <c r="L386" i="29"/>
  <c r="T260" i="23"/>
  <c r="S260" i="23"/>
  <c r="M97" i="29"/>
  <c r="L97" i="29"/>
  <c r="S83" i="23"/>
  <c r="T83" i="23"/>
  <c r="L208" i="29"/>
  <c r="M208" i="29"/>
  <c r="S178" i="23"/>
  <c r="T178" i="23"/>
  <c r="M310" i="29"/>
  <c r="L310" i="29"/>
  <c r="M333" i="29"/>
  <c r="L333" i="29"/>
  <c r="M147" i="29"/>
  <c r="L147" i="29"/>
  <c r="S253" i="23"/>
  <c r="T253" i="23"/>
  <c r="U250" i="14"/>
  <c r="T250" i="14"/>
  <c r="Q354" i="29"/>
  <c r="R354" i="29" s="1"/>
  <c r="T322" i="24"/>
  <c r="S322" i="24"/>
  <c r="S386" i="23"/>
  <c r="T386" i="23"/>
  <c r="T90" i="14"/>
  <c r="U90" i="14"/>
  <c r="M362" i="29"/>
  <c r="L362" i="29"/>
  <c r="S138" i="24"/>
  <c r="T138" i="24"/>
  <c r="L352" i="29"/>
  <c r="M352" i="29"/>
  <c r="T265" i="23"/>
  <c r="S265" i="23"/>
  <c r="S55" i="24"/>
  <c r="T55" i="24"/>
  <c r="Q130" i="29"/>
  <c r="R130" i="29" s="1"/>
  <c r="S131" i="24"/>
  <c r="T131" i="24"/>
  <c r="Q295" i="29"/>
  <c r="R295" i="29" s="1"/>
  <c r="Q268" i="29"/>
  <c r="R268" i="29" s="1"/>
  <c r="S324" i="23"/>
  <c r="T324" i="23"/>
  <c r="S247" i="23"/>
  <c r="T247" i="23"/>
  <c r="Q299" i="29"/>
  <c r="R299" i="29" s="1"/>
  <c r="Q159" i="29"/>
  <c r="R159" i="29" s="1"/>
  <c r="Q139" i="29"/>
  <c r="R139" i="29" s="1"/>
  <c r="L136" i="29"/>
  <c r="M136" i="29"/>
  <c r="T363" i="23"/>
  <c r="S363" i="23"/>
  <c r="Q121" i="29"/>
  <c r="R121" i="29" s="1"/>
  <c r="L217" i="29"/>
  <c r="M217" i="29"/>
  <c r="M186" i="29"/>
  <c r="L186" i="29"/>
  <c r="T66" i="23"/>
  <c r="S66" i="23"/>
  <c r="T350" i="23"/>
  <c r="S350" i="23"/>
  <c r="S278" i="24"/>
  <c r="T278" i="24"/>
  <c r="M247" i="29"/>
  <c r="L247" i="29"/>
  <c r="T288" i="23"/>
  <c r="S288" i="23"/>
  <c r="S327" i="24"/>
  <c r="T327" i="24"/>
  <c r="Q303" i="29"/>
  <c r="R303" i="29" s="1"/>
  <c r="T322" i="23"/>
  <c r="S322" i="23"/>
  <c r="T228" i="24"/>
  <c r="S228" i="24"/>
  <c r="Q191" i="29"/>
  <c r="R191" i="29" s="1"/>
  <c r="Q308" i="29"/>
  <c r="R308" i="29" s="1"/>
  <c r="Q227" i="29"/>
  <c r="R227" i="29" s="1"/>
  <c r="S347" i="23"/>
  <c r="T347" i="23"/>
  <c r="U92" i="14"/>
  <c r="T92" i="14"/>
  <c r="M182" i="29"/>
  <c r="L182" i="29"/>
  <c r="U353" i="14"/>
  <c r="T353" i="14"/>
  <c r="S127" i="24"/>
  <c r="T127" i="24"/>
  <c r="L158" i="29"/>
  <c r="M158" i="29"/>
  <c r="T294" i="24"/>
  <c r="S294" i="24"/>
  <c r="Q290" i="29"/>
  <c r="R290" i="29" s="1"/>
  <c r="Q251" i="29"/>
  <c r="R251" i="29" s="1"/>
  <c r="T54" i="23"/>
  <c r="S54" i="23"/>
  <c r="Q367" i="29"/>
  <c r="R367" i="29" s="1"/>
  <c r="Q321" i="29"/>
  <c r="R321" i="29" s="1"/>
  <c r="S316" i="24"/>
  <c r="T316" i="24"/>
  <c r="Q260" i="29"/>
  <c r="R260" i="29" s="1"/>
  <c r="M190" i="29"/>
  <c r="L190" i="29"/>
  <c r="Q228" i="29"/>
  <c r="R228" i="29" s="1"/>
  <c r="Q43" i="29"/>
  <c r="R43" i="29" s="1"/>
  <c r="Q115" i="29"/>
  <c r="R115" i="29" s="1"/>
  <c r="Q256" i="29"/>
  <c r="R256" i="29" s="1"/>
  <c r="T75" i="23"/>
  <c r="S75" i="23"/>
  <c r="U204" i="14"/>
  <c r="T204" i="14"/>
  <c r="U259" i="14"/>
  <c r="T259" i="14"/>
  <c r="Q348" i="29"/>
  <c r="R348" i="29" s="1"/>
  <c r="T297" i="23"/>
  <c r="S297" i="23"/>
  <c r="T162" i="24"/>
  <c r="S162" i="24"/>
  <c r="Q90" i="29"/>
  <c r="R90" i="29" s="1"/>
  <c r="Q394" i="29"/>
  <c r="R394" i="29" s="1"/>
  <c r="T294" i="14"/>
  <c r="U294" i="14"/>
  <c r="S119" i="23"/>
  <c r="T119" i="23"/>
  <c r="S261" i="24"/>
  <c r="T261" i="24"/>
  <c r="Q54" i="29"/>
  <c r="R54" i="29" s="1"/>
  <c r="S186" i="24"/>
  <c r="T186" i="24"/>
  <c r="T81" i="23"/>
  <c r="S81" i="23"/>
  <c r="Q318" i="29"/>
  <c r="R318" i="29" s="1"/>
  <c r="L125" i="29"/>
  <c r="M125" i="29"/>
  <c r="S65" i="23"/>
  <c r="T65" i="23"/>
  <c r="T93" i="24"/>
  <c r="S93" i="24"/>
  <c r="M335" i="29"/>
  <c r="L335" i="29"/>
  <c r="Q263" i="29"/>
  <c r="R263" i="29" s="1"/>
  <c r="Q349" i="29"/>
  <c r="R349" i="29" s="1"/>
  <c r="Q395" i="29"/>
  <c r="R395" i="29" s="1"/>
  <c r="T90" i="23"/>
  <c r="S90" i="23"/>
  <c r="T268" i="14"/>
  <c r="U268" i="14"/>
  <c r="U233" i="14"/>
  <c r="T233" i="14"/>
  <c r="S41" i="24"/>
  <c r="T41" i="24"/>
  <c r="M209" i="29"/>
  <c r="L209" i="29"/>
  <c r="T227" i="23"/>
  <c r="S227" i="23"/>
  <c r="M123" i="29"/>
  <c r="L123" i="29"/>
  <c r="L71" i="29"/>
  <c r="M71" i="29"/>
  <c r="Q258" i="29"/>
  <c r="R258" i="29" s="1"/>
  <c r="T303" i="23"/>
  <c r="S303" i="23"/>
  <c r="S356" i="24"/>
  <c r="T356" i="24"/>
  <c r="Q39" i="29"/>
  <c r="R39" i="29" s="1"/>
  <c r="J381" i="25"/>
  <c r="S213" i="24"/>
  <c r="T213" i="24"/>
  <c r="M379" i="29"/>
  <c r="L379" i="29"/>
  <c r="Q378" i="29"/>
  <c r="R378" i="29" s="1"/>
  <c r="T139" i="23"/>
  <c r="S139" i="23"/>
  <c r="M276" i="29"/>
  <c r="L276" i="29"/>
  <c r="Q383" i="29"/>
  <c r="R383" i="29" s="1"/>
  <c r="T373" i="23"/>
  <c r="S373" i="23"/>
  <c r="Q282" i="29"/>
  <c r="R282" i="29" s="1"/>
  <c r="Q177" i="29"/>
  <c r="R177" i="29" s="1"/>
  <c r="Q215" i="29"/>
  <c r="R215" i="29" s="1"/>
  <c r="Q221" i="29"/>
  <c r="R221" i="29" s="1"/>
  <c r="T236" i="23"/>
  <c r="S236" i="23"/>
  <c r="T176" i="14"/>
  <c r="U176" i="14"/>
  <c r="T166" i="23"/>
  <c r="S166" i="23"/>
  <c r="T223" i="24"/>
  <c r="S223" i="24"/>
  <c r="L132" i="29"/>
  <c r="M132" i="29"/>
  <c r="L41" i="29"/>
  <c r="M41" i="29"/>
  <c r="T235" i="24"/>
  <c r="S235" i="24"/>
  <c r="L126" i="29"/>
  <c r="M126" i="29"/>
  <c r="S336" i="23"/>
  <c r="T336" i="23"/>
  <c r="S87" i="24"/>
  <c r="T87" i="24"/>
  <c r="T276" i="23"/>
  <c r="S276" i="23"/>
  <c r="Q53" i="29"/>
  <c r="R53" i="29" s="1"/>
  <c r="M356" i="29"/>
  <c r="L356" i="29"/>
  <c r="Q236" i="29"/>
  <c r="R236" i="29" s="1"/>
  <c r="T210" i="14"/>
  <c r="U210" i="14"/>
  <c r="Q397" i="29"/>
  <c r="R397" i="29" s="1"/>
  <c r="Q363" i="29"/>
  <c r="R363" i="29" s="1"/>
  <c r="S238" i="23"/>
  <c r="T238" i="23"/>
  <c r="Q347" i="29"/>
  <c r="R347" i="29" s="1"/>
  <c r="L354" i="29"/>
  <c r="M354" i="29"/>
  <c r="S259" i="23"/>
  <c r="T259" i="23"/>
  <c r="Q166" i="29"/>
  <c r="R166" i="29" s="1"/>
  <c r="Q46" i="29"/>
  <c r="R46" i="29" s="1"/>
  <c r="T131" i="14"/>
  <c r="U131" i="14"/>
  <c r="U337" i="14"/>
  <c r="T244" i="24"/>
  <c r="S244" i="24"/>
  <c r="Q246" i="29"/>
  <c r="R246" i="29" s="1"/>
  <c r="S300" i="23"/>
  <c r="T300" i="23"/>
  <c r="M295" i="29"/>
  <c r="L295" i="29"/>
  <c r="T46" i="23"/>
  <c r="S46" i="23"/>
  <c r="M268" i="29"/>
  <c r="L268" i="29"/>
  <c r="T113" i="14"/>
  <c r="U113" i="14"/>
  <c r="L299" i="29"/>
  <c r="M299" i="29"/>
  <c r="L159" i="29"/>
  <c r="M159" i="29"/>
  <c r="L139" i="29"/>
  <c r="M139" i="29"/>
  <c r="T128" i="24"/>
  <c r="S128" i="24"/>
  <c r="U304" i="14"/>
  <c r="T304" i="14"/>
  <c r="U173" i="14"/>
  <c r="T173" i="14"/>
  <c r="Q302" i="29"/>
  <c r="R302" i="29" s="1"/>
  <c r="T205" i="23"/>
  <c r="S205" i="23"/>
  <c r="Q181" i="29"/>
  <c r="R181" i="29" s="1"/>
  <c r="Q45" i="29"/>
  <c r="R45" i="29" s="1"/>
  <c r="T131" i="23"/>
  <c r="S131" i="23"/>
  <c r="T140" i="24"/>
  <c r="S140" i="24"/>
  <c r="Q111" i="29"/>
  <c r="R111" i="29" s="1"/>
  <c r="S94" i="23"/>
  <c r="T94" i="23"/>
  <c r="T144" i="23"/>
  <c r="S144" i="23"/>
  <c r="S224" i="23"/>
  <c r="T224" i="23"/>
  <c r="L313" i="29"/>
  <c r="M313" i="29"/>
  <c r="M303" i="29"/>
  <c r="L303" i="29"/>
  <c r="P224" i="23"/>
  <c r="U57" i="14"/>
  <c r="T57" i="14"/>
  <c r="S85" i="23"/>
  <c r="T85" i="23"/>
  <c r="L191" i="29"/>
  <c r="M191" i="29"/>
  <c r="M308" i="29"/>
  <c r="L308" i="29"/>
  <c r="L227" i="29"/>
  <c r="M227" i="29"/>
  <c r="T62" i="14"/>
  <c r="U62" i="14"/>
  <c r="T258" i="14"/>
  <c r="U258" i="14"/>
  <c r="T397" i="23"/>
  <c r="S397" i="23"/>
  <c r="Q158" i="29"/>
  <c r="R158" i="29" s="1"/>
  <c r="T296" i="23"/>
  <c r="S296" i="23"/>
  <c r="S307" i="24"/>
  <c r="T307" i="24"/>
  <c r="M290" i="29"/>
  <c r="L290" i="29"/>
  <c r="L251" i="29"/>
  <c r="M251" i="29"/>
  <c r="T295" i="23"/>
  <c r="S295" i="23"/>
  <c r="T122" i="24"/>
  <c r="S122" i="24"/>
  <c r="L367" i="29"/>
  <c r="M367" i="29"/>
  <c r="T226" i="14"/>
  <c r="U226" i="14"/>
  <c r="T329" i="14"/>
  <c r="U329" i="14"/>
  <c r="S149" i="23"/>
  <c r="T149" i="23"/>
  <c r="T216" i="24"/>
  <c r="S216" i="24"/>
  <c r="L321" i="29"/>
  <c r="M321" i="29"/>
  <c r="T280" i="23"/>
  <c r="S280" i="23"/>
  <c r="T306" i="23"/>
  <c r="S306" i="23"/>
  <c r="L260" i="29"/>
  <c r="M260" i="29"/>
  <c r="Q284" i="29"/>
  <c r="R284" i="29" s="1"/>
  <c r="M228" i="29"/>
  <c r="L228" i="29"/>
  <c r="S360" i="23"/>
  <c r="T360" i="23"/>
  <c r="M43" i="29"/>
  <c r="L43" i="29"/>
  <c r="M115" i="29"/>
  <c r="L115" i="29"/>
  <c r="S384" i="24"/>
  <c r="T384" i="24"/>
  <c r="L256" i="29"/>
  <c r="M256" i="29"/>
  <c r="U114" i="14"/>
  <c r="T114" i="14"/>
  <c r="U388" i="14"/>
  <c r="T388" i="14"/>
  <c r="L348" i="29"/>
  <c r="M348" i="29"/>
  <c r="T76" i="23"/>
  <c r="S76" i="23"/>
  <c r="T247" i="24"/>
  <c r="S247" i="24"/>
  <c r="S111" i="23"/>
  <c r="T111" i="23"/>
  <c r="M90" i="29"/>
  <c r="L90" i="29"/>
  <c r="M394" i="29"/>
  <c r="L394" i="29"/>
  <c r="L54" i="29"/>
  <c r="M54" i="29"/>
  <c r="S230" i="23"/>
  <c r="T230" i="23"/>
  <c r="T225" i="23"/>
  <c r="S225" i="23"/>
  <c r="L318" i="29"/>
  <c r="M318" i="29"/>
  <c r="T127" i="23"/>
  <c r="S127" i="23"/>
  <c r="Q125" i="29"/>
  <c r="R125" i="29" s="1"/>
  <c r="S331" i="23"/>
  <c r="T331" i="23"/>
  <c r="Q264" i="29"/>
  <c r="R264" i="29" s="1"/>
  <c r="Q243" i="29"/>
  <c r="R243" i="29" s="1"/>
  <c r="T267" i="24"/>
  <c r="S267" i="24"/>
  <c r="M263" i="29"/>
  <c r="L263" i="29"/>
  <c r="L349" i="29"/>
  <c r="M349" i="29"/>
  <c r="L395" i="29"/>
  <c r="M395" i="29"/>
  <c r="T118" i="14"/>
  <c r="U118" i="14"/>
  <c r="T202" i="14"/>
  <c r="U202" i="14"/>
  <c r="S235" i="23"/>
  <c r="T235" i="23"/>
  <c r="L84" i="29"/>
  <c r="M84" i="29"/>
  <c r="Q72" i="29"/>
  <c r="R72" i="29" s="1"/>
  <c r="Q77" i="29"/>
  <c r="R77" i="29" s="1"/>
  <c r="S346" i="24"/>
  <c r="T346" i="24"/>
  <c r="L258" i="29"/>
  <c r="M258" i="29"/>
  <c r="M39" i="29"/>
  <c r="L39" i="29"/>
  <c r="T56" i="23"/>
  <c r="S56" i="23"/>
  <c r="Q278" i="29"/>
  <c r="R278" i="29" s="1"/>
  <c r="S199" i="23"/>
  <c r="T199" i="23"/>
  <c r="L378" i="29"/>
  <c r="M378" i="29"/>
  <c r="Q276" i="29"/>
  <c r="R276" i="29" s="1"/>
  <c r="T44" i="23"/>
  <c r="S44" i="23"/>
  <c r="S227" i="24"/>
  <c r="T227" i="24"/>
  <c r="L383" i="29"/>
  <c r="M383" i="29"/>
  <c r="L282" i="29"/>
  <c r="M282" i="29"/>
  <c r="M177" i="29"/>
  <c r="L177" i="29"/>
  <c r="L215" i="29"/>
  <c r="M215" i="29"/>
  <c r="S98" i="24"/>
  <c r="T98" i="24"/>
  <c r="L221" i="29"/>
  <c r="M221" i="29"/>
  <c r="T211" i="24"/>
  <c r="S211" i="24"/>
  <c r="M380" i="29"/>
  <c r="L380" i="29"/>
  <c r="S257" i="23"/>
  <c r="T257" i="23"/>
  <c r="Q393" i="29"/>
  <c r="R393" i="29" s="1"/>
  <c r="S136" i="23"/>
  <c r="T136" i="23"/>
  <c r="Q133" i="29"/>
  <c r="R133" i="29" s="1"/>
  <c r="S311" i="24"/>
  <c r="T311" i="24"/>
  <c r="T298" i="23"/>
  <c r="S298" i="23"/>
  <c r="T133" i="23"/>
  <c r="S133" i="23"/>
  <c r="M53" i="29"/>
  <c r="L53" i="29"/>
  <c r="T382" i="23"/>
  <c r="S382" i="23"/>
  <c r="Q356" i="29"/>
  <c r="R356" i="29" s="1"/>
  <c r="L236" i="29"/>
  <c r="M236" i="29"/>
  <c r="S301" i="24"/>
  <c r="T301" i="24"/>
  <c r="M397" i="29"/>
  <c r="L397" i="29"/>
  <c r="M363" i="29"/>
  <c r="L363" i="29"/>
  <c r="S89" i="24"/>
  <c r="T89" i="24"/>
  <c r="L347" i="29"/>
  <c r="M347" i="29"/>
  <c r="U283" i="14"/>
  <c r="T283" i="14"/>
  <c r="T308" i="14"/>
  <c r="U308" i="14"/>
  <c r="Q288" i="29"/>
  <c r="R288" i="29" s="1"/>
  <c r="Q319" i="29"/>
  <c r="R319" i="29" s="1"/>
  <c r="L166" i="29"/>
  <c r="M166" i="29"/>
  <c r="U265" i="14"/>
  <c r="T265" i="14"/>
  <c r="M46" i="29"/>
  <c r="L46" i="29"/>
  <c r="S39" i="23"/>
  <c r="T39" i="23"/>
  <c r="E423" i="25" s="1"/>
  <c r="S217" i="23"/>
  <c r="T217" i="23"/>
  <c r="M246" i="29"/>
  <c r="L246" i="29"/>
  <c r="S279" i="23"/>
  <c r="T279" i="23"/>
  <c r="Q266" i="29"/>
  <c r="R266" i="29" s="1"/>
  <c r="Q316" i="29"/>
  <c r="R316" i="29" s="1"/>
  <c r="Q342" i="29"/>
  <c r="R342" i="29" s="1"/>
  <c r="Q194" i="29"/>
  <c r="R194" i="29" s="1"/>
  <c r="T258" i="23"/>
  <c r="S258" i="23"/>
  <c r="Q49" i="29"/>
  <c r="R49" i="29" s="1"/>
  <c r="M253" i="29"/>
  <c r="L253" i="29"/>
  <c r="Q61" i="29"/>
  <c r="R61" i="29" s="1"/>
  <c r="U266" i="14"/>
  <c r="T266" i="14"/>
  <c r="U376" i="14"/>
  <c r="T376" i="14"/>
  <c r="M302" i="29"/>
  <c r="L302" i="29"/>
  <c r="T140" i="23"/>
  <c r="S140" i="23"/>
  <c r="S40" i="24"/>
  <c r="T40" i="24"/>
  <c r="L181" i="29"/>
  <c r="M181" i="29"/>
  <c r="L45" i="29"/>
  <c r="M45" i="29"/>
  <c r="M111" i="29"/>
  <c r="L111" i="29"/>
  <c r="T222" i="23"/>
  <c r="S222" i="23"/>
  <c r="S97" i="24"/>
  <c r="T97" i="24"/>
  <c r="Q313" i="29"/>
  <c r="R313" i="29" s="1"/>
  <c r="Q138" i="29"/>
  <c r="R138" i="29" s="1"/>
  <c r="Q353" i="29"/>
  <c r="R353" i="29" s="1"/>
  <c r="T105" i="23"/>
  <c r="S105" i="23"/>
  <c r="T282" i="24"/>
  <c r="S282" i="24"/>
  <c r="U50" i="14"/>
  <c r="T50" i="14"/>
  <c r="Q118" i="29"/>
  <c r="R118" i="29" s="1"/>
  <c r="M381" i="29"/>
  <c r="L381" i="29"/>
  <c r="Q311" i="29"/>
  <c r="R311" i="29" s="1"/>
  <c r="J386" i="25"/>
  <c r="T75" i="14"/>
  <c r="U75" i="14"/>
  <c r="T203" i="23"/>
  <c r="S203" i="23"/>
  <c r="U51" i="14"/>
  <c r="T51" i="14"/>
  <c r="Q289" i="29"/>
  <c r="R289" i="29" s="1"/>
  <c r="T322" i="14"/>
  <c r="U322" i="14"/>
  <c r="Q332" i="29"/>
  <c r="R332" i="29" s="1"/>
  <c r="Q279" i="29"/>
  <c r="R279" i="29" s="1"/>
  <c r="Q50" i="29"/>
  <c r="R50" i="29" s="1"/>
  <c r="T383" i="23"/>
  <c r="S383" i="23"/>
  <c r="T113" i="23"/>
  <c r="S113" i="23"/>
  <c r="S91" i="23"/>
  <c r="T91" i="23"/>
  <c r="Q377" i="29"/>
  <c r="R377" i="29" s="1"/>
  <c r="U360" i="14"/>
  <c r="T360" i="14"/>
  <c r="T246" i="23"/>
  <c r="S246" i="23"/>
  <c r="Q201" i="29"/>
  <c r="R201" i="29" s="1"/>
  <c r="T251" i="23"/>
  <c r="S251" i="23"/>
  <c r="L284" i="29"/>
  <c r="M284" i="29"/>
  <c r="S327" i="23"/>
  <c r="T327" i="23"/>
  <c r="S232" i="24"/>
  <c r="T232" i="24"/>
  <c r="Q371" i="29"/>
  <c r="R371" i="29" s="1"/>
  <c r="U336" i="14"/>
  <c r="T336" i="14"/>
  <c r="Q135" i="29"/>
  <c r="R135" i="29" s="1"/>
  <c r="Q361" i="29"/>
  <c r="R361" i="29" s="1"/>
  <c r="J384" i="25"/>
  <c r="S64" i="23"/>
  <c r="T64" i="23"/>
  <c r="Q213" i="29"/>
  <c r="R213" i="29" s="1"/>
  <c r="U323" i="14"/>
  <c r="T323" i="14"/>
  <c r="Q339" i="29"/>
  <c r="R339" i="29" s="1"/>
  <c r="S167" i="23"/>
  <c r="T167" i="23"/>
  <c r="T155" i="23"/>
  <c r="S155" i="23"/>
  <c r="Q293" i="29"/>
  <c r="R293" i="29" s="1"/>
  <c r="Q269" i="29"/>
  <c r="R269" i="29" s="1"/>
  <c r="T283" i="23"/>
  <c r="S283" i="23"/>
  <c r="Q64" i="29"/>
  <c r="R64" i="29" s="1"/>
  <c r="S398" i="23"/>
  <c r="T398" i="23"/>
  <c r="T360" i="24"/>
  <c r="S360" i="24"/>
  <c r="T201" i="23"/>
  <c r="S201" i="23"/>
  <c r="Q81" i="29"/>
  <c r="R81" i="29" s="1"/>
  <c r="J379" i="25"/>
  <c r="U293" i="14"/>
  <c r="T293" i="14"/>
  <c r="Q96" i="29"/>
  <c r="R96" i="29" s="1"/>
  <c r="L264" i="29"/>
  <c r="M264" i="29"/>
  <c r="T42" i="24"/>
  <c r="S42" i="24"/>
  <c r="L243" i="29"/>
  <c r="M243" i="29"/>
  <c r="S74" i="23"/>
  <c r="T74" i="23"/>
  <c r="Q175" i="29"/>
  <c r="R175" i="29" s="1"/>
  <c r="Q113" i="29"/>
  <c r="R113" i="29" s="1"/>
  <c r="Q300" i="29"/>
  <c r="R300" i="29" s="1"/>
  <c r="Q161" i="29"/>
  <c r="R161" i="29" s="1"/>
  <c r="T161" i="14"/>
  <c r="U161" i="14"/>
  <c r="U295" i="14"/>
  <c r="T295" i="14"/>
  <c r="T311" i="23"/>
  <c r="S311" i="23"/>
  <c r="E429" i="25" s="1"/>
  <c r="S112" i="24"/>
  <c r="T112" i="24"/>
  <c r="Q84" i="29"/>
  <c r="R84" i="29" s="1"/>
  <c r="M72" i="29"/>
  <c r="L72" i="29"/>
  <c r="L77" i="29"/>
  <c r="M77" i="29"/>
  <c r="S282" i="23"/>
  <c r="T282" i="23"/>
  <c r="Q206" i="29"/>
  <c r="R206" i="29" s="1"/>
  <c r="S349" i="23"/>
  <c r="T349" i="23"/>
  <c r="T96" i="24"/>
  <c r="S96" i="24"/>
  <c r="T353" i="23"/>
  <c r="S353" i="23"/>
  <c r="L278" i="29"/>
  <c r="M278" i="29"/>
  <c r="T176" i="23"/>
  <c r="S176" i="23"/>
  <c r="Q187" i="29"/>
  <c r="R187" i="29" s="1"/>
  <c r="Q164" i="29"/>
  <c r="R164" i="29" s="1"/>
  <c r="Q56" i="29"/>
  <c r="R56" i="29" s="1"/>
  <c r="T296" i="14"/>
  <c r="U296" i="14"/>
  <c r="Q143" i="29"/>
  <c r="R143" i="29" s="1"/>
  <c r="Q307" i="29"/>
  <c r="R307" i="29" s="1"/>
  <c r="Q304" i="29"/>
  <c r="R304" i="29" s="1"/>
  <c r="T45" i="14"/>
  <c r="U45" i="14"/>
  <c r="S204" i="23"/>
  <c r="T204" i="23"/>
  <c r="T392" i="23"/>
  <c r="S392" i="23"/>
  <c r="Q380" i="29"/>
  <c r="R380" i="29" s="1"/>
  <c r="M393" i="29"/>
  <c r="L393" i="29"/>
  <c r="T266" i="23"/>
  <c r="S266" i="23"/>
  <c r="T193" i="24"/>
  <c r="S193" i="24"/>
  <c r="L133" i="29"/>
  <c r="M133" i="29"/>
  <c r="U175" i="14"/>
  <c r="T175" i="14"/>
  <c r="S267" i="23"/>
  <c r="T267" i="23"/>
  <c r="T203" i="24"/>
  <c r="S203" i="24"/>
  <c r="Q101" i="29"/>
  <c r="R101" i="29" s="1"/>
  <c r="T242" i="24"/>
  <c r="S242" i="24"/>
  <c r="T63" i="23"/>
  <c r="S63" i="23"/>
  <c r="Q88" i="29"/>
  <c r="R88" i="29" s="1"/>
  <c r="Q323" i="29"/>
  <c r="R323" i="29" s="1"/>
  <c r="M150" i="29"/>
  <c r="L150" i="29"/>
  <c r="Q298" i="29"/>
  <c r="R298" i="29" s="1"/>
  <c r="Q70" i="29"/>
  <c r="R70" i="29" s="1"/>
  <c r="S306" i="24"/>
  <c r="T306" i="24"/>
  <c r="L288" i="29"/>
  <c r="M288" i="29"/>
  <c r="U305" i="14"/>
  <c r="T305" i="14"/>
  <c r="T355" i="23"/>
  <c r="S355" i="23"/>
  <c r="L319" i="29"/>
  <c r="M319" i="29"/>
  <c r="S334" i="24"/>
  <c r="T334" i="24"/>
  <c r="Q157" i="29"/>
  <c r="R157" i="29" s="1"/>
  <c r="T102" i="23"/>
  <c r="S102" i="23"/>
  <c r="T366" i="24"/>
  <c r="S233" i="23"/>
  <c r="T233" i="23"/>
  <c r="S160" i="24"/>
  <c r="T160" i="24"/>
  <c r="Q211" i="29"/>
  <c r="R211" i="29" s="1"/>
  <c r="T246" i="24"/>
  <c r="S246" i="24"/>
  <c r="T254" i="14"/>
  <c r="U254" i="14"/>
  <c r="L266" i="29"/>
  <c r="M266" i="29"/>
  <c r="T365" i="14"/>
  <c r="U365" i="14"/>
  <c r="M316" i="29"/>
  <c r="L316" i="29"/>
  <c r="L342" i="29"/>
  <c r="M342" i="29"/>
  <c r="T101" i="23"/>
  <c r="S101" i="23"/>
  <c r="S104" i="23"/>
  <c r="T104" i="23"/>
  <c r="T214" i="24"/>
  <c r="S214" i="24"/>
  <c r="L194" i="29"/>
  <c r="M194" i="29"/>
  <c r="S382" i="24"/>
  <c r="T382" i="24"/>
  <c r="M49" i="29"/>
  <c r="L49" i="29"/>
  <c r="Q253" i="29"/>
  <c r="R253" i="29" s="1"/>
  <c r="L61" i="29"/>
  <c r="M61" i="29"/>
  <c r="T323" i="23"/>
  <c r="S323" i="23"/>
  <c r="U170" i="14"/>
  <c r="T170" i="14"/>
  <c r="L240" i="29"/>
  <c r="M240" i="29"/>
  <c r="Q398" i="29"/>
  <c r="R398" i="29" s="1"/>
  <c r="S239" i="23"/>
  <c r="T239" i="23"/>
  <c r="Q63" i="29"/>
  <c r="R63" i="29" s="1"/>
  <c r="S240" i="24"/>
  <c r="T240" i="24"/>
  <c r="T123" i="24"/>
  <c r="S123" i="24"/>
  <c r="Q151" i="29"/>
  <c r="R151" i="29" s="1"/>
  <c r="T267" i="14"/>
  <c r="U267" i="14"/>
  <c r="Q85" i="29"/>
  <c r="R85" i="29" s="1"/>
  <c r="T194" i="23"/>
  <c r="S194" i="23"/>
  <c r="T191" i="24"/>
  <c r="S191" i="24"/>
  <c r="S80" i="24"/>
  <c r="T80" i="24"/>
  <c r="M138" i="29"/>
  <c r="L138" i="29"/>
  <c r="S142" i="23"/>
  <c r="T142" i="23"/>
  <c r="L118" i="29"/>
  <c r="M118" i="29"/>
  <c r="Q381" i="29"/>
  <c r="R381" i="29" s="1"/>
  <c r="L311" i="29"/>
  <c r="M311" i="29"/>
  <c r="U154" i="14"/>
  <c r="T154" i="14"/>
  <c r="T244" i="23"/>
  <c r="S244" i="23"/>
  <c r="L289" i="29"/>
  <c r="M289" i="29"/>
  <c r="U153" i="14"/>
  <c r="T153" i="14"/>
  <c r="L332" i="29"/>
  <c r="M332" i="29"/>
  <c r="M279" i="29"/>
  <c r="L279" i="29"/>
  <c r="T307" i="23"/>
  <c r="S307" i="23"/>
  <c r="M50" i="29"/>
  <c r="L50" i="29"/>
  <c r="L377" i="29"/>
  <c r="M377" i="29"/>
  <c r="M201" i="29"/>
  <c r="L201" i="29"/>
  <c r="S346" i="23"/>
  <c r="T346" i="23"/>
  <c r="Q42" i="29"/>
  <c r="R42" i="29" s="1"/>
  <c r="L371" i="29"/>
  <c r="M371" i="29"/>
  <c r="T256" i="14"/>
  <c r="U256" i="14"/>
  <c r="M135" i="29"/>
  <c r="L135" i="29"/>
  <c r="L361" i="29"/>
  <c r="M361" i="29"/>
  <c r="M213" i="29"/>
  <c r="L213" i="29"/>
  <c r="U211" i="14"/>
  <c r="T211" i="14"/>
  <c r="T171" i="14"/>
  <c r="U171" i="14"/>
  <c r="M339" i="29"/>
  <c r="L339" i="29"/>
  <c r="M293" i="29"/>
  <c r="L293" i="29"/>
  <c r="T356" i="23"/>
  <c r="S356" i="23"/>
  <c r="S296" i="24"/>
  <c r="T296" i="24"/>
  <c r="L269" i="29"/>
  <c r="M269" i="29"/>
  <c r="T275" i="23"/>
  <c r="S275" i="23"/>
  <c r="S399" i="24"/>
  <c r="T399" i="24"/>
  <c r="L64" i="29"/>
  <c r="M64" i="29"/>
  <c r="M81" i="29"/>
  <c r="L81" i="29"/>
  <c r="S261" i="23"/>
  <c r="T261" i="23"/>
  <c r="S338" i="24"/>
  <c r="T338" i="24"/>
  <c r="L96" i="29"/>
  <c r="M96" i="29"/>
  <c r="T394" i="23"/>
  <c r="S394" i="23"/>
  <c r="Q47" i="29"/>
  <c r="R47" i="29" s="1"/>
  <c r="S60" i="23"/>
  <c r="T60" i="23"/>
  <c r="T325" i="24"/>
  <c r="S325" i="24"/>
  <c r="Q385" i="29"/>
  <c r="R385" i="29" s="1"/>
  <c r="S153" i="24"/>
  <c r="T153" i="24"/>
  <c r="L175" i="29"/>
  <c r="M175" i="29"/>
  <c r="M113" i="29"/>
  <c r="L113" i="29"/>
  <c r="M300" i="29"/>
  <c r="L300" i="29"/>
  <c r="L161" i="29"/>
  <c r="M161" i="29"/>
  <c r="U239" i="14"/>
  <c r="T239" i="14"/>
  <c r="U128" i="14"/>
  <c r="T128" i="14"/>
  <c r="S45" i="23"/>
  <c r="T45" i="23"/>
  <c r="Q345" i="29"/>
  <c r="R345" i="29" s="1"/>
  <c r="T164" i="23"/>
  <c r="S164" i="23"/>
  <c r="S308" i="24"/>
  <c r="T308" i="24"/>
  <c r="T319" i="23"/>
  <c r="S319" i="23"/>
  <c r="S239" i="24"/>
  <c r="T239" i="24"/>
  <c r="Q241" i="29"/>
  <c r="R241" i="29" s="1"/>
  <c r="S215" i="24"/>
  <c r="T215" i="24"/>
  <c r="L206" i="29"/>
  <c r="M206" i="29"/>
  <c r="T122" i="23"/>
  <c r="S122" i="23"/>
  <c r="Q257" i="29"/>
  <c r="R257" i="29" s="1"/>
  <c r="T117" i="14"/>
  <c r="U117" i="14"/>
  <c r="M187" i="29"/>
  <c r="L187" i="29"/>
  <c r="S96" i="23"/>
  <c r="T96" i="23"/>
  <c r="M164" i="29"/>
  <c r="L164" i="29"/>
  <c r="T152" i="23"/>
  <c r="S152" i="23"/>
  <c r="L56" i="29"/>
  <c r="M56" i="29"/>
  <c r="U264" i="14"/>
  <c r="T264" i="14"/>
  <c r="M143" i="29"/>
  <c r="L143" i="29"/>
  <c r="M307" i="29"/>
  <c r="L307" i="29"/>
  <c r="L304" i="29"/>
  <c r="M304" i="29"/>
  <c r="S358" i="23"/>
  <c r="T358" i="23"/>
  <c r="Q384" i="29"/>
  <c r="R384" i="29" s="1"/>
  <c r="T124" i="14"/>
  <c r="U124" i="14"/>
  <c r="Q69" i="29"/>
  <c r="R69" i="29" s="1"/>
  <c r="Q122" i="29"/>
  <c r="R122" i="29" s="1"/>
  <c r="T190" i="24"/>
  <c r="S190" i="24"/>
  <c r="Q359" i="29"/>
  <c r="R359" i="29" s="1"/>
  <c r="T71" i="24"/>
  <c r="S71" i="24"/>
  <c r="T309" i="23"/>
  <c r="S309" i="23"/>
  <c r="L101" i="29"/>
  <c r="M101" i="29"/>
  <c r="T187" i="23"/>
  <c r="S187" i="23"/>
  <c r="L88" i="29"/>
  <c r="M88" i="29"/>
  <c r="M323" i="29"/>
  <c r="L323" i="29"/>
  <c r="T80" i="23"/>
  <c r="S80" i="23"/>
  <c r="S89" i="23"/>
  <c r="T89" i="23"/>
  <c r="T207" i="23"/>
  <c r="S207" i="23"/>
  <c r="S234" i="24"/>
  <c r="Q150" i="29"/>
  <c r="R150" i="29" s="1"/>
  <c r="L298" i="29"/>
  <c r="M298" i="29"/>
  <c r="L70" i="29"/>
  <c r="M70" i="29"/>
  <c r="S340" i="23"/>
  <c r="T340" i="23"/>
  <c r="Q387" i="29"/>
  <c r="R387" i="29" s="1"/>
  <c r="M157" i="29"/>
  <c r="L157" i="29"/>
  <c r="L211" i="29"/>
  <c r="M211" i="29"/>
  <c r="S42" i="23"/>
  <c r="T42" i="23"/>
  <c r="T88" i="23"/>
  <c r="S88" i="23"/>
  <c r="U77" i="14"/>
  <c r="T77" i="14"/>
  <c r="Q172" i="29"/>
  <c r="R172" i="29" s="1"/>
  <c r="Q324" i="29"/>
  <c r="R324" i="29" s="1"/>
  <c r="Q358" i="29"/>
  <c r="R358" i="29" s="1"/>
  <c r="S328" i="23"/>
  <c r="T328" i="23"/>
  <c r="Q40" i="29"/>
  <c r="R40" i="29" s="1"/>
  <c r="Q287" i="29"/>
  <c r="R287" i="29" s="1"/>
  <c r="T379" i="24"/>
  <c r="S379" i="24"/>
  <c r="Q94" i="29"/>
  <c r="R94" i="29" s="1"/>
  <c r="T289" i="24"/>
  <c r="S289" i="24"/>
  <c r="T108" i="14"/>
  <c r="U108" i="14"/>
  <c r="U116" i="14"/>
  <c r="T116" i="14"/>
  <c r="Q240" i="29"/>
  <c r="R240" i="29" s="1"/>
  <c r="S174" i="23"/>
  <c r="T174" i="23"/>
  <c r="S353" i="24"/>
  <c r="T353" i="24"/>
  <c r="M398" i="29"/>
  <c r="L398" i="29"/>
  <c r="S151" i="24"/>
  <c r="T151" i="24"/>
  <c r="M63" i="29"/>
  <c r="L63" i="29"/>
  <c r="T352" i="23"/>
  <c r="S352" i="23"/>
  <c r="S370" i="23"/>
  <c r="T370" i="23"/>
  <c r="L151" i="29"/>
  <c r="M151" i="29"/>
  <c r="T130" i="23"/>
  <c r="S130" i="23"/>
  <c r="S229" i="24"/>
  <c r="T229" i="24"/>
  <c r="M85" i="29"/>
  <c r="L85" i="29"/>
  <c r="T330" i="23"/>
  <c r="S330" i="23"/>
  <c r="Q180" i="29"/>
  <c r="R180" i="29" s="1"/>
  <c r="S209" i="24"/>
  <c r="T209" i="24"/>
  <c r="Q178" i="29"/>
  <c r="R178" i="29" s="1"/>
  <c r="Q58" i="29"/>
  <c r="R58" i="29" s="1"/>
  <c r="T180" i="23"/>
  <c r="S180" i="23"/>
  <c r="T359" i="24"/>
  <c r="S359" i="24"/>
  <c r="Q396" i="29"/>
  <c r="R396" i="29" s="1"/>
  <c r="Q102" i="29"/>
  <c r="R102" i="29" s="1"/>
  <c r="U377" i="14"/>
  <c r="T377" i="14"/>
  <c r="U184" i="14"/>
  <c r="T184" i="14"/>
  <c r="S364" i="24"/>
  <c r="T364" i="24"/>
  <c r="Q262" i="29"/>
  <c r="R262" i="29" s="1"/>
  <c r="T110" i="23"/>
  <c r="S110" i="23"/>
  <c r="T372" i="14"/>
  <c r="U372" i="14"/>
  <c r="Q184" i="29"/>
  <c r="R184" i="29" s="1"/>
  <c r="S85" i="24"/>
  <c r="T85" i="24"/>
  <c r="Q108" i="29"/>
  <c r="R108" i="29" s="1"/>
  <c r="U367" i="14"/>
  <c r="T127" i="14"/>
  <c r="U127" i="14"/>
  <c r="S215" i="23"/>
  <c r="T215" i="23"/>
  <c r="Q285" i="29"/>
  <c r="R285" i="29" s="1"/>
  <c r="S112" i="23"/>
  <c r="T112" i="23"/>
  <c r="Q93" i="29"/>
  <c r="R93" i="29" s="1"/>
  <c r="Q365" i="29"/>
  <c r="R365" i="29" s="1"/>
  <c r="T56" i="24"/>
  <c r="S56" i="24"/>
  <c r="L42" i="29"/>
  <c r="M42" i="29"/>
  <c r="U349" i="14"/>
  <c r="S48" i="23"/>
  <c r="T48" i="23"/>
  <c r="Q297" i="29"/>
  <c r="R297" i="29" s="1"/>
  <c r="Q210" i="29"/>
  <c r="R210" i="29" s="1"/>
  <c r="T178" i="24"/>
  <c r="S178" i="24"/>
  <c r="Q255" i="29"/>
  <c r="R255" i="29" s="1"/>
  <c r="T95" i="23"/>
  <c r="S95" i="23"/>
  <c r="T74" i="24"/>
  <c r="S74" i="24"/>
  <c r="Q173" i="29"/>
  <c r="R173" i="29" s="1"/>
  <c r="S188" i="23"/>
  <c r="T188" i="23"/>
  <c r="S136" i="24"/>
  <c r="T136" i="24"/>
  <c r="Q252" i="29"/>
  <c r="R252" i="29" s="1"/>
  <c r="S192" i="23"/>
  <c r="T192" i="23"/>
  <c r="M51" i="29"/>
  <c r="L51" i="29"/>
  <c r="S218" i="23"/>
  <c r="T218" i="23"/>
  <c r="T183" i="23"/>
  <c r="S183" i="23"/>
  <c r="S389" i="24"/>
  <c r="T389" i="24"/>
  <c r="Q267" i="29"/>
  <c r="R267" i="29" s="1"/>
  <c r="U133" i="14"/>
  <c r="T133" i="14"/>
  <c r="T331" i="14"/>
  <c r="U331" i="14"/>
  <c r="Q301" i="29"/>
  <c r="R301" i="29" s="1"/>
  <c r="Q124" i="29"/>
  <c r="R124" i="29" s="1"/>
  <c r="S82" i="23"/>
  <c r="T82" i="23"/>
  <c r="M47" i="29"/>
  <c r="L47" i="29"/>
  <c r="L385" i="29"/>
  <c r="M385" i="29"/>
  <c r="T52" i="14"/>
  <c r="Q391" i="29"/>
  <c r="R391" i="29" s="1"/>
  <c r="Q66" i="29"/>
  <c r="R66" i="29" s="1"/>
  <c r="U205" i="14"/>
  <c r="M345" i="29"/>
  <c r="L345" i="29"/>
  <c r="M241" i="29"/>
  <c r="L241" i="29"/>
  <c r="T126" i="23"/>
  <c r="S126" i="23"/>
  <c r="T394" i="24"/>
  <c r="S394" i="24"/>
  <c r="Q112" i="29"/>
  <c r="R112" i="29" s="1"/>
  <c r="T339" i="24"/>
  <c r="Q188" i="29"/>
  <c r="R188" i="29" s="1"/>
  <c r="S197" i="23"/>
  <c r="T197" i="23"/>
  <c r="T70" i="24"/>
  <c r="S70" i="24"/>
  <c r="M257" i="29"/>
  <c r="L257" i="29"/>
  <c r="U357" i="14"/>
  <c r="T357" i="14"/>
  <c r="Q350" i="29"/>
  <c r="R350" i="29" s="1"/>
  <c r="T304" i="23"/>
  <c r="S304" i="23"/>
  <c r="Q212" i="29"/>
  <c r="R212" i="29" s="1"/>
  <c r="S221" i="23"/>
  <c r="T221" i="23"/>
  <c r="E431" i="25" s="1"/>
  <c r="U275" i="14"/>
  <c r="Q399" i="29"/>
  <c r="R399" i="29" s="1"/>
  <c r="Q127" i="29"/>
  <c r="R127" i="29" s="1"/>
  <c r="Q128" i="29"/>
  <c r="R128" i="29" s="1"/>
  <c r="U80" i="14"/>
  <c r="T80" i="14"/>
  <c r="L384" i="29"/>
  <c r="M384" i="29"/>
  <c r="T106" i="14"/>
  <c r="U106" i="14"/>
  <c r="M69" i="29"/>
  <c r="L69" i="29"/>
  <c r="L122" i="29"/>
  <c r="M122" i="29"/>
  <c r="S354" i="23"/>
  <c r="T354" i="23"/>
  <c r="M359" i="29"/>
  <c r="L359" i="29"/>
  <c r="T52" i="23"/>
  <c r="S52" i="23"/>
  <c r="Q222" i="29"/>
  <c r="R222" i="29" s="1"/>
  <c r="T181" i="23"/>
  <c r="S181" i="23"/>
  <c r="T95" i="14"/>
  <c r="U95" i="14"/>
  <c r="S115" i="23"/>
  <c r="T115" i="23"/>
  <c r="Q275" i="29"/>
  <c r="R275" i="29" s="1"/>
  <c r="Q205" i="29"/>
  <c r="R205" i="29" s="1"/>
  <c r="T242" i="23"/>
  <c r="S242" i="23"/>
  <c r="S320" i="23"/>
  <c r="T320" i="23"/>
  <c r="Q120" i="29"/>
  <c r="R120" i="29" s="1"/>
  <c r="M119" i="29"/>
  <c r="L119" i="29"/>
  <c r="T364" i="14"/>
  <c r="U364" i="14"/>
  <c r="U351" i="14"/>
  <c r="T351" i="14"/>
  <c r="U309" i="14"/>
  <c r="T309" i="14"/>
  <c r="T123" i="23"/>
  <c r="S123" i="23"/>
  <c r="T124" i="24"/>
  <c r="S124" i="24"/>
  <c r="T159" i="23"/>
  <c r="S159" i="23"/>
  <c r="M387" i="29"/>
  <c r="L387" i="29"/>
  <c r="Q296" i="29"/>
  <c r="R296" i="29" s="1"/>
  <c r="Q261" i="29"/>
  <c r="R261" i="29" s="1"/>
  <c r="J388" i="25"/>
  <c r="S124" i="23"/>
  <c r="T124" i="23"/>
  <c r="Q305" i="29"/>
  <c r="R305" i="29" s="1"/>
  <c r="Q104" i="29"/>
  <c r="R104" i="29" s="1"/>
  <c r="S393" i="23"/>
  <c r="T393" i="23"/>
  <c r="M172" i="29"/>
  <c r="L172" i="29"/>
  <c r="M324" i="29"/>
  <c r="L324" i="29"/>
  <c r="S308" i="23"/>
  <c r="T308" i="23"/>
  <c r="T312" i="24"/>
  <c r="S312" i="24"/>
  <c r="M358" i="29"/>
  <c r="L358" i="29"/>
  <c r="M40" i="29"/>
  <c r="L40" i="29"/>
  <c r="M287" i="29"/>
  <c r="L287" i="29"/>
  <c r="L94" i="29"/>
  <c r="M94" i="29"/>
  <c r="U109" i="14"/>
  <c r="T109" i="14"/>
  <c r="S184" i="23"/>
  <c r="T184" i="23"/>
  <c r="U218" i="14"/>
  <c r="T218" i="14"/>
  <c r="T277" i="23"/>
  <c r="S277" i="23"/>
  <c r="Q98" i="29"/>
  <c r="R98" i="29" s="1"/>
  <c r="T142" i="14"/>
  <c r="U142" i="14"/>
  <c r="Q59" i="29"/>
  <c r="R59" i="29" s="1"/>
  <c r="Q225" i="29"/>
  <c r="R225" i="29" s="1"/>
  <c r="S365" i="23"/>
  <c r="T365" i="23"/>
  <c r="Q357" i="29"/>
  <c r="R357" i="29" s="1"/>
  <c r="S129" i="23"/>
  <c r="E421" i="25" s="1"/>
  <c r="T129" i="23"/>
  <c r="T95" i="24"/>
  <c r="S95" i="24"/>
  <c r="T132" i="23"/>
  <c r="S132" i="23"/>
  <c r="Q334" i="29"/>
  <c r="R334" i="29" s="1"/>
  <c r="T284" i="24"/>
  <c r="S284" i="24"/>
  <c r="M180" i="29"/>
  <c r="L180" i="29"/>
  <c r="M353" i="29"/>
  <c r="L353" i="29"/>
  <c r="S339" i="23"/>
  <c r="T339" i="23"/>
  <c r="Q199" i="29"/>
  <c r="R199" i="29" s="1"/>
  <c r="Q238" i="29"/>
  <c r="R238" i="29" s="1"/>
  <c r="L178" i="29"/>
  <c r="M178" i="29"/>
  <c r="L58" i="29"/>
  <c r="M58" i="29"/>
  <c r="M199" i="29"/>
  <c r="L199" i="29"/>
  <c r="S396" i="23"/>
  <c r="T396" i="23"/>
  <c r="M238" i="29"/>
  <c r="L238" i="29"/>
  <c r="M396" i="29"/>
  <c r="L396" i="29"/>
  <c r="L102" i="29"/>
  <c r="M102" i="29"/>
  <c r="S314" i="23"/>
  <c r="T314" i="23"/>
  <c r="M262" i="29"/>
  <c r="L262" i="29"/>
  <c r="T73" i="23"/>
  <c r="S73" i="23"/>
  <c r="L184" i="29"/>
  <c r="M184" i="29"/>
  <c r="S335" i="23"/>
  <c r="T335" i="23"/>
  <c r="M108" i="29"/>
  <c r="L108" i="29"/>
  <c r="L285" i="29"/>
  <c r="M285" i="29"/>
  <c r="T71" i="23"/>
  <c r="S71" i="23"/>
  <c r="T181" i="24"/>
  <c r="S181" i="24"/>
  <c r="U145" i="14"/>
  <c r="T145" i="14"/>
  <c r="L93" i="29"/>
  <c r="M93" i="29"/>
  <c r="T368" i="23"/>
  <c r="S368" i="23"/>
  <c r="L365" i="29"/>
  <c r="M365" i="29"/>
  <c r="T58" i="23"/>
  <c r="S58" i="23"/>
  <c r="U384" i="14"/>
  <c r="S128" i="23"/>
  <c r="T128" i="23"/>
  <c r="M297" i="29"/>
  <c r="L297" i="29"/>
  <c r="M210" i="29"/>
  <c r="L210" i="29"/>
  <c r="T209" i="23"/>
  <c r="S209" i="23"/>
  <c r="U181" i="14"/>
  <c r="T181" i="14"/>
  <c r="U100" i="14"/>
  <c r="T100" i="14"/>
  <c r="T286" i="14"/>
  <c r="U286" i="14"/>
  <c r="U87" i="14"/>
  <c r="T87" i="14"/>
  <c r="M255" i="29"/>
  <c r="L255" i="29"/>
  <c r="U271" i="14"/>
  <c r="T271" i="14"/>
  <c r="M173" i="29"/>
  <c r="L173" i="29"/>
  <c r="S90" i="24"/>
  <c r="T90" i="24"/>
  <c r="L252" i="29"/>
  <c r="M252" i="29"/>
  <c r="Q51" i="29"/>
  <c r="R51" i="29" s="1"/>
  <c r="M267" i="29"/>
  <c r="L267" i="29"/>
  <c r="S361" i="23"/>
  <c r="T361" i="23"/>
  <c r="L301" i="29"/>
  <c r="M301" i="29"/>
  <c r="M124" i="29"/>
  <c r="L124" i="29"/>
  <c r="S287" i="24"/>
  <c r="T287" i="24"/>
  <c r="Q114" i="29"/>
  <c r="R114" i="29" s="1"/>
  <c r="T98" i="23"/>
  <c r="S98" i="23"/>
  <c r="M391" i="29"/>
  <c r="L391" i="29"/>
  <c r="M66" i="29"/>
  <c r="L66" i="29"/>
  <c r="U189" i="14"/>
  <c r="T189" i="14"/>
  <c r="T44" i="24"/>
  <c r="S44" i="24"/>
  <c r="T295" i="24"/>
  <c r="S295" i="24"/>
  <c r="Q218" i="29"/>
  <c r="R218" i="29" s="1"/>
  <c r="T137" i="23"/>
  <c r="S137" i="23"/>
  <c r="Q57" i="29"/>
  <c r="R57" i="29" s="1"/>
  <c r="Q176" i="29"/>
  <c r="R176" i="29" s="1"/>
  <c r="M112" i="29"/>
  <c r="L112" i="29"/>
  <c r="U397" i="14"/>
  <c r="T397" i="14"/>
  <c r="S41" i="23"/>
  <c r="T41" i="23"/>
  <c r="L188" i="29"/>
  <c r="M188" i="29"/>
  <c r="S116" i="24"/>
  <c r="T116" i="24"/>
  <c r="T166" i="24"/>
  <c r="S166" i="24"/>
  <c r="M350" i="29"/>
  <c r="L350" i="29"/>
  <c r="L212" i="29"/>
  <c r="M212" i="29"/>
  <c r="U199" i="14"/>
  <c r="T199" i="14"/>
  <c r="S273" i="23"/>
  <c r="T273" i="23"/>
  <c r="L399" i="29"/>
  <c r="M399" i="29"/>
  <c r="L127" i="29"/>
  <c r="M127" i="29"/>
  <c r="M128" i="29"/>
  <c r="L128" i="29"/>
  <c r="U216" i="14"/>
  <c r="T216" i="14"/>
  <c r="T192" i="14"/>
  <c r="U192" i="14"/>
  <c r="S290" i="23"/>
  <c r="T290" i="23"/>
  <c r="T106" i="24"/>
  <c r="S106" i="24"/>
  <c r="Q105" i="29"/>
  <c r="R105" i="29" s="1"/>
  <c r="Q99" i="29"/>
  <c r="R99" i="29" s="1"/>
  <c r="T65" i="14"/>
  <c r="U65" i="14"/>
  <c r="Q168" i="29"/>
  <c r="R168" i="29" s="1"/>
  <c r="Q254" i="29"/>
  <c r="R254" i="29" s="1"/>
  <c r="S106" i="23"/>
  <c r="T106" i="23"/>
  <c r="T195" i="24"/>
  <c r="S195" i="24"/>
  <c r="S121" i="23"/>
  <c r="T121" i="23"/>
  <c r="T104" i="24"/>
  <c r="S104" i="24"/>
  <c r="M222" i="29"/>
  <c r="L222" i="29"/>
  <c r="M275" i="29"/>
  <c r="L275" i="29"/>
  <c r="L205" i="29"/>
  <c r="M205" i="29"/>
  <c r="T189" i="23"/>
  <c r="S189" i="23"/>
  <c r="T167" i="14"/>
  <c r="U167" i="14"/>
  <c r="L120" i="29"/>
  <c r="M120" i="29"/>
  <c r="Q119" i="29"/>
  <c r="R119" i="29" s="1"/>
  <c r="S381" i="23"/>
  <c r="T381" i="23"/>
  <c r="T245" i="14"/>
  <c r="U245" i="14"/>
  <c r="T373" i="24"/>
  <c r="S373" i="24"/>
  <c r="Q329" i="29"/>
  <c r="R329" i="29" s="1"/>
  <c r="T125" i="23"/>
  <c r="S125" i="23"/>
  <c r="U140" i="14"/>
  <c r="T140" i="14"/>
  <c r="L296" i="29"/>
  <c r="M296" i="29"/>
  <c r="M261" i="29"/>
  <c r="L261" i="29"/>
  <c r="L305" i="29"/>
  <c r="M305" i="29"/>
  <c r="L104" i="29"/>
  <c r="M104" i="29"/>
  <c r="Q196" i="29"/>
  <c r="R196" i="29" s="1"/>
  <c r="S61" i="23"/>
  <c r="T61" i="23"/>
  <c r="Q291" i="29"/>
  <c r="R291" i="29" s="1"/>
  <c r="T374" i="23"/>
  <c r="S374" i="23"/>
  <c r="Q244" i="29"/>
  <c r="R244" i="29" s="1"/>
  <c r="U166" i="14"/>
  <c r="T166" i="14"/>
  <c r="Q116" i="29"/>
  <c r="R116" i="29" s="1"/>
  <c r="Q248" i="29"/>
  <c r="R248" i="29" s="1"/>
  <c r="T146" i="14"/>
  <c r="U146" i="14"/>
  <c r="S305" i="23"/>
  <c r="T305" i="23"/>
  <c r="T224" i="24"/>
  <c r="S224" i="24"/>
  <c r="L98" i="29"/>
  <c r="M98" i="29"/>
  <c r="T209" i="14"/>
  <c r="U209" i="14"/>
  <c r="L59" i="29"/>
  <c r="M59" i="29"/>
  <c r="L225" i="29"/>
  <c r="M225" i="29"/>
  <c r="T310" i="24"/>
  <c r="S310" i="24"/>
  <c r="L357" i="29"/>
  <c r="M357" i="29"/>
  <c r="S252" i="23"/>
  <c r="T252" i="23"/>
  <c r="T67" i="14"/>
  <c r="U67" i="14"/>
  <c r="S63" i="24"/>
  <c r="T63" i="24"/>
  <c r="L334" i="29"/>
  <c r="M334" i="29"/>
  <c r="T369" i="14"/>
  <c r="U369" i="14"/>
  <c r="Q373" i="29"/>
  <c r="R373" i="29" s="1"/>
  <c r="T270" i="23"/>
  <c r="S270" i="23"/>
  <c r="Q214" i="29"/>
  <c r="R214" i="29" s="1"/>
  <c r="T290" i="24"/>
  <c r="S290" i="24"/>
  <c r="Q75" i="29"/>
  <c r="R75" i="29" s="1"/>
  <c r="Q48" i="29"/>
  <c r="R48" i="29" s="1"/>
  <c r="Q400" i="29"/>
  <c r="R400" i="29" s="1"/>
  <c r="T343" i="14"/>
  <c r="U343" i="14"/>
  <c r="Q65" i="29"/>
  <c r="R65" i="29" s="1"/>
  <c r="U84" i="14"/>
  <c r="T84" i="14"/>
  <c r="T377" i="23"/>
  <c r="S377" i="23"/>
  <c r="S207" i="24"/>
  <c r="T207" i="24"/>
  <c r="Q388" i="29"/>
  <c r="R388" i="29" s="1"/>
  <c r="Q117" i="29"/>
  <c r="R117" i="29" s="1"/>
  <c r="S171" i="24"/>
  <c r="T171" i="24"/>
  <c r="T120" i="23"/>
  <c r="S120" i="23"/>
  <c r="U341" i="14"/>
  <c r="T341" i="14"/>
  <c r="Q239" i="29"/>
  <c r="R239" i="29" s="1"/>
  <c r="T151" i="23"/>
  <c r="S151" i="23"/>
  <c r="U281" i="14"/>
  <c r="T281" i="14"/>
  <c r="S103" i="23"/>
  <c r="T103" i="23"/>
  <c r="U391" i="14"/>
  <c r="T391" i="14"/>
  <c r="S268" i="24"/>
  <c r="T268" i="24"/>
  <c r="Q106" i="29"/>
  <c r="R106" i="29" s="1"/>
  <c r="Q79" i="29"/>
  <c r="R79" i="29" s="1"/>
  <c r="S381" i="24"/>
  <c r="T381" i="24"/>
  <c r="S332" i="23"/>
  <c r="T332" i="23"/>
  <c r="S208" i="23"/>
  <c r="T208" i="23"/>
  <c r="Q325" i="29"/>
  <c r="R325" i="29" s="1"/>
  <c r="Q306" i="29"/>
  <c r="R306" i="29" s="1"/>
  <c r="T114" i="24"/>
  <c r="S114" i="24"/>
  <c r="S384" i="23"/>
  <c r="T384" i="23"/>
  <c r="U352" i="14"/>
  <c r="T352" i="14"/>
  <c r="U354" i="14"/>
  <c r="T354" i="14"/>
  <c r="Q171" i="29"/>
  <c r="R171" i="29" s="1"/>
  <c r="Q364" i="29"/>
  <c r="R364" i="29" s="1"/>
  <c r="Q389" i="29"/>
  <c r="R389" i="29" s="1"/>
  <c r="S87" i="23"/>
  <c r="T87" i="23"/>
  <c r="Q60" i="29"/>
  <c r="R60" i="29" s="1"/>
  <c r="S67" i="23"/>
  <c r="T67" i="23"/>
  <c r="S338" i="23"/>
  <c r="T338" i="23"/>
  <c r="T216" i="23"/>
  <c r="S216" i="23"/>
  <c r="Q169" i="29"/>
  <c r="R169" i="29" s="1"/>
  <c r="T243" i="24"/>
  <c r="S243" i="24"/>
  <c r="S294" i="23"/>
  <c r="T294" i="23"/>
  <c r="J375" i="25"/>
  <c r="Q183" i="29"/>
  <c r="R183" i="29" s="1"/>
  <c r="Q312" i="29"/>
  <c r="R312" i="29" s="1"/>
  <c r="M114" i="29"/>
  <c r="L114" i="29"/>
  <c r="Q242" i="29"/>
  <c r="R242" i="29" s="1"/>
  <c r="Q137" i="29"/>
  <c r="R137" i="29" s="1"/>
  <c r="Q372" i="29"/>
  <c r="R372" i="29" s="1"/>
  <c r="T381" i="14"/>
  <c r="U381" i="14"/>
  <c r="U61" i="14"/>
  <c r="T61" i="14"/>
  <c r="T153" i="23"/>
  <c r="S153" i="23"/>
  <c r="L218" i="29"/>
  <c r="M218" i="29"/>
  <c r="U310" i="14"/>
  <c r="T310" i="14"/>
  <c r="S250" i="24"/>
  <c r="T250" i="24"/>
  <c r="M57" i="29"/>
  <c r="L57" i="29"/>
  <c r="T182" i="23"/>
  <c r="S182" i="23"/>
  <c r="M176" i="29"/>
  <c r="L176" i="29"/>
  <c r="S154" i="23"/>
  <c r="T154" i="23"/>
  <c r="T255" i="23"/>
  <c r="S255" i="23"/>
  <c r="T309" i="24"/>
  <c r="S309" i="24"/>
  <c r="Q317" i="29"/>
  <c r="R317" i="29" s="1"/>
  <c r="U328" i="14"/>
  <c r="T328" i="14"/>
  <c r="T211" i="23"/>
  <c r="S211" i="23"/>
  <c r="Q134" i="29"/>
  <c r="R134" i="29" s="1"/>
  <c r="Q74" i="29"/>
  <c r="R74" i="29" s="1"/>
  <c r="Q179" i="29"/>
  <c r="R179" i="29" s="1"/>
  <c r="T191" i="23"/>
  <c r="S191" i="23"/>
  <c r="T250" i="23"/>
  <c r="S250" i="23"/>
  <c r="Q78" i="29"/>
  <c r="R78" i="29" s="1"/>
  <c r="Q131" i="29"/>
  <c r="R131" i="29" s="1"/>
  <c r="U42" i="14"/>
  <c r="T42" i="14"/>
  <c r="S372" i="23"/>
  <c r="T372" i="23"/>
  <c r="M105" i="29"/>
  <c r="L105" i="29"/>
  <c r="T55" i="23"/>
  <c r="S55" i="23"/>
  <c r="S238" i="24"/>
  <c r="T238" i="24"/>
  <c r="T366" i="23"/>
  <c r="S366" i="23"/>
  <c r="M99" i="29"/>
  <c r="L99" i="29"/>
  <c r="L168" i="29"/>
  <c r="M168" i="29"/>
  <c r="T93" i="23"/>
  <c r="S93" i="23"/>
  <c r="T141" i="24"/>
  <c r="S141" i="24"/>
  <c r="L254" i="29"/>
  <c r="M254" i="29"/>
  <c r="S331" i="24"/>
  <c r="T331" i="24"/>
  <c r="T97" i="23"/>
  <c r="S97" i="23"/>
  <c r="T318" i="23"/>
  <c r="S318" i="23"/>
  <c r="Q292" i="29"/>
  <c r="R292" i="29" s="1"/>
  <c r="Q376" i="29"/>
  <c r="R376" i="29" s="1"/>
  <c r="Q216" i="29"/>
  <c r="R216" i="29" s="1"/>
  <c r="Q314" i="29"/>
  <c r="R314" i="29" s="1"/>
  <c r="Q330" i="29"/>
  <c r="R330" i="29" s="1"/>
  <c r="Q100" i="29"/>
  <c r="R100" i="29" s="1"/>
  <c r="T318" i="24"/>
  <c r="S318" i="24"/>
  <c r="S171" i="23"/>
  <c r="T171" i="23"/>
  <c r="L329" i="29"/>
  <c r="M329" i="29"/>
  <c r="S53" i="23"/>
  <c r="T53" i="23"/>
  <c r="T73" i="24"/>
  <c r="S73" i="24"/>
  <c r="Q360" i="29"/>
  <c r="R360" i="29" s="1"/>
  <c r="S400" i="23"/>
  <c r="T400" i="23"/>
  <c r="Q230" i="29"/>
  <c r="R230" i="29" s="1"/>
  <c r="T359" i="23"/>
  <c r="S359" i="23"/>
  <c r="S332" i="24"/>
  <c r="T332" i="24"/>
  <c r="T261" i="14"/>
  <c r="U261" i="14"/>
  <c r="T348" i="23"/>
  <c r="S348" i="23"/>
  <c r="L196" i="29"/>
  <c r="M196" i="29"/>
  <c r="T390" i="24"/>
  <c r="S390" i="24"/>
  <c r="T326" i="23"/>
  <c r="S326" i="23"/>
  <c r="M291" i="29"/>
  <c r="L291" i="29"/>
  <c r="M244" i="29"/>
  <c r="L244" i="29"/>
  <c r="U66" i="14"/>
  <c r="T66" i="14"/>
  <c r="S376" i="23"/>
  <c r="T376" i="23"/>
  <c r="L116" i="29"/>
  <c r="M116" i="29"/>
  <c r="L248" i="29"/>
  <c r="M248" i="29"/>
  <c r="U386" i="14"/>
  <c r="T386" i="14"/>
  <c r="U105" i="14"/>
  <c r="T105" i="14"/>
  <c r="T196" i="14"/>
  <c r="U196" i="14"/>
  <c r="M265" i="29"/>
  <c r="L265" i="29"/>
  <c r="S234" i="23"/>
  <c r="T234" i="23"/>
  <c r="Q149" i="29"/>
  <c r="R149" i="29" s="1"/>
  <c r="T369" i="23"/>
  <c r="S369" i="23"/>
  <c r="M154" i="29"/>
  <c r="L154" i="29"/>
  <c r="T150" i="14"/>
  <c r="U150" i="14"/>
  <c r="T206" i="23"/>
  <c r="S206" i="23"/>
  <c r="S57" i="24"/>
  <c r="T57" i="24"/>
  <c r="Q237" i="29"/>
  <c r="R237" i="29" s="1"/>
  <c r="S107" i="23"/>
  <c r="T107" i="23"/>
  <c r="U243" i="14" l="1"/>
  <c r="U72" i="14"/>
  <c r="U291" i="14"/>
  <c r="U172" i="14"/>
  <c r="T126" i="14"/>
  <c r="T194" i="14"/>
  <c r="U137" i="14"/>
  <c r="U178" i="14"/>
  <c r="O60" i="14"/>
  <c r="P60" i="14" s="1"/>
  <c r="U162" i="14"/>
  <c r="O291" i="14"/>
  <c r="P291" i="14" s="1"/>
  <c r="O170" i="14"/>
  <c r="P170" i="14" s="1"/>
  <c r="T180" i="14"/>
  <c r="L105" i="14"/>
  <c r="O105" i="14" s="1"/>
  <c r="P105" i="14" s="1"/>
  <c r="E406" i="25"/>
  <c r="U49" i="14"/>
  <c r="T289" i="14"/>
  <c r="T177" i="14"/>
  <c r="U60" i="14"/>
  <c r="O307" i="14"/>
  <c r="P307" i="14" s="1"/>
  <c r="O178" i="14"/>
  <c r="P178" i="14" s="1"/>
  <c r="O49" i="14"/>
  <c r="P49" i="14" s="1"/>
  <c r="O43" i="24"/>
  <c r="P43" i="24" s="1"/>
  <c r="J321" i="25"/>
  <c r="L396" i="14"/>
  <c r="O396" i="14" s="1"/>
  <c r="P396" i="14" s="1"/>
  <c r="O129" i="24"/>
  <c r="P129" i="24" s="1"/>
  <c r="L261" i="24"/>
  <c r="O261" i="24" s="1"/>
  <c r="P261" i="24" s="1"/>
  <c r="O279" i="24"/>
  <c r="P279" i="24" s="1"/>
  <c r="M211" i="24"/>
  <c r="O211" i="24" s="1"/>
  <c r="P211" i="24" s="1"/>
  <c r="U225" i="14"/>
  <c r="T168" i="24"/>
  <c r="M282" i="24"/>
  <c r="O282" i="24" s="1"/>
  <c r="P282" i="24" s="1"/>
  <c r="O80" i="14"/>
  <c r="P80" i="14" s="1"/>
  <c r="U241" i="14"/>
  <c r="O352" i="14"/>
  <c r="P352" i="14" s="1"/>
  <c r="L230" i="24"/>
  <c r="O230" i="24" s="1"/>
  <c r="P230" i="24" s="1"/>
  <c r="T252" i="14"/>
  <c r="O154" i="24"/>
  <c r="P154" i="24" s="1"/>
  <c r="O252" i="14"/>
  <c r="P252" i="14" s="1"/>
  <c r="O137" i="14"/>
  <c r="P137" i="14" s="1"/>
  <c r="O92" i="14"/>
  <c r="P92" i="14" s="1"/>
  <c r="O346" i="24"/>
  <c r="P346" i="24" s="1"/>
  <c r="O265" i="24"/>
  <c r="P265" i="24" s="1"/>
  <c r="O161" i="24"/>
  <c r="P161" i="24" s="1"/>
  <c r="T157" i="24"/>
  <c r="U400" i="14"/>
  <c r="U110" i="14"/>
  <c r="T347" i="24"/>
  <c r="T173" i="24"/>
  <c r="T231" i="24"/>
  <c r="U315" i="14"/>
  <c r="T251" i="14"/>
  <c r="T377" i="24"/>
  <c r="L167" i="14"/>
  <c r="O167" i="14" s="1"/>
  <c r="P167" i="14" s="1"/>
  <c r="U383" i="14"/>
  <c r="T103" i="14"/>
  <c r="O66" i="14"/>
  <c r="P66" i="14" s="1"/>
  <c r="T388" i="24"/>
  <c r="T59" i="24"/>
  <c r="T48" i="24"/>
  <c r="T252" i="24"/>
  <c r="T329" i="24"/>
  <c r="U104" i="14"/>
  <c r="T361" i="24"/>
  <c r="U274" i="14"/>
  <c r="O388" i="24"/>
  <c r="P388" i="24" s="1"/>
  <c r="U102" i="14"/>
  <c r="T283" i="24"/>
  <c r="T91" i="24"/>
  <c r="O104" i="14"/>
  <c r="P104" i="14" s="1"/>
  <c r="T58" i="24"/>
  <c r="L96" i="14"/>
  <c r="O96" i="14" s="1"/>
  <c r="P96" i="14" s="1"/>
  <c r="O131" i="24"/>
  <c r="P131" i="24" s="1"/>
  <c r="O171" i="14"/>
  <c r="P171" i="14" s="1"/>
  <c r="O136" i="24"/>
  <c r="P136" i="24" s="1"/>
  <c r="M281" i="14"/>
  <c r="O281" i="14" s="1"/>
  <c r="P281" i="14" s="1"/>
  <c r="O395" i="24"/>
  <c r="P395" i="24" s="1"/>
  <c r="T76" i="14"/>
  <c r="O244" i="14"/>
  <c r="P244" i="14" s="1"/>
  <c r="T255" i="24"/>
  <c r="T97" i="14"/>
  <c r="U272" i="14"/>
  <c r="S135" i="24"/>
  <c r="T343" i="24"/>
  <c r="S217" i="24"/>
  <c r="T244" i="14"/>
  <c r="O170" i="24"/>
  <c r="P170" i="24" s="1"/>
  <c r="O368" i="14"/>
  <c r="O343" i="24"/>
  <c r="P343" i="24" s="1"/>
  <c r="T113" i="24"/>
  <c r="U324" i="14"/>
  <c r="U71" i="14"/>
  <c r="T135" i="14"/>
  <c r="T269" i="24"/>
  <c r="T137" i="24"/>
  <c r="U193" i="14"/>
  <c r="O105" i="24"/>
  <c r="P105" i="24" s="1"/>
  <c r="S263" i="24"/>
  <c r="O345" i="14"/>
  <c r="P345" i="14" s="1"/>
  <c r="O291" i="24"/>
  <c r="P291" i="24" s="1"/>
  <c r="O112" i="24"/>
  <c r="P112" i="24" s="1"/>
  <c r="O208" i="14"/>
  <c r="P208" i="14" s="1"/>
  <c r="O323" i="24"/>
  <c r="P323" i="24" s="1"/>
  <c r="O317" i="24"/>
  <c r="P317" i="24" s="1"/>
  <c r="O269" i="24"/>
  <c r="P269" i="24" s="1"/>
  <c r="T300" i="14"/>
  <c r="T105" i="24"/>
  <c r="S83" i="24"/>
  <c r="U208" i="14"/>
  <c r="T392" i="14"/>
  <c r="U345" i="14"/>
  <c r="T348" i="14"/>
  <c r="T323" i="24"/>
  <c r="O295" i="14"/>
  <c r="P295" i="14" s="1"/>
  <c r="T317" i="24"/>
  <c r="U395" i="14"/>
  <c r="T334" i="14"/>
  <c r="S256" i="24"/>
  <c r="O300" i="14"/>
  <c r="P300" i="14" s="1"/>
  <c r="O263" i="24"/>
  <c r="P263" i="24" s="1"/>
  <c r="S66" i="24"/>
  <c r="O348" i="14"/>
  <c r="P348" i="14" s="1"/>
  <c r="T395" i="24"/>
  <c r="O72" i="24"/>
  <c r="P72" i="24" s="1"/>
  <c r="L287" i="24"/>
  <c r="O287" i="24" s="1"/>
  <c r="P287" i="24" s="1"/>
  <c r="S254" i="24"/>
  <c r="S57" i="23"/>
  <c r="T213" i="14"/>
  <c r="T81" i="14"/>
  <c r="O97" i="14"/>
  <c r="P97" i="14" s="1"/>
  <c r="O255" i="24"/>
  <c r="P255" i="24" s="1"/>
  <c r="O314" i="24"/>
  <c r="P314" i="24" s="1"/>
  <c r="T72" i="24"/>
  <c r="O390" i="14"/>
  <c r="P390" i="14" s="1"/>
  <c r="T327" i="14"/>
  <c r="O327" i="14"/>
  <c r="P327" i="14" s="1"/>
  <c r="O165" i="14"/>
  <c r="P165" i="14" s="1"/>
  <c r="O245" i="24"/>
  <c r="P245" i="24" s="1"/>
  <c r="T390" i="14"/>
  <c r="S134" i="24"/>
  <c r="U375" i="14"/>
  <c r="T372" i="24"/>
  <c r="T64" i="24"/>
  <c r="T183" i="24"/>
  <c r="T301" i="14"/>
  <c r="O81" i="24"/>
  <c r="P81" i="24" s="1"/>
  <c r="O372" i="24"/>
  <c r="P372" i="24" s="1"/>
  <c r="T81" i="24"/>
  <c r="U165" i="14"/>
  <c r="O213" i="14"/>
  <c r="P213" i="14" s="1"/>
  <c r="L255" i="14"/>
  <c r="O255" i="14" s="1"/>
  <c r="P255" i="14" s="1"/>
  <c r="T83" i="14"/>
  <c r="S163" i="24"/>
  <c r="S280" i="24"/>
  <c r="O280" i="24"/>
  <c r="P280" i="24" s="1"/>
  <c r="O398" i="14"/>
  <c r="P398" i="14" s="1"/>
  <c r="O236" i="24"/>
  <c r="P236" i="24" s="1"/>
  <c r="O367" i="14"/>
  <c r="P367" i="14" s="1"/>
  <c r="S236" i="24"/>
  <c r="O216" i="24"/>
  <c r="P216" i="24" s="1"/>
  <c r="O173" i="24"/>
  <c r="P173" i="24" s="1"/>
  <c r="O316" i="24"/>
  <c r="P316" i="24" s="1"/>
  <c r="O377" i="14"/>
  <c r="P377" i="14" s="1"/>
  <c r="O216" i="14"/>
  <c r="P216" i="14" s="1"/>
  <c r="T160" i="14"/>
  <c r="O308" i="24"/>
  <c r="P308" i="24" s="1"/>
  <c r="O163" i="24"/>
  <c r="P163" i="24" s="1"/>
  <c r="J314" i="25"/>
  <c r="S108" i="24"/>
  <c r="O121" i="14"/>
  <c r="P121" i="14" s="1"/>
  <c r="O108" i="24"/>
  <c r="P108" i="24" s="1"/>
  <c r="U121" i="14"/>
  <c r="O83" i="14"/>
  <c r="P83" i="14" s="1"/>
  <c r="O160" i="14"/>
  <c r="P160" i="14" s="1"/>
  <c r="O181" i="24"/>
  <c r="P181" i="24" s="1"/>
  <c r="O82" i="24"/>
  <c r="P82" i="24" s="1"/>
  <c r="T147" i="24"/>
  <c r="T107" i="14"/>
  <c r="T280" i="14"/>
  <c r="U248" i="14"/>
  <c r="S60" i="24"/>
  <c r="O293" i="24"/>
  <c r="P293" i="24" s="1"/>
  <c r="T367" i="24"/>
  <c r="T330" i="14"/>
  <c r="U46" i="14"/>
  <c r="O290" i="24"/>
  <c r="P290" i="24" s="1"/>
  <c r="M90" i="14"/>
  <c r="O90" i="14" s="1"/>
  <c r="P90" i="14" s="1"/>
  <c r="U91" i="14"/>
  <c r="T82" i="24"/>
  <c r="O367" i="24"/>
  <c r="P367" i="24" s="1"/>
  <c r="T56" i="14"/>
  <c r="T155" i="14"/>
  <c r="O248" i="14"/>
  <c r="P248" i="14" s="1"/>
  <c r="O330" i="14"/>
  <c r="P330" i="14" s="1"/>
  <c r="O53" i="14"/>
  <c r="P53" i="14" s="1"/>
  <c r="T190" i="14"/>
  <c r="T363" i="14"/>
  <c r="T85" i="14"/>
  <c r="T293" i="24"/>
  <c r="U130" i="14"/>
  <c r="T270" i="24"/>
  <c r="L268" i="24"/>
  <c r="M268" i="24"/>
  <c r="U159" i="14"/>
  <c r="U53" i="14"/>
  <c r="T363" i="24"/>
  <c r="T69" i="24"/>
  <c r="S204" i="24"/>
  <c r="O280" i="14"/>
  <c r="P280" i="14" s="1"/>
  <c r="T76" i="24"/>
  <c r="O76" i="24"/>
  <c r="P76" i="24" s="1"/>
  <c r="T342" i="14"/>
  <c r="O48" i="24"/>
  <c r="P48" i="24" s="1"/>
  <c r="L357" i="14"/>
  <c r="O357" i="14" s="1"/>
  <c r="P357" i="14" s="1"/>
  <c r="S355" i="24"/>
  <c r="U93" i="14"/>
  <c r="T200" i="24"/>
  <c r="U378" i="14"/>
  <c r="O200" i="24"/>
  <c r="P200" i="24" s="1"/>
  <c r="R260" i="14"/>
  <c r="S260" i="14" s="1"/>
  <c r="J319" i="25"/>
  <c r="O102" i="14"/>
  <c r="P102" i="14" s="1"/>
  <c r="O114" i="14"/>
  <c r="P114" i="14" s="1"/>
  <c r="M322" i="14"/>
  <c r="O322" i="14" s="1"/>
  <c r="P322" i="14" s="1"/>
  <c r="O243" i="14"/>
  <c r="P243" i="14" s="1"/>
  <c r="M370" i="24"/>
  <c r="O370" i="24" s="1"/>
  <c r="P370" i="24" s="1"/>
  <c r="R368" i="14"/>
  <c r="S368" i="14" s="1"/>
  <c r="U368" i="14" s="1"/>
  <c r="O354" i="14"/>
  <c r="P354" i="14" s="1"/>
  <c r="O189" i="14"/>
  <c r="P189" i="14" s="1"/>
  <c r="O341" i="14"/>
  <c r="P341" i="14" s="1"/>
  <c r="M75" i="24"/>
  <c r="O75" i="24" s="1"/>
  <c r="P75" i="24" s="1"/>
  <c r="T133" i="24"/>
  <c r="O86" i="14"/>
  <c r="P86" i="14" s="1"/>
  <c r="M334" i="24"/>
  <c r="O334" i="24" s="1"/>
  <c r="P334" i="24" s="1"/>
  <c r="U78" i="14"/>
  <c r="S167" i="24"/>
  <c r="S196" i="24"/>
  <c r="T142" i="24"/>
  <c r="S352" i="24"/>
  <c r="T273" i="24"/>
  <c r="O202" i="24"/>
  <c r="P202" i="24" s="1"/>
  <c r="O285" i="14"/>
  <c r="P285" i="14" s="1"/>
  <c r="S326" i="24"/>
  <c r="T122" i="14"/>
  <c r="T260" i="24"/>
  <c r="U285" i="14"/>
  <c r="T88" i="24"/>
  <c r="O122" i="14"/>
  <c r="P122" i="14" s="1"/>
  <c r="M117" i="14"/>
  <c r="O117" i="14" s="1"/>
  <c r="P117" i="14" s="1"/>
  <c r="U321" i="14"/>
  <c r="T393" i="24"/>
  <c r="M247" i="24"/>
  <c r="O247" i="24" s="1"/>
  <c r="P247" i="24" s="1"/>
  <c r="T78" i="24"/>
  <c r="O393" i="24"/>
  <c r="P393" i="24" s="1"/>
  <c r="T365" i="24"/>
  <c r="U148" i="14"/>
  <c r="T202" i="24"/>
  <c r="O148" i="14"/>
  <c r="P148" i="14" s="1"/>
  <c r="T222" i="14"/>
  <c r="S324" i="24"/>
  <c r="O167" i="24"/>
  <c r="P167" i="24" s="1"/>
  <c r="E352" i="25" s="1"/>
  <c r="L221" i="14"/>
  <c r="O221" i="14" s="1"/>
  <c r="P221" i="14" s="1"/>
  <c r="E308" i="25" s="1"/>
  <c r="O242" i="14"/>
  <c r="P242" i="14" s="1"/>
  <c r="M397" i="14"/>
  <c r="O397" i="14" s="1"/>
  <c r="P397" i="14" s="1"/>
  <c r="S281" i="24"/>
  <c r="T340" i="24"/>
  <c r="U179" i="14"/>
  <c r="O120" i="24"/>
  <c r="P120" i="24" s="1"/>
  <c r="M115" i="24"/>
  <c r="O115" i="24" s="1"/>
  <c r="P115" i="24" s="1"/>
  <c r="L57" i="24"/>
  <c r="O57" i="24" s="1"/>
  <c r="P57" i="24" s="1"/>
  <c r="S185" i="24"/>
  <c r="T312" i="14"/>
  <c r="T118" i="24"/>
  <c r="T214" i="14"/>
  <c r="O161" i="14"/>
  <c r="P161" i="14" s="1"/>
  <c r="O69" i="24"/>
  <c r="P69" i="24" s="1"/>
  <c r="O190" i="14"/>
  <c r="P190" i="14" s="1"/>
  <c r="U70" i="14"/>
  <c r="T150" i="24"/>
  <c r="L183" i="14"/>
  <c r="O183" i="14" s="1"/>
  <c r="P183" i="14" s="1"/>
  <c r="U320" i="14"/>
  <c r="U47" i="14"/>
  <c r="O344" i="24"/>
  <c r="T350" i="24"/>
  <c r="O341" i="24"/>
  <c r="P341" i="24" s="1"/>
  <c r="U139" i="14"/>
  <c r="S132" i="24"/>
  <c r="U228" i="14"/>
  <c r="L55" i="24"/>
  <c r="O55" i="24" s="1"/>
  <c r="P55" i="24" s="1"/>
  <c r="S120" i="24"/>
  <c r="S49" i="24"/>
  <c r="M138" i="14"/>
  <c r="O138" i="14" s="1"/>
  <c r="P138" i="14" s="1"/>
  <c r="S302" i="24"/>
  <c r="T355" i="14"/>
  <c r="O340" i="24"/>
  <c r="P340" i="24" s="1"/>
  <c r="L138" i="24"/>
  <c r="O138" i="24" s="1"/>
  <c r="P138" i="24" s="1"/>
  <c r="O172" i="14"/>
  <c r="P172" i="14" s="1"/>
  <c r="O46" i="14"/>
  <c r="P46" i="14" s="1"/>
  <c r="O93" i="24"/>
  <c r="P93" i="24" s="1"/>
  <c r="T164" i="14"/>
  <c r="U333" i="14"/>
  <c r="L125" i="14"/>
  <c r="O125" i="14" s="1"/>
  <c r="P125" i="14" s="1"/>
  <c r="M382" i="24"/>
  <c r="O382" i="24" s="1"/>
  <c r="P382" i="24" s="1"/>
  <c r="T201" i="14"/>
  <c r="U276" i="14"/>
  <c r="S148" i="24"/>
  <c r="S144" i="24"/>
  <c r="T361" i="14"/>
  <c r="O148" i="24"/>
  <c r="P148" i="24" s="1"/>
  <c r="O289" i="14"/>
  <c r="P289" i="14" s="1"/>
  <c r="O333" i="14"/>
  <c r="P333" i="14" s="1"/>
  <c r="O201" i="14"/>
  <c r="P201" i="14" s="1"/>
  <c r="U307" i="14"/>
  <c r="T318" i="14"/>
  <c r="O78" i="24"/>
  <c r="P78" i="24" s="1"/>
  <c r="O155" i="14"/>
  <c r="P155" i="14" s="1"/>
  <c r="J352" i="25"/>
  <c r="M142" i="14"/>
  <c r="O142" i="14" s="1"/>
  <c r="P142" i="14" s="1"/>
  <c r="O130" i="14"/>
  <c r="P130" i="14" s="1"/>
  <c r="O238" i="14"/>
  <c r="P238" i="14" s="1"/>
  <c r="M45" i="14"/>
  <c r="O45" i="14" s="1"/>
  <c r="P45" i="14" s="1"/>
  <c r="O329" i="24"/>
  <c r="P329" i="24" s="1"/>
  <c r="O243" i="24"/>
  <c r="P243" i="24" s="1"/>
  <c r="O336" i="24"/>
  <c r="P336" i="24" s="1"/>
  <c r="O312" i="14"/>
  <c r="P312" i="14" s="1"/>
  <c r="O39" i="14"/>
  <c r="O324" i="24"/>
  <c r="P324" i="24" s="1"/>
  <c r="O132" i="24"/>
  <c r="P132" i="24" s="1"/>
  <c r="O140" i="24"/>
  <c r="P140" i="24" s="1"/>
  <c r="O113" i="24"/>
  <c r="P113" i="24" s="1"/>
  <c r="T336" i="24"/>
  <c r="O324" i="14"/>
  <c r="P324" i="14" s="1"/>
  <c r="T164" i="24"/>
  <c r="L65" i="14"/>
  <c r="O65" i="14" s="1"/>
  <c r="P65" i="14" s="1"/>
  <c r="U332" i="14"/>
  <c r="T58" i="14"/>
  <c r="T235" i="14"/>
  <c r="O58" i="14"/>
  <c r="P58" i="14" s="1"/>
  <c r="P339" i="23"/>
  <c r="O106" i="14"/>
  <c r="P106" i="14" s="1"/>
  <c r="T69" i="14"/>
  <c r="O256" i="24"/>
  <c r="P256" i="24" s="1"/>
  <c r="O66" i="24"/>
  <c r="P66" i="24" s="1"/>
  <c r="O139" i="14"/>
  <c r="P139" i="14" s="1"/>
  <c r="T115" i="14"/>
  <c r="U232" i="14"/>
  <c r="T48" i="14"/>
  <c r="S392" i="24"/>
  <c r="O184" i="24"/>
  <c r="P184" i="24" s="1"/>
  <c r="U370" i="14"/>
  <c r="T333" i="24"/>
  <c r="O70" i="14"/>
  <c r="P70" i="14" s="1"/>
  <c r="T248" i="24"/>
  <c r="O374" i="24"/>
  <c r="P374" i="24" s="1"/>
  <c r="O302" i="24"/>
  <c r="P302" i="24" s="1"/>
  <c r="U347" i="14"/>
  <c r="S184" i="24"/>
  <c r="S155" i="24"/>
  <c r="U227" i="14"/>
  <c r="O155" i="24"/>
  <c r="P155" i="24" s="1"/>
  <c r="O227" i="14"/>
  <c r="P227" i="14" s="1"/>
  <c r="U73" i="14"/>
  <c r="S262" i="24"/>
  <c r="O160" i="24"/>
  <c r="P160" i="24" s="1"/>
  <c r="O164" i="14"/>
  <c r="P164" i="14" s="1"/>
  <c r="O88" i="24"/>
  <c r="P88" i="24" s="1"/>
  <c r="T176" i="24"/>
  <c r="U195" i="14"/>
  <c r="T174" i="24"/>
  <c r="T374" i="24"/>
  <c r="T187" i="24"/>
  <c r="O350" i="24"/>
  <c r="P350" i="24" s="1"/>
  <c r="O248" i="24"/>
  <c r="P248" i="24" s="1"/>
  <c r="O355" i="14"/>
  <c r="P355" i="14" s="1"/>
  <c r="O107" i="24"/>
  <c r="P107" i="24" s="1"/>
  <c r="U163" i="14"/>
  <c r="T62" i="24"/>
  <c r="T236" i="14"/>
  <c r="T152" i="24"/>
  <c r="O277" i="14"/>
  <c r="P277" i="14" s="1"/>
  <c r="U143" i="14"/>
  <c r="T358" i="24"/>
  <c r="T119" i="14"/>
  <c r="S39" i="24"/>
  <c r="O371" i="14"/>
  <c r="P371" i="14" s="1"/>
  <c r="U371" i="14"/>
  <c r="S121" i="24"/>
  <c r="U224" i="14"/>
  <c r="O45" i="24"/>
  <c r="P45" i="24" s="1"/>
  <c r="O236" i="14"/>
  <c r="P236" i="14" s="1"/>
  <c r="O62" i="24"/>
  <c r="P62" i="24" s="1"/>
  <c r="Q344" i="24"/>
  <c r="R344" i="24" s="1"/>
  <c r="U335" i="14"/>
  <c r="T277" i="14"/>
  <c r="U149" i="14"/>
  <c r="O335" i="14"/>
  <c r="P335" i="14" s="1"/>
  <c r="U203" i="14"/>
  <c r="P143" i="14"/>
  <c r="T399" i="14"/>
  <c r="T172" i="24"/>
  <c r="O358" i="24"/>
  <c r="P358" i="24" s="1"/>
  <c r="O163" i="14"/>
  <c r="P163" i="14" s="1"/>
  <c r="S45" i="24"/>
  <c r="T385" i="14"/>
  <c r="O177" i="14"/>
  <c r="P177" i="14" s="1"/>
  <c r="U112" i="14"/>
  <c r="S297" i="24"/>
  <c r="T373" i="14"/>
  <c r="O385" i="14"/>
  <c r="P385" i="14" s="1"/>
  <c r="M144" i="14"/>
  <c r="O144" i="14" s="1"/>
  <c r="P144" i="14" s="1"/>
  <c r="M199" i="24"/>
  <c r="L199" i="24"/>
  <c r="O168" i="24"/>
  <c r="P168" i="24" s="1"/>
  <c r="M253" i="24"/>
  <c r="O253" i="24" s="1"/>
  <c r="P253" i="24" s="1"/>
  <c r="M158" i="24"/>
  <c r="O158" i="24" s="1"/>
  <c r="P158" i="24" s="1"/>
  <c r="M98" i="24"/>
  <c r="O98" i="24" s="1"/>
  <c r="P98" i="24" s="1"/>
  <c r="O195" i="14"/>
  <c r="P195" i="14" s="1"/>
  <c r="L209" i="24"/>
  <c r="O209" i="24" s="1"/>
  <c r="P209" i="24" s="1"/>
  <c r="O126" i="14"/>
  <c r="P126" i="14" s="1"/>
  <c r="L282" i="14"/>
  <c r="M282" i="14"/>
  <c r="M147" i="14"/>
  <c r="O147" i="14" s="1"/>
  <c r="P147" i="14" s="1"/>
  <c r="O185" i="24"/>
  <c r="P185" i="24" s="1"/>
  <c r="M89" i="24"/>
  <c r="O89" i="24" s="1"/>
  <c r="P89" i="24" s="1"/>
  <c r="O56" i="14"/>
  <c r="P56" i="14" s="1"/>
  <c r="O349" i="14"/>
  <c r="P349" i="14" s="1"/>
  <c r="L109" i="14"/>
  <c r="M109" i="14"/>
  <c r="L342" i="24"/>
  <c r="O342" i="24" s="1"/>
  <c r="P342" i="24" s="1"/>
  <c r="L196" i="14"/>
  <c r="O196" i="14" s="1"/>
  <c r="P196" i="14" s="1"/>
  <c r="T156" i="14"/>
  <c r="O361" i="14"/>
  <c r="P361" i="14" s="1"/>
  <c r="T298" i="14"/>
  <c r="O391" i="14"/>
  <c r="P391" i="14" s="1"/>
  <c r="O254" i="24"/>
  <c r="P254" i="24" s="1"/>
  <c r="L130" i="24"/>
  <c r="O130" i="24" s="1"/>
  <c r="P130" i="24" s="1"/>
  <c r="L385" i="24"/>
  <c r="M385" i="24"/>
  <c r="M325" i="24"/>
  <c r="L325" i="24"/>
  <c r="O334" i="14"/>
  <c r="P334" i="14" s="1"/>
  <c r="O228" i="24"/>
  <c r="P228" i="24" s="1"/>
  <c r="O318" i="14"/>
  <c r="P318" i="14" s="1"/>
  <c r="O149" i="14"/>
  <c r="P149" i="14" s="1"/>
  <c r="O110" i="24"/>
  <c r="P110" i="24" s="1"/>
  <c r="O172" i="24"/>
  <c r="P172" i="24" s="1"/>
  <c r="M339" i="14"/>
  <c r="O339" i="14" s="1"/>
  <c r="P339" i="14" s="1"/>
  <c r="O360" i="24"/>
  <c r="P360" i="24" s="1"/>
  <c r="O392" i="14"/>
  <c r="P392" i="14" s="1"/>
  <c r="O283" i="24"/>
  <c r="P283" i="24" s="1"/>
  <c r="M56" i="24"/>
  <c r="L56" i="24"/>
  <c r="L117" i="24"/>
  <c r="O117" i="24" s="1"/>
  <c r="P117" i="24" s="1"/>
  <c r="M343" i="14"/>
  <c r="L343" i="14"/>
  <c r="M232" i="24"/>
  <c r="L232" i="24"/>
  <c r="L289" i="24"/>
  <c r="M289" i="24"/>
  <c r="O48" i="14"/>
  <c r="P48" i="14" s="1"/>
  <c r="O274" i="14"/>
  <c r="P274" i="14" s="1"/>
  <c r="O320" i="14"/>
  <c r="P320" i="14" s="1"/>
  <c r="O118" i="24"/>
  <c r="P118" i="24" s="1"/>
  <c r="O135" i="24"/>
  <c r="P135" i="24" s="1"/>
  <c r="O333" i="24"/>
  <c r="P333" i="24" s="1"/>
  <c r="O194" i="14"/>
  <c r="P194" i="14" s="1"/>
  <c r="S357" i="24"/>
  <c r="T107" i="24"/>
  <c r="U284" i="14"/>
  <c r="O192" i="24"/>
  <c r="P192" i="24" s="1"/>
  <c r="M257" i="14"/>
  <c r="O257" i="14" s="1"/>
  <c r="P257" i="14" s="1"/>
  <c r="S314" i="24"/>
  <c r="U151" i="14"/>
  <c r="O303" i="14"/>
  <c r="P303" i="14" s="1"/>
  <c r="O252" i="24"/>
  <c r="P252" i="24" s="1"/>
  <c r="O47" i="14"/>
  <c r="P47" i="14" s="1"/>
  <c r="M74" i="24"/>
  <c r="L74" i="24"/>
  <c r="S192" i="24"/>
  <c r="T292" i="24"/>
  <c r="U379" i="14"/>
  <c r="M192" i="14"/>
  <c r="L192" i="14"/>
  <c r="S61" i="24"/>
  <c r="L338" i="24"/>
  <c r="M338" i="24"/>
  <c r="L258" i="14"/>
  <c r="M258" i="14"/>
  <c r="U319" i="14"/>
  <c r="O115" i="14"/>
  <c r="P115" i="14" s="1"/>
  <c r="O395" i="14"/>
  <c r="P395" i="14" s="1"/>
  <c r="U246" i="14"/>
  <c r="S396" i="24"/>
  <c r="O151" i="14"/>
  <c r="P151" i="14" s="1"/>
  <c r="O396" i="24"/>
  <c r="P396" i="24" s="1"/>
  <c r="O262" i="24"/>
  <c r="P262" i="24" s="1"/>
  <c r="M43" i="14"/>
  <c r="L43" i="14"/>
  <c r="T303" i="14"/>
  <c r="U221" i="14"/>
  <c r="E414" i="25" s="1"/>
  <c r="O379" i="14"/>
  <c r="P379" i="14" s="1"/>
  <c r="O319" i="14"/>
  <c r="P319" i="14" s="1"/>
  <c r="L226" i="24"/>
  <c r="M226" i="24"/>
  <c r="T182" i="14"/>
  <c r="O59" i="24"/>
  <c r="P59" i="24" s="1"/>
  <c r="O91" i="24"/>
  <c r="P91" i="24" s="1"/>
  <c r="O240" i="24"/>
  <c r="P240" i="24" s="1"/>
  <c r="O128" i="14"/>
  <c r="P128" i="14" s="1"/>
  <c r="O133" i="24"/>
  <c r="P133" i="24" s="1"/>
  <c r="P57" i="23"/>
  <c r="E333" i="25" s="1"/>
  <c r="O196" i="24"/>
  <c r="P196" i="24" s="1"/>
  <c r="O126" i="24"/>
  <c r="P126" i="24" s="1"/>
  <c r="O363" i="14"/>
  <c r="P363" i="14" s="1"/>
  <c r="O270" i="24"/>
  <c r="P270" i="24" s="1"/>
  <c r="O174" i="24"/>
  <c r="P174" i="24" s="1"/>
  <c r="O137" i="24"/>
  <c r="P137" i="24" s="1"/>
  <c r="L366" i="14"/>
  <c r="O366" i="14" s="1"/>
  <c r="P366" i="14" s="1"/>
  <c r="O368" i="24"/>
  <c r="P368" i="24" s="1"/>
  <c r="T89" i="14"/>
  <c r="T368" i="24"/>
  <c r="U287" i="14"/>
  <c r="T237" i="14"/>
  <c r="O99" i="14"/>
  <c r="P99" i="14" s="1"/>
  <c r="O204" i="24"/>
  <c r="P204" i="24" s="1"/>
  <c r="O271" i="24"/>
  <c r="P271" i="24" s="1"/>
  <c r="O237" i="14"/>
  <c r="P237" i="14" s="1"/>
  <c r="O297" i="24"/>
  <c r="P297" i="24" s="1"/>
  <c r="O54" i="14"/>
  <c r="P54" i="14" s="1"/>
  <c r="M194" i="24"/>
  <c r="O194" i="24" s="1"/>
  <c r="P194" i="24" s="1"/>
  <c r="U55" i="14"/>
  <c r="T99" i="14"/>
  <c r="O92" i="24"/>
  <c r="P92" i="24" s="1"/>
  <c r="T271" i="24"/>
  <c r="T317" i="14"/>
  <c r="O370" i="14"/>
  <c r="P370" i="14" s="1"/>
  <c r="O317" i="14"/>
  <c r="P317" i="14" s="1"/>
  <c r="O372" i="14"/>
  <c r="P372" i="14" s="1"/>
  <c r="O351" i="14"/>
  <c r="P351" i="14" s="1"/>
  <c r="U247" i="14"/>
  <c r="O135" i="14"/>
  <c r="P135" i="14" s="1"/>
  <c r="O49" i="24"/>
  <c r="P49" i="24" s="1"/>
  <c r="T159" i="24"/>
  <c r="S266" i="24"/>
  <c r="T174" i="14"/>
  <c r="T313" i="24"/>
  <c r="O159" i="24"/>
  <c r="P159" i="24" s="1"/>
  <c r="O266" i="24"/>
  <c r="P266" i="24" s="1"/>
  <c r="M124" i="14"/>
  <c r="O124" i="14" s="1"/>
  <c r="P124" i="14" s="1"/>
  <c r="T98" i="14"/>
  <c r="O366" i="24"/>
  <c r="P366" i="24" s="1"/>
  <c r="T79" i="24"/>
  <c r="M41" i="14"/>
  <c r="O41" i="14" s="1"/>
  <c r="P41" i="14" s="1"/>
  <c r="O58" i="24"/>
  <c r="P58" i="24" s="1"/>
  <c r="O224" i="14"/>
  <c r="P224" i="14" s="1"/>
  <c r="O179" i="14"/>
  <c r="P179" i="14" s="1"/>
  <c r="M44" i="14"/>
  <c r="L44" i="14"/>
  <c r="O150" i="24"/>
  <c r="P150" i="24" s="1"/>
  <c r="L103" i="24"/>
  <c r="M103" i="24"/>
  <c r="M73" i="14"/>
  <c r="L73" i="14"/>
  <c r="L87" i="24"/>
  <c r="M87" i="24"/>
  <c r="L150" i="14"/>
  <c r="M150" i="14"/>
  <c r="M65" i="24"/>
  <c r="O65" i="24" s="1"/>
  <c r="P65" i="24" s="1"/>
  <c r="O147" i="24"/>
  <c r="P147" i="24" s="1"/>
  <c r="L383" i="24"/>
  <c r="O383" i="24" s="1"/>
  <c r="P383" i="24" s="1"/>
  <c r="O176" i="14"/>
  <c r="P176" i="14" s="1"/>
  <c r="O157" i="24"/>
  <c r="P157" i="24" s="1"/>
  <c r="L272" i="24"/>
  <c r="O272" i="24" s="1"/>
  <c r="P272" i="24" s="1"/>
  <c r="M271" i="14"/>
  <c r="O271" i="14" s="1"/>
  <c r="P271" i="14" s="1"/>
  <c r="O392" i="24"/>
  <c r="P392" i="24" s="1"/>
  <c r="L39" i="24"/>
  <c r="O39" i="24" s="1"/>
  <c r="P39" i="24" s="1"/>
  <c r="E358" i="25" s="1"/>
  <c r="O152" i="24"/>
  <c r="P152" i="24" s="1"/>
  <c r="L114" i="24"/>
  <c r="M114" i="24"/>
  <c r="L358" i="14"/>
  <c r="M358" i="14"/>
  <c r="M386" i="24"/>
  <c r="L386" i="24"/>
  <c r="M153" i="24"/>
  <c r="L153" i="24"/>
  <c r="M263" i="14"/>
  <c r="L263" i="14"/>
  <c r="M356" i="14"/>
  <c r="L356" i="14"/>
  <c r="O195" i="24"/>
  <c r="P195" i="24" s="1"/>
  <c r="M68" i="24"/>
  <c r="L68" i="24"/>
  <c r="L193" i="24"/>
  <c r="M193" i="24"/>
  <c r="S276" i="24"/>
  <c r="O273" i="24"/>
  <c r="P273" i="24" s="1"/>
  <c r="O377" i="24"/>
  <c r="P377" i="24" s="1"/>
  <c r="M276" i="14"/>
  <c r="L276" i="14"/>
  <c r="M112" i="14"/>
  <c r="L112" i="14"/>
  <c r="M264" i="14"/>
  <c r="L264" i="14"/>
  <c r="L63" i="24"/>
  <c r="M63" i="24"/>
  <c r="L356" i="24"/>
  <c r="M356" i="24"/>
  <c r="L279" i="14"/>
  <c r="M279" i="14"/>
  <c r="M122" i="24"/>
  <c r="L122" i="24"/>
  <c r="L362" i="24"/>
  <c r="M362" i="24"/>
  <c r="L261" i="14"/>
  <c r="M261" i="14"/>
  <c r="L41" i="24"/>
  <c r="M41" i="24"/>
  <c r="L89" i="14"/>
  <c r="M89" i="14"/>
  <c r="M101" i="14"/>
  <c r="L101" i="14"/>
  <c r="O231" i="24"/>
  <c r="P231" i="24" s="1"/>
  <c r="O224" i="24"/>
  <c r="P224" i="24" s="1"/>
  <c r="O107" i="14"/>
  <c r="P107" i="14" s="1"/>
  <c r="O235" i="14"/>
  <c r="P235" i="14" s="1"/>
  <c r="O313" i="24"/>
  <c r="P313" i="24" s="1"/>
  <c r="M169" i="14"/>
  <c r="L169" i="14"/>
  <c r="L200" i="14"/>
  <c r="M200" i="14"/>
  <c r="T64" i="14"/>
  <c r="T177" i="24"/>
  <c r="L140" i="14"/>
  <c r="M140" i="14"/>
  <c r="U262" i="14"/>
  <c r="T394" i="14"/>
  <c r="O54" i="24"/>
  <c r="P54" i="24" s="1"/>
  <c r="O177" i="24"/>
  <c r="P177" i="24" s="1"/>
  <c r="T102" i="24"/>
  <c r="T169" i="24"/>
  <c r="M287" i="14"/>
  <c r="L287" i="14"/>
  <c r="U234" i="14"/>
  <c r="U169" i="14"/>
  <c r="S259" i="24"/>
  <c r="O141" i="14"/>
  <c r="P141" i="14" s="1"/>
  <c r="L308" i="14"/>
  <c r="O308" i="14" s="1"/>
  <c r="P308" i="14" s="1"/>
  <c r="O389" i="24"/>
  <c r="P389" i="24" s="1"/>
  <c r="U141" i="14"/>
  <c r="S54" i="24"/>
  <c r="S84" i="24"/>
  <c r="O214" i="29"/>
  <c r="P214" i="29" s="1"/>
  <c r="O102" i="24"/>
  <c r="P102" i="24" s="1"/>
  <c r="L399" i="14"/>
  <c r="M399" i="14"/>
  <c r="O281" i="24"/>
  <c r="P281" i="24" s="1"/>
  <c r="M145" i="14"/>
  <c r="L145" i="14"/>
  <c r="O259" i="24"/>
  <c r="P259" i="24" s="1"/>
  <c r="O187" i="24"/>
  <c r="P187" i="24" s="1"/>
  <c r="O260" i="24"/>
  <c r="P260" i="24" s="1"/>
  <c r="O134" i="24"/>
  <c r="P134" i="24" s="1"/>
  <c r="O144" i="24"/>
  <c r="P144" i="24" s="1"/>
  <c r="O64" i="24"/>
  <c r="P64" i="24" s="1"/>
  <c r="L81" i="14"/>
  <c r="M81" i="14"/>
  <c r="O142" i="24"/>
  <c r="P142" i="24" s="1"/>
  <c r="M250" i="14"/>
  <c r="O250" i="14" s="1"/>
  <c r="P250" i="14" s="1"/>
  <c r="L244" i="24"/>
  <c r="O244" i="24" s="1"/>
  <c r="P244" i="24" s="1"/>
  <c r="M222" i="14"/>
  <c r="L222" i="14"/>
  <c r="L296" i="14"/>
  <c r="O296" i="14" s="1"/>
  <c r="P296" i="14" s="1"/>
  <c r="L234" i="14"/>
  <c r="M234" i="14"/>
  <c r="M193" i="14"/>
  <c r="L193" i="14"/>
  <c r="S398" i="24"/>
  <c r="T269" i="14"/>
  <c r="S335" i="24"/>
  <c r="O203" i="14"/>
  <c r="P203" i="14" s="1"/>
  <c r="T314" i="14"/>
  <c r="O158" i="14"/>
  <c r="P158" i="14" s="1"/>
  <c r="O371" i="24"/>
  <c r="P371" i="24" s="1"/>
  <c r="O86" i="24"/>
  <c r="P86" i="24" s="1"/>
  <c r="S371" i="24"/>
  <c r="O398" i="24"/>
  <c r="P398" i="24" s="1"/>
  <c r="O68" i="14"/>
  <c r="P68" i="14" s="1"/>
  <c r="T158" i="14"/>
  <c r="M246" i="24"/>
  <c r="L246" i="24"/>
  <c r="U316" i="14"/>
  <c r="O302" i="14"/>
  <c r="P302" i="14" s="1"/>
  <c r="M294" i="14"/>
  <c r="L294" i="14"/>
  <c r="T321" i="24"/>
  <c r="U68" i="14"/>
  <c r="U387" i="14"/>
  <c r="T302" i="14"/>
  <c r="M178" i="24"/>
  <c r="L178" i="24"/>
  <c r="M94" i="24"/>
  <c r="L94" i="24"/>
  <c r="O276" i="24"/>
  <c r="P276" i="24" s="1"/>
  <c r="O60" i="24"/>
  <c r="P60" i="24" s="1"/>
  <c r="O314" i="14"/>
  <c r="P314" i="14" s="1"/>
  <c r="M116" i="24"/>
  <c r="L116" i="24"/>
  <c r="O295" i="24"/>
  <c r="P295" i="24" s="1"/>
  <c r="U186" i="14"/>
  <c r="T175" i="24"/>
  <c r="O109" i="24"/>
  <c r="P109" i="24" s="1"/>
  <c r="U132" i="14"/>
  <c r="S305" i="24"/>
  <c r="O292" i="24"/>
  <c r="P292" i="24" s="1"/>
  <c r="O375" i="24"/>
  <c r="P375" i="24" s="1"/>
  <c r="O332" i="14"/>
  <c r="P332" i="14" s="1"/>
  <c r="O290" i="14"/>
  <c r="P290" i="14" s="1"/>
  <c r="T258" i="24"/>
  <c r="U206" i="14"/>
  <c r="S375" i="24"/>
  <c r="O103" i="14"/>
  <c r="P103" i="14" s="1"/>
  <c r="T344" i="14"/>
  <c r="O132" i="14"/>
  <c r="P132" i="14" s="1"/>
  <c r="M369" i="24"/>
  <c r="O369" i="24" s="1"/>
  <c r="P369" i="24" s="1"/>
  <c r="U111" i="14"/>
  <c r="L238" i="24"/>
  <c r="M238" i="24"/>
  <c r="M90" i="24"/>
  <c r="L90" i="24"/>
  <c r="U290" i="14"/>
  <c r="O146" i="24"/>
  <c r="P146" i="24" s="1"/>
  <c r="O217" i="24"/>
  <c r="P217" i="24" s="1"/>
  <c r="M203" i="24"/>
  <c r="L203" i="24"/>
  <c r="T53" i="24"/>
  <c r="T222" i="24"/>
  <c r="T146" i="24"/>
  <c r="S109" i="24"/>
  <c r="O222" i="24"/>
  <c r="P222" i="24" s="1"/>
  <c r="M55" i="14"/>
  <c r="L55" i="14"/>
  <c r="O53" i="24"/>
  <c r="P53" i="24" s="1"/>
  <c r="O139" i="24"/>
  <c r="O344" i="14"/>
  <c r="P344" i="14" s="1"/>
  <c r="O205" i="14"/>
  <c r="P205" i="14" s="1"/>
  <c r="O361" i="24"/>
  <c r="P361" i="24" s="1"/>
  <c r="L214" i="14"/>
  <c r="M214" i="14"/>
  <c r="O183" i="24"/>
  <c r="P183" i="24" s="1"/>
  <c r="M125" i="24"/>
  <c r="L125" i="24"/>
  <c r="L384" i="24"/>
  <c r="M384" i="24"/>
  <c r="E340" i="25"/>
  <c r="O321" i="24"/>
  <c r="P321" i="24" s="1"/>
  <c r="M247" i="14"/>
  <c r="L247" i="14"/>
  <c r="L50" i="14"/>
  <c r="M50" i="14"/>
  <c r="O249" i="24"/>
  <c r="P249" i="24" s="1"/>
  <c r="M300" i="24"/>
  <c r="L300" i="24"/>
  <c r="L79" i="24"/>
  <c r="O79" i="24" s="1"/>
  <c r="P79" i="24" s="1"/>
  <c r="L262" i="14"/>
  <c r="M262" i="14"/>
  <c r="L119" i="14"/>
  <c r="M119" i="14"/>
  <c r="M235" i="24"/>
  <c r="L235" i="24"/>
  <c r="Q139" i="24"/>
  <c r="R139" i="24" s="1"/>
  <c r="J354" i="25"/>
  <c r="U338" i="14"/>
  <c r="L180" i="24"/>
  <c r="O180" i="24" s="1"/>
  <c r="P180" i="24" s="1"/>
  <c r="O339" i="24"/>
  <c r="P339" i="24" s="1"/>
  <c r="O352" i="24"/>
  <c r="P352" i="24" s="1"/>
  <c r="L191" i="24"/>
  <c r="M191" i="24"/>
  <c r="S182" i="24"/>
  <c r="U230" i="14"/>
  <c r="O389" i="14"/>
  <c r="P389" i="14" s="1"/>
  <c r="T273" i="14"/>
  <c r="U389" i="14"/>
  <c r="T119" i="24"/>
  <c r="L166" i="24"/>
  <c r="M166" i="24"/>
  <c r="S288" i="24"/>
  <c r="U188" i="14"/>
  <c r="M310" i="24"/>
  <c r="L310" i="24"/>
  <c r="T197" i="14"/>
  <c r="U292" i="14"/>
  <c r="T350" i="14"/>
  <c r="U123" i="14"/>
  <c r="O182" i="24"/>
  <c r="P182" i="24" s="1"/>
  <c r="O273" i="14"/>
  <c r="P273" i="14" s="1"/>
  <c r="O119" i="24"/>
  <c r="P119" i="24" s="1"/>
  <c r="T285" i="24"/>
  <c r="L67" i="14"/>
  <c r="M67" i="14"/>
  <c r="O176" i="24"/>
  <c r="P176" i="24" s="1"/>
  <c r="M376" i="24"/>
  <c r="L376" i="24"/>
  <c r="M129" i="14"/>
  <c r="L129" i="14"/>
  <c r="E344" i="25"/>
  <c r="L191" i="14"/>
  <c r="O191" i="14" s="1"/>
  <c r="P191" i="14" s="1"/>
  <c r="L382" i="14"/>
  <c r="M382" i="14"/>
  <c r="M346" i="14"/>
  <c r="L346" i="14"/>
  <c r="O74" i="29"/>
  <c r="P74" i="29" s="1"/>
  <c r="O317" i="29"/>
  <c r="P317" i="29" s="1"/>
  <c r="L47" i="24"/>
  <c r="M47" i="24"/>
  <c r="O180" i="14"/>
  <c r="P180" i="14" s="1"/>
  <c r="M320" i="24"/>
  <c r="L320" i="24"/>
  <c r="E335" i="25"/>
  <c r="M52" i="24"/>
  <c r="L52" i="24"/>
  <c r="L325" i="14"/>
  <c r="M325" i="14"/>
  <c r="O347" i="14"/>
  <c r="P347" i="14" s="1"/>
  <c r="O162" i="14"/>
  <c r="P162" i="14" s="1"/>
  <c r="L251" i="24"/>
  <c r="M251" i="24"/>
  <c r="L57" i="14"/>
  <c r="O57" i="14" s="1"/>
  <c r="P57" i="14" s="1"/>
  <c r="O201" i="24"/>
  <c r="P201" i="24" s="1"/>
  <c r="O305" i="24"/>
  <c r="P305" i="24" s="1"/>
  <c r="L181" i="14"/>
  <c r="M181" i="14"/>
  <c r="T145" i="24"/>
  <c r="U136" i="14"/>
  <c r="L226" i="14"/>
  <c r="M226" i="14"/>
  <c r="S101" i="24"/>
  <c r="T40" i="14"/>
  <c r="O197" i="14"/>
  <c r="P197" i="14" s="1"/>
  <c r="O123" i="14"/>
  <c r="P123" i="14" s="1"/>
  <c r="O61" i="24"/>
  <c r="P61" i="24" s="1"/>
  <c r="O258" i="24"/>
  <c r="P258" i="24" s="1"/>
  <c r="L380" i="24"/>
  <c r="M380" i="24"/>
  <c r="L198" i="24"/>
  <c r="M198" i="24"/>
  <c r="Q328" i="24"/>
  <c r="R328" i="24" s="1"/>
  <c r="O328" i="24"/>
  <c r="T270" i="14"/>
  <c r="M204" i="14"/>
  <c r="L204" i="14"/>
  <c r="T82" i="14"/>
  <c r="M156" i="24"/>
  <c r="L156" i="24"/>
  <c r="O145" i="24"/>
  <c r="P145" i="24" s="1"/>
  <c r="M286" i="24"/>
  <c r="L286" i="24"/>
  <c r="M157" i="14"/>
  <c r="L157" i="14"/>
  <c r="T165" i="24"/>
  <c r="T134" i="14"/>
  <c r="O76" i="14"/>
  <c r="P76" i="14" s="1"/>
  <c r="M207" i="24"/>
  <c r="L207" i="24"/>
  <c r="L232" i="14"/>
  <c r="M232" i="14"/>
  <c r="L156" i="14"/>
  <c r="M156" i="14"/>
  <c r="M153" i="14"/>
  <c r="L153" i="14"/>
  <c r="S237" i="24"/>
  <c r="O363" i="24"/>
  <c r="P363" i="24" s="1"/>
  <c r="L159" i="14"/>
  <c r="M159" i="14"/>
  <c r="L241" i="14"/>
  <c r="M241" i="14"/>
  <c r="L315" i="14"/>
  <c r="M315" i="14"/>
  <c r="S387" i="24"/>
  <c r="L284" i="14"/>
  <c r="M284" i="14"/>
  <c r="L387" i="14"/>
  <c r="M387" i="14"/>
  <c r="L316" i="14"/>
  <c r="M316" i="14"/>
  <c r="T304" i="24"/>
  <c r="O387" i="24"/>
  <c r="P387" i="24" s="1"/>
  <c r="M399" i="24"/>
  <c r="O399" i="24" s="1"/>
  <c r="P399" i="24" s="1"/>
  <c r="M303" i="24"/>
  <c r="L303" i="24"/>
  <c r="M270" i="14"/>
  <c r="L270" i="14"/>
  <c r="M131" i="14"/>
  <c r="L131" i="14"/>
  <c r="L318" i="24"/>
  <c r="M318" i="24"/>
  <c r="M230" i="14"/>
  <c r="L230" i="14"/>
  <c r="L246" i="14"/>
  <c r="M246" i="14"/>
  <c r="M251" i="14"/>
  <c r="L251" i="14"/>
  <c r="L301" i="14"/>
  <c r="M301" i="14"/>
  <c r="M375" i="14"/>
  <c r="L375" i="14"/>
  <c r="O225" i="14"/>
  <c r="P225" i="14" s="1"/>
  <c r="L136" i="14"/>
  <c r="M136" i="14"/>
  <c r="M206" i="14"/>
  <c r="L206" i="14"/>
  <c r="L394" i="14"/>
  <c r="M394" i="14"/>
  <c r="M310" i="14"/>
  <c r="L310" i="14"/>
  <c r="M384" i="14"/>
  <c r="L384" i="14"/>
  <c r="L78" i="14"/>
  <c r="M78" i="14"/>
  <c r="O83" i="24"/>
  <c r="P83" i="24" s="1"/>
  <c r="L91" i="14"/>
  <c r="M91" i="14"/>
  <c r="L88" i="14"/>
  <c r="M88" i="14"/>
  <c r="M85" i="14"/>
  <c r="L85" i="14"/>
  <c r="O164" i="24"/>
  <c r="P164" i="24" s="1"/>
  <c r="O84" i="24"/>
  <c r="P84" i="24" s="1"/>
  <c r="O347" i="24"/>
  <c r="P347" i="24" s="1"/>
  <c r="L400" i="14"/>
  <c r="M400" i="14"/>
  <c r="L40" i="14"/>
  <c r="M40" i="14"/>
  <c r="L269" i="14"/>
  <c r="M269" i="14"/>
  <c r="O175" i="24"/>
  <c r="P175" i="24" s="1"/>
  <c r="O237" i="24"/>
  <c r="P237" i="24" s="1"/>
  <c r="M315" i="24"/>
  <c r="L315" i="24"/>
  <c r="O297" i="14"/>
  <c r="R297" i="14"/>
  <c r="S297" i="14" s="1"/>
  <c r="L231" i="14"/>
  <c r="M231" i="14"/>
  <c r="M327" i="24"/>
  <c r="L327" i="24"/>
  <c r="L229" i="24"/>
  <c r="M229" i="24"/>
  <c r="L332" i="24"/>
  <c r="M332" i="24"/>
  <c r="U152" i="14"/>
  <c r="O229" i="14"/>
  <c r="P229" i="14" s="1"/>
  <c r="L400" i="24"/>
  <c r="M400" i="24"/>
  <c r="M63" i="14"/>
  <c r="L63" i="14"/>
  <c r="M97" i="24"/>
  <c r="L97" i="24"/>
  <c r="O101" i="24"/>
  <c r="P101" i="24" s="1"/>
  <c r="O217" i="14"/>
  <c r="P217" i="14" s="1"/>
  <c r="L257" i="24"/>
  <c r="M257" i="24"/>
  <c r="R63" i="14"/>
  <c r="S63" i="14" s="1"/>
  <c r="J312" i="25"/>
  <c r="L266" i="14"/>
  <c r="M266" i="14"/>
  <c r="O326" i="24"/>
  <c r="P326" i="24" s="1"/>
  <c r="O365" i="24"/>
  <c r="P365" i="24" s="1"/>
  <c r="U217" i="14"/>
  <c r="T229" i="14"/>
  <c r="M188" i="14"/>
  <c r="L188" i="14"/>
  <c r="O357" i="24"/>
  <c r="P357" i="24" s="1"/>
  <c r="O335" i="24"/>
  <c r="P335" i="24" s="1"/>
  <c r="L64" i="14"/>
  <c r="M64" i="14"/>
  <c r="O355" i="24"/>
  <c r="P355" i="24" s="1"/>
  <c r="O165" i="24"/>
  <c r="P165" i="24" s="1"/>
  <c r="L71" i="14"/>
  <c r="M71" i="14"/>
  <c r="L174" i="14"/>
  <c r="M174" i="14"/>
  <c r="S205" i="24"/>
  <c r="M288" i="14"/>
  <c r="L288" i="14"/>
  <c r="M288" i="24"/>
  <c r="L288" i="24"/>
  <c r="M272" i="14"/>
  <c r="L272" i="14"/>
  <c r="M292" i="14"/>
  <c r="L292" i="14"/>
  <c r="O205" i="24"/>
  <c r="P205" i="24" s="1"/>
  <c r="L337" i="14"/>
  <c r="M337" i="14"/>
  <c r="O373" i="14"/>
  <c r="P373" i="14" s="1"/>
  <c r="L228" i="14"/>
  <c r="M228" i="14"/>
  <c r="U393" i="14"/>
  <c r="M98" i="14"/>
  <c r="L98" i="14"/>
  <c r="U380" i="14"/>
  <c r="O364" i="29"/>
  <c r="P364" i="29" s="1"/>
  <c r="O48" i="29"/>
  <c r="P48" i="29" s="1"/>
  <c r="M233" i="24"/>
  <c r="L233" i="24"/>
  <c r="M149" i="24"/>
  <c r="L149" i="24"/>
  <c r="L186" i="14"/>
  <c r="M186" i="14"/>
  <c r="L82" i="14"/>
  <c r="M82" i="14"/>
  <c r="L134" i="14"/>
  <c r="M134" i="14"/>
  <c r="M59" i="14"/>
  <c r="L59" i="14"/>
  <c r="L110" i="14"/>
  <c r="M110" i="14"/>
  <c r="L52" i="14"/>
  <c r="M52" i="14"/>
  <c r="L321" i="14"/>
  <c r="M321" i="14"/>
  <c r="M182" i="14"/>
  <c r="L182" i="14"/>
  <c r="U59" i="14"/>
  <c r="M338" i="14"/>
  <c r="L338" i="14"/>
  <c r="M393" i="14"/>
  <c r="L393" i="14"/>
  <c r="M350" i="14"/>
  <c r="L350" i="14"/>
  <c r="L42" i="24"/>
  <c r="M42" i="24"/>
  <c r="M378" i="14"/>
  <c r="L378" i="14"/>
  <c r="L342" i="14"/>
  <c r="M342" i="14"/>
  <c r="O304" i="24"/>
  <c r="P304" i="24" s="1"/>
  <c r="O285" i="24"/>
  <c r="P285" i="24" s="1"/>
  <c r="O330" i="29"/>
  <c r="P330" i="29" s="1"/>
  <c r="O292" i="29"/>
  <c r="P292" i="29" s="1"/>
  <c r="O312" i="29"/>
  <c r="P312" i="29" s="1"/>
  <c r="O106" i="29"/>
  <c r="P106" i="29" s="1"/>
  <c r="O149" i="29"/>
  <c r="P149" i="29" s="1"/>
  <c r="O314" i="29"/>
  <c r="P314" i="29" s="1"/>
  <c r="O75" i="29"/>
  <c r="P75" i="29" s="1"/>
  <c r="O169" i="24"/>
  <c r="P169" i="24" s="1"/>
  <c r="M298" i="14"/>
  <c r="L298" i="14"/>
  <c r="O134" i="29"/>
  <c r="P134" i="29" s="1"/>
  <c r="O372" i="29"/>
  <c r="P372" i="29" s="1"/>
  <c r="M143" i="24"/>
  <c r="L143" i="24"/>
  <c r="O360" i="29"/>
  <c r="P360" i="29" s="1"/>
  <c r="O171" i="29"/>
  <c r="P171" i="29" s="1"/>
  <c r="O306" i="29"/>
  <c r="P306" i="29" s="1"/>
  <c r="O117" i="29"/>
  <c r="P117" i="29" s="1"/>
  <c r="L207" i="14"/>
  <c r="M207" i="14"/>
  <c r="L111" i="14"/>
  <c r="M111" i="14"/>
  <c r="L380" i="14"/>
  <c r="M380" i="14"/>
  <c r="L152" i="14"/>
  <c r="M152" i="14"/>
  <c r="L93" i="14"/>
  <c r="M93" i="14"/>
  <c r="U207" i="14"/>
  <c r="M69" i="14"/>
  <c r="L69" i="14"/>
  <c r="O230" i="29"/>
  <c r="P230" i="29" s="1"/>
  <c r="O79" i="29"/>
  <c r="P79" i="29" s="1"/>
  <c r="O373" i="29"/>
  <c r="P373" i="29" s="1"/>
  <c r="O100" i="29"/>
  <c r="P100" i="29" s="1"/>
  <c r="O121" i="29"/>
  <c r="P121" i="29" s="1"/>
  <c r="O137" i="29"/>
  <c r="P137" i="29" s="1"/>
  <c r="O183" i="29"/>
  <c r="P183" i="29" s="1"/>
  <c r="E375" i="25" s="1"/>
  <c r="O60" i="29"/>
  <c r="P60" i="29" s="1"/>
  <c r="O313" i="29"/>
  <c r="P313" i="29" s="1"/>
  <c r="O356" i="29"/>
  <c r="P356" i="29" s="1"/>
  <c r="O216" i="29"/>
  <c r="P216" i="29" s="1"/>
  <c r="O325" i="29"/>
  <c r="P325" i="29" s="1"/>
  <c r="O239" i="29"/>
  <c r="P239" i="29" s="1"/>
  <c r="O388" i="29"/>
  <c r="P388" i="29" s="1"/>
  <c r="O130" i="29"/>
  <c r="P130" i="29" s="1"/>
  <c r="O246" i="29"/>
  <c r="P246" i="29" s="1"/>
  <c r="O376" i="29"/>
  <c r="P376" i="29" s="1"/>
  <c r="O400" i="29"/>
  <c r="P400" i="29" s="1"/>
  <c r="E337" i="25"/>
  <c r="E331" i="25"/>
  <c r="O62" i="29"/>
  <c r="P62" i="29" s="1"/>
  <c r="O272" i="29"/>
  <c r="P272" i="29" s="1"/>
  <c r="O89" i="29"/>
  <c r="P89" i="29" s="1"/>
  <c r="O276" i="29"/>
  <c r="P276" i="29" s="1"/>
  <c r="O131" i="29"/>
  <c r="P131" i="29" s="1"/>
  <c r="O179" i="29"/>
  <c r="P179" i="29" s="1"/>
  <c r="O242" i="29"/>
  <c r="P242" i="29" s="1"/>
  <c r="O169" i="29"/>
  <c r="P169" i="29" s="1"/>
  <c r="O65" i="29"/>
  <c r="P65" i="29" s="1"/>
  <c r="O237" i="29"/>
  <c r="P237" i="29" s="1"/>
  <c r="O78" i="29"/>
  <c r="P78" i="29" s="1"/>
  <c r="O389" i="29"/>
  <c r="P389" i="29" s="1"/>
  <c r="O139" i="29"/>
  <c r="P139" i="29" s="1"/>
  <c r="O41" i="29"/>
  <c r="P41" i="29" s="1"/>
  <c r="O125" i="29"/>
  <c r="P125" i="29" s="1"/>
  <c r="O155" i="29"/>
  <c r="P155" i="29" s="1"/>
  <c r="O150" i="29"/>
  <c r="P150" i="29" s="1"/>
  <c r="O84" i="29"/>
  <c r="P84" i="29" s="1"/>
  <c r="O51" i="29"/>
  <c r="P51" i="29" s="1"/>
  <c r="O321" i="29"/>
  <c r="P321" i="29" s="1"/>
  <c r="O158" i="29"/>
  <c r="P158" i="29" s="1"/>
  <c r="O92" i="29"/>
  <c r="P92" i="29" s="1"/>
  <c r="O148" i="29"/>
  <c r="P148" i="29" s="1"/>
  <c r="O146" i="29"/>
  <c r="P146" i="29" s="1"/>
  <c r="O223" i="29"/>
  <c r="P223" i="29" s="1"/>
  <c r="O98" i="29"/>
  <c r="P98" i="29" s="1"/>
  <c r="O222" i="29"/>
  <c r="P222" i="29" s="1"/>
  <c r="O188" i="29"/>
  <c r="P188" i="29" s="1"/>
  <c r="O365" i="29"/>
  <c r="P365" i="29" s="1"/>
  <c r="O178" i="29"/>
  <c r="P178" i="29" s="1"/>
  <c r="O119" i="29"/>
  <c r="P119" i="29" s="1"/>
  <c r="O136" i="29"/>
  <c r="P136" i="29" s="1"/>
  <c r="O352" i="29"/>
  <c r="P352" i="29" s="1"/>
  <c r="O107" i="29"/>
  <c r="P107" i="29" s="1"/>
  <c r="O284" i="29"/>
  <c r="P284" i="29" s="1"/>
  <c r="O196" i="29"/>
  <c r="P196" i="29" s="1"/>
  <c r="O181" i="29"/>
  <c r="P181" i="29" s="1"/>
  <c r="O236" i="29"/>
  <c r="P236" i="29" s="1"/>
  <c r="O380" i="29"/>
  <c r="P380" i="29" s="1"/>
  <c r="O256" i="29"/>
  <c r="P256" i="29" s="1"/>
  <c r="O173" i="29"/>
  <c r="P173" i="29" s="1"/>
  <c r="O287" i="29"/>
  <c r="P287" i="29" s="1"/>
  <c r="O324" i="29"/>
  <c r="P324" i="29" s="1"/>
  <c r="O290" i="29"/>
  <c r="P290" i="29" s="1"/>
  <c r="O263" i="29"/>
  <c r="P263" i="29" s="1"/>
  <c r="O394" i="29"/>
  <c r="P394" i="29" s="1"/>
  <c r="O43" i="29"/>
  <c r="P43" i="29" s="1"/>
  <c r="O333" i="29"/>
  <c r="P333" i="29" s="1"/>
  <c r="O97" i="29"/>
  <c r="P97" i="29" s="1"/>
  <c r="O83" i="29"/>
  <c r="P83" i="29" s="1"/>
  <c r="O328" i="29"/>
  <c r="P328" i="29" s="1"/>
  <c r="O273" i="29"/>
  <c r="P273" i="29" s="1"/>
  <c r="O235" i="29"/>
  <c r="P235" i="29" s="1"/>
  <c r="O224" i="29"/>
  <c r="P224" i="29" s="1"/>
  <c r="O208" i="29"/>
  <c r="P208" i="29" s="1"/>
  <c r="O355" i="29"/>
  <c r="P355" i="29" s="1"/>
  <c r="O331" i="29"/>
  <c r="P331" i="29" s="1"/>
  <c r="O390" i="29"/>
  <c r="P390" i="29" s="1"/>
  <c r="O368" i="29"/>
  <c r="P368" i="29" s="1"/>
  <c r="O202" i="29"/>
  <c r="P202" i="29" s="1"/>
  <c r="O322" i="29"/>
  <c r="P322" i="29" s="1"/>
  <c r="O217" i="29"/>
  <c r="P217" i="29" s="1"/>
  <c r="O252" i="29"/>
  <c r="P252" i="29" s="1"/>
  <c r="O262" i="29"/>
  <c r="P262" i="29" s="1"/>
  <c r="O94" i="29"/>
  <c r="P94" i="29" s="1"/>
  <c r="O122" i="29"/>
  <c r="P122" i="29" s="1"/>
  <c r="O211" i="29"/>
  <c r="P211" i="29" s="1"/>
  <c r="O307" i="29"/>
  <c r="P307" i="29" s="1"/>
  <c r="O164" i="29"/>
  <c r="P164" i="29" s="1"/>
  <c r="O279" i="29"/>
  <c r="P279" i="29" s="1"/>
  <c r="O316" i="29"/>
  <c r="P316" i="29" s="1"/>
  <c r="O303" i="29"/>
  <c r="P303" i="29" s="1"/>
  <c r="O268" i="29"/>
  <c r="P268" i="29" s="1"/>
  <c r="O44" i="29"/>
  <c r="P44" i="29" s="1"/>
  <c r="O192" i="29"/>
  <c r="P192" i="29" s="1"/>
  <c r="O253" i="29"/>
  <c r="P253" i="29" s="1"/>
  <c r="O349" i="29"/>
  <c r="P349" i="29" s="1"/>
  <c r="O295" i="29"/>
  <c r="P295" i="29" s="1"/>
  <c r="O335" i="29"/>
  <c r="P335" i="29" s="1"/>
  <c r="O226" i="29"/>
  <c r="P226" i="29" s="1"/>
  <c r="O109" i="29"/>
  <c r="P109" i="29" s="1"/>
  <c r="O271" i="29"/>
  <c r="P271" i="29" s="1"/>
  <c r="O120" i="29"/>
  <c r="P120" i="29" s="1"/>
  <c r="O275" i="29"/>
  <c r="P275" i="29" s="1"/>
  <c r="O391" i="29"/>
  <c r="P391" i="29" s="1"/>
  <c r="O255" i="29"/>
  <c r="P255" i="29" s="1"/>
  <c r="O210" i="29"/>
  <c r="P210" i="29" s="1"/>
  <c r="O238" i="29"/>
  <c r="P238" i="29" s="1"/>
  <c r="O170" i="29"/>
  <c r="P170" i="29" s="1"/>
  <c r="O91" i="29"/>
  <c r="P91" i="29" s="1"/>
  <c r="O163" i="29"/>
  <c r="P163" i="29" s="1"/>
  <c r="O142" i="29"/>
  <c r="P142" i="29" s="1"/>
  <c r="O133" i="29"/>
  <c r="P133" i="29" s="1"/>
  <c r="O381" i="29"/>
  <c r="P381" i="29" s="1"/>
  <c r="O232" i="29"/>
  <c r="P232" i="29" s="1"/>
  <c r="O258" i="29"/>
  <c r="P258" i="29" s="1"/>
  <c r="O227" i="29"/>
  <c r="P227" i="29" s="1"/>
  <c r="O198" i="29"/>
  <c r="P198" i="29" s="1"/>
  <c r="O67" i="29"/>
  <c r="P67" i="29" s="1"/>
  <c r="O72" i="29"/>
  <c r="P72" i="29" s="1"/>
  <c r="O302" i="29"/>
  <c r="P302" i="29" s="1"/>
  <c r="O397" i="29"/>
  <c r="P397" i="29" s="1"/>
  <c r="O90" i="29"/>
  <c r="P90" i="29" s="1"/>
  <c r="O123" i="29"/>
  <c r="P123" i="29" s="1"/>
  <c r="O345" i="29"/>
  <c r="P345" i="29" s="1"/>
  <c r="O143" i="29"/>
  <c r="P143" i="29" s="1"/>
  <c r="O138" i="29"/>
  <c r="P138" i="29" s="1"/>
  <c r="O228" i="29"/>
  <c r="P228" i="29" s="1"/>
  <c r="O190" i="29"/>
  <c r="P190" i="29" s="1"/>
  <c r="O386" i="29"/>
  <c r="P386" i="29" s="1"/>
  <c r="O370" i="29"/>
  <c r="P370" i="29" s="1"/>
  <c r="O366" i="29"/>
  <c r="P366" i="29" s="1"/>
  <c r="O207" i="29"/>
  <c r="P207" i="29" s="1"/>
  <c r="O193" i="29"/>
  <c r="P193" i="29" s="1"/>
  <c r="O205" i="29"/>
  <c r="P205" i="29" s="1"/>
  <c r="O399" i="29"/>
  <c r="P399" i="29" s="1"/>
  <c r="O56" i="29"/>
  <c r="P56" i="29" s="1"/>
  <c r="O81" i="29"/>
  <c r="P81" i="29" s="1"/>
  <c r="O289" i="29"/>
  <c r="P289" i="29" s="1"/>
  <c r="O118" i="29"/>
  <c r="P118" i="29" s="1"/>
  <c r="O319" i="29"/>
  <c r="P319" i="29" s="1"/>
  <c r="O156" i="29"/>
  <c r="P156" i="29" s="1"/>
  <c r="O392" i="29"/>
  <c r="P392" i="29" s="1"/>
  <c r="O369" i="29"/>
  <c r="P369" i="29" s="1"/>
  <c r="O52" i="29"/>
  <c r="P52" i="29" s="1"/>
  <c r="O144" i="29"/>
  <c r="P144" i="29" s="1"/>
  <c r="O300" i="29"/>
  <c r="P300" i="29" s="1"/>
  <c r="O185" i="29"/>
  <c r="P185" i="29" s="1"/>
  <c r="O270" i="29"/>
  <c r="P270" i="29" s="1"/>
  <c r="O204" i="29"/>
  <c r="P204" i="29" s="1"/>
  <c r="O326" i="29"/>
  <c r="P326" i="29" s="1"/>
  <c r="O70" i="29"/>
  <c r="P70" i="29" s="1"/>
  <c r="O304" i="29"/>
  <c r="P304" i="29" s="1"/>
  <c r="O113" i="29"/>
  <c r="P113" i="29" s="1"/>
  <c r="O213" i="29"/>
  <c r="P213" i="29" s="1"/>
  <c r="O240" i="29"/>
  <c r="P240" i="29" s="1"/>
  <c r="O266" i="29"/>
  <c r="P266" i="29" s="1"/>
  <c r="O393" i="29"/>
  <c r="P393" i="29" s="1"/>
  <c r="O175" i="29"/>
  <c r="P175" i="29" s="1"/>
  <c r="O96" i="29"/>
  <c r="P96" i="29" s="1"/>
  <c r="O361" i="29"/>
  <c r="P361" i="29" s="1"/>
  <c r="O129" i="29"/>
  <c r="P129" i="29" s="1"/>
  <c r="E377" i="25" s="1"/>
  <c r="O343" i="29"/>
  <c r="P343" i="29" s="1"/>
  <c r="O244" i="29"/>
  <c r="P244" i="29" s="1"/>
  <c r="O176" i="29"/>
  <c r="P176" i="29" s="1"/>
  <c r="O212" i="29"/>
  <c r="P212" i="29" s="1"/>
  <c r="O93" i="29"/>
  <c r="P93" i="29" s="1"/>
  <c r="O285" i="29"/>
  <c r="P285" i="29" s="1"/>
  <c r="O310" i="29"/>
  <c r="P310" i="29" s="1"/>
  <c r="O95" i="29"/>
  <c r="P95" i="29" s="1"/>
  <c r="O341" i="29"/>
  <c r="P341" i="29" s="1"/>
  <c r="O55" i="29"/>
  <c r="P55" i="29" s="1"/>
  <c r="O200" i="29"/>
  <c r="P200" i="29" s="1"/>
  <c r="O127" i="29"/>
  <c r="P127" i="29" s="1"/>
  <c r="O267" i="29"/>
  <c r="P267" i="29" s="1"/>
  <c r="O102" i="29"/>
  <c r="P102" i="29" s="1"/>
  <c r="O63" i="29"/>
  <c r="P63" i="29" s="1"/>
  <c r="O233" i="29"/>
  <c r="P233" i="29" s="1"/>
  <c r="O229" i="29"/>
  <c r="P229" i="29" s="1"/>
  <c r="O116" i="29"/>
  <c r="P116" i="29" s="1"/>
  <c r="O320" i="29"/>
  <c r="P320" i="29" s="1"/>
  <c r="O231" i="29"/>
  <c r="P231" i="29" s="1"/>
  <c r="O174" i="29"/>
  <c r="P174" i="29" s="1"/>
  <c r="O353" i="29"/>
  <c r="P353" i="29" s="1"/>
  <c r="O172" i="29"/>
  <c r="P172" i="29" s="1"/>
  <c r="O151" i="29"/>
  <c r="P151" i="29" s="1"/>
  <c r="O251" i="29"/>
  <c r="P251" i="29" s="1"/>
  <c r="O299" i="29"/>
  <c r="P299" i="29" s="1"/>
  <c r="O126" i="29"/>
  <c r="P126" i="29" s="1"/>
  <c r="O88" i="29"/>
  <c r="P88" i="29" s="1"/>
  <c r="O347" i="29"/>
  <c r="P347" i="29" s="1"/>
  <c r="O215" i="29"/>
  <c r="P215" i="29" s="1"/>
  <c r="O395" i="29"/>
  <c r="P395" i="29" s="1"/>
  <c r="O54" i="29"/>
  <c r="P54" i="29" s="1"/>
  <c r="O114" i="29"/>
  <c r="P114" i="29" s="1"/>
  <c r="O189" i="29"/>
  <c r="P189" i="29" s="1"/>
  <c r="O301" i="29"/>
  <c r="P301" i="29" s="1"/>
  <c r="O357" i="29"/>
  <c r="P357" i="29" s="1"/>
  <c r="O305" i="29"/>
  <c r="P305" i="29" s="1"/>
  <c r="O329" i="29"/>
  <c r="P329" i="29" s="1"/>
  <c r="O184" i="29"/>
  <c r="P184" i="29" s="1"/>
  <c r="O58" i="29"/>
  <c r="P58" i="29" s="1"/>
  <c r="O384" i="29"/>
  <c r="P384" i="29" s="1"/>
  <c r="O206" i="29"/>
  <c r="P206" i="29" s="1"/>
  <c r="O161" i="29"/>
  <c r="P161" i="29" s="1"/>
  <c r="O269" i="29"/>
  <c r="P269" i="29" s="1"/>
  <c r="O371" i="29"/>
  <c r="P371" i="29" s="1"/>
  <c r="O191" i="29"/>
  <c r="P191" i="29" s="1"/>
  <c r="O159" i="29"/>
  <c r="P159" i="29" s="1"/>
  <c r="O132" i="29"/>
  <c r="P132" i="29" s="1"/>
  <c r="O338" i="29"/>
  <c r="P338" i="29" s="1"/>
  <c r="O141" i="29"/>
  <c r="P141" i="29" s="1"/>
  <c r="O124" i="29"/>
  <c r="P124" i="29" s="1"/>
  <c r="O180" i="29"/>
  <c r="P180" i="29" s="1"/>
  <c r="O40" i="29"/>
  <c r="P40" i="29" s="1"/>
  <c r="O257" i="29"/>
  <c r="P257" i="29" s="1"/>
  <c r="O47" i="29"/>
  <c r="P47" i="29" s="1"/>
  <c r="O398" i="29"/>
  <c r="P398" i="29" s="1"/>
  <c r="O323" i="29"/>
  <c r="P323" i="29" s="1"/>
  <c r="O187" i="29"/>
  <c r="P187" i="29" s="1"/>
  <c r="O50" i="29"/>
  <c r="P50" i="29" s="1"/>
  <c r="O209" i="29"/>
  <c r="P209" i="29" s="1"/>
  <c r="O336" i="29"/>
  <c r="P336" i="29" s="1"/>
  <c r="O153" i="29"/>
  <c r="P153" i="29" s="1"/>
  <c r="O337" i="29"/>
  <c r="P337" i="29" s="1"/>
  <c r="O346" i="29"/>
  <c r="P346" i="29" s="1"/>
  <c r="O297" i="29"/>
  <c r="P297" i="29" s="1"/>
  <c r="O387" i="29"/>
  <c r="P387" i="29" s="1"/>
  <c r="O359" i="29"/>
  <c r="P359" i="29" s="1"/>
  <c r="O73" i="29"/>
  <c r="P73" i="29" s="1"/>
  <c r="O197" i="29"/>
  <c r="P197" i="29" s="1"/>
  <c r="O286" i="29"/>
  <c r="P286" i="29" s="1"/>
  <c r="O145" i="29"/>
  <c r="P145" i="29" s="1"/>
  <c r="O76" i="29"/>
  <c r="P76" i="29" s="1"/>
  <c r="O167" i="29"/>
  <c r="P167" i="29" s="1"/>
  <c r="O140" i="29"/>
  <c r="P140" i="29" s="1"/>
  <c r="O294" i="29"/>
  <c r="P294" i="29" s="1"/>
  <c r="O195" i="29"/>
  <c r="P195" i="29" s="1"/>
  <c r="O281" i="29"/>
  <c r="P281" i="29" s="1"/>
  <c r="O168" i="29"/>
  <c r="P168" i="29" s="1"/>
  <c r="O218" i="29"/>
  <c r="P218" i="29" s="1"/>
  <c r="O358" i="29"/>
  <c r="P358" i="29" s="1"/>
  <c r="O42" i="29"/>
  <c r="P42" i="29" s="1"/>
  <c r="O64" i="29"/>
  <c r="P64" i="29" s="1"/>
  <c r="O49" i="29"/>
  <c r="P49" i="29" s="1"/>
  <c r="O278" i="29"/>
  <c r="P278" i="29" s="1"/>
  <c r="O260" i="29"/>
  <c r="P260" i="29" s="1"/>
  <c r="O165" i="29"/>
  <c r="P165" i="29" s="1"/>
  <c r="O68" i="29"/>
  <c r="P68" i="29" s="1"/>
  <c r="O340" i="29"/>
  <c r="P340" i="29" s="1"/>
  <c r="O261" i="29"/>
  <c r="P261" i="29" s="1"/>
  <c r="O199" i="29"/>
  <c r="P199" i="29" s="1"/>
  <c r="O241" i="29"/>
  <c r="P241" i="29" s="1"/>
  <c r="O85" i="29"/>
  <c r="P85" i="29" s="1"/>
  <c r="O201" i="29"/>
  <c r="P201" i="29" s="1"/>
  <c r="O111" i="29"/>
  <c r="P111" i="29" s="1"/>
  <c r="O46" i="29"/>
  <c r="P46" i="29" s="1"/>
  <c r="O177" i="29"/>
  <c r="P177" i="29" s="1"/>
  <c r="O115" i="29"/>
  <c r="P115" i="29" s="1"/>
  <c r="P34" i="23"/>
  <c r="O147" i="29"/>
  <c r="P147" i="29" s="1"/>
  <c r="O344" i="29"/>
  <c r="P344" i="29" s="1"/>
  <c r="O277" i="29"/>
  <c r="P277" i="29" s="1"/>
  <c r="O351" i="29"/>
  <c r="P351" i="29" s="1"/>
  <c r="O375" i="29"/>
  <c r="P375" i="29" s="1"/>
  <c r="O274" i="29"/>
  <c r="P274" i="29" s="1"/>
  <c r="O82" i="29"/>
  <c r="P82" i="29" s="1"/>
  <c r="O265" i="29"/>
  <c r="P265" i="29" s="1"/>
  <c r="O248" i="29"/>
  <c r="P248" i="29" s="1"/>
  <c r="O291" i="29"/>
  <c r="P291" i="29" s="1"/>
  <c r="O99" i="29"/>
  <c r="P99" i="29" s="1"/>
  <c r="O105" i="29"/>
  <c r="P105" i="29" s="1"/>
  <c r="O334" i="29"/>
  <c r="P334" i="29" s="1"/>
  <c r="O225" i="29"/>
  <c r="P225" i="29" s="1"/>
  <c r="O296" i="29"/>
  <c r="P296" i="29" s="1"/>
  <c r="O128" i="29"/>
  <c r="P128" i="29" s="1"/>
  <c r="O298" i="29"/>
  <c r="P298" i="29" s="1"/>
  <c r="O101" i="29"/>
  <c r="P101" i="29" s="1"/>
  <c r="O293" i="29"/>
  <c r="P293" i="29" s="1"/>
  <c r="O194" i="29"/>
  <c r="P194" i="29" s="1"/>
  <c r="O342" i="29"/>
  <c r="P342" i="29" s="1"/>
  <c r="O288" i="29"/>
  <c r="P288" i="29" s="1"/>
  <c r="O77" i="29"/>
  <c r="P77" i="29" s="1"/>
  <c r="O243" i="29"/>
  <c r="P243" i="29" s="1"/>
  <c r="O363" i="29"/>
  <c r="P363" i="29" s="1"/>
  <c r="O53" i="29"/>
  <c r="P53" i="29" s="1"/>
  <c r="O221" i="29"/>
  <c r="P221" i="29" s="1"/>
  <c r="O282" i="29"/>
  <c r="P282" i="29" s="1"/>
  <c r="O378" i="29"/>
  <c r="P378" i="29" s="1"/>
  <c r="O39" i="29"/>
  <c r="P39" i="29" s="1"/>
  <c r="E381" i="25" s="1"/>
  <c r="O318" i="29"/>
  <c r="P318" i="29" s="1"/>
  <c r="O348" i="29"/>
  <c r="P348" i="29" s="1"/>
  <c r="O379" i="29"/>
  <c r="P379" i="29" s="1"/>
  <c r="O71" i="29"/>
  <c r="P71" i="29" s="1"/>
  <c r="O103" i="29"/>
  <c r="P103" i="29" s="1"/>
  <c r="O162" i="29"/>
  <c r="P162" i="29" s="1"/>
  <c r="O382" i="29"/>
  <c r="P382" i="29" s="1"/>
  <c r="O86" i="29"/>
  <c r="P86" i="29" s="1"/>
  <c r="O154" i="29"/>
  <c r="P154" i="29" s="1"/>
  <c r="O57" i="29"/>
  <c r="P57" i="29" s="1"/>
  <c r="O59" i="29"/>
  <c r="P59" i="29" s="1"/>
  <c r="O350" i="29"/>
  <c r="P350" i="29" s="1"/>
  <c r="O112" i="29"/>
  <c r="P112" i="29" s="1"/>
  <c r="O108" i="29"/>
  <c r="P108" i="29" s="1"/>
  <c r="O69" i="29"/>
  <c r="P69" i="29" s="1"/>
  <c r="O135" i="29"/>
  <c r="P135" i="29" s="1"/>
  <c r="O377" i="29"/>
  <c r="P377" i="29" s="1"/>
  <c r="O332" i="29"/>
  <c r="P332" i="29" s="1"/>
  <c r="O311" i="29"/>
  <c r="P311" i="29" s="1"/>
  <c r="E386" i="25" s="1"/>
  <c r="O166" i="29"/>
  <c r="P166" i="29" s="1"/>
  <c r="O383" i="29"/>
  <c r="P383" i="29" s="1"/>
  <c r="O367" i="29"/>
  <c r="P367" i="29" s="1"/>
  <c r="O186" i="29"/>
  <c r="P186" i="29" s="1"/>
  <c r="O280" i="29"/>
  <c r="P280" i="29" s="1"/>
  <c r="O234" i="29"/>
  <c r="P234" i="29" s="1"/>
  <c r="O245" i="29"/>
  <c r="P245" i="29" s="1"/>
  <c r="O110" i="29"/>
  <c r="P110" i="29" s="1"/>
  <c r="O315" i="29"/>
  <c r="P315" i="29" s="1"/>
  <c r="O250" i="29"/>
  <c r="P250" i="29" s="1"/>
  <c r="O87" i="29"/>
  <c r="P87" i="29" s="1"/>
  <c r="O80" i="29"/>
  <c r="P80" i="29" s="1"/>
  <c r="O249" i="29"/>
  <c r="P249" i="29" s="1"/>
  <c r="O283" i="29"/>
  <c r="P283" i="29" s="1"/>
  <c r="O259" i="29"/>
  <c r="P259" i="29" s="1"/>
  <c r="O203" i="29"/>
  <c r="P203" i="29" s="1"/>
  <c r="O254" i="29"/>
  <c r="P254" i="29" s="1"/>
  <c r="O104" i="29"/>
  <c r="P104" i="29" s="1"/>
  <c r="O66" i="29"/>
  <c r="P66" i="29" s="1"/>
  <c r="O396" i="29"/>
  <c r="P396" i="29" s="1"/>
  <c r="O385" i="29"/>
  <c r="P385" i="29" s="1"/>
  <c r="O157" i="29"/>
  <c r="P157" i="29" s="1"/>
  <c r="O339" i="29"/>
  <c r="P339" i="29" s="1"/>
  <c r="O61" i="29"/>
  <c r="P61" i="29" s="1"/>
  <c r="O264" i="29"/>
  <c r="P264" i="29" s="1"/>
  <c r="O45" i="29"/>
  <c r="P45" i="29" s="1"/>
  <c r="O308" i="29"/>
  <c r="P308" i="29" s="1"/>
  <c r="O354" i="29"/>
  <c r="P354" i="29" s="1"/>
  <c r="O182" i="29"/>
  <c r="P182" i="29" s="1"/>
  <c r="O247" i="29"/>
  <c r="P247" i="29" s="1"/>
  <c r="O362" i="29"/>
  <c r="P362" i="29" s="1"/>
  <c r="O327" i="29"/>
  <c r="P327" i="29" s="1"/>
  <c r="O160" i="29"/>
  <c r="P160" i="29" s="1"/>
  <c r="O374" i="29"/>
  <c r="P374" i="29" s="1"/>
  <c r="T131" i="29"/>
  <c r="S131" i="29"/>
  <c r="T134" i="29"/>
  <c r="S134" i="29"/>
  <c r="S214" i="29"/>
  <c r="T214" i="29"/>
  <c r="T99" i="29"/>
  <c r="S99" i="29"/>
  <c r="T114" i="29"/>
  <c r="S114" i="29"/>
  <c r="S104" i="29"/>
  <c r="T104" i="29"/>
  <c r="S222" i="29"/>
  <c r="T222" i="29"/>
  <c r="T128" i="29"/>
  <c r="S128" i="29"/>
  <c r="T173" i="29"/>
  <c r="S173" i="29"/>
  <c r="T396" i="29"/>
  <c r="S396" i="29"/>
  <c r="T40" i="29"/>
  <c r="S40" i="29"/>
  <c r="S150" i="29"/>
  <c r="T150" i="29"/>
  <c r="T381" i="29"/>
  <c r="S381" i="29"/>
  <c r="S113" i="29"/>
  <c r="T113" i="29"/>
  <c r="T353" i="29"/>
  <c r="S353" i="29"/>
  <c r="S393" i="29"/>
  <c r="T393" i="29"/>
  <c r="S111" i="29"/>
  <c r="T111" i="29"/>
  <c r="S246" i="29"/>
  <c r="T246" i="29"/>
  <c r="T363" i="29"/>
  <c r="S363" i="29"/>
  <c r="T258" i="29"/>
  <c r="S258" i="29"/>
  <c r="S263" i="29"/>
  <c r="T263" i="29"/>
  <c r="S394" i="29"/>
  <c r="T394" i="29"/>
  <c r="S43" i="29"/>
  <c r="T43" i="29"/>
  <c r="T321" i="29"/>
  <c r="S321" i="29"/>
  <c r="T290" i="29"/>
  <c r="S290" i="29"/>
  <c r="S191" i="29"/>
  <c r="T191" i="29"/>
  <c r="T390" i="29"/>
  <c r="S390" i="29"/>
  <c r="T362" i="29"/>
  <c r="S362" i="29"/>
  <c r="T198" i="29"/>
  <c r="S198" i="29"/>
  <c r="T83" i="29"/>
  <c r="S83" i="29"/>
  <c r="S328" i="29"/>
  <c r="T328" i="29"/>
  <c r="T234" i="29"/>
  <c r="S234" i="29"/>
  <c r="S320" i="29"/>
  <c r="T320" i="29"/>
  <c r="S273" i="29"/>
  <c r="T273" i="29"/>
  <c r="T233" i="29"/>
  <c r="S233" i="29"/>
  <c r="S315" i="29"/>
  <c r="T315" i="29"/>
  <c r="T340" i="29"/>
  <c r="S340" i="29"/>
  <c r="T212" i="29"/>
  <c r="S212" i="29"/>
  <c r="S210" i="29"/>
  <c r="T210" i="29"/>
  <c r="S184" i="29"/>
  <c r="T184" i="29"/>
  <c r="T178" i="29"/>
  <c r="S178" i="29"/>
  <c r="S387" i="29"/>
  <c r="T387" i="29"/>
  <c r="S384" i="29"/>
  <c r="T384" i="29"/>
  <c r="T47" i="29"/>
  <c r="S47" i="29"/>
  <c r="T42" i="29"/>
  <c r="S42" i="29"/>
  <c r="T323" i="29"/>
  <c r="S323" i="29"/>
  <c r="S56" i="29"/>
  <c r="T56" i="29"/>
  <c r="T175" i="29"/>
  <c r="S175" i="29"/>
  <c r="S96" i="29"/>
  <c r="T96" i="29"/>
  <c r="S377" i="29"/>
  <c r="T377" i="29"/>
  <c r="S118" i="29"/>
  <c r="T118" i="29"/>
  <c r="T138" i="29"/>
  <c r="S138" i="29"/>
  <c r="S266" i="29"/>
  <c r="T266" i="29"/>
  <c r="T125" i="29"/>
  <c r="S125" i="29"/>
  <c r="T53" i="29"/>
  <c r="S53" i="29"/>
  <c r="T383" i="29"/>
  <c r="S383" i="29"/>
  <c r="T139" i="29"/>
  <c r="S139" i="29"/>
  <c r="T379" i="29"/>
  <c r="S379" i="29"/>
  <c r="T186" i="29"/>
  <c r="S186" i="29"/>
  <c r="S208" i="29"/>
  <c r="T208" i="29"/>
  <c r="S165" i="29"/>
  <c r="T165" i="29"/>
  <c r="T341" i="29"/>
  <c r="S341" i="29"/>
  <c r="S280" i="29"/>
  <c r="T280" i="29"/>
  <c r="S331" i="29"/>
  <c r="T331" i="29"/>
  <c r="T192" i="29"/>
  <c r="S192" i="29"/>
  <c r="S145" i="29"/>
  <c r="T145" i="29"/>
  <c r="T76" i="29"/>
  <c r="S76" i="29"/>
  <c r="S322" i="29"/>
  <c r="T322" i="29"/>
  <c r="S193" i="29"/>
  <c r="T193" i="29"/>
  <c r="S162" i="29"/>
  <c r="T162" i="29"/>
  <c r="S338" i="29"/>
  <c r="T338" i="29"/>
  <c r="T382" i="29"/>
  <c r="S382" i="29"/>
  <c r="S369" i="29"/>
  <c r="T369" i="29"/>
  <c r="S68" i="29"/>
  <c r="T68" i="29"/>
  <c r="T80" i="29"/>
  <c r="S80" i="29"/>
  <c r="T149" i="29"/>
  <c r="S149" i="29"/>
  <c r="S330" i="29"/>
  <c r="T330" i="29"/>
  <c r="T292" i="29"/>
  <c r="S292" i="29"/>
  <c r="T248" i="29"/>
  <c r="S248" i="29"/>
  <c r="S98" i="29"/>
  <c r="T98" i="29"/>
  <c r="T305" i="29"/>
  <c r="S305" i="29"/>
  <c r="T205" i="29"/>
  <c r="S205" i="29"/>
  <c r="T127" i="29"/>
  <c r="S127" i="29"/>
  <c r="T49" i="29"/>
  <c r="S49" i="29"/>
  <c r="S397" i="29"/>
  <c r="T397" i="29"/>
  <c r="T215" i="29"/>
  <c r="S215" i="29"/>
  <c r="T90" i="29"/>
  <c r="S90" i="29"/>
  <c r="T367" i="29"/>
  <c r="S367" i="29"/>
  <c r="T295" i="29"/>
  <c r="S295" i="29"/>
  <c r="S354" i="29"/>
  <c r="T354" i="29"/>
  <c r="T71" i="29"/>
  <c r="S71" i="29"/>
  <c r="T272" i="29"/>
  <c r="S272" i="29"/>
  <c r="T95" i="29"/>
  <c r="S95" i="29"/>
  <c r="S189" i="29"/>
  <c r="T189" i="29"/>
  <c r="T142" i="29"/>
  <c r="S142" i="29"/>
  <c r="S185" i="29"/>
  <c r="T185" i="29"/>
  <c r="S170" i="29"/>
  <c r="T170" i="29"/>
  <c r="S337" i="29"/>
  <c r="T337" i="29"/>
  <c r="T155" i="29"/>
  <c r="S155" i="29"/>
  <c r="S129" i="29"/>
  <c r="T129" i="29"/>
  <c r="T87" i="29"/>
  <c r="S87" i="29"/>
  <c r="S326" i="29"/>
  <c r="T326" i="29"/>
  <c r="S237" i="29"/>
  <c r="T237" i="29"/>
  <c r="T364" i="29"/>
  <c r="S364" i="29"/>
  <c r="S312" i="29"/>
  <c r="T312" i="29"/>
  <c r="T373" i="29"/>
  <c r="S373" i="29"/>
  <c r="T291" i="29"/>
  <c r="S291" i="29"/>
  <c r="T218" i="29"/>
  <c r="S218" i="29"/>
  <c r="T297" i="29"/>
  <c r="S297" i="29"/>
  <c r="T94" i="29"/>
  <c r="S94" i="29"/>
  <c r="S359" i="29"/>
  <c r="T359" i="29"/>
  <c r="S257" i="29"/>
  <c r="T257" i="29"/>
  <c r="T88" i="29"/>
  <c r="S88" i="29"/>
  <c r="S164" i="29"/>
  <c r="T164" i="29"/>
  <c r="S361" i="29"/>
  <c r="T361" i="29"/>
  <c r="S50" i="29"/>
  <c r="T50" i="29"/>
  <c r="S319" i="29"/>
  <c r="T319" i="29"/>
  <c r="T228" i="29"/>
  <c r="S228" i="29"/>
  <c r="S159" i="29"/>
  <c r="T159" i="29"/>
  <c r="S126" i="29"/>
  <c r="T126" i="29"/>
  <c r="S97" i="29"/>
  <c r="T97" i="29"/>
  <c r="T327" i="29"/>
  <c r="S327" i="29"/>
  <c r="T44" i="29"/>
  <c r="S44" i="29"/>
  <c r="T109" i="29"/>
  <c r="S109" i="29"/>
  <c r="T160" i="29"/>
  <c r="S160" i="29"/>
  <c r="S224" i="29"/>
  <c r="T224" i="29"/>
  <c r="T231" i="29"/>
  <c r="S231" i="29"/>
  <c r="T82" i="29"/>
  <c r="S82" i="29"/>
  <c r="S78" i="29"/>
  <c r="T78" i="29"/>
  <c r="T183" i="29"/>
  <c r="S183" i="29"/>
  <c r="T400" i="29"/>
  <c r="S400" i="29"/>
  <c r="S116" i="29"/>
  <c r="T116" i="29"/>
  <c r="T119" i="29"/>
  <c r="S119" i="29"/>
  <c r="S51" i="29"/>
  <c r="T51" i="29"/>
  <c r="T357" i="29"/>
  <c r="S357" i="29"/>
  <c r="S188" i="29"/>
  <c r="T188" i="29"/>
  <c r="S63" i="29"/>
  <c r="T63" i="29"/>
  <c r="S211" i="29"/>
  <c r="T211" i="29"/>
  <c r="T157" i="29"/>
  <c r="S157" i="29"/>
  <c r="S64" i="29"/>
  <c r="T64" i="29"/>
  <c r="T339" i="29"/>
  <c r="S339" i="29"/>
  <c r="T135" i="29"/>
  <c r="S135" i="29"/>
  <c r="T279" i="29"/>
  <c r="S279" i="29"/>
  <c r="S313" i="29"/>
  <c r="T313" i="29"/>
  <c r="S278" i="29"/>
  <c r="T278" i="29"/>
  <c r="S302" i="29"/>
  <c r="T302" i="29"/>
  <c r="S54" i="29"/>
  <c r="T54" i="29"/>
  <c r="T190" i="29"/>
  <c r="S190" i="29"/>
  <c r="T217" i="29"/>
  <c r="S217" i="29"/>
  <c r="S136" i="29"/>
  <c r="T136" i="29"/>
  <c r="T370" i="29"/>
  <c r="S370" i="29"/>
  <c r="T366" i="29"/>
  <c r="S366" i="29"/>
  <c r="T107" i="29"/>
  <c r="S107" i="29"/>
  <c r="T92" i="29"/>
  <c r="S92" i="29"/>
  <c r="T270" i="29"/>
  <c r="S270" i="29"/>
  <c r="S294" i="29"/>
  <c r="T294" i="29"/>
  <c r="T283" i="29"/>
  <c r="S283" i="29"/>
  <c r="S174" i="29"/>
  <c r="T174" i="29"/>
  <c r="T343" i="29"/>
  <c r="S343" i="29"/>
  <c r="T100" i="29"/>
  <c r="S100" i="29"/>
  <c r="S360" i="29"/>
  <c r="T360" i="29"/>
  <c r="T79" i="29"/>
  <c r="S79" i="29"/>
  <c r="T48" i="29"/>
  <c r="S48" i="29"/>
  <c r="T105" i="29"/>
  <c r="S105" i="29"/>
  <c r="S275" i="29"/>
  <c r="T275" i="29"/>
  <c r="T399" i="29"/>
  <c r="S399" i="29"/>
  <c r="T66" i="29"/>
  <c r="S66" i="29"/>
  <c r="S365" i="29"/>
  <c r="T365" i="29"/>
  <c r="S240" i="29"/>
  <c r="T240" i="29"/>
  <c r="T380" i="29"/>
  <c r="S380" i="29"/>
  <c r="T194" i="29"/>
  <c r="S194" i="29"/>
  <c r="S77" i="29"/>
  <c r="T77" i="29"/>
  <c r="T177" i="29"/>
  <c r="S177" i="29"/>
  <c r="T303" i="29"/>
  <c r="S303" i="29"/>
  <c r="T62" i="29"/>
  <c r="S62" i="29"/>
  <c r="S89" i="29"/>
  <c r="T89" i="29"/>
  <c r="T123" i="29"/>
  <c r="S123" i="29"/>
  <c r="S247" i="29"/>
  <c r="T247" i="29"/>
  <c r="T147" i="29"/>
  <c r="S147" i="29"/>
  <c r="S156" i="29"/>
  <c r="T156" i="29"/>
  <c r="T355" i="29"/>
  <c r="S355" i="29"/>
  <c r="S271" i="29"/>
  <c r="T271" i="29"/>
  <c r="T245" i="29"/>
  <c r="S245" i="29"/>
  <c r="T200" i="29"/>
  <c r="S200" i="29"/>
  <c r="T167" i="29"/>
  <c r="S167" i="29"/>
  <c r="T140" i="29"/>
  <c r="S140" i="29"/>
  <c r="T235" i="29"/>
  <c r="S235" i="29"/>
  <c r="S250" i="29"/>
  <c r="T250" i="29"/>
  <c r="S52" i="29"/>
  <c r="T52" i="29"/>
  <c r="S229" i="29"/>
  <c r="T229" i="29"/>
  <c r="T346" i="29"/>
  <c r="S346" i="29"/>
  <c r="S314" i="29"/>
  <c r="T314" i="29"/>
  <c r="T372" i="29"/>
  <c r="S372" i="29"/>
  <c r="T117" i="29"/>
  <c r="S117" i="29"/>
  <c r="T137" i="29"/>
  <c r="S137" i="29"/>
  <c r="S171" i="29"/>
  <c r="T171" i="29"/>
  <c r="T65" i="29"/>
  <c r="S65" i="29"/>
  <c r="T254" i="29"/>
  <c r="S254" i="29"/>
  <c r="S238" i="29"/>
  <c r="T238" i="29"/>
  <c r="S120" i="29"/>
  <c r="T120" i="29"/>
  <c r="T350" i="29"/>
  <c r="S350" i="29"/>
  <c r="S124" i="29"/>
  <c r="T124" i="29"/>
  <c r="T252" i="29"/>
  <c r="S252" i="29"/>
  <c r="T93" i="29"/>
  <c r="S93" i="29"/>
  <c r="S358" i="29"/>
  <c r="T358" i="29"/>
  <c r="T85" i="29"/>
  <c r="S85" i="29"/>
  <c r="T253" i="29"/>
  <c r="S253" i="29"/>
  <c r="S304" i="29"/>
  <c r="T304" i="29"/>
  <c r="S187" i="29"/>
  <c r="T187" i="29"/>
  <c r="S201" i="29"/>
  <c r="T201" i="29"/>
  <c r="T332" i="29"/>
  <c r="S332" i="29"/>
  <c r="S356" i="29"/>
  <c r="T356" i="29"/>
  <c r="S133" i="29"/>
  <c r="T133" i="29"/>
  <c r="T45" i="29"/>
  <c r="S45" i="29"/>
  <c r="T378" i="29"/>
  <c r="S378" i="29"/>
  <c r="T39" i="29"/>
  <c r="S39" i="29"/>
  <c r="T121" i="29"/>
  <c r="S121" i="29"/>
  <c r="T299" i="29"/>
  <c r="S299" i="29"/>
  <c r="T336" i="29"/>
  <c r="S336" i="29"/>
  <c r="S91" i="29"/>
  <c r="T91" i="29"/>
  <c r="T249" i="29"/>
  <c r="S249" i="29"/>
  <c r="S60" i="29"/>
  <c r="T60" i="29"/>
  <c r="T306" i="29"/>
  <c r="S306" i="29"/>
  <c r="S106" i="29"/>
  <c r="T106" i="29"/>
  <c r="S388" i="29"/>
  <c r="T388" i="29"/>
  <c r="S329" i="29"/>
  <c r="T329" i="29"/>
  <c r="T391" i="29"/>
  <c r="S391" i="29"/>
  <c r="S267" i="29"/>
  <c r="T267" i="29"/>
  <c r="T180" i="29"/>
  <c r="S180" i="29"/>
  <c r="S287" i="29"/>
  <c r="T287" i="29"/>
  <c r="T324" i="29"/>
  <c r="S324" i="29"/>
  <c r="T385" i="29"/>
  <c r="S385" i="29"/>
  <c r="T70" i="29"/>
  <c r="S70" i="29"/>
  <c r="S161" i="29"/>
  <c r="T161" i="29"/>
  <c r="T269" i="29"/>
  <c r="S269" i="29"/>
  <c r="S72" i="29"/>
  <c r="T72" i="29"/>
  <c r="S243" i="29"/>
  <c r="T243" i="29"/>
  <c r="T236" i="29"/>
  <c r="S236" i="29"/>
  <c r="S282" i="29"/>
  <c r="T282" i="29"/>
  <c r="T395" i="29"/>
  <c r="S395" i="29"/>
  <c r="T256" i="29"/>
  <c r="S256" i="29"/>
  <c r="T260" i="29"/>
  <c r="S260" i="29"/>
  <c r="T41" i="29"/>
  <c r="S41" i="29"/>
  <c r="S335" i="29"/>
  <c r="T335" i="29"/>
  <c r="T333" i="29"/>
  <c r="S333" i="29"/>
  <c r="S286" i="29"/>
  <c r="T286" i="29"/>
  <c r="S203" i="29"/>
  <c r="T203" i="29"/>
  <c r="S281" i="29"/>
  <c r="T281" i="29"/>
  <c r="T204" i="29"/>
  <c r="S204" i="29"/>
  <c r="S146" i="29"/>
  <c r="T146" i="29"/>
  <c r="S141" i="29"/>
  <c r="T141" i="29"/>
  <c r="S317" i="29"/>
  <c r="T317" i="29"/>
  <c r="T75" i="29"/>
  <c r="S75" i="29"/>
  <c r="S168" i="29"/>
  <c r="T168" i="29"/>
  <c r="S199" i="29"/>
  <c r="T199" i="29"/>
  <c r="S108" i="29"/>
  <c r="T108" i="29"/>
  <c r="S122" i="29"/>
  <c r="T122" i="29"/>
  <c r="S398" i="29"/>
  <c r="T398" i="29"/>
  <c r="S307" i="29"/>
  <c r="T307" i="29"/>
  <c r="S84" i="29"/>
  <c r="T84" i="29"/>
  <c r="T81" i="29"/>
  <c r="S81" i="29"/>
  <c r="S371" i="29"/>
  <c r="T371" i="29"/>
  <c r="S342" i="29"/>
  <c r="T342" i="29"/>
  <c r="S276" i="29"/>
  <c r="T276" i="29"/>
  <c r="T264" i="29"/>
  <c r="S264" i="29"/>
  <c r="S46" i="29"/>
  <c r="T46" i="29"/>
  <c r="S347" i="29"/>
  <c r="T347" i="29"/>
  <c r="T227" i="29"/>
  <c r="S227" i="29"/>
  <c r="T386" i="29"/>
  <c r="S386" i="29"/>
  <c r="S226" i="29"/>
  <c r="T226" i="29"/>
  <c r="T392" i="29"/>
  <c r="S392" i="29"/>
  <c r="S277" i="29"/>
  <c r="T277" i="29"/>
  <c r="T103" i="29"/>
  <c r="S103" i="29"/>
  <c r="T67" i="29"/>
  <c r="S67" i="29"/>
  <c r="T374" i="29"/>
  <c r="S374" i="29"/>
  <c r="T232" i="29"/>
  <c r="S232" i="29"/>
  <c r="T179" i="29"/>
  <c r="S179" i="29"/>
  <c r="S216" i="29"/>
  <c r="T216" i="29"/>
  <c r="S242" i="29"/>
  <c r="T242" i="29"/>
  <c r="T325" i="29"/>
  <c r="S325" i="29"/>
  <c r="T244" i="29"/>
  <c r="S244" i="29"/>
  <c r="T196" i="29"/>
  <c r="S196" i="29"/>
  <c r="S176" i="29"/>
  <c r="T176" i="29"/>
  <c r="S334" i="29"/>
  <c r="T334" i="29"/>
  <c r="T225" i="29"/>
  <c r="S225" i="29"/>
  <c r="S261" i="29"/>
  <c r="T261" i="29"/>
  <c r="S255" i="29"/>
  <c r="T255" i="29"/>
  <c r="S172" i="29"/>
  <c r="T172" i="29"/>
  <c r="T69" i="29"/>
  <c r="S69" i="29"/>
  <c r="T101" i="29"/>
  <c r="S101" i="29"/>
  <c r="S143" i="29"/>
  <c r="T143" i="29"/>
  <c r="S206" i="29"/>
  <c r="T206" i="29"/>
  <c r="T300" i="29"/>
  <c r="S300" i="29"/>
  <c r="T293" i="29"/>
  <c r="S293" i="29"/>
  <c r="T158" i="29"/>
  <c r="S158" i="29"/>
  <c r="S181" i="29"/>
  <c r="T181" i="29"/>
  <c r="S221" i="29"/>
  <c r="T221" i="29"/>
  <c r="T349" i="29"/>
  <c r="S349" i="29"/>
  <c r="T348" i="29"/>
  <c r="S348" i="29"/>
  <c r="S115" i="29"/>
  <c r="T115" i="29"/>
  <c r="S251" i="29"/>
  <c r="T251" i="29"/>
  <c r="T308" i="29"/>
  <c r="S308" i="29"/>
  <c r="T130" i="29"/>
  <c r="S130" i="29"/>
  <c r="T132" i="29"/>
  <c r="S132" i="29"/>
  <c r="S209" i="29"/>
  <c r="T209" i="29"/>
  <c r="S310" i="29"/>
  <c r="T310" i="29"/>
  <c r="T344" i="29"/>
  <c r="S344" i="29"/>
  <c r="S202" i="29"/>
  <c r="T202" i="29"/>
  <c r="S351" i="29"/>
  <c r="T351" i="29"/>
  <c r="S110" i="29"/>
  <c r="T110" i="29"/>
  <c r="T195" i="29"/>
  <c r="S195" i="29"/>
  <c r="T375" i="29"/>
  <c r="S375" i="29"/>
  <c r="T154" i="29"/>
  <c r="S154" i="29"/>
  <c r="S230" i="29"/>
  <c r="T230" i="29"/>
  <c r="T74" i="29"/>
  <c r="S74" i="29"/>
  <c r="S239" i="29"/>
  <c r="T239" i="29"/>
  <c r="S296" i="29"/>
  <c r="T296" i="29"/>
  <c r="S262" i="29"/>
  <c r="T262" i="29"/>
  <c r="T102" i="29"/>
  <c r="S102" i="29"/>
  <c r="S58" i="29"/>
  <c r="T58" i="29"/>
  <c r="T151" i="29"/>
  <c r="S151" i="29"/>
  <c r="S298" i="29"/>
  <c r="T298" i="29"/>
  <c r="S213" i="29"/>
  <c r="T213" i="29"/>
  <c r="S289" i="29"/>
  <c r="T289" i="29"/>
  <c r="T311" i="29"/>
  <c r="S311" i="29"/>
  <c r="S61" i="29"/>
  <c r="T61" i="29"/>
  <c r="T316" i="29"/>
  <c r="S316" i="29"/>
  <c r="T288" i="29"/>
  <c r="S288" i="29"/>
  <c r="T166" i="29"/>
  <c r="S166" i="29"/>
  <c r="T318" i="29"/>
  <c r="S318" i="29"/>
  <c r="S182" i="29"/>
  <c r="T182" i="29"/>
  <c r="S352" i="29"/>
  <c r="T352" i="29"/>
  <c r="S197" i="29"/>
  <c r="T197" i="29"/>
  <c r="T55" i="29"/>
  <c r="S55" i="29"/>
  <c r="T207" i="29"/>
  <c r="S207" i="29"/>
  <c r="T223" i="29"/>
  <c r="S223" i="29"/>
  <c r="S148" i="29"/>
  <c r="T148" i="29"/>
  <c r="T86" i="29"/>
  <c r="S86" i="29"/>
  <c r="T265" i="29"/>
  <c r="S265" i="29"/>
  <c r="T376" i="29"/>
  <c r="S376" i="29"/>
  <c r="S169" i="29"/>
  <c r="T169" i="29"/>
  <c r="T389" i="29"/>
  <c r="S389" i="29"/>
  <c r="S57" i="29"/>
  <c r="T57" i="29"/>
  <c r="T59" i="29"/>
  <c r="S59" i="29"/>
  <c r="T112" i="29"/>
  <c r="S112" i="29"/>
  <c r="T301" i="29"/>
  <c r="S301" i="29"/>
  <c r="S285" i="29"/>
  <c r="T285" i="29"/>
  <c r="T241" i="29"/>
  <c r="S241" i="29"/>
  <c r="T345" i="29"/>
  <c r="S345" i="29"/>
  <c r="S284" i="29"/>
  <c r="T284" i="29"/>
  <c r="T268" i="29"/>
  <c r="S268" i="29"/>
  <c r="S73" i="29"/>
  <c r="T73" i="29"/>
  <c r="S368" i="29"/>
  <c r="T368" i="29"/>
  <c r="T153" i="29"/>
  <c r="S153" i="29"/>
  <c r="T163" i="29"/>
  <c r="S163" i="29"/>
  <c r="T259" i="29"/>
  <c r="S259" i="29"/>
  <c r="T144" i="29"/>
  <c r="S144" i="29"/>
  <c r="S274" i="29"/>
  <c r="T274" i="29"/>
  <c r="P39" i="14" l="1"/>
  <c r="E314" i="25" s="1"/>
  <c r="E384" i="25"/>
  <c r="T368" i="14"/>
  <c r="E379" i="25"/>
  <c r="E388" i="25"/>
  <c r="O268" i="24"/>
  <c r="P268" i="24" s="1"/>
  <c r="P260" i="14"/>
  <c r="P368" i="14"/>
  <c r="E321" i="25" s="1"/>
  <c r="U260" i="14"/>
  <c r="T260" i="14"/>
  <c r="T344" i="24"/>
  <c r="S344" i="24"/>
  <c r="P344" i="24"/>
  <c r="E363" i="25" s="1"/>
  <c r="O199" i="24"/>
  <c r="P199" i="24" s="1"/>
  <c r="O282" i="14"/>
  <c r="P282" i="14" s="1"/>
  <c r="O192" i="14"/>
  <c r="P192" i="14" s="1"/>
  <c r="O325" i="24"/>
  <c r="P325" i="24" s="1"/>
  <c r="O385" i="24"/>
  <c r="P385" i="24" s="1"/>
  <c r="O226" i="24"/>
  <c r="P226" i="24" s="1"/>
  <c r="O109" i="14"/>
  <c r="P109" i="14" s="1"/>
  <c r="E360" i="25"/>
  <c r="O289" i="24"/>
  <c r="P289" i="24" s="1"/>
  <c r="O338" i="24"/>
  <c r="P338" i="24" s="1"/>
  <c r="O343" i="14"/>
  <c r="P343" i="14" s="1"/>
  <c r="E329" i="25"/>
  <c r="O56" i="24"/>
  <c r="P56" i="24" s="1"/>
  <c r="E356" i="25" s="1"/>
  <c r="O232" i="24"/>
  <c r="P232" i="24" s="1"/>
  <c r="O74" i="24"/>
  <c r="P74" i="24" s="1"/>
  <c r="O258" i="14"/>
  <c r="P258" i="14" s="1"/>
  <c r="O43" i="14"/>
  <c r="P43" i="14" s="1"/>
  <c r="O103" i="24"/>
  <c r="P103" i="24" s="1"/>
  <c r="O44" i="14"/>
  <c r="P44" i="14" s="1"/>
  <c r="O150" i="14"/>
  <c r="P150" i="14" s="1"/>
  <c r="O87" i="24"/>
  <c r="P87" i="24" s="1"/>
  <c r="O73" i="14"/>
  <c r="P73" i="14" s="1"/>
  <c r="O88" i="14"/>
  <c r="P88" i="14" s="1"/>
  <c r="O89" i="14"/>
  <c r="P89" i="14" s="1"/>
  <c r="O356" i="24"/>
  <c r="P356" i="24" s="1"/>
  <c r="O358" i="14"/>
  <c r="P358" i="14" s="1"/>
  <c r="O246" i="14"/>
  <c r="P246" i="14" s="1"/>
  <c r="O241" i="14"/>
  <c r="P241" i="14" s="1"/>
  <c r="O261" i="14"/>
  <c r="P261" i="14" s="1"/>
  <c r="O114" i="24"/>
  <c r="P114" i="24" s="1"/>
  <c r="O263" i="14"/>
  <c r="P263" i="14" s="1"/>
  <c r="O279" i="14"/>
  <c r="P279" i="14" s="1"/>
  <c r="O41" i="24"/>
  <c r="P41" i="24" s="1"/>
  <c r="O63" i="24"/>
  <c r="P63" i="24" s="1"/>
  <c r="O356" i="14"/>
  <c r="P356" i="14" s="1"/>
  <c r="O153" i="24"/>
  <c r="P153" i="24" s="1"/>
  <c r="O386" i="24"/>
  <c r="P386" i="24" s="1"/>
  <c r="O193" i="24"/>
  <c r="P193" i="24" s="1"/>
  <c r="O68" i="24"/>
  <c r="P68" i="24" s="1"/>
  <c r="O169" i="14"/>
  <c r="P169" i="14" s="1"/>
  <c r="O81" i="14"/>
  <c r="P81" i="14" s="1"/>
  <c r="O234" i="14"/>
  <c r="P234" i="14" s="1"/>
  <c r="O264" i="14"/>
  <c r="P264" i="14" s="1"/>
  <c r="O362" i="24"/>
  <c r="P362" i="24" s="1"/>
  <c r="O112" i="14"/>
  <c r="P112" i="14" s="1"/>
  <c r="O276" i="14"/>
  <c r="P276" i="14" s="1"/>
  <c r="O200" i="14"/>
  <c r="P200" i="14" s="1"/>
  <c r="O222" i="14"/>
  <c r="P222" i="14" s="1"/>
  <c r="O122" i="24"/>
  <c r="P122" i="24" s="1"/>
  <c r="O399" i="14"/>
  <c r="P399" i="14" s="1"/>
  <c r="O101" i="14"/>
  <c r="P101" i="14" s="1"/>
  <c r="O140" i="14"/>
  <c r="P140" i="14" s="1"/>
  <c r="O145" i="14"/>
  <c r="P145" i="14" s="1"/>
  <c r="O287" i="14"/>
  <c r="P287" i="14" s="1"/>
  <c r="O262" i="14"/>
  <c r="P262" i="14" s="1"/>
  <c r="O384" i="24"/>
  <c r="P384" i="24" s="1"/>
  <c r="O238" i="24"/>
  <c r="P238" i="24" s="1"/>
  <c r="O246" i="24"/>
  <c r="P246" i="24" s="1"/>
  <c r="O178" i="24"/>
  <c r="P178" i="24" s="1"/>
  <c r="O193" i="14"/>
  <c r="P193" i="14" s="1"/>
  <c r="O214" i="14"/>
  <c r="P214" i="14" s="1"/>
  <c r="O294" i="14"/>
  <c r="P294" i="14" s="1"/>
  <c r="O116" i="24"/>
  <c r="P116" i="24" s="1"/>
  <c r="O94" i="24"/>
  <c r="P94" i="24" s="1"/>
  <c r="O159" i="14"/>
  <c r="P159" i="14" s="1"/>
  <c r="O251" i="24"/>
  <c r="P251" i="24" s="1"/>
  <c r="E367" i="25" s="1"/>
  <c r="O191" i="24"/>
  <c r="P191" i="24" s="1"/>
  <c r="O55" i="14"/>
  <c r="P55" i="14" s="1"/>
  <c r="O90" i="24"/>
  <c r="P90" i="24" s="1"/>
  <c r="O50" i="14"/>
  <c r="P50" i="14" s="1"/>
  <c r="O203" i="24"/>
  <c r="P203" i="24" s="1"/>
  <c r="O67" i="14"/>
  <c r="P67" i="14" s="1"/>
  <c r="O125" i="24"/>
  <c r="P125" i="24" s="1"/>
  <c r="O119" i="14"/>
  <c r="P119" i="14" s="1"/>
  <c r="O382" i="14"/>
  <c r="P382" i="14" s="1"/>
  <c r="O300" i="24"/>
  <c r="P300" i="24" s="1"/>
  <c r="O47" i="24"/>
  <c r="P47" i="24" s="1"/>
  <c r="O247" i="14"/>
  <c r="P247" i="14" s="1"/>
  <c r="O198" i="24"/>
  <c r="P198" i="24" s="1"/>
  <c r="O166" i="24"/>
  <c r="P166" i="24" s="1"/>
  <c r="T139" i="24"/>
  <c r="S139" i="24"/>
  <c r="O235" i="24"/>
  <c r="P235" i="24" s="1"/>
  <c r="P139" i="24"/>
  <c r="E354" i="25" s="1"/>
  <c r="O310" i="24"/>
  <c r="P310" i="24" s="1"/>
  <c r="O325" i="14"/>
  <c r="P325" i="14" s="1"/>
  <c r="O387" i="14"/>
  <c r="P387" i="14" s="1"/>
  <c r="O52" i="24"/>
  <c r="P52" i="24" s="1"/>
  <c r="O303" i="24"/>
  <c r="P303" i="24" s="1"/>
  <c r="O129" i="14"/>
  <c r="P129" i="14" s="1"/>
  <c r="E310" i="25" s="1"/>
  <c r="O327" i="24"/>
  <c r="P327" i="24" s="1"/>
  <c r="P328" i="24"/>
  <c r="O226" i="14"/>
  <c r="P226" i="14" s="1"/>
  <c r="O376" i="24"/>
  <c r="P376" i="24" s="1"/>
  <c r="O156" i="24"/>
  <c r="P156" i="24" s="1"/>
  <c r="O320" i="24"/>
  <c r="P320" i="24" s="1"/>
  <c r="O318" i="24"/>
  <c r="P318" i="24" s="1"/>
  <c r="O301" i="14"/>
  <c r="P301" i="14" s="1"/>
  <c r="O156" i="14"/>
  <c r="P156" i="14" s="1"/>
  <c r="O286" i="24"/>
  <c r="P286" i="24" s="1"/>
  <c r="O380" i="24"/>
  <c r="P380" i="24" s="1"/>
  <c r="O346" i="14"/>
  <c r="P346" i="14" s="1"/>
  <c r="O394" i="14"/>
  <c r="P394" i="14" s="1"/>
  <c r="O204" i="14"/>
  <c r="P204" i="14" s="1"/>
  <c r="O207" i="24"/>
  <c r="P207" i="24" s="1"/>
  <c r="T328" i="24"/>
  <c r="S328" i="24"/>
  <c r="O157" i="14"/>
  <c r="P157" i="14" s="1"/>
  <c r="O284" i="14"/>
  <c r="P284" i="14" s="1"/>
  <c r="O181" i="14"/>
  <c r="P181" i="14" s="1"/>
  <c r="O316" i="14"/>
  <c r="P316" i="14" s="1"/>
  <c r="O153" i="14"/>
  <c r="P153" i="14" s="1"/>
  <c r="O270" i="14"/>
  <c r="P270" i="14" s="1"/>
  <c r="O315" i="14"/>
  <c r="P315" i="14" s="1"/>
  <c r="O232" i="14"/>
  <c r="P232" i="14" s="1"/>
  <c r="O266" i="14"/>
  <c r="P266" i="14" s="1"/>
  <c r="O400" i="24"/>
  <c r="P400" i="24" s="1"/>
  <c r="O131" i="14"/>
  <c r="P131" i="14" s="1"/>
  <c r="O91" i="14"/>
  <c r="P91" i="14" s="1"/>
  <c r="O71" i="14"/>
  <c r="P71" i="14" s="1"/>
  <c r="O400" i="14"/>
  <c r="P400" i="14" s="1"/>
  <c r="O78" i="14"/>
  <c r="P78" i="14" s="1"/>
  <c r="O375" i="14"/>
  <c r="P375" i="14" s="1"/>
  <c r="O384" i="14"/>
  <c r="P384" i="14" s="1"/>
  <c r="O315" i="24"/>
  <c r="P315" i="24" s="1"/>
  <c r="O310" i="14"/>
  <c r="P310" i="14" s="1"/>
  <c r="O251" i="14"/>
  <c r="P251" i="14" s="1"/>
  <c r="O206" i="14"/>
  <c r="P206" i="14" s="1"/>
  <c r="O136" i="14"/>
  <c r="P136" i="14" s="1"/>
  <c r="O230" i="14"/>
  <c r="P230" i="14" s="1"/>
  <c r="O40" i="14"/>
  <c r="P40" i="14" s="1"/>
  <c r="O231" i="14"/>
  <c r="P231" i="14" s="1"/>
  <c r="T297" i="14"/>
  <c r="U297" i="14"/>
  <c r="P297" i="14"/>
  <c r="O64" i="14"/>
  <c r="P64" i="14" s="1"/>
  <c r="O332" i="24"/>
  <c r="P332" i="24" s="1"/>
  <c r="O85" i="14"/>
  <c r="P85" i="14" s="1"/>
  <c r="O229" i="24"/>
  <c r="P229" i="24" s="1"/>
  <c r="O269" i="14"/>
  <c r="P269" i="14" s="1"/>
  <c r="O257" i="24"/>
  <c r="P257" i="24" s="1"/>
  <c r="O337" i="14"/>
  <c r="P337" i="14" s="1"/>
  <c r="O174" i="14"/>
  <c r="P174" i="14" s="1"/>
  <c r="O97" i="24"/>
  <c r="P97" i="24" s="1"/>
  <c r="O63" i="14"/>
  <c r="P63" i="14" s="1"/>
  <c r="T63" i="14"/>
  <c r="U63" i="14"/>
  <c r="O188" i="14"/>
  <c r="P188" i="14" s="1"/>
  <c r="O378" i="14"/>
  <c r="P378" i="14" s="1"/>
  <c r="O321" i="14"/>
  <c r="P321" i="14" s="1"/>
  <c r="O186" i="14"/>
  <c r="P186" i="14" s="1"/>
  <c r="O228" i="14"/>
  <c r="P228" i="14" s="1"/>
  <c r="O292" i="14"/>
  <c r="P292" i="14" s="1"/>
  <c r="O272" i="14"/>
  <c r="P272" i="14" s="1"/>
  <c r="O82" i="14"/>
  <c r="P82" i="14" s="1"/>
  <c r="O98" i="14"/>
  <c r="P98" i="14" s="1"/>
  <c r="O288" i="24"/>
  <c r="P288" i="24" s="1"/>
  <c r="O288" i="14"/>
  <c r="P288" i="14" s="1"/>
  <c r="O342" i="14"/>
  <c r="P342" i="14" s="1"/>
  <c r="O110" i="14"/>
  <c r="P110" i="14" s="1"/>
  <c r="O134" i="14"/>
  <c r="P134" i="14" s="1"/>
  <c r="O233" i="24"/>
  <c r="P233" i="24" s="1"/>
  <c r="O149" i="24"/>
  <c r="P149" i="24" s="1"/>
  <c r="O52" i="14"/>
  <c r="P52" i="14" s="1"/>
  <c r="O350" i="14"/>
  <c r="P350" i="14" s="1"/>
  <c r="O59" i="14"/>
  <c r="P59" i="14" s="1"/>
  <c r="O207" i="14"/>
  <c r="P207" i="14" s="1"/>
  <c r="O393" i="14"/>
  <c r="P393" i="14" s="1"/>
  <c r="O338" i="14"/>
  <c r="P338" i="14" s="1"/>
  <c r="O182" i="14"/>
  <c r="P182" i="14" s="1"/>
  <c r="O42" i="24"/>
  <c r="P42" i="24" s="1"/>
  <c r="O380" i="14"/>
  <c r="P380" i="14" s="1"/>
  <c r="O298" i="14"/>
  <c r="P298" i="14" s="1"/>
  <c r="O143" i="24"/>
  <c r="P143" i="24" s="1"/>
  <c r="O111" i="14"/>
  <c r="P111" i="14" s="1"/>
  <c r="O152" i="14"/>
  <c r="P152" i="14" s="1"/>
  <c r="O93" i="14"/>
  <c r="P93" i="14" s="1"/>
  <c r="O69" i="14"/>
  <c r="P69" i="14" s="1"/>
  <c r="P34" i="29"/>
  <c r="U39" i="14" l="1"/>
  <c r="E319" i="25"/>
  <c r="E312" i="25"/>
  <c r="P34" i="14"/>
  <c r="P34"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FischerTh</author>
    <author>Fischer Thomas</author>
  </authors>
  <commentList>
    <comment ref="D12" authorId="0" shapeId="0" xr:uid="{C4A98455-EE86-4D08-9429-47CCDDB05701}">
      <text>
        <r>
          <rPr>
            <b/>
            <sz val="9"/>
            <color indexed="81"/>
            <rFont val="Tahoma"/>
            <family val="2"/>
          </rPr>
          <t>FischerTh:</t>
        </r>
        <r>
          <rPr>
            <sz val="9"/>
            <color indexed="81"/>
            <rFont val="Tahoma"/>
            <family val="2"/>
          </rPr>
          <t xml:space="preserve">
Teleskopsatz ohne Hubarmbolzen, ohne Korb und Steuerpult (zus.65kg) ohne
Drehtisch HAZ und KST 
335kg     113kg     345kg
muß gewogen werden</t>
        </r>
      </text>
    </comment>
    <comment ref="B37" authorId="1" shapeId="0" xr:uid="{6D92EC42-37A6-4EE4-B977-B5FD9D5C8487}">
      <text>
        <r>
          <rPr>
            <b/>
            <sz val="9"/>
            <color indexed="81"/>
            <rFont val="Segoe UI"/>
            <family val="2"/>
          </rPr>
          <t>für Berechnung immer positiv</t>
        </r>
        <r>
          <rPr>
            <sz val="9"/>
            <color indexed="81"/>
            <rFont val="Segoe U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joehren</author>
    <author>FischerTh</author>
  </authors>
  <commentList>
    <comment ref="C29" authorId="0" shapeId="0" xr:uid="{00000000-0006-0000-0100-000001000000}">
      <text>
        <r>
          <rPr>
            <b/>
            <sz val="8"/>
            <color indexed="81"/>
            <rFont val="Tahoma"/>
            <family val="2"/>
          </rPr>
          <t>joehren:</t>
        </r>
        <r>
          <rPr>
            <sz val="8"/>
            <color indexed="81"/>
            <rFont val="Tahoma"/>
            <family val="2"/>
          </rPr>
          <t xml:space="preserve">
positiv = vor der KDV; negativ = hinter der KDV</t>
        </r>
      </text>
    </comment>
    <comment ref="Z47" authorId="1" shapeId="0" xr:uid="{00000000-0006-0000-0100-000002000000}">
      <text>
        <r>
          <rPr>
            <b/>
            <sz val="9"/>
            <color indexed="81"/>
            <rFont val="Tahoma"/>
            <family val="2"/>
          </rPr>
          <t>FischerTh:</t>
        </r>
        <r>
          <rPr>
            <sz val="9"/>
            <color indexed="81"/>
            <rFont val="Tahoma"/>
            <family val="2"/>
          </rPr>
          <t xml:space="preserve">
ohne Abdeckung und Befest, Bordwand Heckanbau und Schutzdach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Fischer Thomas</author>
  </authors>
  <commentList>
    <comment ref="D261" authorId="0" shapeId="0" xr:uid="{00000000-0006-0000-0400-000001000000}">
      <text>
        <r>
          <rPr>
            <b/>
            <sz val="9"/>
            <color indexed="81"/>
            <rFont val="Tahoma"/>
            <family val="2"/>
          </rPr>
          <t>Fischer Thomas:</t>
        </r>
        <r>
          <rPr>
            <sz val="9"/>
            <color indexed="81"/>
            <rFont val="Tahoma"/>
            <family val="2"/>
          </rPr>
          <t xml:space="preserve">
von oben angefahren bleibt, weil hierdurch die Zylinderreibung entlastend wirkt und größere RW erzielt werden können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joehren</author>
  </authors>
  <commentList>
    <comment ref="X15" authorId="0" shapeId="0" xr:uid="{00000000-0006-0000-0500-000001000000}">
      <text>
        <r>
          <rPr>
            <b/>
            <sz val="8"/>
            <color indexed="81"/>
            <rFont val="Tahoma"/>
            <family val="2"/>
          </rPr>
          <t>joehren:</t>
        </r>
        <r>
          <rPr>
            <sz val="8"/>
            <color indexed="81"/>
            <rFont val="Tahoma"/>
            <family val="2"/>
          </rPr>
          <t xml:space="preserve">
nur für die Darstellung der Kippkante</t>
        </r>
      </text>
    </comment>
    <comment ref="Y15" authorId="0" shapeId="0" xr:uid="{00000000-0006-0000-0500-000002000000}">
      <text>
        <r>
          <rPr>
            <b/>
            <sz val="8"/>
            <color indexed="81"/>
            <rFont val="Tahoma"/>
            <family val="2"/>
          </rPr>
          <t>joehren:</t>
        </r>
        <r>
          <rPr>
            <sz val="8"/>
            <color indexed="81"/>
            <rFont val="Tahoma"/>
            <family val="2"/>
          </rPr>
          <t xml:space="preserve">
nur für die Darstellung der Kippkante</t>
        </r>
      </text>
    </comment>
    <comment ref="P34" authorId="0" shapeId="0" xr:uid="{00000000-0006-0000-0500-000003000000}">
      <text>
        <r>
          <rPr>
            <b/>
            <sz val="8"/>
            <color indexed="81"/>
            <rFont val="Tahoma"/>
            <family val="2"/>
          </rPr>
          <t>joehren:</t>
        </r>
        <r>
          <rPr>
            <sz val="8"/>
            <color indexed="81"/>
            <rFont val="Tahoma"/>
            <family val="2"/>
          </rPr>
          <t xml:space="preserve">
Maximalwert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joehren</author>
  </authors>
  <commentList>
    <comment ref="W15" authorId="0" shapeId="0" xr:uid="{00000000-0006-0000-0600-000001000000}">
      <text>
        <r>
          <rPr>
            <b/>
            <sz val="8"/>
            <color indexed="81"/>
            <rFont val="Tahoma"/>
            <family val="2"/>
          </rPr>
          <t>joehren:</t>
        </r>
        <r>
          <rPr>
            <sz val="8"/>
            <color indexed="81"/>
            <rFont val="Tahoma"/>
            <family val="2"/>
          </rPr>
          <t xml:space="preserve">
nur für die Darstellung der Kippkante</t>
        </r>
      </text>
    </comment>
    <comment ref="X15" authorId="0" shapeId="0" xr:uid="{00000000-0006-0000-0600-000002000000}">
      <text>
        <r>
          <rPr>
            <b/>
            <sz val="8"/>
            <color indexed="81"/>
            <rFont val="Tahoma"/>
            <family val="2"/>
          </rPr>
          <t>joehren:</t>
        </r>
        <r>
          <rPr>
            <sz val="8"/>
            <color indexed="81"/>
            <rFont val="Tahoma"/>
            <family val="2"/>
          </rPr>
          <t xml:space="preserve">
nur für die Darstellung der Kippkante</t>
        </r>
      </text>
    </comment>
    <comment ref="P34" authorId="0" shapeId="0" xr:uid="{00000000-0006-0000-0600-000003000000}">
      <text>
        <r>
          <rPr>
            <b/>
            <sz val="8"/>
            <color indexed="81"/>
            <rFont val="Tahoma"/>
            <family val="2"/>
          </rPr>
          <t>joehren:</t>
        </r>
        <r>
          <rPr>
            <sz val="8"/>
            <color indexed="81"/>
            <rFont val="Tahoma"/>
            <family val="2"/>
          </rPr>
          <t xml:space="preserve">
Maximalwert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joehren</author>
  </authors>
  <commentList>
    <comment ref="W15" authorId="0" shapeId="0" xr:uid="{00000000-0006-0000-0700-000001000000}">
      <text>
        <r>
          <rPr>
            <b/>
            <sz val="8"/>
            <color indexed="81"/>
            <rFont val="Tahoma"/>
            <family val="2"/>
          </rPr>
          <t>joehren:</t>
        </r>
        <r>
          <rPr>
            <sz val="8"/>
            <color indexed="81"/>
            <rFont val="Tahoma"/>
            <family val="2"/>
          </rPr>
          <t xml:space="preserve">
nur für die Darstellung der Kippkante</t>
        </r>
      </text>
    </comment>
    <comment ref="X15" authorId="0" shapeId="0" xr:uid="{00000000-0006-0000-0700-000002000000}">
      <text>
        <r>
          <rPr>
            <b/>
            <sz val="8"/>
            <color indexed="81"/>
            <rFont val="Tahoma"/>
            <family val="2"/>
          </rPr>
          <t>joehren:</t>
        </r>
        <r>
          <rPr>
            <sz val="8"/>
            <color indexed="81"/>
            <rFont val="Tahoma"/>
            <family val="2"/>
          </rPr>
          <t xml:space="preserve">
nur für die Darstellung der Kippkante</t>
        </r>
      </text>
    </comment>
    <comment ref="P34" authorId="0" shapeId="0" xr:uid="{00000000-0006-0000-0700-000003000000}">
      <text>
        <r>
          <rPr>
            <b/>
            <sz val="8"/>
            <color indexed="81"/>
            <rFont val="Tahoma"/>
            <family val="2"/>
          </rPr>
          <t>joehren:</t>
        </r>
        <r>
          <rPr>
            <sz val="8"/>
            <color indexed="81"/>
            <rFont val="Tahoma"/>
            <family val="2"/>
          </rPr>
          <t xml:space="preserve">
Maximalwert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joehren</author>
  </authors>
  <commentList>
    <comment ref="W15" authorId="0" shapeId="0" xr:uid="{00000000-0006-0000-0800-000001000000}">
      <text>
        <r>
          <rPr>
            <b/>
            <sz val="8"/>
            <color indexed="81"/>
            <rFont val="Tahoma"/>
            <family val="2"/>
          </rPr>
          <t>joehren:</t>
        </r>
        <r>
          <rPr>
            <sz val="8"/>
            <color indexed="81"/>
            <rFont val="Tahoma"/>
            <family val="2"/>
          </rPr>
          <t xml:space="preserve">
nur für die Darstellung der Kippkante</t>
        </r>
      </text>
    </comment>
    <comment ref="X15" authorId="0" shapeId="0" xr:uid="{00000000-0006-0000-0800-000002000000}">
      <text>
        <r>
          <rPr>
            <b/>
            <sz val="8"/>
            <color indexed="81"/>
            <rFont val="Tahoma"/>
            <family val="2"/>
          </rPr>
          <t>joehren:</t>
        </r>
        <r>
          <rPr>
            <sz val="8"/>
            <color indexed="81"/>
            <rFont val="Tahoma"/>
            <family val="2"/>
          </rPr>
          <t xml:space="preserve">
nur für die Darstellung der Kippkante</t>
        </r>
      </text>
    </comment>
    <comment ref="P34" authorId="0" shapeId="0" xr:uid="{00000000-0006-0000-0800-000003000000}">
      <text>
        <r>
          <rPr>
            <b/>
            <sz val="8"/>
            <color indexed="81"/>
            <rFont val="Tahoma"/>
            <family val="2"/>
          </rPr>
          <t>joehren:</t>
        </r>
        <r>
          <rPr>
            <sz val="8"/>
            <color indexed="81"/>
            <rFont val="Tahoma"/>
            <family val="2"/>
          </rPr>
          <t xml:space="preserve">
Maximalwert</t>
        </r>
      </text>
    </comment>
  </commentList>
</comments>
</file>

<file path=xl/sharedStrings.xml><?xml version="1.0" encoding="utf-8"?>
<sst xmlns="http://schemas.openxmlformats.org/spreadsheetml/2006/main" count="1926" uniqueCount="827">
  <si>
    <t>z</t>
  </si>
  <si>
    <t>gamma</t>
  </si>
  <si>
    <t>F_G</t>
  </si>
  <si>
    <t>F_S</t>
  </si>
  <si>
    <t>Const</t>
  </si>
  <si>
    <t>r_MIN</t>
  </si>
  <si>
    <t>r_MAX</t>
  </si>
  <si>
    <t>M(KDV)</t>
  </si>
  <si>
    <t>FX(KDV)</t>
  </si>
  <si>
    <t>FY(KDV)</t>
  </si>
  <si>
    <t>Teleskophub</t>
  </si>
  <si>
    <t>Korblast</t>
  </si>
  <si>
    <t>KA-Telehub</t>
  </si>
  <si>
    <t>kg</t>
  </si>
  <si>
    <t>cm</t>
  </si>
  <si>
    <t>kNm</t>
  </si>
  <si>
    <t>kN</t>
  </si>
  <si>
    <t>FY(KDV) statisch</t>
  </si>
  <si>
    <t>Kraft bei minimaler Reichweite</t>
  </si>
  <si>
    <t>Reichweite</t>
  </si>
  <si>
    <t>m</t>
  </si>
  <si>
    <t>Hubarmwinkel</t>
  </si>
  <si>
    <t>°</t>
  </si>
  <si>
    <t>Abstand DT-Mitte bis Korbkante bei obigem Hubarmwinkel</t>
  </si>
  <si>
    <t>Reichweite-0°</t>
  </si>
  <si>
    <t>Abstand DT-Mitte bis Korbkante bei 0° Hubarmwinkel</t>
  </si>
  <si>
    <t>X-Koordinate VL-Min</t>
  </si>
  <si>
    <t>X-Koordinate VL-Max</t>
  </si>
  <si>
    <t>mm</t>
  </si>
  <si>
    <t>Z-Koordinate VL-Min</t>
  </si>
  <si>
    <t>Z-Koordinate VL-Max</t>
  </si>
  <si>
    <t>Stützweite 0%</t>
  </si>
  <si>
    <t>Stützweite 100%</t>
  </si>
  <si>
    <t>X-Koordinate HL-Min</t>
  </si>
  <si>
    <t>Z-Koordinate HL-Min</t>
  </si>
  <si>
    <t>X-Koordinate HL-Max</t>
  </si>
  <si>
    <t>Z-Koordinate HL-Max</t>
  </si>
  <si>
    <t>X-Koordinate HR-Min</t>
  </si>
  <si>
    <t>Z-Koordinate HR-Min</t>
  </si>
  <si>
    <t>X-Koordinate HR-Max</t>
  </si>
  <si>
    <t>Z-Koordinate HR-Max</t>
  </si>
  <si>
    <t>X-Koordinate VR-Min</t>
  </si>
  <si>
    <t>Z-Koordinate VR-Min</t>
  </si>
  <si>
    <t>X-Koordinate VR-Max</t>
  </si>
  <si>
    <t>Z-Koordinate VR-Max</t>
  </si>
  <si>
    <t>x</t>
  </si>
  <si>
    <t>VL</t>
  </si>
  <si>
    <t>HL</t>
  </si>
  <si>
    <t>HR</t>
  </si>
  <si>
    <t>VR</t>
  </si>
  <si>
    <t>DTW</t>
  </si>
  <si>
    <t>Links</t>
  </si>
  <si>
    <t>Hinten</t>
  </si>
  <si>
    <t>Rechts</t>
  </si>
  <si>
    <t>Vorne</t>
  </si>
  <si>
    <t>PI/180</t>
  </si>
  <si>
    <t>Z_</t>
  </si>
  <si>
    <t>X_</t>
  </si>
  <si>
    <t>RW_X</t>
  </si>
  <si>
    <t>0,1kN</t>
  </si>
  <si>
    <t>Rahmen, Fahrzeug und sonstige Basisgewichte</t>
  </si>
  <si>
    <t>SM_MIN</t>
  </si>
  <si>
    <t>Windfläche_VO_HI</t>
  </si>
  <si>
    <t>cm²</t>
  </si>
  <si>
    <t>Windfläche_LI_RE</t>
  </si>
  <si>
    <t>Windfläche der Basis von Vorne bzw. Hinten</t>
  </si>
  <si>
    <t>Windfläche der Basis von Links bzw. Rechts</t>
  </si>
  <si>
    <t>Hebel_VO_HI</t>
  </si>
  <si>
    <t>Vertikaler Abstand Aufstellfläche bis Windflächenmittelpunkt</t>
  </si>
  <si>
    <t>Hebel_LI_RE</t>
  </si>
  <si>
    <t>M_WIND_VH</t>
  </si>
  <si>
    <t>M_WIND_LR</t>
  </si>
  <si>
    <t>Winddruck</t>
  </si>
  <si>
    <t>N/m²</t>
  </si>
  <si>
    <t>Winddruck incl. Steigerungsfaktor und cw-Wert</t>
  </si>
  <si>
    <t>0,1kNm</t>
  </si>
  <si>
    <t>Maßstab für Diagramm</t>
  </si>
  <si>
    <t>Korbarmwinkel</t>
  </si>
  <si>
    <t>M(KDV) statisch</t>
  </si>
  <si>
    <t>Gewichtskraft, wenn Gerät in Transportstellung (ohne Korblast)</t>
  </si>
  <si>
    <t>Teleskopzylindhub bei minimaler Reichweite</t>
  </si>
  <si>
    <t>Aufsetzmaß</t>
  </si>
  <si>
    <t>positiv = vor der Hinterachse; negativ = hinter der Hinterachse</t>
  </si>
  <si>
    <t>Radstand</t>
  </si>
  <si>
    <t>technischer Radstand = Abstand VA bis Bezugspunkt Aufsetzmaß</t>
  </si>
  <si>
    <t>VA-Gewicht (leer)</t>
  </si>
  <si>
    <t>HA-Gewicht (leer)</t>
  </si>
  <si>
    <t>positiv = vor der KDV; negativ = hinter der KDV</t>
  </si>
  <si>
    <t>FX(KDV) statisch</t>
  </si>
  <si>
    <t>Moment bei minimaler Reichweite</t>
  </si>
  <si>
    <t>M(KDV) Dyn. + Wind</t>
  </si>
  <si>
    <t>FX(KDV) Dyn. + Wind</t>
  </si>
  <si>
    <t>FY(KDV) Dyn. + Wind</t>
  </si>
  <si>
    <t>Vertikaler Abstand Aufstellfläche bis KDV</t>
  </si>
  <si>
    <t>Hebel_KDV</t>
  </si>
  <si>
    <t>Abstützgeometrie</t>
  </si>
  <si>
    <t>Doku: Korblast, mit der die nachfolgenden Werte ermittelt wurden</t>
  </si>
  <si>
    <t>Doku: Korbgewicht, mit dem die nachfolgenden Werte ermittelt wurden</t>
  </si>
  <si>
    <t>Doku: Korbarmteleskophub, mit dem die nachfolgenden Werte ermittelt wurden</t>
  </si>
  <si>
    <t>Doku: Korbarmwinkel, mit dem die nachfolgenden Werte ermittelt wurden</t>
  </si>
  <si>
    <t>Doku: Übergangswinkel, bei dem die nachfolgenden Werte ermittelt wurden</t>
  </si>
  <si>
    <t>Kräfte und Momente, wenn Gerät in Arbeitsposition (Referenz)</t>
  </si>
  <si>
    <t>LKW-Anliefergewicht (Gesamt)</t>
  </si>
  <si>
    <t>Eingabe von Auftragswerten</t>
  </si>
  <si>
    <t>Kraft bei maximaler Reichweite (Festigkeitsgrenze)</t>
  </si>
  <si>
    <t>Moment bei maximaler Reichweite (Festigkeitsgrenze)</t>
  </si>
  <si>
    <t>Teleskopzylindhub bei maximaler Reichweite (Festigkeitsgrenze)</t>
  </si>
  <si>
    <t>Grundrahmen</t>
  </si>
  <si>
    <t>Alu-Abdeckung</t>
  </si>
  <si>
    <t>Bordwand</t>
  </si>
  <si>
    <t>Ersatzrad</t>
  </si>
  <si>
    <t>Befestigungsteile</t>
  </si>
  <si>
    <t>[kg]</t>
  </si>
  <si>
    <t>[mm]</t>
  </si>
  <si>
    <t>LMB</t>
  </si>
  <si>
    <t>Öltankfüllung (Gerät-Anteil)</t>
  </si>
  <si>
    <t>Basisgewicht (Gewichtsbilanz)</t>
  </si>
  <si>
    <t>Basisgewicht (LMB)</t>
  </si>
  <si>
    <t>Gewicht unterhalb KDV (Gewichtsb.)</t>
  </si>
  <si>
    <t>Gewicht unterhalb KDV (LMB)</t>
  </si>
  <si>
    <t>GB</t>
  </si>
  <si>
    <r>
      <t xml:space="preserve">Moment bei </t>
    </r>
    <r>
      <rPr>
        <sz val="10"/>
        <color indexed="10"/>
        <rFont val="Arial"/>
        <family val="2"/>
      </rPr>
      <t>maximaler</t>
    </r>
    <r>
      <rPr>
        <sz val="10"/>
        <rFont val="Arial"/>
        <family val="2"/>
      </rPr>
      <t xml:space="preserve"> Reichweite (Festigkeitsgrenze)</t>
    </r>
  </si>
  <si>
    <t>M-GB</t>
  </si>
  <si>
    <t>M-LMB</t>
  </si>
  <si>
    <t>m-GB</t>
  </si>
  <si>
    <t>m-LMB</t>
  </si>
  <si>
    <t>Schwerp. unterhalb KDV (Gewichtsb.)</t>
  </si>
  <si>
    <t>Schwerpunkt unterhalb KDV (LMB)</t>
  </si>
  <si>
    <t>positiv = vor der HA; negativ = hinter der HA</t>
  </si>
  <si>
    <t>Schwerpunkt-Fzg. (bzgl. HA)</t>
  </si>
  <si>
    <t>Schwerpunkt-Fzg. (bzgl. KDV)</t>
  </si>
  <si>
    <t>Fahrzeuggewicht + Basisgewicht (Gewichtsbilanz)</t>
  </si>
  <si>
    <t>Fahrzeuggewicht + Basisgewicht (LMB)</t>
  </si>
  <si>
    <t>VA</t>
  </si>
  <si>
    <t>HA</t>
  </si>
  <si>
    <t>Berechnungsergebnisse</t>
  </si>
  <si>
    <t>LKW (leer)</t>
  </si>
  <si>
    <t>Ausliefergewicht</t>
  </si>
  <si>
    <t>zul. Ges.-Gewicht</t>
  </si>
  <si>
    <t>Nutzlastreserve</t>
  </si>
  <si>
    <t>Ges.</t>
  </si>
  <si>
    <t>Schwerpunkt-Gerät statisch</t>
  </si>
  <si>
    <t>Gewicht-Gerät statisch</t>
  </si>
  <si>
    <t>VA-Gewicht (zulässig)</t>
  </si>
  <si>
    <t>HA-Gewicht (zulässig)</t>
  </si>
  <si>
    <t>Fahrzeuggewicht (zulässig)</t>
  </si>
  <si>
    <t>Fahrzeuggewicht (leer)</t>
  </si>
  <si>
    <t>max. zulässiges LKW-Gewicht (VA)</t>
  </si>
  <si>
    <t>max. zulässiges LKW-Gewicht (HA)</t>
  </si>
  <si>
    <t>max. zulässiges LKW-Gewicht (Gesamt)</t>
  </si>
  <si>
    <t>Gewicht komplett (Gewichtsb.)</t>
  </si>
  <si>
    <t>Schwerp. komplett (Gewichtsb.)</t>
  </si>
  <si>
    <t>Gerätedaten</t>
  </si>
  <si>
    <t>LKW-Hersteller und Typ</t>
  </si>
  <si>
    <t>genaue Bezeichnung vom Trägerfahrzeug</t>
  </si>
  <si>
    <t>Auftrags-/Projekt-Nummer</t>
  </si>
  <si>
    <t>Auftrags- bzw. Projektnummer angeben</t>
  </si>
  <si>
    <t>Auftrags-/Projektnummer</t>
  </si>
  <si>
    <t>Trägerfahzeug</t>
  </si>
  <si>
    <t>Standsicherheit</t>
  </si>
  <si>
    <t>Windflächen und Staudruck (Basis)</t>
  </si>
  <si>
    <t>M_KIPP</t>
  </si>
  <si>
    <t>GES_MIN</t>
  </si>
  <si>
    <t>GES_MAX</t>
  </si>
  <si>
    <t>TELEHUB</t>
  </si>
  <si>
    <t>RW_Z</t>
  </si>
  <si>
    <t>REICHWEITE</t>
  </si>
  <si>
    <t>SM_L</t>
  </si>
  <si>
    <t>SM_H</t>
  </si>
  <si>
    <t>SM_R</t>
  </si>
  <si>
    <t>SM_V</t>
  </si>
  <si>
    <t>DYN_MIN</t>
  </si>
  <si>
    <t>DYN_MAX</t>
  </si>
  <si>
    <t>Festigkeit</t>
  </si>
  <si>
    <t>Gewichtskraft an der KDV (Masse, Wind und Dynamik)</t>
  </si>
  <si>
    <t>Anteil der Basisgewichte, die für die Standsicherheit berücksichtigt werden (1=100%)</t>
  </si>
  <si>
    <t>Umrechnungsfaktor</t>
  </si>
  <si>
    <t>TELEHUB an der Festigkeitsgrenze (für bedingte Formatierung)</t>
  </si>
  <si>
    <t>Moment der Basis durch Wind (durch Fläche von Front und Heck)</t>
  </si>
  <si>
    <t>Moment der Basis durch Wind (durch Seiten-Fläche)</t>
  </si>
  <si>
    <t>Tabelle zur Formel-Vereinfachung bei der Berechnung der Wirkradien</t>
  </si>
  <si>
    <t>Radial</t>
  </si>
  <si>
    <t>M_STAND</t>
  </si>
  <si>
    <t>Basis
M_WIND</t>
  </si>
  <si>
    <t>möglicher
TELEHUB</t>
  </si>
  <si>
    <t>M_KIPP
DYN+WIND</t>
  </si>
  <si>
    <t>erforderliche
Testlast</t>
  </si>
  <si>
    <t>Unterlegbohlen</t>
  </si>
  <si>
    <t>Masse (oberhalb KDV)</t>
  </si>
  <si>
    <t>Schwerpunkt (unterhalb KDV)</t>
  </si>
  <si>
    <t>LMB-Schwerpunkt [mm]</t>
  </si>
  <si>
    <t>LMB-Gesamtgewichtskraft [0,1kN]</t>
  </si>
  <si>
    <t>LMB-Gesamtgewicht (unterhalb KDV)</t>
  </si>
  <si>
    <t>Kontergewicht</t>
  </si>
  <si>
    <t>Kontergewicht-Schwerpunkt zur KDV</t>
  </si>
  <si>
    <t>Kontergewichtsmoment [0,1kNm]</t>
  </si>
  <si>
    <t>Winkel</t>
  </si>
  <si>
    <t>Zwischenwerte für die LMB-Parameter:</t>
  </si>
  <si>
    <t>Korr.VA</t>
  </si>
  <si>
    <t>Korr.HA</t>
  </si>
  <si>
    <t>Stütze vorne links</t>
  </si>
  <si>
    <t>Stütze vorne rechts</t>
  </si>
  <si>
    <t>Stützen hinten</t>
  </si>
  <si>
    <t>LKW-Anliefergewicht (VA) von 21300565</t>
  </si>
  <si>
    <t>LKW-Anliefergewicht (HA)  von 21300565</t>
  </si>
  <si>
    <t>Bezeichnungen</t>
  </si>
  <si>
    <t>K</t>
  </si>
  <si>
    <t>KDV am Grundrahmen</t>
  </si>
  <si>
    <t>D</t>
  </si>
  <si>
    <t>KDV am Drehturm</t>
  </si>
  <si>
    <t>SSw</t>
  </si>
  <si>
    <t>Schwerpunkt Kurbelschwenktisch</t>
  </si>
  <si>
    <t>SU</t>
  </si>
  <si>
    <t>Schwerpunkt des Unterbaus (unterhalb KDV)</t>
  </si>
  <si>
    <t>V</t>
  </si>
  <si>
    <t>Vordere Kippkante</t>
  </si>
  <si>
    <t>R</t>
  </si>
  <si>
    <t>Rechte Kippkante</t>
  </si>
  <si>
    <t>H</t>
  </si>
  <si>
    <t>Hintere Kippkante</t>
  </si>
  <si>
    <t>L</t>
  </si>
  <si>
    <t>Linke Kippknate</t>
  </si>
  <si>
    <t>KV</t>
  </si>
  <si>
    <t>Vorderer Kipppunkt</t>
  </si>
  <si>
    <t>KR</t>
  </si>
  <si>
    <t>Rechter Kipppunkt</t>
  </si>
  <si>
    <t>KH</t>
  </si>
  <si>
    <t>Hinterer Kipppunkt</t>
  </si>
  <si>
    <t>KL</t>
  </si>
  <si>
    <t>Linker Kipppunkt</t>
  </si>
  <si>
    <t>r</t>
  </si>
  <si>
    <t>Abstand unabhängig von Drehtischwinkel</t>
  </si>
  <si>
    <t>d</t>
  </si>
  <si>
    <t>Abstand abhängig von Drehtischwinkel</t>
  </si>
  <si>
    <t>Drehtischwinkel</t>
  </si>
  <si>
    <t>gamma_V</t>
  </si>
  <si>
    <t>gamma_V_korr</t>
  </si>
  <si>
    <t>r_K_V</t>
  </si>
  <si>
    <t>gamma_R</t>
  </si>
  <si>
    <t>gamma_R_korr</t>
  </si>
  <si>
    <t>r_K_R</t>
  </si>
  <si>
    <t>gamma_H</t>
  </si>
  <si>
    <t>gamma_H_korr</t>
  </si>
  <si>
    <t>r_K_H</t>
  </si>
  <si>
    <t>z_D</t>
  </si>
  <si>
    <t>x_D</t>
  </si>
  <si>
    <t>z_SSw</t>
  </si>
  <si>
    <t>Einegabedaten Kurbelschwenkverbindung</t>
  </si>
  <si>
    <t>r_K_D</t>
  </si>
  <si>
    <t>gamma_L</t>
  </si>
  <si>
    <t>gamma_L_korr</t>
  </si>
  <si>
    <t>r_K_L</t>
  </si>
  <si>
    <t>r_SU_L</t>
  </si>
  <si>
    <t>d_D_R</t>
  </si>
  <si>
    <t>d_D_V</t>
  </si>
  <si>
    <t>d_D_H</t>
  </si>
  <si>
    <t>d_D_L</t>
  </si>
  <si>
    <t>d_D_KL</t>
  </si>
  <si>
    <t>d_D_KH</t>
  </si>
  <si>
    <t>d_D_KR</t>
  </si>
  <si>
    <t>d_D_KV</t>
  </si>
  <si>
    <t>r_K_SSw</t>
  </si>
  <si>
    <t>d_SSw_V</t>
  </si>
  <si>
    <t>x_SSw</t>
  </si>
  <si>
    <t>d_SSw_R</t>
  </si>
  <si>
    <t>d_SSw_H</t>
  </si>
  <si>
    <t>d_SSw_L</t>
  </si>
  <si>
    <t>M_zul_V</t>
  </si>
  <si>
    <t>r_Su_R</t>
  </si>
  <si>
    <t>r_Su_H</t>
  </si>
  <si>
    <t>r_Su_V</t>
  </si>
  <si>
    <t>M_zul_R</t>
  </si>
  <si>
    <t>M_zul_H</t>
  </si>
  <si>
    <t>M_zul_L</t>
  </si>
  <si>
    <t>Allgemein</t>
  </si>
  <si>
    <t>Neigungswinkel</t>
  </si>
  <si>
    <t>Kompensation</t>
  </si>
  <si>
    <t>Abstand
d_D_K(i)</t>
  </si>
  <si>
    <t>RW_Geraet</t>
  </si>
  <si>
    <t>Masse KST</t>
  </si>
  <si>
    <t>vorhanden</t>
  </si>
  <si>
    <t>Wenn "Nein" werden die Werte in der Berechnung auf Null gesetzt</t>
  </si>
  <si>
    <t>Abstand von Mitte Drehverbindung an der Basis zur Drehverb. am Turm</t>
  </si>
  <si>
    <t>Schwerpunktsabstand des Kurbelschwenktisches von Mitte Drehverb. an der Basis</t>
  </si>
  <si>
    <t>Höhendifferenz (y) beider Drehverbindungen</t>
  </si>
  <si>
    <t>Werte werden zu Null, wenn in Gerätedaten KSV=Nein angegeben wird</t>
  </si>
  <si>
    <t>Hebel Windfläche</t>
  </si>
  <si>
    <t>Wind auf KST</t>
  </si>
  <si>
    <t>p_Wind_S</t>
  </si>
  <si>
    <t>p_Wind_H</t>
  </si>
  <si>
    <t>r1</t>
  </si>
  <si>
    <t>r2</t>
  </si>
  <si>
    <t>Radius KST an der Verbindung zum Grundrahmen</t>
  </si>
  <si>
    <t>Radius KST an der Verbindung zum Drehturm</t>
  </si>
  <si>
    <t>Hebel ab KDV (~h/2)</t>
  </si>
  <si>
    <t>Höhe Kurbelschwenktisch h</t>
  </si>
  <si>
    <t>M_Wind</t>
  </si>
  <si>
    <t>A_W_S [m²]</t>
  </si>
  <si>
    <t>A_W_H [m²]</t>
  </si>
  <si>
    <t>m^2</t>
  </si>
  <si>
    <t>N/m^2</t>
  </si>
  <si>
    <t>=&gt; F_SSw</t>
  </si>
  <si>
    <t>r1_Sw</t>
  </si>
  <si>
    <t>r2_Sw</t>
  </si>
  <si>
    <t>h_Aw_Sw</t>
  </si>
  <si>
    <t>d_y_Sw</t>
  </si>
  <si>
    <t>Erläuterung: wenn Zellwert #DIV/0!  oder ######### strebt der Wert gegen unendlich</t>
  </si>
  <si>
    <t>SPX von F_S</t>
  </si>
  <si>
    <t>SPZ von F_S</t>
  </si>
  <si>
    <t>z-Richtung Schwerpunkt von Rahmen, Fahrzeug und sonstige Basisgewichte</t>
  </si>
  <si>
    <t>x-Richtung Schwerpunkt von Rahmen, Fahrzeug und sonstige Basisgewichte</t>
  </si>
  <si>
    <t>Achsfreischaltung</t>
  </si>
  <si>
    <t>Pumpe</t>
  </si>
  <si>
    <t xml:space="preserve"> Seite</t>
  </si>
  <si>
    <t>Standversuch</t>
  </si>
  <si>
    <t>Kunde</t>
  </si>
  <si>
    <t>Auftragsnummer</t>
  </si>
  <si>
    <t>Hinweis: Der Standversuch soll die LMB in jeder möglichen Abstützsituation in jedem kritischen Punkt</t>
  </si>
  <si>
    <t>(Schnittpunkte im Arbeitsdiagramm; Drauf- und Seitenansicht) überprüfen.</t>
  </si>
  <si>
    <t xml:space="preserve">                        </t>
  </si>
  <si>
    <t>max. Aufstellungenauigkeit</t>
  </si>
  <si>
    <t>Grad</t>
  </si>
  <si>
    <t>Waagen-Test</t>
  </si>
  <si>
    <t>Soll</t>
  </si>
  <si>
    <t>Messwert</t>
  </si>
  <si>
    <t>Datum</t>
  </si>
  <si>
    <t>Prüfer</t>
  </si>
  <si>
    <t>Referenzgewicht an Waage</t>
  </si>
  <si>
    <t>+/-2kg</t>
  </si>
  <si>
    <t xml:space="preserve">vorne links = </t>
  </si>
  <si>
    <t xml:space="preserve">vorne rechts = </t>
  </si>
  <si>
    <t xml:space="preserve">hinten links = </t>
  </si>
  <si>
    <t xml:space="preserve">hinten rechts = </t>
  </si>
  <si>
    <t>Winkel [°]</t>
  </si>
  <si>
    <t>kippt bei</t>
  </si>
  <si>
    <t>2b - RECHTS</t>
  </si>
  <si>
    <t>3a - HINTEN-RECHTS</t>
  </si>
  <si>
    <t>3b - RECHTS</t>
  </si>
  <si>
    <t>3c - VORNE-RECHTS</t>
  </si>
  <si>
    <t>3e - VORNE</t>
  </si>
  <si>
    <t>Reichweitenkontrolle</t>
  </si>
  <si>
    <t>Reichweite nach RECHTS</t>
  </si>
  <si>
    <t>Reichweite nach VORNE</t>
  </si>
  <si>
    <t>Stütze vor Hinterachse</t>
  </si>
  <si>
    <t>Reichweite nach HINTEN</t>
  </si>
  <si>
    <t>Reichweite nach LINKS</t>
  </si>
  <si>
    <t>Korblast 100kg</t>
  </si>
  <si>
    <t>Korblast 100 kg</t>
  </si>
  <si>
    <t>Kurbelschwenktisch</t>
  </si>
  <si>
    <t>Schwerpunktabstand</t>
  </si>
  <si>
    <t>Lagerabstand</t>
  </si>
  <si>
    <t>Fahrzeuggewicht + Basisgewicht (Gewichtsbilanz) + Gerät (Transportstellung)+KST</t>
  </si>
  <si>
    <t>Kräfte und Momente, wenn Gerät in Transportstellung (Referenz) mit KST</t>
  </si>
  <si>
    <t>Schläuche/Kabel</t>
  </si>
  <si>
    <t>Gerätegewicht</t>
  </si>
  <si>
    <t>Auftrag</t>
  </si>
  <si>
    <t>Vorderachse</t>
  </si>
  <si>
    <t>Hinterachse</t>
  </si>
  <si>
    <t>rechte Seite</t>
  </si>
  <si>
    <t>linke Seite</t>
  </si>
  <si>
    <t>Tankgröße</t>
  </si>
  <si>
    <t>Tankinhalt</t>
  </si>
  <si>
    <t>LKW</t>
  </si>
  <si>
    <t>Sonder</t>
  </si>
  <si>
    <t>l</t>
  </si>
  <si>
    <t>%</t>
  </si>
  <si>
    <t>ja</t>
  </si>
  <si>
    <t>nein</t>
  </si>
  <si>
    <t>VA leer</t>
  </si>
  <si>
    <t>HA leer</t>
  </si>
  <si>
    <t>VA-zul</t>
  </si>
  <si>
    <t>HA-zul</t>
  </si>
  <si>
    <t>GG-zul</t>
  </si>
  <si>
    <t>Kraftstoff im LKW-Tank</t>
  </si>
  <si>
    <t>Gewichtsbilanz zur Standsicherheit:</t>
  </si>
  <si>
    <t>Gewichtsbilanz komplett:</t>
  </si>
  <si>
    <t>Kraftstoff im LKW-Tank bis voll</t>
  </si>
  <si>
    <t>Massen zum Standversuch</t>
  </si>
  <si>
    <t>Anzahl Fahrer:</t>
  </si>
  <si>
    <t>sonstige ZA</t>
  </si>
  <si>
    <t>Anzahl Fahrer im Fhs.</t>
  </si>
  <si>
    <t>für Gewichtsbilanz komplett</t>
  </si>
  <si>
    <t>ges</t>
  </si>
  <si>
    <t>va</t>
  </si>
  <si>
    <t>ha</t>
  </si>
  <si>
    <t>Basis kompl</t>
  </si>
  <si>
    <t>Masse Basis</t>
  </si>
  <si>
    <t>Schwerpunkt Basis</t>
  </si>
  <si>
    <t>GG ohne Korr</t>
  </si>
  <si>
    <t>Schwerpunkt GG ohne Korr</t>
  </si>
  <si>
    <t>Moment Basis</t>
  </si>
  <si>
    <t>Summe</t>
  </si>
  <si>
    <t>Stützposition VL in X-Richtung (MIN)</t>
  </si>
  <si>
    <t>STVL_X_0</t>
  </si>
  <si>
    <t>Stützposition VL in Z-Richtung (MIN)</t>
  </si>
  <si>
    <t>STVL_Z_0</t>
  </si>
  <si>
    <t>Stützposition VL in X-Richtung (MAX)</t>
  </si>
  <si>
    <t>STVL_X_3</t>
  </si>
  <si>
    <t>Stützposition VL in Z-Richtung (MAX)</t>
  </si>
  <si>
    <t>STVL_Z_3</t>
  </si>
  <si>
    <t>Stützposition HL in X-Richtung (MIN)</t>
  </si>
  <si>
    <t>STHL_X_0</t>
  </si>
  <si>
    <t>Stützposition HL in Z-Richtung (MIN)</t>
  </si>
  <si>
    <t>STHL_Z_0</t>
  </si>
  <si>
    <t>Stützposition HL in X-Richtung (MAX)</t>
  </si>
  <si>
    <t>STHL_X_3</t>
  </si>
  <si>
    <t>Stützposition HL in Z-Richtung (MAX)</t>
  </si>
  <si>
    <t>STHL_Z_3</t>
  </si>
  <si>
    <t>Stützposition HR in X-Richtung (MIN)</t>
  </si>
  <si>
    <t>STHR_X_0</t>
  </si>
  <si>
    <t>Stützposition HR in Z-Richtung (MIN)</t>
  </si>
  <si>
    <t>STHR_Z_0</t>
  </si>
  <si>
    <t>Stützposition HR in X-Richtung (MAX)</t>
  </si>
  <si>
    <t>STHR_X_3</t>
  </si>
  <si>
    <t>Stützposition HR in Z-Richtung (MAX)</t>
  </si>
  <si>
    <t>STHR_Z_3</t>
  </si>
  <si>
    <t>Stützposition VR in X-Richtung (MIN)</t>
  </si>
  <si>
    <t>STVR_X_0</t>
  </si>
  <si>
    <t>Stützposition VR in Z-Richtung (MIN)</t>
  </si>
  <si>
    <t>STVR_Z_0</t>
  </si>
  <si>
    <t>Stützposition VR in X-Richtung (MAX)</t>
  </si>
  <si>
    <t>STVR_X_3</t>
  </si>
  <si>
    <t>Stützposition VR in Z-Richtung (MAX)</t>
  </si>
  <si>
    <t>STVR_Z_3</t>
  </si>
  <si>
    <t>M_KOGE</t>
  </si>
  <si>
    <t xml:space="preserve">RR </t>
  </si>
  <si>
    <t>eta</t>
  </si>
  <si>
    <t>i</t>
  </si>
  <si>
    <t>Tank</t>
  </si>
  <si>
    <t>mittl Spur VA</t>
  </si>
  <si>
    <t>mittl Spur HA</t>
  </si>
  <si>
    <t>Wenn LKW Sonder</t>
  </si>
  <si>
    <t>mittl. Spur VA</t>
  </si>
  <si>
    <t>mittl. Spur HA</t>
  </si>
  <si>
    <t>2.NA</t>
  </si>
  <si>
    <t>NA6</t>
  </si>
  <si>
    <t>1.2NA</t>
  </si>
  <si>
    <t>2.2NA</t>
  </si>
  <si>
    <t>Gewicht Stütze VL</t>
  </si>
  <si>
    <t>Gewicht Stütze HL</t>
  </si>
  <si>
    <t>Gewicht Stütze VR</t>
  </si>
  <si>
    <t>Gewicht Stütze HR</t>
  </si>
  <si>
    <t>Schwerpunkt X unterhalb KDV (LMB)</t>
  </si>
  <si>
    <t>Schwerpunkt Z unterhalb KDV (LMB)</t>
  </si>
  <si>
    <t>1a - HINTEN</t>
  </si>
  <si>
    <t>1b - RECHTS</t>
  </si>
  <si>
    <t>1e - LINKS</t>
  </si>
  <si>
    <t>1d - VORNE</t>
  </si>
  <si>
    <t>1c - VORNE-RECHTS</t>
  </si>
  <si>
    <t>2d - VORNE</t>
  </si>
  <si>
    <t>2e - VORNE-LINKS</t>
  </si>
  <si>
    <t>Sütze hinten links</t>
  </si>
  <si>
    <t>Stütze hinten rechts</t>
  </si>
  <si>
    <t>100% = ganz ausgefahren</t>
  </si>
  <si>
    <t>0%     = ganz eingefahren</t>
  </si>
  <si>
    <t>X 0%</t>
  </si>
  <si>
    <t>i.O.</t>
  </si>
  <si>
    <t>STVL</t>
  </si>
  <si>
    <t>STHL</t>
  </si>
  <si>
    <t>STVR</t>
  </si>
  <si>
    <t>STHR</t>
  </si>
  <si>
    <t>i.O</t>
  </si>
  <si>
    <t>elektronischen (Prüf-) Wasserwaage am Drehtsich.</t>
  </si>
  <si>
    <t>Vergleich der Stützenwerte der Visualisierung im PC mit den LMB-Parametern</t>
  </si>
  <si>
    <t>Z 0%</t>
  </si>
  <si>
    <t>X 100%</t>
  </si>
  <si>
    <t>Z 100%</t>
  </si>
  <si>
    <t>Kontrolle der Neigung des Sensors mit der</t>
  </si>
  <si>
    <t>Sensor 1</t>
  </si>
  <si>
    <t>Sensor 2</t>
  </si>
  <si>
    <t>Prüfung des Neigungssensors bei 0° Aufstellung</t>
  </si>
  <si>
    <t>X-Achse</t>
  </si>
  <si>
    <t>Y-Achse</t>
  </si>
  <si>
    <t>LMB-Abschaltung, wenn Räder nicht freigehoben</t>
  </si>
  <si>
    <t>LMB-Abschaltung: nur Hubarm-Auf und Tele-Ein frei</t>
  </si>
  <si>
    <t xml:space="preserve">Kippversuch 1: </t>
  </si>
  <si>
    <t>Kippversuch 2:</t>
  </si>
  <si>
    <t>Kippversuch 3:</t>
  </si>
  <si>
    <t>Kippversuch 4:</t>
  </si>
  <si>
    <t>4a - HINTEN-RECHTS</t>
  </si>
  <si>
    <t>4b - RECHTS</t>
  </si>
  <si>
    <t>4c - VORNE-RECHTS</t>
  </si>
  <si>
    <t>4d - VORNE</t>
  </si>
  <si>
    <t>4e - VORNE-LINKS</t>
  </si>
  <si>
    <t>4f - LINKS</t>
  </si>
  <si>
    <t>4g - HINTEN-LINKS</t>
  </si>
  <si>
    <t>G_BASIS</t>
  </si>
  <si>
    <t>LX_SP_BASIS</t>
  </si>
  <si>
    <t>LZ_SP_BASIS</t>
  </si>
  <si>
    <t>G_GERAET</t>
  </si>
  <si>
    <t>G_STVL</t>
  </si>
  <si>
    <t>G_STHL</t>
  </si>
  <si>
    <t>G_STHR</t>
  </si>
  <si>
    <t>G_STVR</t>
  </si>
  <si>
    <t>Schwerpunkt Stütze X vom Bodenteller</t>
  </si>
  <si>
    <t>Schwerpunkt Stütze Z vom Bodenteller</t>
  </si>
  <si>
    <t>Berechnung LX_SP_Basis</t>
  </si>
  <si>
    <t>Gewicht Armsatz</t>
  </si>
  <si>
    <t>Aufsetzgewicht Basis</t>
  </si>
  <si>
    <t>Aufsetzgewicht KST und DT</t>
  </si>
  <si>
    <t>NH6C</t>
  </si>
  <si>
    <t>soll</t>
  </si>
  <si>
    <t>ist</t>
  </si>
  <si>
    <t>A</t>
  </si>
  <si>
    <t>Wiegeart</t>
  </si>
  <si>
    <t>Einzeln</t>
  </si>
  <si>
    <t>Achse-Seite</t>
  </si>
  <si>
    <t>NA5 / MB-NA 56/2c</t>
  </si>
  <si>
    <t>NL10c</t>
  </si>
  <si>
    <t>Standversuch durchgeführt und Reichweite gemessen mit:</t>
  </si>
  <si>
    <t>Prüfer:</t>
  </si>
  <si>
    <t>fest</t>
  </si>
  <si>
    <t>Stützen müssen jedoch (etwas) abheben können, damit Kipplast bestimmt werden kann!</t>
  </si>
  <si>
    <t>"-1" wenn Korb am Heck und KST nach vorn; "1" wenn Korbarm untergezogen</t>
  </si>
  <si>
    <t>Moment um KDV unter DT wenn Gerät in Transportst (ohne Korblast); pos. = Korb am Heck</t>
  </si>
  <si>
    <t>Moment um KDV über Rahmen wenn Gerät in Transportst (ohne Korblast); pos. = Korb am Heck</t>
  </si>
  <si>
    <t>Transformation Moment um obere KDV</t>
  </si>
  <si>
    <t>max Werte</t>
  </si>
  <si>
    <t>min Werte</t>
  </si>
  <si>
    <t>Unterfahrschutz</t>
  </si>
  <si>
    <t>Ölkühler</t>
  </si>
  <si>
    <t>Nummer</t>
  </si>
  <si>
    <t>Art</t>
  </si>
  <si>
    <t>Projekt</t>
  </si>
  <si>
    <t>gewogene besondere ZA</t>
  </si>
  <si>
    <t>Lage Dieseltank</t>
  </si>
  <si>
    <t>links</t>
  </si>
  <si>
    <t>Art Grundrahmen</t>
  </si>
  <si>
    <t>leicht</t>
  </si>
  <si>
    <t>rechts</t>
  </si>
  <si>
    <t>schwer</t>
  </si>
  <si>
    <t>Rahmen leicht</t>
  </si>
  <si>
    <t>Rahmen schwer</t>
  </si>
  <si>
    <t>Gerätestütze</t>
  </si>
  <si>
    <t>Abstand KDV-Korb</t>
  </si>
  <si>
    <t>Länge KA</t>
  </si>
  <si>
    <t>Diff mittl Spur</t>
  </si>
  <si>
    <t>Lage Tank li -1 re 1</t>
  </si>
  <si>
    <t>Basisgewicht LMB ohne Stützen</t>
  </si>
  <si>
    <t>Berechnung G_Basis ohne Stützen</t>
  </si>
  <si>
    <t>Ballast</t>
  </si>
  <si>
    <t>Kotflügel</t>
  </si>
  <si>
    <t>MAN 18.290 4x2 BB C-FH 5075</t>
  </si>
  <si>
    <t>xxx</t>
  </si>
  <si>
    <t>xx</t>
  </si>
  <si>
    <t>N1</t>
  </si>
  <si>
    <t>N2</t>
  </si>
  <si>
    <t>Teleskopkorb</t>
  </si>
  <si>
    <t>Starrer Korb</t>
  </si>
  <si>
    <t>Korbgewicht</t>
  </si>
  <si>
    <t>Differenzgewicht starrer Korb</t>
  </si>
  <si>
    <t>Nein</t>
  </si>
  <si>
    <t>Abstand Basis-KDV</t>
  </si>
  <si>
    <t>Berechnung Z-Schwerpunkt</t>
  </si>
  <si>
    <t>Spurweite im Schwerpunkt mit Tank</t>
  </si>
  <si>
    <t>Gerät</t>
  </si>
  <si>
    <t>masse</t>
  </si>
  <si>
    <t>X-schwerpunkt</t>
  </si>
  <si>
    <t>X-Schwerpunkt gewogen</t>
  </si>
  <si>
    <t>X-Schwerpunkt zu HA</t>
  </si>
  <si>
    <t>Moment von Mitte Basis</t>
  </si>
  <si>
    <t>GG rechts</t>
  </si>
  <si>
    <t>GG links</t>
  </si>
  <si>
    <t>Basisgewicht LMB</t>
  </si>
  <si>
    <t>Basisgewicht GB + FG</t>
  </si>
  <si>
    <t>Schwerpunkt Gerät von KDV</t>
  </si>
  <si>
    <t>Schwerpunkt Basis zur KDV</t>
  </si>
  <si>
    <t>E-Kasten m zweitbed</t>
  </si>
  <si>
    <t>Z-schwerpunkt von Mitte Basis</t>
  </si>
  <si>
    <t>Lage Tank Abstand Dichte</t>
  </si>
  <si>
    <t>Kontergewicht am Drehtisch</t>
  </si>
  <si>
    <t>Masse</t>
  </si>
  <si>
    <t>Abstand</t>
  </si>
  <si>
    <r>
      <t xml:space="preserve">Moment bei </t>
    </r>
    <r>
      <rPr>
        <sz val="10"/>
        <color indexed="10"/>
        <rFont val="Arial"/>
        <family val="2"/>
      </rPr>
      <t>minimaler</t>
    </r>
    <r>
      <rPr>
        <sz val="10"/>
        <rFont val="Arial"/>
        <family val="2"/>
      </rPr>
      <t xml:space="preserve"> Reichweite 9°HAW</t>
    </r>
  </si>
  <si>
    <t>Moment bei minimaler Reichweite 9°HAW</t>
  </si>
  <si>
    <t>Abstand Mitte DT zur Mitte Ballast + / -</t>
  </si>
  <si>
    <t>Zweitsteuerung</t>
  </si>
  <si>
    <t>Generator</t>
  </si>
  <si>
    <t>2.Aufstieg</t>
  </si>
  <si>
    <t>Gewicht Gerät</t>
  </si>
  <si>
    <t>Halter U-Bohlen</t>
  </si>
  <si>
    <t>Trägerfahrzeug</t>
  </si>
  <si>
    <t>Moment Basisgewicht</t>
  </si>
  <si>
    <t>Prüflast</t>
  </si>
  <si>
    <t>Es sind nur Bewegungen innerhalb der LMB-Grenzen zulässig! Werden die vorgegebenen</t>
  </si>
  <si>
    <t>Richtwerte nicht erreicht, sind die tatsächlich erreichten Werte einzutragen.</t>
  </si>
  <si>
    <t>LMB-Parameter für Standversuch</t>
  </si>
  <si>
    <t>erw.</t>
  </si>
  <si>
    <t>Oberarm</t>
  </si>
  <si>
    <t>Korb</t>
  </si>
  <si>
    <t>in Mitte, einteleskopiert</t>
  </si>
  <si>
    <t>Korbarm</t>
  </si>
  <si>
    <t>Unterarm</t>
  </si>
  <si>
    <t>Winkel nach Vorgabe anfahren und genau bestimmen</t>
  </si>
  <si>
    <t>Schwerpunkt Gerät Z</t>
  </si>
  <si>
    <t>1f - HINTEN LINKS schw</t>
  </si>
  <si>
    <t xml:space="preserve"> Version:</t>
  </si>
  <si>
    <t>Powerlift</t>
  </si>
  <si>
    <t>OX_SP_STVL</t>
  </si>
  <si>
    <t>OZ_SP_STVL</t>
  </si>
  <si>
    <t>OX_SP_STHL</t>
  </si>
  <si>
    <t>OZ_SP_STHL</t>
  </si>
  <si>
    <t>OX_SP_STHR</t>
  </si>
  <si>
    <t>OZ_SP_STHR</t>
  </si>
  <si>
    <t>OX_SP_STVR</t>
  </si>
  <si>
    <t>OZ_SP_STVR</t>
  </si>
  <si>
    <t>lose</t>
  </si>
  <si>
    <t>vorh</t>
  </si>
  <si>
    <t>n vorh</t>
  </si>
  <si>
    <t>fest ist in Stasi</t>
  </si>
  <si>
    <t>vorh in GB</t>
  </si>
  <si>
    <t>wenn Projekt</t>
  </si>
  <si>
    <t>NH1B 0,97</t>
  </si>
  <si>
    <t>NH1B 0,99</t>
  </si>
  <si>
    <t>NH1B 1,22</t>
  </si>
  <si>
    <t>Fahrgestell</t>
  </si>
  <si>
    <t>Höhe Rahmen FG</t>
  </si>
  <si>
    <t>Radstand 1.VA-1.HA</t>
  </si>
  <si>
    <t>Lage KDV ab 1.HA + nach vorn, - nach hinten</t>
  </si>
  <si>
    <t>Gewicht über Fahrgestell</t>
  </si>
  <si>
    <t>Schwerpunkt X Aufbau von KDV gemessen</t>
  </si>
  <si>
    <t>leer</t>
  </si>
  <si>
    <t>zul</t>
  </si>
  <si>
    <t>Abstand zu 1. VA</t>
  </si>
  <si>
    <t>Vorderachse 1</t>
  </si>
  <si>
    <t>Vorderachse 2</t>
  </si>
  <si>
    <t>Vorderachse 3</t>
  </si>
  <si>
    <t>technischer Radstand VA von 1.VA</t>
  </si>
  <si>
    <t>technischer RS berech VA von 1.VA</t>
  </si>
  <si>
    <t>Abstand zu 1. HA</t>
  </si>
  <si>
    <t>Hinterachse 1</t>
  </si>
  <si>
    <t>Hinterachse 2</t>
  </si>
  <si>
    <t>Hinterachse 3</t>
  </si>
  <si>
    <t>Hinterachse 4</t>
  </si>
  <si>
    <t>technischer Radstand HA von 1.HA</t>
  </si>
  <si>
    <t>technischer RS berech HA von 1.HA</t>
  </si>
  <si>
    <t>Gewicht Fahrgestell</t>
  </si>
  <si>
    <t>Schwerpunkt von KDV</t>
  </si>
  <si>
    <t>technischer Radstand VA-HA</t>
  </si>
  <si>
    <t>Aufsetzmaß von technischer HA</t>
  </si>
  <si>
    <t>NH4B 1,1</t>
  </si>
  <si>
    <t>Kontergewichtsmoment</t>
  </si>
  <si>
    <t>Hydraulikventile</t>
  </si>
  <si>
    <t>Werte Probe</t>
  </si>
  <si>
    <t>Werte errechnet</t>
  </si>
  <si>
    <t>Werte eingeben</t>
  </si>
  <si>
    <t>Stützlasten eingeben</t>
  </si>
  <si>
    <t>Abstand Stützen vorn</t>
  </si>
  <si>
    <t>Abstand Stützen hinten</t>
  </si>
  <si>
    <t>Abstand Stützen rechts</t>
  </si>
  <si>
    <t>Abstand Stützen links</t>
  </si>
  <si>
    <t>Stützlast vorn</t>
  </si>
  <si>
    <t>Stützlast hinten</t>
  </si>
  <si>
    <t>Stützlast rechts</t>
  </si>
  <si>
    <t>Stützlast links</t>
  </si>
  <si>
    <t xml:space="preserve"> schwer</t>
  </si>
  <si>
    <t>Rahmen</t>
  </si>
  <si>
    <t>Korrfaktor</t>
  </si>
  <si>
    <t>Werte korr</t>
  </si>
  <si>
    <t>Werte Org</t>
  </si>
  <si>
    <t xml:space="preserve"> Kenn-Nr.: Fbl. 55.4A.43</t>
  </si>
  <si>
    <t xml:space="preserve">Standsicherheitsprüfung </t>
  </si>
  <si>
    <t>Protokoll erstellt</t>
  </si>
  <si>
    <t>Name</t>
  </si>
  <si>
    <t>Protokoll vor Übergabe</t>
  </si>
  <si>
    <t>Name/Unterschrift</t>
  </si>
  <si>
    <t>an Produktion geprüft</t>
  </si>
  <si>
    <t>Inhaltsverzeichnis</t>
  </si>
  <si>
    <t>Seite</t>
  </si>
  <si>
    <t>Überlast und Funktionstest</t>
  </si>
  <si>
    <t>Definition der Koordinaten für LMB</t>
  </si>
  <si>
    <t>(Fahrgestell beispielhaft)</t>
  </si>
  <si>
    <t>Erläuterung der Zellen</t>
  </si>
  <si>
    <t>IST-Werte</t>
  </si>
  <si>
    <t>dienen zur geometrischen Bestimmung der Abstützung</t>
  </si>
  <si>
    <t>Werte für LMB</t>
  </si>
  <si>
    <t>Leerfelder</t>
  </si>
  <si>
    <t>hier werden die geänderten Werte durch den Inbetriebnehmer eingetragen</t>
  </si>
  <si>
    <t>geometr.</t>
  </si>
  <si>
    <t>angepasste</t>
  </si>
  <si>
    <t>Werte geändert</t>
  </si>
  <si>
    <t>LZ_SP_GERAET</t>
  </si>
  <si>
    <t>G_ARM</t>
  </si>
  <si>
    <t>Korrekturwerte der Kippkanten für Standversuch</t>
  </si>
  <si>
    <t>Wert</t>
  </si>
  <si>
    <t>KORR_STAND_VO_VL_SCHMAL</t>
  </si>
  <si>
    <t>KORR_STAND_VO_VL_BREIT</t>
  </si>
  <si>
    <t>KORR_STAND_LI_VL_SCHMAL</t>
  </si>
  <si>
    <t>KORR_STAND_LI_VL_BREIT</t>
  </si>
  <si>
    <t>KORR_STAND_LI_HL_SCHMAL</t>
  </si>
  <si>
    <t>KORR_STAND_LI_HL_BREIT</t>
  </si>
  <si>
    <t>KORR_STAND_HI_HL_SCHMAL</t>
  </si>
  <si>
    <t>KORR_STAND_HI_HL_BREIT</t>
  </si>
  <si>
    <t>KORR_STAND_HI_HR_SCHMAL</t>
  </si>
  <si>
    <t>KORR_STAND_HI_HR_BREIT</t>
  </si>
  <si>
    <t>KORR_STAND_RE_HR_SCHMAL</t>
  </si>
  <si>
    <t>KORR_STAND_RE_HR_BREIT</t>
  </si>
  <si>
    <t>KORR_STAND_RE_VR_SCHMAL</t>
  </si>
  <si>
    <t>KORR_STAND_RE_VR_BREIT</t>
  </si>
  <si>
    <t>KORR_STAND_VO_VR_SCHMAL</t>
  </si>
  <si>
    <t>KORR_STAND_VO_VR_BREIT</t>
  </si>
  <si>
    <t>LMB-Druckwerte</t>
  </si>
  <si>
    <t>UAW_</t>
  </si>
  <si>
    <t>PNULL_</t>
  </si>
  <si>
    <t>PSTEIG_</t>
  </si>
  <si>
    <t>PFEST_</t>
  </si>
  <si>
    <t xml:space="preserve"> </t>
  </si>
  <si>
    <t>In der LMB1/2 in der W/R-Liste PRO__LMB die Variable setzen</t>
  </si>
  <si>
    <t>Status Standversuch_1:= SV_aktiv</t>
  </si>
  <si>
    <t>Status Standversuch_2:= SV_aktiv</t>
  </si>
  <si>
    <t>Werte in LMB1/2 eingetragen</t>
  </si>
  <si>
    <t>Werte in LMB1/2 gegengelesen</t>
  </si>
  <si>
    <t>Stützgeometrie 
 Prüfen</t>
  </si>
  <si>
    <t>Überprüfung der Stützenwerte SOLL-IST</t>
  </si>
  <si>
    <t>Das Fahrzeug ist auf ebenen Boden mit ausgerichtetetn Auslegern abzustützen</t>
  </si>
  <si>
    <t>Die Räder müssen so weit frei hängen, dass daruter durch gemessen werden kann</t>
  </si>
  <si>
    <t>Die Stützmaße können mit Maßband oder Lasermeßgerät gemessen werden</t>
  </si>
  <si>
    <t>Bei Verwendung des Lasermeßgerätes ist zu beachten, dass kein Offset eingestellt ist</t>
  </si>
  <si>
    <t xml:space="preserve">Das Lasermeßgerät wird an der Hinterkante der ersten Kolbenstange des zu messnenden </t>
  </si>
  <si>
    <t>Abstandes positioniert (s.Bild) und der Abstand zur Mitte zweiter Kolbenstange gemessen</t>
  </si>
  <si>
    <t>Werte in mm</t>
  </si>
  <si>
    <t>100% Auslegerhub</t>
  </si>
  <si>
    <t>0% Auslegerhub</t>
  </si>
  <si>
    <t>hinten</t>
  </si>
  <si>
    <t xml:space="preserve">vorn </t>
  </si>
  <si>
    <t>Stützgeometrie geprüft, Werte i.O.</t>
  </si>
  <si>
    <t>Eingänge Vario 
 Prüfen</t>
  </si>
  <si>
    <t>Sensoren Stützen</t>
  </si>
  <si>
    <t>Neigungssensor 
 Prüfen</t>
  </si>
  <si>
    <t>Sensoren Analog</t>
  </si>
  <si>
    <t>Bodendrucktest 
 Prüfen</t>
  </si>
  <si>
    <t>Der Ablauf der Standsicherheitsprüfung ist in der PVA 55.3M.13 beschrieben!
Vorgaben:</t>
  </si>
  <si>
    <t>Fzg. komplett freigehoben (alle Räder haben keinen Bodenkontakt)</t>
  </si>
  <si>
    <t>gestreckt, ca.180°</t>
  </si>
  <si>
    <t>max. gestreckt ; austeleskopiert, max.</t>
  </si>
  <si>
    <t>7°(P480) / 8°(P550 bis P750) von oben angefahren, Telehub wird bei Standversuch bestimmt</t>
  </si>
  <si>
    <t>Schwenktisch</t>
  </si>
  <si>
    <t>Auslegerposition</t>
  </si>
  <si>
    <t>die einzelnen Stützauslegerpositionen sind mit der Stützensteuerung anzufahren</t>
  </si>
  <si>
    <t>245kg</t>
  </si>
  <si>
    <t>an LMB-Grenze darf die jeweils angegebene Prüflast um max. weitere 20kg gesteigert werden.</t>
  </si>
  <si>
    <t>Schwenktischwinkel, diese Winkel werden direkt angefahren</t>
  </si>
  <si>
    <t>Schwenktischwinkel, diese Winkel werden durch Drehen gesucht bis der maximale Standsicherheitsdruck oder die Grenze Festigkeit/Standsicherheit in der Visualisierung LMB-Berechnungen 1/2 erreicht wird</t>
  </si>
  <si>
    <t>Schwenktischwinkel, diese Winkel werden wie oben beschrieben gesucht und danach nach Schwenken des Schwenktisches um 0,5° nach rechts zur ermittelten Grenze ist der erste Standversuch und nach  Schwenken des Schwenktisches um 0,5° nach links der zweite Standversuch durchzuführen</t>
  </si>
  <si>
    <t>Hub [mm]</t>
  </si>
  <si>
    <t>erwarteter Teleskopzylinderhub, Abweichungen von +5cm oder -30cm sind unverzüglich der Gruppe
Statik/Konzeption zu melden</t>
  </si>
  <si>
    <r>
      <t xml:space="preserve">hier werden die beim Standversuch festgestellten Werte eingetragen. Bei </t>
    </r>
    <r>
      <rPr>
        <i/>
        <sz val="8"/>
        <rFont val="Arial"/>
        <family val="2"/>
      </rPr>
      <t>"kippt nach"</t>
    </r>
    <r>
      <rPr>
        <sz val="8"/>
        <rFont val="Arial"/>
        <family val="2"/>
      </rPr>
      <t xml:space="preserve"> wird die voraussichtliche Kipprichtung (vorn, vo; rechts, re; hinten, hi; links, li; nicht ermittelbar, ne) vermerkt. Als Indikator hierfür dient die Veränderung des Bodendrucks der der Kippkante genüberliegenden Seite.</t>
    </r>
  </si>
  <si>
    <t>Eintragungen erfolgen erst nach bestandenen Standversuch!</t>
  </si>
  <si>
    <r>
      <t xml:space="preserve">Die Winkelwerte sind gemäß SPS-Anzeige PC  zu ermitteln. Schwenktischwinkel LMB in Transportstellung </t>
    </r>
    <r>
      <rPr>
        <b/>
        <sz val="9"/>
        <color indexed="10"/>
        <rFont val="Arial"/>
        <family val="2"/>
      </rPr>
      <t>0</t>
    </r>
    <r>
      <rPr>
        <sz val="9"/>
        <rFont val="Arial"/>
        <family val="2"/>
      </rPr>
      <t xml:space="preserve"> Grad.</t>
    </r>
  </si>
  <si>
    <t>Niemals mit Überbrückung oder Notbedienung fahren oder weiterfahren!</t>
  </si>
  <si>
    <t>Achtung: Fahrzeug gegen kippen sichern! s. PVA55.3M.13</t>
  </si>
  <si>
    <t>kippt nach</t>
  </si>
  <si>
    <t>1g - VORNE LINKS schw</t>
  </si>
  <si>
    <t>2f - HINTEN-RECHTS</t>
  </si>
  <si>
    <t xml:space="preserve">2g - HINTEN-LINKS </t>
  </si>
  <si>
    <t>3d - VORNE-RECHTS</t>
  </si>
  <si>
    <t>3f - VORNE LINKS</t>
  </si>
  <si>
    <t>In der LMB 1/2 in der W/R-Liste PRO__LMB die Variable setzen:</t>
  </si>
  <si>
    <t>Staus Standversuch_1:=  SV_erfolgreich</t>
  </si>
  <si>
    <t>Staus Standversuch_2:=  SV_erfolgreich</t>
  </si>
  <si>
    <r>
      <t xml:space="preserve">Abstüzung </t>
    </r>
    <r>
      <rPr>
        <b/>
        <sz val="9"/>
        <color indexed="10"/>
        <rFont val="Arial"/>
        <family val="2"/>
      </rPr>
      <t>beidseitig maximal</t>
    </r>
    <r>
      <rPr>
        <sz val="9"/>
        <rFont val="Arial"/>
        <family val="2"/>
      </rPr>
      <t xml:space="preserve">, </t>
    </r>
    <r>
      <rPr>
        <b/>
        <sz val="9"/>
        <rFont val="Arial"/>
        <family val="2"/>
      </rPr>
      <t>relativer Hubarmwinkel 5° P480 / 6° P550 bis P750</t>
    </r>
  </si>
  <si>
    <t>Bei Unterschreitung der Reichweite um mehr als 0,5 m, Info an Gruppe "Statik/Konzeption"</t>
  </si>
  <si>
    <t>Standard-Korb</t>
  </si>
  <si>
    <t>Schwerlastkorb</t>
  </si>
  <si>
    <t>Messwert RW[m]</t>
  </si>
  <si>
    <r>
      <t xml:space="preserve">Abstüzung </t>
    </r>
    <r>
      <rPr>
        <b/>
        <sz val="9"/>
        <color indexed="10"/>
        <rFont val="Arial"/>
        <family val="2"/>
      </rPr>
      <t>beidseitig minimal</t>
    </r>
    <r>
      <rPr>
        <sz val="9"/>
        <rFont val="Arial"/>
        <family val="2"/>
      </rPr>
      <t>, sonst wie zuvor</t>
    </r>
    <r>
      <rPr>
        <b/>
        <sz val="9"/>
        <rFont val="Arial"/>
        <family val="2"/>
      </rPr>
      <t xml:space="preserve"> (relativer Hubarmwinkel 5° P480 / 6° P550 bis P750)</t>
    </r>
  </si>
  <si>
    <t>Bei Unterschreitung der Reichweite um mehr als 0,5 m, Info an Entw</t>
  </si>
  <si>
    <t>bei Aufstellungenauigkeit max. nach RECHTS geneigt</t>
  </si>
  <si>
    <t>Info: 1,9° bei P480 / 0,9° bei P550 und P640 / 0,5° bei P750</t>
  </si>
  <si>
    <t>die max. Reichweite darf nicht überschritten werden, ansonsten Rückmeldung an Gruppe Statik/Konzeption</t>
  </si>
  <si>
    <t>Bewegung 
(wenn vorhanden)</t>
  </si>
  <si>
    <t>Ausgangsstellung</t>
  </si>
  <si>
    <t xml:space="preserve">Fahrverhalten </t>
  </si>
  <si>
    <t>Verform.</t>
  </si>
  <si>
    <t>Siehe unten</t>
  </si>
  <si>
    <t>Unterarm-Auf</t>
  </si>
  <si>
    <t>45-60</t>
  </si>
  <si>
    <t>Unterarm-Ab</t>
  </si>
  <si>
    <t>60-45</t>
  </si>
  <si>
    <t>Unterarm Tele-Aus</t>
  </si>
  <si>
    <t>1000-1500</t>
  </si>
  <si>
    <t>Unterarm Tele-Ein</t>
  </si>
  <si>
    <t>1500-1000</t>
  </si>
  <si>
    <t>Oberarm-Auf</t>
  </si>
  <si>
    <t xml:space="preserve"> 45-60°</t>
  </si>
  <si>
    <t>Oberarm-Ab</t>
  </si>
  <si>
    <t>Oberarm Tele-Aus</t>
  </si>
  <si>
    <t>Oberarm Tele-Ein</t>
  </si>
  <si>
    <t>Korbarm-Auf</t>
  </si>
  <si>
    <t>80-90</t>
  </si>
  <si>
    <t>Korbarm-Ab</t>
  </si>
  <si>
    <t>90-80</t>
  </si>
  <si>
    <t>Schwenken-Re</t>
  </si>
  <si>
    <t>Schwenken-Li</t>
  </si>
  <si>
    <t>Komplett ausgefülltes Protokoll seitens Technik gegengelesen / geprüft und für i.O. befunden:</t>
  </si>
  <si>
    <r>
      <t xml:space="preserve">Hinweis: </t>
    </r>
    <r>
      <rPr>
        <sz val="8"/>
        <rFont val="Arial"/>
        <family val="2"/>
      </rPr>
      <t>Das ausgefüllte Protokoll wird eingescannt und im Sharepoint in der ELA im Montageordner des entsprechenden Auftrags gespeichert.</t>
    </r>
  </si>
  <si>
    <t>Danach wird ein Link an Fischer /Sawitzky zur Kontrolle gesendet.</t>
  </si>
  <si>
    <t>Signatur</t>
  </si>
  <si>
    <t>003</t>
  </si>
  <si>
    <t>Vorgabewerte, werden in die LMB1/2 eingetragen, Änderung erfolgt nur nach Rücksprache mit Gruppe Statik/Konzeption</t>
  </si>
  <si>
    <t>Anzahl Messungen</t>
  </si>
  <si>
    <t>fertig</t>
  </si>
  <si>
    <t xml:space="preserve">Summe </t>
  </si>
  <si>
    <t>3g - LINKS</t>
  </si>
  <si>
    <t>3h - HINTEN LINKS</t>
  </si>
  <si>
    <t>Kontergewicht am DT</t>
  </si>
  <si>
    <t>HA1-Gewicht (zulässig)</t>
  </si>
  <si>
    <t>HA2-Gewicht (zulässig)</t>
  </si>
  <si>
    <t>Abstand zu 1.HA</t>
  </si>
  <si>
    <t>Hub [cm]</t>
  </si>
  <si>
    <t>MAN TGS 26390</t>
  </si>
  <si>
    <t>Scania P410 LB</t>
  </si>
  <si>
    <t>Volvo FM 370 6x2</t>
  </si>
  <si>
    <t>Bordwände</t>
  </si>
  <si>
    <t>Öl</t>
  </si>
  <si>
    <t>Gerätekasten</t>
  </si>
  <si>
    <t>GR</t>
  </si>
  <si>
    <t>P570</t>
  </si>
  <si>
    <t>Stand: 06.01.2022</t>
  </si>
  <si>
    <t>2a - VORN-RECHTS</t>
  </si>
  <si>
    <t>2b - VORN-RECHTS schw</t>
  </si>
  <si>
    <t>2c - HINTEN-RECHTS</t>
  </si>
  <si>
    <t>0,9°</t>
  </si>
  <si>
    <t>??</t>
  </si>
  <si>
    <t>UP-AG</t>
  </si>
  <si>
    <t>Volvo FMX 430</t>
  </si>
  <si>
    <t>Spitzer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</si>
</sst>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 #,##0.00\ &quot;€&quot;_-;\-* #,##0.00\ &quot;€&quot;_-;_-* &quot;-&quot;??\ &quot;€&quot;_-;_-@_-"/>
    <numFmt numFmtId="164" formatCode="0.0"/>
    <numFmt numFmtId="165" formatCode="##\ ###\ ###"/>
    <numFmt numFmtId="166" formatCode="0.00\ &quot;m&quot;"/>
    <numFmt numFmtId="167" formatCode="0\ &quot;bar&quot;"/>
    <numFmt numFmtId="168" formatCode="0\ &quot;s&quot;"/>
    <numFmt numFmtId="169" formatCode="0\ &quot;kg&quot;"/>
    <numFmt numFmtId="170" formatCode="&quot;ca&quot;\ 0.00\ &quot;m&quot;"/>
    <numFmt numFmtId="171" formatCode="0\ &quot;Grad&quot;"/>
    <numFmt numFmtId="172" formatCode="0.0\ &quot;kg&quot;"/>
    <numFmt numFmtId="173" formatCode="\&gt;0.0\ &quot;kg&quot;"/>
    <numFmt numFmtId="174" formatCode="0.000"/>
    <numFmt numFmtId="175" formatCode="\ @"/>
  </numFmts>
  <fonts count="67" x14ac:knownFonts="1">
    <font>
      <sz val="10"/>
      <name val="Arial"/>
    </font>
    <font>
      <sz val="10"/>
      <name val="Arial"/>
      <family val="2"/>
    </font>
    <font>
      <b/>
      <sz val="8"/>
      <color indexed="81"/>
      <name val="Tahoma"/>
      <family val="2"/>
    </font>
    <font>
      <b/>
      <sz val="14"/>
      <name val="Arial"/>
      <family val="2"/>
    </font>
    <font>
      <sz val="8"/>
      <color indexed="81"/>
      <name val="Tahoma"/>
      <family val="2"/>
    </font>
    <font>
      <sz val="10"/>
      <name val="Courier New"/>
      <family val="3"/>
    </font>
    <font>
      <sz val="10"/>
      <color indexed="10"/>
      <name val="Arial"/>
      <family val="2"/>
    </font>
    <font>
      <sz val="10"/>
      <name val="Arial"/>
      <family val="2"/>
    </font>
    <font>
      <sz val="14"/>
      <name val="Arial"/>
      <family val="2"/>
    </font>
    <font>
      <sz val="8"/>
      <name val="Arial"/>
      <family val="2"/>
    </font>
    <font>
      <b/>
      <u/>
      <sz val="12"/>
      <name val="Arial"/>
      <family val="2"/>
    </font>
    <font>
      <sz val="8"/>
      <name val="Arial"/>
      <family val="2"/>
    </font>
    <font>
      <sz val="8"/>
      <color indexed="10"/>
      <name val="Arial"/>
      <family val="2"/>
    </font>
    <font>
      <b/>
      <sz val="10"/>
      <name val="Arial"/>
      <family val="2"/>
    </font>
    <font>
      <b/>
      <sz val="10"/>
      <color indexed="10"/>
      <name val="Arial"/>
      <family val="2"/>
    </font>
    <font>
      <sz val="9"/>
      <name val="Arial"/>
      <family val="2"/>
    </font>
    <font>
      <sz val="10"/>
      <color indexed="23"/>
      <name val="Courier New"/>
      <family val="3"/>
    </font>
    <font>
      <sz val="10"/>
      <color indexed="23"/>
      <name val="Arial"/>
      <family val="2"/>
    </font>
    <font>
      <sz val="10"/>
      <name val="Verdana"/>
      <family val="2"/>
    </font>
    <font>
      <sz val="10"/>
      <name val="Century Gothic"/>
      <family val="2"/>
    </font>
    <font>
      <b/>
      <sz val="11"/>
      <name val="Century Gothic"/>
      <family val="2"/>
    </font>
    <font>
      <b/>
      <sz val="12"/>
      <color indexed="8"/>
      <name val="Century Gothic"/>
      <family val="2"/>
    </font>
    <font>
      <sz val="12"/>
      <color indexed="8"/>
      <name val="Century Gothic"/>
      <family val="2"/>
    </font>
    <font>
      <b/>
      <sz val="12"/>
      <name val="Century Gothic"/>
      <family val="2"/>
    </font>
    <font>
      <sz val="12"/>
      <name val="Century Gothic"/>
      <family val="2"/>
    </font>
    <font>
      <sz val="9"/>
      <name val="Century Gothic"/>
      <family val="2"/>
    </font>
    <font>
      <b/>
      <sz val="10"/>
      <name val="Century Gothic"/>
      <family val="2"/>
    </font>
    <font>
      <sz val="10"/>
      <color indexed="8"/>
      <name val="Century Gothic"/>
      <family val="2"/>
    </font>
    <font>
      <b/>
      <i/>
      <sz val="12"/>
      <color indexed="8"/>
      <name val="Century Gothic"/>
      <family val="2"/>
    </font>
    <font>
      <b/>
      <i/>
      <sz val="12"/>
      <name val="Century Gothic"/>
      <family val="2"/>
    </font>
    <font>
      <b/>
      <sz val="12"/>
      <name val="Arial"/>
      <family val="2"/>
    </font>
    <font>
      <sz val="12"/>
      <name val="Arial"/>
      <family val="2"/>
    </font>
    <font>
      <sz val="18"/>
      <name val="Arial"/>
      <family val="2"/>
    </font>
    <font>
      <b/>
      <sz val="18"/>
      <name val="Arial"/>
      <family val="2"/>
    </font>
    <font>
      <b/>
      <sz val="9"/>
      <name val="Arial"/>
      <family val="2"/>
    </font>
    <font>
      <b/>
      <sz val="9"/>
      <color indexed="10"/>
      <name val="Arial"/>
      <family val="2"/>
    </font>
    <font>
      <b/>
      <i/>
      <sz val="9"/>
      <name val="Arial"/>
      <family val="2"/>
    </font>
    <font>
      <b/>
      <sz val="8"/>
      <name val="Arial"/>
      <family val="2"/>
    </font>
    <font>
      <b/>
      <sz val="10"/>
      <color indexed="12"/>
      <name val="Arial"/>
      <family val="2"/>
    </font>
    <font>
      <b/>
      <sz val="10"/>
      <color indexed="57"/>
      <name val="Arial"/>
      <family val="2"/>
    </font>
    <font>
      <b/>
      <i/>
      <sz val="10"/>
      <name val="Arial"/>
      <family val="2"/>
    </font>
    <font>
      <i/>
      <sz val="9"/>
      <name val="Arial"/>
      <family val="2"/>
    </font>
    <font>
      <sz val="8"/>
      <color indexed="9"/>
      <name val="Arial"/>
      <family val="2"/>
    </font>
    <font>
      <sz val="6"/>
      <color indexed="9"/>
      <name val="Arial"/>
      <family val="2"/>
    </font>
    <font>
      <sz val="9"/>
      <color indexed="81"/>
      <name val="Tahoma"/>
      <family val="2"/>
    </font>
    <font>
      <b/>
      <sz val="9"/>
      <color indexed="81"/>
      <name val="Tahoma"/>
      <family val="2"/>
    </font>
    <font>
      <sz val="9"/>
      <color indexed="8"/>
      <name val="Arial"/>
      <family val="2"/>
    </font>
    <font>
      <b/>
      <u/>
      <sz val="9"/>
      <name val="Arial"/>
      <family val="2"/>
    </font>
    <font>
      <strike/>
      <sz val="9"/>
      <name val="Arial"/>
      <family val="2"/>
    </font>
    <font>
      <b/>
      <i/>
      <strike/>
      <sz val="9"/>
      <name val="Arial"/>
      <family val="2"/>
    </font>
    <font>
      <b/>
      <sz val="10"/>
      <color indexed="8"/>
      <name val="Arial"/>
      <family val="2"/>
    </font>
    <font>
      <sz val="8"/>
      <name val="Arial"/>
      <family val="2"/>
    </font>
    <font>
      <sz val="10"/>
      <color theme="1"/>
      <name val="Arial"/>
      <family val="2"/>
    </font>
    <font>
      <b/>
      <i/>
      <sz val="10"/>
      <color rgb="FFCCFFCC"/>
      <name val="Arial"/>
      <family val="2"/>
    </font>
    <font>
      <sz val="10"/>
      <color rgb="FFCCFFCC"/>
      <name val="Century Gothic"/>
      <family val="2"/>
    </font>
    <font>
      <b/>
      <sz val="11"/>
      <color rgb="FFFF0000"/>
      <name val="Calibri"/>
      <family val="2"/>
    </font>
    <font>
      <strike/>
      <sz val="10"/>
      <name val="Arial"/>
      <family val="2"/>
    </font>
    <font>
      <sz val="15"/>
      <color rgb="FF00B0F0"/>
      <name val="Forte"/>
      <family val="4"/>
    </font>
    <font>
      <sz val="8"/>
      <name val="Forte"/>
      <family val="4"/>
    </font>
    <font>
      <sz val="12"/>
      <color rgb="FF00B0F0"/>
      <name val="Calibri"/>
      <family val="2"/>
    </font>
    <font>
      <sz val="12"/>
      <color rgb="FF00B0F0"/>
      <name val="Calibri"/>
      <family val="2"/>
      <scheme val="minor"/>
    </font>
    <font>
      <b/>
      <sz val="20"/>
      <color indexed="8"/>
      <name val="Century Gothic"/>
      <family val="2"/>
    </font>
    <font>
      <b/>
      <sz val="20"/>
      <name val="Arial"/>
      <family val="2"/>
    </font>
    <font>
      <i/>
      <sz val="8"/>
      <name val="Arial"/>
      <family val="2"/>
    </font>
    <font>
      <sz val="9"/>
      <color indexed="81"/>
      <name val="Segoe UI"/>
      <family val="2"/>
    </font>
    <font>
      <b/>
      <sz val="9"/>
      <color indexed="81"/>
      <name val="Segoe UI"/>
      <family val="2"/>
    </font>
    <font>
      <sz val="12"/>
      <color rgb="FF00B0F0"/>
      <name val="Arial"/>
      <family val="2"/>
    </font>
  </fonts>
  <fills count="32">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45"/>
        <bgColor indexed="64"/>
      </patternFill>
    </fill>
    <fill>
      <patternFill patternType="solid">
        <fgColor indexed="51"/>
        <bgColor indexed="64"/>
      </patternFill>
    </fill>
    <fill>
      <patternFill patternType="solid">
        <fgColor indexed="11"/>
        <bgColor indexed="64"/>
      </patternFill>
    </fill>
    <fill>
      <patternFill patternType="solid">
        <fgColor indexed="13"/>
        <bgColor indexed="64"/>
      </patternFill>
    </fill>
    <fill>
      <patternFill patternType="solid">
        <fgColor indexed="14"/>
        <bgColor indexed="64"/>
      </patternFill>
    </fill>
    <fill>
      <patternFill patternType="solid">
        <fgColor indexed="22"/>
        <bgColor indexed="64"/>
      </patternFill>
    </fill>
    <fill>
      <patternFill patternType="solid">
        <fgColor indexed="15"/>
        <bgColor indexed="64"/>
      </patternFill>
    </fill>
    <fill>
      <patternFill patternType="solid">
        <fgColor indexed="9"/>
        <bgColor indexed="64"/>
      </patternFill>
    </fill>
    <fill>
      <patternFill patternType="solid">
        <fgColor indexed="49"/>
        <bgColor indexed="64"/>
      </patternFill>
    </fill>
    <fill>
      <patternFill patternType="solid">
        <fgColor indexed="17"/>
        <bgColor indexed="64"/>
      </patternFill>
    </fill>
    <fill>
      <patternFill patternType="solid">
        <fgColor indexed="27"/>
        <bgColor indexed="64"/>
      </patternFill>
    </fill>
    <fill>
      <patternFill patternType="solid">
        <fgColor indexed="44"/>
        <bgColor indexed="64"/>
      </patternFill>
    </fill>
    <fill>
      <patternFill patternType="solid">
        <fgColor theme="0"/>
        <bgColor indexed="64"/>
      </patternFill>
    </fill>
    <fill>
      <patternFill patternType="solid">
        <fgColor theme="7" tint="0.39997558519241921"/>
        <bgColor indexed="64"/>
      </patternFill>
    </fill>
    <fill>
      <patternFill patternType="solid">
        <fgColor rgb="FFCCFFCC"/>
        <bgColor indexed="64"/>
      </patternFill>
    </fill>
    <fill>
      <patternFill patternType="solid">
        <fgColor rgb="FF00FF00"/>
        <bgColor indexed="64"/>
      </patternFill>
    </fill>
    <fill>
      <patternFill patternType="solid">
        <fgColor rgb="FFFFC000"/>
        <bgColor indexed="64"/>
      </patternFill>
    </fill>
    <fill>
      <patternFill patternType="solid">
        <fgColor rgb="FFFFFF00"/>
        <bgColor indexed="64"/>
      </patternFill>
    </fill>
    <fill>
      <patternFill patternType="solid">
        <fgColor rgb="FFFF99FF"/>
        <bgColor indexed="64"/>
      </patternFill>
    </fill>
    <fill>
      <patternFill patternType="solid">
        <fgColor rgb="FFFFCCFF"/>
        <bgColor indexed="64"/>
      </patternFill>
    </fill>
    <fill>
      <patternFill patternType="solid">
        <fgColor rgb="FFFF66FF"/>
        <bgColor indexed="64"/>
      </patternFill>
    </fill>
    <fill>
      <patternFill patternType="solid">
        <fgColor rgb="FF99FF66"/>
        <bgColor indexed="64"/>
      </patternFill>
    </fill>
    <fill>
      <patternFill patternType="solid">
        <fgColor rgb="FFEB5715"/>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tint="-0.249977111117893"/>
        <bgColor indexed="64"/>
      </patternFill>
    </fill>
  </fills>
  <borders count="54">
    <border>
      <left/>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0" borderId="0"/>
    <xf numFmtId="0" fontId="19" fillId="0" borderId="0"/>
    <xf numFmtId="0" fontId="19" fillId="0" borderId="0"/>
    <xf numFmtId="0" fontId="19" fillId="0" borderId="0"/>
  </cellStyleXfs>
  <cellXfs count="1058">
    <xf numFmtId="0" fontId="0" fillId="0" borderId="0" xfId="0"/>
    <xf numFmtId="1" fontId="0" fillId="0" borderId="0" xfId="0" applyNumberFormat="1"/>
    <xf numFmtId="0" fontId="0" fillId="0" borderId="0" xfId="0" applyAlignment="1">
      <alignment horizontal="right"/>
    </xf>
    <xf numFmtId="0" fontId="0" fillId="0" borderId="0" xfId="0" applyFill="1"/>
    <xf numFmtId="0" fontId="3" fillId="0" borderId="0" xfId="0" applyFont="1"/>
    <xf numFmtId="1" fontId="0" fillId="0" borderId="0" xfId="0" applyNumberFormat="1" applyAlignment="1">
      <alignment horizontal="center"/>
    </xf>
    <xf numFmtId="0" fontId="0" fillId="0" borderId="0" xfId="0" applyAlignment="1">
      <alignment horizontal="center"/>
    </xf>
    <xf numFmtId="1" fontId="0" fillId="0" borderId="1" xfId="0" applyNumberFormat="1" applyBorder="1"/>
    <xf numFmtId="0" fontId="0" fillId="0" borderId="2" xfId="0" applyBorder="1" applyAlignment="1">
      <alignment horizontal="center"/>
    </xf>
    <xf numFmtId="0" fontId="0" fillId="0" borderId="3" xfId="0" applyBorder="1" applyAlignment="1">
      <alignment horizontal="center"/>
    </xf>
    <xf numFmtId="0" fontId="0" fillId="0" borderId="4" xfId="0" applyBorder="1"/>
    <xf numFmtId="1" fontId="0" fillId="2" borderId="4" xfId="0" applyNumberFormat="1" applyFill="1" applyBorder="1"/>
    <xf numFmtId="0" fontId="0" fillId="2" borderId="4" xfId="0" applyFill="1" applyBorder="1"/>
    <xf numFmtId="0" fontId="0" fillId="0" borderId="0" xfId="0" applyFill="1" applyBorder="1"/>
    <xf numFmtId="1" fontId="0" fillId="0" borderId="0" xfId="0" applyNumberFormat="1" applyFill="1" applyBorder="1"/>
    <xf numFmtId="9" fontId="0" fillId="0" borderId="0" xfId="0" applyNumberFormat="1" applyFill="1" applyBorder="1"/>
    <xf numFmtId="0" fontId="0" fillId="0" borderId="4" xfId="0" applyBorder="1" applyAlignment="1">
      <alignment horizontal="center"/>
    </xf>
    <xf numFmtId="1" fontId="0" fillId="0" borderId="4" xfId="0" applyNumberFormat="1" applyBorder="1" applyAlignment="1">
      <alignment horizontal="center"/>
    </xf>
    <xf numFmtId="2" fontId="0" fillId="0" borderId="0" xfId="0" applyNumberFormat="1"/>
    <xf numFmtId="1" fontId="5" fillId="3" borderId="4" xfId="0" applyNumberFormat="1" applyFont="1" applyFill="1" applyBorder="1" applyAlignment="1">
      <alignment horizontal="center"/>
    </xf>
    <xf numFmtId="1" fontId="5" fillId="4" borderId="4" xfId="0" applyNumberFormat="1" applyFont="1" applyFill="1" applyBorder="1" applyAlignment="1">
      <alignment horizontal="center"/>
    </xf>
    <xf numFmtId="2" fontId="5" fillId="4" borderId="4" xfId="0" applyNumberFormat="1" applyFont="1" applyFill="1" applyBorder="1" applyAlignment="1">
      <alignment horizontal="center"/>
    </xf>
    <xf numFmtId="1" fontId="5" fillId="0" borderId="4" xfId="0" applyNumberFormat="1" applyFont="1" applyFill="1" applyBorder="1" applyAlignment="1">
      <alignment horizontal="center"/>
    </xf>
    <xf numFmtId="164" fontId="0" fillId="0" borderId="0" xfId="0" applyNumberFormat="1" applyAlignment="1">
      <alignment horizontal="right"/>
    </xf>
    <xf numFmtId="1" fontId="0" fillId="0" borderId="0" xfId="0" applyNumberFormat="1" applyFill="1"/>
    <xf numFmtId="0" fontId="0" fillId="3" borderId="4" xfId="0" applyFill="1" applyBorder="1"/>
    <xf numFmtId="0" fontId="0" fillId="5" borderId="4" xfId="0" applyFill="1" applyBorder="1"/>
    <xf numFmtId="0" fontId="0" fillId="4" borderId="4" xfId="0" applyFill="1" applyBorder="1"/>
    <xf numFmtId="0" fontId="0" fillId="6" borderId="4" xfId="0" applyFill="1" applyBorder="1"/>
    <xf numFmtId="0" fontId="0" fillId="7" borderId="4" xfId="0" applyFill="1" applyBorder="1" applyAlignment="1">
      <alignment horizontal="right"/>
    </xf>
    <xf numFmtId="0" fontId="0" fillId="5" borderId="1" xfId="0" applyFill="1" applyBorder="1"/>
    <xf numFmtId="0" fontId="7" fillId="5" borderId="4" xfId="0" applyFont="1" applyFill="1" applyBorder="1"/>
    <xf numFmtId="0" fontId="0" fillId="5" borderId="4" xfId="0" applyFill="1" applyBorder="1" applyAlignment="1">
      <alignment horizontal="center"/>
    </xf>
    <xf numFmtId="0" fontId="0" fillId="5" borderId="1" xfId="0" applyFill="1" applyBorder="1" applyAlignment="1">
      <alignment horizontal="center"/>
    </xf>
    <xf numFmtId="0" fontId="7" fillId="5" borderId="4" xfId="0" applyFont="1" applyFill="1" applyBorder="1" applyAlignment="1">
      <alignment horizontal="left"/>
    </xf>
    <xf numFmtId="0" fontId="0" fillId="7" borderId="5" xfId="0" applyFill="1" applyBorder="1" applyAlignment="1">
      <alignment horizontal="right"/>
    </xf>
    <xf numFmtId="0" fontId="0" fillId="3" borderId="5" xfId="0" applyFill="1" applyBorder="1"/>
    <xf numFmtId="0" fontId="0" fillId="5" borderId="5" xfId="0" applyFill="1" applyBorder="1"/>
    <xf numFmtId="1" fontId="0" fillId="5" borderId="4" xfId="0" applyNumberFormat="1" applyFill="1" applyBorder="1"/>
    <xf numFmtId="1" fontId="0" fillId="8" borderId="4" xfId="0" applyNumberFormat="1" applyFill="1" applyBorder="1" applyAlignment="1">
      <alignment horizontal="right"/>
    </xf>
    <xf numFmtId="1" fontId="0" fillId="5" borderId="4" xfId="0" applyNumberFormat="1" applyFill="1" applyBorder="1" applyAlignment="1">
      <alignment horizontal="right"/>
    </xf>
    <xf numFmtId="0" fontId="9" fillId="5" borderId="1" xfId="0" applyFont="1" applyFill="1" applyBorder="1" applyAlignment="1">
      <alignment horizontal="center"/>
    </xf>
    <xf numFmtId="0" fontId="0" fillId="5" borderId="6" xfId="0" applyFill="1" applyBorder="1"/>
    <xf numFmtId="0" fontId="0" fillId="5" borderId="7" xfId="0" applyFill="1" applyBorder="1" applyAlignment="1">
      <alignment horizontal="center"/>
    </xf>
    <xf numFmtId="1" fontId="0" fillId="5" borderId="7" xfId="0" applyNumberFormat="1" applyFill="1" applyBorder="1"/>
    <xf numFmtId="0" fontId="0" fillId="5" borderId="8" xfId="0" applyFill="1" applyBorder="1"/>
    <xf numFmtId="1" fontId="0" fillId="5" borderId="9" xfId="0" applyNumberFormat="1" applyFill="1" applyBorder="1"/>
    <xf numFmtId="0" fontId="0" fillId="5" borderId="9" xfId="0" applyFill="1" applyBorder="1" applyAlignment="1">
      <alignment horizontal="center"/>
    </xf>
    <xf numFmtId="1" fontId="0" fillId="5" borderId="7" xfId="0" applyNumberFormat="1" applyFill="1" applyBorder="1" applyAlignment="1">
      <alignment horizontal="right"/>
    </xf>
    <xf numFmtId="1" fontId="0" fillId="5" borderId="10" xfId="0" applyNumberFormat="1" applyFill="1" applyBorder="1" applyAlignment="1">
      <alignment horizontal="right"/>
    </xf>
    <xf numFmtId="1" fontId="0" fillId="8" borderId="4" xfId="0" applyNumberFormat="1" applyFill="1" applyBorder="1"/>
    <xf numFmtId="0" fontId="0" fillId="9" borderId="5" xfId="0" applyFill="1" applyBorder="1" applyAlignment="1">
      <alignment horizontal="right"/>
    </xf>
    <xf numFmtId="0" fontId="0" fillId="9" borderId="4" xfId="0" applyFill="1" applyBorder="1" applyAlignment="1">
      <alignment horizontal="right"/>
    </xf>
    <xf numFmtId="0" fontId="0" fillId="2" borderId="5" xfId="0" applyFill="1" applyBorder="1"/>
    <xf numFmtId="0" fontId="0" fillId="10" borderId="4" xfId="0" applyFill="1" applyBorder="1" applyAlignment="1">
      <alignment horizontal="right"/>
    </xf>
    <xf numFmtId="0" fontId="0" fillId="0" borderId="0" xfId="0" applyFill="1" applyAlignment="1">
      <alignment horizontal="center"/>
    </xf>
    <xf numFmtId="9" fontId="0" fillId="8" borderId="4" xfId="0" applyNumberFormat="1" applyFill="1" applyBorder="1"/>
    <xf numFmtId="1" fontId="0" fillId="4" borderId="4" xfId="0" applyNumberFormat="1" applyFill="1" applyBorder="1"/>
    <xf numFmtId="0" fontId="0" fillId="11" borderId="0" xfId="0" applyFill="1"/>
    <xf numFmtId="0" fontId="0" fillId="0" borderId="4" xfId="0" applyFill="1" applyBorder="1" applyAlignment="1">
      <alignment horizontal="left"/>
    </xf>
    <xf numFmtId="0" fontId="0" fillId="0" borderId="4" xfId="0" applyFill="1" applyBorder="1" applyAlignment="1">
      <alignment horizontal="center"/>
    </xf>
    <xf numFmtId="2" fontId="5" fillId="0" borderId="4" xfId="0" applyNumberFormat="1" applyFont="1" applyFill="1" applyBorder="1" applyAlignment="1">
      <alignment horizontal="center"/>
    </xf>
    <xf numFmtId="2" fontId="5" fillId="0" borderId="5" xfId="0" applyNumberFormat="1" applyFont="1" applyFill="1" applyBorder="1" applyAlignment="1">
      <alignment horizontal="center"/>
    </xf>
    <xf numFmtId="1" fontId="5" fillId="0" borderId="5" xfId="0" applyNumberFormat="1" applyFont="1" applyFill="1" applyBorder="1" applyAlignment="1">
      <alignment horizontal="center"/>
    </xf>
    <xf numFmtId="0" fontId="0" fillId="0" borderId="5" xfId="0" applyFill="1" applyBorder="1" applyAlignment="1">
      <alignment horizontal="center"/>
    </xf>
    <xf numFmtId="0" fontId="0" fillId="0" borderId="0" xfId="0" applyAlignment="1">
      <alignment vertical="center"/>
    </xf>
    <xf numFmtId="1" fontId="0" fillId="0" borderId="0" xfId="0" applyNumberFormat="1" applyAlignment="1">
      <alignmen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0" xfId="0" applyBorder="1" applyAlignment="1">
      <alignment horizontal="center" vertical="center"/>
    </xf>
    <xf numFmtId="0" fontId="0" fillId="0" borderId="0" xfId="0" applyBorder="1" applyAlignment="1">
      <alignment vertical="center"/>
    </xf>
    <xf numFmtId="0" fontId="0" fillId="0" borderId="4" xfId="0" applyBorder="1" applyAlignment="1">
      <alignment horizontal="center" vertical="center"/>
    </xf>
    <xf numFmtId="1" fontId="0" fillId="0" borderId="12" xfId="0" applyNumberFormat="1" applyBorder="1" applyAlignment="1">
      <alignment horizontal="center" vertical="center"/>
    </xf>
    <xf numFmtId="1" fontId="0" fillId="0" borderId="11" xfId="0" applyNumberFormat="1" applyBorder="1" applyAlignment="1">
      <alignment horizontal="center" vertical="center"/>
    </xf>
    <xf numFmtId="1" fontId="0" fillId="0" borderId="4" xfId="0" applyNumberFormat="1" applyBorder="1" applyAlignment="1">
      <alignment horizontal="center" vertical="center"/>
    </xf>
    <xf numFmtId="1" fontId="5" fillId="0" borderId="0" xfId="0" applyNumberFormat="1" applyFont="1" applyFill="1" applyBorder="1" applyAlignment="1">
      <alignment horizontal="center"/>
    </xf>
    <xf numFmtId="0" fontId="0" fillId="0" borderId="0" xfId="0" applyBorder="1"/>
    <xf numFmtId="1" fontId="0" fillId="0" borderId="0" xfId="0" applyNumberFormat="1" applyBorder="1"/>
    <xf numFmtId="0" fontId="10" fillId="0" borderId="0" xfId="0" applyFont="1" applyFill="1"/>
    <xf numFmtId="1" fontId="0" fillId="0" borderId="0" xfId="0" applyNumberFormat="1" applyBorder="1" applyAlignment="1">
      <alignment horizontal="center"/>
    </xf>
    <xf numFmtId="1" fontId="5" fillId="12" borderId="4" xfId="0" applyNumberFormat="1" applyFont="1" applyFill="1" applyBorder="1" applyAlignment="1">
      <alignment horizontal="center"/>
    </xf>
    <xf numFmtId="0" fontId="13" fillId="0" borderId="0" xfId="0" applyFont="1" applyFill="1"/>
    <xf numFmtId="0" fontId="14" fillId="4" borderId="4" xfId="0" applyFont="1" applyFill="1" applyBorder="1"/>
    <xf numFmtId="0" fontId="15" fillId="2" borderId="4" xfId="0" applyFont="1" applyFill="1" applyBorder="1" applyAlignment="1">
      <alignment horizontal="left"/>
    </xf>
    <xf numFmtId="0" fontId="14" fillId="0" borderId="0" xfId="0" applyFont="1" applyAlignment="1">
      <alignment horizontal="left"/>
    </xf>
    <xf numFmtId="2" fontId="5" fillId="13" borderId="4" xfId="0" applyNumberFormat="1" applyFont="1" applyFill="1" applyBorder="1" applyAlignment="1">
      <alignment horizontal="center"/>
    </xf>
    <xf numFmtId="2" fontId="5" fillId="13" borderId="11" xfId="0" applyNumberFormat="1" applyFont="1" applyFill="1" applyBorder="1" applyAlignment="1">
      <alignment horizontal="center"/>
    </xf>
    <xf numFmtId="2" fontId="5" fillId="0" borderId="13" xfId="0" applyNumberFormat="1" applyFont="1" applyFill="1" applyBorder="1" applyAlignment="1">
      <alignment horizontal="center"/>
    </xf>
    <xf numFmtId="2" fontId="5" fillId="4" borderId="13" xfId="0" applyNumberFormat="1" applyFont="1" applyFill="1" applyBorder="1" applyAlignment="1">
      <alignment horizontal="center"/>
    </xf>
    <xf numFmtId="0" fontId="0" fillId="0" borderId="13" xfId="0" applyBorder="1" applyAlignment="1">
      <alignment horizontal="center" vertical="center"/>
    </xf>
    <xf numFmtId="2" fontId="5" fillId="13" borderId="13" xfId="0" applyNumberFormat="1" applyFont="1" applyFill="1" applyBorder="1" applyAlignment="1">
      <alignment horizontal="center"/>
    </xf>
    <xf numFmtId="2" fontId="0" fillId="13" borderId="5" xfId="0" applyNumberFormat="1" applyFill="1" applyBorder="1" applyAlignment="1">
      <alignment horizontal="center" vertical="center"/>
    </xf>
    <xf numFmtId="2" fontId="0" fillId="13" borderId="14" xfId="0" applyNumberFormat="1" applyFill="1" applyBorder="1" applyAlignment="1">
      <alignment horizontal="center" vertical="center"/>
    </xf>
    <xf numFmtId="2" fontId="0" fillId="13" borderId="15" xfId="0" applyNumberFormat="1" applyFill="1" applyBorder="1" applyAlignment="1">
      <alignment horizontal="center" vertical="center"/>
    </xf>
    <xf numFmtId="0" fontId="0" fillId="0" borderId="0" xfId="0" applyAlignment="1">
      <alignment horizontal="center" vertical="center"/>
    </xf>
    <xf numFmtId="2" fontId="0" fillId="0" borderId="0" xfId="0" applyNumberFormat="1" applyAlignment="1">
      <alignment horizontal="center"/>
    </xf>
    <xf numFmtId="164" fontId="0" fillId="7" borderId="5" xfId="0" applyNumberFormat="1" applyFill="1" applyBorder="1" applyAlignment="1">
      <alignment horizontal="right"/>
    </xf>
    <xf numFmtId="0" fontId="0" fillId="2" borderId="12" xfId="0" applyFill="1" applyBorder="1" applyAlignment="1"/>
    <xf numFmtId="0" fontId="0" fillId="2" borderId="16" xfId="0" applyFill="1" applyBorder="1" applyAlignment="1"/>
    <xf numFmtId="0" fontId="0" fillId="13" borderId="0" xfId="0" applyFill="1"/>
    <xf numFmtId="0" fontId="0" fillId="13" borderId="0" xfId="0" applyFill="1" applyAlignment="1">
      <alignment vertical="center"/>
    </xf>
    <xf numFmtId="0" fontId="0" fillId="0" borderId="3" xfId="0" applyBorder="1"/>
    <xf numFmtId="164" fontId="0" fillId="2" borderId="5" xfId="0" applyNumberFormat="1" applyFill="1" applyBorder="1"/>
    <xf numFmtId="0" fontId="0" fillId="12" borderId="4" xfId="0" applyFill="1" applyBorder="1"/>
    <xf numFmtId="0" fontId="0" fillId="14" borderId="4" xfId="0" applyFill="1" applyBorder="1" applyAlignment="1">
      <alignment horizontal="right"/>
    </xf>
    <xf numFmtId="0" fontId="13" fillId="0" borderId="0" xfId="0" applyFont="1" applyFill="1" applyBorder="1" applyAlignment="1">
      <alignment horizontal="right"/>
    </xf>
    <xf numFmtId="0" fontId="13" fillId="14" borderId="4" xfId="0" applyFont="1" applyFill="1" applyBorder="1" applyAlignment="1">
      <alignment horizontal="right"/>
    </xf>
    <xf numFmtId="0" fontId="0" fillId="0" borderId="2" xfId="0" applyBorder="1"/>
    <xf numFmtId="0" fontId="13" fillId="13" borderId="17" xfId="0" applyFont="1" applyFill="1" applyBorder="1"/>
    <xf numFmtId="0" fontId="0" fillId="13" borderId="18" xfId="0" applyFill="1" applyBorder="1"/>
    <xf numFmtId="0" fontId="0" fillId="13" borderId="18" xfId="0" applyFill="1" applyBorder="1" applyAlignment="1">
      <alignment horizontal="center"/>
    </xf>
    <xf numFmtId="0" fontId="0" fillId="13" borderId="19" xfId="0" applyFill="1" applyBorder="1" applyAlignment="1">
      <alignment horizontal="center"/>
    </xf>
    <xf numFmtId="0" fontId="0" fillId="13" borderId="2" xfId="0" applyFill="1" applyBorder="1"/>
    <xf numFmtId="0" fontId="0" fillId="13" borderId="0" xfId="0" applyFill="1" applyBorder="1"/>
    <xf numFmtId="0" fontId="0" fillId="13" borderId="0" xfId="0" applyFill="1" applyBorder="1" applyAlignment="1">
      <alignment horizontal="center"/>
    </xf>
    <xf numFmtId="0" fontId="0" fillId="13" borderId="3" xfId="0" applyFill="1" applyBorder="1" applyAlignment="1">
      <alignment horizontal="center"/>
    </xf>
    <xf numFmtId="0" fontId="13" fillId="13" borderId="2" xfId="0" applyFont="1" applyFill="1" applyBorder="1"/>
    <xf numFmtId="0" fontId="0" fillId="13" borderId="12" xfId="0" applyFill="1" applyBorder="1"/>
    <xf numFmtId="0" fontId="0" fillId="13" borderId="11" xfId="0" applyFill="1" applyBorder="1"/>
    <xf numFmtId="2" fontId="16" fillId="13" borderId="11" xfId="0" applyNumberFormat="1" applyFont="1" applyFill="1" applyBorder="1" applyAlignment="1">
      <alignment horizontal="center"/>
    </xf>
    <xf numFmtId="2" fontId="16" fillId="13" borderId="4" xfId="0" applyNumberFormat="1" applyFont="1" applyFill="1" applyBorder="1" applyAlignment="1">
      <alignment horizontal="center"/>
    </xf>
    <xf numFmtId="0" fontId="17" fillId="0" borderId="0" xfId="0" applyFont="1" applyFill="1"/>
    <xf numFmtId="0" fontId="17" fillId="0" borderId="0" xfId="0" applyFont="1" applyFill="1" applyAlignment="1">
      <alignment horizontal="center"/>
    </xf>
    <xf numFmtId="0" fontId="0" fillId="0" borderId="18" xfId="0" applyBorder="1"/>
    <xf numFmtId="0" fontId="0" fillId="0" borderId="19" xfId="0" applyBorder="1"/>
    <xf numFmtId="0" fontId="0" fillId="0" borderId="18" xfId="0" applyFill="1" applyBorder="1"/>
    <xf numFmtId="0" fontId="18" fillId="0" borderId="0" xfId="0" applyFont="1"/>
    <xf numFmtId="2" fontId="5" fillId="0" borderId="0" xfId="0" applyNumberFormat="1" applyFont="1" applyFill="1" applyBorder="1" applyAlignment="1">
      <alignment horizontal="center"/>
    </xf>
    <xf numFmtId="2" fontId="16" fillId="13" borderId="12" xfId="0" applyNumberFormat="1" applyFont="1" applyFill="1" applyBorder="1" applyAlignment="1">
      <alignment horizontal="center"/>
    </xf>
    <xf numFmtId="2" fontId="16" fillId="13" borderId="20" xfId="0" applyNumberFormat="1" applyFont="1" applyFill="1" applyBorder="1" applyAlignment="1">
      <alignment horizontal="center"/>
    </xf>
    <xf numFmtId="0" fontId="0" fillId="13" borderId="21" xfId="0" applyFill="1" applyBorder="1"/>
    <xf numFmtId="0" fontId="0" fillId="13" borderId="22" xfId="0" applyFill="1" applyBorder="1" applyAlignment="1">
      <alignment vertical="center"/>
    </xf>
    <xf numFmtId="0" fontId="0" fillId="13" borderId="23" xfId="0" applyFill="1" applyBorder="1"/>
    <xf numFmtId="0" fontId="0" fillId="13" borderId="16" xfId="0" applyFill="1" applyBorder="1"/>
    <xf numFmtId="0" fontId="0" fillId="0" borderId="24" xfId="0" applyBorder="1"/>
    <xf numFmtId="0" fontId="0" fillId="0" borderId="25" xfId="0" applyBorder="1" applyAlignment="1">
      <alignment vertical="center"/>
    </xf>
    <xf numFmtId="2" fontId="0" fillId="13" borderId="26" xfId="0" applyNumberFormat="1" applyFill="1" applyBorder="1" applyAlignment="1">
      <alignment horizontal="center" vertical="center"/>
    </xf>
    <xf numFmtId="2" fontId="16" fillId="13" borderId="13" xfId="0" applyNumberFormat="1" applyFont="1" applyFill="1" applyBorder="1" applyAlignment="1">
      <alignment horizontal="center"/>
    </xf>
    <xf numFmtId="0" fontId="0" fillId="13" borderId="24" xfId="0" applyFill="1" applyBorder="1"/>
    <xf numFmtId="0" fontId="0" fillId="0" borderId="10" xfId="0" applyFill="1" applyBorder="1"/>
    <xf numFmtId="0" fontId="0" fillId="0" borderId="2" xfId="0" applyBorder="1" applyAlignment="1">
      <alignment horizontal="right"/>
    </xf>
    <xf numFmtId="0" fontId="0" fillId="0" borderId="27" xfId="0" applyBorder="1" applyAlignment="1">
      <alignment horizontal="right"/>
    </xf>
    <xf numFmtId="0" fontId="0" fillId="0" borderId="2" xfId="0" quotePrefix="1" applyBorder="1" applyAlignment="1">
      <alignment horizontal="right"/>
    </xf>
    <xf numFmtId="0" fontId="0" fillId="13" borderId="28" xfId="0" applyFill="1" applyBorder="1" applyAlignment="1">
      <alignment horizontal="center"/>
    </xf>
    <xf numFmtId="0" fontId="22" fillId="13" borderId="29" xfId="3" applyFont="1" applyFill="1" applyBorder="1" applyAlignment="1" applyProtection="1">
      <alignment vertical="center"/>
    </xf>
    <xf numFmtId="0" fontId="23" fillId="13" borderId="30" xfId="3" applyFont="1" applyFill="1" applyBorder="1" applyAlignment="1" applyProtection="1">
      <alignment vertical="center"/>
    </xf>
    <xf numFmtId="0" fontId="24" fillId="13" borderId="30" xfId="3" applyFont="1" applyFill="1" applyBorder="1" applyAlignment="1" applyProtection="1">
      <alignment vertical="center"/>
    </xf>
    <xf numFmtId="0" fontId="25" fillId="13" borderId="31" xfId="3" applyFont="1" applyFill="1" applyBorder="1" applyAlignment="1" applyProtection="1">
      <alignment vertical="center"/>
    </xf>
    <xf numFmtId="0" fontId="24" fillId="11" borderId="0" xfId="3" applyFont="1" applyFill="1" applyBorder="1" applyAlignment="1" applyProtection="1">
      <alignment vertical="center"/>
    </xf>
    <xf numFmtId="0" fontId="22" fillId="13" borderId="32" xfId="3" applyFont="1" applyFill="1" applyBorder="1" applyAlignment="1" applyProtection="1">
      <alignment vertical="center"/>
    </xf>
    <xf numFmtId="0" fontId="23" fillId="13" borderId="0" xfId="3" applyFont="1" applyFill="1" applyBorder="1" applyAlignment="1" applyProtection="1">
      <alignment vertical="center"/>
    </xf>
    <xf numFmtId="0" fontId="24" fillId="13" borderId="0" xfId="3" applyFont="1" applyFill="1" applyBorder="1" applyAlignment="1" applyProtection="1">
      <alignment vertical="center"/>
    </xf>
    <xf numFmtId="0" fontId="25" fillId="13" borderId="24" xfId="3" applyFont="1" applyFill="1" applyBorder="1" applyAlignment="1" applyProtection="1">
      <alignment vertical="center"/>
    </xf>
    <xf numFmtId="0" fontId="28" fillId="13" borderId="33" xfId="3" applyFont="1" applyFill="1" applyBorder="1" applyAlignment="1" applyProtection="1">
      <alignment vertical="center"/>
    </xf>
    <xf numFmtId="0" fontId="29" fillId="13" borderId="10" xfId="3" applyFont="1" applyFill="1" applyBorder="1" applyAlignment="1" applyProtection="1">
      <alignment vertical="center"/>
    </xf>
    <xf numFmtId="0" fontId="29" fillId="13" borderId="22" xfId="3" applyFont="1" applyFill="1" applyBorder="1" applyAlignment="1" applyProtection="1">
      <alignment vertical="center"/>
    </xf>
    <xf numFmtId="0" fontId="29" fillId="11" borderId="0" xfId="3" applyFont="1" applyFill="1" applyBorder="1" applyAlignment="1" applyProtection="1">
      <alignment vertical="center"/>
    </xf>
    <xf numFmtId="0" fontId="9" fillId="13" borderId="10" xfId="3" applyFont="1" applyFill="1" applyBorder="1" applyProtection="1"/>
    <xf numFmtId="166" fontId="9" fillId="13" borderId="10" xfId="3" applyNumberFormat="1" applyFont="1" applyFill="1" applyBorder="1" applyProtection="1"/>
    <xf numFmtId="0" fontId="9" fillId="13" borderId="22" xfId="3" applyFont="1" applyFill="1" applyBorder="1" applyProtection="1"/>
    <xf numFmtId="0" fontId="27" fillId="13" borderId="0" xfId="3" applyFont="1" applyFill="1" applyBorder="1" applyAlignment="1" applyProtection="1">
      <alignment horizontal="center" vertical="center"/>
    </xf>
    <xf numFmtId="0" fontId="28" fillId="13" borderId="0" xfId="3" applyFont="1" applyFill="1" applyBorder="1" applyAlignment="1" applyProtection="1">
      <alignment vertical="center"/>
    </xf>
    <xf numFmtId="0" fontId="29" fillId="13" borderId="0" xfId="3" applyFont="1" applyFill="1" applyBorder="1" applyAlignment="1" applyProtection="1">
      <alignment vertical="center"/>
    </xf>
    <xf numFmtId="0" fontId="29" fillId="13" borderId="24" xfId="3" applyFont="1" applyFill="1" applyBorder="1" applyAlignment="1" applyProtection="1">
      <alignment vertical="center"/>
    </xf>
    <xf numFmtId="1" fontId="27" fillId="13" borderId="0" xfId="3" applyNumberFormat="1" applyFont="1" applyFill="1" applyBorder="1" applyAlignment="1" applyProtection="1">
      <alignment horizontal="center" vertical="center"/>
    </xf>
    <xf numFmtId="0" fontId="0" fillId="15" borderId="4" xfId="0" applyFill="1" applyBorder="1" applyAlignment="1">
      <alignment horizontal="right"/>
    </xf>
    <xf numFmtId="2" fontId="0" fillId="8" borderId="4" xfId="0" applyNumberFormat="1" applyFill="1" applyBorder="1" applyAlignment="1">
      <alignment horizontal="right"/>
    </xf>
    <xf numFmtId="0" fontId="0" fillId="8" borderId="4" xfId="0" applyFill="1" applyBorder="1" applyAlignment="1">
      <alignment horizontal="right"/>
    </xf>
    <xf numFmtId="0" fontId="7" fillId="12" borderId="4" xfId="0" applyFont="1" applyFill="1" applyBorder="1"/>
    <xf numFmtId="2" fontId="7" fillId="10" borderId="4" xfId="0" applyNumberFormat="1" applyFont="1" applyFill="1" applyBorder="1" applyAlignment="1">
      <alignment horizontal="right"/>
    </xf>
    <xf numFmtId="0" fontId="7" fillId="0" borderId="0" xfId="0" applyFont="1"/>
    <xf numFmtId="0" fontId="5" fillId="0" borderId="0" xfId="0" applyFont="1"/>
    <xf numFmtId="0" fontId="7" fillId="0" borderId="0" xfId="0" applyFont="1" applyFill="1" applyBorder="1"/>
    <xf numFmtId="0" fontId="0" fillId="8" borderId="4" xfId="0" applyNumberFormat="1" applyFill="1" applyBorder="1" applyAlignment="1">
      <alignment horizontal="right"/>
    </xf>
    <xf numFmtId="0" fontId="7" fillId="7" borderId="4" xfId="0" applyFont="1" applyFill="1" applyBorder="1"/>
    <xf numFmtId="0" fontId="7" fillId="0" borderId="0" xfId="0" applyFont="1" applyFill="1"/>
    <xf numFmtId="1" fontId="0" fillId="10" borderId="4" xfId="0" applyNumberFormat="1" applyFill="1" applyBorder="1" applyAlignment="1">
      <alignment horizontal="right"/>
    </xf>
    <xf numFmtId="0" fontId="0" fillId="10" borderId="5" xfId="0" applyFill="1" applyBorder="1" applyAlignment="1">
      <alignment horizontal="right"/>
    </xf>
    <xf numFmtId="0" fontId="0" fillId="10" borderId="4" xfId="0" applyFill="1" applyBorder="1" applyAlignment="1">
      <alignment horizontal="center"/>
    </xf>
    <xf numFmtId="1" fontId="0" fillId="10" borderId="4" xfId="0" applyNumberFormat="1" applyFill="1" applyBorder="1"/>
    <xf numFmtId="0" fontId="0" fillId="8" borderId="0" xfId="0" applyFill="1"/>
    <xf numFmtId="1" fontId="0" fillId="7" borderId="4" xfId="0" applyNumberFormat="1" applyFill="1" applyBorder="1" applyAlignment="1">
      <alignment horizontal="right"/>
    </xf>
    <xf numFmtId="1" fontId="0" fillId="7" borderId="4" xfId="0" applyNumberFormat="1" applyFill="1" applyBorder="1"/>
    <xf numFmtId="0" fontId="0" fillId="7" borderId="4" xfId="0" applyFill="1" applyBorder="1" applyAlignment="1">
      <alignment horizontal="center"/>
    </xf>
    <xf numFmtId="0" fontId="13" fillId="0" borderId="17" xfId="0" applyFont="1" applyBorder="1"/>
    <xf numFmtId="0" fontId="7" fillId="0" borderId="2" xfId="0" applyFont="1" applyBorder="1"/>
    <xf numFmtId="0" fontId="7" fillId="0" borderId="3" xfId="0" applyFont="1" applyBorder="1"/>
    <xf numFmtId="0" fontId="7" fillId="0" borderId="3" xfId="0" applyFont="1" applyFill="1" applyBorder="1"/>
    <xf numFmtId="0" fontId="7" fillId="0" borderId="0" xfId="0" applyFont="1" applyBorder="1"/>
    <xf numFmtId="0" fontId="9" fillId="0" borderId="0" xfId="0" applyFont="1"/>
    <xf numFmtId="167" fontId="49" fillId="13" borderId="0" xfId="5" applyNumberFormat="1" applyFont="1" applyFill="1" applyBorder="1" applyAlignment="1" applyProtection="1">
      <alignment horizontal="center" vertical="center"/>
    </xf>
    <xf numFmtId="0" fontId="1" fillId="0" borderId="0" xfId="0" applyFont="1"/>
    <xf numFmtId="1" fontId="0" fillId="0" borderId="0" xfId="0" applyNumberFormat="1" applyFill="1" applyBorder="1" applyProtection="1">
      <protection locked="0"/>
    </xf>
    <xf numFmtId="0" fontId="1" fillId="0" borderId="2" xfId="0" applyFont="1" applyBorder="1"/>
    <xf numFmtId="0" fontId="52" fillId="0" borderId="0" xfId="0" applyFont="1"/>
    <xf numFmtId="0" fontId="0" fillId="0" borderId="0" xfId="0" applyProtection="1">
      <protection locked="0"/>
    </xf>
    <xf numFmtId="0" fontId="0" fillId="0" borderId="18" xfId="0" applyBorder="1" applyProtection="1">
      <protection locked="0"/>
    </xf>
    <xf numFmtId="0" fontId="0" fillId="0" borderId="0" xfId="0" applyBorder="1" applyProtection="1">
      <protection locked="0"/>
    </xf>
    <xf numFmtId="0" fontId="0" fillId="0" borderId="0" xfId="0" applyNumberFormat="1" applyBorder="1" applyAlignment="1" applyProtection="1">
      <alignment horizontal="center"/>
      <protection locked="0"/>
    </xf>
    <xf numFmtId="0" fontId="0" fillId="0" borderId="0" xfId="0"/>
    <xf numFmtId="0" fontId="0" fillId="0" borderId="0" xfId="0"/>
    <xf numFmtId="0" fontId="0" fillId="0" borderId="0" xfId="0"/>
    <xf numFmtId="2" fontId="7" fillId="19" borderId="4" xfId="0" applyNumberFormat="1" applyFont="1" applyFill="1" applyBorder="1" applyAlignment="1">
      <alignment horizontal="right"/>
    </xf>
    <xf numFmtId="174" fontId="0" fillId="19" borderId="4" xfId="0" applyNumberFormat="1" applyFill="1" applyBorder="1" applyAlignment="1">
      <alignment horizontal="right"/>
    </xf>
    <xf numFmtId="164" fontId="0" fillId="19" borderId="4" xfId="0" applyNumberFormat="1" applyFill="1" applyBorder="1" applyAlignment="1">
      <alignment horizontal="right"/>
    </xf>
    <xf numFmtId="0" fontId="0" fillId="0" borderId="0" xfId="0"/>
    <xf numFmtId="2" fontId="0" fillId="0" borderId="0" xfId="0" applyNumberFormat="1" applyFill="1"/>
    <xf numFmtId="2" fontId="0" fillId="0" borderId="0" xfId="0" applyNumberFormat="1" applyAlignment="1">
      <alignment vertical="center"/>
    </xf>
    <xf numFmtId="2" fontId="1" fillId="0" borderId="0" xfId="0" applyNumberFormat="1" applyFont="1" applyAlignment="1">
      <alignment vertical="center"/>
    </xf>
    <xf numFmtId="0" fontId="0" fillId="20" borderId="1" xfId="0" applyFill="1" applyBorder="1" applyAlignment="1">
      <alignment horizontal="center"/>
    </xf>
    <xf numFmtId="0" fontId="1" fillId="20" borderId="1" xfId="0" applyFont="1" applyFill="1" applyBorder="1" applyAlignment="1">
      <alignment horizontal="center"/>
    </xf>
    <xf numFmtId="0" fontId="0" fillId="21" borderId="4" xfId="0" applyFill="1" applyBorder="1" applyAlignment="1">
      <alignment horizontal="center"/>
    </xf>
    <xf numFmtId="0" fontId="15" fillId="2" borderId="4" xfId="0" applyFont="1" applyFill="1" applyBorder="1" applyAlignment="1">
      <alignment horizontal="right"/>
    </xf>
    <xf numFmtId="164" fontId="15" fillId="2" borderId="4" xfId="0" applyNumberFormat="1" applyFont="1" applyFill="1" applyBorder="1" applyAlignment="1">
      <alignment horizontal="right"/>
    </xf>
    <xf numFmtId="0" fontId="0" fillId="21" borderId="4" xfId="0" applyFill="1" applyBorder="1" applyAlignment="1">
      <alignment horizontal="center" vertical="center"/>
    </xf>
    <xf numFmtId="0" fontId="0" fillId="21" borderId="4" xfId="0" applyFill="1" applyBorder="1" applyAlignment="1" applyProtection="1">
      <alignment horizontal="center" vertical="center"/>
      <protection locked="0"/>
    </xf>
    <xf numFmtId="0" fontId="0" fillId="0" borderId="0" xfId="0"/>
    <xf numFmtId="1" fontId="0" fillId="10" borderId="4" xfId="0" applyNumberFormat="1" applyFill="1" applyBorder="1" applyAlignment="1">
      <alignment horizontal="left"/>
    </xf>
    <xf numFmtId="0" fontId="15" fillId="2" borderId="4" xfId="0" applyFont="1" applyFill="1" applyBorder="1" applyAlignment="1">
      <alignment horizontal="center"/>
    </xf>
    <xf numFmtId="2" fontId="1" fillId="10" borderId="4" xfId="0" applyNumberFormat="1" applyFont="1" applyFill="1" applyBorder="1" applyAlignment="1">
      <alignment horizontal="right"/>
    </xf>
    <xf numFmtId="0" fontId="0" fillId="22" borderId="0" xfId="0" applyFill="1"/>
    <xf numFmtId="0" fontId="15" fillId="23" borderId="4" xfId="0" applyFont="1" applyFill="1" applyBorder="1" applyAlignment="1">
      <alignment horizontal="left"/>
    </xf>
    <xf numFmtId="0" fontId="15" fillId="23" borderId="4" xfId="0" applyFont="1" applyFill="1" applyBorder="1" applyAlignment="1">
      <alignment horizontal="right"/>
    </xf>
    <xf numFmtId="0" fontId="1" fillId="5" borderId="1" xfId="0" applyFont="1" applyFill="1" applyBorder="1" applyAlignment="1">
      <alignment horizontal="center"/>
    </xf>
    <xf numFmtId="0" fontId="0" fillId="0" borderId="0" xfId="0"/>
    <xf numFmtId="0" fontId="0" fillId="0" borderId="0" xfId="0"/>
    <xf numFmtId="0" fontId="0" fillId="24" borderId="5" xfId="0" applyFill="1" applyBorder="1" applyAlignment="1">
      <alignment horizontal="right"/>
    </xf>
    <xf numFmtId="0" fontId="0" fillId="25" borderId="5" xfId="0" applyFill="1" applyBorder="1"/>
    <xf numFmtId="0" fontId="1" fillId="25" borderId="5" xfId="0" applyFont="1" applyFill="1" applyBorder="1"/>
    <xf numFmtId="164" fontId="0" fillId="0" borderId="0" xfId="0" applyNumberFormat="1"/>
    <xf numFmtId="1" fontId="0" fillId="26" borderId="5" xfId="0" applyNumberFormat="1" applyFill="1" applyBorder="1" applyAlignment="1">
      <alignment horizontal="right"/>
    </xf>
    <xf numFmtId="0" fontId="0" fillId="0" borderId="0" xfId="0" applyFill="1" applyBorder="1" applyAlignment="1">
      <alignment horizontal="right"/>
    </xf>
    <xf numFmtId="0" fontId="0" fillId="0" borderId="0" xfId="0" applyFill="1" applyBorder="1" applyAlignment="1">
      <alignment horizontal="left"/>
    </xf>
    <xf numFmtId="0" fontId="0" fillId="27" borderId="4" xfId="0" applyFill="1" applyBorder="1"/>
    <xf numFmtId="0" fontId="13" fillId="27" borderId="4" xfId="0" applyFont="1" applyFill="1" applyBorder="1" applyAlignment="1">
      <alignment horizontal="right"/>
    </xf>
    <xf numFmtId="0" fontId="1" fillId="27" borderId="4" xfId="0" applyFont="1" applyFill="1" applyBorder="1"/>
    <xf numFmtId="0" fontId="1" fillId="27" borderId="4" xfId="0" applyFont="1" applyFill="1" applyBorder="1" applyAlignment="1">
      <alignment horizontal="right"/>
    </xf>
    <xf numFmtId="1" fontId="1" fillId="0" borderId="0" xfId="0" applyNumberFormat="1" applyFont="1"/>
    <xf numFmtId="2" fontId="5" fillId="12" borderId="4" xfId="0" applyNumberFormat="1" applyFont="1" applyFill="1" applyBorder="1" applyAlignment="1">
      <alignment horizontal="center"/>
    </xf>
    <xf numFmtId="164" fontId="15" fillId="23" borderId="4" xfId="0" applyNumberFormat="1" applyFont="1" applyFill="1" applyBorder="1" applyAlignment="1">
      <alignment horizontal="right"/>
    </xf>
    <xf numFmtId="0" fontId="52" fillId="21" borderId="0" xfId="0" applyFont="1" applyFill="1"/>
    <xf numFmtId="0" fontId="0" fillId="28" borderId="4" xfId="0" applyFill="1" applyBorder="1" applyAlignment="1">
      <alignment horizontal="center"/>
    </xf>
    <xf numFmtId="0" fontId="1" fillId="0" borderId="0" xfId="0" applyFont="1" applyBorder="1"/>
    <xf numFmtId="0" fontId="0" fillId="21" borderId="0" xfId="0" applyFill="1"/>
    <xf numFmtId="0" fontId="0" fillId="20" borderId="0" xfId="0" applyFill="1"/>
    <xf numFmtId="0" fontId="0" fillId="0" borderId="0" xfId="0"/>
    <xf numFmtId="0" fontId="0" fillId="29" borderId="43" xfId="0" applyFill="1" applyBorder="1"/>
    <xf numFmtId="0" fontId="0" fillId="29" borderId="40" xfId="0" applyFill="1" applyBorder="1"/>
    <xf numFmtId="0" fontId="0" fillId="29" borderId="41" xfId="0" applyFill="1" applyBorder="1"/>
    <xf numFmtId="0" fontId="0" fillId="29" borderId="35" xfId="0" applyFill="1" applyBorder="1"/>
    <xf numFmtId="0" fontId="0" fillId="29" borderId="28" xfId="0" applyFill="1" applyBorder="1"/>
    <xf numFmtId="0" fontId="0" fillId="29" borderId="25" xfId="0" applyFill="1" applyBorder="1"/>
    <xf numFmtId="0" fontId="0" fillId="29" borderId="44" xfId="0" applyFill="1" applyBorder="1"/>
    <xf numFmtId="0" fontId="0" fillId="29" borderId="16" xfId="0" applyFill="1" applyBorder="1"/>
    <xf numFmtId="0" fontId="0" fillId="29" borderId="23" xfId="0" applyFill="1" applyBorder="1"/>
    <xf numFmtId="0" fontId="0" fillId="29" borderId="18" xfId="0" applyFill="1" applyBorder="1"/>
    <xf numFmtId="0" fontId="0" fillId="29" borderId="21" xfId="0" applyFill="1" applyBorder="1"/>
    <xf numFmtId="0" fontId="0" fillId="30" borderId="21" xfId="0" applyFill="1" applyBorder="1"/>
    <xf numFmtId="0" fontId="0" fillId="29" borderId="45" xfId="0" applyFill="1" applyBorder="1"/>
    <xf numFmtId="0" fontId="0" fillId="29" borderId="42" xfId="0" applyFill="1" applyBorder="1"/>
    <xf numFmtId="0" fontId="0" fillId="29" borderId="46" xfId="0" applyFill="1" applyBorder="1"/>
    <xf numFmtId="1" fontId="0" fillId="30" borderId="46" xfId="0" applyNumberFormat="1" applyFill="1" applyBorder="1"/>
    <xf numFmtId="0" fontId="0" fillId="0" borderId="0" xfId="0" applyAlignment="1">
      <alignment wrapText="1"/>
    </xf>
    <xf numFmtId="1" fontId="0" fillId="30" borderId="41" xfId="0" applyNumberFormat="1" applyFill="1" applyBorder="1"/>
    <xf numFmtId="1" fontId="0" fillId="30" borderId="23" xfId="0" applyNumberFormat="1" applyFill="1" applyBorder="1"/>
    <xf numFmtId="0" fontId="0" fillId="29" borderId="47" xfId="0" applyFill="1" applyBorder="1"/>
    <xf numFmtId="0" fontId="0" fillId="30" borderId="48" xfId="0" applyFill="1" applyBorder="1"/>
    <xf numFmtId="1" fontId="0" fillId="30" borderId="48" xfId="0" applyNumberFormat="1" applyFill="1" applyBorder="1"/>
    <xf numFmtId="0" fontId="0" fillId="0" borderId="0" xfId="0"/>
    <xf numFmtId="0" fontId="0" fillId="0" borderId="0" xfId="0"/>
    <xf numFmtId="1" fontId="15" fillId="2" borderId="4" xfId="0" applyNumberFormat="1" applyFont="1" applyFill="1" applyBorder="1" applyAlignment="1">
      <alignment horizontal="right"/>
    </xf>
    <xf numFmtId="0" fontId="0" fillId="0" borderId="0" xfId="0"/>
    <xf numFmtId="1" fontId="0" fillId="21" borderId="0" xfId="0" applyNumberFormat="1" applyFill="1"/>
    <xf numFmtId="1" fontId="0" fillId="21" borderId="47" xfId="0" applyNumberFormat="1" applyFill="1" applyBorder="1" applyAlignment="1">
      <alignment horizontal="right"/>
    </xf>
    <xf numFmtId="1" fontId="0" fillId="21" borderId="48" xfId="0" applyNumberFormat="1" applyFill="1" applyBorder="1" applyAlignment="1">
      <alignment horizontal="right"/>
    </xf>
    <xf numFmtId="1" fontId="0" fillId="0" borderId="0" xfId="0" applyNumberFormat="1" applyAlignment="1">
      <alignment horizontal="left"/>
    </xf>
    <xf numFmtId="1" fontId="0" fillId="19" borderId="4" xfId="0" applyNumberFormat="1" applyFill="1" applyBorder="1" applyAlignment="1">
      <alignment horizontal="right"/>
    </xf>
    <xf numFmtId="1" fontId="0" fillId="24" borderId="4" xfId="0" applyNumberFormat="1" applyFill="1" applyBorder="1" applyAlignment="1">
      <alignment horizontal="right"/>
    </xf>
    <xf numFmtId="1" fontId="0" fillId="24" borderId="1" xfId="0" applyNumberFormat="1" applyFill="1" applyBorder="1" applyAlignment="1">
      <alignment horizontal="right"/>
    </xf>
    <xf numFmtId="1" fontId="0" fillId="26" borderId="49" xfId="0" applyNumberFormat="1" applyFill="1" applyBorder="1" applyAlignment="1">
      <alignment horizontal="right"/>
    </xf>
    <xf numFmtId="1" fontId="5" fillId="4" borderId="47" xfId="0" applyNumberFormat="1" applyFont="1" applyFill="1" applyBorder="1" applyAlignment="1">
      <alignment horizontal="center"/>
    </xf>
    <xf numFmtId="1" fontId="5" fillId="4" borderId="48" xfId="0" applyNumberFormat="1" applyFont="1" applyFill="1" applyBorder="1" applyAlignment="1">
      <alignment horizontal="center"/>
    </xf>
    <xf numFmtId="0" fontId="1" fillId="2" borderId="12" xfId="0" applyFont="1" applyFill="1" applyBorder="1" applyAlignment="1"/>
    <xf numFmtId="0" fontId="8" fillId="2" borderId="16" xfId="0" applyFont="1" applyFill="1" applyBorder="1" applyAlignment="1"/>
    <xf numFmtId="0" fontId="8" fillId="2" borderId="12" xfId="0" applyFont="1" applyFill="1" applyBorder="1" applyAlignment="1"/>
    <xf numFmtId="0" fontId="0" fillId="0" borderId="0" xfId="0"/>
    <xf numFmtId="175" fontId="9" fillId="18" borderId="32" xfId="0" applyNumberFormat="1" applyFont="1" applyFill="1" applyBorder="1" applyAlignment="1" applyProtection="1">
      <alignment vertical="top" wrapText="1"/>
    </xf>
    <xf numFmtId="175" fontId="9" fillId="18" borderId="0" xfId="0" applyNumberFormat="1" applyFont="1" applyFill="1" applyBorder="1" applyAlignment="1" applyProtection="1">
      <alignment vertical="top" wrapText="1"/>
    </xf>
    <xf numFmtId="0" fontId="30" fillId="13" borderId="32" xfId="0" applyFont="1" applyFill="1" applyBorder="1" applyAlignment="1" applyProtection="1">
      <alignment vertical="center"/>
    </xf>
    <xf numFmtId="0" fontId="13" fillId="13" borderId="0" xfId="0" applyFont="1" applyFill="1" applyBorder="1" applyAlignment="1" applyProtection="1">
      <alignment vertical="center"/>
    </xf>
    <xf numFmtId="0" fontId="30" fillId="13" borderId="0" xfId="0" applyFont="1" applyFill="1" applyBorder="1" applyAlignment="1" applyProtection="1">
      <alignment vertical="center"/>
    </xf>
    <xf numFmtId="0" fontId="30" fillId="13" borderId="24" xfId="0" applyFont="1" applyFill="1" applyBorder="1" applyAlignment="1" applyProtection="1">
      <alignment vertical="center"/>
    </xf>
    <xf numFmtId="0" fontId="34" fillId="13" borderId="32" xfId="0" applyFont="1" applyFill="1" applyBorder="1" applyAlignment="1" applyProtection="1">
      <alignment vertical="center"/>
    </xf>
    <xf numFmtId="0" fontId="1" fillId="13" borderId="17" xfId="0" applyFont="1" applyFill="1" applyBorder="1" applyAlignment="1" applyProtection="1">
      <alignment vertical="center"/>
    </xf>
    <xf numFmtId="0" fontId="1" fillId="13" borderId="12" xfId="0" applyFont="1" applyFill="1" applyBorder="1" applyAlignment="1" applyProtection="1">
      <alignment vertical="center"/>
    </xf>
    <xf numFmtId="0" fontId="1" fillId="13" borderId="27" xfId="0" applyFont="1" applyFill="1" applyBorder="1" applyAlignment="1" applyProtection="1">
      <alignment horizontal="left" vertical="center"/>
    </xf>
    <xf numFmtId="0" fontId="1" fillId="13" borderId="12" xfId="0" applyFont="1" applyFill="1" applyBorder="1" applyAlignment="1" applyProtection="1">
      <alignment horizontal="center" vertical="center" textRotation="90"/>
    </xf>
    <xf numFmtId="0" fontId="1" fillId="13" borderId="16" xfId="0" applyFont="1" applyFill="1" applyBorder="1" applyAlignment="1" applyProtection="1">
      <alignment horizontal="center" vertical="center" textRotation="90"/>
    </xf>
    <xf numFmtId="0" fontId="1" fillId="13" borderId="11" xfId="0" applyFont="1" applyFill="1" applyBorder="1" applyAlignment="1" applyProtection="1">
      <alignment horizontal="center" vertical="center" textRotation="90"/>
    </xf>
    <xf numFmtId="0" fontId="15" fillId="18" borderId="4" xfId="0" applyFont="1" applyFill="1" applyBorder="1" applyAlignment="1" applyProtection="1">
      <alignment vertical="center"/>
    </xf>
    <xf numFmtId="0" fontId="13" fillId="13" borderId="12" xfId="0" applyFont="1" applyFill="1" applyBorder="1" applyAlignment="1" applyProtection="1">
      <alignment vertical="center"/>
    </xf>
    <xf numFmtId="0" fontId="13" fillId="13" borderId="16" xfId="0" applyFont="1" applyFill="1" applyBorder="1" applyAlignment="1" applyProtection="1">
      <alignment vertical="center"/>
    </xf>
    <xf numFmtId="0" fontId="1" fillId="13"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15" fillId="0" borderId="0" xfId="0" applyFont="1" applyFill="1" applyBorder="1" applyAlignment="1" applyProtection="1">
      <alignment vertical="center"/>
    </xf>
    <xf numFmtId="0" fontId="15" fillId="13" borderId="0" xfId="0" applyFont="1" applyFill="1" applyBorder="1" applyAlignment="1" applyProtection="1">
      <alignment vertical="center"/>
    </xf>
    <xf numFmtId="0" fontId="13" fillId="13" borderId="0" xfId="0" applyFont="1" applyFill="1" applyBorder="1" applyAlignment="1" applyProtection="1">
      <alignment horizontal="left" vertical="center"/>
    </xf>
    <xf numFmtId="0" fontId="30" fillId="13" borderId="35" xfId="0" applyFont="1" applyFill="1" applyBorder="1" applyAlignment="1" applyProtection="1">
      <alignment vertical="center"/>
    </xf>
    <xf numFmtId="0" fontId="30" fillId="13" borderId="28" xfId="0" applyFont="1" applyFill="1" applyBorder="1" applyAlignment="1" applyProtection="1">
      <alignment vertical="center"/>
    </xf>
    <xf numFmtId="0" fontId="30" fillId="13" borderId="25" xfId="0" applyFont="1" applyFill="1" applyBorder="1" applyAlignment="1" applyProtection="1">
      <alignment vertical="center"/>
    </xf>
    <xf numFmtId="1" fontId="0" fillId="0" borderId="23" xfId="0" applyNumberFormat="1" applyFill="1" applyBorder="1"/>
    <xf numFmtId="0" fontId="0" fillId="0" borderId="44" xfId="0" applyFill="1" applyBorder="1"/>
    <xf numFmtId="0" fontId="0" fillId="0" borderId="16" xfId="0" applyFill="1" applyBorder="1"/>
    <xf numFmtId="0" fontId="0" fillId="0" borderId="23" xfId="0" applyFill="1" applyBorder="1"/>
    <xf numFmtId="0" fontId="0" fillId="0" borderId="0" xfId="0" applyAlignment="1">
      <alignment horizontal="left"/>
    </xf>
    <xf numFmtId="1" fontId="0" fillId="4" borderId="4" xfId="0" applyNumberFormat="1" applyFill="1" applyBorder="1" applyAlignment="1">
      <alignment horizontal="center"/>
    </xf>
    <xf numFmtId="0" fontId="0" fillId="0" borderId="0" xfId="0" applyFill="1" applyBorder="1" applyAlignment="1">
      <alignment horizontal="center"/>
    </xf>
    <xf numFmtId="0" fontId="1" fillId="13" borderId="12" xfId="0" applyFont="1" applyFill="1" applyBorder="1" applyAlignment="1" applyProtection="1">
      <alignment horizontal="center" vertical="center"/>
    </xf>
    <xf numFmtId="2" fontId="0" fillId="4" borderId="4" xfId="0" applyNumberFormat="1" applyFill="1" applyBorder="1" applyAlignment="1">
      <alignment horizontal="center"/>
    </xf>
    <xf numFmtId="0" fontId="0" fillId="21" borderId="52" xfId="0" applyFill="1" applyBorder="1" applyAlignment="1">
      <alignment horizontal="center"/>
    </xf>
    <xf numFmtId="0" fontId="0" fillId="21" borderId="52" xfId="0" applyFill="1" applyBorder="1" applyAlignment="1" applyProtection="1">
      <alignment horizontal="center" vertical="center"/>
      <protection locked="0"/>
    </xf>
    <xf numFmtId="0" fontId="1" fillId="0" borderId="0" xfId="0" applyFont="1" applyFill="1" applyBorder="1"/>
    <xf numFmtId="0" fontId="1" fillId="29" borderId="41" xfId="0" applyFont="1" applyFill="1" applyBorder="1"/>
    <xf numFmtId="1" fontId="0" fillId="0" borderId="0" xfId="0" applyNumberFormat="1" applyProtection="1">
      <protection locked="0"/>
    </xf>
    <xf numFmtId="49" fontId="26" fillId="18" borderId="10" xfId="3" applyNumberFormat="1" applyFont="1" applyFill="1" applyBorder="1" applyAlignment="1" applyProtection="1">
      <alignment horizontal="left" vertical="center"/>
    </xf>
    <xf numFmtId="0" fontId="15" fillId="13" borderId="29" xfId="3" applyFont="1" applyFill="1" applyBorder="1" applyProtection="1"/>
    <xf numFmtId="0" fontId="30" fillId="13" borderId="30" xfId="3" applyFont="1" applyFill="1" applyBorder="1" applyProtection="1"/>
    <xf numFmtId="0" fontId="31" fillId="13" borderId="30" xfId="3" applyFont="1" applyFill="1" applyBorder="1" applyProtection="1"/>
    <xf numFmtId="1" fontId="31" fillId="13" borderId="30" xfId="3" applyNumberFormat="1" applyFont="1" applyFill="1" applyBorder="1" applyProtection="1"/>
    <xf numFmtId="0" fontId="15" fillId="13" borderId="31" xfId="3" applyFont="1" applyFill="1" applyBorder="1" applyProtection="1"/>
    <xf numFmtId="0" fontId="31" fillId="11" borderId="0" xfId="3" applyFont="1" applyFill="1" applyBorder="1" applyProtection="1"/>
    <xf numFmtId="0" fontId="32" fillId="13" borderId="32" xfId="3" applyFont="1" applyFill="1" applyBorder="1" applyProtection="1"/>
    <xf numFmtId="0" fontId="33" fillId="13" borderId="0" xfId="3" applyFont="1" applyFill="1" applyBorder="1" applyAlignment="1" applyProtection="1">
      <alignment horizontal="left"/>
    </xf>
    <xf numFmtId="0" fontId="32" fillId="13" borderId="0" xfId="3" applyFont="1" applyFill="1" applyBorder="1" applyProtection="1"/>
    <xf numFmtId="0" fontId="32" fillId="13" borderId="24" xfId="3" applyFont="1" applyFill="1" applyBorder="1" applyProtection="1"/>
    <xf numFmtId="0" fontId="32" fillId="11" borderId="0" xfId="3" applyFont="1" applyFill="1" applyBorder="1" applyProtection="1"/>
    <xf numFmtId="0" fontId="1" fillId="13" borderId="32" xfId="3" applyFont="1" applyFill="1" applyBorder="1" applyProtection="1"/>
    <xf numFmtId="0" fontId="13" fillId="13" borderId="0" xfId="3" applyFont="1" applyFill="1" applyBorder="1" applyAlignment="1" applyProtection="1"/>
    <xf numFmtId="0" fontId="1" fillId="13" borderId="0" xfId="3" applyFont="1" applyFill="1" applyBorder="1" applyProtection="1"/>
    <xf numFmtId="1" fontId="1" fillId="13" borderId="0" xfId="3" applyNumberFormat="1" applyFont="1" applyFill="1" applyBorder="1" applyProtection="1"/>
    <xf numFmtId="0" fontId="13" fillId="13" borderId="0" xfId="3" applyFont="1" applyFill="1" applyBorder="1" applyProtection="1"/>
    <xf numFmtId="0" fontId="1" fillId="13" borderId="24" xfId="3" applyFont="1" applyFill="1" applyBorder="1" applyProtection="1"/>
    <xf numFmtId="0" fontId="1" fillId="11" borderId="0" xfId="3" applyFont="1" applyFill="1" applyBorder="1" applyProtection="1"/>
    <xf numFmtId="0" fontId="15" fillId="13" borderId="33" xfId="3" applyFont="1" applyFill="1" applyBorder="1" applyProtection="1"/>
    <xf numFmtId="0" fontId="30" fillId="13" borderId="10" xfId="3" applyFont="1" applyFill="1" applyBorder="1" applyProtection="1"/>
    <xf numFmtId="0" fontId="31" fillId="13" borderId="10" xfId="3" applyFont="1" applyFill="1" applyBorder="1" applyProtection="1"/>
    <xf numFmtId="1" fontId="31" fillId="13" borderId="10" xfId="3" applyNumberFormat="1" applyFont="1" applyFill="1" applyBorder="1" applyProtection="1"/>
    <xf numFmtId="0" fontId="15" fillId="13" borderId="22" xfId="3" applyFont="1" applyFill="1" applyBorder="1" applyProtection="1"/>
    <xf numFmtId="0" fontId="15" fillId="13" borderId="32" xfId="3" applyFont="1" applyFill="1" applyBorder="1" applyProtection="1"/>
    <xf numFmtId="0" fontId="34" fillId="13" borderId="0" xfId="3" applyFont="1" applyFill="1" applyBorder="1" applyProtection="1"/>
    <xf numFmtId="0" fontId="31" fillId="13" borderId="0" xfId="3" applyFont="1" applyFill="1" applyBorder="1" applyProtection="1"/>
    <xf numFmtId="0" fontId="30" fillId="13" borderId="0" xfId="3" applyFont="1" applyFill="1" applyBorder="1" applyProtection="1"/>
    <xf numFmtId="0" fontId="15" fillId="13" borderId="24" xfId="3" applyFont="1" applyFill="1" applyBorder="1" applyProtection="1"/>
    <xf numFmtId="1" fontId="31" fillId="13" borderId="0" xfId="3" applyNumberFormat="1" applyFont="1" applyFill="1" applyBorder="1" applyProtection="1"/>
    <xf numFmtId="0" fontId="1" fillId="13" borderId="30" xfId="3" applyFont="1" applyFill="1" applyBorder="1" applyProtection="1"/>
    <xf numFmtId="0" fontId="9" fillId="13" borderId="0" xfId="3" applyFont="1" applyFill="1" applyBorder="1" applyAlignment="1" applyProtection="1">
      <alignment horizontal="centerContinuous" vertical="center"/>
    </xf>
    <xf numFmtId="0" fontId="9" fillId="13" borderId="0" xfId="3" applyFont="1" applyFill="1" applyBorder="1" applyAlignment="1" applyProtection="1">
      <alignment vertical="center"/>
    </xf>
    <xf numFmtId="0" fontId="9" fillId="13" borderId="0" xfId="3" applyFont="1" applyFill="1" applyBorder="1" applyProtection="1"/>
    <xf numFmtId="1" fontId="34" fillId="13" borderId="0" xfId="3" applyNumberFormat="1" applyFont="1" applyFill="1" applyBorder="1" applyProtection="1"/>
    <xf numFmtId="1" fontId="9" fillId="13" borderId="0" xfId="3" applyNumberFormat="1" applyFont="1" applyFill="1" applyBorder="1" applyProtection="1"/>
    <xf numFmtId="0" fontId="15" fillId="13" borderId="0" xfId="3" applyFont="1" applyFill="1" applyBorder="1" applyProtection="1"/>
    <xf numFmtId="1" fontId="9" fillId="13" borderId="0" xfId="3" applyNumberFormat="1" applyFont="1" applyFill="1" applyBorder="1" applyAlignment="1" applyProtection="1">
      <alignment vertical="center"/>
    </xf>
    <xf numFmtId="9" fontId="13" fillId="18" borderId="0" xfId="3" applyNumberFormat="1" applyFont="1" applyFill="1" applyBorder="1" applyAlignment="1" applyProtection="1">
      <alignment horizontal="center" vertical="center"/>
    </xf>
    <xf numFmtId="0" fontId="13" fillId="18" borderId="0" xfId="3" applyNumberFormat="1" applyFont="1" applyFill="1" applyBorder="1" applyAlignment="1" applyProtection="1">
      <alignment horizontal="center" vertical="center"/>
    </xf>
    <xf numFmtId="0" fontId="15" fillId="13" borderId="35" xfId="3" applyFont="1" applyFill="1" applyBorder="1" applyProtection="1"/>
    <xf numFmtId="0" fontId="30" fillId="13" borderId="28" xfId="3" applyFont="1" applyFill="1" applyBorder="1" applyProtection="1"/>
    <xf numFmtId="0" fontId="31" fillId="13" borderId="28" xfId="3" applyFont="1" applyFill="1" applyBorder="1" applyProtection="1"/>
    <xf numFmtId="1" fontId="31" fillId="13" borderId="28" xfId="3" applyNumberFormat="1" applyFont="1" applyFill="1" applyBorder="1" applyProtection="1"/>
    <xf numFmtId="0" fontId="15" fillId="13" borderId="25" xfId="3" applyFont="1" applyFill="1" applyBorder="1" applyProtection="1"/>
    <xf numFmtId="0" fontId="8" fillId="18" borderId="34" xfId="0" applyFont="1" applyFill="1" applyBorder="1" applyProtection="1"/>
    <xf numFmtId="1" fontId="0" fillId="18" borderId="18" xfId="0" applyNumberFormat="1" applyFill="1" applyBorder="1" applyProtection="1"/>
    <xf numFmtId="0" fontId="0" fillId="18" borderId="21" xfId="0" applyFill="1" applyBorder="1" applyProtection="1"/>
    <xf numFmtId="0" fontId="9" fillId="11" borderId="0" xfId="3" applyFont="1" applyFill="1" applyProtection="1"/>
    <xf numFmtId="0" fontId="19" fillId="11" borderId="0" xfId="3" applyFill="1" applyProtection="1"/>
    <xf numFmtId="0" fontId="8" fillId="18" borderId="32" xfId="0" applyFont="1" applyFill="1" applyBorder="1" applyProtection="1"/>
    <xf numFmtId="1" fontId="0" fillId="18" borderId="0" xfId="0" applyNumberFormat="1" applyFill="1" applyBorder="1" applyProtection="1"/>
    <xf numFmtId="1" fontId="1" fillId="18" borderId="0" xfId="0" applyNumberFormat="1" applyFont="1" applyFill="1" applyBorder="1" applyAlignment="1" applyProtection="1"/>
    <xf numFmtId="1" fontId="0" fillId="18" borderId="0" xfId="0" applyNumberFormat="1" applyFill="1" applyBorder="1" applyAlignment="1" applyProtection="1"/>
    <xf numFmtId="0" fontId="0" fillId="18" borderId="0" xfId="0" applyFill="1" applyBorder="1" applyProtection="1"/>
    <xf numFmtId="0" fontId="0" fillId="18" borderId="24" xfId="0" applyFill="1" applyBorder="1" applyProtection="1"/>
    <xf numFmtId="0" fontId="0" fillId="18" borderId="32" xfId="0" applyFill="1" applyBorder="1" applyProtection="1"/>
    <xf numFmtId="0" fontId="1" fillId="18" borderId="0" xfId="0" applyFont="1" applyFill="1" applyBorder="1" applyProtection="1"/>
    <xf numFmtId="0" fontId="0" fillId="18" borderId="0" xfId="0" applyFill="1" applyBorder="1" applyAlignment="1" applyProtection="1">
      <alignment horizontal="right"/>
    </xf>
    <xf numFmtId="1" fontId="1" fillId="18" borderId="0" xfId="0" applyNumberFormat="1" applyFont="1" applyFill="1" applyBorder="1" applyAlignment="1" applyProtection="1">
      <alignment horizontal="right"/>
    </xf>
    <xf numFmtId="0" fontId="1" fillId="18" borderId="0" xfId="0" applyFont="1" applyFill="1" applyBorder="1" applyAlignment="1" applyProtection="1">
      <alignment horizontal="right"/>
    </xf>
    <xf numFmtId="0" fontId="0" fillId="0" borderId="0" xfId="0" applyProtection="1"/>
    <xf numFmtId="0" fontId="1" fillId="0" borderId="0" xfId="0" applyFont="1" applyProtection="1"/>
    <xf numFmtId="0" fontId="9" fillId="18" borderId="0" xfId="3" applyFont="1" applyFill="1" applyProtection="1"/>
    <xf numFmtId="1" fontId="5" fillId="18" borderId="0" xfId="0" applyNumberFormat="1" applyFont="1" applyFill="1" applyBorder="1" applyProtection="1"/>
    <xf numFmtId="0" fontId="5" fillId="18" borderId="0" xfId="0" applyFont="1" applyFill="1" applyBorder="1" applyProtection="1"/>
    <xf numFmtId="0" fontId="56" fillId="18" borderId="0" xfId="0" applyFont="1" applyFill="1" applyBorder="1" applyProtection="1"/>
    <xf numFmtId="0" fontId="56" fillId="18" borderId="24" xfId="0" applyFont="1" applyFill="1" applyBorder="1" applyProtection="1"/>
    <xf numFmtId="0" fontId="0" fillId="16" borderId="4" xfId="0" applyFill="1" applyBorder="1" applyProtection="1"/>
    <xf numFmtId="0" fontId="9" fillId="18" borderId="35" xfId="3" applyFont="1" applyFill="1" applyBorder="1" applyProtection="1"/>
    <xf numFmtId="0" fontId="9" fillId="18" borderId="28" xfId="3" applyFont="1" applyFill="1" applyBorder="1" applyProtection="1"/>
    <xf numFmtId="1" fontId="9" fillId="18" borderId="28" xfId="3" applyNumberFormat="1" applyFont="1" applyFill="1" applyBorder="1" applyProtection="1"/>
    <xf numFmtId="0" fontId="9" fillId="18" borderId="25" xfId="3" applyFont="1" applyFill="1" applyBorder="1" applyProtection="1"/>
    <xf numFmtId="0" fontId="9" fillId="18" borderId="34" xfId="3" applyFont="1" applyFill="1" applyBorder="1" applyProtection="1"/>
    <xf numFmtId="0" fontId="9" fillId="18" borderId="18" xfId="3" applyFont="1" applyFill="1" applyBorder="1" applyProtection="1"/>
    <xf numFmtId="1" fontId="9" fillId="18" borderId="18" xfId="3" applyNumberFormat="1" applyFont="1" applyFill="1" applyBorder="1" applyProtection="1"/>
    <xf numFmtId="0" fontId="9" fillId="18" borderId="21" xfId="3" applyFont="1" applyFill="1" applyBorder="1" applyProtection="1"/>
    <xf numFmtId="0" fontId="9" fillId="18" borderId="32" xfId="3" applyFont="1" applyFill="1" applyBorder="1" applyProtection="1"/>
    <xf numFmtId="0" fontId="9" fillId="18" borderId="0" xfId="3" applyFont="1" applyFill="1" applyBorder="1" applyProtection="1"/>
    <xf numFmtId="1" fontId="9" fillId="18" borderId="0" xfId="3" applyNumberFormat="1" applyFont="1" applyFill="1" applyBorder="1" applyProtection="1"/>
    <xf numFmtId="0" fontId="9" fillId="18" borderId="24" xfId="3" applyFont="1" applyFill="1" applyBorder="1" applyProtection="1"/>
    <xf numFmtId="0" fontId="9" fillId="18" borderId="0" xfId="3" applyFont="1" applyFill="1" applyBorder="1" applyAlignment="1" applyProtection="1">
      <alignment horizontal="right"/>
    </xf>
    <xf numFmtId="0" fontId="1" fillId="18" borderId="28" xfId="0" applyFont="1" applyFill="1" applyBorder="1" applyAlignment="1" applyProtection="1">
      <alignment horizontal="left"/>
    </xf>
    <xf numFmtId="1" fontId="0" fillId="18" borderId="28" xfId="0" applyNumberFormat="1" applyFill="1" applyBorder="1" applyAlignment="1" applyProtection="1">
      <alignment horizontal="center"/>
    </xf>
    <xf numFmtId="0" fontId="1" fillId="18" borderId="18" xfId="0" applyFont="1" applyFill="1" applyBorder="1" applyAlignment="1" applyProtection="1">
      <alignment horizontal="left"/>
    </xf>
    <xf numFmtId="1" fontId="0" fillId="18" borderId="18" xfId="0" applyNumberFormat="1" applyFill="1" applyBorder="1" applyAlignment="1" applyProtection="1">
      <alignment horizontal="center"/>
    </xf>
    <xf numFmtId="0" fontId="1" fillId="18" borderId="0" xfId="3" applyFont="1" applyFill="1" applyBorder="1" applyAlignment="1" applyProtection="1">
      <alignment horizontal="center"/>
    </xf>
    <xf numFmtId="1" fontId="0" fillId="18" borderId="0" xfId="0" applyNumberFormat="1" applyFill="1" applyBorder="1" applyAlignment="1" applyProtection="1">
      <alignment horizontal="center"/>
    </xf>
    <xf numFmtId="0" fontId="9" fillId="18" borderId="28" xfId="3" applyFont="1" applyFill="1" applyBorder="1" applyAlignment="1" applyProtection="1">
      <alignment horizontal="center"/>
    </xf>
    <xf numFmtId="0" fontId="1" fillId="18" borderId="32" xfId="3" applyFont="1" applyFill="1" applyBorder="1" applyAlignment="1" applyProtection="1">
      <alignment horizontal="center"/>
    </xf>
    <xf numFmtId="0" fontId="1" fillId="18" borderId="0" xfId="3" applyFont="1" applyFill="1" applyBorder="1" applyAlignment="1" applyProtection="1">
      <alignment horizontal="left"/>
    </xf>
    <xf numFmtId="0" fontId="1" fillId="18" borderId="28" xfId="3" applyFont="1" applyFill="1" applyBorder="1" applyAlignment="1" applyProtection="1">
      <alignment horizontal="center"/>
    </xf>
    <xf numFmtId="0" fontId="1" fillId="18" borderId="18" xfId="3" applyFont="1" applyFill="1" applyBorder="1" applyAlignment="1" applyProtection="1">
      <alignment horizontal="center"/>
    </xf>
    <xf numFmtId="0" fontId="15" fillId="18" borderId="0" xfId="3" applyFont="1" applyFill="1" applyBorder="1" applyProtection="1"/>
    <xf numFmtId="0" fontId="1" fillId="13" borderId="28" xfId="0" applyFont="1" applyFill="1" applyBorder="1" applyAlignment="1" applyProtection="1">
      <alignment horizontal="center"/>
    </xf>
    <xf numFmtId="0" fontId="1" fillId="13" borderId="0" xfId="0" applyFont="1" applyFill="1" applyBorder="1" applyAlignment="1" applyProtection="1">
      <alignment horizontal="left"/>
    </xf>
    <xf numFmtId="0" fontId="1" fillId="13" borderId="0" xfId="0" applyFont="1" applyFill="1" applyBorder="1" applyAlignment="1" applyProtection="1">
      <alignment horizontal="center"/>
    </xf>
    <xf numFmtId="0" fontId="9" fillId="18" borderId="33" xfId="3" applyFont="1" applyFill="1" applyBorder="1" applyProtection="1"/>
    <xf numFmtId="0" fontId="9" fillId="18" borderId="10" xfId="3" applyFont="1" applyFill="1" applyBorder="1" applyProtection="1"/>
    <xf numFmtId="1" fontId="9" fillId="18" borderId="10" xfId="3" applyNumberFormat="1" applyFont="1" applyFill="1" applyBorder="1" applyProtection="1"/>
    <xf numFmtId="0" fontId="9" fillId="18" borderId="22" xfId="3" applyFont="1" applyFill="1" applyBorder="1" applyProtection="1"/>
    <xf numFmtId="1" fontId="15" fillId="18" borderId="0" xfId="3" applyNumberFormat="1" applyFont="1" applyFill="1" applyBorder="1" applyProtection="1"/>
    <xf numFmtId="1" fontId="1" fillId="18" borderId="0" xfId="3" applyNumberFormat="1" applyFont="1" applyFill="1" applyBorder="1" applyProtection="1"/>
    <xf numFmtId="0" fontId="1" fillId="18" borderId="0" xfId="3" applyFont="1" applyFill="1" applyBorder="1" applyProtection="1"/>
    <xf numFmtId="1" fontId="13" fillId="18" borderId="0" xfId="3" applyNumberFormat="1" applyFont="1" applyFill="1" applyBorder="1" applyProtection="1"/>
    <xf numFmtId="0" fontId="13" fillId="13" borderId="0" xfId="5" applyFont="1" applyFill="1" applyBorder="1" applyAlignment="1" applyProtection="1">
      <alignment horizontal="center" vertical="center"/>
    </xf>
    <xf numFmtId="0" fontId="9" fillId="18" borderId="0" xfId="3" applyFont="1" applyFill="1" applyBorder="1" applyAlignment="1" applyProtection="1">
      <alignment vertical="top"/>
    </xf>
    <xf numFmtId="1" fontId="19" fillId="11" borderId="0" xfId="3" applyNumberFormat="1" applyFill="1" applyProtection="1"/>
    <xf numFmtId="0" fontId="13" fillId="18" borderId="0" xfId="3" applyFont="1" applyFill="1" applyBorder="1" applyProtection="1"/>
    <xf numFmtId="0" fontId="13" fillId="18" borderId="24" xfId="3" applyFont="1" applyFill="1" applyBorder="1" applyAlignment="1" applyProtection="1">
      <alignment horizontal="right"/>
    </xf>
    <xf numFmtId="0" fontId="9" fillId="13" borderId="29" xfId="3" applyFont="1" applyFill="1" applyBorder="1" applyProtection="1"/>
    <xf numFmtId="0" fontId="9" fillId="13" borderId="30" xfId="3" applyFont="1" applyFill="1" applyBorder="1" applyProtection="1"/>
    <xf numFmtId="166" fontId="9" fillId="13" borderId="30" xfId="3" applyNumberFormat="1" applyFont="1" applyFill="1" applyBorder="1" applyProtection="1"/>
    <xf numFmtId="1" fontId="9" fillId="13" borderId="30" xfId="3" applyNumberFormat="1" applyFont="1" applyFill="1" applyBorder="1" applyProtection="1"/>
    <xf numFmtId="0" fontId="9" fillId="13" borderId="31" xfId="3" applyFont="1" applyFill="1" applyBorder="1" applyProtection="1"/>
    <xf numFmtId="0" fontId="14" fillId="11" borderId="0" xfId="3" applyFont="1" applyFill="1" applyAlignment="1" applyProtection="1">
      <alignment horizontal="left"/>
    </xf>
    <xf numFmtId="0" fontId="9" fillId="13" borderId="32" xfId="5" applyFont="1" applyFill="1" applyBorder="1" applyProtection="1"/>
    <xf numFmtId="0" fontId="9" fillId="13" borderId="0" xfId="5" applyFont="1" applyFill="1" applyBorder="1" applyProtection="1"/>
    <xf numFmtId="0" fontId="46" fillId="13" borderId="0" xfId="5" applyFont="1" applyFill="1" applyBorder="1" applyProtection="1"/>
    <xf numFmtId="0" fontId="9" fillId="13" borderId="24" xfId="5" applyFont="1" applyFill="1" applyBorder="1" applyProtection="1"/>
    <xf numFmtId="0" fontId="13" fillId="13" borderId="0" xfId="5" applyFont="1" applyFill="1" applyBorder="1" applyAlignment="1" applyProtection="1">
      <alignment horizontal="centerContinuous" vertical="center"/>
    </xf>
    <xf numFmtId="0" fontId="9" fillId="13" borderId="0" xfId="5" applyFont="1" applyFill="1" applyBorder="1" applyAlignment="1" applyProtection="1">
      <alignment horizontal="centerContinuous" vertical="center"/>
    </xf>
    <xf numFmtId="0" fontId="47" fillId="13" borderId="0" xfId="5" applyFont="1" applyFill="1" applyBorder="1" applyProtection="1"/>
    <xf numFmtId="0" fontId="15" fillId="13" borderId="0" xfId="5" applyFont="1" applyFill="1" applyBorder="1" applyProtection="1"/>
    <xf numFmtId="0" fontId="15" fillId="13" borderId="24" xfId="5" applyFont="1" applyFill="1" applyBorder="1" applyProtection="1"/>
    <xf numFmtId="0" fontId="48" fillId="13" borderId="0" xfId="5" applyFont="1" applyFill="1" applyBorder="1" applyProtection="1"/>
    <xf numFmtId="0" fontId="1" fillId="13" borderId="0" xfId="5" applyFont="1" applyFill="1" applyBorder="1" applyAlignment="1" applyProtection="1">
      <alignment horizontal="center"/>
    </xf>
    <xf numFmtId="0" fontId="15" fillId="13" borderId="0" xfId="5" applyFont="1" applyFill="1" applyBorder="1" applyAlignment="1" applyProtection="1">
      <alignment horizontal="center" vertical="center"/>
    </xf>
    <xf numFmtId="167" fontId="15" fillId="13" borderId="0" xfId="5" applyNumberFormat="1" applyFont="1" applyFill="1" applyBorder="1" applyAlignment="1" applyProtection="1">
      <alignment vertical="center"/>
    </xf>
    <xf numFmtId="167" fontId="9" fillId="13" borderId="0" xfId="5" applyNumberFormat="1" applyFont="1" applyFill="1" applyBorder="1" applyAlignment="1" applyProtection="1">
      <alignment vertical="center"/>
    </xf>
    <xf numFmtId="168" fontId="1" fillId="13" borderId="0" xfId="5" applyNumberFormat="1" applyFont="1" applyFill="1" applyBorder="1" applyAlignment="1" applyProtection="1">
      <alignment horizontal="right" vertical="center"/>
    </xf>
    <xf numFmtId="0" fontId="1" fillId="13" borderId="0" xfId="5" applyFont="1" applyFill="1" applyBorder="1" applyAlignment="1" applyProtection="1">
      <alignment horizontal="centerContinuous"/>
    </xf>
    <xf numFmtId="0" fontId="1" fillId="13" borderId="24" xfId="5" applyFont="1" applyFill="1" applyBorder="1" applyAlignment="1" applyProtection="1">
      <alignment horizontal="center"/>
    </xf>
    <xf numFmtId="167" fontId="9" fillId="13" borderId="32" xfId="5" applyNumberFormat="1" applyFont="1" applyFill="1" applyBorder="1" applyAlignment="1" applyProtection="1">
      <alignment vertical="center"/>
    </xf>
    <xf numFmtId="166" fontId="9" fillId="13" borderId="0" xfId="3" applyNumberFormat="1" applyFont="1" applyFill="1" applyBorder="1" applyProtection="1"/>
    <xf numFmtId="171" fontId="30" fillId="13" borderId="0" xfId="5" applyNumberFormat="1" applyFont="1" applyFill="1" applyBorder="1" applyAlignment="1" applyProtection="1">
      <alignment horizontal="center" vertical="center"/>
    </xf>
    <xf numFmtId="171" fontId="30" fillId="13" borderId="24" xfId="5" applyNumberFormat="1" applyFont="1" applyFill="1" applyBorder="1" applyAlignment="1" applyProtection="1">
      <alignment horizontal="center" vertical="center"/>
    </xf>
    <xf numFmtId="0" fontId="34" fillId="13" borderId="0" xfId="5" applyFont="1" applyFill="1" applyBorder="1" applyProtection="1"/>
    <xf numFmtId="0" fontId="9" fillId="13" borderId="0" xfId="5" applyFont="1" applyFill="1" applyBorder="1" applyAlignment="1" applyProtection="1">
      <alignment horizontal="center" vertical="center"/>
    </xf>
    <xf numFmtId="0" fontId="13" fillId="13" borderId="0" xfId="5" applyFont="1" applyFill="1" applyBorder="1" applyAlignment="1" applyProtection="1">
      <alignment horizontal="left" vertical="center"/>
    </xf>
    <xf numFmtId="0" fontId="1" fillId="13" borderId="28" xfId="5" applyFont="1" applyFill="1" applyBorder="1" applyAlignment="1" applyProtection="1"/>
    <xf numFmtId="0" fontId="1" fillId="13" borderId="28" xfId="5" applyFont="1" applyFill="1" applyBorder="1" applyAlignment="1" applyProtection="1">
      <alignment horizontal="center"/>
    </xf>
    <xf numFmtId="0" fontId="9" fillId="13" borderId="32" xfId="3" applyFont="1" applyFill="1" applyBorder="1" applyProtection="1"/>
    <xf numFmtId="0" fontId="9" fillId="13" borderId="24" xfId="3" applyFont="1" applyFill="1" applyBorder="1" applyProtection="1"/>
    <xf numFmtId="0" fontId="9" fillId="13" borderId="29" xfId="0" applyFont="1" applyFill="1" applyBorder="1" applyProtection="1"/>
    <xf numFmtId="0" fontId="9" fillId="13" borderId="30" xfId="0" applyFont="1" applyFill="1" applyBorder="1" applyProtection="1"/>
    <xf numFmtId="166" fontId="9" fillId="13" borderId="30" xfId="0" applyNumberFormat="1" applyFont="1" applyFill="1" applyBorder="1" applyProtection="1"/>
    <xf numFmtId="0" fontId="9" fillId="13" borderId="31" xfId="0" applyFont="1" applyFill="1" applyBorder="1" applyProtection="1"/>
    <xf numFmtId="0" fontId="9" fillId="13" borderId="32" xfId="0" applyFont="1" applyFill="1" applyBorder="1" applyProtection="1"/>
    <xf numFmtId="0" fontId="9" fillId="13" borderId="0" xfId="0" applyFont="1" applyFill="1" applyBorder="1" applyProtection="1"/>
    <xf numFmtId="0" fontId="15" fillId="13" borderId="0" xfId="0" applyFont="1" applyFill="1" applyBorder="1" applyProtection="1"/>
    <xf numFmtId="0" fontId="9" fillId="13" borderId="24" xfId="0" applyFont="1" applyFill="1" applyBorder="1" applyProtection="1"/>
    <xf numFmtId="0" fontId="1" fillId="13" borderId="0" xfId="0" applyFont="1" applyFill="1" applyBorder="1" applyAlignment="1" applyProtection="1">
      <alignment horizontal="centerContinuous"/>
    </xf>
    <xf numFmtId="167" fontId="9" fillId="13" borderId="32" xfId="0" applyNumberFormat="1" applyFont="1" applyFill="1" applyBorder="1" applyAlignment="1" applyProtection="1">
      <alignment vertical="center"/>
    </xf>
    <xf numFmtId="167" fontId="9" fillId="13" borderId="0" xfId="0" applyNumberFormat="1" applyFont="1" applyFill="1" applyBorder="1" applyAlignment="1" applyProtection="1">
      <alignment vertical="center"/>
    </xf>
    <xf numFmtId="166" fontId="1" fillId="13" borderId="0" xfId="0" applyNumberFormat="1" applyFont="1" applyFill="1" applyBorder="1" applyAlignment="1" applyProtection="1">
      <alignment horizontal="centerContinuous" vertical="center"/>
    </xf>
    <xf numFmtId="167" fontId="9" fillId="13" borderId="0" xfId="0" applyNumberFormat="1" applyFont="1" applyFill="1" applyBorder="1" applyAlignment="1" applyProtection="1">
      <alignment horizontal="centerContinuous" vertical="center"/>
    </xf>
    <xf numFmtId="167" fontId="9" fillId="13" borderId="24" xfId="0" applyNumberFormat="1" applyFont="1" applyFill="1" applyBorder="1" applyAlignment="1" applyProtection="1">
      <alignment vertical="center"/>
    </xf>
    <xf numFmtId="0" fontId="9" fillId="13" borderId="33" xfId="0" applyFont="1" applyFill="1" applyBorder="1" applyProtection="1"/>
    <xf numFmtId="0" fontId="9" fillId="13" borderId="10" xfId="0" applyFont="1" applyFill="1" applyBorder="1" applyProtection="1"/>
    <xf numFmtId="0" fontId="9" fillId="13" borderId="22" xfId="0" applyFont="1" applyFill="1" applyBorder="1" applyProtection="1"/>
    <xf numFmtId="1" fontId="13" fillId="13" borderId="2" xfId="3" applyNumberFormat="1" applyFont="1" applyFill="1" applyBorder="1" applyAlignment="1" applyProtection="1">
      <alignment vertical="center" wrapText="1"/>
    </xf>
    <xf numFmtId="0" fontId="15" fillId="13" borderId="0" xfId="3" applyFont="1" applyFill="1" applyBorder="1" applyAlignment="1" applyProtection="1">
      <alignment horizontal="left"/>
    </xf>
    <xf numFmtId="0" fontId="9" fillId="13" borderId="0" xfId="3" applyFont="1" applyFill="1" applyBorder="1" applyAlignment="1" applyProtection="1">
      <alignment horizontal="left" vertical="center"/>
    </xf>
    <xf numFmtId="1" fontId="9" fillId="13" borderId="0" xfId="3" applyNumberFormat="1" applyFont="1" applyFill="1" applyBorder="1" applyAlignment="1" applyProtection="1"/>
    <xf numFmtId="1" fontId="9" fillId="13" borderId="24" xfId="3" applyNumberFormat="1" applyFont="1" applyFill="1" applyBorder="1" applyAlignment="1" applyProtection="1"/>
    <xf numFmtId="1" fontId="9" fillId="13" borderId="0" xfId="3" applyNumberFormat="1" applyFont="1" applyFill="1" applyBorder="1" applyAlignment="1" applyProtection="1">
      <alignment horizontal="left" vertical="top" wrapText="1"/>
    </xf>
    <xf numFmtId="1" fontId="9" fillId="13" borderId="24" xfId="3" applyNumberFormat="1" applyFont="1" applyFill="1" applyBorder="1" applyAlignment="1" applyProtection="1">
      <alignment horizontal="left" vertical="top" wrapText="1"/>
    </xf>
    <xf numFmtId="1" fontId="9" fillId="13" borderId="0" xfId="3" applyNumberFormat="1" applyFont="1" applyFill="1" applyBorder="1" applyAlignment="1" applyProtection="1">
      <alignment horizontal="left" vertical="top"/>
    </xf>
    <xf numFmtId="1" fontId="9" fillId="13" borderId="24" xfId="3" applyNumberFormat="1" applyFont="1" applyFill="1" applyBorder="1" applyAlignment="1" applyProtection="1">
      <alignment horizontal="left" vertical="top"/>
    </xf>
    <xf numFmtId="0" fontId="55" fillId="18" borderId="0" xfId="0" applyFont="1" applyFill="1" applyProtection="1"/>
    <xf numFmtId="0" fontId="34" fillId="13" borderId="0" xfId="4" applyFont="1" applyFill="1" applyBorder="1" applyProtection="1"/>
    <xf numFmtId="0" fontId="9" fillId="13" borderId="33" xfId="3" applyFont="1" applyFill="1" applyBorder="1" applyProtection="1"/>
    <xf numFmtId="0" fontId="34" fillId="13" borderId="10" xfId="4" applyFont="1" applyFill="1" applyBorder="1" applyProtection="1"/>
    <xf numFmtId="0" fontId="9" fillId="13" borderId="10" xfId="3" applyFont="1" applyFill="1" applyBorder="1" applyAlignment="1" applyProtection="1">
      <alignment horizontal="centerContinuous" vertical="center"/>
    </xf>
    <xf numFmtId="1" fontId="9" fillId="13" borderId="10" xfId="3" applyNumberFormat="1" applyFont="1" applyFill="1" applyBorder="1" applyProtection="1"/>
    <xf numFmtId="0" fontId="15" fillId="13" borderId="30" xfId="3" applyFont="1" applyFill="1" applyBorder="1" applyProtection="1"/>
    <xf numFmtId="0" fontId="9" fillId="13" borderId="30" xfId="3" applyFont="1" applyFill="1" applyBorder="1" applyAlignment="1" applyProtection="1">
      <alignment horizontal="centerContinuous" vertical="center"/>
    </xf>
    <xf numFmtId="0" fontId="19" fillId="0" borderId="0" xfId="3" applyBorder="1" applyProtection="1"/>
    <xf numFmtId="0" fontId="13" fillId="11" borderId="0" xfId="3" applyFont="1" applyFill="1" applyAlignment="1" applyProtection="1">
      <alignment horizontal="left"/>
    </xf>
    <xf numFmtId="49" fontId="1" fillId="13" borderId="0" xfId="3" applyNumberFormat="1" applyFont="1" applyFill="1" applyBorder="1" applyProtection="1"/>
    <xf numFmtId="0" fontId="9" fillId="13" borderId="0" xfId="3" applyFont="1" applyFill="1" applyBorder="1" applyAlignment="1" applyProtection="1">
      <alignment horizontal="center" vertical="center"/>
    </xf>
    <xf numFmtId="0" fontId="13" fillId="13" borderId="0" xfId="3" applyFont="1" applyFill="1" applyBorder="1" applyAlignment="1" applyProtection="1">
      <alignment horizontal="left" vertical="center"/>
    </xf>
    <xf numFmtId="0" fontId="1" fillId="13" borderId="0" xfId="3" applyFont="1" applyFill="1" applyBorder="1" applyAlignment="1" applyProtection="1"/>
    <xf numFmtId="0" fontId="1" fillId="13" borderId="0" xfId="3" applyFont="1" applyFill="1" applyBorder="1" applyAlignment="1" applyProtection="1">
      <alignment horizontal="center"/>
    </xf>
    <xf numFmtId="167" fontId="9" fillId="13" borderId="32" xfId="3" applyNumberFormat="1" applyFont="1" applyFill="1" applyBorder="1" applyAlignment="1" applyProtection="1">
      <alignment vertical="center"/>
    </xf>
    <xf numFmtId="0" fontId="15" fillId="13" borderId="0" xfId="3" applyFont="1" applyFill="1" applyBorder="1" applyAlignment="1" applyProtection="1">
      <alignment horizontal="left" vertical="center"/>
    </xf>
    <xf numFmtId="167" fontId="9" fillId="13" borderId="0" xfId="3" applyNumberFormat="1" applyFont="1" applyFill="1" applyBorder="1" applyAlignment="1" applyProtection="1">
      <alignment vertical="center"/>
    </xf>
    <xf numFmtId="1" fontId="13" fillId="13" borderId="0" xfId="3" quotePrefix="1" applyNumberFormat="1" applyFont="1" applyFill="1" applyBorder="1" applyAlignment="1" applyProtection="1">
      <alignment vertical="center"/>
    </xf>
    <xf numFmtId="167" fontId="9" fillId="13" borderId="24" xfId="3" applyNumberFormat="1" applyFont="1" applyFill="1" applyBorder="1" applyAlignment="1" applyProtection="1">
      <alignment vertical="center"/>
    </xf>
    <xf numFmtId="167" fontId="9" fillId="11" borderId="0" xfId="3" applyNumberFormat="1" applyFont="1" applyFill="1" applyAlignment="1" applyProtection="1">
      <alignment vertical="center"/>
    </xf>
    <xf numFmtId="49" fontId="1" fillId="13" borderId="10" xfId="3" applyNumberFormat="1" applyFont="1" applyFill="1" applyBorder="1" applyProtection="1"/>
    <xf numFmtId="0" fontId="14" fillId="13" borderId="10" xfId="3" applyFont="1" applyFill="1" applyBorder="1" applyAlignment="1" applyProtection="1"/>
    <xf numFmtId="0" fontId="37" fillId="13" borderId="32" xfId="3" applyFont="1" applyFill="1" applyBorder="1" applyAlignment="1" applyProtection="1">
      <alignment vertical="center"/>
    </xf>
    <xf numFmtId="0" fontId="37" fillId="13" borderId="24" xfId="3" applyFont="1" applyFill="1" applyBorder="1" applyAlignment="1" applyProtection="1">
      <alignment vertical="center"/>
    </xf>
    <xf numFmtId="0" fontId="13" fillId="11" borderId="0" xfId="3" applyFont="1" applyFill="1" applyAlignment="1" applyProtection="1">
      <alignment horizontal="left" vertical="center"/>
    </xf>
    <xf numFmtId="0" fontId="37" fillId="11" borderId="0" xfId="3" applyFont="1" applyFill="1" applyAlignment="1" applyProtection="1">
      <alignment vertical="center"/>
    </xf>
    <xf numFmtId="0" fontId="1" fillId="13" borderId="32" xfId="3" applyFont="1" applyFill="1" applyBorder="1" applyAlignment="1" applyProtection="1">
      <alignment vertical="center"/>
    </xf>
    <xf numFmtId="0" fontId="1" fillId="13" borderId="0" xfId="3" applyFont="1" applyFill="1" applyBorder="1" applyAlignment="1" applyProtection="1">
      <alignment horizontal="left" vertical="center"/>
    </xf>
    <xf numFmtId="0" fontId="1" fillId="13" borderId="0" xfId="3" applyFont="1" applyFill="1" applyBorder="1" applyAlignment="1" applyProtection="1">
      <alignment horizontal="right" vertical="center"/>
    </xf>
    <xf numFmtId="9" fontId="13" fillId="13" borderId="4" xfId="3" applyNumberFormat="1" applyFont="1" applyFill="1" applyBorder="1" applyAlignment="1" applyProtection="1">
      <alignment horizontal="center" vertical="center"/>
    </xf>
    <xf numFmtId="0" fontId="1" fillId="13" borderId="0" xfId="3" applyFont="1" applyFill="1" applyBorder="1" applyAlignment="1" applyProtection="1">
      <alignment vertical="center"/>
    </xf>
    <xf numFmtId="9" fontId="13" fillId="13" borderId="0" xfId="3" applyNumberFormat="1" applyFont="1" applyFill="1" applyBorder="1" applyAlignment="1" applyProtection="1">
      <alignment horizontal="center" vertical="center"/>
    </xf>
    <xf numFmtId="0" fontId="1" fillId="13" borderId="24" xfId="3" applyFont="1" applyFill="1" applyBorder="1" applyAlignment="1" applyProtection="1">
      <alignment vertical="center"/>
    </xf>
    <xf numFmtId="0" fontId="1" fillId="11" borderId="0" xfId="3" applyFont="1" applyFill="1" applyAlignment="1" applyProtection="1">
      <alignment vertical="center"/>
    </xf>
    <xf numFmtId="0" fontId="1" fillId="13" borderId="0" xfId="3" applyFont="1" applyFill="1" applyBorder="1" applyAlignment="1" applyProtection="1">
      <alignment horizontal="centerContinuous" vertical="center"/>
    </xf>
    <xf numFmtId="0" fontId="1" fillId="11" borderId="0" xfId="3" applyFont="1" applyFill="1" applyProtection="1"/>
    <xf numFmtId="0" fontId="9" fillId="13" borderId="28" xfId="3" applyFont="1" applyFill="1" applyBorder="1" applyAlignment="1" applyProtection="1">
      <alignment horizontal="center"/>
    </xf>
    <xf numFmtId="49" fontId="15" fillId="13" borderId="0" xfId="3" applyNumberFormat="1" applyFont="1" applyFill="1" applyBorder="1" applyAlignment="1" applyProtection="1">
      <alignment vertical="center"/>
    </xf>
    <xf numFmtId="1" fontId="42" fillId="13" borderId="0" xfId="3" applyNumberFormat="1" applyFont="1" applyFill="1" applyBorder="1" applyAlignment="1" applyProtection="1">
      <alignment horizontal="center" vertical="center"/>
    </xf>
    <xf numFmtId="0" fontId="34" fillId="13" borderId="4" xfId="3" applyNumberFormat="1" applyFont="1" applyFill="1" applyBorder="1" applyAlignment="1" applyProtection="1">
      <alignment horizontal="center" vertical="center"/>
    </xf>
    <xf numFmtId="167" fontId="9" fillId="18" borderId="0" xfId="3" applyNumberFormat="1" applyFont="1" applyFill="1" applyAlignment="1" applyProtection="1">
      <alignment vertical="center"/>
    </xf>
    <xf numFmtId="1" fontId="19" fillId="0" borderId="4" xfId="3" applyNumberFormat="1" applyBorder="1" applyAlignment="1" applyProtection="1">
      <alignment horizontal="center"/>
    </xf>
    <xf numFmtId="167" fontId="13" fillId="11" borderId="0" xfId="3" applyNumberFormat="1" applyFont="1" applyFill="1" applyAlignment="1" applyProtection="1">
      <alignment horizontal="left" vertical="center"/>
    </xf>
    <xf numFmtId="1" fontId="42" fillId="31" borderId="0" xfId="3" applyNumberFormat="1" applyFont="1" applyFill="1" applyBorder="1" applyAlignment="1" applyProtection="1">
      <alignment horizontal="center" vertical="center"/>
    </xf>
    <xf numFmtId="49" fontId="9" fillId="13" borderId="0" xfId="3" applyNumberFormat="1" applyFont="1" applyFill="1" applyBorder="1" applyProtection="1"/>
    <xf numFmtId="0" fontId="15" fillId="13" borderId="16" xfId="3" applyNumberFormat="1" applyFont="1" applyFill="1" applyBorder="1" applyAlignment="1" applyProtection="1">
      <alignment horizontal="center"/>
    </xf>
    <xf numFmtId="164" fontId="59" fillId="0" borderId="16" xfId="3" applyNumberFormat="1" applyFont="1" applyBorder="1" applyAlignment="1" applyProtection="1">
      <alignment horizontal="center" vertical="center"/>
    </xf>
    <xf numFmtId="0" fontId="9" fillId="13" borderId="16" xfId="3" applyFont="1" applyFill="1" applyBorder="1" applyAlignment="1" applyProtection="1">
      <alignment horizontal="center"/>
    </xf>
    <xf numFmtId="1" fontId="59" fillId="0" borderId="16" xfId="3" applyNumberFormat="1" applyFont="1" applyBorder="1" applyAlignment="1" applyProtection="1">
      <alignment horizontal="center" vertical="center"/>
    </xf>
    <xf numFmtId="0" fontId="58" fillId="13" borderId="16" xfId="3" applyFont="1" applyFill="1" applyBorder="1" applyProtection="1"/>
    <xf numFmtId="0" fontId="9" fillId="13" borderId="16" xfId="3" applyFont="1" applyFill="1" applyBorder="1" applyProtection="1"/>
    <xf numFmtId="0" fontId="34" fillId="23" borderId="4" xfId="3" applyNumberFormat="1" applyFont="1" applyFill="1" applyBorder="1" applyAlignment="1" applyProtection="1">
      <alignment horizontal="center" vertical="center"/>
    </xf>
    <xf numFmtId="173" fontId="13" fillId="13" borderId="0" xfId="3" applyNumberFormat="1" applyFont="1" applyFill="1" applyBorder="1" applyAlignment="1" applyProtection="1">
      <alignment horizontal="center" vertical="center"/>
    </xf>
    <xf numFmtId="0" fontId="19" fillId="13" borderId="0" xfId="3" applyFill="1" applyBorder="1" applyProtection="1"/>
    <xf numFmtId="1" fontId="19" fillId="13" borderId="18" xfId="3" applyNumberFormat="1" applyFill="1" applyBorder="1" applyAlignment="1" applyProtection="1">
      <alignment horizontal="center"/>
    </xf>
    <xf numFmtId="49" fontId="13" fillId="13" borderId="18" xfId="3" applyNumberFormat="1" applyFont="1" applyFill="1" applyBorder="1" applyAlignment="1" applyProtection="1">
      <alignment horizontal="center" vertical="center"/>
    </xf>
    <xf numFmtId="167" fontId="9" fillId="13" borderId="34" xfId="3" applyNumberFormat="1" applyFont="1" applyFill="1" applyBorder="1" applyAlignment="1" applyProtection="1">
      <alignment vertical="center"/>
    </xf>
    <xf numFmtId="49" fontId="15" fillId="13" borderId="18" xfId="3" applyNumberFormat="1" applyFont="1" applyFill="1" applyBorder="1" applyAlignment="1" applyProtection="1">
      <alignment vertical="center"/>
    </xf>
    <xf numFmtId="167" fontId="9" fillId="13" borderId="18" xfId="3" applyNumberFormat="1" applyFont="1" applyFill="1" applyBorder="1" applyAlignment="1" applyProtection="1">
      <alignment vertical="center"/>
    </xf>
    <xf numFmtId="173" fontId="13" fillId="13" borderId="18" xfId="3" applyNumberFormat="1" applyFont="1" applyFill="1" applyBorder="1" applyAlignment="1" applyProtection="1">
      <alignment horizontal="center" vertical="center"/>
    </xf>
    <xf numFmtId="0" fontId="19" fillId="13" borderId="18" xfId="3" applyFill="1" applyBorder="1" applyProtection="1"/>
    <xf numFmtId="1" fontId="42" fillId="13" borderId="18" xfId="3" applyNumberFormat="1" applyFont="1" applyFill="1" applyBorder="1" applyAlignment="1" applyProtection="1">
      <alignment horizontal="center" vertical="center"/>
    </xf>
    <xf numFmtId="1" fontId="19" fillId="13" borderId="16" xfId="3" applyNumberFormat="1" applyFill="1" applyBorder="1" applyAlignment="1" applyProtection="1">
      <alignment horizontal="center"/>
    </xf>
    <xf numFmtId="49" fontId="13" fillId="13" borderId="16" xfId="3" applyNumberFormat="1" applyFont="1" applyFill="1" applyBorder="1" applyAlignment="1" applyProtection="1">
      <alignment horizontal="center" vertical="center"/>
    </xf>
    <xf numFmtId="167" fontId="9" fillId="13" borderId="16" xfId="3" applyNumberFormat="1" applyFont="1" applyFill="1" applyBorder="1" applyAlignment="1" applyProtection="1">
      <alignment vertical="center"/>
    </xf>
    <xf numFmtId="1" fontId="19" fillId="0" borderId="16" xfId="3" applyNumberFormat="1" applyBorder="1" applyAlignment="1" applyProtection="1">
      <alignment horizontal="center"/>
    </xf>
    <xf numFmtId="167" fontId="9" fillId="18" borderId="4" xfId="3" applyNumberFormat="1" applyFont="1" applyFill="1" applyBorder="1" applyAlignment="1" applyProtection="1">
      <alignment vertical="center"/>
    </xf>
    <xf numFmtId="49" fontId="9" fillId="13" borderId="10" xfId="3" applyNumberFormat="1" applyFont="1" applyFill="1" applyBorder="1" applyProtection="1"/>
    <xf numFmtId="1" fontId="9" fillId="13" borderId="10" xfId="3" applyNumberFormat="1" applyFont="1" applyFill="1" applyBorder="1" applyAlignment="1" applyProtection="1">
      <alignment horizontal="center"/>
    </xf>
    <xf numFmtId="0" fontId="9" fillId="31" borderId="0" xfId="3" applyFont="1" applyFill="1" applyProtection="1"/>
    <xf numFmtId="49" fontId="39" fillId="13" borderId="0" xfId="3" applyNumberFormat="1" applyFont="1" applyFill="1" applyBorder="1" applyAlignment="1" applyProtection="1">
      <alignment vertical="center"/>
    </xf>
    <xf numFmtId="0" fontId="37" fillId="13" borderId="0" xfId="3" applyFont="1" applyFill="1" applyBorder="1" applyAlignment="1" applyProtection="1">
      <alignment horizontal="centerContinuous" vertical="center"/>
    </xf>
    <xf numFmtId="0" fontId="37" fillId="13" borderId="0" xfId="3" applyFont="1" applyFill="1" applyBorder="1" applyAlignment="1" applyProtection="1">
      <alignment vertical="center"/>
    </xf>
    <xf numFmtId="0" fontId="34" fillId="13" borderId="0" xfId="3" applyFont="1" applyFill="1" applyBorder="1" applyAlignment="1" applyProtection="1">
      <alignment vertical="center"/>
    </xf>
    <xf numFmtId="1" fontId="37" fillId="13" borderId="0" xfId="3" applyNumberFormat="1" applyFont="1" applyFill="1" applyBorder="1" applyAlignment="1" applyProtection="1">
      <alignment vertical="center"/>
    </xf>
    <xf numFmtId="0" fontId="37" fillId="31" borderId="0" xfId="3" applyFont="1" applyFill="1" applyAlignment="1" applyProtection="1">
      <alignment vertical="center"/>
    </xf>
    <xf numFmtId="0" fontId="1" fillId="31" borderId="0" xfId="3" applyFont="1" applyFill="1" applyAlignment="1" applyProtection="1">
      <alignment vertical="center"/>
    </xf>
    <xf numFmtId="0" fontId="1" fillId="31" borderId="0" xfId="3" applyFont="1" applyFill="1" applyProtection="1"/>
    <xf numFmtId="0" fontId="13" fillId="13" borderId="0" xfId="3" applyNumberFormat="1" applyFont="1" applyFill="1" applyBorder="1" applyAlignment="1" applyProtection="1">
      <alignment horizontal="center" vertical="center"/>
    </xf>
    <xf numFmtId="164" fontId="59" fillId="0" borderId="4" xfId="3" applyNumberFormat="1" applyFont="1" applyBorder="1" applyAlignment="1" applyProtection="1">
      <alignment horizontal="center" vertical="center"/>
    </xf>
    <xf numFmtId="171" fontId="13" fillId="13" borderId="0" xfId="3" applyNumberFormat="1" applyFont="1" applyFill="1" applyBorder="1" applyAlignment="1" applyProtection="1">
      <alignment horizontal="center" vertical="center"/>
    </xf>
    <xf numFmtId="1" fontId="59" fillId="0" borderId="4" xfId="3" applyNumberFormat="1" applyFont="1" applyBorder="1" applyAlignment="1" applyProtection="1">
      <alignment horizontal="center" vertical="center"/>
    </xf>
    <xf numFmtId="49" fontId="13" fillId="13" borderId="0" xfId="3" applyNumberFormat="1" applyFont="1" applyFill="1" applyBorder="1" applyAlignment="1" applyProtection="1">
      <alignment horizontal="center" vertical="center"/>
    </xf>
    <xf numFmtId="0" fontId="13" fillId="13" borderId="4" xfId="3" applyNumberFormat="1" applyFont="1" applyFill="1" applyBorder="1" applyAlignment="1" applyProtection="1">
      <alignment horizontal="center" vertical="center"/>
    </xf>
    <xf numFmtId="0" fontId="9" fillId="13" borderId="16" xfId="3" applyNumberFormat="1" applyFont="1" applyFill="1" applyBorder="1" applyAlignment="1" applyProtection="1">
      <alignment horizontal="center"/>
    </xf>
    <xf numFmtId="0" fontId="9" fillId="13" borderId="35" xfId="3" applyFont="1" applyFill="1" applyBorder="1" applyProtection="1"/>
    <xf numFmtId="49" fontId="9" fillId="13" borderId="28" xfId="3" applyNumberFormat="1" applyFont="1" applyFill="1" applyBorder="1" applyProtection="1"/>
    <xf numFmtId="0" fontId="9" fillId="13" borderId="28" xfId="3" applyFont="1" applyFill="1" applyBorder="1" applyProtection="1"/>
    <xf numFmtId="166" fontId="9" fillId="13" borderId="28" xfId="3" applyNumberFormat="1" applyFont="1" applyFill="1" applyBorder="1" applyProtection="1"/>
    <xf numFmtId="1" fontId="42" fillId="13" borderId="28" xfId="3" applyNumberFormat="1" applyFont="1" applyFill="1" applyBorder="1" applyAlignment="1" applyProtection="1">
      <alignment horizontal="center" vertical="center"/>
    </xf>
    <xf numFmtId="0" fontId="9" fillId="13" borderId="25" xfId="3" applyFont="1" applyFill="1" applyBorder="1" applyProtection="1"/>
    <xf numFmtId="0" fontId="13" fillId="13" borderId="28" xfId="3" applyNumberFormat="1" applyFont="1" applyFill="1" applyBorder="1" applyAlignment="1" applyProtection="1">
      <alignment horizontal="center" vertical="center"/>
    </xf>
    <xf numFmtId="1" fontId="19" fillId="0" borderId="28" xfId="3" applyNumberFormat="1" applyBorder="1" applyAlignment="1" applyProtection="1">
      <alignment horizontal="center"/>
    </xf>
    <xf numFmtId="0" fontId="9" fillId="13" borderId="28" xfId="3" applyNumberFormat="1" applyFont="1" applyFill="1" applyBorder="1" applyAlignment="1" applyProtection="1">
      <alignment horizontal="center"/>
    </xf>
    <xf numFmtId="1" fontId="19" fillId="0" borderId="0" xfId="3" applyNumberFormat="1" applyBorder="1" applyAlignment="1" applyProtection="1">
      <alignment horizontal="center"/>
    </xf>
    <xf numFmtId="49" fontId="14" fillId="13" borderId="0" xfId="3" applyNumberFormat="1" applyFont="1" applyFill="1" applyBorder="1" applyAlignment="1" applyProtection="1">
      <alignment vertical="center"/>
    </xf>
    <xf numFmtId="1" fontId="37" fillId="13" borderId="30" xfId="3" applyNumberFormat="1" applyFont="1" applyFill="1" applyBorder="1" applyAlignment="1" applyProtection="1">
      <alignment vertical="center"/>
    </xf>
    <xf numFmtId="0" fontId="9" fillId="13" borderId="0" xfId="3" applyNumberFormat="1" applyFont="1" applyFill="1" applyBorder="1" applyAlignment="1" applyProtection="1">
      <alignment horizontal="center"/>
    </xf>
    <xf numFmtId="0" fontId="9" fillId="13" borderId="0" xfId="3" applyFont="1" applyFill="1" applyBorder="1" applyAlignment="1" applyProtection="1">
      <alignment horizontal="center"/>
    </xf>
    <xf numFmtId="0" fontId="13" fillId="9" borderId="4" xfId="3" applyNumberFormat="1" applyFont="1" applyFill="1" applyBorder="1" applyAlignment="1" applyProtection="1">
      <alignment horizontal="center" vertical="center"/>
    </xf>
    <xf numFmtId="1" fontId="42" fillId="13" borderId="10" xfId="3" applyNumberFormat="1" applyFont="1" applyFill="1" applyBorder="1" applyAlignment="1" applyProtection="1">
      <alignment horizontal="center" vertical="center"/>
    </xf>
    <xf numFmtId="0" fontId="13" fillId="13" borderId="16" xfId="3" applyNumberFormat="1" applyFont="1" applyFill="1" applyBorder="1" applyAlignment="1" applyProtection="1">
      <alignment horizontal="center" vertical="center"/>
    </xf>
    <xf numFmtId="171" fontId="13" fillId="13" borderId="16" xfId="3" applyNumberFormat="1" applyFont="1" applyFill="1" applyBorder="1" applyAlignment="1" applyProtection="1">
      <alignment horizontal="center" vertical="center"/>
    </xf>
    <xf numFmtId="167" fontId="9" fillId="13" borderId="32" xfId="4" applyNumberFormat="1" applyFont="1" applyFill="1" applyBorder="1" applyAlignment="1" applyProtection="1">
      <alignment vertical="center"/>
    </xf>
    <xf numFmtId="49" fontId="15" fillId="13" borderId="0" xfId="4" applyNumberFormat="1" applyFont="1" applyFill="1" applyBorder="1" applyAlignment="1" applyProtection="1">
      <alignment vertical="center"/>
    </xf>
    <xf numFmtId="167" fontId="9" fillId="13" borderId="0" xfId="4" applyNumberFormat="1" applyFont="1" applyFill="1" applyBorder="1" applyAlignment="1" applyProtection="1">
      <alignment vertical="center"/>
    </xf>
    <xf numFmtId="172" fontId="13" fillId="13" borderId="0" xfId="4" applyNumberFormat="1" applyFont="1" applyFill="1" applyBorder="1" applyAlignment="1" applyProtection="1">
      <alignment horizontal="center" vertical="center"/>
    </xf>
    <xf numFmtId="0" fontId="9" fillId="13" borderId="0" xfId="4" applyNumberFormat="1" applyFont="1" applyFill="1" applyBorder="1" applyAlignment="1" applyProtection="1">
      <alignment horizontal="center" vertical="center"/>
    </xf>
    <xf numFmtId="171" fontId="1" fillId="13" borderId="0" xfId="4" applyNumberFormat="1" applyFont="1" applyFill="1" applyBorder="1" applyAlignment="1" applyProtection="1">
      <alignment horizontal="center" vertical="center"/>
    </xf>
    <xf numFmtId="49" fontId="13" fillId="13" borderId="0" xfId="4" applyNumberFormat="1" applyFont="1" applyFill="1" applyBorder="1" applyAlignment="1" applyProtection="1">
      <alignment horizontal="center" vertical="center"/>
    </xf>
    <xf numFmtId="167" fontId="9" fillId="13" borderId="24" xfId="4" applyNumberFormat="1" applyFont="1" applyFill="1" applyBorder="1" applyAlignment="1" applyProtection="1">
      <alignment vertical="center"/>
    </xf>
    <xf numFmtId="167" fontId="9" fillId="11" borderId="0" xfId="4" applyNumberFormat="1" applyFont="1" applyFill="1" applyAlignment="1" applyProtection="1">
      <alignment vertical="center"/>
    </xf>
    <xf numFmtId="49" fontId="26" fillId="13" borderId="32" xfId="3" applyNumberFormat="1" applyFont="1" applyFill="1" applyBorder="1" applyAlignment="1" applyProtection="1">
      <alignment horizontal="left" vertical="center"/>
    </xf>
    <xf numFmtId="49" fontId="15" fillId="13" borderId="0" xfId="3" applyNumberFormat="1" applyFont="1" applyFill="1" applyBorder="1" applyAlignment="1" applyProtection="1">
      <alignment horizontal="left" vertical="center"/>
    </xf>
    <xf numFmtId="49" fontId="26" fillId="13" borderId="0" xfId="3" applyNumberFormat="1" applyFont="1" applyFill="1" applyBorder="1" applyAlignment="1" applyProtection="1">
      <alignment horizontal="left" vertical="center"/>
    </xf>
    <xf numFmtId="0" fontId="37" fillId="13" borderId="0" xfId="3" applyFont="1" applyFill="1" applyBorder="1" applyProtection="1"/>
    <xf numFmtId="0" fontId="37" fillId="13" borderId="0" xfId="3" applyFont="1" applyFill="1" applyBorder="1" applyAlignment="1" applyProtection="1">
      <alignment horizontal="right"/>
    </xf>
    <xf numFmtId="0" fontId="9" fillId="13" borderId="0" xfId="3" applyFont="1" applyFill="1" applyBorder="1" applyAlignment="1" applyProtection="1"/>
    <xf numFmtId="168" fontId="9" fillId="13" borderId="0" xfId="3" applyNumberFormat="1" applyFont="1" applyFill="1" applyBorder="1" applyProtection="1"/>
    <xf numFmtId="0" fontId="1" fillId="13" borderId="0" xfId="3" applyFont="1" applyFill="1" applyBorder="1" applyAlignment="1" applyProtection="1">
      <alignment horizontal="left"/>
    </xf>
    <xf numFmtId="0" fontId="1" fillId="13" borderId="0" xfId="3" applyFont="1" applyFill="1" applyBorder="1" applyAlignment="1" applyProtection="1">
      <alignment horizontal="centerContinuous"/>
    </xf>
    <xf numFmtId="167" fontId="42" fillId="13" borderId="0" xfId="3" applyNumberFormat="1" applyFont="1" applyFill="1" applyBorder="1" applyAlignment="1" applyProtection="1">
      <alignment horizontal="center" vertical="center"/>
    </xf>
    <xf numFmtId="0" fontId="43" fillId="13" borderId="24" xfId="3" applyNumberFormat="1" applyFont="1" applyFill="1" applyBorder="1" applyAlignment="1" applyProtection="1">
      <alignment vertical="center"/>
    </xf>
    <xf numFmtId="0" fontId="42" fillId="13" borderId="0" xfId="3" applyFont="1" applyFill="1" applyBorder="1" applyProtection="1"/>
    <xf numFmtId="0" fontId="43" fillId="13" borderId="24" xfId="3" applyFont="1" applyFill="1" applyBorder="1" applyProtection="1"/>
    <xf numFmtId="167" fontId="42" fillId="13" borderId="0" xfId="3" applyNumberFormat="1" applyFont="1" applyFill="1" applyBorder="1" applyAlignment="1" applyProtection="1">
      <alignment horizontal="right" vertical="center"/>
    </xf>
    <xf numFmtId="167" fontId="42" fillId="13" borderId="0" xfId="3" applyNumberFormat="1" applyFont="1" applyFill="1" applyBorder="1" applyAlignment="1" applyProtection="1">
      <alignment vertical="center"/>
    </xf>
    <xf numFmtId="166" fontId="1" fillId="13" borderId="12" xfId="3" applyNumberFormat="1" applyFont="1" applyFill="1" applyBorder="1" applyAlignment="1" applyProtection="1">
      <alignment horizontal="centerContinuous" vertical="center"/>
    </xf>
    <xf numFmtId="167" fontId="9" fillId="13" borderId="11" xfId="3" applyNumberFormat="1" applyFont="1" applyFill="1" applyBorder="1" applyAlignment="1" applyProtection="1">
      <alignment horizontal="centerContinuous" vertical="center"/>
    </xf>
    <xf numFmtId="1" fontId="14" fillId="18" borderId="0" xfId="3" applyNumberFormat="1" applyFont="1" applyFill="1" applyBorder="1" applyAlignment="1" applyProtection="1">
      <alignment vertical="center"/>
    </xf>
    <xf numFmtId="167" fontId="9" fillId="13" borderId="2" xfId="3" applyNumberFormat="1" applyFont="1" applyFill="1" applyBorder="1" applyAlignment="1" applyProtection="1">
      <alignment vertical="center"/>
    </xf>
    <xf numFmtId="167" fontId="9" fillId="13" borderId="3" xfId="3" applyNumberFormat="1" applyFont="1" applyFill="1" applyBorder="1" applyAlignment="1" applyProtection="1">
      <alignment vertical="center"/>
    </xf>
    <xf numFmtId="167" fontId="9" fillId="13" borderId="12" xfId="3" applyNumberFormat="1" applyFont="1" applyFill="1" applyBorder="1" applyAlignment="1" applyProtection="1">
      <alignment vertical="center"/>
    </xf>
    <xf numFmtId="167" fontId="9" fillId="13" borderId="11" xfId="3" applyNumberFormat="1" applyFont="1" applyFill="1" applyBorder="1" applyAlignment="1" applyProtection="1">
      <alignment vertical="center"/>
    </xf>
    <xf numFmtId="167" fontId="43" fillId="13" borderId="24" xfId="3" applyNumberFormat="1" applyFont="1" applyFill="1" applyBorder="1" applyAlignment="1" applyProtection="1">
      <alignment vertical="center"/>
    </xf>
    <xf numFmtId="167" fontId="12" fillId="13" borderId="32" xfId="3" applyNumberFormat="1" applyFont="1" applyFill="1" applyBorder="1" applyAlignment="1" applyProtection="1">
      <alignment vertical="center"/>
    </xf>
    <xf numFmtId="167" fontId="12" fillId="13" borderId="0" xfId="3" applyNumberFormat="1" applyFont="1" applyFill="1" applyBorder="1" applyAlignment="1" applyProtection="1">
      <alignment vertical="center"/>
    </xf>
    <xf numFmtId="0" fontId="1" fillId="13" borderId="10" xfId="3" applyFont="1" applyFill="1" applyBorder="1" applyProtection="1"/>
    <xf numFmtId="0" fontId="41" fillId="13" borderId="10" xfId="3" applyFont="1" applyFill="1" applyBorder="1" applyProtection="1"/>
    <xf numFmtId="0" fontId="37" fillId="13" borderId="32" xfId="0" applyFont="1" applyFill="1" applyBorder="1" applyAlignment="1" applyProtection="1">
      <alignment vertical="center"/>
    </xf>
    <xf numFmtId="49" fontId="13" fillId="13" borderId="0" xfId="0" applyNumberFormat="1" applyFont="1" applyFill="1" applyBorder="1" applyAlignment="1" applyProtection="1">
      <alignment vertical="center"/>
    </xf>
    <xf numFmtId="0" fontId="37" fillId="13" borderId="0" xfId="0" applyFont="1" applyFill="1" applyBorder="1" applyAlignment="1" applyProtection="1">
      <alignment horizontal="centerContinuous" vertical="center"/>
    </xf>
    <xf numFmtId="0" fontId="37" fillId="13" borderId="0" xfId="0" applyFont="1" applyFill="1" applyBorder="1" applyAlignment="1" applyProtection="1">
      <alignment vertical="center"/>
    </xf>
    <xf numFmtId="0" fontId="34" fillId="13" borderId="0" xfId="0" applyFont="1" applyFill="1" applyBorder="1" applyAlignment="1" applyProtection="1">
      <alignment vertical="center"/>
    </xf>
    <xf numFmtId="0" fontId="37" fillId="13" borderId="24" xfId="0" applyFont="1" applyFill="1" applyBorder="1" applyAlignment="1" applyProtection="1">
      <alignment vertical="center"/>
    </xf>
    <xf numFmtId="49" fontId="1" fillId="13" borderId="0" xfId="0" applyNumberFormat="1" applyFont="1" applyFill="1" applyBorder="1" applyProtection="1"/>
    <xf numFmtId="0" fontId="9" fillId="13" borderId="0" xfId="0" applyFont="1" applyFill="1" applyBorder="1" applyAlignment="1" applyProtection="1">
      <alignment horizontal="centerContinuous" vertical="center"/>
    </xf>
    <xf numFmtId="168" fontId="9" fillId="13" borderId="0" xfId="0" applyNumberFormat="1" applyFont="1" applyFill="1" applyBorder="1" applyProtection="1"/>
    <xf numFmtId="167" fontId="9" fillId="13" borderId="33" xfId="0" applyNumberFormat="1" applyFont="1" applyFill="1" applyBorder="1" applyAlignment="1" applyProtection="1">
      <alignment vertical="center"/>
    </xf>
    <xf numFmtId="167" fontId="9" fillId="13" borderId="10" xfId="0" applyNumberFormat="1" applyFont="1" applyFill="1" applyBorder="1" applyAlignment="1" applyProtection="1">
      <alignment vertical="center"/>
    </xf>
    <xf numFmtId="14" fontId="40" fillId="13" borderId="10" xfId="0" applyNumberFormat="1" applyFont="1" applyFill="1" applyBorder="1" applyAlignment="1" applyProtection="1">
      <alignment horizontal="center" vertical="center"/>
    </xf>
    <xf numFmtId="49" fontId="36" fillId="13" borderId="10" xfId="0" applyNumberFormat="1" applyFont="1" applyFill="1" applyBorder="1" applyAlignment="1" applyProtection="1">
      <alignment horizontal="center" vertical="center"/>
    </xf>
    <xf numFmtId="167" fontId="9" fillId="13" borderId="22" xfId="0" applyNumberFormat="1" applyFont="1" applyFill="1" applyBorder="1" applyAlignment="1" applyProtection="1">
      <alignment vertical="center"/>
    </xf>
    <xf numFmtId="0" fontId="31" fillId="18" borderId="29" xfId="0" applyFont="1" applyFill="1" applyBorder="1" applyAlignment="1" applyProtection="1">
      <alignment vertical="center"/>
    </xf>
    <xf numFmtId="0" fontId="31" fillId="18" borderId="30" xfId="0" applyFont="1" applyFill="1" applyBorder="1" applyAlignment="1" applyProtection="1">
      <alignment vertical="center"/>
    </xf>
    <xf numFmtId="0" fontId="31" fillId="18" borderId="31" xfId="0" applyFont="1" applyFill="1" applyBorder="1" applyAlignment="1" applyProtection="1">
      <alignment vertical="center"/>
    </xf>
    <xf numFmtId="0" fontId="1" fillId="18" borderId="0" xfId="0" applyFont="1" applyFill="1" applyBorder="1" applyAlignment="1" applyProtection="1">
      <alignment vertical="top" wrapText="1"/>
    </xf>
    <xf numFmtId="0" fontId="1" fillId="18" borderId="24" xfId="0" applyFont="1" applyFill="1" applyBorder="1" applyAlignment="1" applyProtection="1">
      <alignment vertical="top" wrapText="1"/>
    </xf>
    <xf numFmtId="0" fontId="31" fillId="18" borderId="32" xfId="0" applyFont="1" applyFill="1" applyBorder="1" applyAlignment="1" applyProtection="1">
      <alignment vertical="center"/>
    </xf>
    <xf numFmtId="0" fontId="31" fillId="18" borderId="0" xfId="0" applyFont="1" applyFill="1" applyBorder="1" applyAlignment="1" applyProtection="1">
      <alignment vertical="center"/>
    </xf>
    <xf numFmtId="0" fontId="31" fillId="18" borderId="24" xfId="0" applyFont="1" applyFill="1" applyBorder="1" applyAlignment="1" applyProtection="1">
      <alignment vertical="center"/>
    </xf>
    <xf numFmtId="167" fontId="34" fillId="13" borderId="0" xfId="0" applyNumberFormat="1" applyFont="1" applyFill="1" applyBorder="1" applyAlignment="1" applyProtection="1">
      <alignment vertical="center"/>
    </xf>
    <xf numFmtId="167" fontId="37" fillId="13" borderId="0" xfId="0" applyNumberFormat="1" applyFont="1" applyFill="1" applyBorder="1" applyAlignment="1" applyProtection="1">
      <alignment vertical="center"/>
    </xf>
    <xf numFmtId="167" fontId="9" fillId="13" borderId="0" xfId="0" applyNumberFormat="1" applyFont="1" applyFill="1" applyBorder="1" applyAlignment="1" applyProtection="1">
      <alignment horizontal="center" vertical="center"/>
    </xf>
    <xf numFmtId="1" fontId="31" fillId="13" borderId="0" xfId="3" applyNumberFormat="1" applyFont="1" applyFill="1" applyBorder="1" applyAlignment="1" applyProtection="1">
      <alignment horizontal="center"/>
    </xf>
    <xf numFmtId="0" fontId="1" fillId="13" borderId="10" xfId="0" applyFont="1" applyFill="1" applyBorder="1" applyProtection="1"/>
    <xf numFmtId="0" fontId="9" fillId="13" borderId="10" xfId="0" applyFont="1" applyFill="1" applyBorder="1" applyAlignment="1" applyProtection="1">
      <alignment horizontal="centerContinuous" vertical="center"/>
    </xf>
    <xf numFmtId="166" fontId="9" fillId="13" borderId="10" xfId="0" applyNumberFormat="1" applyFont="1" applyFill="1" applyBorder="1" applyProtection="1"/>
    <xf numFmtId="0" fontId="41" fillId="13" borderId="10" xfId="0" applyFont="1" applyFill="1" applyBorder="1" applyProtection="1"/>
    <xf numFmtId="0" fontId="9" fillId="11" borderId="30" xfId="3" applyFont="1" applyFill="1" applyBorder="1" applyProtection="1"/>
    <xf numFmtId="1" fontId="9" fillId="11" borderId="30" xfId="3" applyNumberFormat="1" applyFont="1" applyFill="1" applyBorder="1" applyProtection="1"/>
    <xf numFmtId="1" fontId="9" fillId="11" borderId="0" xfId="3" applyNumberFormat="1" applyFont="1" applyFill="1" applyProtection="1"/>
    <xf numFmtId="1" fontId="0" fillId="0" borderId="0" xfId="0" applyNumberFormat="1" applyProtection="1"/>
    <xf numFmtId="0" fontId="1" fillId="13" borderId="4" xfId="5" applyNumberFormat="1" applyFont="1" applyFill="1" applyBorder="1" applyAlignment="1" applyProtection="1">
      <alignment horizontal="center" vertical="center"/>
      <protection locked="0"/>
    </xf>
    <xf numFmtId="0" fontId="1" fillId="13" borderId="4" xfId="5" applyNumberFormat="1" applyFont="1" applyFill="1" applyBorder="1" applyProtection="1">
      <protection locked="0"/>
    </xf>
    <xf numFmtId="0" fontId="1" fillId="13" borderId="4" xfId="5" applyNumberFormat="1" applyFont="1" applyFill="1" applyBorder="1" applyAlignment="1" applyProtection="1">
      <alignment horizontal="center"/>
      <protection locked="0"/>
    </xf>
    <xf numFmtId="0" fontId="1" fillId="18" borderId="0" xfId="3" applyNumberFormat="1" applyFont="1" applyFill="1" applyAlignment="1" applyProtection="1">
      <alignment horizontal="center" vertical="center"/>
      <protection locked="0"/>
    </xf>
    <xf numFmtId="0" fontId="1" fillId="18" borderId="4" xfId="3" applyNumberFormat="1" applyFont="1" applyFill="1" applyBorder="1" applyAlignment="1" applyProtection="1">
      <alignment horizontal="center" vertical="center"/>
      <protection locked="0"/>
    </xf>
    <xf numFmtId="164" fontId="66" fillId="0" borderId="16" xfId="3" applyNumberFormat="1" applyFont="1" applyBorder="1" applyAlignment="1" applyProtection="1">
      <alignment horizontal="center" vertical="center"/>
    </xf>
    <xf numFmtId="1" fontId="19" fillId="0" borderId="4" xfId="3" applyNumberFormat="1" applyBorder="1" applyAlignment="1" applyProtection="1">
      <alignment horizontal="center" vertical="center"/>
    </xf>
    <xf numFmtId="0" fontId="9" fillId="13" borderId="16" xfId="3" applyNumberFormat="1" applyFont="1" applyFill="1" applyBorder="1" applyAlignment="1" applyProtection="1">
      <alignment horizontal="center" vertical="center"/>
    </xf>
    <xf numFmtId="0" fontId="9" fillId="13" borderId="28" xfId="3" applyNumberFormat="1" applyFont="1" applyFill="1" applyBorder="1" applyAlignment="1" applyProtection="1">
      <alignment horizontal="center" vertical="center"/>
    </xf>
    <xf numFmtId="1" fontId="1" fillId="0" borderId="4" xfId="3" applyNumberFormat="1" applyFont="1" applyBorder="1" applyAlignment="1" applyProtection="1">
      <alignment horizontal="center" vertical="center"/>
    </xf>
    <xf numFmtId="0" fontId="15" fillId="13" borderId="16" xfId="3" applyNumberFormat="1" applyFont="1" applyFill="1" applyBorder="1" applyAlignment="1" applyProtection="1">
      <alignment horizontal="center" vertical="center"/>
    </xf>
    <xf numFmtId="1" fontId="1" fillId="13" borderId="18" xfId="3" applyNumberFormat="1" applyFont="1" applyFill="1" applyBorder="1" applyAlignment="1" applyProtection="1">
      <alignment horizontal="center" vertical="center"/>
    </xf>
    <xf numFmtId="1" fontId="1" fillId="13" borderId="16" xfId="3" applyNumberFormat="1" applyFont="1" applyFill="1" applyBorder="1" applyAlignment="1" applyProtection="1">
      <alignment horizontal="center" vertical="center"/>
    </xf>
    <xf numFmtId="0" fontId="9" fillId="13" borderId="0" xfId="3" applyNumberFormat="1" applyFont="1" applyFill="1" applyBorder="1" applyAlignment="1" applyProtection="1">
      <alignment horizontal="center" vertical="center"/>
    </xf>
    <xf numFmtId="0" fontId="9" fillId="13" borderId="16" xfId="3" applyFont="1" applyFill="1" applyBorder="1" applyAlignment="1" applyProtection="1">
      <alignment vertical="center"/>
    </xf>
    <xf numFmtId="0" fontId="15" fillId="18" borderId="4" xfId="0" applyFont="1" applyFill="1" applyBorder="1" applyAlignment="1" applyProtection="1">
      <alignment horizontal="center" vertical="center"/>
      <protection locked="0"/>
    </xf>
    <xf numFmtId="0" fontId="9" fillId="13" borderId="16" xfId="3" applyNumberFormat="1" applyFont="1" applyFill="1" applyBorder="1" applyProtection="1"/>
    <xf numFmtId="0" fontId="9" fillId="13" borderId="0" xfId="3" applyNumberFormat="1" applyFont="1" applyFill="1" applyBorder="1" applyProtection="1"/>
    <xf numFmtId="0" fontId="9" fillId="13" borderId="28" xfId="3" applyNumberFormat="1" applyFont="1" applyFill="1" applyBorder="1" applyProtection="1"/>
    <xf numFmtId="0" fontId="0" fillId="8" borderId="12" xfId="0" applyFill="1" applyBorder="1" applyAlignment="1" applyProtection="1">
      <alignment horizontal="center"/>
      <protection locked="0"/>
    </xf>
    <xf numFmtId="0" fontId="1" fillId="8" borderId="4" xfId="0" applyFont="1" applyFill="1" applyBorder="1" applyAlignment="1" applyProtection="1">
      <alignment horizontal="center"/>
      <protection locked="0"/>
    </xf>
    <xf numFmtId="0" fontId="1" fillId="18" borderId="0" xfId="3" applyFont="1" applyFill="1" applyAlignment="1">
      <alignment horizontal="left"/>
    </xf>
    <xf numFmtId="0" fontId="9" fillId="18" borderId="0" xfId="3" applyFont="1" applyFill="1"/>
    <xf numFmtId="1" fontId="0" fillId="18" borderId="0" xfId="0" applyNumberFormat="1" applyFill="1" applyAlignment="1">
      <alignment horizontal="center"/>
    </xf>
    <xf numFmtId="0" fontId="34" fillId="23" borderId="4" xfId="3" applyNumberFormat="1" applyFont="1" applyFill="1" applyBorder="1" applyAlignment="1" applyProtection="1">
      <alignment horizontal="center" vertical="center"/>
      <protection locked="0"/>
    </xf>
    <xf numFmtId="0" fontId="34" fillId="22" borderId="4" xfId="3" applyNumberFormat="1" applyFont="1" applyFill="1" applyBorder="1" applyAlignment="1" applyProtection="1">
      <alignment horizontal="center" vertical="center"/>
      <protection locked="0"/>
    </xf>
    <xf numFmtId="0" fontId="34" fillId="0" borderId="4" xfId="3" applyNumberFormat="1" applyFont="1" applyFill="1" applyBorder="1" applyAlignment="1" applyProtection="1">
      <alignment horizontal="center" vertical="center"/>
      <protection locked="0"/>
    </xf>
    <xf numFmtId="1" fontId="0" fillId="8" borderId="4" xfId="0" applyNumberFormat="1" applyFill="1" applyBorder="1" applyProtection="1">
      <protection locked="0"/>
    </xf>
    <xf numFmtId="0" fontId="0" fillId="0" borderId="5" xfId="0" applyBorder="1" applyAlignment="1">
      <alignment horizontal="center" vertical="center"/>
    </xf>
    <xf numFmtId="1" fontId="5" fillId="4" borderId="0" xfId="0" applyNumberFormat="1" applyFont="1" applyFill="1" applyBorder="1" applyAlignment="1">
      <alignment horizontal="center"/>
    </xf>
    <xf numFmtId="0" fontId="0" fillId="0" borderId="17" xfId="0" applyBorder="1" applyAlignment="1">
      <alignment horizontal="center" vertical="center" wrapText="1"/>
    </xf>
    <xf numFmtId="0" fontId="13" fillId="27" borderId="37" xfId="0" applyFont="1" applyFill="1" applyBorder="1" applyAlignment="1"/>
    <xf numFmtId="0" fontId="13" fillId="27" borderId="38" xfId="0" applyFont="1" applyFill="1" applyBorder="1" applyAlignment="1"/>
    <xf numFmtId="0" fontId="1" fillId="8" borderId="53" xfId="0" applyNumberFormat="1" applyFont="1" applyFill="1" applyBorder="1" applyAlignment="1" applyProtection="1">
      <alignment horizontal="center"/>
      <protection locked="0"/>
    </xf>
    <xf numFmtId="0" fontId="1" fillId="8" borderId="39" xfId="0" applyNumberFormat="1" applyFont="1" applyFill="1" applyBorder="1" applyAlignment="1" applyProtection="1">
      <alignment horizontal="center"/>
      <protection locked="0"/>
    </xf>
    <xf numFmtId="0" fontId="1" fillId="7" borderId="12" xfId="0" applyNumberFormat="1" applyFont="1" applyFill="1" applyBorder="1" applyAlignment="1">
      <alignment horizontal="center"/>
    </xf>
    <xf numFmtId="0" fontId="1" fillId="7" borderId="11" xfId="0" applyNumberFormat="1" applyFont="1" applyFill="1" applyBorder="1" applyAlignment="1">
      <alignment horizontal="center"/>
    </xf>
    <xf numFmtId="0" fontId="0" fillId="7" borderId="12" xfId="0" applyNumberFormat="1" applyFill="1" applyBorder="1" applyAlignment="1">
      <alignment horizontal="center"/>
    </xf>
    <xf numFmtId="0" fontId="0" fillId="7" borderId="11" xfId="0" applyNumberFormat="1" applyFill="1" applyBorder="1" applyAlignment="1">
      <alignment horizontal="center"/>
    </xf>
    <xf numFmtId="0" fontId="0" fillId="20" borderId="12" xfId="0" applyFill="1" applyBorder="1"/>
    <xf numFmtId="0" fontId="0" fillId="0" borderId="16" xfId="0" applyBorder="1"/>
    <xf numFmtId="0" fontId="1" fillId="20" borderId="12" xfId="0" applyFont="1" applyFill="1" applyBorder="1"/>
    <xf numFmtId="1" fontId="0" fillId="24" borderId="12" xfId="0" applyNumberFormat="1" applyFill="1" applyBorder="1" applyAlignment="1">
      <alignment horizontal="center"/>
    </xf>
    <xf numFmtId="0" fontId="0" fillId="24" borderId="11" xfId="0" applyNumberFormat="1" applyFill="1" applyBorder="1" applyAlignment="1">
      <alignment horizontal="center"/>
    </xf>
    <xf numFmtId="1" fontId="1" fillId="21" borderId="12" xfId="0" applyNumberFormat="1" applyFont="1" applyFill="1" applyBorder="1" applyAlignment="1" applyProtection="1">
      <alignment horizontal="left"/>
      <protection locked="0"/>
    </xf>
    <xf numFmtId="0" fontId="0" fillId="21" borderId="11" xfId="0" applyFill="1" applyBorder="1" applyAlignment="1" applyProtection="1">
      <alignment horizontal="left"/>
      <protection locked="0"/>
    </xf>
    <xf numFmtId="0" fontId="0" fillId="8" borderId="12" xfId="0" applyNumberFormat="1" applyFill="1" applyBorder="1" applyAlignment="1" applyProtection="1">
      <alignment horizontal="center"/>
      <protection locked="0"/>
    </xf>
    <xf numFmtId="0" fontId="0" fillId="0" borderId="11" xfId="0" applyNumberFormat="1" applyBorder="1" applyAlignment="1" applyProtection="1">
      <alignment horizontal="center"/>
      <protection locked="0"/>
    </xf>
    <xf numFmtId="0" fontId="0" fillId="7" borderId="12" xfId="0" applyNumberFormat="1" applyFill="1" applyBorder="1" applyAlignment="1" applyProtection="1">
      <alignment horizontal="center"/>
      <protection locked="0"/>
    </xf>
    <xf numFmtId="0" fontId="0" fillId="7" borderId="11" xfId="0" applyNumberFormat="1" applyFill="1" applyBorder="1" applyAlignment="1" applyProtection="1">
      <alignment horizontal="center"/>
      <protection locked="0"/>
    </xf>
    <xf numFmtId="0" fontId="1" fillId="20" borderId="17" xfId="0" applyFont="1" applyFill="1" applyBorder="1" applyAlignment="1"/>
    <xf numFmtId="0" fontId="0" fillId="0" borderId="19" xfId="0" applyBorder="1" applyAlignment="1"/>
    <xf numFmtId="1" fontId="0" fillId="8" borderId="12" xfId="0" applyNumberFormat="1" applyFill="1" applyBorder="1" applyAlignment="1">
      <alignment horizontal="center"/>
    </xf>
    <xf numFmtId="1" fontId="0" fillId="0" borderId="11" xfId="0" applyNumberFormat="1" applyBorder="1" applyAlignment="1">
      <alignment horizontal="center"/>
    </xf>
    <xf numFmtId="1" fontId="1" fillId="8" borderId="12" xfId="0" applyNumberFormat="1" applyFont="1" applyFill="1" applyBorder="1" applyAlignment="1" applyProtection="1">
      <alignment horizontal="left"/>
      <protection locked="0"/>
    </xf>
    <xf numFmtId="0" fontId="0" fillId="0" borderId="11" xfId="0" applyBorder="1" applyAlignment="1" applyProtection="1">
      <alignment horizontal="left"/>
      <protection locked="0"/>
    </xf>
    <xf numFmtId="0" fontId="0" fillId="8" borderId="12" xfId="0" applyFill="1" applyBorder="1" applyAlignment="1" applyProtection="1">
      <alignment horizontal="center"/>
      <protection locked="0"/>
    </xf>
    <xf numFmtId="0" fontId="0" fillId="0" borderId="11" xfId="0" applyBorder="1" applyAlignment="1" applyProtection="1">
      <alignment horizontal="center"/>
      <protection locked="0"/>
    </xf>
    <xf numFmtId="0" fontId="1" fillId="8" borderId="12" xfId="0" applyNumberFormat="1" applyFont="1" applyFill="1" applyBorder="1" applyAlignment="1" applyProtection="1">
      <alignment horizontal="center"/>
      <protection locked="0"/>
    </xf>
    <xf numFmtId="0" fontId="0" fillId="8" borderId="11" xfId="0" applyFill="1" applyBorder="1" applyAlignment="1" applyProtection="1">
      <alignment horizontal="center"/>
      <protection locked="0"/>
    </xf>
    <xf numFmtId="0" fontId="0" fillId="8" borderId="12" xfId="0" applyNumberFormat="1" applyFill="1" applyBorder="1" applyAlignment="1">
      <alignment horizontal="center"/>
    </xf>
    <xf numFmtId="0" fontId="0" fillId="0" borderId="11" xfId="0" applyNumberFormat="1" applyBorder="1" applyAlignment="1">
      <alignment horizontal="center"/>
    </xf>
    <xf numFmtId="1" fontId="0" fillId="27" borderId="12" xfId="0" applyNumberFormat="1" applyFill="1" applyBorder="1" applyAlignment="1">
      <alignment horizontal="center"/>
    </xf>
    <xf numFmtId="0" fontId="0" fillId="27" borderId="11" xfId="0" applyNumberFormat="1" applyFill="1" applyBorder="1" applyAlignment="1">
      <alignment horizontal="center"/>
    </xf>
    <xf numFmtId="0" fontId="0" fillId="13" borderId="12" xfId="0" applyNumberFormat="1" applyFill="1" applyBorder="1" applyAlignment="1">
      <alignment horizontal="center"/>
    </xf>
    <xf numFmtId="0" fontId="0" fillId="13" borderId="11" xfId="0" applyNumberFormat="1" applyFill="1" applyBorder="1" applyAlignment="1">
      <alignment horizontal="center"/>
    </xf>
    <xf numFmtId="0" fontId="8" fillId="25" borderId="4" xfId="0" applyFont="1" applyFill="1" applyBorder="1" applyAlignment="1">
      <alignment horizontal="left"/>
    </xf>
    <xf numFmtId="0" fontId="0" fillId="6" borderId="4" xfId="0" applyFill="1" applyBorder="1" applyAlignment="1">
      <alignment horizontal="left"/>
    </xf>
    <xf numFmtId="0" fontId="0" fillId="6" borderId="12" xfId="0" applyFill="1" applyBorder="1" applyAlignment="1">
      <alignment horizontal="left"/>
    </xf>
    <xf numFmtId="0" fontId="0" fillId="6" borderId="16" xfId="0" applyFill="1" applyBorder="1" applyAlignment="1">
      <alignment horizontal="left"/>
    </xf>
    <xf numFmtId="0" fontId="0" fillId="6" borderId="11" xfId="0" applyFill="1" applyBorder="1" applyAlignment="1">
      <alignment horizontal="left"/>
    </xf>
    <xf numFmtId="0" fontId="0" fillId="2" borderId="12" xfId="0" applyFill="1" applyBorder="1" applyAlignment="1">
      <alignment horizontal="left"/>
    </xf>
    <xf numFmtId="0" fontId="0" fillId="2" borderId="16" xfId="0" applyFill="1" applyBorder="1" applyAlignment="1">
      <alignment horizontal="left"/>
    </xf>
    <xf numFmtId="0" fontId="0" fillId="2" borderId="11" xfId="0" applyFill="1" applyBorder="1" applyAlignment="1">
      <alignment horizontal="left"/>
    </xf>
    <xf numFmtId="0" fontId="8" fillId="2" borderId="4" xfId="0" applyFont="1" applyFill="1" applyBorder="1" applyAlignment="1">
      <alignment horizontal="left"/>
    </xf>
    <xf numFmtId="0" fontId="8" fillId="2" borderId="17" xfId="0" applyFont="1" applyFill="1" applyBorder="1" applyAlignment="1">
      <alignment horizontal="center"/>
    </xf>
    <xf numFmtId="0" fontId="8" fillId="2" borderId="18" xfId="0" applyFont="1" applyFill="1" applyBorder="1" applyAlignment="1">
      <alignment horizontal="center"/>
    </xf>
    <xf numFmtId="0" fontId="8" fillId="2" borderId="19" xfId="0" applyFont="1" applyFill="1" applyBorder="1" applyAlignment="1">
      <alignment horizontal="center"/>
    </xf>
    <xf numFmtId="0" fontId="8" fillId="2" borderId="12" xfId="0" applyFont="1" applyFill="1" applyBorder="1" applyAlignment="1">
      <alignment horizontal="center"/>
    </xf>
    <xf numFmtId="0" fontId="8" fillId="2" borderId="16" xfId="0" applyFont="1" applyFill="1" applyBorder="1" applyAlignment="1">
      <alignment horizontal="center"/>
    </xf>
    <xf numFmtId="0" fontId="8" fillId="2" borderId="11" xfId="0" applyFont="1" applyFill="1" applyBorder="1" applyAlignment="1">
      <alignment horizontal="center"/>
    </xf>
    <xf numFmtId="0" fontId="0" fillId="12" borderId="4" xfId="0" applyFill="1" applyBorder="1" applyAlignment="1">
      <alignment horizontal="left"/>
    </xf>
    <xf numFmtId="0" fontId="0" fillId="2" borderId="12" xfId="0" applyFill="1" applyBorder="1" applyAlignment="1">
      <alignment horizontal="center"/>
    </xf>
    <xf numFmtId="0" fontId="0" fillId="2" borderId="16" xfId="0" applyFill="1" applyBorder="1" applyAlignment="1">
      <alignment horizontal="center"/>
    </xf>
    <xf numFmtId="0" fontId="1" fillId="25" borderId="12" xfId="0" applyFont="1" applyFill="1" applyBorder="1" applyAlignment="1">
      <alignment horizontal="left"/>
    </xf>
    <xf numFmtId="0" fontId="1" fillId="25" borderId="16" xfId="0" applyFont="1" applyFill="1" applyBorder="1" applyAlignment="1">
      <alignment horizontal="left"/>
    </xf>
    <xf numFmtId="0" fontId="1" fillId="25" borderId="11" xfId="0" applyFont="1" applyFill="1" applyBorder="1" applyAlignment="1">
      <alignment horizontal="left"/>
    </xf>
    <xf numFmtId="0" fontId="0" fillId="5" borderId="4" xfId="0" applyFill="1" applyBorder="1" applyAlignment="1">
      <alignment horizontal="left"/>
    </xf>
    <xf numFmtId="0" fontId="0" fillId="5" borderId="12" xfId="0" applyFill="1" applyBorder="1" applyAlignment="1">
      <alignment horizontal="left"/>
    </xf>
    <xf numFmtId="0" fontId="0" fillId="5" borderId="16" xfId="0" applyFill="1" applyBorder="1" applyAlignment="1">
      <alignment horizontal="left"/>
    </xf>
    <xf numFmtId="0" fontId="0" fillId="5" borderId="11" xfId="0" applyFill="1" applyBorder="1" applyAlignment="1">
      <alignment horizontal="left"/>
    </xf>
    <xf numFmtId="0" fontId="0" fillId="5" borderId="7" xfId="0" applyFill="1" applyBorder="1" applyAlignment="1">
      <alignment horizontal="left"/>
    </xf>
    <xf numFmtId="0" fontId="0" fillId="5" borderId="15" xfId="0" applyFill="1" applyBorder="1" applyAlignment="1">
      <alignment horizontal="left"/>
    </xf>
    <xf numFmtId="0" fontId="0" fillId="5" borderId="1" xfId="0" applyFill="1" applyBorder="1" applyAlignment="1">
      <alignment horizontal="left"/>
    </xf>
    <xf numFmtId="0" fontId="0" fillId="5" borderId="9" xfId="0" applyFill="1" applyBorder="1" applyAlignment="1">
      <alignment horizontal="left"/>
    </xf>
    <xf numFmtId="0" fontId="0" fillId="5" borderId="36" xfId="0" applyFill="1" applyBorder="1" applyAlignment="1">
      <alignment horizontal="left"/>
    </xf>
    <xf numFmtId="0" fontId="0" fillId="7" borderId="4" xfId="0" applyFill="1" applyBorder="1" applyAlignment="1">
      <alignment horizontal="left"/>
    </xf>
    <xf numFmtId="0" fontId="3" fillId="0" borderId="0" xfId="0" applyFont="1" applyAlignment="1">
      <alignment horizontal="center"/>
    </xf>
    <xf numFmtId="0" fontId="0" fillId="3" borderId="4" xfId="0" applyFill="1" applyBorder="1" applyAlignment="1">
      <alignment horizontal="left"/>
    </xf>
    <xf numFmtId="0" fontId="7" fillId="5" borderId="4" xfId="0" applyFont="1" applyFill="1" applyBorder="1" applyAlignment="1">
      <alignment horizontal="left"/>
    </xf>
    <xf numFmtId="0" fontId="8" fillId="5" borderId="4" xfId="0" applyFont="1" applyFill="1" applyBorder="1" applyAlignment="1">
      <alignment horizontal="left"/>
    </xf>
    <xf numFmtId="1" fontId="0" fillId="10" borderId="12" xfId="0" applyNumberFormat="1" applyFill="1" applyBorder="1" applyAlignment="1">
      <alignment horizontal="left"/>
    </xf>
    <xf numFmtId="1" fontId="0" fillId="10" borderId="16" xfId="0" applyNumberFormat="1" applyFill="1" applyBorder="1" applyAlignment="1">
      <alignment horizontal="left"/>
    </xf>
    <xf numFmtId="1" fontId="0" fillId="10" borderId="11" xfId="0" applyNumberFormat="1" applyFill="1" applyBorder="1" applyAlignment="1">
      <alignment horizontal="left"/>
    </xf>
    <xf numFmtId="0" fontId="0" fillId="4" borderId="4" xfId="0" applyFill="1" applyBorder="1" applyAlignment="1">
      <alignment horizontal="left"/>
    </xf>
    <xf numFmtId="0" fontId="8" fillId="6" borderId="0" xfId="0" applyFont="1" applyFill="1" applyAlignment="1">
      <alignment horizontal="left"/>
    </xf>
    <xf numFmtId="0" fontId="1" fillId="27" borderId="4" xfId="0" applyFont="1" applyFill="1" applyBorder="1" applyAlignment="1">
      <alignment horizontal="left"/>
    </xf>
    <xf numFmtId="0" fontId="0" fillId="27" borderId="4" xfId="0" applyFill="1" applyBorder="1" applyAlignment="1">
      <alignment horizontal="left"/>
    </xf>
    <xf numFmtId="0" fontId="8" fillId="12" borderId="0" xfId="0" applyFont="1" applyFill="1" applyAlignment="1">
      <alignment horizontal="left"/>
    </xf>
    <xf numFmtId="0" fontId="1" fillId="4" borderId="4" xfId="0" applyFont="1" applyFill="1" applyBorder="1" applyAlignment="1">
      <alignment horizontal="left"/>
    </xf>
    <xf numFmtId="0" fontId="0" fillId="4" borderId="12" xfId="0" applyFill="1" applyBorder="1" applyAlignment="1">
      <alignment horizontal="left"/>
    </xf>
    <xf numFmtId="0" fontId="0" fillId="4" borderId="16" xfId="0" applyFill="1" applyBorder="1" applyAlignment="1">
      <alignment horizontal="left"/>
    </xf>
    <xf numFmtId="0" fontId="0" fillId="4" borderId="11" xfId="0" applyFill="1" applyBorder="1" applyAlignment="1">
      <alignment horizontal="left"/>
    </xf>
    <xf numFmtId="0" fontId="7" fillId="4" borderId="4" xfId="0" applyFont="1" applyFill="1" applyBorder="1" applyAlignment="1">
      <alignment horizontal="left"/>
    </xf>
    <xf numFmtId="0" fontId="0" fillId="6" borderId="12" xfId="0" applyFill="1" applyBorder="1" applyAlignment="1">
      <alignment horizontal="center"/>
    </xf>
    <xf numFmtId="0" fontId="0" fillId="6" borderId="11" xfId="0" applyFill="1" applyBorder="1" applyAlignment="1">
      <alignment horizontal="center"/>
    </xf>
    <xf numFmtId="0" fontId="8" fillId="4" borderId="28" xfId="0" applyFont="1" applyFill="1" applyBorder="1" applyAlignment="1">
      <alignment horizontal="left"/>
    </xf>
    <xf numFmtId="0" fontId="0" fillId="3" borderId="12" xfId="0" applyFill="1" applyBorder="1" applyAlignment="1">
      <alignment horizontal="left"/>
    </xf>
    <xf numFmtId="0" fontId="0" fillId="3" borderId="16" xfId="0" applyFill="1" applyBorder="1" applyAlignment="1">
      <alignment horizontal="left"/>
    </xf>
    <xf numFmtId="0" fontId="0" fillId="3" borderId="11" xfId="0" applyFill="1" applyBorder="1" applyAlignment="1">
      <alignment horizontal="left"/>
    </xf>
    <xf numFmtId="0" fontId="0" fillId="25" borderId="12" xfId="0" applyFill="1" applyBorder="1" applyAlignment="1">
      <alignment horizontal="left"/>
    </xf>
    <xf numFmtId="0" fontId="0" fillId="25" borderId="16" xfId="0" applyFill="1" applyBorder="1" applyAlignment="1">
      <alignment horizontal="left"/>
    </xf>
    <xf numFmtId="0" fontId="0" fillId="25" borderId="11" xfId="0" applyFill="1" applyBorder="1" applyAlignment="1">
      <alignment horizontal="left"/>
    </xf>
    <xf numFmtId="0" fontId="8" fillId="27" borderId="0" xfId="0" applyFont="1" applyFill="1" applyAlignment="1">
      <alignment horizontal="left"/>
    </xf>
    <xf numFmtId="0" fontId="8" fillId="3" borderId="4" xfId="0" applyFont="1" applyFill="1" applyBorder="1" applyAlignment="1">
      <alignment horizontal="left"/>
    </xf>
    <xf numFmtId="1" fontId="0" fillId="0" borderId="0" xfId="0" applyNumberFormat="1" applyFill="1" applyBorder="1" applyAlignment="1">
      <alignment horizontal="center"/>
    </xf>
    <xf numFmtId="0" fontId="0" fillId="4" borderId="4" xfId="0" applyFill="1" applyBorder="1" applyAlignment="1">
      <alignment horizontal="center"/>
    </xf>
    <xf numFmtId="0" fontId="0" fillId="0" borderId="0" xfId="0" applyAlignment="1">
      <alignment horizontal="left"/>
    </xf>
    <xf numFmtId="1" fontId="0" fillId="4" borderId="4" xfId="0" applyNumberFormat="1" applyFill="1" applyBorder="1" applyAlignment="1">
      <alignment horizontal="center"/>
    </xf>
    <xf numFmtId="0" fontId="0" fillId="0" borderId="0" xfId="0" applyFill="1" applyBorder="1" applyAlignment="1">
      <alignment horizontal="center"/>
    </xf>
    <xf numFmtId="0" fontId="1" fillId="13" borderId="12" xfId="5" applyNumberFormat="1" applyFont="1" applyFill="1" applyBorder="1" applyAlignment="1" applyProtection="1">
      <alignment horizontal="center" vertical="center"/>
      <protection locked="0"/>
    </xf>
    <xf numFmtId="0" fontId="1" fillId="13" borderId="11" xfId="5" applyNumberFormat="1" applyFont="1" applyFill="1" applyBorder="1" applyAlignment="1" applyProtection="1">
      <alignment horizontal="center" vertical="center"/>
      <protection locked="0"/>
    </xf>
    <xf numFmtId="0" fontId="1" fillId="13" borderId="16" xfId="5" applyNumberFormat="1" applyFont="1" applyFill="1" applyBorder="1" applyAlignment="1" applyProtection="1">
      <alignment horizontal="center" vertical="center"/>
      <protection locked="0"/>
    </xf>
    <xf numFmtId="14" fontId="1" fillId="13" borderId="12" xfId="5" applyNumberFormat="1" applyFont="1" applyFill="1" applyBorder="1" applyAlignment="1" applyProtection="1">
      <alignment horizontal="center" vertical="center"/>
      <protection locked="0"/>
    </xf>
    <xf numFmtId="0" fontId="1" fillId="13" borderId="12" xfId="3" applyFont="1" applyFill="1" applyBorder="1" applyAlignment="1" applyProtection="1">
      <alignment horizontal="center" vertical="center"/>
    </xf>
    <xf numFmtId="0" fontId="1" fillId="13" borderId="16" xfId="3" applyFont="1" applyFill="1" applyBorder="1" applyAlignment="1" applyProtection="1">
      <alignment horizontal="center" vertical="center"/>
    </xf>
    <xf numFmtId="0" fontId="1" fillId="13" borderId="11" xfId="3" applyFont="1" applyFill="1" applyBorder="1" applyAlignment="1" applyProtection="1">
      <alignment horizontal="center" vertical="center"/>
    </xf>
    <xf numFmtId="49" fontId="13" fillId="13" borderId="16" xfId="3" applyNumberFormat="1" applyFont="1" applyFill="1" applyBorder="1" applyAlignment="1" applyProtection="1">
      <alignment horizontal="center" vertical="center"/>
    </xf>
    <xf numFmtId="0" fontId="19" fillId="0" borderId="16" xfId="3" applyBorder="1" applyProtection="1"/>
    <xf numFmtId="1" fontId="60" fillId="0" borderId="16" xfId="3" applyNumberFormat="1" applyFont="1" applyBorder="1" applyAlignment="1" applyProtection="1">
      <alignment horizontal="center" vertical="center"/>
    </xf>
    <xf numFmtId="9" fontId="13" fillId="13" borderId="12" xfId="3" applyNumberFormat="1" applyFont="1" applyFill="1" applyBorder="1" applyAlignment="1" applyProtection="1">
      <alignment horizontal="center" vertical="center"/>
    </xf>
    <xf numFmtId="9" fontId="13" fillId="13" borderId="11" xfId="3" applyNumberFormat="1" applyFont="1" applyFill="1" applyBorder="1" applyAlignment="1" applyProtection="1">
      <alignment horizontal="center" vertical="center"/>
    </xf>
    <xf numFmtId="1" fontId="60" fillId="0" borderId="12" xfId="3" applyNumberFormat="1" applyFont="1" applyBorder="1" applyAlignment="1" applyProtection="1">
      <alignment horizontal="center" vertical="center"/>
    </xf>
    <xf numFmtId="1" fontId="60" fillId="0" borderId="11" xfId="3" applyNumberFormat="1" applyFont="1" applyBorder="1" applyAlignment="1" applyProtection="1">
      <alignment horizontal="center" vertical="center"/>
    </xf>
    <xf numFmtId="1" fontId="57" fillId="0" borderId="16" xfId="3" applyNumberFormat="1" applyFont="1" applyBorder="1" applyAlignment="1" applyProtection="1">
      <alignment horizontal="center" vertical="center"/>
    </xf>
    <xf numFmtId="0" fontId="9" fillId="13" borderId="28" xfId="3" applyFont="1" applyFill="1" applyBorder="1" applyAlignment="1" applyProtection="1">
      <alignment horizontal="center"/>
    </xf>
    <xf numFmtId="0" fontId="0" fillId="18" borderId="12" xfId="0" applyFill="1" applyBorder="1" applyAlignment="1" applyProtection="1">
      <alignment horizontal="center"/>
      <protection locked="0"/>
    </xf>
    <xf numFmtId="0" fontId="0" fillId="18" borderId="11" xfId="0" applyFill="1" applyBorder="1" applyAlignment="1" applyProtection="1">
      <alignment horizontal="center"/>
      <protection locked="0"/>
    </xf>
    <xf numFmtId="0" fontId="1" fillId="13" borderId="28" xfId="5" applyFont="1" applyFill="1" applyBorder="1" applyAlignment="1" applyProtection="1">
      <alignment horizontal="center" shrinkToFit="1"/>
    </xf>
    <xf numFmtId="0" fontId="1" fillId="13" borderId="28" xfId="5" applyFont="1" applyFill="1" applyBorder="1" applyAlignment="1" applyProtection="1">
      <alignment horizontal="center"/>
    </xf>
    <xf numFmtId="0" fontId="1" fillId="13" borderId="0" xfId="3" applyFont="1" applyFill="1" applyBorder="1" applyAlignment="1" applyProtection="1">
      <alignment horizontal="center"/>
    </xf>
    <xf numFmtId="1" fontId="0" fillId="4" borderId="12" xfId="0" applyNumberFormat="1" applyFill="1" applyBorder="1" applyAlignment="1" applyProtection="1">
      <alignment horizontal="center"/>
    </xf>
    <xf numFmtId="1" fontId="0" fillId="4" borderId="11" xfId="0" applyNumberFormat="1" applyFill="1" applyBorder="1" applyAlignment="1" applyProtection="1">
      <alignment horizontal="center"/>
    </xf>
    <xf numFmtId="1" fontId="0" fillId="16" borderId="12" xfId="0" applyNumberFormat="1" applyFill="1" applyBorder="1" applyAlignment="1" applyProtection="1">
      <alignment horizontal="center"/>
    </xf>
    <xf numFmtId="1" fontId="0" fillId="16" borderId="16" xfId="0" applyNumberFormat="1" applyFill="1" applyBorder="1" applyAlignment="1" applyProtection="1">
      <alignment horizontal="center"/>
    </xf>
    <xf numFmtId="1" fontId="0" fillId="16" borderId="11" xfId="0" applyNumberFormat="1" applyFill="1" applyBorder="1" applyAlignment="1" applyProtection="1">
      <alignment horizontal="center"/>
    </xf>
    <xf numFmtId="1" fontId="0" fillId="4" borderId="12" xfId="0" applyNumberFormat="1" applyFill="1" applyBorder="1" applyAlignment="1">
      <alignment horizontal="center"/>
    </xf>
    <xf numFmtId="1" fontId="0" fillId="4" borderId="11" xfId="0" applyNumberFormat="1" applyFill="1" applyBorder="1" applyAlignment="1">
      <alignment horizontal="center"/>
    </xf>
    <xf numFmtId="0" fontId="15" fillId="13" borderId="28" xfId="5" applyFont="1" applyFill="1" applyBorder="1" applyAlignment="1" applyProtection="1">
      <alignment horizontal="center"/>
    </xf>
    <xf numFmtId="0" fontId="15" fillId="13" borderId="0" xfId="5" applyFont="1" applyFill="1" applyBorder="1" applyAlignment="1" applyProtection="1">
      <alignment horizontal="center"/>
    </xf>
    <xf numFmtId="1" fontId="0" fillId="18" borderId="12" xfId="0" applyNumberFormat="1" applyFill="1" applyBorder="1" applyAlignment="1" applyProtection="1">
      <alignment horizontal="center"/>
    </xf>
    <xf numFmtId="1" fontId="0" fillId="18" borderId="11" xfId="0" applyNumberFormat="1" applyFill="1" applyBorder="1" applyAlignment="1" applyProtection="1">
      <alignment horizontal="center"/>
    </xf>
    <xf numFmtId="0" fontId="0" fillId="18" borderId="2" xfId="0" applyFill="1" applyBorder="1" applyAlignment="1" applyProtection="1">
      <alignment horizontal="center"/>
    </xf>
    <xf numFmtId="0" fontId="0" fillId="18" borderId="0" xfId="0" applyFill="1" applyBorder="1" applyAlignment="1" applyProtection="1">
      <alignment horizontal="center"/>
    </xf>
    <xf numFmtId="0" fontId="0" fillId="4" borderId="12" xfId="0" applyFill="1" applyBorder="1" applyAlignment="1" applyProtection="1">
      <alignment horizontal="center"/>
    </xf>
    <xf numFmtId="0" fontId="0" fillId="4" borderId="11" xfId="0" applyFill="1" applyBorder="1" applyAlignment="1" applyProtection="1">
      <alignment horizontal="center"/>
    </xf>
    <xf numFmtId="0" fontId="13" fillId="13" borderId="17" xfId="5" applyFont="1" applyFill="1" applyBorder="1" applyAlignment="1" applyProtection="1">
      <alignment horizontal="center" vertical="center" wrapText="1"/>
    </xf>
    <xf numFmtId="0" fontId="13" fillId="13" borderId="18" xfId="5" applyFont="1" applyFill="1" applyBorder="1" applyAlignment="1" applyProtection="1">
      <alignment horizontal="center" vertical="center"/>
    </xf>
    <xf numFmtId="0" fontId="13" fillId="13" borderId="19" xfId="5" applyFont="1" applyFill="1" applyBorder="1" applyAlignment="1" applyProtection="1">
      <alignment horizontal="center" vertical="center"/>
    </xf>
    <xf numFmtId="0" fontId="13" fillId="13" borderId="27" xfId="5" applyFont="1" applyFill="1" applyBorder="1" applyAlignment="1" applyProtection="1">
      <alignment horizontal="center" vertical="center"/>
    </xf>
    <xf numFmtId="0" fontId="13" fillId="13" borderId="28" xfId="5" applyFont="1" applyFill="1" applyBorder="1" applyAlignment="1" applyProtection="1">
      <alignment horizontal="center" vertical="center"/>
    </xf>
    <xf numFmtId="0" fontId="13" fillId="13" borderId="14" xfId="5" applyFont="1" applyFill="1" applyBorder="1" applyAlignment="1" applyProtection="1">
      <alignment horizontal="center" vertical="center"/>
    </xf>
    <xf numFmtId="0" fontId="13" fillId="13" borderId="18" xfId="5" applyFont="1" applyFill="1" applyBorder="1" applyAlignment="1" applyProtection="1">
      <alignment horizontal="center" vertical="center" wrapText="1"/>
    </xf>
    <xf numFmtId="0" fontId="13" fillId="13" borderId="19" xfId="5" applyFont="1" applyFill="1" applyBorder="1" applyAlignment="1" applyProtection="1">
      <alignment horizontal="center" vertical="center" wrapText="1"/>
    </xf>
    <xf numFmtId="0" fontId="13" fillId="13" borderId="27" xfId="5" applyFont="1" applyFill="1" applyBorder="1" applyAlignment="1" applyProtection="1">
      <alignment horizontal="center" vertical="center" wrapText="1"/>
    </xf>
    <xf numFmtId="0" fontId="13" fillId="13" borderId="28" xfId="5" applyFont="1" applyFill="1" applyBorder="1" applyAlignment="1" applyProtection="1">
      <alignment horizontal="center" vertical="center" wrapText="1"/>
    </xf>
    <xf numFmtId="0" fontId="13" fillId="13" borderId="14" xfId="5" applyFont="1" applyFill="1" applyBorder="1" applyAlignment="1" applyProtection="1">
      <alignment horizontal="center" vertical="center" wrapText="1"/>
    </xf>
    <xf numFmtId="0" fontId="9" fillId="18" borderId="0" xfId="3" applyFont="1" applyFill="1" applyBorder="1" applyAlignment="1" applyProtection="1">
      <alignment horizontal="center"/>
    </xf>
    <xf numFmtId="0" fontId="15" fillId="13" borderId="0" xfId="3" applyFont="1" applyFill="1" applyBorder="1" applyAlignment="1" applyProtection="1">
      <alignment horizontal="center"/>
    </xf>
    <xf numFmtId="0" fontId="0" fillId="18" borderId="12" xfId="0" applyFill="1" applyBorder="1" applyAlignment="1" applyProtection="1">
      <alignment horizontal="center"/>
    </xf>
    <xf numFmtId="0" fontId="0" fillId="18" borderId="11" xfId="0" applyFill="1" applyBorder="1" applyAlignment="1" applyProtection="1">
      <alignment horizontal="center"/>
    </xf>
    <xf numFmtId="0" fontId="0" fillId="18" borderId="3" xfId="0" applyFill="1" applyBorder="1" applyAlignment="1" applyProtection="1">
      <alignment horizontal="center"/>
    </xf>
    <xf numFmtId="14" fontId="9" fillId="13" borderId="12" xfId="3" applyNumberFormat="1" applyFont="1" applyFill="1" applyBorder="1" applyAlignment="1" applyProtection="1">
      <alignment horizontal="center"/>
      <protection locked="0"/>
    </xf>
    <xf numFmtId="14" fontId="9" fillId="13" borderId="11" xfId="3" applyNumberFormat="1" applyFont="1" applyFill="1" applyBorder="1" applyAlignment="1" applyProtection="1">
      <alignment horizontal="center"/>
      <protection locked="0"/>
    </xf>
    <xf numFmtId="0" fontId="1" fillId="13" borderId="12" xfId="3" applyFont="1" applyFill="1" applyBorder="1" applyAlignment="1" applyProtection="1">
      <alignment horizontal="center"/>
      <protection locked="0"/>
    </xf>
    <xf numFmtId="0" fontId="1" fillId="13" borderId="11" xfId="3" applyFont="1" applyFill="1" applyBorder="1" applyAlignment="1" applyProtection="1">
      <alignment horizontal="center"/>
      <protection locked="0"/>
    </xf>
    <xf numFmtId="0" fontId="20" fillId="0" borderId="29" xfId="3" applyFont="1" applyFill="1" applyBorder="1" applyAlignment="1" applyProtection="1">
      <alignment horizontal="left" vertical="center"/>
    </xf>
    <xf numFmtId="0" fontId="0" fillId="0" borderId="30" xfId="0" applyFill="1" applyBorder="1" applyProtection="1"/>
    <xf numFmtId="0" fontId="0" fillId="0" borderId="31" xfId="0" applyFill="1" applyBorder="1" applyProtection="1"/>
    <xf numFmtId="49" fontId="26" fillId="0" borderId="0" xfId="3" applyNumberFormat="1" applyFont="1" applyFill="1" applyBorder="1" applyAlignment="1" applyProtection="1">
      <alignment horizontal="left" vertical="center"/>
    </xf>
    <xf numFmtId="0" fontId="0" fillId="0" borderId="24" xfId="0" applyFill="1" applyBorder="1" applyProtection="1"/>
    <xf numFmtId="1" fontId="33" fillId="13" borderId="28" xfId="3" applyNumberFormat="1" applyFont="1" applyFill="1" applyBorder="1" applyAlignment="1" applyProtection="1">
      <alignment horizontal="left"/>
    </xf>
    <xf numFmtId="0" fontId="33" fillId="13" borderId="28" xfId="3" applyFont="1" applyFill="1" applyBorder="1" applyAlignment="1" applyProtection="1">
      <alignment horizontal="left"/>
    </xf>
    <xf numFmtId="49" fontId="26" fillId="0" borderId="33" xfId="3" applyNumberFormat="1" applyFont="1" applyFill="1" applyBorder="1" applyAlignment="1" applyProtection="1">
      <alignment horizontal="center" vertical="center"/>
    </xf>
    <xf numFmtId="49" fontId="26" fillId="0" borderId="10" xfId="3" applyNumberFormat="1" applyFont="1" applyFill="1" applyBorder="1" applyAlignment="1" applyProtection="1">
      <alignment horizontal="center" vertical="center"/>
    </xf>
    <xf numFmtId="49" fontId="26" fillId="0" borderId="32" xfId="3" applyNumberFormat="1" applyFont="1" applyFill="1" applyBorder="1" applyAlignment="1" applyProtection="1">
      <alignment horizontal="center"/>
    </xf>
    <xf numFmtId="49" fontId="26" fillId="0" borderId="0" xfId="3" applyNumberFormat="1" applyFont="1" applyFill="1" applyBorder="1" applyAlignment="1" applyProtection="1">
      <alignment horizontal="center"/>
    </xf>
    <xf numFmtId="0" fontId="21" fillId="13" borderId="29" xfId="3" applyFont="1" applyFill="1" applyBorder="1" applyAlignment="1" applyProtection="1">
      <alignment horizontal="center" vertical="center"/>
    </xf>
    <xf numFmtId="0" fontId="0" fillId="0" borderId="30" xfId="0" applyBorder="1" applyProtection="1"/>
    <xf numFmtId="0" fontId="0" fillId="0" borderId="31" xfId="0" applyBorder="1" applyProtection="1"/>
    <xf numFmtId="0" fontId="61" fillId="13" borderId="32" xfId="3" applyFont="1" applyFill="1" applyBorder="1" applyAlignment="1" applyProtection="1">
      <alignment horizontal="center" vertical="center"/>
    </xf>
    <xf numFmtId="0" fontId="62" fillId="0" borderId="0" xfId="0" applyFont="1" applyProtection="1"/>
    <xf numFmtId="0" fontId="62" fillId="0" borderId="24" xfId="0" applyFont="1" applyBorder="1" applyProtection="1"/>
    <xf numFmtId="14" fontId="27" fillId="13" borderId="33" xfId="3" applyNumberFormat="1" applyFont="1" applyFill="1" applyBorder="1" applyAlignment="1" applyProtection="1">
      <alignment horizontal="center" vertical="center"/>
    </xf>
    <xf numFmtId="0" fontId="0" fillId="0" borderId="10" xfId="0" applyBorder="1" applyProtection="1"/>
    <xf numFmtId="0" fontId="0" fillId="0" borderId="22" xfId="0" applyBorder="1" applyProtection="1"/>
    <xf numFmtId="165" fontId="33" fillId="13" borderId="28" xfId="3" applyNumberFormat="1" applyFont="1" applyFill="1" applyBorder="1" applyAlignment="1" applyProtection="1">
      <alignment horizontal="center"/>
    </xf>
    <xf numFmtId="0" fontId="15" fillId="13" borderId="28" xfId="3" applyFont="1" applyFill="1" applyBorder="1" applyAlignment="1" applyProtection="1">
      <alignment horizontal="center"/>
    </xf>
    <xf numFmtId="0" fontId="1" fillId="18" borderId="12" xfId="3" applyNumberFormat="1" applyFont="1" applyFill="1" applyBorder="1" applyAlignment="1" applyProtection="1">
      <alignment horizontal="center" vertical="center"/>
    </xf>
    <xf numFmtId="0" fontId="1" fillId="18" borderId="11" xfId="3" applyNumberFormat="1" applyFont="1" applyFill="1" applyBorder="1" applyAlignment="1" applyProtection="1">
      <alignment horizontal="center" vertical="center"/>
    </xf>
    <xf numFmtId="1" fontId="9" fillId="13" borderId="0" xfId="3" applyNumberFormat="1" applyFont="1" applyFill="1" applyBorder="1" applyAlignment="1" applyProtection="1">
      <alignment horizontal="left" vertical="center" wrapText="1"/>
    </xf>
    <xf numFmtId="0" fontId="13" fillId="18" borderId="12" xfId="3" applyNumberFormat="1" applyFont="1" applyFill="1" applyBorder="1" applyAlignment="1" applyProtection="1">
      <alignment horizontal="center" vertical="center"/>
    </xf>
    <xf numFmtId="0" fontId="13" fillId="18" borderId="11" xfId="3" applyNumberFormat="1" applyFont="1" applyFill="1" applyBorder="1" applyAlignment="1" applyProtection="1">
      <alignment horizontal="center" vertical="center"/>
    </xf>
    <xf numFmtId="1" fontId="9" fillId="13" borderId="0" xfId="3" applyNumberFormat="1" applyFont="1" applyFill="1" applyBorder="1" applyAlignment="1" applyProtection="1">
      <alignment horizontal="left" vertical="center"/>
    </xf>
    <xf numFmtId="1" fontId="1" fillId="18" borderId="28" xfId="0" applyNumberFormat="1" applyFont="1" applyFill="1" applyBorder="1" applyAlignment="1" applyProtection="1">
      <alignment horizontal="center"/>
    </xf>
    <xf numFmtId="0" fontId="1" fillId="18" borderId="28" xfId="0" applyFont="1" applyFill="1" applyBorder="1" applyAlignment="1" applyProtection="1">
      <alignment horizontal="center"/>
    </xf>
    <xf numFmtId="0" fontId="1" fillId="18" borderId="0" xfId="0" applyFont="1" applyFill="1" applyBorder="1" applyAlignment="1" applyProtection="1">
      <alignment horizontal="left" wrapText="1"/>
    </xf>
    <xf numFmtId="2" fontId="0" fillId="16" borderId="12" xfId="0" applyNumberFormat="1" applyFill="1" applyBorder="1" applyAlignment="1" applyProtection="1">
      <alignment horizontal="center"/>
    </xf>
    <xf numFmtId="2" fontId="0" fillId="16" borderId="16" xfId="0" applyNumberFormat="1" applyFill="1" applyBorder="1" applyAlignment="1" applyProtection="1">
      <alignment horizontal="center"/>
    </xf>
    <xf numFmtId="2" fontId="0" fillId="16" borderId="11" xfId="0" applyNumberFormat="1" applyFill="1" applyBorder="1" applyAlignment="1" applyProtection="1">
      <alignment horizontal="center"/>
    </xf>
    <xf numFmtId="2" fontId="1" fillId="16" borderId="12" xfId="0" applyNumberFormat="1" applyFont="1" applyFill="1" applyBorder="1" applyAlignment="1" applyProtection="1">
      <alignment horizontal="center"/>
    </xf>
    <xf numFmtId="2" fontId="1" fillId="16" borderId="16" xfId="0" applyNumberFormat="1" applyFont="1" applyFill="1" applyBorder="1" applyAlignment="1" applyProtection="1">
      <alignment horizontal="center"/>
    </xf>
    <xf numFmtId="2" fontId="1" fillId="16" borderId="11" xfId="0" applyNumberFormat="1" applyFont="1" applyFill="1" applyBorder="1" applyAlignment="1" applyProtection="1">
      <alignment horizontal="center"/>
    </xf>
    <xf numFmtId="14" fontId="1" fillId="13" borderId="12" xfId="0" applyNumberFormat="1" applyFont="1" applyFill="1" applyBorder="1" applyAlignment="1" applyProtection="1">
      <alignment horizontal="center" vertical="center"/>
    </xf>
    <xf numFmtId="14" fontId="1" fillId="13" borderId="16" xfId="0" applyNumberFormat="1" applyFont="1" applyFill="1" applyBorder="1" applyAlignment="1" applyProtection="1">
      <alignment horizontal="center" vertical="center"/>
    </xf>
    <xf numFmtId="14" fontId="1" fillId="13" borderId="11" xfId="0" applyNumberFormat="1" applyFont="1" applyFill="1" applyBorder="1" applyAlignment="1" applyProtection="1">
      <alignment horizontal="center" vertical="center"/>
    </xf>
    <xf numFmtId="0" fontId="1" fillId="13" borderId="12" xfId="5" applyFont="1" applyFill="1" applyBorder="1" applyAlignment="1" applyProtection="1">
      <alignment horizontal="center"/>
    </xf>
    <xf numFmtId="0" fontId="1" fillId="13" borderId="16" xfId="5" applyFont="1" applyFill="1" applyBorder="1" applyAlignment="1" applyProtection="1">
      <alignment horizontal="center"/>
    </xf>
    <xf numFmtId="0" fontId="1" fillId="13" borderId="11" xfId="5" applyFont="1" applyFill="1" applyBorder="1" applyAlignment="1" applyProtection="1">
      <alignment horizontal="center"/>
    </xf>
    <xf numFmtId="0" fontId="1" fillId="13" borderId="12" xfId="0" applyNumberFormat="1" applyFont="1" applyFill="1" applyBorder="1" applyAlignment="1" applyProtection="1">
      <alignment horizontal="center" vertical="center"/>
      <protection locked="0"/>
    </xf>
    <xf numFmtId="0" fontId="1" fillId="13" borderId="16" xfId="0" applyNumberFormat="1" applyFont="1" applyFill="1" applyBorder="1" applyAlignment="1" applyProtection="1">
      <alignment horizontal="center" vertical="center"/>
      <protection locked="0"/>
    </xf>
    <xf numFmtId="0" fontId="1" fillId="13" borderId="11" xfId="0" applyNumberFormat="1" applyFont="1" applyFill="1" applyBorder="1" applyAlignment="1" applyProtection="1">
      <alignment horizontal="center" vertical="center"/>
      <protection locked="0"/>
    </xf>
    <xf numFmtId="49" fontId="1" fillId="13" borderId="12" xfId="0" applyNumberFormat="1" applyFont="1" applyFill="1" applyBorder="1" applyAlignment="1" applyProtection="1">
      <alignment horizontal="center" vertical="center"/>
    </xf>
    <xf numFmtId="49" fontId="1" fillId="13" borderId="11" xfId="0" applyNumberFormat="1" applyFont="1" applyFill="1" applyBorder="1" applyAlignment="1" applyProtection="1">
      <alignment horizontal="center" vertical="center"/>
    </xf>
    <xf numFmtId="0" fontId="1" fillId="13" borderId="12" xfId="5" applyFont="1" applyFill="1" applyBorder="1" applyAlignment="1" applyProtection="1">
      <alignment horizontal="center" vertical="center"/>
    </xf>
    <xf numFmtId="0" fontId="1" fillId="13" borderId="11" xfId="5" applyFont="1" applyFill="1" applyBorder="1" applyAlignment="1" applyProtection="1">
      <alignment horizontal="center" vertical="center"/>
    </xf>
    <xf numFmtId="0" fontId="1" fillId="13" borderId="16" xfId="5" applyFont="1" applyFill="1" applyBorder="1" applyAlignment="1" applyProtection="1">
      <alignment horizontal="center" vertical="center"/>
    </xf>
    <xf numFmtId="0" fontId="1" fillId="13" borderId="12" xfId="5" applyNumberFormat="1" applyFont="1" applyFill="1" applyBorder="1" applyAlignment="1" applyProtection="1">
      <alignment horizontal="center"/>
      <protection locked="0"/>
    </xf>
    <xf numFmtId="0" fontId="1" fillId="13" borderId="11" xfId="5" applyNumberFormat="1" applyFont="1" applyFill="1" applyBorder="1" applyAlignment="1" applyProtection="1">
      <alignment horizontal="center"/>
      <protection locked="0"/>
    </xf>
    <xf numFmtId="0" fontId="1" fillId="13" borderId="12" xfId="5" applyNumberFormat="1" applyFont="1" applyFill="1" applyBorder="1" applyAlignment="1" applyProtection="1">
      <alignment horizontal="center" vertical="center" shrinkToFit="1"/>
    </xf>
    <xf numFmtId="0" fontId="1" fillId="13" borderId="16" xfId="5" applyNumberFormat="1" applyFont="1" applyFill="1" applyBorder="1" applyAlignment="1" applyProtection="1">
      <alignment horizontal="center" vertical="center" shrinkToFit="1"/>
    </xf>
    <xf numFmtId="0" fontId="1" fillId="13" borderId="0" xfId="5" applyFont="1" applyFill="1" applyBorder="1" applyAlignment="1" applyProtection="1">
      <alignment horizontal="center"/>
    </xf>
    <xf numFmtId="0" fontId="13" fillId="13" borderId="17" xfId="0" applyFont="1" applyFill="1" applyBorder="1" applyAlignment="1" applyProtection="1">
      <alignment horizontal="center" vertical="center" wrapText="1"/>
    </xf>
    <xf numFmtId="0" fontId="13" fillId="13" borderId="18" xfId="0" applyFont="1" applyFill="1" applyBorder="1" applyAlignment="1" applyProtection="1">
      <alignment horizontal="center" vertical="center"/>
    </xf>
    <xf numFmtId="0" fontId="13" fillId="13" borderId="19" xfId="0" applyFont="1" applyFill="1" applyBorder="1" applyAlignment="1" applyProtection="1">
      <alignment horizontal="center" vertical="center"/>
    </xf>
    <xf numFmtId="0" fontId="13" fillId="13" borderId="27" xfId="0" applyFont="1" applyFill="1" applyBorder="1" applyAlignment="1" applyProtection="1">
      <alignment horizontal="center" vertical="center"/>
    </xf>
    <xf numFmtId="0" fontId="13" fillId="13" borderId="28" xfId="0" applyFont="1" applyFill="1" applyBorder="1" applyAlignment="1" applyProtection="1">
      <alignment horizontal="center" vertical="center"/>
    </xf>
    <xf numFmtId="0" fontId="13" fillId="13" borderId="14" xfId="0" applyFont="1" applyFill="1" applyBorder="1" applyAlignment="1" applyProtection="1">
      <alignment horizontal="center" vertical="center"/>
    </xf>
    <xf numFmtId="0" fontId="1" fillId="13" borderId="28" xfId="0" applyFont="1" applyFill="1" applyBorder="1" applyAlignment="1" applyProtection="1">
      <alignment horizontal="center"/>
    </xf>
    <xf numFmtId="14" fontId="9" fillId="13" borderId="12" xfId="0" applyNumberFormat="1" applyFont="1" applyFill="1" applyBorder="1" applyAlignment="1" applyProtection="1">
      <alignment horizontal="center" vertical="center"/>
      <protection locked="0"/>
    </xf>
    <xf numFmtId="14" fontId="9" fillId="13" borderId="11" xfId="0" applyNumberFormat="1" applyFont="1" applyFill="1" applyBorder="1" applyAlignment="1" applyProtection="1">
      <alignment horizontal="center" vertical="center"/>
      <protection locked="0"/>
    </xf>
    <xf numFmtId="49" fontId="36" fillId="13" borderId="12" xfId="0" applyNumberFormat="1" applyFont="1" applyFill="1" applyBorder="1" applyAlignment="1" applyProtection="1">
      <alignment horizontal="center" vertical="center"/>
      <protection locked="0"/>
    </xf>
    <xf numFmtId="49" fontId="36" fillId="13" borderId="11" xfId="0" applyNumberFormat="1" applyFont="1" applyFill="1" applyBorder="1" applyAlignment="1" applyProtection="1">
      <alignment horizontal="center" vertical="center"/>
      <protection locked="0"/>
    </xf>
    <xf numFmtId="0" fontId="13" fillId="13" borderId="12" xfId="3" applyFont="1" applyFill="1" applyBorder="1" applyAlignment="1" applyProtection="1">
      <alignment horizontal="center" vertical="center"/>
    </xf>
    <xf numFmtId="0" fontId="19" fillId="0" borderId="11" xfId="3" applyBorder="1" applyProtection="1"/>
    <xf numFmtId="1" fontId="13" fillId="13" borderId="0" xfId="3" applyNumberFormat="1" applyFont="1" applyFill="1" applyBorder="1" applyAlignment="1" applyProtection="1">
      <alignment horizontal="left" vertical="center" wrapText="1"/>
    </xf>
    <xf numFmtId="1" fontId="13" fillId="13" borderId="24" xfId="3" applyNumberFormat="1" applyFont="1" applyFill="1" applyBorder="1" applyAlignment="1" applyProtection="1">
      <alignment horizontal="left" vertical="center" wrapText="1"/>
    </xf>
    <xf numFmtId="9" fontId="13" fillId="18" borderId="12" xfId="3" applyNumberFormat="1" applyFont="1" applyFill="1" applyBorder="1" applyAlignment="1" applyProtection="1">
      <alignment horizontal="center" vertical="center"/>
    </xf>
    <xf numFmtId="9" fontId="13" fillId="20" borderId="12" xfId="3" applyNumberFormat="1" applyFont="1" applyFill="1" applyBorder="1" applyAlignment="1" applyProtection="1">
      <alignment horizontal="center" vertical="center"/>
    </xf>
    <xf numFmtId="0" fontId="13" fillId="20" borderId="11" xfId="3" applyNumberFormat="1" applyFont="1" applyFill="1" applyBorder="1" applyAlignment="1" applyProtection="1">
      <alignment horizontal="center" vertical="center"/>
    </xf>
    <xf numFmtId="1" fontId="9" fillId="13" borderId="0" xfId="3" applyNumberFormat="1" applyFont="1" applyFill="1" applyBorder="1" applyAlignment="1" applyProtection="1">
      <alignment horizontal="left" vertical="top" wrapText="1"/>
    </xf>
    <xf numFmtId="1" fontId="9" fillId="13" borderId="24" xfId="3" applyNumberFormat="1" applyFont="1" applyFill="1" applyBorder="1" applyAlignment="1" applyProtection="1">
      <alignment horizontal="left" vertical="top" wrapText="1"/>
    </xf>
    <xf numFmtId="0" fontId="13" fillId="23" borderId="12" xfId="3" applyNumberFormat="1" applyFont="1" applyFill="1" applyBorder="1" applyAlignment="1" applyProtection="1">
      <alignment horizontal="center" vertical="center"/>
    </xf>
    <xf numFmtId="0" fontId="13" fillId="23" borderId="11" xfId="3" applyNumberFormat="1" applyFont="1" applyFill="1" applyBorder="1" applyAlignment="1" applyProtection="1">
      <alignment horizontal="center" vertical="center"/>
    </xf>
    <xf numFmtId="0" fontId="13" fillId="22" borderId="12" xfId="3" applyNumberFormat="1" applyFont="1" applyFill="1" applyBorder="1" applyAlignment="1" applyProtection="1">
      <alignment horizontal="center" vertical="center"/>
    </xf>
    <xf numFmtId="0" fontId="13" fillId="22" borderId="11" xfId="3" applyNumberFormat="1" applyFont="1" applyFill="1" applyBorder="1" applyAlignment="1" applyProtection="1">
      <alignment horizontal="center" vertical="center"/>
    </xf>
    <xf numFmtId="1" fontId="19" fillId="0" borderId="12" xfId="3" applyNumberFormat="1" applyBorder="1" applyAlignment="1" applyProtection="1">
      <alignment horizontal="center"/>
    </xf>
    <xf numFmtId="1" fontId="19" fillId="0" borderId="11" xfId="3" applyNumberFormat="1" applyBorder="1" applyAlignment="1" applyProtection="1">
      <alignment horizontal="center"/>
    </xf>
    <xf numFmtId="1" fontId="9" fillId="13" borderId="0" xfId="3" applyNumberFormat="1" applyFont="1" applyFill="1" applyBorder="1" applyAlignment="1" applyProtection="1">
      <alignment horizontal="left" vertical="top"/>
    </xf>
    <xf numFmtId="1" fontId="9" fillId="13" borderId="24" xfId="3" applyNumberFormat="1" applyFont="1" applyFill="1" applyBorder="1" applyAlignment="1" applyProtection="1">
      <alignment horizontal="left" vertical="top"/>
    </xf>
    <xf numFmtId="164" fontId="13" fillId="5" borderId="12" xfId="3" applyNumberFormat="1" applyFont="1" applyFill="1" applyBorder="1" applyAlignment="1" applyProtection="1">
      <alignment horizontal="center" vertical="center"/>
    </xf>
    <xf numFmtId="164" fontId="13" fillId="5" borderId="11" xfId="3" applyNumberFormat="1" applyFont="1" applyFill="1" applyBorder="1" applyAlignment="1" applyProtection="1">
      <alignment horizontal="center" vertical="center"/>
    </xf>
    <xf numFmtId="0" fontId="14" fillId="13" borderId="0" xfId="3" applyFont="1" applyFill="1" applyBorder="1" applyAlignment="1" applyProtection="1">
      <alignment horizontal="center"/>
    </xf>
    <xf numFmtId="172" fontId="13" fillId="5" borderId="12" xfId="3" applyNumberFormat="1" applyFont="1" applyFill="1" applyBorder="1" applyAlignment="1" applyProtection="1">
      <alignment horizontal="center" vertical="center"/>
    </xf>
    <xf numFmtId="172" fontId="1" fillId="0" borderId="12" xfId="3" applyNumberFormat="1" applyFont="1" applyFill="1" applyBorder="1" applyAlignment="1" applyProtection="1">
      <alignment horizontal="center" vertical="center"/>
      <protection locked="0"/>
    </xf>
    <xf numFmtId="172" fontId="1" fillId="0" borderId="16" xfId="3" applyNumberFormat="1" applyFont="1" applyFill="1" applyBorder="1" applyAlignment="1" applyProtection="1">
      <alignment horizontal="center" vertical="center"/>
      <protection locked="0"/>
    </xf>
    <xf numFmtId="172" fontId="1" fillId="0" borderId="11" xfId="3" applyNumberFormat="1" applyFont="1" applyFill="1" applyBorder="1" applyAlignment="1" applyProtection="1">
      <alignment horizontal="center" vertical="center"/>
      <protection locked="0"/>
    </xf>
    <xf numFmtId="0" fontId="1" fillId="0" borderId="16" xfId="3" applyFont="1" applyBorder="1" applyAlignment="1" applyProtection="1">
      <alignment horizontal="center"/>
      <protection locked="0"/>
    </xf>
    <xf numFmtId="0" fontId="1" fillId="0" borderId="11" xfId="3" applyFont="1" applyBorder="1" applyAlignment="1" applyProtection="1">
      <alignment horizontal="center"/>
      <protection locked="0"/>
    </xf>
    <xf numFmtId="49" fontId="1" fillId="13" borderId="12" xfId="3" applyNumberFormat="1" applyFont="1" applyFill="1" applyBorder="1" applyAlignment="1" applyProtection="1">
      <alignment horizontal="center" vertical="center"/>
      <protection locked="0"/>
    </xf>
    <xf numFmtId="0" fontId="19" fillId="0" borderId="11" xfId="3" applyFont="1" applyBorder="1" applyProtection="1">
      <protection locked="0"/>
    </xf>
    <xf numFmtId="49" fontId="38" fillId="13" borderId="0" xfId="3" applyNumberFormat="1" applyFont="1" applyFill="1" applyBorder="1" applyAlignment="1" applyProtection="1">
      <alignment horizontal="left" vertical="center"/>
    </xf>
    <xf numFmtId="169" fontId="13" fillId="5" borderId="12" xfId="3" applyNumberFormat="1" applyFont="1" applyFill="1" applyBorder="1" applyAlignment="1" applyProtection="1">
      <alignment horizontal="center" vertical="center"/>
    </xf>
    <xf numFmtId="169" fontId="13" fillId="5" borderId="11" xfId="3" applyNumberFormat="1" applyFont="1" applyFill="1" applyBorder="1" applyAlignment="1" applyProtection="1">
      <alignment horizontal="center" vertical="center"/>
    </xf>
    <xf numFmtId="1" fontId="1" fillId="0" borderId="12" xfId="3" applyNumberFormat="1" applyFont="1" applyBorder="1" applyAlignment="1" applyProtection="1">
      <alignment horizontal="center" vertical="center"/>
      <protection locked="0"/>
    </xf>
    <xf numFmtId="1" fontId="1" fillId="0" borderId="11" xfId="3" applyNumberFormat="1" applyFont="1" applyBorder="1" applyAlignment="1" applyProtection="1">
      <alignment horizontal="center" vertical="center"/>
      <protection locked="0"/>
    </xf>
    <xf numFmtId="0" fontId="1" fillId="0" borderId="11" xfId="3" applyFont="1" applyBorder="1" applyAlignment="1" applyProtection="1">
      <alignment horizontal="center" vertical="center"/>
      <protection locked="0"/>
    </xf>
    <xf numFmtId="169" fontId="19" fillId="0" borderId="11" xfId="3" applyNumberFormat="1" applyBorder="1" applyProtection="1"/>
    <xf numFmtId="14" fontId="1" fillId="13" borderId="12" xfId="0" applyNumberFormat="1" applyFont="1" applyFill="1" applyBorder="1" applyAlignment="1" applyProtection="1">
      <alignment horizontal="center" vertical="center"/>
      <protection locked="0"/>
    </xf>
    <xf numFmtId="14" fontId="1" fillId="13" borderId="11" xfId="0" applyNumberFormat="1" applyFont="1" applyFill="1" applyBorder="1" applyAlignment="1" applyProtection="1">
      <alignment horizontal="center" vertical="center"/>
      <protection locked="0"/>
    </xf>
    <xf numFmtId="0" fontId="13" fillId="13" borderId="12" xfId="3" applyNumberFormat="1" applyFont="1" applyFill="1" applyBorder="1" applyAlignment="1" applyProtection="1">
      <alignment horizontal="center" vertical="center"/>
    </xf>
    <xf numFmtId="0" fontId="19" fillId="0" borderId="11" xfId="3" applyNumberFormat="1" applyBorder="1" applyProtection="1"/>
    <xf numFmtId="164" fontId="59" fillId="0" borderId="12" xfId="3" applyNumberFormat="1" applyFont="1" applyBorder="1" applyAlignment="1" applyProtection="1">
      <alignment horizontal="center" vertical="center"/>
    </xf>
    <xf numFmtId="164" fontId="59" fillId="0" borderId="11" xfId="3" applyNumberFormat="1" applyFont="1" applyBorder="1" applyAlignment="1" applyProtection="1">
      <alignment horizontal="center" vertical="center"/>
    </xf>
    <xf numFmtId="169" fontId="13" fillId="5" borderId="27" xfId="3" applyNumberFormat="1" applyFont="1" applyFill="1" applyBorder="1" applyAlignment="1" applyProtection="1">
      <alignment horizontal="center" vertical="center"/>
    </xf>
    <xf numFmtId="169" fontId="19" fillId="0" borderId="14" xfId="3" applyNumberFormat="1" applyBorder="1" applyProtection="1"/>
    <xf numFmtId="0" fontId="13" fillId="13" borderId="28" xfId="3" applyNumberFormat="1" applyFont="1" applyFill="1" applyBorder="1" applyAlignment="1" applyProtection="1">
      <alignment horizontal="center" vertical="center"/>
    </xf>
    <xf numFmtId="0" fontId="19" fillId="0" borderId="28" xfId="3" applyNumberFormat="1" applyBorder="1" applyProtection="1"/>
    <xf numFmtId="49" fontId="13" fillId="13" borderId="12" xfId="3" applyNumberFormat="1" applyFont="1" applyFill="1" applyBorder="1" applyAlignment="1" applyProtection="1">
      <alignment horizontal="center" vertical="center"/>
    </xf>
    <xf numFmtId="0" fontId="9" fillId="13" borderId="12" xfId="3" applyFont="1" applyFill="1" applyBorder="1" applyAlignment="1" applyProtection="1">
      <alignment horizontal="center" vertical="center"/>
    </xf>
    <xf numFmtId="0" fontId="9" fillId="13" borderId="16" xfId="3" applyFont="1" applyFill="1" applyBorder="1" applyAlignment="1" applyProtection="1">
      <alignment horizontal="center" vertical="center"/>
    </xf>
    <xf numFmtId="0" fontId="9" fillId="13" borderId="11" xfId="3" applyFont="1" applyFill="1" applyBorder="1" applyAlignment="1" applyProtection="1">
      <alignment horizontal="center" vertical="center"/>
    </xf>
    <xf numFmtId="170" fontId="40" fillId="5" borderId="12" xfId="3" applyNumberFormat="1" applyFont="1" applyFill="1" applyBorder="1" applyAlignment="1" applyProtection="1">
      <alignment horizontal="center" vertical="center"/>
    </xf>
    <xf numFmtId="0" fontId="1" fillId="0" borderId="12" xfId="3" applyNumberFormat="1" applyFont="1" applyBorder="1" applyAlignment="1" applyProtection="1">
      <alignment horizontal="center" vertical="center"/>
      <protection locked="0"/>
    </xf>
    <xf numFmtId="0" fontId="1" fillId="0" borderId="16" xfId="3" applyNumberFormat="1" applyFont="1" applyBorder="1" applyAlignment="1" applyProtection="1">
      <alignment horizontal="center" vertical="center"/>
      <protection locked="0"/>
    </xf>
    <xf numFmtId="0" fontId="1" fillId="0" borderId="11" xfId="3" applyNumberFormat="1" applyFont="1" applyBorder="1" applyAlignment="1" applyProtection="1">
      <alignment horizontal="center" vertical="center"/>
      <protection locked="0"/>
    </xf>
    <xf numFmtId="14" fontId="9" fillId="13" borderId="12" xfId="3" applyNumberFormat="1" applyFont="1" applyFill="1" applyBorder="1" applyAlignment="1" applyProtection="1">
      <alignment horizontal="center" vertical="center"/>
    </xf>
    <xf numFmtId="0" fontId="9" fillId="0" borderId="11" xfId="3" applyFont="1" applyBorder="1" applyProtection="1"/>
    <xf numFmtId="49" fontId="1" fillId="13" borderId="12" xfId="3" applyNumberFormat="1" applyFont="1" applyFill="1" applyBorder="1" applyAlignment="1" applyProtection="1">
      <alignment horizontal="center" vertical="center"/>
    </xf>
    <xf numFmtId="0" fontId="1" fillId="0" borderId="11" xfId="3" applyFont="1" applyBorder="1" applyProtection="1"/>
    <xf numFmtId="170" fontId="40" fillId="5" borderId="11" xfId="3" applyNumberFormat="1" applyFont="1" applyFill="1" applyBorder="1" applyAlignment="1" applyProtection="1">
      <alignment horizontal="center" vertical="center"/>
    </xf>
    <xf numFmtId="170" fontId="53" fillId="5" borderId="50" xfId="3" applyNumberFormat="1" applyFont="1" applyFill="1" applyBorder="1" applyAlignment="1" applyProtection="1">
      <alignment horizontal="center" vertical="center"/>
    </xf>
    <xf numFmtId="0" fontId="54" fillId="0" borderId="51" xfId="3" applyFont="1" applyBorder="1" applyProtection="1"/>
    <xf numFmtId="0" fontId="19" fillId="0" borderId="11" xfId="3" applyFont="1" applyBorder="1" applyProtection="1"/>
    <xf numFmtId="0" fontId="50" fillId="13" borderId="0" xfId="0" applyFont="1" applyFill="1" applyBorder="1" applyAlignment="1" applyProtection="1">
      <alignment horizontal="center"/>
    </xf>
    <xf numFmtId="0" fontId="1" fillId="13" borderId="0" xfId="0" applyFont="1" applyFill="1" applyBorder="1" applyAlignment="1" applyProtection="1">
      <alignment horizontal="center"/>
    </xf>
    <xf numFmtId="0" fontId="13" fillId="13" borderId="0" xfId="3" applyFont="1" applyFill="1" applyBorder="1" applyAlignment="1" applyProtection="1">
      <alignment horizontal="center" vertical="center" wrapText="1"/>
    </xf>
    <xf numFmtId="0" fontId="1" fillId="13" borderId="17" xfId="0" applyFont="1" applyFill="1" applyBorder="1" applyAlignment="1" applyProtection="1">
      <alignment horizontal="center" vertical="center" wrapText="1"/>
    </xf>
    <xf numFmtId="0" fontId="1" fillId="13" borderId="18" xfId="0" applyFont="1" applyFill="1" applyBorder="1" applyAlignment="1" applyProtection="1">
      <alignment horizontal="center" vertical="center" wrapText="1"/>
    </xf>
    <xf numFmtId="0" fontId="1" fillId="13" borderId="19" xfId="0" applyFont="1" applyFill="1" applyBorder="1" applyAlignment="1" applyProtection="1">
      <alignment horizontal="center" vertical="center" wrapText="1"/>
    </xf>
    <xf numFmtId="0" fontId="1" fillId="13" borderId="27" xfId="0" applyFont="1" applyFill="1" applyBorder="1" applyAlignment="1" applyProtection="1">
      <alignment horizontal="center" vertical="center" wrapText="1"/>
    </xf>
    <xf numFmtId="0" fontId="1" fillId="13" borderId="28" xfId="0" applyFont="1" applyFill="1" applyBorder="1" applyAlignment="1" applyProtection="1">
      <alignment horizontal="center" vertical="center" wrapText="1"/>
    </xf>
    <xf numFmtId="0" fontId="1" fillId="13" borderId="14" xfId="0" applyFont="1" applyFill="1" applyBorder="1" applyAlignment="1" applyProtection="1">
      <alignment horizontal="center" vertical="center" wrapText="1"/>
    </xf>
    <xf numFmtId="0" fontId="1" fillId="13" borderId="4" xfId="0" applyFont="1" applyFill="1" applyBorder="1" applyAlignment="1" applyProtection="1">
      <alignment horizontal="center" vertical="center"/>
    </xf>
    <xf numFmtId="0" fontId="1" fillId="13" borderId="12" xfId="0" applyFont="1" applyFill="1" applyBorder="1" applyAlignment="1" applyProtection="1">
      <alignment horizontal="center" vertical="center"/>
    </xf>
    <xf numFmtId="0" fontId="1" fillId="13" borderId="16" xfId="0" applyFont="1" applyFill="1" applyBorder="1" applyAlignment="1" applyProtection="1">
      <alignment horizontal="center" vertical="center"/>
    </xf>
    <xf numFmtId="0" fontId="1" fillId="13" borderId="11" xfId="0" applyFont="1" applyFill="1" applyBorder="1" applyAlignment="1" applyProtection="1">
      <alignment horizontal="center" vertical="center"/>
    </xf>
    <xf numFmtId="0" fontId="15" fillId="13" borderId="12" xfId="0" applyFont="1" applyFill="1" applyBorder="1" applyAlignment="1" applyProtection="1">
      <alignment horizontal="center" vertical="center"/>
    </xf>
    <xf numFmtId="0" fontId="15" fillId="13" borderId="11" xfId="0" applyFont="1" applyFill="1" applyBorder="1" applyAlignment="1" applyProtection="1">
      <alignment horizontal="center" vertical="center"/>
    </xf>
    <xf numFmtId="0" fontId="15" fillId="18" borderId="12" xfId="0" applyFont="1" applyFill="1" applyBorder="1" applyAlignment="1" applyProtection="1">
      <alignment horizontal="center" vertical="center"/>
    </xf>
    <xf numFmtId="0" fontId="15" fillId="18" borderId="16" xfId="0" applyFont="1" applyFill="1" applyBorder="1" applyAlignment="1" applyProtection="1">
      <alignment horizontal="center" vertical="center"/>
    </xf>
    <xf numFmtId="0" fontId="1" fillId="13" borderId="12" xfId="3" applyFont="1" applyFill="1" applyBorder="1" applyAlignment="1" applyProtection="1">
      <alignment horizontal="center"/>
    </xf>
    <xf numFmtId="0" fontId="1" fillId="13" borderId="16" xfId="3" applyFont="1" applyFill="1" applyBorder="1" applyAlignment="1" applyProtection="1">
      <alignment horizontal="center"/>
    </xf>
    <xf numFmtId="0" fontId="1" fillId="13" borderId="11" xfId="3" applyFont="1" applyFill="1" applyBorder="1" applyAlignment="1" applyProtection="1">
      <alignment horizontal="center"/>
    </xf>
    <xf numFmtId="0" fontId="15" fillId="18" borderId="11" xfId="0" applyFont="1" applyFill="1" applyBorder="1" applyAlignment="1" applyProtection="1">
      <alignment horizontal="center" vertical="center"/>
    </xf>
    <xf numFmtId="0" fontId="15" fillId="18" borderId="12" xfId="0" applyFont="1" applyFill="1" applyBorder="1" applyAlignment="1" applyProtection="1">
      <alignment horizontal="center" vertical="center"/>
      <protection locked="0"/>
    </xf>
    <xf numFmtId="0" fontId="15" fillId="18" borderId="16" xfId="0" applyFont="1" applyFill="1" applyBorder="1" applyAlignment="1" applyProtection="1">
      <alignment horizontal="center" vertical="center"/>
      <protection locked="0"/>
    </xf>
    <xf numFmtId="0" fontId="9" fillId="13" borderId="11" xfId="0" applyFont="1" applyFill="1" applyBorder="1" applyAlignment="1" applyProtection="1">
      <alignment horizontal="center" vertical="center"/>
      <protection locked="0"/>
    </xf>
    <xf numFmtId="0" fontId="15" fillId="13" borderId="12" xfId="0" applyFont="1" applyFill="1" applyBorder="1" applyAlignment="1" applyProtection="1">
      <alignment horizontal="center" vertical="center"/>
      <protection locked="0"/>
    </xf>
    <xf numFmtId="0" fontId="15" fillId="13" borderId="11" xfId="0" applyFont="1" applyFill="1" applyBorder="1" applyAlignment="1" applyProtection="1">
      <alignment horizontal="center" vertical="center"/>
      <protection locked="0"/>
    </xf>
    <xf numFmtId="0" fontId="15" fillId="18" borderId="12" xfId="0" quotePrefix="1" applyFont="1" applyFill="1" applyBorder="1" applyAlignment="1" applyProtection="1">
      <alignment horizontal="center" vertical="center"/>
    </xf>
    <xf numFmtId="14" fontId="1" fillId="13" borderId="12" xfId="3" applyNumberFormat="1" applyFont="1" applyFill="1" applyBorder="1" applyAlignment="1" applyProtection="1">
      <alignment horizontal="center"/>
      <protection locked="0"/>
    </xf>
    <xf numFmtId="1" fontId="1" fillId="13" borderId="12" xfId="3" applyNumberFormat="1" applyFont="1" applyFill="1" applyBorder="1" applyAlignment="1" applyProtection="1">
      <alignment horizontal="center"/>
      <protection locked="0"/>
    </xf>
    <xf numFmtId="1" fontId="1" fillId="13" borderId="16" xfId="3" applyNumberFormat="1" applyFont="1" applyFill="1" applyBorder="1" applyAlignment="1" applyProtection="1">
      <alignment horizontal="center"/>
      <protection locked="0"/>
    </xf>
    <xf numFmtId="1" fontId="1" fillId="13" borderId="11" xfId="3" applyNumberFormat="1" applyFont="1" applyFill="1" applyBorder="1" applyAlignment="1" applyProtection="1">
      <alignment horizontal="center"/>
      <protection locked="0"/>
    </xf>
    <xf numFmtId="167" fontId="9" fillId="13" borderId="0" xfId="0" applyNumberFormat="1" applyFont="1" applyFill="1" applyBorder="1" applyAlignment="1" applyProtection="1">
      <alignment horizontal="center" vertical="center"/>
    </xf>
    <xf numFmtId="167" fontId="9" fillId="13" borderId="17" xfId="0" applyNumberFormat="1" applyFont="1" applyFill="1" applyBorder="1" applyAlignment="1" applyProtection="1">
      <alignment horizontal="center" vertical="center"/>
    </xf>
    <xf numFmtId="167" fontId="9" fillId="13" borderId="18" xfId="0" applyNumberFormat="1" applyFont="1" applyFill="1" applyBorder="1" applyAlignment="1" applyProtection="1">
      <alignment horizontal="center" vertical="center"/>
    </xf>
    <xf numFmtId="167" fontId="9" fillId="13" borderId="19" xfId="0" applyNumberFormat="1" applyFont="1" applyFill="1" applyBorder="1" applyAlignment="1" applyProtection="1">
      <alignment horizontal="center" vertical="center"/>
    </xf>
    <xf numFmtId="167" fontId="9" fillId="13" borderId="27" xfId="0" applyNumberFormat="1" applyFont="1" applyFill="1" applyBorder="1" applyAlignment="1" applyProtection="1">
      <alignment horizontal="center" vertical="center"/>
    </xf>
    <xf numFmtId="167" fontId="9" fillId="13" borderId="28" xfId="0" applyNumberFormat="1" applyFont="1" applyFill="1" applyBorder="1" applyAlignment="1" applyProtection="1">
      <alignment horizontal="center" vertical="center"/>
    </xf>
    <xf numFmtId="167" fontId="9" fillId="13" borderId="14" xfId="0" applyNumberFormat="1" applyFont="1" applyFill="1" applyBorder="1" applyAlignment="1" applyProtection="1">
      <alignment horizontal="center" vertical="center"/>
    </xf>
    <xf numFmtId="0" fontId="0" fillId="6" borderId="4" xfId="0" applyFill="1" applyBorder="1" applyAlignment="1">
      <alignment horizontal="left" vertical="center"/>
    </xf>
    <xf numFmtId="0" fontId="0" fillId="0" borderId="1" xfId="0" applyBorder="1" applyAlignment="1">
      <alignment horizontal="center" vertical="center" wrapText="1"/>
    </xf>
    <xf numFmtId="0" fontId="0" fillId="0" borderId="5"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1" xfId="0" applyBorder="1" applyAlignment="1">
      <alignment horizontal="center" vertical="center"/>
    </xf>
    <xf numFmtId="0" fontId="0" fillId="0" borderId="14" xfId="0" applyBorder="1" applyAlignment="1">
      <alignment horizontal="center"/>
    </xf>
    <xf numFmtId="0" fontId="0" fillId="0" borderId="5" xfId="0" applyBorder="1" applyAlignment="1">
      <alignment horizontal="center"/>
    </xf>
    <xf numFmtId="0" fontId="13" fillId="17" borderId="37" xfId="0" applyFont="1" applyFill="1" applyBorder="1" applyAlignment="1">
      <alignment horizontal="center" vertical="center"/>
    </xf>
    <xf numFmtId="0" fontId="13" fillId="17" borderId="38" xfId="0" applyFont="1" applyFill="1" applyBorder="1" applyAlignment="1">
      <alignment horizontal="center" vertical="center"/>
    </xf>
    <xf numFmtId="0" fontId="13" fillId="17" borderId="39" xfId="0" applyFont="1" applyFill="1" applyBorder="1" applyAlignment="1">
      <alignment horizontal="center" vertical="center"/>
    </xf>
    <xf numFmtId="0" fontId="0" fillId="5" borderId="4" xfId="0" applyFill="1" applyBorder="1" applyAlignment="1">
      <alignment horizontal="left" vertical="center"/>
    </xf>
    <xf numFmtId="0" fontId="0" fillId="5" borderId="12" xfId="0" applyFill="1" applyBorder="1" applyAlignment="1">
      <alignment horizontal="left" vertical="center"/>
    </xf>
    <xf numFmtId="0" fontId="0" fillId="0" borderId="16" xfId="0" applyFill="1" applyBorder="1" applyAlignment="1">
      <alignment horizontal="center" vertical="center"/>
    </xf>
    <xf numFmtId="0" fontId="0" fillId="0" borderId="5" xfId="0" applyBorder="1" applyAlignment="1">
      <alignment horizontal="center" vertical="center" wrapText="1"/>
    </xf>
    <xf numFmtId="0" fontId="0" fillId="0" borderId="1" xfId="0" applyFill="1" applyBorder="1" applyAlignment="1">
      <alignment horizontal="center" vertical="center" wrapText="1"/>
    </xf>
    <xf numFmtId="0" fontId="0" fillId="0" borderId="5" xfId="0" applyFill="1" applyBorder="1" applyAlignment="1">
      <alignment horizontal="center" vertical="center"/>
    </xf>
    <xf numFmtId="0" fontId="0" fillId="0" borderId="16" xfId="0" applyBorder="1" applyAlignment="1">
      <alignment horizontal="center" vertical="center"/>
    </xf>
    <xf numFmtId="2" fontId="0" fillId="0" borderId="11" xfId="0" applyNumberFormat="1" applyBorder="1" applyAlignment="1">
      <alignment horizontal="center"/>
    </xf>
    <xf numFmtId="2" fontId="0" fillId="0" borderId="4" xfId="0" applyNumberFormat="1" applyBorder="1" applyAlignment="1">
      <alignment horizontal="center"/>
    </xf>
    <xf numFmtId="2" fontId="0" fillId="4" borderId="4" xfId="0" applyNumberFormat="1" applyFill="1" applyBorder="1" applyAlignment="1">
      <alignment horizontal="center"/>
    </xf>
    <xf numFmtId="2" fontId="0" fillId="4" borderId="13" xfId="0" applyNumberFormat="1" applyFill="1" applyBorder="1" applyAlignment="1">
      <alignment horizontal="center"/>
    </xf>
    <xf numFmtId="0" fontId="0" fillId="0" borderId="26" xfId="0" applyBorder="1" applyAlignment="1">
      <alignment horizontal="center"/>
    </xf>
    <xf numFmtId="2" fontId="13" fillId="13" borderId="2" xfId="0" applyNumberFormat="1" applyFont="1" applyFill="1" applyBorder="1" applyAlignment="1">
      <alignment horizontal="left" wrapText="1"/>
    </xf>
    <xf numFmtId="2" fontId="13" fillId="13" borderId="0" xfId="0" applyNumberFormat="1" applyFont="1" applyFill="1" applyBorder="1" applyAlignment="1">
      <alignment horizontal="left" wrapText="1"/>
    </xf>
    <xf numFmtId="2" fontId="13" fillId="13" borderId="27" xfId="0" applyNumberFormat="1" applyFont="1" applyFill="1" applyBorder="1" applyAlignment="1">
      <alignment horizontal="left" wrapText="1"/>
    </xf>
    <xf numFmtId="2" fontId="13" fillId="13" borderId="28" xfId="0" applyNumberFormat="1" applyFont="1" applyFill="1" applyBorder="1" applyAlignment="1">
      <alignment horizontal="left" wrapText="1"/>
    </xf>
    <xf numFmtId="0" fontId="13" fillId="0" borderId="17" xfId="0" applyFont="1" applyBorder="1" applyAlignment="1">
      <alignment horizontal="left"/>
    </xf>
    <xf numFmtId="0" fontId="13" fillId="0" borderId="18" xfId="0" applyFont="1" applyBorder="1" applyAlignment="1">
      <alignment horizontal="left"/>
    </xf>
    <xf numFmtId="0" fontId="0" fillId="0" borderId="11" xfId="0" applyBorder="1" applyAlignment="1">
      <alignment horizontal="center"/>
    </xf>
    <xf numFmtId="0" fontId="0" fillId="0" borderId="4" xfId="0" applyBorder="1" applyAlignment="1">
      <alignment horizontal="center"/>
    </xf>
    <xf numFmtId="0" fontId="0" fillId="0" borderId="13" xfId="0" applyBorder="1" applyAlignment="1">
      <alignment horizontal="center"/>
    </xf>
    <xf numFmtId="2" fontId="0" fillId="0" borderId="13" xfId="0" applyNumberFormat="1" applyBorder="1" applyAlignment="1">
      <alignment horizontal="center"/>
    </xf>
    <xf numFmtId="0" fontId="0" fillId="0" borderId="12" xfId="0" applyFill="1" applyBorder="1" applyAlignment="1">
      <alignment horizontal="center"/>
    </xf>
    <xf numFmtId="0" fontId="0" fillId="0" borderId="16" xfId="0" applyFill="1" applyBorder="1" applyAlignment="1">
      <alignment horizontal="center"/>
    </xf>
    <xf numFmtId="0" fontId="0" fillId="0" borderId="11" xfId="0" applyFill="1" applyBorder="1" applyAlignment="1">
      <alignment horizontal="center"/>
    </xf>
    <xf numFmtId="1" fontId="0" fillId="0" borderId="17" xfId="0" applyNumberFormat="1" applyBorder="1" applyAlignment="1">
      <alignment horizontal="center"/>
    </xf>
    <xf numFmtId="1" fontId="0" fillId="0" borderId="19" xfId="0" applyNumberFormat="1" applyBorder="1" applyAlignment="1">
      <alignment horizontal="center"/>
    </xf>
  </cellXfs>
  <cellStyles count="6">
    <cellStyle name="Euro" xfId="1" xr:uid="{00000000-0005-0000-0000-000000000000}"/>
    <cellStyle name="Standard" xfId="0" builtinId="0"/>
    <cellStyle name="Standard 2" xfId="2" xr:uid="{00000000-0005-0000-0000-000002000000}"/>
    <cellStyle name="Standard_Standversuch 38779 (NEU)" xfId="3" xr:uid="{00000000-0005-0000-0000-000003000000}"/>
    <cellStyle name="Standard_Standversuch_21230000" xfId="4" xr:uid="{00000000-0005-0000-0000-000004000000}"/>
    <cellStyle name="Standard_Standversuch_21230000_Inbetriebnahme_21300722" xfId="5" xr:uid="{00000000-0005-0000-0000-000005000000}"/>
  </cellStyles>
  <dxfs count="16">
    <dxf>
      <fill>
        <patternFill>
          <bgColor indexed="45"/>
        </patternFill>
      </fill>
    </dxf>
    <dxf>
      <fill>
        <patternFill>
          <bgColor indexed="42"/>
        </patternFill>
      </fill>
    </dxf>
    <dxf>
      <fill>
        <patternFill>
          <bgColor indexed="22"/>
        </patternFill>
      </fill>
    </dxf>
    <dxf>
      <fill>
        <patternFill>
          <bgColor indexed="45"/>
        </patternFill>
      </fill>
    </dxf>
    <dxf>
      <fill>
        <patternFill>
          <bgColor indexed="42"/>
        </patternFill>
      </fill>
    </dxf>
    <dxf>
      <fill>
        <patternFill>
          <bgColor indexed="22"/>
        </patternFill>
      </fill>
    </dxf>
    <dxf>
      <fill>
        <patternFill>
          <bgColor indexed="45"/>
        </patternFill>
      </fill>
    </dxf>
    <dxf>
      <fill>
        <patternFill>
          <bgColor indexed="42"/>
        </patternFill>
      </fill>
    </dxf>
    <dxf>
      <fill>
        <patternFill>
          <bgColor indexed="22"/>
        </patternFill>
      </fill>
    </dxf>
    <dxf>
      <fill>
        <patternFill>
          <bgColor indexed="45"/>
        </patternFill>
      </fill>
    </dxf>
    <dxf>
      <fill>
        <patternFill>
          <bgColor indexed="42"/>
        </patternFill>
      </fill>
    </dxf>
    <dxf>
      <fill>
        <patternFill>
          <bgColor indexed="22"/>
        </patternFill>
      </fill>
    </dxf>
    <dxf>
      <fill>
        <patternFill>
          <bgColor theme="0"/>
        </patternFill>
      </fill>
    </dxf>
    <dxf>
      <fill>
        <patternFill>
          <bgColor theme="0"/>
        </patternFill>
      </fill>
    </dxf>
    <dxf>
      <fill>
        <patternFill>
          <bgColor rgb="FFFFC000"/>
        </patternFill>
      </fill>
    </dxf>
    <dxf>
      <fill>
        <patternFill>
          <bgColor rgb="FFFFC000"/>
        </patternFill>
      </fill>
    </dxf>
  </dxfs>
  <tableStyles count="0" defaultTableStyle="TableStyleMedium9" defaultPivotStyle="PivotStyleLight16"/>
  <colors>
    <mruColors>
      <color rgb="FFFF99FF"/>
      <color rgb="FF99FF66"/>
      <color rgb="FF00FF00"/>
      <color rgb="FFCCFFCC"/>
      <color rgb="FFEB5715"/>
      <color rgb="FFFF66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60566131174378E-2"/>
          <c:y val="7.5000130789848823E-2"/>
          <c:w val="0.84042844230817326"/>
          <c:h val="0.8535729170844677"/>
        </c:manualLayout>
      </c:layout>
      <c:scatterChart>
        <c:scatterStyle val="lineMarker"/>
        <c:varyColors val="0"/>
        <c:ser>
          <c:idx val="0"/>
          <c:order val="0"/>
          <c:tx>
            <c:strRef>
              <c:f>Reichweite_BREIT!$Y$10</c:f>
              <c:strCache>
                <c:ptCount val="1"/>
                <c:pt idx="0">
                  <c:v>X_</c:v>
                </c:pt>
              </c:strCache>
            </c:strRef>
          </c:tx>
          <c:spPr>
            <a:ln w="25400">
              <a:solidFill>
                <a:srgbClr val="FF0000"/>
              </a:solidFill>
              <a:prstDash val="solid"/>
            </a:ln>
          </c:spPr>
          <c:marker>
            <c:symbol val="diamond"/>
            <c:size val="7"/>
            <c:spPr>
              <a:solidFill>
                <a:srgbClr val="000080"/>
              </a:solidFill>
              <a:ln>
                <a:solidFill>
                  <a:srgbClr val="000080"/>
                </a:solidFill>
                <a:prstDash val="solid"/>
              </a:ln>
            </c:spPr>
          </c:marker>
          <c:dPt>
            <c:idx val="1"/>
            <c:marker>
              <c:symbol val="circle"/>
              <c:size val="10"/>
              <c:spPr>
                <a:solidFill>
                  <a:srgbClr val="FFFF00"/>
                </a:solidFill>
                <a:ln>
                  <a:solidFill>
                    <a:srgbClr val="000080"/>
                  </a:solidFill>
                  <a:prstDash val="solid"/>
                </a:ln>
              </c:spPr>
            </c:marker>
            <c:bubble3D val="0"/>
            <c:extLst>
              <c:ext xmlns:c16="http://schemas.microsoft.com/office/drawing/2014/chart" uri="{C3380CC4-5D6E-409C-BE32-E72D297353CC}">
                <c16:uniqueId val="{00000000-97AB-461B-99E3-E0645018F30E}"/>
              </c:ext>
            </c:extLst>
          </c:dPt>
          <c:dPt>
            <c:idx val="2"/>
            <c:marker>
              <c:symbol val="circle"/>
              <c:size val="10"/>
              <c:spPr>
                <a:solidFill>
                  <a:srgbClr val="FFFF00"/>
                </a:solidFill>
                <a:ln>
                  <a:solidFill>
                    <a:srgbClr val="000080"/>
                  </a:solidFill>
                  <a:prstDash val="solid"/>
                </a:ln>
              </c:spPr>
            </c:marker>
            <c:bubble3D val="0"/>
            <c:extLst>
              <c:ext xmlns:c16="http://schemas.microsoft.com/office/drawing/2014/chart" uri="{C3380CC4-5D6E-409C-BE32-E72D297353CC}">
                <c16:uniqueId val="{00000001-97AB-461B-99E3-E0645018F30E}"/>
              </c:ext>
            </c:extLst>
          </c:dPt>
          <c:dPt>
            <c:idx val="3"/>
            <c:marker>
              <c:symbol val="circle"/>
              <c:size val="10"/>
              <c:spPr>
                <a:solidFill>
                  <a:srgbClr val="FFFF00"/>
                </a:solidFill>
                <a:ln>
                  <a:solidFill>
                    <a:srgbClr val="000080"/>
                  </a:solidFill>
                  <a:prstDash val="solid"/>
                </a:ln>
              </c:spPr>
            </c:marker>
            <c:bubble3D val="0"/>
            <c:extLst>
              <c:ext xmlns:c16="http://schemas.microsoft.com/office/drawing/2014/chart" uri="{C3380CC4-5D6E-409C-BE32-E72D297353CC}">
                <c16:uniqueId val="{00000002-97AB-461B-99E3-E0645018F30E}"/>
              </c:ext>
            </c:extLst>
          </c:dPt>
          <c:dPt>
            <c:idx val="4"/>
            <c:marker>
              <c:symbol val="circle"/>
              <c:size val="10"/>
              <c:spPr>
                <a:solidFill>
                  <a:srgbClr val="FFFF00"/>
                </a:solidFill>
                <a:ln>
                  <a:solidFill>
                    <a:srgbClr val="000080"/>
                  </a:solidFill>
                  <a:prstDash val="solid"/>
                </a:ln>
              </c:spPr>
            </c:marker>
            <c:bubble3D val="0"/>
            <c:extLst>
              <c:ext xmlns:c16="http://schemas.microsoft.com/office/drawing/2014/chart" uri="{C3380CC4-5D6E-409C-BE32-E72D297353CC}">
                <c16:uniqueId val="{00000003-97AB-461B-99E3-E0645018F30E}"/>
              </c:ext>
            </c:extLst>
          </c:dPt>
          <c:xVal>
            <c:numRef>
              <c:f>Reichweite_BREIT!$X$11:$X$15</c:f>
              <c:numCache>
                <c:formatCode>0</c:formatCode>
                <c:ptCount val="5"/>
                <c:pt idx="0">
                  <c:v>-4228</c:v>
                </c:pt>
                <c:pt idx="1">
                  <c:v>-4225</c:v>
                </c:pt>
                <c:pt idx="2">
                  <c:v>4140</c:v>
                </c:pt>
                <c:pt idx="3">
                  <c:v>4143</c:v>
                </c:pt>
                <c:pt idx="4">
                  <c:v>-4228</c:v>
                </c:pt>
              </c:numCache>
            </c:numRef>
          </c:xVal>
          <c:yVal>
            <c:numRef>
              <c:f>Reichweite_BREIT!$Y$11:$Y$15</c:f>
              <c:numCache>
                <c:formatCode>0</c:formatCode>
                <c:ptCount val="5"/>
                <c:pt idx="0">
                  <c:v>6186</c:v>
                </c:pt>
                <c:pt idx="1">
                  <c:v>-750</c:v>
                </c:pt>
                <c:pt idx="2">
                  <c:v>-1075</c:v>
                </c:pt>
                <c:pt idx="3">
                  <c:v>6290</c:v>
                </c:pt>
                <c:pt idx="4">
                  <c:v>6186</c:v>
                </c:pt>
              </c:numCache>
            </c:numRef>
          </c:yVal>
          <c:smooth val="0"/>
          <c:extLst>
            <c:ext xmlns:c16="http://schemas.microsoft.com/office/drawing/2014/chart" uri="{C3380CC4-5D6E-409C-BE32-E72D297353CC}">
              <c16:uniqueId val="{00000004-97AB-461B-99E3-E0645018F30E}"/>
            </c:ext>
          </c:extLst>
        </c:ser>
        <c:dLbls>
          <c:showLegendKey val="0"/>
          <c:showVal val="0"/>
          <c:showCatName val="0"/>
          <c:showSerName val="0"/>
          <c:showPercent val="0"/>
          <c:showBubbleSize val="0"/>
        </c:dLbls>
        <c:axId val="117180288"/>
        <c:axId val="128143360"/>
      </c:scatterChart>
      <c:valAx>
        <c:axId val="117180288"/>
        <c:scaling>
          <c:orientation val="minMax"/>
          <c:max val="7000"/>
          <c:min val="-7000"/>
        </c:scaling>
        <c:delete val="0"/>
        <c:axPos val="b"/>
        <c:majorGridlines>
          <c:spPr>
            <a:ln w="3175">
              <a:solidFill>
                <a:srgbClr val="000000"/>
              </a:solidFill>
              <a:prstDash val="solid"/>
            </a:ln>
          </c:spPr>
        </c:majorGridlines>
        <c:minorGridlines>
          <c:spPr>
            <a:ln w="3175">
              <a:pattFill prst="pct50">
                <a:fgClr>
                  <a:srgbClr val="000000"/>
                </a:fgClr>
                <a:bgClr>
                  <a:srgbClr val="FFFFFF"/>
                </a:bgClr>
              </a:pattFill>
              <a:prstDash val="solid"/>
            </a:ln>
          </c:spPr>
        </c:minorGridlines>
        <c:numFmt formatCode="0" sourceLinked="1"/>
        <c:majorTickMark val="out"/>
        <c:minorTickMark val="none"/>
        <c:tickLblPos val="nextTo"/>
        <c:spPr>
          <a:ln w="3175">
            <a:solidFill>
              <a:srgbClr val="000000"/>
            </a:solidFill>
            <a:prstDash val="solid"/>
          </a:ln>
        </c:spPr>
        <c:txPr>
          <a:bodyPr rot="0" vert="horz"/>
          <a:lstStyle/>
          <a:p>
            <a:pPr>
              <a:defRPr sz="325" b="0" i="0" u="none" strike="noStrike" baseline="0">
                <a:solidFill>
                  <a:srgbClr val="000000"/>
                </a:solidFill>
                <a:latin typeface="Arial"/>
                <a:ea typeface="Arial"/>
                <a:cs typeface="Arial"/>
              </a:defRPr>
            </a:pPr>
            <a:endParaRPr lang="de-DE"/>
          </a:p>
        </c:txPr>
        <c:crossAx val="128143360"/>
        <c:crosses val="autoZero"/>
        <c:crossBetween val="midCat"/>
        <c:minorUnit val="500"/>
      </c:valAx>
      <c:valAx>
        <c:axId val="128143360"/>
        <c:scaling>
          <c:orientation val="minMax"/>
          <c:max val="7000"/>
          <c:min val="-7000"/>
        </c:scaling>
        <c:delete val="0"/>
        <c:axPos val="l"/>
        <c:majorGridlines>
          <c:spPr>
            <a:ln w="3175">
              <a:solidFill>
                <a:srgbClr val="000000"/>
              </a:solidFill>
              <a:prstDash val="solid"/>
            </a:ln>
          </c:spPr>
        </c:majorGridlines>
        <c:minorGridlines>
          <c:spPr>
            <a:ln w="3175">
              <a:pattFill prst="pct50">
                <a:fgClr>
                  <a:srgbClr val="000000"/>
                </a:fgClr>
                <a:bgClr>
                  <a:srgbClr val="FFFFFF"/>
                </a:bgClr>
              </a:pattFill>
              <a:prstDash val="solid"/>
            </a:ln>
          </c:spPr>
        </c:minorGridlines>
        <c:numFmt formatCode="0" sourceLinked="1"/>
        <c:majorTickMark val="out"/>
        <c:minorTickMark val="none"/>
        <c:tickLblPos val="nextTo"/>
        <c:spPr>
          <a:ln w="3175">
            <a:solidFill>
              <a:srgbClr val="000000"/>
            </a:solidFill>
            <a:prstDash val="solid"/>
          </a:ln>
        </c:spPr>
        <c:txPr>
          <a:bodyPr rot="0" vert="horz"/>
          <a:lstStyle/>
          <a:p>
            <a:pPr>
              <a:defRPr sz="325" b="0" i="0" u="none" strike="noStrike" baseline="0">
                <a:solidFill>
                  <a:srgbClr val="000000"/>
                </a:solidFill>
                <a:latin typeface="Arial"/>
                <a:ea typeface="Arial"/>
                <a:cs typeface="Arial"/>
              </a:defRPr>
            </a:pPr>
            <a:endParaRPr lang="de-DE"/>
          </a:p>
        </c:txPr>
        <c:crossAx val="117180288"/>
        <c:crosses val="autoZero"/>
        <c:crossBetween val="midCat"/>
        <c:minorUnit val="500"/>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de-DE"/>
    </a:p>
  </c:txPr>
  <c:printSettings>
    <c:headerFooter alignWithMargins="0"/>
    <c:pageMargins b="0.98425196899999956" l="0.7500000000000091" r="0.7500000000000091" t="0.98425196899999956" header="0.49212598450000522" footer="0.49212598450000522"/>
    <c:pageSetup paperSize="9" orientation="landscape"/>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60566131174433E-2"/>
          <c:y val="7.5000130789848823E-2"/>
          <c:w val="0.84042844230817382"/>
          <c:h val="0.8535729170844677"/>
        </c:manualLayout>
      </c:layout>
      <c:scatterChart>
        <c:scatterStyle val="lineMarker"/>
        <c:varyColors val="0"/>
        <c:ser>
          <c:idx val="0"/>
          <c:order val="0"/>
          <c:tx>
            <c:strRef>
              <c:f>'Reichweite_50%'!$X$10</c:f>
              <c:strCache>
                <c:ptCount val="1"/>
                <c:pt idx="0">
                  <c:v>X_</c:v>
                </c:pt>
              </c:strCache>
            </c:strRef>
          </c:tx>
          <c:spPr>
            <a:ln w="25400">
              <a:solidFill>
                <a:srgbClr val="FF0000"/>
              </a:solidFill>
              <a:prstDash val="solid"/>
            </a:ln>
          </c:spPr>
          <c:marker>
            <c:symbol val="diamond"/>
            <c:size val="7"/>
            <c:spPr>
              <a:solidFill>
                <a:srgbClr val="000080"/>
              </a:solidFill>
              <a:ln>
                <a:solidFill>
                  <a:srgbClr val="000080"/>
                </a:solidFill>
                <a:prstDash val="solid"/>
              </a:ln>
            </c:spPr>
          </c:marker>
          <c:dPt>
            <c:idx val="1"/>
            <c:marker>
              <c:symbol val="circle"/>
              <c:size val="10"/>
              <c:spPr>
                <a:solidFill>
                  <a:srgbClr val="FFFF00"/>
                </a:solidFill>
                <a:ln>
                  <a:solidFill>
                    <a:srgbClr val="000080"/>
                  </a:solidFill>
                  <a:prstDash val="solid"/>
                </a:ln>
              </c:spPr>
            </c:marker>
            <c:bubble3D val="0"/>
            <c:extLst>
              <c:ext xmlns:c16="http://schemas.microsoft.com/office/drawing/2014/chart" uri="{C3380CC4-5D6E-409C-BE32-E72D297353CC}">
                <c16:uniqueId val="{00000000-0372-41AB-9D9D-BF582488EE8E}"/>
              </c:ext>
            </c:extLst>
          </c:dPt>
          <c:dPt>
            <c:idx val="2"/>
            <c:marker>
              <c:symbol val="circle"/>
              <c:size val="10"/>
              <c:spPr>
                <a:solidFill>
                  <a:srgbClr val="FFFF00"/>
                </a:solidFill>
                <a:ln>
                  <a:solidFill>
                    <a:srgbClr val="000080"/>
                  </a:solidFill>
                  <a:prstDash val="solid"/>
                </a:ln>
              </c:spPr>
            </c:marker>
            <c:bubble3D val="0"/>
            <c:extLst>
              <c:ext xmlns:c16="http://schemas.microsoft.com/office/drawing/2014/chart" uri="{C3380CC4-5D6E-409C-BE32-E72D297353CC}">
                <c16:uniqueId val="{00000001-0372-41AB-9D9D-BF582488EE8E}"/>
              </c:ext>
            </c:extLst>
          </c:dPt>
          <c:dPt>
            <c:idx val="3"/>
            <c:marker>
              <c:symbol val="circle"/>
              <c:size val="10"/>
              <c:spPr>
                <a:solidFill>
                  <a:srgbClr val="FFFF00"/>
                </a:solidFill>
                <a:ln>
                  <a:solidFill>
                    <a:srgbClr val="000080"/>
                  </a:solidFill>
                  <a:prstDash val="solid"/>
                </a:ln>
              </c:spPr>
            </c:marker>
            <c:bubble3D val="0"/>
            <c:extLst>
              <c:ext xmlns:c16="http://schemas.microsoft.com/office/drawing/2014/chart" uri="{C3380CC4-5D6E-409C-BE32-E72D297353CC}">
                <c16:uniqueId val="{00000002-0372-41AB-9D9D-BF582488EE8E}"/>
              </c:ext>
            </c:extLst>
          </c:dPt>
          <c:dPt>
            <c:idx val="4"/>
            <c:marker>
              <c:symbol val="circle"/>
              <c:size val="10"/>
              <c:spPr>
                <a:solidFill>
                  <a:srgbClr val="FFFF00"/>
                </a:solidFill>
                <a:ln>
                  <a:solidFill>
                    <a:srgbClr val="000080"/>
                  </a:solidFill>
                  <a:prstDash val="solid"/>
                </a:ln>
              </c:spPr>
            </c:marker>
            <c:bubble3D val="0"/>
            <c:extLst>
              <c:ext xmlns:c16="http://schemas.microsoft.com/office/drawing/2014/chart" uri="{C3380CC4-5D6E-409C-BE32-E72D297353CC}">
                <c16:uniqueId val="{00000003-0372-41AB-9D9D-BF582488EE8E}"/>
              </c:ext>
            </c:extLst>
          </c:dPt>
          <c:xVal>
            <c:numRef>
              <c:f>'Reichweite_50%'!$W$11:$W$15</c:f>
              <c:numCache>
                <c:formatCode>0</c:formatCode>
                <c:ptCount val="5"/>
                <c:pt idx="0">
                  <c:v>-2690</c:v>
                </c:pt>
                <c:pt idx="1">
                  <c:v>-2682.5</c:v>
                </c:pt>
                <c:pt idx="2">
                  <c:v>2597.5</c:v>
                </c:pt>
                <c:pt idx="3">
                  <c:v>2602.5</c:v>
                </c:pt>
                <c:pt idx="4">
                  <c:v>-2690</c:v>
                </c:pt>
              </c:numCache>
            </c:numRef>
          </c:xVal>
          <c:yVal>
            <c:numRef>
              <c:f>'Reichweite_50%'!$X$11:$X$15</c:f>
              <c:numCache>
                <c:formatCode>0</c:formatCode>
                <c:ptCount val="5"/>
                <c:pt idx="0">
                  <c:v>6157</c:v>
                </c:pt>
                <c:pt idx="1">
                  <c:v>-750</c:v>
                </c:pt>
                <c:pt idx="2">
                  <c:v>-912.5</c:v>
                </c:pt>
                <c:pt idx="3">
                  <c:v>6209</c:v>
                </c:pt>
                <c:pt idx="4">
                  <c:v>6157</c:v>
                </c:pt>
              </c:numCache>
            </c:numRef>
          </c:yVal>
          <c:smooth val="0"/>
          <c:extLst>
            <c:ext xmlns:c16="http://schemas.microsoft.com/office/drawing/2014/chart" uri="{C3380CC4-5D6E-409C-BE32-E72D297353CC}">
              <c16:uniqueId val="{00000004-0372-41AB-9D9D-BF582488EE8E}"/>
            </c:ext>
          </c:extLst>
        </c:ser>
        <c:dLbls>
          <c:showLegendKey val="0"/>
          <c:showVal val="0"/>
          <c:showCatName val="0"/>
          <c:showSerName val="0"/>
          <c:showPercent val="0"/>
          <c:showBubbleSize val="0"/>
        </c:dLbls>
        <c:axId val="78835072"/>
        <c:axId val="79037568"/>
      </c:scatterChart>
      <c:valAx>
        <c:axId val="78835072"/>
        <c:scaling>
          <c:orientation val="minMax"/>
          <c:max val="7000"/>
          <c:min val="-7000"/>
        </c:scaling>
        <c:delete val="0"/>
        <c:axPos val="b"/>
        <c:majorGridlines>
          <c:spPr>
            <a:ln w="3175">
              <a:solidFill>
                <a:srgbClr val="000000"/>
              </a:solidFill>
              <a:prstDash val="solid"/>
            </a:ln>
          </c:spPr>
        </c:majorGridlines>
        <c:minorGridlines>
          <c:spPr>
            <a:ln w="3175">
              <a:pattFill prst="pct50">
                <a:fgClr>
                  <a:srgbClr val="000000"/>
                </a:fgClr>
                <a:bgClr>
                  <a:srgbClr val="FFFFFF"/>
                </a:bgClr>
              </a:pattFill>
              <a:prstDash val="solid"/>
            </a:ln>
          </c:spPr>
        </c:minorGridlines>
        <c:numFmt formatCode="0" sourceLinked="1"/>
        <c:majorTickMark val="out"/>
        <c:minorTickMark val="none"/>
        <c:tickLblPos val="nextTo"/>
        <c:spPr>
          <a:ln w="3175">
            <a:solidFill>
              <a:srgbClr val="000000"/>
            </a:solidFill>
            <a:prstDash val="solid"/>
          </a:ln>
        </c:spPr>
        <c:txPr>
          <a:bodyPr rot="0" vert="horz"/>
          <a:lstStyle/>
          <a:p>
            <a:pPr>
              <a:defRPr sz="325" b="0" i="0" u="none" strike="noStrike" baseline="0">
                <a:solidFill>
                  <a:srgbClr val="000000"/>
                </a:solidFill>
                <a:latin typeface="Arial"/>
                <a:ea typeface="Arial"/>
                <a:cs typeface="Arial"/>
              </a:defRPr>
            </a:pPr>
            <a:endParaRPr lang="de-DE"/>
          </a:p>
        </c:txPr>
        <c:crossAx val="79037568"/>
        <c:crosses val="autoZero"/>
        <c:crossBetween val="midCat"/>
        <c:minorUnit val="500"/>
      </c:valAx>
      <c:valAx>
        <c:axId val="79037568"/>
        <c:scaling>
          <c:orientation val="minMax"/>
          <c:max val="7000"/>
          <c:min val="-7000"/>
        </c:scaling>
        <c:delete val="0"/>
        <c:axPos val="l"/>
        <c:majorGridlines>
          <c:spPr>
            <a:ln w="3175">
              <a:solidFill>
                <a:srgbClr val="000000"/>
              </a:solidFill>
              <a:prstDash val="solid"/>
            </a:ln>
          </c:spPr>
        </c:majorGridlines>
        <c:minorGridlines>
          <c:spPr>
            <a:ln w="3175">
              <a:pattFill prst="pct50">
                <a:fgClr>
                  <a:srgbClr val="000000"/>
                </a:fgClr>
                <a:bgClr>
                  <a:srgbClr val="FFFFFF"/>
                </a:bgClr>
              </a:pattFill>
              <a:prstDash val="solid"/>
            </a:ln>
          </c:spPr>
        </c:minorGridlines>
        <c:numFmt formatCode="0" sourceLinked="1"/>
        <c:majorTickMark val="out"/>
        <c:minorTickMark val="none"/>
        <c:tickLblPos val="nextTo"/>
        <c:spPr>
          <a:ln w="3175">
            <a:solidFill>
              <a:srgbClr val="000000"/>
            </a:solidFill>
            <a:prstDash val="solid"/>
          </a:ln>
        </c:spPr>
        <c:txPr>
          <a:bodyPr rot="0" vert="horz"/>
          <a:lstStyle/>
          <a:p>
            <a:pPr>
              <a:defRPr sz="325" b="0" i="0" u="none" strike="noStrike" baseline="0">
                <a:solidFill>
                  <a:srgbClr val="000000"/>
                </a:solidFill>
                <a:latin typeface="Arial"/>
                <a:ea typeface="Arial"/>
                <a:cs typeface="Arial"/>
              </a:defRPr>
            </a:pPr>
            <a:endParaRPr lang="de-DE"/>
          </a:p>
        </c:txPr>
        <c:crossAx val="78835072"/>
        <c:crosses val="autoZero"/>
        <c:crossBetween val="midCat"/>
        <c:minorUnit val="500"/>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de-DE"/>
    </a:p>
  </c:txPr>
  <c:printSettings>
    <c:headerFooter alignWithMargins="0"/>
    <c:pageMargins b="0.98425196899999956" l="0.7500000000000091" r="0.7500000000000091" t="0.98425196899999956" header="0.49212598450000533" footer="0.49212598450000533"/>
    <c:pageSetup paperSize="9" orientation="landscape"/>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0909090909091064E-2"/>
          <c:y val="9.2691783456897991E-2"/>
          <c:w val="0.78571428571428559"/>
          <c:h val="0.84848632549005443"/>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xVal>
            <c:numRef>
              <c:f>'Reichweite_50%'!$S$37:$S$218</c:f>
              <c:numCache>
                <c:formatCode>0.00</c:formatCode>
                <c:ptCount val="182"/>
                <c:pt idx="0">
                  <c:v>41.1</c:v>
                </c:pt>
                <c:pt idx="1">
                  <c:v>41.1</c:v>
                </c:pt>
                <c:pt idx="2">
                  <c:v>0</c:v>
                </c:pt>
                <c:pt idx="3">
                  <c:v>0.63877218215996279</c:v>
                </c:pt>
                <c:pt idx="4">
                  <c:v>1.2777501452734108</c:v>
                </c:pt>
                <c:pt idx="5">
                  <c:v>1.9171022001538107</c:v>
                </c:pt>
                <c:pt idx="6">
                  <c:v>2.5569983244311034</c:v>
                </c:pt>
                <c:pt idx="7">
                  <c:v>3.1976107880068056</c:v>
                </c:pt>
                <c:pt idx="8">
                  <c:v>3.8391147777073638</c:v>
                </c:pt>
                <c:pt idx="9">
                  <c:v>4.4816890467291328</c:v>
                </c:pt>
                <c:pt idx="10">
                  <c:v>5.125516583015183</c:v>
                </c:pt>
                <c:pt idx="11">
                  <c:v>5.7707852828364903</c:v>
                </c:pt>
                <c:pt idx="12">
                  <c:v>6.4176886661767369</c:v>
                </c:pt>
                <c:pt idx="13">
                  <c:v>7.0664266129768709</c:v>
                </c:pt>
                <c:pt idx="14">
                  <c:v>7.7172061356767738</c:v>
                </c:pt>
                <c:pt idx="15">
                  <c:v>8.3702421889674845</c:v>
                </c:pt>
                <c:pt idx="16">
                  <c:v>9.0257585080055893</c:v>
                </c:pt>
                <c:pt idx="17">
                  <c:v>9.6839885369447138</c:v>
                </c:pt>
                <c:pt idx="18">
                  <c:v>10.345176336618174</c:v>
                </c:pt>
                <c:pt idx="19">
                  <c:v>11.009577643112081</c:v>
                </c:pt>
                <c:pt idx="20">
                  <c:v>11.677460918083693</c:v>
                </c:pt>
                <c:pt idx="21">
                  <c:v>12.349108523243807</c:v>
                </c:pt>
                <c:pt idx="22">
                  <c:v>13.024817944235737</c:v>
                </c:pt>
                <c:pt idx="23">
                  <c:v>13.70490311903569</c:v>
                </c:pt>
                <c:pt idx="24">
                  <c:v>14.389695883072578</c:v>
                </c:pt>
                <c:pt idx="25">
                  <c:v>15.079547532816228</c:v>
                </c:pt>
                <c:pt idx="26">
                  <c:v>15.774830475166434</c:v>
                </c:pt>
                <c:pt idx="27">
                  <c:v>16.475940053774874</c:v>
                </c:pt>
                <c:pt idx="28">
                  <c:v>17.183296561887509</c:v>
                </c:pt>
                <c:pt idx="29">
                  <c:v>17.897347356240495</c:v>
                </c:pt>
                <c:pt idx="30">
                  <c:v>18.618569250585121</c:v>
                </c:pt>
                <c:pt idx="31">
                  <c:v>19.347471064934911</c:v>
                </c:pt>
                <c:pt idx="32">
                  <c:v>20.084596514759554</c:v>
                </c:pt>
                <c:pt idx="33">
                  <c:v>20.830527218446417</c:v>
                </c:pt>
                <c:pt idx="34">
                  <c:v>21.585886254060089</c:v>
                </c:pt>
                <c:pt idx="35">
                  <c:v>22.351341803172613</c:v>
                </c:pt>
                <c:pt idx="36">
                  <c:v>22.982828332647699</c:v>
                </c:pt>
                <c:pt idx="37">
                  <c:v>23.573991534027993</c:v>
                </c:pt>
                <c:pt idx="38">
                  <c:v>24.157973869220648</c:v>
                </c:pt>
                <c:pt idx="39">
                  <c:v>24.734597451549185</c:v>
                </c:pt>
                <c:pt idx="40">
                  <c:v>25.041562756858944</c:v>
                </c:pt>
                <c:pt idx="41">
                  <c:v>25.230484898536211</c:v>
                </c:pt>
                <c:pt idx="42">
                  <c:v>25.41675276706793</c:v>
                </c:pt>
                <c:pt idx="43">
                  <c:v>25.600310542070407</c:v>
                </c:pt>
                <c:pt idx="44">
                  <c:v>25.781103338535964</c:v>
                </c:pt>
                <c:pt idx="45">
                  <c:v>25.959077271670122</c:v>
                </c:pt>
                <c:pt idx="46">
                  <c:v>26.134179364128652</c:v>
                </c:pt>
                <c:pt idx="47">
                  <c:v>26.306357592538355</c:v>
                </c:pt>
                <c:pt idx="48">
                  <c:v>26.475560933669016</c:v>
                </c:pt>
                <c:pt idx="49">
                  <c:v>26.641739282978506</c:v>
                </c:pt>
                <c:pt idx="50">
                  <c:v>26.804843500739867</c:v>
                </c:pt>
                <c:pt idx="51">
                  <c:v>26.964825403576345</c:v>
                </c:pt>
                <c:pt idx="52">
                  <c:v>27.121637768224826</c:v>
                </c:pt>
                <c:pt idx="53">
                  <c:v>27.275234377041851</c:v>
                </c:pt>
                <c:pt idx="54">
                  <c:v>27.425569977486596</c:v>
                </c:pt>
                <c:pt idx="55">
                  <c:v>27.572600253534809</c:v>
                </c:pt>
                <c:pt idx="56">
                  <c:v>27.716281923020183</c:v>
                </c:pt>
                <c:pt idx="57">
                  <c:v>27.856572724690523</c:v>
                </c:pt>
                <c:pt idx="58">
                  <c:v>27.993431332783594</c:v>
                </c:pt>
                <c:pt idx="59">
                  <c:v>28.126817483931433</c:v>
                </c:pt>
                <c:pt idx="60">
                  <c:v>28.256691899342723</c:v>
                </c:pt>
                <c:pt idx="61">
                  <c:v>28.383016330783683</c:v>
                </c:pt>
                <c:pt idx="62">
                  <c:v>28.505753585647874</c:v>
                </c:pt>
                <c:pt idx="63">
                  <c:v>28.624867498764733</c:v>
                </c:pt>
                <c:pt idx="64">
                  <c:v>28.740322900086863</c:v>
                </c:pt>
                <c:pt idx="65">
                  <c:v>28.852085761260831</c:v>
                </c:pt>
                <c:pt idx="66">
                  <c:v>28.960123040084579</c:v>
                </c:pt>
                <c:pt idx="67">
                  <c:v>29.064402790787515</c:v>
                </c:pt>
                <c:pt idx="68">
                  <c:v>29.16489411897361</c:v>
                </c:pt>
                <c:pt idx="69">
                  <c:v>29.261567264400732</c:v>
                </c:pt>
                <c:pt idx="70">
                  <c:v>29.354393485945259</c:v>
                </c:pt>
                <c:pt idx="71">
                  <c:v>29.443345147947714</c:v>
                </c:pt>
                <c:pt idx="72">
                  <c:v>29.528395771687215</c:v>
                </c:pt>
                <c:pt idx="73">
                  <c:v>29.609519918459227</c:v>
                </c:pt>
                <c:pt idx="74">
                  <c:v>29.686693286226852</c:v>
                </c:pt>
                <c:pt idx="75">
                  <c:v>29.759892679061636</c:v>
                </c:pt>
                <c:pt idx="76">
                  <c:v>29.829096043416115</c:v>
                </c:pt>
                <c:pt idx="77">
                  <c:v>29.894282435582074</c:v>
                </c:pt>
                <c:pt idx="78">
                  <c:v>29.955432044914794</c:v>
                </c:pt>
                <c:pt idx="79">
                  <c:v>30.012526231276194</c:v>
                </c:pt>
                <c:pt idx="80">
                  <c:v>30.065547435019678</c:v>
                </c:pt>
                <c:pt idx="81">
                  <c:v>30.114479303441207</c:v>
                </c:pt>
                <c:pt idx="82">
                  <c:v>30.159306600244932</c:v>
                </c:pt>
                <c:pt idx="83">
                  <c:v>30.20001526597213</c:v>
                </c:pt>
                <c:pt idx="84">
                  <c:v>30.236592413102155</c:v>
                </c:pt>
                <c:pt idx="85">
                  <c:v>30.269026306491067</c:v>
                </c:pt>
                <c:pt idx="86">
                  <c:v>30.297306331211839</c:v>
                </c:pt>
                <c:pt idx="87">
                  <c:v>30.32142312386274</c:v>
                </c:pt>
                <c:pt idx="88">
                  <c:v>30.341368447281411</c:v>
                </c:pt>
                <c:pt idx="89">
                  <c:v>30.357135281143783</c:v>
                </c:pt>
                <c:pt idx="90">
                  <c:v>30.368717732256243</c:v>
                </c:pt>
                <c:pt idx="91">
                  <c:v>30.376111113895142</c:v>
                </c:pt>
                <c:pt idx="92">
                  <c:v>30.379311970918337</c:v>
                </c:pt>
                <c:pt idx="93">
                  <c:v>30.37570793403232</c:v>
                </c:pt>
                <c:pt idx="94">
                  <c:v>30.36791111703862</c:v>
                </c:pt>
                <c:pt idx="95">
                  <c:v>30.355924746240461</c:v>
                </c:pt>
                <c:pt idx="96">
                  <c:v>30.339753282842416</c:v>
                </c:pt>
                <c:pt idx="97">
                  <c:v>30.319402299958874</c:v>
                </c:pt>
                <c:pt idx="98">
                  <c:v>30.294878604427449</c:v>
                </c:pt>
                <c:pt idx="99">
                  <c:v>30.266190203516949</c:v>
                </c:pt>
                <c:pt idx="100">
                  <c:v>30.233346191492146</c:v>
                </c:pt>
                <c:pt idx="101">
                  <c:v>30.196356877217319</c:v>
                </c:pt>
                <c:pt idx="102">
                  <c:v>30.155233753752263</c:v>
                </c:pt>
                <c:pt idx="103">
                  <c:v>30.109989458118449</c:v>
                </c:pt>
                <c:pt idx="104">
                  <c:v>30.060637768642291</c:v>
                </c:pt>
                <c:pt idx="105">
                  <c:v>30.007193588293305</c:v>
                </c:pt>
                <c:pt idx="106">
                  <c:v>29.949673033123311</c:v>
                </c:pt>
                <c:pt idx="107">
                  <c:v>29.888093306212951</c:v>
                </c:pt>
                <c:pt idx="108">
                  <c:v>29.822472744652899</c:v>
                </c:pt>
                <c:pt idx="109">
                  <c:v>29.752830863481798</c:v>
                </c:pt>
                <c:pt idx="110">
                  <c:v>29.679188226090229</c:v>
                </c:pt>
                <c:pt idx="111">
                  <c:v>29.601566591970016</c:v>
                </c:pt>
                <c:pt idx="112">
                  <c:v>29.519988739142235</c:v>
                </c:pt>
                <c:pt idx="113">
                  <c:v>29.434478598780231</c:v>
                </c:pt>
                <c:pt idx="114">
                  <c:v>29.345061219103069</c:v>
                </c:pt>
                <c:pt idx="115">
                  <c:v>29.251762673964084</c:v>
                </c:pt>
                <c:pt idx="116">
                  <c:v>29.154610162450446</c:v>
                </c:pt>
                <c:pt idx="117">
                  <c:v>29.053631918779882</c:v>
                </c:pt>
                <c:pt idx="118">
                  <c:v>28.948857291926455</c:v>
                </c:pt>
                <c:pt idx="119">
                  <c:v>28.840316640719092</c:v>
                </c:pt>
                <c:pt idx="120">
                  <c:v>28.728041373753197</c:v>
                </c:pt>
                <c:pt idx="121">
                  <c:v>28.61206395881397</c:v>
                </c:pt>
                <c:pt idx="122">
                  <c:v>28.492417844705713</c:v>
                </c:pt>
                <c:pt idx="123">
                  <c:v>28.369137541015508</c:v>
                </c:pt>
                <c:pt idx="124">
                  <c:v>28.242258549830964</c:v>
                </c:pt>
                <c:pt idx="125">
                  <c:v>28.111817347183564</c:v>
                </c:pt>
                <c:pt idx="126">
                  <c:v>27.977851406516514</c:v>
                </c:pt>
                <c:pt idx="127">
                  <c:v>27.840399191499952</c:v>
                </c:pt>
                <c:pt idx="128">
                  <c:v>27.699500108466118</c:v>
                </c:pt>
                <c:pt idx="129">
                  <c:v>27.555194525066351</c:v>
                </c:pt>
                <c:pt idx="130">
                  <c:v>27.407523689727434</c:v>
                </c:pt>
                <c:pt idx="131">
                  <c:v>27.256529843479512</c:v>
                </c:pt>
                <c:pt idx="132">
                  <c:v>27.102256088067779</c:v>
                </c:pt>
                <c:pt idx="133">
                  <c:v>26.944746442665618</c:v>
                </c:pt>
                <c:pt idx="134">
                  <c:v>26.784045795026536</c:v>
                </c:pt>
                <c:pt idx="135">
                  <c:v>26.620199876190838</c:v>
                </c:pt>
                <c:pt idx="136">
                  <c:v>26.453255269214644</c:v>
                </c:pt>
                <c:pt idx="137">
                  <c:v>26.28325940853243</c:v>
                </c:pt>
                <c:pt idx="138">
                  <c:v>26.110260477468913</c:v>
                </c:pt>
                <c:pt idx="139">
                  <c:v>25.934307493427823</c:v>
                </c:pt>
                <c:pt idx="140">
                  <c:v>25.75545019992596</c:v>
                </c:pt>
                <c:pt idx="141">
                  <c:v>25.573739110250596</c:v>
                </c:pt>
                <c:pt idx="142">
                  <c:v>25.389225411483192</c:v>
                </c:pt>
                <c:pt idx="143">
                  <c:v>25.201960999611952</c:v>
                </c:pt>
                <c:pt idx="144">
                  <c:v>25.011998415908256</c:v>
                </c:pt>
                <c:pt idx="145">
                  <c:v>24.734597451549181</c:v>
                </c:pt>
                <c:pt idx="146">
                  <c:v>24.138498701934857</c:v>
                </c:pt>
                <c:pt idx="147">
                  <c:v>23.350568197855527</c:v>
                </c:pt>
                <c:pt idx="148">
                  <c:v>22.575395868842868</c:v>
                </c:pt>
                <c:pt idx="149">
                  <c:v>21.812122259044909</c:v>
                </c:pt>
                <c:pt idx="150">
                  <c:v>21.059950593050779</c:v>
                </c:pt>
                <c:pt idx="151">
                  <c:v>20.318141357566862</c:v>
                </c:pt>
                <c:pt idx="152">
                  <c:v>19.58600720405639</c:v>
                </c:pt>
                <c:pt idx="153">
                  <c:v>18.862908474669684</c:v>
                </c:pt>
                <c:pt idx="154">
                  <c:v>18.148249238643359</c:v>
                </c:pt>
                <c:pt idx="155">
                  <c:v>17.441473499729906</c:v>
                </c:pt>
                <c:pt idx="156">
                  <c:v>16.74206200278342</c:v>
                </c:pt>
                <c:pt idx="157">
                  <c:v>16.049529137891092</c:v>
                </c:pt>
                <c:pt idx="158">
                  <c:v>15.363420233746512</c:v>
                </c:pt>
                <c:pt idx="159">
                  <c:v>14.683309068060115</c:v>
                </c:pt>
                <c:pt idx="160">
                  <c:v>14.008795574496355</c:v>
                </c:pt>
                <c:pt idx="161">
                  <c:v>13.339503745558972</c:v>
                </c:pt>
                <c:pt idx="162">
                  <c:v>12.67507974359318</c:v>
                </c:pt>
                <c:pt idx="163">
                  <c:v>12.015190115431288</c:v>
                </c:pt>
                <c:pt idx="164">
                  <c:v>11.359520207830082</c:v>
                </c:pt>
                <c:pt idx="165">
                  <c:v>10.707772628739152</c:v>
                </c:pt>
                <c:pt idx="166">
                  <c:v>10.059665889107844</c:v>
                </c:pt>
                <c:pt idx="167">
                  <c:v>9.4149331023665255</c:v>
                </c:pt>
                <c:pt idx="168">
                  <c:v>8.7733208099071636</c:v>
                </c:pt>
                <c:pt idx="169">
                  <c:v>8.1345878656472497</c:v>
                </c:pt>
                <c:pt idx="170">
                  <c:v>7.4985043652425034</c:v>
                </c:pt>
                <c:pt idx="171">
                  <c:v>6.8648507155649261</c:v>
                </c:pt>
                <c:pt idx="172">
                  <c:v>6.2334166917379532</c:v>
                </c:pt>
                <c:pt idx="173">
                  <c:v>5.6040005665244816</c:v>
                </c:pt>
                <c:pt idx="174">
                  <c:v>4.9764083174735489</c:v>
                </c:pt>
                <c:pt idx="175">
                  <c:v>4.3504528326442511</c:v>
                </c:pt>
                <c:pt idx="176">
                  <c:v>3.7259531672860344</c:v>
                </c:pt>
                <c:pt idx="177">
                  <c:v>3.10273385485403</c:v>
                </c:pt>
                <c:pt idx="178">
                  <c:v>2.4806242076212519</c:v>
                </c:pt>
                <c:pt idx="179">
                  <c:v>1.8594576737794921</c:v>
                </c:pt>
                <c:pt idx="180">
                  <c:v>1.2390711977815012</c:v>
                </c:pt>
                <c:pt idx="181">
                  <c:v>0.61930460582468816</c:v>
                </c:pt>
              </c:numCache>
            </c:numRef>
          </c:xVal>
          <c:yVal>
            <c:numRef>
              <c:f>'Reichweite_50%'!$T$37:$T$218</c:f>
              <c:numCache>
                <c:formatCode>0.00</c:formatCode>
                <c:ptCount val="182"/>
                <c:pt idx="0">
                  <c:v>41.1</c:v>
                </c:pt>
                <c:pt idx="1">
                  <c:v>-41.1</c:v>
                </c:pt>
                <c:pt idx="2">
                  <c:v>36.596252502822701</c:v>
                </c:pt>
                <c:pt idx="3">
                  <c:v>36.595233806740744</c:v>
                </c:pt>
                <c:pt idx="4">
                  <c:v>36.589976792331605</c:v>
                </c:pt>
                <c:pt idx="5">
                  <c:v>36.580489125479346</c:v>
                </c:pt>
                <c:pt idx="6">
                  <c:v>36.56677965666082</c:v>
                </c:pt>
                <c:pt idx="7">
                  <c:v>36.548858550791699</c:v>
                </c:pt>
                <c:pt idx="8">
                  <c:v>36.526737176699577</c:v>
                </c:pt>
                <c:pt idx="9">
                  <c:v>36.500428179021277</c:v>
                </c:pt>
                <c:pt idx="10">
                  <c:v>36.469945506364404</c:v>
                </c:pt>
                <c:pt idx="11">
                  <c:v>36.435304320373341</c:v>
                </c:pt>
                <c:pt idx="12">
                  <c:v>36.396521056454759</c:v>
                </c:pt>
                <c:pt idx="13">
                  <c:v>36.353613410349638</c:v>
                </c:pt>
                <c:pt idx="14">
                  <c:v>36.30660034695682</c:v>
                </c:pt>
                <c:pt idx="15">
                  <c:v>36.255502103428057</c:v>
                </c:pt>
                <c:pt idx="16">
                  <c:v>36.20034013460775</c:v>
                </c:pt>
                <c:pt idx="17">
                  <c:v>36.141137239792272</c:v>
                </c:pt>
                <c:pt idx="18">
                  <c:v>36.077917380403406</c:v>
                </c:pt>
                <c:pt idx="19">
                  <c:v>36.010705862377598</c:v>
                </c:pt>
                <c:pt idx="20">
                  <c:v>35.939529223593603</c:v>
                </c:pt>
                <c:pt idx="21">
                  <c:v>35.864415302803877</c:v>
                </c:pt>
                <c:pt idx="22">
                  <c:v>35.785393194295061</c:v>
                </c:pt>
                <c:pt idx="23">
                  <c:v>35.702493248087848</c:v>
                </c:pt>
                <c:pt idx="24">
                  <c:v>35.615747104851536</c:v>
                </c:pt>
                <c:pt idx="25">
                  <c:v>35.525187730736846</c:v>
                </c:pt>
                <c:pt idx="26">
                  <c:v>35.430849349328732</c:v>
                </c:pt>
                <c:pt idx="27">
                  <c:v>35.332767467220847</c:v>
                </c:pt>
                <c:pt idx="28">
                  <c:v>35.230978951834281</c:v>
                </c:pt>
                <c:pt idx="29">
                  <c:v>35.125521942032428</c:v>
                </c:pt>
                <c:pt idx="30">
                  <c:v>35.016435936458862</c:v>
                </c:pt>
                <c:pt idx="31">
                  <c:v>34.903761744874643</c:v>
                </c:pt>
                <c:pt idx="32">
                  <c:v>34.78754161308435</c:v>
                </c:pt>
                <c:pt idx="33">
                  <c:v>34.66781905620438</c:v>
                </c:pt>
                <c:pt idx="34">
                  <c:v>34.544639112324937</c:v>
                </c:pt>
                <c:pt idx="35">
                  <c:v>34.418048136949771</c:v>
                </c:pt>
                <c:pt idx="36">
                  <c:v>34.073444232012214</c:v>
                </c:pt>
                <c:pt idx="37">
                  <c:v>33.667149020277563</c:v>
                </c:pt>
                <c:pt idx="38">
                  <c:v>33.250598468810338</c:v>
                </c:pt>
                <c:pt idx="39">
                  <c:v>32.823919462943735</c:v>
                </c:pt>
                <c:pt idx="40">
                  <c:v>32.051738707679448</c:v>
                </c:pt>
                <c:pt idx="41">
                  <c:v>31.157054059202924</c:v>
                </c:pt>
                <c:pt idx="42">
                  <c:v>30.290506422232031</c:v>
                </c:pt>
                <c:pt idx="43">
                  <c:v>29.449788462644758</c:v>
                </c:pt>
                <c:pt idx="44">
                  <c:v>28.632816013882724</c:v>
                </c:pt>
                <c:pt idx="45">
                  <c:v>27.837702207251944</c:v>
                </c:pt>
                <c:pt idx="46">
                  <c:v>27.062734957595175</c:v>
                </c:pt>
                <c:pt idx="47">
                  <c:v>26.306357592538358</c:v>
                </c:pt>
                <c:pt idx="48">
                  <c:v>25.567152000364867</c:v>
                </c:pt>
                <c:pt idx="49">
                  <c:v>24.843823802323826</c:v>
                </c:pt>
                <c:pt idx="50">
                  <c:v>24.135189494836848</c:v>
                </c:pt>
                <c:pt idx="51">
                  <c:v>23.440165110858995</c:v>
                </c:pt>
                <c:pt idx="52">
                  <c:v>22.75775624824124</c:v>
                </c:pt>
                <c:pt idx="53">
                  <c:v>22.087049300180059</c:v>
                </c:pt>
                <c:pt idx="54">
                  <c:v>21.427203622164434</c:v>
                </c:pt>
                <c:pt idx="55">
                  <c:v>20.777444592916488</c:v>
                </c:pt>
                <c:pt idx="56">
                  <c:v>20.137057535260368</c:v>
                </c:pt>
                <c:pt idx="57">
                  <c:v>19.5053822105153</c:v>
                </c:pt>
                <c:pt idx="58">
                  <c:v>18.881807849606176</c:v>
                </c:pt>
                <c:pt idx="59">
                  <c:v>18.265768846545573</c:v>
                </c:pt>
                <c:pt idx="60">
                  <c:v>17.656740754243831</c:v>
                </c:pt>
                <c:pt idx="61">
                  <c:v>17.054236762384036</c:v>
                </c:pt>
                <c:pt idx="62">
                  <c:v>16.457804506126944</c:v>
                </c:pt>
                <c:pt idx="63">
                  <c:v>15.867023151201478</c:v>
                </c:pt>
                <c:pt idx="64">
                  <c:v>15.281500754972573</c:v>
                </c:pt>
                <c:pt idx="65">
                  <c:v>14.700871966358235</c:v>
                </c:pt>
                <c:pt idx="66">
                  <c:v>14.124795775526296</c:v>
                </c:pt>
                <c:pt idx="67">
                  <c:v>13.552953601045731</c:v>
                </c:pt>
                <c:pt idx="68">
                  <c:v>12.985047465753279</c:v>
                </c:pt>
                <c:pt idx="69">
                  <c:v>12.420798386561485</c:v>
                </c:pt>
                <c:pt idx="70">
                  <c:v>11.859944811806573</c:v>
                </c:pt>
                <c:pt idx="71">
                  <c:v>11.302241273431644</c:v>
                </c:pt>
                <c:pt idx="72">
                  <c:v>10.74745712652614</c:v>
                </c:pt>
                <c:pt idx="73">
                  <c:v>10.195375324175874</c:v>
                </c:pt>
                <c:pt idx="74">
                  <c:v>9.6457913647202904</c:v>
                </c:pt>
                <c:pt idx="75">
                  <c:v>9.0985122689061129</c:v>
                </c:pt>
                <c:pt idx="76">
                  <c:v>8.5533556518058855</c:v>
                </c:pt>
                <c:pt idx="77">
                  <c:v>8.0101488369221112</c:v>
                </c:pt>
                <c:pt idx="78">
                  <c:v>7.4687280460632204</c:v>
                </c:pt>
                <c:pt idx="79">
                  <c:v>6.9289376421232456</c:v>
                </c:pt>
                <c:pt idx="80">
                  <c:v>6.39062938751474</c:v>
                </c:pt>
                <c:pt idx="81">
                  <c:v>5.8536617965243298</c:v>
                </c:pt>
                <c:pt idx="82">
                  <c:v>5.317899473082071</c:v>
                </c:pt>
                <c:pt idx="83">
                  <c:v>4.7832125156934495</c:v>
                </c:pt>
                <c:pt idx="84">
                  <c:v>4.2494759362933738</c:v>
                </c:pt>
                <c:pt idx="85">
                  <c:v>3.7165691040009743</c:v>
                </c:pt>
                <c:pt idx="86">
                  <c:v>3.1843752125519575</c:v>
                </c:pt>
                <c:pt idx="87">
                  <c:v>2.6527807853107976</c:v>
                </c:pt>
                <c:pt idx="88">
                  <c:v>2.1216751655218058</c:v>
                </c:pt>
                <c:pt idx="89">
                  <c:v>1.5909500454796106</c:v>
                </c:pt>
                <c:pt idx="90">
                  <c:v>1.0604989916880754</c:v>
                </c:pt>
                <c:pt idx="91">
                  <c:v>0.53021699175979409</c:v>
                </c:pt>
                <c:pt idx="92">
                  <c:v>1.8609583561178771E-15</c:v>
                </c:pt>
                <c:pt idx="93">
                  <c:v>-0.53020995422910711</c:v>
                </c:pt>
                <c:pt idx="94">
                  <c:v>-1.0604708240639884</c:v>
                </c:pt>
                <c:pt idx="95">
                  <c:v>-1.590886604033579</c:v>
                </c:pt>
                <c:pt idx="96">
                  <c:v>-2.1215622222218253</c:v>
                </c:pt>
                <c:pt idx="97">
                  <c:v>-2.6526039861282302</c:v>
                </c:pt>
                <c:pt idx="98">
                  <c:v>-3.1841200481848535</c:v>
                </c:pt>
                <c:pt idx="99">
                  <c:v>-3.7162208743426173</c:v>
                </c:pt>
                <c:pt idx="100">
                  <c:v>-4.249019709598671</c:v>
                </c:pt>
                <c:pt idx="101">
                  <c:v>-4.7826330838380251</c:v>
                </c:pt>
                <c:pt idx="102">
                  <c:v>-5.3171813203571263</c:v>
                </c:pt>
                <c:pt idx="103">
                  <c:v>-5.8527890590025082</c:v>
                </c:pt>
                <c:pt idx="104">
                  <c:v>-6.3895858057106114</c:v>
                </c:pt>
                <c:pt idx="105">
                  <c:v>-6.9277065044838713</c:v>
                </c:pt>
                <c:pt idx="106">
                  <c:v>-7.4672921631549034</c:v>
                </c:pt>
                <c:pt idx="107">
                  <c:v>-8.0084904647058064</c:v>
                </c:pt>
                <c:pt idx="108">
                  <c:v>-8.5514564514470273</c:v>
                </c:pt>
                <c:pt idx="109">
                  <c:v>-9.0963532552165489</c:v>
                </c:pt>
                <c:pt idx="110">
                  <c:v>-9.6433528228604839</c:v>
                </c:pt>
                <c:pt idx="111">
                  <c:v>-10.192636774248124</c:v>
                </c:pt>
                <c:pt idx="112">
                  <c:v>-10.744397216921254</c:v>
                </c:pt>
                <c:pt idx="113">
                  <c:v>-11.298837724091371</c:v>
                </c:pt>
                <c:pt idx="114">
                  <c:v>-11.85617433125584</c:v>
                </c:pt>
                <c:pt idx="115">
                  <c:v>-12.416636584837882</c:v>
                </c:pt>
                <c:pt idx="116">
                  <c:v>-12.980468753310703</c:v>
                </c:pt>
                <c:pt idx="117">
                  <c:v>-13.54793106094356</c:v>
                </c:pt>
                <c:pt idx="118">
                  <c:v>-14.119301103015006</c:v>
                </c:pt>
                <c:pt idx="119">
                  <c:v>-14.694875299924046</c:v>
                </c:pt>
                <c:pt idx="120">
                  <c:v>-15.274970551585765</c:v>
                </c:pt>
                <c:pt idx="121">
                  <c:v>-15.859926033116126</c:v>
                </c:pt>
                <c:pt idx="122">
                  <c:v>-16.450105112504133</c:v>
                </c:pt>
                <c:pt idx="123">
                  <c:v>-17.045897544172583</c:v>
                </c:pt>
                <c:pt idx="124">
                  <c:v>-17.647721796488533</c:v>
                </c:pt>
                <c:pt idx="125">
                  <c:v>-18.256027643842508</c:v>
                </c:pt>
                <c:pt idx="126">
                  <c:v>-18.871299056647249</c:v>
                </c:pt>
                <c:pt idx="127">
                  <c:v>-19.494057380655779</c:v>
                </c:pt>
                <c:pt idx="128">
                  <c:v>-20.124864833289738</c:v>
                </c:pt>
                <c:pt idx="129">
                  <c:v>-20.764328435734093</c:v>
                </c:pt>
                <c:pt idx="130">
                  <c:v>-21.413104316926397</c:v>
                </c:pt>
                <c:pt idx="131">
                  <c:v>-22.071902667552905</c:v>
                </c:pt>
                <c:pt idx="132">
                  <c:v>-22.741493087569868</c:v>
                </c:pt>
                <c:pt idx="133">
                  <c:v>-23.422710736430165</c:v>
                </c:pt>
                <c:pt idx="134">
                  <c:v>-24.116463156500448</c:v>
                </c:pt>
                <c:pt idx="135">
                  <c:v>-24.823737980547865</c:v>
                </c:pt>
                <c:pt idx="136">
                  <c:v>-25.54561167058667</c:v>
                </c:pt>
                <c:pt idx="137">
                  <c:v>-26.283259408532427</c:v>
                </c:pt>
                <c:pt idx="138">
                  <c:v>-27.037966225386896</c:v>
                </c:pt>
                <c:pt idx="139">
                  <c:v>-27.811139872110648</c:v>
                </c:pt>
                <c:pt idx="140">
                  <c:v>-28.604325317097796</c:v>
                </c:pt>
                <c:pt idx="141">
                  <c:v>-29.419221526944618</c:v>
                </c:pt>
                <c:pt idx="142">
                  <c:v>-30.257700597319289</c:v>
                </c:pt>
                <c:pt idx="143">
                  <c:v>-31.121829977528066</c:v>
                </c:pt>
                <c:pt idx="144">
                  <c:v>-32.013898076868308</c:v>
                </c:pt>
                <c:pt idx="145">
                  <c:v>-32.823919462943742</c:v>
                </c:pt>
                <c:pt idx="146">
                  <c:v>-33.223793200660019</c:v>
                </c:pt>
                <c:pt idx="147">
                  <c:v>-33.348067428063189</c:v>
                </c:pt>
                <c:pt idx="148">
                  <c:v>-33.46940076387019</c:v>
                </c:pt>
                <c:pt idx="149">
                  <c:v>-33.587722853143433</c:v>
                </c:pt>
                <c:pt idx="150">
                  <c:v>-33.702966113957714</c:v>
                </c:pt>
                <c:pt idx="151">
                  <c:v>-33.815065780896013</c:v>
                </c:pt>
                <c:pt idx="152">
                  <c:v>-33.923959594835729</c:v>
                </c:pt>
                <c:pt idx="153">
                  <c:v>-34.029587691618147</c:v>
                </c:pt>
                <c:pt idx="154">
                  <c:v>-34.131892642817995</c:v>
                </c:pt>
                <c:pt idx="155">
                  <c:v>-34.230819122059586</c:v>
                </c:pt>
                <c:pt idx="156">
                  <c:v>-34.326314040265622</c:v>
                </c:pt>
                <c:pt idx="157">
                  <c:v>-34.418326307127252</c:v>
                </c:pt>
                <c:pt idx="158">
                  <c:v>-34.506806817938745</c:v>
                </c:pt>
                <c:pt idx="159">
                  <c:v>-34.59170840611079</c:v>
                </c:pt>
                <c:pt idx="160">
                  <c:v>-34.672985758632294</c:v>
                </c:pt>
                <c:pt idx="161">
                  <c:v>-34.750595335997687</c:v>
                </c:pt>
                <c:pt idx="162">
                  <c:v>-34.824495385308929</c:v>
                </c:pt>
                <c:pt idx="163">
                  <c:v>-34.894645830578582</c:v>
                </c:pt>
                <c:pt idx="164">
                  <c:v>-34.961008333848248</c:v>
                </c:pt>
                <c:pt idx="165">
                  <c:v>-35.023546140844289</c:v>
                </c:pt>
                <c:pt idx="166">
                  <c:v>-35.082224121888387</c:v>
                </c:pt>
                <c:pt idx="167">
                  <c:v>-35.137008687893911</c:v>
                </c:pt>
                <c:pt idx="168">
                  <c:v>-35.187867828168905</c:v>
                </c:pt>
                <c:pt idx="169">
                  <c:v>-35.23477108729567</c:v>
                </c:pt>
                <c:pt idx="170">
                  <c:v>-35.277689412775509</c:v>
                </c:pt>
                <c:pt idx="171">
                  <c:v>-35.316595317796171</c:v>
                </c:pt>
                <c:pt idx="172">
                  <c:v>-35.351462757955041</c:v>
                </c:pt>
                <c:pt idx="173">
                  <c:v>-35.382267065133718</c:v>
                </c:pt>
                <c:pt idx="174">
                  <c:v>-35.40898506837226</c:v>
                </c:pt>
                <c:pt idx="175">
                  <c:v>-35.431594987618141</c:v>
                </c:pt>
                <c:pt idx="176">
                  <c:v>-35.450076372924215</c:v>
                </c:pt>
                <c:pt idx="177">
                  <c:v>-35.46441024252988</c:v>
                </c:pt>
                <c:pt idx="178">
                  <c:v>-35.47457890151189</c:v>
                </c:pt>
                <c:pt idx="179">
                  <c:v>-35.48056603843164</c:v>
                </c:pt>
                <c:pt idx="180">
                  <c:v>-35.482356655236508</c:v>
                </c:pt>
                <c:pt idx="181">
                  <c:v>-35.479937105449125</c:v>
                </c:pt>
              </c:numCache>
            </c:numRef>
          </c:yVal>
          <c:smooth val="0"/>
          <c:extLst>
            <c:ext xmlns:c16="http://schemas.microsoft.com/office/drawing/2014/chart" uri="{C3380CC4-5D6E-409C-BE32-E72D297353CC}">
              <c16:uniqueId val="{00000000-0325-43F0-AABD-D1D03254722C}"/>
            </c:ext>
          </c:extLst>
        </c:ser>
        <c:dLbls>
          <c:showLegendKey val="0"/>
          <c:showVal val="0"/>
          <c:showCatName val="0"/>
          <c:showSerName val="0"/>
          <c:showPercent val="0"/>
          <c:showBubbleSize val="0"/>
        </c:dLbls>
        <c:axId val="79062912"/>
        <c:axId val="79081472"/>
      </c:scatterChart>
      <c:valAx>
        <c:axId val="79062912"/>
        <c:scaling>
          <c:orientation val="minMax"/>
          <c:min val="0"/>
        </c:scaling>
        <c:delete val="0"/>
        <c:axPos val="b"/>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79081472"/>
        <c:crossesAt val="-11000"/>
        <c:crossBetween val="midCat"/>
        <c:majorUnit val="5"/>
        <c:minorUnit val="1"/>
      </c:valAx>
      <c:valAx>
        <c:axId val="79081472"/>
        <c:scaling>
          <c:orientation val="minMax"/>
        </c:scaling>
        <c:delete val="0"/>
        <c:axPos val="r"/>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79062912"/>
        <c:crosses val="max"/>
        <c:crossBetween val="midCat"/>
        <c:majorUnit val="5"/>
        <c:minorUnit val="1"/>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56" l="0.7500000000000091" r="0.7500000000000091" t="0.98425196899999956" header="0.49212598450000533" footer="0.49212598450000533"/>
    <c:pageSetup paperSize="9"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4293587250593891E-2"/>
          <c:y val="8.470111464488414E-2"/>
          <c:w val="0.78135048231511262"/>
          <c:h val="0.85457809694793541"/>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xVal>
            <c:numRef>
              <c:f>'Reichweite_50%'!$S$219:$S$400</c:f>
              <c:numCache>
                <c:formatCode>0.00</c:formatCode>
                <c:ptCount val="182"/>
                <c:pt idx="0">
                  <c:v>-41.1</c:v>
                </c:pt>
                <c:pt idx="1">
                  <c:v>-41.1</c:v>
                </c:pt>
                <c:pt idx="2">
                  <c:v>4.3460052581431309E-15</c:v>
                </c:pt>
                <c:pt idx="3">
                  <c:v>-0.61890215687241135</c:v>
                </c:pt>
                <c:pt idx="4">
                  <c:v>-1.2374604191381224</c:v>
                </c:pt>
                <c:pt idx="5">
                  <c:v>-1.8558297301199163</c:v>
                </c:pt>
                <c:pt idx="6">
                  <c:v>-2.4741653260200764</c:v>
                </c:pt>
                <c:pt idx="7">
                  <c:v>-3.0926233114413471</c:v>
                </c:pt>
                <c:pt idx="8">
                  <c:v>-3.7113612368025377</c:v>
                </c:pt>
                <c:pt idx="9">
                  <c:v>-4.3305386942459245</c:v>
                </c:pt>
                <c:pt idx="10">
                  <c:v>-4.9503179033319862</c:v>
                </c:pt>
                <c:pt idx="11">
                  <c:v>-5.5708643339067203</c:v>
                </c:pt>
                <c:pt idx="12">
                  <c:v>-6.1923473108266514</c:v>
                </c:pt>
                <c:pt idx="13">
                  <c:v>-6.8149406811534128</c:v>
                </c:pt>
                <c:pt idx="14">
                  <c:v>-7.4388234592772431</c:v>
                </c:pt>
                <c:pt idx="15">
                  <c:v>-8.0641805246637706</c:v>
                </c:pt>
                <c:pt idx="16">
                  <c:v>-8.6912033546335525</c:v>
                </c:pt>
                <c:pt idx="17">
                  <c:v>-9.3200907698495907</c:v>
                </c:pt>
                <c:pt idx="18">
                  <c:v>-9.9510497184983198</c:v>
                </c:pt>
                <c:pt idx="19">
                  <c:v>-10.584296134579132</c:v>
                </c:pt>
                <c:pt idx="20">
                  <c:v>-11.220055833858744</c:v>
                </c:pt>
                <c:pt idx="21">
                  <c:v>-11.858565411728803</c:v>
                </c:pt>
                <c:pt idx="22">
                  <c:v>-12.500073298900265</c:v>
                </c:pt>
                <c:pt idx="23">
                  <c:v>-13.144840811506407</c:v>
                </c:pt>
                <c:pt idx="24">
                  <c:v>-13.793143293019824</c:v>
                </c:pt>
                <c:pt idx="25">
                  <c:v>-14.445271351001557</c:v>
                </c:pt>
                <c:pt idx="26">
                  <c:v>-15.101532218313553</c:v>
                </c:pt>
                <c:pt idx="27">
                  <c:v>-15.762251147493256</c:v>
                </c:pt>
                <c:pt idx="28">
                  <c:v>-16.427772977404153</c:v>
                </c:pt>
                <c:pt idx="29">
                  <c:v>-17.098463828229715</c:v>
                </c:pt>
                <c:pt idx="30">
                  <c:v>-17.774712907922108</c:v>
                </c:pt>
                <c:pt idx="31">
                  <c:v>-18.456934551578264</c:v>
                </c:pt>
                <c:pt idx="32">
                  <c:v>-19.145570320286968</c:v>
                </c:pt>
                <c:pt idx="33">
                  <c:v>-19.841091450695409</c:v>
                </c:pt>
                <c:pt idx="34">
                  <c:v>-20.544001462014602</c:v>
                </c:pt>
                <c:pt idx="35">
                  <c:v>-21.254838943544762</c:v>
                </c:pt>
                <c:pt idx="36">
                  <c:v>-21.974180802160411</c:v>
                </c:pt>
                <c:pt idx="37">
                  <c:v>-22.702645646692567</c:v>
                </c:pt>
                <c:pt idx="38">
                  <c:v>-23.440897730815063</c:v>
                </c:pt>
                <c:pt idx="39">
                  <c:v>-24.189651102977866</c:v>
                </c:pt>
                <c:pt idx="40">
                  <c:v>-24.949674363191228</c:v>
                </c:pt>
                <c:pt idx="41">
                  <c:v>-25.481520141099825</c:v>
                </c:pt>
                <c:pt idx="42">
                  <c:v>-25.669069172831772</c:v>
                </c:pt>
                <c:pt idx="43">
                  <c:v>-25.853855916960988</c:v>
                </c:pt>
                <c:pt idx="44">
                  <c:v>-26.035829344713704</c:v>
                </c:pt>
                <c:pt idx="45">
                  <c:v>-26.214939034459658</c:v>
                </c:pt>
                <c:pt idx="46">
                  <c:v>-26.391135171097712</c:v>
                </c:pt>
                <c:pt idx="47">
                  <c:v>-26.564368649799864</c:v>
                </c:pt>
                <c:pt idx="48">
                  <c:v>-26.734591050125939</c:v>
                </c:pt>
                <c:pt idx="49">
                  <c:v>-26.901754685518632</c:v>
                </c:pt>
                <c:pt idx="50">
                  <c:v>-27.065812656304335</c:v>
                </c:pt>
                <c:pt idx="51">
                  <c:v>-27.226718822373442</c:v>
                </c:pt>
                <c:pt idx="52">
                  <c:v>-27.384427856273685</c:v>
                </c:pt>
                <c:pt idx="53">
                  <c:v>-27.53889525911244</c:v>
                </c:pt>
                <c:pt idx="54">
                  <c:v>-27.690077380924073</c:v>
                </c:pt>
                <c:pt idx="55">
                  <c:v>-27.837931433488915</c:v>
                </c:pt>
                <c:pt idx="56">
                  <c:v>-27.98241552676642</c:v>
                </c:pt>
                <c:pt idx="57">
                  <c:v>-28.123488647447822</c:v>
                </c:pt>
                <c:pt idx="58">
                  <c:v>-28.261110685307621</c:v>
                </c:pt>
                <c:pt idx="59">
                  <c:v>-28.395242530196583</c:v>
                </c:pt>
                <c:pt idx="60">
                  <c:v>-28.525845937632667</c:v>
                </c:pt>
                <c:pt idx="61">
                  <c:v>-28.652883640104374</c:v>
                </c:pt>
                <c:pt idx="62">
                  <c:v>-28.776319396145372</c:v>
                </c:pt>
                <c:pt idx="63">
                  <c:v>-28.896117832298106</c:v>
                </c:pt>
                <c:pt idx="64">
                  <c:v>-29.012244712221513</c:v>
                </c:pt>
                <c:pt idx="65">
                  <c:v>-29.124666665753946</c:v>
                </c:pt>
                <c:pt idx="66">
                  <c:v>-29.233351443779288</c:v>
                </c:pt>
                <c:pt idx="67">
                  <c:v>-29.338267780497574</c:v>
                </c:pt>
                <c:pt idx="68">
                  <c:v>-29.439385428002982</c:v>
                </c:pt>
                <c:pt idx="69">
                  <c:v>-29.536675229528999</c:v>
                </c:pt>
                <c:pt idx="70">
                  <c:v>-29.630109039507339</c:v>
                </c:pt>
                <c:pt idx="71">
                  <c:v>-29.719659822053966</c:v>
                </c:pt>
                <c:pt idx="72">
                  <c:v>-29.805301573056468</c:v>
                </c:pt>
                <c:pt idx="73">
                  <c:v>-29.88700939845636</c:v>
                </c:pt>
                <c:pt idx="74">
                  <c:v>-29.964759480112001</c:v>
                </c:pt>
                <c:pt idx="75">
                  <c:v>-30.03852909979058</c:v>
                </c:pt>
                <c:pt idx="76">
                  <c:v>-30.108296635090795</c:v>
                </c:pt>
                <c:pt idx="77">
                  <c:v>-30.174041581047835</c:v>
                </c:pt>
                <c:pt idx="78">
                  <c:v>-30.235744555732708</c:v>
                </c:pt>
                <c:pt idx="79">
                  <c:v>-30.293387318841262</c:v>
                </c:pt>
                <c:pt idx="80">
                  <c:v>-30.346952686167551</c:v>
                </c:pt>
                <c:pt idx="81">
                  <c:v>-30.396424733669583</c:v>
                </c:pt>
                <c:pt idx="82">
                  <c:v>-30.441788564211503</c:v>
                </c:pt>
                <c:pt idx="83">
                  <c:v>-30.483030468567737</c:v>
                </c:pt>
                <c:pt idx="84">
                  <c:v>-30.52013792362435</c:v>
                </c:pt>
                <c:pt idx="85">
                  <c:v>-30.553099525788259</c:v>
                </c:pt>
                <c:pt idx="86">
                  <c:v>-30.58190503482647</c:v>
                </c:pt>
                <c:pt idx="87">
                  <c:v>-30.606545357683906</c:v>
                </c:pt>
                <c:pt idx="88">
                  <c:v>-30.627012672390272</c:v>
                </c:pt>
                <c:pt idx="89">
                  <c:v>-30.643300170911733</c:v>
                </c:pt>
                <c:pt idx="90">
                  <c:v>-30.655402367694233</c:v>
                </c:pt>
                <c:pt idx="91">
                  <c:v>-30.66331490462894</c:v>
                </c:pt>
                <c:pt idx="92">
                  <c:v>-30.667034574870499</c:v>
                </c:pt>
                <c:pt idx="93">
                  <c:v>-30.663949350478603</c:v>
                </c:pt>
                <c:pt idx="94">
                  <c:v>-30.656671677906115</c:v>
                </c:pt>
                <c:pt idx="95">
                  <c:v>-30.645205104946665</c:v>
                </c:pt>
                <c:pt idx="96">
                  <c:v>-30.629554375309311</c:v>
                </c:pt>
                <c:pt idx="97">
                  <c:v>-30.609725426825911</c:v>
                </c:pt>
                <c:pt idx="98">
                  <c:v>-30.585725359678644</c:v>
                </c:pt>
                <c:pt idx="99">
                  <c:v>-30.55756249827359</c:v>
                </c:pt>
                <c:pt idx="100">
                  <c:v>-30.525246321938418</c:v>
                </c:pt>
                <c:pt idx="101">
                  <c:v>-30.488787462572301</c:v>
                </c:pt>
                <c:pt idx="102">
                  <c:v>-30.448197717732445</c:v>
                </c:pt>
                <c:pt idx="103">
                  <c:v>-30.403490077154821</c:v>
                </c:pt>
                <c:pt idx="104">
                  <c:v>-30.354678735920476</c:v>
                </c:pt>
                <c:pt idx="105">
                  <c:v>-30.30177892188231</c:v>
                </c:pt>
                <c:pt idx="106">
                  <c:v>-30.244807145930171</c:v>
                </c:pt>
                <c:pt idx="107">
                  <c:v>-30.183781015828057</c:v>
                </c:pt>
                <c:pt idx="108">
                  <c:v>-30.118719271483471</c:v>
                </c:pt>
                <c:pt idx="109">
                  <c:v>-30.049641816401834</c:v>
                </c:pt>
                <c:pt idx="110">
                  <c:v>-29.976569693609157</c:v>
                </c:pt>
                <c:pt idx="111">
                  <c:v>-29.899525050689263</c:v>
                </c:pt>
                <c:pt idx="112">
                  <c:v>-29.818531206769233</c:v>
                </c:pt>
                <c:pt idx="113">
                  <c:v>-29.733612554870231</c:v>
                </c:pt>
                <c:pt idx="114">
                  <c:v>-29.644794624703493</c:v>
                </c:pt>
                <c:pt idx="115">
                  <c:v>-29.552104084534239</c:v>
                </c:pt>
                <c:pt idx="116">
                  <c:v>-29.455568653952284</c:v>
                </c:pt>
                <c:pt idx="117">
                  <c:v>-29.355217172427576</c:v>
                </c:pt>
                <c:pt idx="118">
                  <c:v>-29.251079603300088</c:v>
                </c:pt>
                <c:pt idx="119">
                  <c:v>-29.143186965219186</c:v>
                </c:pt>
                <c:pt idx="120">
                  <c:v>-29.031571337269988</c:v>
                </c:pt>
                <c:pt idx="121">
                  <c:v>-28.916265941219461</c:v>
                </c:pt>
                <c:pt idx="122">
                  <c:v>-28.797304976799897</c:v>
                </c:pt>
                <c:pt idx="123">
                  <c:v>-28.67472380826954</c:v>
                </c:pt>
                <c:pt idx="124">
                  <c:v>-28.548558758708811</c:v>
                </c:pt>
                <c:pt idx="125">
                  <c:v>-28.418847271535771</c:v>
                </c:pt>
                <c:pt idx="126">
                  <c:v>-28.285627806508462</c:v>
                </c:pt>
                <c:pt idx="127">
                  <c:v>-28.148939870415379</c:v>
                </c:pt>
                <c:pt idx="128">
                  <c:v>-28.008823977235728</c:v>
                </c:pt>
                <c:pt idx="129">
                  <c:v>-27.86532172543847</c:v>
                </c:pt>
                <c:pt idx="130">
                  <c:v>-27.718475643940831</c:v>
                </c:pt>
                <c:pt idx="131">
                  <c:v>-27.568329400083726</c:v>
                </c:pt>
                <c:pt idx="132">
                  <c:v>-27.414927552644048</c:v>
                </c:pt>
                <c:pt idx="133">
                  <c:v>-27.258315772166533</c:v>
                </c:pt>
                <c:pt idx="134">
                  <c:v>-27.098540666149017</c:v>
                </c:pt>
                <c:pt idx="135">
                  <c:v>-26.935649876899923</c:v>
                </c:pt>
                <c:pt idx="136">
                  <c:v>-26.769692038087065</c:v>
                </c:pt>
                <c:pt idx="137">
                  <c:v>-26.600716791828713</c:v>
                </c:pt>
                <c:pt idx="138">
                  <c:v>-26.428774779869265</c:v>
                </c:pt>
                <c:pt idx="139">
                  <c:v>-26.2539176627266</c:v>
                </c:pt>
                <c:pt idx="140">
                  <c:v>-26.076198067561375</c:v>
                </c:pt>
                <c:pt idx="141">
                  <c:v>-25.895669690004514</c:v>
                </c:pt>
                <c:pt idx="142">
                  <c:v>-25.712387218079265</c:v>
                </c:pt>
                <c:pt idx="143">
                  <c:v>-25.526406392009044</c:v>
                </c:pt>
                <c:pt idx="144">
                  <c:v>-25.303686635884553</c:v>
                </c:pt>
                <c:pt idx="145">
                  <c:v>-24.734597451549185</c:v>
                </c:pt>
                <c:pt idx="146">
                  <c:v>-24.157973869220655</c:v>
                </c:pt>
                <c:pt idx="147">
                  <c:v>-23.573991534028011</c:v>
                </c:pt>
                <c:pt idx="148">
                  <c:v>-22.925711394945914</c:v>
                </c:pt>
                <c:pt idx="149">
                  <c:v>-22.164189615766276</c:v>
                </c:pt>
                <c:pt idx="150">
                  <c:v>-21.41261068349262</c:v>
                </c:pt>
                <c:pt idx="151">
                  <c:v>-20.670311511915838</c:v>
                </c:pt>
                <c:pt idx="152">
                  <c:v>-19.936673681318954</c:v>
                </c:pt>
                <c:pt idx="153">
                  <c:v>-19.211119756021887</c:v>
                </c:pt>
                <c:pt idx="154">
                  <c:v>-18.493109881420114</c:v>
                </c:pt>
                <c:pt idx="155">
                  <c:v>-17.7821386868936</c:v>
                </c:pt>
                <c:pt idx="156">
                  <c:v>-17.07773252093553</c:v>
                </c:pt>
                <c:pt idx="157">
                  <c:v>-16.379446851009909</c:v>
                </c:pt>
                <c:pt idx="158">
                  <c:v>-15.686864024841908</c:v>
                </c:pt>
                <c:pt idx="159">
                  <c:v>-14.999591011099685</c:v>
                </c:pt>
                <c:pt idx="160">
                  <c:v>-14.317257546193719</c:v>
                </c:pt>
                <c:pt idx="161">
                  <c:v>-13.639514292314857</c:v>
                </c:pt>
                <c:pt idx="162">
                  <c:v>-12.966031145194201</c:v>
                </c:pt>
                <c:pt idx="163">
                  <c:v>-12.296495754986795</c:v>
                </c:pt>
                <c:pt idx="164">
                  <c:v>-11.630612061590741</c:v>
                </c:pt>
                <c:pt idx="165">
                  <c:v>-10.968099006251325</c:v>
                </c:pt>
                <c:pt idx="166">
                  <c:v>-10.308689276954306</c:v>
                </c:pt>
                <c:pt idx="167">
                  <c:v>-9.6521281916940165</c:v>
                </c:pt>
                <c:pt idx="168">
                  <c:v>-8.9981726072037862</c:v>
                </c:pt>
                <c:pt idx="169">
                  <c:v>-8.3465899109621748</c:v>
                </c:pt>
                <c:pt idx="170">
                  <c:v>-7.6971571062354576</c:v>
                </c:pt>
                <c:pt idx="171">
                  <c:v>-7.0496598762112326</c:v>
                </c:pt>
                <c:pt idx="172">
                  <c:v>-6.4038917730085361</c:v>
                </c:pt>
                <c:pt idx="173">
                  <c:v>-5.7596534006565863</c:v>
                </c:pt>
                <c:pt idx="174">
                  <c:v>-5.1167516544355491</c:v>
                </c:pt>
                <c:pt idx="175">
                  <c:v>-4.4749989767043106</c:v>
                </c:pt>
                <c:pt idx="176">
                  <c:v>-3.8342126637492431</c:v>
                </c:pt>
                <c:pt idx="177">
                  <c:v>-3.1942141733647254</c:v>
                </c:pt>
                <c:pt idx="178">
                  <c:v>-2.5548284730957058</c:v>
                </c:pt>
                <c:pt idx="179">
                  <c:v>-1.9158833950879353</c:v>
                </c:pt>
                <c:pt idx="180">
                  <c:v>-1.2772090051147535</c:v>
                </c:pt>
                <c:pt idx="181">
                  <c:v>-0.63863697937116082</c:v>
                </c:pt>
              </c:numCache>
            </c:numRef>
          </c:xVal>
          <c:yVal>
            <c:numRef>
              <c:f>'Reichweite_50%'!$T$219:$T$400</c:f>
              <c:numCache>
                <c:formatCode>0.00</c:formatCode>
                <c:ptCount val="182"/>
                <c:pt idx="0">
                  <c:v>41.1</c:v>
                </c:pt>
                <c:pt idx="1">
                  <c:v>-41.1</c:v>
                </c:pt>
                <c:pt idx="2">
                  <c:v>-35.473295017682453</c:v>
                </c:pt>
                <c:pt idx="3">
                  <c:v>-35.456880820414447</c:v>
                </c:pt>
                <c:pt idx="4">
                  <c:v>-35.436229990022255</c:v>
                </c:pt>
                <c:pt idx="5">
                  <c:v>-35.411340749568062</c:v>
                </c:pt>
                <c:pt idx="6">
                  <c:v>-35.38221259134199</c:v>
                </c:pt>
                <c:pt idx="7">
                  <c:v>-35.34884620251367</c:v>
                </c:pt>
                <c:pt idx="8">
                  <c:v>-35.311243428213622</c:v>
                </c:pt>
                <c:pt idx="9">
                  <c:v>-35.269407345687611</c:v>
                </c:pt>
                <c:pt idx="10">
                  <c:v>-35.223342125544875</c:v>
                </c:pt>
                <c:pt idx="11">
                  <c:v>-35.173053126252761</c:v>
                </c:pt>
                <c:pt idx="12">
                  <c:v>-35.118546724649775</c:v>
                </c:pt>
                <c:pt idx="13">
                  <c:v>-35.059830449827253</c:v>
                </c:pt>
                <c:pt idx="14">
                  <c:v>-34.996912825610359</c:v>
                </c:pt>
                <c:pt idx="15">
                  <c:v>-34.929803388453273</c:v>
                </c:pt>
                <c:pt idx="16">
                  <c:v>-34.858512704247062</c:v>
                </c:pt>
                <c:pt idx="17">
                  <c:v>-34.783052284232404</c:v>
                </c:pt>
                <c:pt idx="18">
                  <c:v>-34.703434519670068</c:v>
                </c:pt>
                <c:pt idx="19">
                  <c:v>-34.619672726599724</c:v>
                </c:pt>
                <c:pt idx="20">
                  <c:v>-34.531781126054234</c:v>
                </c:pt>
                <c:pt idx="21">
                  <c:v>-34.439774662373054</c:v>
                </c:pt>
                <c:pt idx="22">
                  <c:v>-34.343669130256139</c:v>
                </c:pt>
                <c:pt idx="23">
                  <c:v>-34.243481055196121</c:v>
                </c:pt>
                <c:pt idx="24">
                  <c:v>-34.139227631840527</c:v>
                </c:pt>
                <c:pt idx="25">
                  <c:v>-34.030926687223115</c:v>
                </c:pt>
                <c:pt idx="26">
                  <c:v>-33.918596704631547</c:v>
                </c:pt>
                <c:pt idx="27">
                  <c:v>-33.802256668609033</c:v>
                </c:pt>
                <c:pt idx="28">
                  <c:v>-33.681926044164278</c:v>
                </c:pt>
                <c:pt idx="29">
                  <c:v>-33.557624737283462</c:v>
                </c:pt>
                <c:pt idx="30">
                  <c:v>-33.429372979862165</c:v>
                </c:pt>
                <c:pt idx="31">
                  <c:v>-33.297191346966358</c:v>
                </c:pt>
                <c:pt idx="32">
                  <c:v>-33.161100534619763</c:v>
                </c:pt>
                <c:pt idx="33">
                  <c:v>-33.021121408832649</c:v>
                </c:pt>
                <c:pt idx="34">
                  <c:v>-32.877274904331799</c:v>
                </c:pt>
                <c:pt idx="35">
                  <c:v>-32.72958180068634</c:v>
                </c:pt>
                <c:pt idx="36">
                  <c:v>-32.578062772325019</c:v>
                </c:pt>
                <c:pt idx="37">
                  <c:v>-32.422738128096526</c:v>
                </c:pt>
                <c:pt idx="38">
                  <c:v>-32.26362783630762</c:v>
                </c:pt>
                <c:pt idx="39">
                  <c:v>-32.100751233011209</c:v>
                </c:pt>
                <c:pt idx="40">
                  <c:v>-31.934126927108803</c:v>
                </c:pt>
                <c:pt idx="41">
                  <c:v>-31.467056766434805</c:v>
                </c:pt>
                <c:pt idx="42">
                  <c:v>-30.591205405271552</c:v>
                </c:pt>
                <c:pt idx="43">
                  <c:v>-29.741459051715903</c:v>
                </c:pt>
                <c:pt idx="44">
                  <c:v>-28.915717904196182</c:v>
                </c:pt>
                <c:pt idx="45">
                  <c:v>-28.112080355759208</c:v>
                </c:pt>
                <c:pt idx="46">
                  <c:v>-27.328820485016145</c:v>
                </c:pt>
                <c:pt idx="47">
                  <c:v>-26.564368649799874</c:v>
                </c:pt>
                <c:pt idx="48">
                  <c:v>-25.817294476164282</c:v>
                </c:pt>
                <c:pt idx="49">
                  <c:v>-25.086292087820656</c:v>
                </c:pt>
                <c:pt idx="50">
                  <c:v>-24.370167177944076</c:v>
                </c:pt>
                <c:pt idx="51">
                  <c:v>-23.667825586540665</c:v>
                </c:pt>
                <c:pt idx="52">
                  <c:v>-22.978263314200092</c:v>
                </c:pt>
                <c:pt idx="53">
                  <c:v>-22.300557672658954</c:v>
                </c:pt>
                <c:pt idx="54">
                  <c:v>-21.633859454574736</c:v>
                </c:pt>
                <c:pt idx="55">
                  <c:v>-20.977385978189453</c:v>
                </c:pt>
                <c:pt idx="56">
                  <c:v>-20.330414916513341</c:v>
                </c:pt>
                <c:pt idx="57">
                  <c:v>-19.692278751698176</c:v>
                </c:pt>
                <c:pt idx="58">
                  <c:v>-19.062359852666486</c:v>
                </c:pt>
                <c:pt idx="59">
                  <c:v>-18.440086109794549</c:v>
                </c:pt>
                <c:pt idx="60">
                  <c:v>-17.824926863713852</c:v>
                </c:pt>
                <c:pt idx="61">
                  <c:v>-17.216389400917784</c:v>
                </c:pt>
                <c:pt idx="62">
                  <c:v>-16.614015749651198</c:v>
                </c:pt>
                <c:pt idx="63">
                  <c:v>-16.017379666288594</c:v>
                </c:pt>
                <c:pt idx="64">
                  <c:v>-15.426084147159042</c:v>
                </c:pt>
                <c:pt idx="65">
                  <c:v>-14.839758874243692</c:v>
                </c:pt>
                <c:pt idx="66">
                  <c:v>-14.258058172130047</c:v>
                </c:pt>
                <c:pt idx="67">
                  <c:v>-13.680658943048062</c:v>
                </c:pt>
                <c:pt idx="68">
                  <c:v>-13.10725887040104</c:v>
                </c:pt>
                <c:pt idx="69">
                  <c:v>-12.537574789497111</c:v>
                </c:pt>
                <c:pt idx="70">
                  <c:v>-11.971341126316323</c:v>
                </c:pt>
                <c:pt idx="71">
                  <c:v>-11.408308539173579</c:v>
                </c:pt>
                <c:pt idx="72">
                  <c:v>-10.848242595920166</c:v>
                </c:pt>
                <c:pt idx="73">
                  <c:v>-10.290922614536271</c:v>
                </c:pt>
                <c:pt idx="74">
                  <c:v>-9.7361405479700966</c:v>
                </c:pt>
                <c:pt idx="75">
                  <c:v>-9.1836999716947876</c:v>
                </c:pt>
                <c:pt idx="76">
                  <c:v>-8.6334151331697182</c:v>
                </c:pt>
                <c:pt idx="77">
                  <c:v>-8.0851100740248789</c:v>
                </c:pt>
                <c:pt idx="78">
                  <c:v>-7.5386178045574121</c:v>
                </c:pt>
                <c:pt idx="79">
                  <c:v>-6.993779533366963</c:v>
                </c:pt>
                <c:pt idx="80">
                  <c:v>-6.4504439201346315</c:v>
                </c:pt>
                <c:pt idx="81">
                  <c:v>-5.9084664364120796</c:v>
                </c:pt>
                <c:pt idx="82">
                  <c:v>-5.3677086648928904</c:v>
                </c:pt>
                <c:pt idx="83">
                  <c:v>-4.8280377201598945</c:v>
                </c:pt>
                <c:pt idx="84">
                  <c:v>-4.2893256590182904</c:v>
                </c:pt>
                <c:pt idx="85">
                  <c:v>-3.7514489094966441</c:v>
                </c:pt>
                <c:pt idx="86">
                  <c:v>-3.2142877416529729</c:v>
                </c:pt>
                <c:pt idx="87">
                  <c:v>-2.6777257484893409</c:v>
                </c:pt>
                <c:pt idx="88">
                  <c:v>-2.1416493555337532</c:v>
                </c:pt>
                <c:pt idx="89">
                  <c:v>-1.6059473118611356</c:v>
                </c:pt>
                <c:pt idx="90">
                  <c:v>-1.0705102397590214</c:v>
                </c:pt>
                <c:pt idx="91">
                  <c:v>-0.53523015257467965</c:v>
                </c:pt>
                <c:pt idx="92">
                  <c:v>-5.6357505039047732E-15</c:v>
                </c:pt>
                <c:pt idx="93">
                  <c:v>0.53524122686816766</c:v>
                </c:pt>
                <c:pt idx="94">
                  <c:v>1.0705545650483599</c:v>
                </c:pt>
                <c:pt idx="95">
                  <c:v>1.6060471452235761</c:v>
                </c:pt>
                <c:pt idx="96">
                  <c:v>2.141827088715778</c:v>
                </c:pt>
                <c:pt idx="97">
                  <c:v>2.678003968488484</c:v>
                </c:pt>
                <c:pt idx="98">
                  <c:v>3.2146892739750159</c:v>
                </c:pt>
                <c:pt idx="99">
                  <c:v>3.7519968936135935</c:v>
                </c:pt>
                <c:pt idx="100">
                  <c:v>4.29004359758133</c:v>
                </c:pt>
                <c:pt idx="101">
                  <c:v>4.8289495384332461</c:v>
                </c:pt>
                <c:pt idx="102">
                  <c:v>5.3688387715821237</c:v>
                </c:pt>
                <c:pt idx="103">
                  <c:v>5.9098398000629206</c:v>
                </c:pt>
                <c:pt idx="104">
                  <c:v>6.4520861427053937</c:v>
                </c:pt>
                <c:pt idx="105">
                  <c:v>6.9957168875816826</c:v>
                </c:pt>
                <c:pt idx="106">
                  <c:v>7.5408773620719201</c:v>
                </c:pt>
                <c:pt idx="107">
                  <c:v>8.0877197477089648</c:v>
                </c:pt>
                <c:pt idx="108">
                  <c:v>8.6364037760627781</c:v>
                </c:pt>
                <c:pt idx="109">
                  <c:v>9.1870974701171892</c:v>
                </c:pt>
                <c:pt idx="110">
                  <c:v>9.739977918952027</c:v>
                </c:pt>
                <c:pt idx="111">
                  <c:v>10.295232099198378</c:v>
                </c:pt>
                <c:pt idx="112">
                  <c:v>10.853057788801873</c:v>
                </c:pt>
                <c:pt idx="113">
                  <c:v>11.413664491492188</c:v>
                </c:pt>
                <c:pt idx="114">
                  <c:v>11.977274487877294</c:v>
                </c:pt>
                <c:pt idx="115">
                  <c:v>12.544123949889771</c:v>
                </c:pt>
                <c:pt idx="116">
                  <c:v>13.114464106814486</c:v>
                </c:pt>
                <c:pt idx="117">
                  <c:v>13.688562574306108</c:v>
                </c:pt>
                <c:pt idx="118">
                  <c:v>14.266704773263623</c:v>
                </c:pt>
                <c:pt idx="119">
                  <c:v>14.84919543815348</c:v>
                </c:pt>
                <c:pt idx="120">
                  <c:v>15.436360295979487</c:v>
                </c:pt>
                <c:pt idx="121">
                  <c:v>16.028547945433381</c:v>
                </c:pt>
                <c:pt idx="122">
                  <c:v>16.626131780291175</c:v>
                </c:pt>
                <c:pt idx="123">
                  <c:v>17.229512297881158</c:v>
                </c:pt>
                <c:pt idx="124">
                  <c:v>17.839119409499716</c:v>
                </c:pt>
                <c:pt idx="125">
                  <c:v>18.455415208055665</c:v>
                </c:pt>
                <c:pt idx="126">
                  <c:v>19.078896859724932</c:v>
                </c:pt>
                <c:pt idx="127">
                  <c:v>19.710099889876698</c:v>
                </c:pt>
                <c:pt idx="128">
                  <c:v>20.349601778878</c:v>
                </c:pt>
                <c:pt idx="129">
                  <c:v>20.998026043621522</c:v>
                </c:pt>
                <c:pt idx="130">
                  <c:v>21.656046609287511</c:v>
                </c:pt>
                <c:pt idx="131">
                  <c:v>22.324392970048294</c:v>
                </c:pt>
                <c:pt idx="132">
                  <c:v>23.003855598175466</c:v>
                </c:pt>
                <c:pt idx="133">
                  <c:v>23.695292395951231</c:v>
                </c:pt>
                <c:pt idx="134">
                  <c:v>24.39963561037003</c:v>
                </c:pt>
                <c:pt idx="135">
                  <c:v>25.117899865131236</c:v>
                </c:pt>
                <c:pt idx="136">
                  <c:v>25.851191106222981</c:v>
                </c:pt>
                <c:pt idx="137">
                  <c:v>26.600716791828699</c:v>
                </c:pt>
                <c:pt idx="138">
                  <c:v>27.367797440898286</c:v>
                </c:pt>
                <c:pt idx="139">
                  <c:v>28.153879817072369</c:v>
                </c:pt>
                <c:pt idx="140">
                  <c:v>28.960551912998483</c:v>
                </c:pt>
                <c:pt idx="141">
                  <c:v>29.789560295211857</c:v>
                </c:pt>
                <c:pt idx="142">
                  <c:v>30.642829841319383</c:v>
                </c:pt>
                <c:pt idx="143">
                  <c:v>31.5224866700501</c:v>
                </c:pt>
                <c:pt idx="144">
                  <c:v>32.387241973236279</c:v>
                </c:pt>
                <c:pt idx="145">
                  <c:v>32.823919462943735</c:v>
                </c:pt>
                <c:pt idx="146">
                  <c:v>33.250598468810338</c:v>
                </c:pt>
                <c:pt idx="147">
                  <c:v>33.667149020277556</c:v>
                </c:pt>
                <c:pt idx="148">
                  <c:v>33.9887648895346</c:v>
                </c:pt>
                <c:pt idx="149">
                  <c:v>34.129859040661493</c:v>
                </c:pt>
                <c:pt idx="150">
                  <c:v>34.26734023370652</c:v>
                </c:pt>
                <c:pt idx="151">
                  <c:v>34.401175343075217</c:v>
                </c:pt>
                <c:pt idx="152">
                  <c:v>34.531331749965638</c:v>
                </c:pt>
                <c:pt idx="153">
                  <c:v>34.657777472101806</c:v>
                </c:pt>
                <c:pt idx="154">
                  <c:v>34.780481180544569</c:v>
                </c:pt>
                <c:pt idx="155">
                  <c:v>34.899412197246924</c:v>
                </c:pt>
                <c:pt idx="156">
                  <c:v>35.014540593137767</c:v>
                </c:pt>
                <c:pt idx="157">
                  <c:v>35.125837126109268</c:v>
                </c:pt>
                <c:pt idx="158">
                  <c:v>35.233273467030031</c:v>
                </c:pt>
                <c:pt idx="159">
                  <c:v>35.336821969887879</c:v>
                </c:pt>
                <c:pt idx="160">
                  <c:v>35.436455929559294</c:v>
                </c:pt>
                <c:pt idx="161">
                  <c:v>35.53214953064419</c:v>
                </c:pt>
                <c:pt idx="162">
                  <c:v>35.623877791366439</c:v>
                </c:pt>
                <c:pt idx="163">
                  <c:v>35.711616728927225</c:v>
                </c:pt>
                <c:pt idx="164">
                  <c:v>35.795343269229733</c:v>
                </c:pt>
                <c:pt idx="165">
                  <c:v>35.875035354390391</c:v>
                </c:pt>
                <c:pt idx="166">
                  <c:v>35.950671881518375</c:v>
                </c:pt>
                <c:pt idx="167">
                  <c:v>36.022232812569996</c:v>
                </c:pt>
                <c:pt idx="168">
                  <c:v>36.089699129637445</c:v>
                </c:pt>
                <c:pt idx="169">
                  <c:v>36.153052831876138</c:v>
                </c:pt>
                <c:pt idx="170">
                  <c:v>36.212277079381288</c:v>
                </c:pt>
                <c:pt idx="171">
                  <c:v>36.267356027387279</c:v>
                </c:pt>
                <c:pt idx="172">
                  <c:v>36.318274987062722</c:v>
                </c:pt>
                <c:pt idx="173">
                  <c:v>36.365020382398725</c:v>
                </c:pt>
                <c:pt idx="174">
                  <c:v>36.407579798929895</c:v>
                </c:pt>
                <c:pt idx="175">
                  <c:v>36.445941931111797</c:v>
                </c:pt>
                <c:pt idx="176">
                  <c:v>36.480096677905905</c:v>
                </c:pt>
                <c:pt idx="177">
                  <c:v>36.510035067780336</c:v>
                </c:pt>
                <c:pt idx="178">
                  <c:v>36.53574933688644</c:v>
                </c:pt>
                <c:pt idx="179">
                  <c:v>36.557232939421311</c:v>
                </c:pt>
                <c:pt idx="180">
                  <c:v>36.574480565686891</c:v>
                </c:pt>
                <c:pt idx="181">
                  <c:v>36.587488044157801</c:v>
                </c:pt>
              </c:numCache>
            </c:numRef>
          </c:yVal>
          <c:smooth val="0"/>
          <c:extLst>
            <c:ext xmlns:c16="http://schemas.microsoft.com/office/drawing/2014/chart" uri="{C3380CC4-5D6E-409C-BE32-E72D297353CC}">
              <c16:uniqueId val="{00000000-341C-4692-A06D-966E24C89B93}"/>
            </c:ext>
          </c:extLst>
        </c:ser>
        <c:dLbls>
          <c:showLegendKey val="0"/>
          <c:showVal val="0"/>
          <c:showCatName val="0"/>
          <c:showSerName val="0"/>
          <c:showPercent val="0"/>
          <c:showBubbleSize val="0"/>
        </c:dLbls>
        <c:axId val="79088256"/>
        <c:axId val="79168256"/>
      </c:scatterChart>
      <c:valAx>
        <c:axId val="79088256"/>
        <c:scaling>
          <c:orientation val="minMax"/>
          <c:max val="0"/>
        </c:scaling>
        <c:delete val="0"/>
        <c:axPos val="b"/>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79168256"/>
        <c:crossesAt val="-11000"/>
        <c:crossBetween val="midCat"/>
        <c:majorUnit val="5"/>
        <c:minorUnit val="1"/>
      </c:valAx>
      <c:valAx>
        <c:axId val="79168256"/>
        <c:scaling>
          <c:orientation val="minMax"/>
        </c:scaling>
        <c:delete val="0"/>
        <c:axPos val="r"/>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79088256"/>
        <c:crosses val="max"/>
        <c:crossBetween val="midCat"/>
        <c:majorUnit val="5"/>
        <c:minorUnit val="1"/>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56" l="0.7500000000000091" r="0.7500000000000091" t="0.98425196899999956" header="0.49212598450000533" footer="0.4921259845000053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5297154245760768E-2"/>
          <c:y val="7.241292789040131E-2"/>
          <c:w val="0.78571428571428559"/>
          <c:h val="0.84172788018390265"/>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xVal>
            <c:numRef>
              <c:f>Reichweite_BREIT!$T$37:$T$218</c:f>
              <c:numCache>
                <c:formatCode>0.00</c:formatCode>
                <c:ptCount val="182"/>
                <c:pt idx="0">
                  <c:v>41.1</c:v>
                </c:pt>
                <c:pt idx="1">
                  <c:v>41.1</c:v>
                </c:pt>
                <c:pt idx="2">
                  <c:v>0</c:v>
                </c:pt>
                <c:pt idx="3">
                  <c:v>0.644823532384732</c:v>
                </c:pt>
                <c:pt idx="4">
                  <c:v>1.2898949886794269</c:v>
                </c:pt>
                <c:pt idx="5">
                  <c:v>1.9353865490032738</c:v>
                </c:pt>
                <c:pt idx="6">
                  <c:v>2.5814721745388396</c:v>
                </c:pt>
                <c:pt idx="7">
                  <c:v>3.2283282426462008</c:v>
                </c:pt>
                <c:pt idx="8">
                  <c:v>3.876134180920372</c:v>
                </c:pt>
                <c:pt idx="9">
                  <c:v>4.5250731348874176</c:v>
                </c:pt>
                <c:pt idx="10">
                  <c:v>5.1753326377702145</c:v>
                </c:pt>
                <c:pt idx="11">
                  <c:v>5.8271053059793996</c:v>
                </c:pt>
                <c:pt idx="12">
                  <c:v>6.4805895776953708</c:v>
                </c:pt>
                <c:pt idx="13">
                  <c:v>7.1359904388737583</c:v>
                </c:pt>
                <c:pt idx="14">
                  <c:v>7.7935202423208976</c:v>
                </c:pt>
                <c:pt idx="15">
                  <c:v>8.4533995109260047</c:v>
                </c:pt>
                <c:pt idx="16">
                  <c:v>9.1158578224232105</c:v>
                </c:pt>
                <c:pt idx="17">
                  <c:v>9.7811347150423913</c:v>
                </c:pt>
                <c:pt idx="18">
                  <c:v>10.449480670886972</c:v>
                </c:pt>
                <c:pt idx="19">
                  <c:v>11.121158179714604</c:v>
                </c:pt>
                <c:pt idx="20">
                  <c:v>11.796442778259435</c:v>
                </c:pt>
                <c:pt idx="21">
                  <c:v>12.475624324785908</c:v>
                </c:pt>
                <c:pt idx="22">
                  <c:v>13.159008186993574</c:v>
                </c:pt>
                <c:pt idx="23">
                  <c:v>13.846916647746534</c:v>
                </c:pt>
                <c:pt idx="24">
                  <c:v>14.539690396677507</c:v>
                </c:pt>
                <c:pt idx="25">
                  <c:v>15.237690085096832</c:v>
                </c:pt>
                <c:pt idx="26">
                  <c:v>15.941298046911728</c:v>
                </c:pt>
                <c:pt idx="27">
                  <c:v>16.650920227971948</c:v>
                </c:pt>
                <c:pt idx="28">
                  <c:v>17.366988152427375</c:v>
                </c:pt>
                <c:pt idx="29">
                  <c:v>18.089961184577035</c:v>
                </c:pt>
                <c:pt idx="30">
                  <c:v>18.82032894150036</c:v>
                </c:pt>
                <c:pt idx="31">
                  <c:v>19.558613951059019</c:v>
                </c:pt>
                <c:pt idx="32">
                  <c:v>20.305374585963552</c:v>
                </c:pt>
                <c:pt idx="33">
                  <c:v>21.061208215937246</c:v>
                </c:pt>
                <c:pt idx="34">
                  <c:v>21.779681759984722</c:v>
                </c:pt>
                <c:pt idx="35">
                  <c:v>22.384664339117613</c:v>
                </c:pt>
                <c:pt idx="36">
                  <c:v>22.982828332647699</c:v>
                </c:pt>
                <c:pt idx="37">
                  <c:v>23.573991534027993</c:v>
                </c:pt>
                <c:pt idx="38">
                  <c:v>24.157973869220648</c:v>
                </c:pt>
                <c:pt idx="39">
                  <c:v>24.734597451549185</c:v>
                </c:pt>
                <c:pt idx="40">
                  <c:v>25.303686635884556</c:v>
                </c:pt>
                <c:pt idx="41">
                  <c:v>25.865068072148318</c:v>
                </c:pt>
                <c:pt idx="42">
                  <c:v>26.418570758116765</c:v>
                </c:pt>
                <c:pt idx="43">
                  <c:v>26.964026091509851</c:v>
                </c:pt>
                <c:pt idx="44">
                  <c:v>27.501267921349076</c:v>
                </c:pt>
                <c:pt idx="45">
                  <c:v>28.030132598568688</c:v>
                </c:pt>
                <c:pt idx="46">
                  <c:v>28.550459025864789</c:v>
                </c:pt>
                <c:pt idx="47">
                  <c:v>29.062088706767103</c:v>
                </c:pt>
                <c:pt idx="48">
                  <c:v>29.56486579391856</c:v>
                </c:pt>
                <c:pt idx="49">
                  <c:v>30.058637136547908</c:v>
                </c:pt>
                <c:pt idx="50">
                  <c:v>30.543252327120904</c:v>
                </c:pt>
                <c:pt idx="51">
                  <c:v>31.01856374715593</c:v>
                </c:pt>
                <c:pt idx="52">
                  <c:v>31.484426612189999</c:v>
                </c:pt>
                <c:pt idx="53">
                  <c:v>31.940699015881506</c:v>
                </c:pt>
                <c:pt idx="54">
                  <c:v>32.387241973236279</c:v>
                </c:pt>
                <c:pt idx="55">
                  <c:v>32.823919462943735</c:v>
                </c:pt>
                <c:pt idx="56">
                  <c:v>33.250598468810338</c:v>
                </c:pt>
                <c:pt idx="57">
                  <c:v>33.667149020277563</c:v>
                </c:pt>
                <c:pt idx="58">
                  <c:v>34.073444232012214</c:v>
                </c:pt>
                <c:pt idx="59">
                  <c:v>34.469360342556932</c:v>
                </c:pt>
                <c:pt idx="60">
                  <c:v>34.85477675202911</c:v>
                </c:pt>
                <c:pt idx="61">
                  <c:v>35.229576058856821</c:v>
                </c:pt>
                <c:pt idx="62">
                  <c:v>35.593644095540427</c:v>
                </c:pt>
                <c:pt idx="63">
                  <c:v>35.946869963429165</c:v>
                </c:pt>
                <c:pt idx="64">
                  <c:v>36.289146066501893</c:v>
                </c:pt>
                <c:pt idx="65">
                  <c:v>36.620368144141921</c:v>
                </c:pt>
                <c:pt idx="66">
                  <c:v>36.940435302895764</c:v>
                </c:pt>
                <c:pt idx="67">
                  <c:v>37.249250047206317</c:v>
                </c:pt>
                <c:pt idx="68">
                  <c:v>37.546718309110894</c:v>
                </c:pt>
                <c:pt idx="69">
                  <c:v>37.832749476895302</c:v>
                </c:pt>
                <c:pt idx="70">
                  <c:v>38.107256422694967</c:v>
                </c:pt>
                <c:pt idx="71">
                  <c:v>38.370155529034996</c:v>
                </c:pt>
                <c:pt idx="72">
                  <c:v>38.621366714300834</c:v>
                </c:pt>
                <c:pt idx="73">
                  <c:v>38.860813457131918</c:v>
                </c:pt>
                <c:pt idx="74">
                  <c:v>39.088422819730809</c:v>
                </c:pt>
                <c:pt idx="75">
                  <c:v>39.304125470080756</c:v>
                </c:pt>
                <c:pt idx="76">
                  <c:v>39.506724452200594</c:v>
                </c:pt>
                <c:pt idx="77">
                  <c:v>39.571927910772786</c:v>
                </c:pt>
                <c:pt idx="78">
                  <c:v>39.633094457241214</c:v>
                </c:pt>
                <c:pt idx="79">
                  <c:v>39.690205388038706</c:v>
                </c:pt>
                <c:pt idx="80">
                  <c:v>39.743243239989297</c:v>
                </c:pt>
                <c:pt idx="81">
                  <c:v>39.792191604494448</c:v>
                </c:pt>
                <c:pt idx="82">
                  <c:v>39.837035304965163</c:v>
                </c:pt>
                <c:pt idx="83">
                  <c:v>39.877760260764042</c:v>
                </c:pt>
                <c:pt idx="84">
                  <c:v>39.914353604085072</c:v>
                </c:pt>
                <c:pt idx="85">
                  <c:v>39.946803612626326</c:v>
                </c:pt>
                <c:pt idx="86">
                  <c:v>39.975099681759303</c:v>
                </c:pt>
                <c:pt idx="87">
                  <c:v>39.999232464555938</c:v>
                </c:pt>
                <c:pt idx="88">
                  <c:v>40.019193710759986</c:v>
                </c:pt>
                <c:pt idx="89">
                  <c:v>40.034976427238526</c:v>
                </c:pt>
                <c:pt idx="90">
                  <c:v>40.046574740567209</c:v>
                </c:pt>
                <c:pt idx="91">
                  <c:v>40.053983985603445</c:v>
                </c:pt>
                <c:pt idx="92">
                  <c:v>40.057200647715092</c:v>
                </c:pt>
                <c:pt idx="93">
                  <c:v>40.053612441888895</c:v>
                </c:pt>
                <c:pt idx="94">
                  <c:v>40.045831468566341</c:v>
                </c:pt>
                <c:pt idx="95">
                  <c:v>40.033860934537856</c:v>
                </c:pt>
                <c:pt idx="96">
                  <c:v>40.017705325045583</c:v>
                </c:pt>
                <c:pt idx="97">
                  <c:v>39.997370263474103</c:v>
                </c:pt>
                <c:pt idx="98">
                  <c:v>39.972862548999849</c:v>
                </c:pt>
                <c:pt idx="99">
                  <c:v>39.944190146425065</c:v>
                </c:pt>
                <c:pt idx="100">
                  <c:v>39.911362201449279</c:v>
                </c:pt>
                <c:pt idx="101">
                  <c:v>39.874389054502856</c:v>
                </c:pt>
                <c:pt idx="102">
                  <c:v>39.833282201700371</c:v>
                </c:pt>
                <c:pt idx="103">
                  <c:v>39.788054225953644</c:v>
                </c:pt>
                <c:pt idx="104">
                  <c:v>39.738718989384346</c:v>
                </c:pt>
                <c:pt idx="105">
                  <c:v>39.685291371351155</c:v>
                </c:pt>
                <c:pt idx="106">
                  <c:v>39.627787529377706</c:v>
                </c:pt>
                <c:pt idx="107">
                  <c:v>39.566224650758137</c:v>
                </c:pt>
                <c:pt idx="108">
                  <c:v>39.500621093372907</c:v>
                </c:pt>
                <c:pt idx="109">
                  <c:v>39.304125470080763</c:v>
                </c:pt>
                <c:pt idx="110">
                  <c:v>39.088422819730816</c:v>
                </c:pt>
                <c:pt idx="111">
                  <c:v>38.860813457131925</c:v>
                </c:pt>
                <c:pt idx="112">
                  <c:v>38.621366714300841</c:v>
                </c:pt>
                <c:pt idx="113">
                  <c:v>38.370155529034996</c:v>
                </c:pt>
                <c:pt idx="114">
                  <c:v>38.107256422694967</c:v>
                </c:pt>
                <c:pt idx="115">
                  <c:v>37.832749476895295</c:v>
                </c:pt>
                <c:pt idx="116">
                  <c:v>37.546718309110894</c:v>
                </c:pt>
                <c:pt idx="117">
                  <c:v>37.249250047206317</c:v>
                </c:pt>
                <c:pt idx="118">
                  <c:v>36.940435302895764</c:v>
                </c:pt>
                <c:pt idx="119">
                  <c:v>36.620368144141921</c:v>
                </c:pt>
                <c:pt idx="120">
                  <c:v>36.289146066501893</c:v>
                </c:pt>
                <c:pt idx="121">
                  <c:v>35.946869963429172</c:v>
                </c:pt>
                <c:pt idx="122">
                  <c:v>35.593644095540434</c:v>
                </c:pt>
                <c:pt idx="123">
                  <c:v>35.229576058856821</c:v>
                </c:pt>
                <c:pt idx="124">
                  <c:v>34.85477675202911</c:v>
                </c:pt>
                <c:pt idx="125">
                  <c:v>34.469360342556925</c:v>
                </c:pt>
                <c:pt idx="126">
                  <c:v>34.073444232012214</c:v>
                </c:pt>
                <c:pt idx="127">
                  <c:v>33.667149020277563</c:v>
                </c:pt>
                <c:pt idx="128">
                  <c:v>33.250598468810338</c:v>
                </c:pt>
                <c:pt idx="129">
                  <c:v>32.823919462943735</c:v>
                </c:pt>
                <c:pt idx="130">
                  <c:v>32.387241973236279</c:v>
                </c:pt>
                <c:pt idx="131">
                  <c:v>31.94069901588151</c:v>
                </c:pt>
                <c:pt idx="132">
                  <c:v>31.484426612189999</c:v>
                </c:pt>
                <c:pt idx="133">
                  <c:v>31.018563747155934</c:v>
                </c:pt>
                <c:pt idx="134">
                  <c:v>30.543252327120904</c:v>
                </c:pt>
                <c:pt idx="135">
                  <c:v>30.058637136547912</c:v>
                </c:pt>
                <c:pt idx="136">
                  <c:v>29.56486579391856</c:v>
                </c:pt>
                <c:pt idx="137">
                  <c:v>29.062088706767106</c:v>
                </c:pt>
                <c:pt idx="138">
                  <c:v>28.550459025864782</c:v>
                </c:pt>
                <c:pt idx="139">
                  <c:v>28.030132598568692</c:v>
                </c:pt>
                <c:pt idx="140">
                  <c:v>27.501267921349079</c:v>
                </c:pt>
                <c:pt idx="141">
                  <c:v>26.964026091509851</c:v>
                </c:pt>
                <c:pt idx="142">
                  <c:v>26.418570758116772</c:v>
                </c:pt>
                <c:pt idx="143">
                  <c:v>25.865068072148318</c:v>
                </c:pt>
                <c:pt idx="144">
                  <c:v>25.30368663588456</c:v>
                </c:pt>
                <c:pt idx="145">
                  <c:v>24.734597451549181</c:v>
                </c:pt>
                <c:pt idx="146">
                  <c:v>24.157973869220651</c:v>
                </c:pt>
                <c:pt idx="147">
                  <c:v>23.573991534027989</c:v>
                </c:pt>
                <c:pt idx="148">
                  <c:v>22.982828332647699</c:v>
                </c:pt>
                <c:pt idx="149">
                  <c:v>22.229218237892507</c:v>
                </c:pt>
                <c:pt idx="150">
                  <c:v>21.458060798390623</c:v>
                </c:pt>
                <c:pt idx="151">
                  <c:v>20.697930555544978</c:v>
                </c:pt>
                <c:pt idx="152">
                  <c:v>19.948099067308178</c:v>
                </c:pt>
                <c:pt idx="153">
                  <c:v>19.207888690613721</c:v>
                </c:pt>
                <c:pt idx="154">
                  <c:v>18.476668327032499</c:v>
                </c:pt>
                <c:pt idx="155">
                  <c:v>17.753849482149473</c:v>
                </c:pt>
                <c:pt idx="156">
                  <c:v>17.038882698679426</c:v>
                </c:pt>
                <c:pt idx="157">
                  <c:v>16.331254339413888</c:v>
                </c:pt>
                <c:pt idx="158">
                  <c:v>15.630483663419048</c:v>
                </c:pt>
                <c:pt idx="159">
                  <c:v>14.936120156182382</c:v>
                </c:pt>
                <c:pt idx="160">
                  <c:v>14.247741107219202</c:v>
                </c:pt>
                <c:pt idx="161">
                  <c:v>13.564949388175396</c:v>
                </c:pt>
                <c:pt idx="162">
                  <c:v>12.887371392838123</c:v>
                </c:pt>
                <c:pt idx="163">
                  <c:v>12.214655182393395</c:v>
                </c:pt>
                <c:pt idx="164">
                  <c:v>11.546468765995769</c:v>
                </c:pt>
                <c:pt idx="165">
                  <c:v>10.882498509291741</c:v>
                </c:pt>
                <c:pt idx="166">
                  <c:v>10.222447662833584</c:v>
                </c:pt>
                <c:pt idx="167">
                  <c:v>9.5660349951936983</c:v>
                </c:pt>
                <c:pt idx="168">
                  <c:v>8.9129935606385917</c:v>
                </c:pt>
                <c:pt idx="169">
                  <c:v>8.2630694867672023</c:v>
                </c:pt>
                <c:pt idx="170">
                  <c:v>7.6160208977477133</c:v>
                </c:pt>
                <c:pt idx="171">
                  <c:v>6.9716168796040945</c:v>
                </c:pt>
                <c:pt idx="172">
                  <c:v>6.329636533211815</c:v>
                </c:pt>
                <c:pt idx="173">
                  <c:v>5.6898680357935891</c:v>
                </c:pt>
                <c:pt idx="174">
                  <c:v>5.0521078011296767</c:v>
                </c:pt>
                <c:pt idx="175">
                  <c:v>4.4161596717651879</c:v>
                </c:pt>
                <c:pt idx="176">
                  <c:v>3.7818341297473097</c:v>
                </c:pt>
                <c:pt idx="177">
                  <c:v>3.1489475753417997</c:v>
                </c:pt>
                <c:pt idx="178">
                  <c:v>2.5173216013169775</c:v>
                </c:pt>
                <c:pt idx="179">
                  <c:v>1.8867823280494513</c:v>
                </c:pt>
                <c:pt idx="180">
                  <c:v>1.2571597340856522</c:v>
                </c:pt>
                <c:pt idx="181">
                  <c:v>0.62828702372831602</c:v>
                </c:pt>
              </c:numCache>
            </c:numRef>
          </c:xVal>
          <c:yVal>
            <c:numRef>
              <c:f>Reichweite_BREIT!$U$37:$U$218</c:f>
              <c:numCache>
                <c:formatCode>0.00</c:formatCode>
                <c:ptCount val="182"/>
                <c:pt idx="0">
                  <c:v>41.1</c:v>
                </c:pt>
                <c:pt idx="1">
                  <c:v>-41.1</c:v>
                </c:pt>
                <c:pt idx="2">
                  <c:v>36.94183447392026</c:v>
                </c:pt>
                <c:pt idx="3">
                  <c:v>36.941915428932056</c:v>
                </c:pt>
                <c:pt idx="4">
                  <c:v>36.937759604187626</c:v>
                </c:pt>
                <c:pt idx="5">
                  <c:v>36.929375285122056</c:v>
                </c:pt>
                <c:pt idx="6">
                  <c:v>36.916772019068347</c:v>
                </c:pt>
                <c:pt idx="7">
                  <c:v>36.899960663927693</c:v>
                </c:pt>
                <c:pt idx="8">
                  <c:v>36.87895327074596</c:v>
                </c:pt>
                <c:pt idx="9">
                  <c:v>36.853763222444144</c:v>
                </c:pt>
                <c:pt idx="10">
                  <c:v>36.82440515405699</c:v>
                </c:pt>
                <c:pt idx="11">
                  <c:v>36.790894951798414</c:v>
                </c:pt>
                <c:pt idx="12">
                  <c:v>36.753249852387768</c:v>
                </c:pt>
                <c:pt idx="13">
                  <c:v>36.71148827023373</c:v>
                </c:pt>
                <c:pt idx="14">
                  <c:v>36.665629990852715</c:v>
                </c:pt>
                <c:pt idx="15">
                  <c:v>36.615696037261472</c:v>
                </c:pt>
                <c:pt idx="16">
                  <c:v>36.561708746998598</c:v>
                </c:pt>
                <c:pt idx="17">
                  <c:v>36.503691712213943</c:v>
                </c:pt>
                <c:pt idx="18">
                  <c:v>36.441669822287622</c:v>
                </c:pt>
                <c:pt idx="19">
                  <c:v>36.37566935269583</c:v>
                </c:pt>
                <c:pt idx="20">
                  <c:v>36.305717735878972</c:v>
                </c:pt>
                <c:pt idx="21">
                  <c:v>36.231843869840326</c:v>
                </c:pt>
                <c:pt idx="22">
                  <c:v>36.154077856183356</c:v>
                </c:pt>
                <c:pt idx="23">
                  <c:v>36.072451138771044</c:v>
                </c:pt>
                <c:pt idx="24">
                  <c:v>35.986996553559663</c:v>
                </c:pt>
                <c:pt idx="25">
                  <c:v>35.897748236664512</c:v>
                </c:pt>
                <c:pt idx="26">
                  <c:v>35.804741637131194</c:v>
                </c:pt>
                <c:pt idx="27">
                  <c:v>35.708013661738441</c:v>
                </c:pt>
                <c:pt idx="28">
                  <c:v>35.607602525583978</c:v>
                </c:pt>
                <c:pt idx="29">
                  <c:v>35.503547865031287</c:v>
                </c:pt>
                <c:pt idx="30">
                  <c:v>35.395890726803245</c:v>
                </c:pt>
                <c:pt idx="31">
                  <c:v>35.284673594628373</c:v>
                </c:pt>
                <c:pt idx="32">
                  <c:v>35.169940449606734</c:v>
                </c:pt>
                <c:pt idx="33">
                  <c:v>35.05173670729652</c:v>
                </c:pt>
                <c:pt idx="34">
                  <c:v>34.85477675202911</c:v>
                </c:pt>
                <c:pt idx="35">
                  <c:v>34.469360342556932</c:v>
                </c:pt>
                <c:pt idx="36">
                  <c:v>34.073444232012214</c:v>
                </c:pt>
                <c:pt idx="37">
                  <c:v>33.667149020277563</c:v>
                </c:pt>
                <c:pt idx="38">
                  <c:v>33.250598468810338</c:v>
                </c:pt>
                <c:pt idx="39">
                  <c:v>32.823919462943735</c:v>
                </c:pt>
                <c:pt idx="40">
                  <c:v>32.387241973236272</c:v>
                </c:pt>
                <c:pt idx="41">
                  <c:v>31.940699015881506</c:v>
                </c:pt>
                <c:pt idx="42">
                  <c:v>31.484426612189999</c:v>
                </c:pt>
                <c:pt idx="43">
                  <c:v>31.01856374715593</c:v>
                </c:pt>
                <c:pt idx="44">
                  <c:v>30.543252327120904</c:v>
                </c:pt>
                <c:pt idx="45">
                  <c:v>30.058637136547908</c:v>
                </c:pt>
                <c:pt idx="46">
                  <c:v>29.564865793918564</c:v>
                </c:pt>
                <c:pt idx="47">
                  <c:v>29.062088706767106</c:v>
                </c:pt>
                <c:pt idx="48">
                  <c:v>28.550459025864789</c:v>
                </c:pt>
                <c:pt idx="49">
                  <c:v>28.030132598568688</c:v>
                </c:pt>
                <c:pt idx="50">
                  <c:v>27.501267921349076</c:v>
                </c:pt>
                <c:pt idx="51">
                  <c:v>26.964026091509851</c:v>
                </c:pt>
                <c:pt idx="52">
                  <c:v>26.418570758116768</c:v>
                </c:pt>
                <c:pt idx="53">
                  <c:v>25.865068072148322</c:v>
                </c:pt>
                <c:pt idx="54">
                  <c:v>25.303686635884556</c:v>
                </c:pt>
                <c:pt idx="55">
                  <c:v>24.734597451549188</c:v>
                </c:pt>
                <c:pt idx="56">
                  <c:v>24.157973869220648</c:v>
                </c:pt>
                <c:pt idx="57">
                  <c:v>23.573991534027996</c:v>
                </c:pt>
                <c:pt idx="58">
                  <c:v>22.982828332647696</c:v>
                </c:pt>
                <c:pt idx="59">
                  <c:v>22.384664339117613</c:v>
                </c:pt>
                <c:pt idx="60">
                  <c:v>21.779681759984722</c:v>
                </c:pt>
                <c:pt idx="61">
                  <c:v>21.168064878803225</c:v>
                </c:pt>
                <c:pt idx="62">
                  <c:v>20.550000000000004</c:v>
                </c:pt>
                <c:pt idx="63">
                  <c:v>19.925675392124457</c:v>
                </c:pt>
                <c:pt idx="64">
                  <c:v>19.295281230500116</c:v>
                </c:pt>
                <c:pt idx="65">
                  <c:v>18.659009539295376</c:v>
                </c:pt>
                <c:pt idx="66">
                  <c:v>18.017054133031085</c:v>
                </c:pt>
                <c:pt idx="67">
                  <c:v>17.369610557542746</c:v>
                </c:pt>
                <c:pt idx="68">
                  <c:v>16.716876030415388</c:v>
                </c:pt>
                <c:pt idx="69">
                  <c:v>16.059049380909151</c:v>
                </c:pt>
                <c:pt idx="70">
                  <c:v>15.396330989393983</c:v>
                </c:pt>
                <c:pt idx="71">
                  <c:v>14.728922726311847</c:v>
                </c:pt>
                <c:pt idx="72">
                  <c:v>14.057027890684989</c:v>
                </c:pt>
                <c:pt idx="73">
                  <c:v>13.380851148189143</c:v>
                </c:pt>
                <c:pt idx="74">
                  <c:v>12.700598468810341</c:v>
                </c:pt>
                <c:pt idx="75">
                  <c:v>12.016477064104482</c:v>
                </c:pt>
                <c:pt idx="76">
                  <c:v>11.328370943113187</c:v>
                </c:pt>
                <c:pt idx="77">
                  <c:v>10.603266126634173</c:v>
                </c:pt>
                <c:pt idx="78">
                  <c:v>9.881640287519085</c:v>
                </c:pt>
                <c:pt idx="79">
                  <c:v>9.1632059233385714</c:v>
                </c:pt>
                <c:pt idx="80">
                  <c:v>8.447687132707479</c:v>
                </c:pt>
                <c:pt idx="81">
                  <c:v>7.7348185053489606</c:v>
                </c:pt>
                <c:pt idx="82">
                  <c:v>7.0243441557010327</c:v>
                </c:pt>
                <c:pt idx="83">
                  <c:v>6.3160167402971492</c:v>
                </c:pt>
                <c:pt idx="84">
                  <c:v>5.6095965721245236</c:v>
                </c:pt>
                <c:pt idx="85">
                  <c:v>4.904850741050887</c:v>
                </c:pt>
                <c:pt idx="86">
                  <c:v>4.2015522817204971</c:v>
                </c:pt>
                <c:pt idx="87">
                  <c:v>3.4994793903867492</c:v>
                </c:pt>
                <c:pt idx="88">
                  <c:v>2.7984146327432255</c:v>
                </c:pt>
                <c:pt idx="89">
                  <c:v>2.09814420820048</c:v>
                </c:pt>
                <c:pt idx="90">
                  <c:v>1.3984572054493991</c:v>
                </c:pt>
                <c:pt idx="91">
                  <c:v>0.69914489110249889</c:v>
                </c:pt>
                <c:pt idx="92">
                  <c:v>2.4538008740756361E-15</c:v>
                </c:pt>
                <c:pt idx="93">
                  <c:v>-0.69913840578283293</c:v>
                </c:pt>
                <c:pt idx="94">
                  <c:v>-1.398431249819182</c:v>
                </c:pt>
                <c:pt idx="95">
                  <c:v>-2.0980857477052259</c:v>
                </c:pt>
                <c:pt idx="96">
                  <c:v>-2.7983105546752789</c:v>
                </c:pt>
                <c:pt idx="97">
                  <c:v>-3.4993164689028866</c:v>
                </c:pt>
                <c:pt idx="98">
                  <c:v>-4.2013171495926311</c:v>
                </c:pt>
                <c:pt idx="99">
                  <c:v>-4.9045298477509247</c:v>
                </c:pt>
                <c:pt idx="100">
                  <c:v>-5.6091761579011532</c:v>
                </c:pt>
                <c:pt idx="101">
                  <c:v>-6.3154827936802489</c:v>
                </c:pt>
                <c:pt idx="102">
                  <c:v>-7.0236823823340613</c:v>
                </c:pt>
                <c:pt idx="103">
                  <c:v>-7.7340142804291752</c:v>
                </c:pt>
                <c:pt idx="104">
                  <c:v>-8.4467254735547517</c:v>
                </c:pt>
                <c:pt idx="105">
                  <c:v>-9.162071433194761</c:v>
                </c:pt>
                <c:pt idx="106">
                  <c:v>-9.880317121793647</c:v>
                </c:pt>
                <c:pt idx="107">
                  <c:v>-10.601737942719025</c:v>
                </c:pt>
                <c:pt idx="108">
                  <c:v>-11.326620833131715</c:v>
                </c:pt>
                <c:pt idx="109">
                  <c:v>-12.016477064104476</c:v>
                </c:pt>
                <c:pt idx="110">
                  <c:v>-12.700598468810336</c:v>
                </c:pt>
                <c:pt idx="111">
                  <c:v>-13.380851148189139</c:v>
                </c:pt>
                <c:pt idx="112">
                  <c:v>-14.057027890684985</c:v>
                </c:pt>
                <c:pt idx="113">
                  <c:v>-14.728922726311842</c:v>
                </c:pt>
                <c:pt idx="114">
                  <c:v>-15.396330989393986</c:v>
                </c:pt>
                <c:pt idx="115">
                  <c:v>-16.059049380909151</c:v>
                </c:pt>
                <c:pt idx="116">
                  <c:v>-16.716876030415392</c:v>
                </c:pt>
                <c:pt idx="117">
                  <c:v>-17.369610557542742</c:v>
                </c:pt>
                <c:pt idx="118">
                  <c:v>-18.017054133031085</c:v>
                </c:pt>
                <c:pt idx="119">
                  <c:v>-18.659009539295369</c:v>
                </c:pt>
                <c:pt idx="120">
                  <c:v>-19.295281230500116</c:v>
                </c:pt>
                <c:pt idx="121">
                  <c:v>-19.92567539212445</c:v>
                </c:pt>
                <c:pt idx="122">
                  <c:v>-20.54999999999999</c:v>
                </c:pt>
                <c:pt idx="123">
                  <c:v>-21.168064878803232</c:v>
                </c:pt>
                <c:pt idx="124">
                  <c:v>-21.779681759984719</c:v>
                </c:pt>
                <c:pt idx="125">
                  <c:v>-22.384664339117613</c:v>
                </c:pt>
                <c:pt idx="126">
                  <c:v>-22.982828332647689</c:v>
                </c:pt>
                <c:pt idx="127">
                  <c:v>-23.573991534027996</c:v>
                </c:pt>
                <c:pt idx="128">
                  <c:v>-24.15797386922064</c:v>
                </c:pt>
                <c:pt idx="129">
                  <c:v>-24.734597451549188</c:v>
                </c:pt>
                <c:pt idx="130">
                  <c:v>-25.303686635884556</c:v>
                </c:pt>
                <c:pt idx="131">
                  <c:v>-25.865068072148315</c:v>
                </c:pt>
                <c:pt idx="132">
                  <c:v>-26.418570758116768</c:v>
                </c:pt>
                <c:pt idx="133">
                  <c:v>-26.964026091509844</c:v>
                </c:pt>
                <c:pt idx="134">
                  <c:v>-27.501267921349076</c:v>
                </c:pt>
                <c:pt idx="135">
                  <c:v>-28.030132598568684</c:v>
                </c:pt>
                <c:pt idx="136">
                  <c:v>-28.550459025864793</c:v>
                </c:pt>
                <c:pt idx="137">
                  <c:v>-29.062088706767103</c:v>
                </c:pt>
                <c:pt idx="138">
                  <c:v>-29.564865793918564</c:v>
                </c:pt>
                <c:pt idx="139">
                  <c:v>-30.058637136547908</c:v>
                </c:pt>
                <c:pt idx="140">
                  <c:v>-30.543252327120896</c:v>
                </c:pt>
                <c:pt idx="141">
                  <c:v>-31.01856374715593</c:v>
                </c:pt>
                <c:pt idx="142">
                  <c:v>-31.484426612189992</c:v>
                </c:pt>
                <c:pt idx="143">
                  <c:v>-31.940699015881506</c:v>
                </c:pt>
                <c:pt idx="144">
                  <c:v>-32.387241973236272</c:v>
                </c:pt>
                <c:pt idx="145">
                  <c:v>-32.823919462943742</c:v>
                </c:pt>
                <c:pt idx="146">
                  <c:v>-33.250598468810338</c:v>
                </c:pt>
                <c:pt idx="147">
                  <c:v>-33.66714902027757</c:v>
                </c:pt>
                <c:pt idx="148">
                  <c:v>-34.073444232012214</c:v>
                </c:pt>
                <c:pt idx="149">
                  <c:v>-34.229994337518789</c:v>
                </c:pt>
                <c:pt idx="150">
                  <c:v>-34.340075621926687</c:v>
                </c:pt>
                <c:pt idx="151">
                  <c:v>-34.447141150709356</c:v>
                </c:pt>
                <c:pt idx="152">
                  <c:v>-34.551121098995104</c:v>
                </c:pt>
                <c:pt idx="153">
                  <c:v>-34.651948475805042</c:v>
                </c:pt>
                <c:pt idx="154">
                  <c:v>-34.749559114076369</c:v>
                </c:pt>
                <c:pt idx="155">
                  <c:v>-34.843891506823724</c:v>
                </c:pt>
                <c:pt idx="156">
                  <c:v>-34.934886653321442</c:v>
                </c:pt>
                <c:pt idx="157">
                  <c:v>-35.022487951474837</c:v>
                </c:pt>
                <c:pt idx="158">
                  <c:v>-35.106641101948242</c:v>
                </c:pt>
                <c:pt idx="159">
                  <c:v>-35.187294006170106</c:v>
                </c:pt>
                <c:pt idx="160">
                  <c:v>-35.264396705357164</c:v>
                </c:pt>
                <c:pt idx="161">
                  <c:v>-35.337901314260606</c:v>
                </c:pt>
                <c:pt idx="162">
                  <c:v>-35.407761897948184</c:v>
                </c:pt>
                <c:pt idx="163">
                  <c:v>-35.473934447766268</c:v>
                </c:pt>
                <c:pt idx="164">
                  <c:v>-35.536376833613431</c:v>
                </c:pt>
                <c:pt idx="165">
                  <c:v>-35.595048744766665</c:v>
                </c:pt>
                <c:pt idx="166">
                  <c:v>-35.64991163077358</c:v>
                </c:pt>
                <c:pt idx="167">
                  <c:v>-35.700928629044739</c:v>
                </c:pt>
                <c:pt idx="168">
                  <c:v>-35.748064633737023</c:v>
                </c:pt>
                <c:pt idx="169">
                  <c:v>-35.791286129465661</c:v>
                </c:pt>
                <c:pt idx="170">
                  <c:v>-35.83056122996102</c:v>
                </c:pt>
                <c:pt idx="171">
                  <c:v>-35.865859615773616</c:v>
                </c:pt>
                <c:pt idx="172">
                  <c:v>-35.897152595592246</c:v>
                </c:pt>
                <c:pt idx="173">
                  <c:v>-35.924412929292856</c:v>
                </c:pt>
                <c:pt idx="174">
                  <c:v>-35.947614882379199</c:v>
                </c:pt>
                <c:pt idx="175">
                  <c:v>-35.966734248106242</c:v>
                </c:pt>
                <c:pt idx="176">
                  <c:v>-35.981748215833512</c:v>
                </c:pt>
                <c:pt idx="177">
                  <c:v>-35.992635484810272</c:v>
                </c:pt>
                <c:pt idx="178">
                  <c:v>-35.999376081245622</c:v>
                </c:pt>
                <c:pt idx="179">
                  <c:v>-36.001951501501651</c:v>
                </c:pt>
                <c:pt idx="180">
                  <c:v>-36.000344562359388</c:v>
                </c:pt>
                <c:pt idx="181">
                  <c:v>-35.994539482499412</c:v>
                </c:pt>
              </c:numCache>
            </c:numRef>
          </c:yVal>
          <c:smooth val="0"/>
          <c:extLst>
            <c:ext xmlns:c16="http://schemas.microsoft.com/office/drawing/2014/chart" uri="{C3380CC4-5D6E-409C-BE32-E72D297353CC}">
              <c16:uniqueId val="{00000000-D982-4D10-9307-37A1E4F04333}"/>
            </c:ext>
          </c:extLst>
        </c:ser>
        <c:ser>
          <c:idx val="1"/>
          <c:order val="1"/>
          <c:spPr>
            <a:ln w="28575">
              <a:noFill/>
            </a:ln>
          </c:spPr>
          <c:xVal>
            <c:numRef>
              <c:f>Reichweite_BREIT!$T$39:$T$55</c:f>
              <c:numCache>
                <c:formatCode>0.00</c:formatCode>
                <c:ptCount val="17"/>
                <c:pt idx="0">
                  <c:v>0</c:v>
                </c:pt>
                <c:pt idx="1">
                  <c:v>0.644823532384732</c:v>
                </c:pt>
                <c:pt idx="2">
                  <c:v>1.2898949886794269</c:v>
                </c:pt>
                <c:pt idx="3">
                  <c:v>1.9353865490032738</c:v>
                </c:pt>
                <c:pt idx="4">
                  <c:v>2.5814721745388396</c:v>
                </c:pt>
                <c:pt idx="5">
                  <c:v>3.2283282426462008</c:v>
                </c:pt>
                <c:pt idx="6">
                  <c:v>3.876134180920372</c:v>
                </c:pt>
                <c:pt idx="7">
                  <c:v>4.5250731348874176</c:v>
                </c:pt>
                <c:pt idx="8">
                  <c:v>5.1753326377702145</c:v>
                </c:pt>
                <c:pt idx="9">
                  <c:v>5.8271053059793996</c:v>
                </c:pt>
                <c:pt idx="10">
                  <c:v>6.4805895776953708</c:v>
                </c:pt>
                <c:pt idx="11">
                  <c:v>7.1359904388737583</c:v>
                </c:pt>
                <c:pt idx="12">
                  <c:v>7.7935202423208976</c:v>
                </c:pt>
                <c:pt idx="13">
                  <c:v>8.4533995109260047</c:v>
                </c:pt>
                <c:pt idx="14">
                  <c:v>9.1158578224232105</c:v>
                </c:pt>
                <c:pt idx="15">
                  <c:v>9.7811347150423913</c:v>
                </c:pt>
                <c:pt idx="16">
                  <c:v>10.449480670886972</c:v>
                </c:pt>
              </c:numCache>
            </c:numRef>
          </c:xVal>
          <c:yVal>
            <c:numRef>
              <c:f>Reichweite_BREIT!$U$39:$U$55</c:f>
              <c:numCache>
                <c:formatCode>0.00</c:formatCode>
                <c:ptCount val="17"/>
                <c:pt idx="0">
                  <c:v>36.94183447392026</c:v>
                </c:pt>
                <c:pt idx="1">
                  <c:v>36.941915428932056</c:v>
                </c:pt>
                <c:pt idx="2">
                  <c:v>36.937759604187626</c:v>
                </c:pt>
                <c:pt idx="3">
                  <c:v>36.929375285122056</c:v>
                </c:pt>
                <c:pt idx="4">
                  <c:v>36.916772019068347</c:v>
                </c:pt>
                <c:pt idx="5">
                  <c:v>36.899960663927693</c:v>
                </c:pt>
                <c:pt idx="6">
                  <c:v>36.87895327074596</c:v>
                </c:pt>
                <c:pt idx="7">
                  <c:v>36.853763222444144</c:v>
                </c:pt>
                <c:pt idx="8">
                  <c:v>36.82440515405699</c:v>
                </c:pt>
                <c:pt idx="9">
                  <c:v>36.790894951798414</c:v>
                </c:pt>
                <c:pt idx="10">
                  <c:v>36.753249852387768</c:v>
                </c:pt>
                <c:pt idx="11">
                  <c:v>36.71148827023373</c:v>
                </c:pt>
                <c:pt idx="12">
                  <c:v>36.665629990852715</c:v>
                </c:pt>
                <c:pt idx="13">
                  <c:v>36.615696037261472</c:v>
                </c:pt>
                <c:pt idx="14">
                  <c:v>36.561708746998598</c:v>
                </c:pt>
                <c:pt idx="15">
                  <c:v>36.503691712213943</c:v>
                </c:pt>
                <c:pt idx="16">
                  <c:v>36.441669822287622</c:v>
                </c:pt>
              </c:numCache>
            </c:numRef>
          </c:yVal>
          <c:smooth val="0"/>
          <c:extLst>
            <c:ext xmlns:c16="http://schemas.microsoft.com/office/drawing/2014/chart" uri="{C3380CC4-5D6E-409C-BE32-E72D297353CC}">
              <c16:uniqueId val="{00000001-2CD2-46E7-BD68-00E32F953E4B}"/>
            </c:ext>
          </c:extLst>
        </c:ser>
        <c:ser>
          <c:idx val="2"/>
          <c:order val="2"/>
          <c:spPr>
            <a:ln w="28575">
              <a:noFill/>
            </a:ln>
          </c:spPr>
          <c:xVal>
            <c:numRef>
              <c:f>Reichweite_BREIT!$T$98:$T$150</c:f>
              <c:numCache>
                <c:formatCode>0.00</c:formatCode>
                <c:ptCount val="53"/>
                <c:pt idx="0">
                  <c:v>35.229576058856821</c:v>
                </c:pt>
                <c:pt idx="1">
                  <c:v>35.593644095540427</c:v>
                </c:pt>
                <c:pt idx="2">
                  <c:v>35.946869963429165</c:v>
                </c:pt>
                <c:pt idx="3">
                  <c:v>36.289146066501893</c:v>
                </c:pt>
                <c:pt idx="4">
                  <c:v>36.620368144141921</c:v>
                </c:pt>
                <c:pt idx="5">
                  <c:v>36.940435302895764</c:v>
                </c:pt>
                <c:pt idx="6">
                  <c:v>37.249250047206317</c:v>
                </c:pt>
                <c:pt idx="7">
                  <c:v>37.546718309110894</c:v>
                </c:pt>
                <c:pt idx="8">
                  <c:v>37.832749476895302</c:v>
                </c:pt>
                <c:pt idx="9">
                  <c:v>38.107256422694967</c:v>
                </c:pt>
                <c:pt idx="10">
                  <c:v>38.370155529034996</c:v>
                </c:pt>
                <c:pt idx="11">
                  <c:v>38.621366714300834</c:v>
                </c:pt>
                <c:pt idx="12">
                  <c:v>38.860813457131918</c:v>
                </c:pt>
                <c:pt idx="13">
                  <c:v>39.088422819730809</c:v>
                </c:pt>
                <c:pt idx="14">
                  <c:v>39.304125470080756</c:v>
                </c:pt>
                <c:pt idx="15">
                  <c:v>39.506724452200594</c:v>
                </c:pt>
                <c:pt idx="16">
                  <c:v>39.571927910772786</c:v>
                </c:pt>
                <c:pt idx="17">
                  <c:v>39.633094457241214</c:v>
                </c:pt>
                <c:pt idx="18">
                  <c:v>39.690205388038706</c:v>
                </c:pt>
                <c:pt idx="19">
                  <c:v>39.743243239989297</c:v>
                </c:pt>
                <c:pt idx="20">
                  <c:v>39.792191604494448</c:v>
                </c:pt>
                <c:pt idx="21">
                  <c:v>39.837035304965163</c:v>
                </c:pt>
                <c:pt idx="22">
                  <c:v>39.877760260764042</c:v>
                </c:pt>
                <c:pt idx="23">
                  <c:v>39.914353604085072</c:v>
                </c:pt>
                <c:pt idx="24">
                  <c:v>39.946803612626326</c:v>
                </c:pt>
                <c:pt idx="25">
                  <c:v>39.975099681759303</c:v>
                </c:pt>
                <c:pt idx="26">
                  <c:v>39.999232464555938</c:v>
                </c:pt>
                <c:pt idx="27">
                  <c:v>40.019193710759986</c:v>
                </c:pt>
                <c:pt idx="28">
                  <c:v>40.034976427238526</c:v>
                </c:pt>
                <c:pt idx="29">
                  <c:v>40.046574740567209</c:v>
                </c:pt>
                <c:pt idx="30">
                  <c:v>40.053983985603445</c:v>
                </c:pt>
                <c:pt idx="31">
                  <c:v>40.057200647715092</c:v>
                </c:pt>
                <c:pt idx="32">
                  <c:v>40.053612441888895</c:v>
                </c:pt>
                <c:pt idx="33">
                  <c:v>40.045831468566341</c:v>
                </c:pt>
                <c:pt idx="34">
                  <c:v>40.033860934537856</c:v>
                </c:pt>
                <c:pt idx="35">
                  <c:v>40.017705325045583</c:v>
                </c:pt>
                <c:pt idx="36">
                  <c:v>39.997370263474103</c:v>
                </c:pt>
                <c:pt idx="37">
                  <c:v>39.972862548999849</c:v>
                </c:pt>
                <c:pt idx="38">
                  <c:v>39.944190146425065</c:v>
                </c:pt>
                <c:pt idx="39">
                  <c:v>39.911362201449279</c:v>
                </c:pt>
                <c:pt idx="40">
                  <c:v>39.874389054502856</c:v>
                </c:pt>
                <c:pt idx="41">
                  <c:v>39.833282201700371</c:v>
                </c:pt>
                <c:pt idx="42">
                  <c:v>39.788054225953644</c:v>
                </c:pt>
                <c:pt idx="43">
                  <c:v>39.738718989384346</c:v>
                </c:pt>
                <c:pt idx="44">
                  <c:v>39.685291371351155</c:v>
                </c:pt>
                <c:pt idx="45">
                  <c:v>39.627787529377706</c:v>
                </c:pt>
                <c:pt idx="46">
                  <c:v>39.566224650758137</c:v>
                </c:pt>
                <c:pt idx="47">
                  <c:v>39.500621093372907</c:v>
                </c:pt>
                <c:pt idx="48">
                  <c:v>39.304125470080763</c:v>
                </c:pt>
                <c:pt idx="49">
                  <c:v>39.088422819730816</c:v>
                </c:pt>
                <c:pt idx="50">
                  <c:v>38.860813457131925</c:v>
                </c:pt>
                <c:pt idx="51">
                  <c:v>38.621366714300841</c:v>
                </c:pt>
                <c:pt idx="52">
                  <c:v>38.370155529034996</c:v>
                </c:pt>
              </c:numCache>
            </c:numRef>
          </c:xVal>
          <c:yVal>
            <c:numRef>
              <c:f>Reichweite_BREIT!$U$98:$U$150</c:f>
              <c:numCache>
                <c:formatCode>0.00</c:formatCode>
                <c:ptCount val="53"/>
                <c:pt idx="0">
                  <c:v>21.168064878803225</c:v>
                </c:pt>
                <c:pt idx="1">
                  <c:v>20.550000000000004</c:v>
                </c:pt>
                <c:pt idx="2">
                  <c:v>19.925675392124457</c:v>
                </c:pt>
                <c:pt idx="3">
                  <c:v>19.295281230500116</c:v>
                </c:pt>
                <c:pt idx="4">
                  <c:v>18.659009539295376</c:v>
                </c:pt>
                <c:pt idx="5">
                  <c:v>18.017054133031085</c:v>
                </c:pt>
                <c:pt idx="6">
                  <c:v>17.369610557542746</c:v>
                </c:pt>
                <c:pt idx="7">
                  <c:v>16.716876030415388</c:v>
                </c:pt>
                <c:pt idx="8">
                  <c:v>16.059049380909151</c:v>
                </c:pt>
                <c:pt idx="9">
                  <c:v>15.396330989393983</c:v>
                </c:pt>
                <c:pt idx="10">
                  <c:v>14.728922726311847</c:v>
                </c:pt>
                <c:pt idx="11">
                  <c:v>14.057027890684989</c:v>
                </c:pt>
                <c:pt idx="12">
                  <c:v>13.380851148189143</c:v>
                </c:pt>
                <c:pt idx="13">
                  <c:v>12.700598468810341</c:v>
                </c:pt>
                <c:pt idx="14">
                  <c:v>12.016477064104482</c:v>
                </c:pt>
                <c:pt idx="15">
                  <c:v>11.328370943113187</c:v>
                </c:pt>
                <c:pt idx="16">
                  <c:v>10.603266126634173</c:v>
                </c:pt>
                <c:pt idx="17">
                  <c:v>9.881640287519085</c:v>
                </c:pt>
                <c:pt idx="18">
                  <c:v>9.1632059233385714</c:v>
                </c:pt>
                <c:pt idx="19">
                  <c:v>8.447687132707479</c:v>
                </c:pt>
                <c:pt idx="20">
                  <c:v>7.7348185053489606</c:v>
                </c:pt>
                <c:pt idx="21">
                  <c:v>7.0243441557010327</c:v>
                </c:pt>
                <c:pt idx="22">
                  <c:v>6.3160167402971492</c:v>
                </c:pt>
                <c:pt idx="23">
                  <c:v>5.6095965721245236</c:v>
                </c:pt>
                <c:pt idx="24">
                  <c:v>4.904850741050887</c:v>
                </c:pt>
                <c:pt idx="25">
                  <c:v>4.2015522817204971</c:v>
                </c:pt>
                <c:pt idx="26">
                  <c:v>3.4994793903867492</c:v>
                </c:pt>
                <c:pt idx="27">
                  <c:v>2.7984146327432255</c:v>
                </c:pt>
                <c:pt idx="28">
                  <c:v>2.09814420820048</c:v>
                </c:pt>
                <c:pt idx="29">
                  <c:v>1.3984572054493991</c:v>
                </c:pt>
                <c:pt idx="30">
                  <c:v>0.69914489110249889</c:v>
                </c:pt>
                <c:pt idx="31">
                  <c:v>2.4538008740756361E-15</c:v>
                </c:pt>
                <c:pt idx="32">
                  <c:v>-0.69913840578283293</c:v>
                </c:pt>
                <c:pt idx="33">
                  <c:v>-1.398431249819182</c:v>
                </c:pt>
                <c:pt idx="34">
                  <c:v>-2.0980857477052259</c:v>
                </c:pt>
                <c:pt idx="35">
                  <c:v>-2.7983105546752789</c:v>
                </c:pt>
                <c:pt idx="36">
                  <c:v>-3.4993164689028866</c:v>
                </c:pt>
                <c:pt idx="37">
                  <c:v>-4.2013171495926311</c:v>
                </c:pt>
                <c:pt idx="38">
                  <c:v>-4.9045298477509247</c:v>
                </c:pt>
                <c:pt idx="39">
                  <c:v>-5.6091761579011532</c:v>
                </c:pt>
                <c:pt idx="40">
                  <c:v>-6.3154827936802489</c:v>
                </c:pt>
                <c:pt idx="41">
                  <c:v>-7.0236823823340613</c:v>
                </c:pt>
                <c:pt idx="42">
                  <c:v>-7.7340142804291752</c:v>
                </c:pt>
                <c:pt idx="43">
                  <c:v>-8.4467254735547517</c:v>
                </c:pt>
                <c:pt idx="44">
                  <c:v>-9.162071433194761</c:v>
                </c:pt>
                <c:pt idx="45">
                  <c:v>-9.880317121793647</c:v>
                </c:pt>
                <c:pt idx="46">
                  <c:v>-10.601737942719025</c:v>
                </c:pt>
                <c:pt idx="47">
                  <c:v>-11.326620833131715</c:v>
                </c:pt>
                <c:pt idx="48">
                  <c:v>-12.016477064104476</c:v>
                </c:pt>
                <c:pt idx="49">
                  <c:v>-12.700598468810336</c:v>
                </c:pt>
                <c:pt idx="50">
                  <c:v>-13.380851148189139</c:v>
                </c:pt>
                <c:pt idx="51">
                  <c:v>-14.057027890684985</c:v>
                </c:pt>
                <c:pt idx="52">
                  <c:v>-14.728922726311842</c:v>
                </c:pt>
              </c:numCache>
            </c:numRef>
          </c:yVal>
          <c:smooth val="0"/>
          <c:extLst>
            <c:ext xmlns:c16="http://schemas.microsoft.com/office/drawing/2014/chart" uri="{C3380CC4-5D6E-409C-BE32-E72D297353CC}">
              <c16:uniqueId val="{00000002-2CD2-46E7-BD68-00E32F953E4B}"/>
            </c:ext>
          </c:extLst>
        </c:ser>
        <c:dLbls>
          <c:showLegendKey val="0"/>
          <c:showVal val="0"/>
          <c:showCatName val="0"/>
          <c:showSerName val="0"/>
          <c:showPercent val="0"/>
          <c:showBubbleSize val="0"/>
        </c:dLbls>
        <c:axId val="130841600"/>
        <c:axId val="57660160"/>
      </c:scatterChart>
      <c:valAx>
        <c:axId val="130841600"/>
        <c:scaling>
          <c:orientation val="minMax"/>
          <c:min val="0"/>
        </c:scaling>
        <c:delete val="0"/>
        <c:axPos val="t"/>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57660160"/>
        <c:crosses val="max"/>
        <c:crossBetween val="midCat"/>
        <c:majorUnit val="5"/>
        <c:minorUnit val="1"/>
      </c:valAx>
      <c:valAx>
        <c:axId val="57660160"/>
        <c:scaling>
          <c:orientation val="minMax"/>
        </c:scaling>
        <c:delete val="0"/>
        <c:axPos val="r"/>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130841600"/>
        <c:crosses val="max"/>
        <c:crossBetween val="midCat"/>
        <c:majorUnit val="5"/>
        <c:minorUnit val="1"/>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56" l="0.7500000000000091" r="0.7500000000000091" t="0.98425196899999956" header="0.49212598450000522" footer="0.49212598450000522"/>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97106109324758"/>
          <c:y val="0.10145394496230975"/>
          <c:w val="0.78135048231511262"/>
          <c:h val="0.84109556247143569"/>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xVal>
            <c:numRef>
              <c:f>Reichweite_BREIT!$T$219:$T$400</c:f>
              <c:numCache>
                <c:formatCode>0.00</c:formatCode>
                <c:ptCount val="182"/>
                <c:pt idx="0">
                  <c:v>-41.1</c:v>
                </c:pt>
                <c:pt idx="1">
                  <c:v>-41.1</c:v>
                </c:pt>
                <c:pt idx="2">
                  <c:v>4.4086381220464118E-15</c:v>
                </c:pt>
                <c:pt idx="3">
                  <c:v>-0.62776686753171373</c:v>
                </c:pt>
                <c:pt idx="4">
                  <c:v>-1.2550778382243599</c:v>
                </c:pt>
                <c:pt idx="5">
                  <c:v>-1.8820932876487626</c:v>
                </c:pt>
                <c:pt idx="6">
                  <c:v>-2.5089736239552725</c:v>
                </c:pt>
                <c:pt idx="7">
                  <c:v>-3.1358798719418677</c:v>
                </c:pt>
                <c:pt idx="8">
                  <c:v>-3.7629742777031603</c:v>
                </c:pt>
                <c:pt idx="9">
                  <c:v>-4.3904208864317544</c:v>
                </c:pt>
                <c:pt idx="10">
                  <c:v>-5.0183861643320915</c:v>
                </c:pt>
                <c:pt idx="11">
                  <c:v>-5.6470396110303884</c:v>
                </c:pt>
                <c:pt idx="12">
                  <c:v>-6.2765543767817249</c:v>
                </c:pt>
                <c:pt idx="13">
                  <c:v>-6.9071079380735769</c:v>
                </c:pt>
                <c:pt idx="14">
                  <c:v>-7.5388827358365056</c:v>
                </c:pt>
                <c:pt idx="15">
                  <c:v>-8.1720668925546818</c:v>
                </c:pt>
                <c:pt idx="16">
                  <c:v>-8.8068549300281553</c:v>
                </c:pt>
                <c:pt idx="17">
                  <c:v>-9.4434485092927449</c:v>
                </c:pt>
                <c:pt idx="18">
                  <c:v>-10.08205726894407</c:v>
                </c:pt>
                <c:pt idx="19">
                  <c:v>-10.722899589999269</c:v>
                </c:pt>
                <c:pt idx="20">
                  <c:v>-11.366203561689352</c:v>
                </c:pt>
                <c:pt idx="21">
                  <c:v>-12.012207854999952</c:v>
                </c:pt>
                <c:pt idx="22">
                  <c:v>-12.661162735787256</c:v>
                </c:pt>
                <c:pt idx="23">
                  <c:v>-13.313331167724591</c:v>
                </c:pt>
                <c:pt idx="24">
                  <c:v>-13.968989893598746</c:v>
                </c:pt>
                <c:pt idx="25">
                  <c:v>-14.628430692296609</c:v>
                </c:pt>
                <c:pt idx="26">
                  <c:v>-15.291961686681534</c:v>
                </c:pt>
                <c:pt idx="27">
                  <c:v>-15.959908736426673</c:v>
                </c:pt>
                <c:pt idx="28">
                  <c:v>-16.632617017045181</c:v>
                </c:pt>
                <c:pt idx="29">
                  <c:v>-17.310452630493085</c:v>
                </c:pt>
                <c:pt idx="30">
                  <c:v>-17.993804440457279</c:v>
                </c:pt>
                <c:pt idx="31">
                  <c:v>-18.683086017471357</c:v>
                </c:pt>
                <c:pt idx="32">
                  <c:v>-19.378737765625907</c:v>
                </c:pt>
                <c:pt idx="33">
                  <c:v>-20.081229281514158</c:v>
                </c:pt>
                <c:pt idx="34">
                  <c:v>-20.791061884642428</c:v>
                </c:pt>
                <c:pt idx="35">
                  <c:v>-21.508771456882322</c:v>
                </c:pt>
                <c:pt idx="36">
                  <c:v>-22.234931477303448</c:v>
                </c:pt>
                <c:pt idx="37">
                  <c:v>-22.970156465851112</c:v>
                </c:pt>
                <c:pt idx="38">
                  <c:v>-23.715105709129489</c:v>
                </c:pt>
                <c:pt idx="39">
                  <c:v>-24.470487393240138</c:v>
                </c:pt>
                <c:pt idx="40">
                  <c:v>-25.23706325822652</c:v>
                </c:pt>
                <c:pt idx="41">
                  <c:v>-25.865068072148325</c:v>
                </c:pt>
                <c:pt idx="42">
                  <c:v>-26.418570758116765</c:v>
                </c:pt>
                <c:pt idx="43">
                  <c:v>-26.96402609150984</c:v>
                </c:pt>
                <c:pt idx="44">
                  <c:v>-27.501267921349076</c:v>
                </c:pt>
                <c:pt idx="45">
                  <c:v>-28.030132598568684</c:v>
                </c:pt>
                <c:pt idx="46">
                  <c:v>-28.550459025864793</c:v>
                </c:pt>
                <c:pt idx="47">
                  <c:v>-29.062088706767103</c:v>
                </c:pt>
                <c:pt idx="48">
                  <c:v>-29.564865793918564</c:v>
                </c:pt>
                <c:pt idx="49">
                  <c:v>-30.058637136547908</c:v>
                </c:pt>
                <c:pt idx="50">
                  <c:v>-30.543252327120911</c:v>
                </c:pt>
                <c:pt idx="51">
                  <c:v>-31.01856374715593</c:v>
                </c:pt>
                <c:pt idx="52">
                  <c:v>-31.484426612189992</c:v>
                </c:pt>
                <c:pt idx="53">
                  <c:v>-31.940699015881492</c:v>
                </c:pt>
                <c:pt idx="54">
                  <c:v>-32.387241973236279</c:v>
                </c:pt>
                <c:pt idx="55">
                  <c:v>-32.823919462943735</c:v>
                </c:pt>
                <c:pt idx="56">
                  <c:v>-33.250598468810338</c:v>
                </c:pt>
                <c:pt idx="57">
                  <c:v>-33.667149020277556</c:v>
                </c:pt>
                <c:pt idx="58">
                  <c:v>-34.073444232012221</c:v>
                </c:pt>
                <c:pt idx="59">
                  <c:v>-34.469360342556932</c:v>
                </c:pt>
                <c:pt idx="60">
                  <c:v>-34.85477675202911</c:v>
                </c:pt>
                <c:pt idx="61">
                  <c:v>-35.229576058856807</c:v>
                </c:pt>
                <c:pt idx="62">
                  <c:v>-35.593644095540419</c:v>
                </c:pt>
                <c:pt idx="63">
                  <c:v>-35.946869963429172</c:v>
                </c:pt>
                <c:pt idx="64">
                  <c:v>-36.2891460665019</c:v>
                </c:pt>
                <c:pt idx="65">
                  <c:v>-36.620368144141921</c:v>
                </c:pt>
                <c:pt idx="66">
                  <c:v>-36.940435302895757</c:v>
                </c:pt>
                <c:pt idx="67">
                  <c:v>-37.249250047206317</c:v>
                </c:pt>
                <c:pt idx="68">
                  <c:v>-37.546718309110901</c:v>
                </c:pt>
                <c:pt idx="69">
                  <c:v>-37.832749476895295</c:v>
                </c:pt>
                <c:pt idx="70">
                  <c:v>-38.107256422694959</c:v>
                </c:pt>
                <c:pt idx="71">
                  <c:v>-38.370155529034989</c:v>
                </c:pt>
                <c:pt idx="72">
                  <c:v>-38.621366714300841</c:v>
                </c:pt>
                <c:pt idx="73">
                  <c:v>-38.860813457131925</c:v>
                </c:pt>
                <c:pt idx="74">
                  <c:v>-39.088422819730809</c:v>
                </c:pt>
                <c:pt idx="75">
                  <c:v>-39.304125470080756</c:v>
                </c:pt>
                <c:pt idx="76">
                  <c:v>-39.507855703064912</c:v>
                </c:pt>
                <c:pt idx="77">
                  <c:v>-39.699551460480706</c:v>
                </c:pt>
                <c:pt idx="78">
                  <c:v>-39.879154349943455</c:v>
                </c:pt>
                <c:pt idx="79">
                  <c:v>-39.965209138433103</c:v>
                </c:pt>
                <c:pt idx="80">
                  <c:v>-40.018650998635167</c:v>
                </c:pt>
                <c:pt idx="81">
                  <c:v>-40.068000415958316</c:v>
                </c:pt>
                <c:pt idx="82">
                  <c:v>-40.113242446424607</c:v>
                </c:pt>
                <c:pt idx="83">
                  <c:v>-40.154363299605393</c:v>
                </c:pt>
                <c:pt idx="84">
                  <c:v>-40.191350360944277</c:v>
                </c:pt>
                <c:pt idx="85">
                  <c:v>-40.224192126877327</c:v>
                </c:pt>
                <c:pt idx="86">
                  <c:v>-40.252878303299234</c:v>
                </c:pt>
                <c:pt idx="87">
                  <c:v>-40.277399749388586</c:v>
                </c:pt>
                <c:pt idx="88">
                  <c:v>-40.297748516424932</c:v>
                </c:pt>
                <c:pt idx="89">
                  <c:v>-40.31391776046037</c:v>
                </c:pt>
                <c:pt idx="90">
                  <c:v>-40.325901904144096</c:v>
                </c:pt>
                <c:pt idx="91">
                  <c:v>-40.333696526192632</c:v>
                </c:pt>
                <c:pt idx="92">
                  <c:v>-40.337298327945504</c:v>
                </c:pt>
                <c:pt idx="93">
                  <c:v>-40.334095261513703</c:v>
                </c:pt>
                <c:pt idx="94">
                  <c:v>-40.326699634339981</c:v>
                </c:pt>
                <c:pt idx="95">
                  <c:v>-40.315114953044514</c:v>
                </c:pt>
                <c:pt idx="96">
                  <c:v>-40.299345893477529</c:v>
                </c:pt>
                <c:pt idx="97">
                  <c:v>-40.279398332263142</c:v>
                </c:pt>
                <c:pt idx="98">
                  <c:v>-40.255279281352209</c:v>
                </c:pt>
                <c:pt idx="99">
                  <c:v>-40.226996973453033</c:v>
                </c:pt>
                <c:pt idx="100">
                  <c:v>-40.194560822826354</c:v>
                </c:pt>
                <c:pt idx="101">
                  <c:v>-40.157981409307382</c:v>
                </c:pt>
                <c:pt idx="102">
                  <c:v>-40.117270409339795</c:v>
                </c:pt>
                <c:pt idx="103">
                  <c:v>-40.072440791398897</c:v>
                </c:pt>
                <c:pt idx="104">
                  <c:v>-40.023506607140554</c:v>
                </c:pt>
                <c:pt idx="105">
                  <c:v>-39.970483041362698</c:v>
                </c:pt>
                <c:pt idx="106">
                  <c:v>-39.879154349943462</c:v>
                </c:pt>
                <c:pt idx="107">
                  <c:v>-39.699551460480713</c:v>
                </c:pt>
                <c:pt idx="108">
                  <c:v>-39.507855703064905</c:v>
                </c:pt>
                <c:pt idx="109">
                  <c:v>-39.304125470080756</c:v>
                </c:pt>
                <c:pt idx="110">
                  <c:v>-39.088422819730816</c:v>
                </c:pt>
                <c:pt idx="111">
                  <c:v>-38.860813457131925</c:v>
                </c:pt>
                <c:pt idx="112">
                  <c:v>-38.621366714300834</c:v>
                </c:pt>
                <c:pt idx="113">
                  <c:v>-38.370155529034996</c:v>
                </c:pt>
                <c:pt idx="114">
                  <c:v>-38.107256422694967</c:v>
                </c:pt>
                <c:pt idx="115">
                  <c:v>-37.832749476895309</c:v>
                </c:pt>
                <c:pt idx="116">
                  <c:v>-37.546718309110908</c:v>
                </c:pt>
                <c:pt idx="117">
                  <c:v>-37.249250047206317</c:v>
                </c:pt>
                <c:pt idx="118">
                  <c:v>-36.940435302895764</c:v>
                </c:pt>
                <c:pt idx="119">
                  <c:v>-36.620368144141921</c:v>
                </c:pt>
                <c:pt idx="120">
                  <c:v>-36.289146066501907</c:v>
                </c:pt>
                <c:pt idx="121">
                  <c:v>-35.946869963429158</c:v>
                </c:pt>
                <c:pt idx="122">
                  <c:v>-35.593644095540427</c:v>
                </c:pt>
                <c:pt idx="123">
                  <c:v>-35.229576058856821</c:v>
                </c:pt>
                <c:pt idx="124">
                  <c:v>-34.854776752029117</c:v>
                </c:pt>
                <c:pt idx="125">
                  <c:v>-34.469360342556939</c:v>
                </c:pt>
                <c:pt idx="126">
                  <c:v>-34.073444232012214</c:v>
                </c:pt>
                <c:pt idx="127">
                  <c:v>-33.667149020277563</c:v>
                </c:pt>
                <c:pt idx="128">
                  <c:v>-33.250598468810345</c:v>
                </c:pt>
                <c:pt idx="129">
                  <c:v>-32.823919462943742</c:v>
                </c:pt>
                <c:pt idx="130">
                  <c:v>-32.387241973236264</c:v>
                </c:pt>
                <c:pt idx="131">
                  <c:v>-31.940699015881499</c:v>
                </c:pt>
                <c:pt idx="132">
                  <c:v>-31.484426612190003</c:v>
                </c:pt>
                <c:pt idx="133">
                  <c:v>-31.018563747155941</c:v>
                </c:pt>
                <c:pt idx="134">
                  <c:v>-30.543252327120918</c:v>
                </c:pt>
                <c:pt idx="135">
                  <c:v>-30.058637136547901</c:v>
                </c:pt>
                <c:pt idx="136">
                  <c:v>-29.564865793918564</c:v>
                </c:pt>
                <c:pt idx="137">
                  <c:v>-29.06208870676711</c:v>
                </c:pt>
                <c:pt idx="138">
                  <c:v>-28.5504590258648</c:v>
                </c:pt>
                <c:pt idx="139">
                  <c:v>-28.030132598568681</c:v>
                </c:pt>
                <c:pt idx="140">
                  <c:v>-27.501267921349069</c:v>
                </c:pt>
                <c:pt idx="141">
                  <c:v>-26.964026091509854</c:v>
                </c:pt>
                <c:pt idx="142">
                  <c:v>-26.418570758116779</c:v>
                </c:pt>
                <c:pt idx="143">
                  <c:v>-25.865068072148336</c:v>
                </c:pt>
                <c:pt idx="144">
                  <c:v>-25.303686635884553</c:v>
                </c:pt>
                <c:pt idx="145">
                  <c:v>-24.734597451549185</c:v>
                </c:pt>
                <c:pt idx="146">
                  <c:v>-24.157973869220655</c:v>
                </c:pt>
                <c:pt idx="147">
                  <c:v>-23.573991534028011</c:v>
                </c:pt>
                <c:pt idx="148">
                  <c:v>-22.982828332647685</c:v>
                </c:pt>
                <c:pt idx="149">
                  <c:v>-22.362422289654319</c:v>
                </c:pt>
                <c:pt idx="150">
                  <c:v>-21.604292517699786</c:v>
                </c:pt>
                <c:pt idx="151">
                  <c:v>-20.855513360892857</c:v>
                </c:pt>
                <c:pt idx="152">
                  <c:v>-20.115462390786448</c:v>
                </c:pt>
                <c:pt idx="153">
                  <c:v>-19.383558238815827</c:v>
                </c:pt>
                <c:pt idx="154">
                  <c:v>-18.659257168556632</c:v>
                </c:pt>
                <c:pt idx="155">
                  <c:v>-17.942050026115027</c:v>
                </c:pt>
                <c:pt idx="156">
                  <c:v>-17.231459458352731</c:v>
                </c:pt>
                <c:pt idx="157">
                  <c:v>-16.527037308275332</c:v>
                </c:pt>
                <c:pt idx="158">
                  <c:v>-15.828362330814496</c:v>
                </c:pt>
                <c:pt idx="159">
                  <c:v>-15.135038014298271</c:v>
                </c:pt>
                <c:pt idx="160">
                  <c:v>-14.44669064819232</c:v>
                </c:pt>
                <c:pt idx="161">
                  <c:v>-13.762967463329611</c:v>
                </c:pt>
                <c:pt idx="162">
                  <c:v>-13.083535054674771</c:v>
                </c:pt>
                <c:pt idx="163">
                  <c:v>-12.40807774113167</c:v>
                </c:pt>
                <c:pt idx="164">
                  <c:v>-11.736296205140162</c:v>
                </c:pt>
                <c:pt idx="165">
                  <c:v>-11.067906161858909</c:v>
                </c:pt>
                <c:pt idx="166">
                  <c:v>-10.402637085570035</c:v>
                </c:pt>
                <c:pt idx="167">
                  <c:v>-9.7402311175773129</c:v>
                </c:pt>
                <c:pt idx="168">
                  <c:v>-9.0804419409819914</c:v>
                </c:pt>
                <c:pt idx="169">
                  <c:v>-8.4230337992400752</c:v>
                </c:pt>
                <c:pt idx="170">
                  <c:v>-7.7677805273965701</c:v>
                </c:pt>
                <c:pt idx="171">
                  <c:v>-7.1144646637154656</c:v>
                </c:pt>
                <c:pt idx="172">
                  <c:v>-6.4628766066730217</c:v>
                </c:pt>
                <c:pt idx="173">
                  <c:v>-5.8128137877792216</c:v>
                </c:pt>
                <c:pt idx="174">
                  <c:v>-5.1640798998040465</c:v>
                </c:pt>
                <c:pt idx="175">
                  <c:v>-4.5164841801220481</c:v>
                </c:pt>
                <c:pt idx="176">
                  <c:v>-3.8698406694957241</c:v>
                </c:pt>
                <c:pt idx="177">
                  <c:v>-3.2239675458422363</c:v>
                </c:pt>
                <c:pt idx="178">
                  <c:v>-2.5786864413016706</c:v>
                </c:pt>
                <c:pt idx="179">
                  <c:v>-1.933821803770517</c:v>
                </c:pt>
                <c:pt idx="180">
                  <c:v>-1.2892002535231704</c:v>
                </c:pt>
                <c:pt idx="181">
                  <c:v>-0.64464995463453723</c:v>
                </c:pt>
              </c:numCache>
            </c:numRef>
          </c:xVal>
          <c:yVal>
            <c:numRef>
              <c:f>Reichweite_BREIT!$U$219:$U$400</c:f>
              <c:numCache>
                <c:formatCode>0.00</c:formatCode>
                <c:ptCount val="182"/>
                <c:pt idx="0">
                  <c:v>41.1</c:v>
                </c:pt>
                <c:pt idx="1">
                  <c:v>-41.1</c:v>
                </c:pt>
                <c:pt idx="2">
                  <c:v>-35.984521748225511</c:v>
                </c:pt>
                <c:pt idx="3">
                  <c:v>-35.964739753953666</c:v>
                </c:pt>
                <c:pt idx="4">
                  <c:v>-35.940726865167015</c:v>
                </c:pt>
                <c:pt idx="5">
                  <c:v>-35.912479280682</c:v>
                </c:pt>
                <c:pt idx="6">
                  <c:v>-35.879994443077415</c:v>
                </c:pt>
                <c:pt idx="7">
                  <c:v>-35.843270951472185</c:v>
                </c:pt>
                <c:pt idx="8">
                  <c:v>-35.802308709932845</c:v>
                </c:pt>
                <c:pt idx="9">
                  <c:v>-35.757108663715563</c:v>
                </c:pt>
                <c:pt idx="10">
                  <c:v>-35.70767296892037</c:v>
                </c:pt>
                <c:pt idx="11">
                  <c:v>-35.654004897573117</c:v>
                </c:pt>
                <c:pt idx="12">
                  <c:v>-35.596108726884133</c:v>
                </c:pt>
                <c:pt idx="13">
                  <c:v>-35.533989881556849</c:v>
                </c:pt>
                <c:pt idx="14">
                  <c:v>-35.467654710843696</c:v>
                </c:pt>
                <c:pt idx="15">
                  <c:v>-35.39711058813689</c:v>
                </c:pt>
                <c:pt idx="16">
                  <c:v>-35.322365837773113</c:v>
                </c:pt>
                <c:pt idx="17">
                  <c:v>-35.243429635341094</c:v>
                </c:pt>
                <c:pt idx="18">
                  <c:v>-35.1603121433468</c:v>
                </c:pt>
                <c:pt idx="19">
                  <c:v>-35.073024201691624</c:v>
                </c:pt>
                <c:pt idx="20">
                  <c:v>-34.981577581994067</c:v>
                </c:pt>
                <c:pt idx="21">
                  <c:v>-34.885984717393811</c:v>
                </c:pt>
                <c:pt idx="22">
                  <c:v>-34.786258720615805</c:v>
                </c:pt>
                <c:pt idx="23">
                  <c:v>-34.682413439686478</c:v>
                </c:pt>
                <c:pt idx="24">
                  <c:v>-34.574463241151356</c:v>
                </c:pt>
                <c:pt idx="25">
                  <c:v>-34.462423054735787</c:v>
                </c:pt>
                <c:pt idx="26">
                  <c:v>-34.346308293421068</c:v>
                </c:pt>
                <c:pt idx="27">
                  <c:v>-34.226134735967982</c:v>
                </c:pt>
                <c:pt idx="28">
                  <c:v>-34.101918565564901</c:v>
                </c:pt>
                <c:pt idx="29">
                  <c:v>-33.973676187655009</c:v>
                </c:pt>
                <c:pt idx="30">
                  <c:v>-33.841424223434345</c:v>
                </c:pt>
                <c:pt idx="31">
                  <c:v>-33.705179391362137</c:v>
                </c:pt>
                <c:pt idx="32">
                  <c:v>-33.564958396617847</c:v>
                </c:pt>
                <c:pt idx="33">
                  <c:v>-33.42077787360045</c:v>
                </c:pt>
                <c:pt idx="34">
                  <c:v>-33.272654229422585</c:v>
                </c:pt>
                <c:pt idx="35">
                  <c:v>-33.120603581148231</c:v>
                </c:pt>
                <c:pt idx="36">
                  <c:v>-32.964641545805428</c:v>
                </c:pt>
                <c:pt idx="37">
                  <c:v>-32.80478317125975</c:v>
                </c:pt>
                <c:pt idx="38">
                  <c:v>-32.641042740108546</c:v>
                </c:pt>
                <c:pt idx="39">
                  <c:v>-32.473433577726844</c:v>
                </c:pt>
                <c:pt idx="40">
                  <c:v>-32.301967938494442</c:v>
                </c:pt>
                <c:pt idx="41">
                  <c:v>-31.940699015881499</c:v>
                </c:pt>
                <c:pt idx="42">
                  <c:v>-31.484426612189999</c:v>
                </c:pt>
                <c:pt idx="43">
                  <c:v>-31.018563747155934</c:v>
                </c:pt>
                <c:pt idx="44">
                  <c:v>-30.543252327120904</c:v>
                </c:pt>
                <c:pt idx="45">
                  <c:v>-30.058637136547912</c:v>
                </c:pt>
                <c:pt idx="46">
                  <c:v>-29.56486579391856</c:v>
                </c:pt>
                <c:pt idx="47">
                  <c:v>-29.06208870676711</c:v>
                </c:pt>
                <c:pt idx="48">
                  <c:v>-28.550459025864789</c:v>
                </c:pt>
                <c:pt idx="49">
                  <c:v>-28.030132598568692</c:v>
                </c:pt>
                <c:pt idx="50">
                  <c:v>-27.501267921349069</c:v>
                </c:pt>
                <c:pt idx="51">
                  <c:v>-26.964026091509851</c:v>
                </c:pt>
                <c:pt idx="52">
                  <c:v>-26.418570758116772</c:v>
                </c:pt>
                <c:pt idx="53">
                  <c:v>-25.865068072148336</c:v>
                </c:pt>
                <c:pt idx="54">
                  <c:v>-25.303686635884546</c:v>
                </c:pt>
                <c:pt idx="55">
                  <c:v>-24.734597451549185</c:v>
                </c:pt>
                <c:pt idx="56">
                  <c:v>-24.157973869220651</c:v>
                </c:pt>
                <c:pt idx="57">
                  <c:v>-23.573991534028007</c:v>
                </c:pt>
                <c:pt idx="58">
                  <c:v>-22.982828332647685</c:v>
                </c:pt>
                <c:pt idx="59">
                  <c:v>-22.384664339117609</c:v>
                </c:pt>
                <c:pt idx="60">
                  <c:v>-21.779681759984726</c:v>
                </c:pt>
                <c:pt idx="61">
                  <c:v>-21.168064878803239</c:v>
                </c:pt>
                <c:pt idx="62">
                  <c:v>-20.550000000000018</c:v>
                </c:pt>
                <c:pt idx="63">
                  <c:v>-19.925675392124443</c:v>
                </c:pt>
                <c:pt idx="64">
                  <c:v>-19.295281230500109</c:v>
                </c:pt>
                <c:pt idx="65">
                  <c:v>-18.659009539295379</c:v>
                </c:pt>
                <c:pt idx="66">
                  <c:v>-18.017054133031095</c:v>
                </c:pt>
                <c:pt idx="67">
                  <c:v>-17.369610557542735</c:v>
                </c:pt>
                <c:pt idx="68">
                  <c:v>-16.716876030415385</c:v>
                </c:pt>
                <c:pt idx="69">
                  <c:v>-16.059049380909155</c:v>
                </c:pt>
                <c:pt idx="70">
                  <c:v>-15.396330989393995</c:v>
                </c:pt>
                <c:pt idx="71">
                  <c:v>-14.728922726311859</c:v>
                </c:pt>
                <c:pt idx="72">
                  <c:v>-14.057027890684978</c:v>
                </c:pt>
                <c:pt idx="73">
                  <c:v>-13.380851148189139</c:v>
                </c:pt>
                <c:pt idx="74">
                  <c:v>-12.700598468810345</c:v>
                </c:pt>
                <c:pt idx="75">
                  <c:v>-12.016477064104496</c:v>
                </c:pt>
                <c:pt idx="76">
                  <c:v>-11.328695324078655</c:v>
                </c:pt>
                <c:pt idx="77">
                  <c:v>-10.637462753713598</c:v>
                </c:pt>
                <c:pt idx="78">
                  <c:v>-9.9429899091463465</c:v>
                </c:pt>
                <c:pt idx="79">
                  <c:v>-9.2266955417448866</c:v>
                </c:pt>
                <c:pt idx="80">
                  <c:v>-8.5062268589425081</c:v>
                </c:pt>
                <c:pt idx="81">
                  <c:v>-7.7884303073842016</c:v>
                </c:pt>
                <c:pt idx="82">
                  <c:v>-7.0730469270046896</c:v>
                </c:pt>
                <c:pt idx="83">
                  <c:v>-6.3598263577961083</c:v>
                </c:pt>
                <c:pt idx="84">
                  <c:v>-5.6485259275433863</c:v>
                </c:pt>
                <c:pt idx="85">
                  <c:v>-4.9389097679726914</c:v>
                </c:pt>
                <c:pt idx="86">
                  <c:v>-4.2307479913106016</c:v>
                </c:pt>
                <c:pt idx="87">
                  <c:v>-3.5238158743733967</c:v>
                </c:pt>
                <c:pt idx="88">
                  <c:v>-2.8178930822549333</c:v>
                </c:pt>
                <c:pt idx="89">
                  <c:v>-2.1127629040249012</c:v>
                </c:pt>
                <c:pt idx="90">
                  <c:v>-1.4082115249414384</c:v>
                </c:pt>
                <c:pt idx="91">
                  <c:v>-0.70402729165971578</c:v>
                </c:pt>
                <c:pt idx="92">
                  <c:v>-7.4128768082505744E-15</c:v>
                </c:pt>
                <c:pt idx="93">
                  <c:v>0.70403425161061939</c:v>
                </c:pt>
                <c:pt idx="94">
                  <c:v>1.4082393822937465</c:v>
                </c:pt>
                <c:pt idx="95">
                  <c:v>2.1128256462295956</c:v>
                </c:pt>
                <c:pt idx="96">
                  <c:v>2.8180047817396785</c:v>
                </c:pt>
                <c:pt idx="97">
                  <c:v>3.5239907277180227</c:v>
                </c:pt>
                <c:pt idx="98">
                  <c:v>4.2310003442727337</c:v>
                </c:pt>
                <c:pt idx="99">
                  <c:v>4.9392541598279109</c:v>
                </c:pt>
                <c:pt idx="100">
                  <c:v>5.6489771285360586</c:v>
                </c:pt>
                <c:pt idx="101">
                  <c:v>6.3603994100762744</c:v>
                </c:pt>
                <c:pt idx="102">
                  <c:v>7.0737571655439151</c:v>
                </c:pt>
                <c:pt idx="103">
                  <c:v>7.7892934289350508</c:v>
                </c:pt>
                <c:pt idx="104">
                  <c:v>8.507258950391213</c:v>
                </c:pt>
                <c:pt idx="105">
                  <c:v>9.2279131181743992</c:v>
                </c:pt>
                <c:pt idx="106">
                  <c:v>9.9429899091463323</c:v>
                </c:pt>
                <c:pt idx="107">
                  <c:v>10.637462753713585</c:v>
                </c:pt>
                <c:pt idx="108">
                  <c:v>11.328695324078675</c:v>
                </c:pt>
                <c:pt idx="109">
                  <c:v>12.01647706410448</c:v>
                </c:pt>
                <c:pt idx="110">
                  <c:v>12.700598468810332</c:v>
                </c:pt>
                <c:pt idx="111">
                  <c:v>13.380851148189125</c:v>
                </c:pt>
                <c:pt idx="112">
                  <c:v>14.057027890684996</c:v>
                </c:pt>
                <c:pt idx="113">
                  <c:v>14.728922726311847</c:v>
                </c:pt>
                <c:pt idx="114">
                  <c:v>15.396330989393983</c:v>
                </c:pt>
                <c:pt idx="115">
                  <c:v>16.059049380909141</c:v>
                </c:pt>
                <c:pt idx="116">
                  <c:v>16.716876030415371</c:v>
                </c:pt>
                <c:pt idx="117">
                  <c:v>17.369610557542753</c:v>
                </c:pt>
                <c:pt idx="118">
                  <c:v>18.017054133031081</c:v>
                </c:pt>
                <c:pt idx="119">
                  <c:v>18.659009539295369</c:v>
                </c:pt>
                <c:pt idx="120">
                  <c:v>19.295281230500098</c:v>
                </c:pt>
                <c:pt idx="121">
                  <c:v>19.925675392124464</c:v>
                </c:pt>
                <c:pt idx="122">
                  <c:v>20.550000000000004</c:v>
                </c:pt>
                <c:pt idx="123">
                  <c:v>21.168064878803225</c:v>
                </c:pt>
                <c:pt idx="124">
                  <c:v>21.779681759984712</c:v>
                </c:pt>
                <c:pt idx="125">
                  <c:v>22.384664339117595</c:v>
                </c:pt>
                <c:pt idx="126">
                  <c:v>22.982828332647703</c:v>
                </c:pt>
                <c:pt idx="127">
                  <c:v>23.573991534027993</c:v>
                </c:pt>
                <c:pt idx="128">
                  <c:v>24.157973869220637</c:v>
                </c:pt>
                <c:pt idx="129">
                  <c:v>24.73459745154917</c:v>
                </c:pt>
                <c:pt idx="130">
                  <c:v>25.303686635884567</c:v>
                </c:pt>
                <c:pt idx="131">
                  <c:v>25.865068072148322</c:v>
                </c:pt>
                <c:pt idx="132">
                  <c:v>26.418570758116765</c:v>
                </c:pt>
                <c:pt idx="133">
                  <c:v>26.96402609150984</c:v>
                </c:pt>
                <c:pt idx="134">
                  <c:v>27.501267921349058</c:v>
                </c:pt>
                <c:pt idx="135">
                  <c:v>28.030132598568692</c:v>
                </c:pt>
                <c:pt idx="136">
                  <c:v>28.550459025864789</c:v>
                </c:pt>
                <c:pt idx="137">
                  <c:v>29.062088706767096</c:v>
                </c:pt>
                <c:pt idx="138">
                  <c:v>29.56486579391855</c:v>
                </c:pt>
                <c:pt idx="139">
                  <c:v>30.058637136547915</c:v>
                </c:pt>
                <c:pt idx="140">
                  <c:v>30.543252327120904</c:v>
                </c:pt>
                <c:pt idx="141">
                  <c:v>31.018563747155927</c:v>
                </c:pt>
                <c:pt idx="142">
                  <c:v>31.484426612189989</c:v>
                </c:pt>
                <c:pt idx="143">
                  <c:v>31.940699015881492</c:v>
                </c:pt>
                <c:pt idx="144">
                  <c:v>32.387241973236279</c:v>
                </c:pt>
                <c:pt idx="145">
                  <c:v>32.823919462943735</c:v>
                </c:pt>
                <c:pt idx="146">
                  <c:v>33.250598468810338</c:v>
                </c:pt>
                <c:pt idx="147">
                  <c:v>33.667149020277556</c:v>
                </c:pt>
                <c:pt idx="148">
                  <c:v>34.073444232012221</c:v>
                </c:pt>
                <c:pt idx="149">
                  <c:v>34.435110589864976</c:v>
                </c:pt>
                <c:pt idx="150">
                  <c:v>34.574095291578168</c:v>
                </c:pt>
                <c:pt idx="151">
                  <c:v>34.709402980421046</c:v>
                </c:pt>
                <c:pt idx="152">
                  <c:v>34.841002878583005</c:v>
                </c:pt>
                <c:pt idx="153">
                  <c:v>34.968864729908617</c:v>
                </c:pt>
                <c:pt idx="154">
                  <c:v>35.092958780607717</c:v>
                </c:pt>
                <c:pt idx="155">
                  <c:v>35.213255871552299</c:v>
                </c:pt>
                <c:pt idx="156">
                  <c:v>35.329727523478468</c:v>
                </c:pt>
                <c:pt idx="157">
                  <c:v>35.44234588311614</c:v>
                </c:pt>
                <c:pt idx="158">
                  <c:v>35.551083865689613</c:v>
                </c:pt>
                <c:pt idx="159">
                  <c:v>35.655915112817006</c:v>
                </c:pt>
                <c:pt idx="160">
                  <c:v>35.756814098712923</c:v>
                </c:pt>
                <c:pt idx="161">
                  <c:v>35.853756036456502</c:v>
                </c:pt>
                <c:pt idx="162">
                  <c:v>35.946717129361943</c:v>
                </c:pt>
                <c:pt idx="163">
                  <c:v>36.035674346841844</c:v>
                </c:pt>
                <c:pt idx="164">
                  <c:v>36.120605617972252</c:v>
                </c:pt>
                <c:pt idx="165">
                  <c:v>36.201489850652912</c:v>
                </c:pt>
                <c:pt idx="166">
                  <c:v>36.278306826252063</c:v>
                </c:pt>
                <c:pt idx="167">
                  <c:v>36.351037408261931</c:v>
                </c:pt>
                <c:pt idx="168">
                  <c:v>36.419663404969768</c:v>
                </c:pt>
                <c:pt idx="169">
                  <c:v>36.484167689688334</c:v>
                </c:pt>
                <c:pt idx="170">
                  <c:v>36.544534153010233</c:v>
                </c:pt>
                <c:pt idx="171">
                  <c:v>36.600747757196288</c:v>
                </c:pt>
                <c:pt idx="172">
                  <c:v>36.652794601857295</c:v>
                </c:pt>
                <c:pt idx="173">
                  <c:v>36.700661857114973</c:v>
                </c:pt>
                <c:pt idx="174">
                  <c:v>36.744337763038473</c:v>
                </c:pt>
                <c:pt idx="175">
                  <c:v>36.783811799380842</c:v>
                </c:pt>
                <c:pt idx="176">
                  <c:v>36.819074509355069</c:v>
                </c:pt>
                <c:pt idx="177">
                  <c:v>36.850117671381831</c:v>
                </c:pt>
                <c:pt idx="178">
                  <c:v>36.876934177763182</c:v>
                </c:pt>
                <c:pt idx="179">
                  <c:v>36.899518167453977</c:v>
                </c:pt>
                <c:pt idx="180">
                  <c:v>36.917864992288678</c:v>
                </c:pt>
                <c:pt idx="181">
                  <c:v>36.93197116628334</c:v>
                </c:pt>
              </c:numCache>
            </c:numRef>
          </c:yVal>
          <c:smooth val="0"/>
          <c:extLst>
            <c:ext xmlns:c16="http://schemas.microsoft.com/office/drawing/2014/chart" uri="{C3380CC4-5D6E-409C-BE32-E72D297353CC}">
              <c16:uniqueId val="{00000000-AC43-49B6-B6EF-407F037D8D69}"/>
            </c:ext>
          </c:extLst>
        </c:ser>
        <c:dLbls>
          <c:showLegendKey val="0"/>
          <c:showVal val="0"/>
          <c:showCatName val="0"/>
          <c:showSerName val="0"/>
          <c:showPercent val="0"/>
          <c:showBubbleSize val="0"/>
        </c:dLbls>
        <c:axId val="57670656"/>
        <c:axId val="58315904"/>
      </c:scatterChart>
      <c:valAx>
        <c:axId val="57670656"/>
        <c:scaling>
          <c:orientation val="minMax"/>
          <c:max val="0"/>
        </c:scaling>
        <c:delete val="0"/>
        <c:axPos val="b"/>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58315904"/>
        <c:crossesAt val="-11000"/>
        <c:crossBetween val="midCat"/>
        <c:majorUnit val="5"/>
        <c:minorUnit val="1"/>
      </c:valAx>
      <c:valAx>
        <c:axId val="58315904"/>
        <c:scaling>
          <c:orientation val="minMax"/>
        </c:scaling>
        <c:delete val="0"/>
        <c:axPos val="r"/>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57670656"/>
        <c:crosses val="max"/>
        <c:crossBetween val="midCat"/>
        <c:majorUnit val="5"/>
        <c:minorUnit val="1"/>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56" l="0.7500000000000091" r="0.7500000000000091" t="0.98425196899999956" header="0.49212598450000522" footer="0.49212598450000522"/>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60566131174378E-2"/>
          <c:y val="7.5000130789848823E-2"/>
          <c:w val="0.84042844230817326"/>
          <c:h val="0.8535729170844677"/>
        </c:manualLayout>
      </c:layout>
      <c:scatterChart>
        <c:scatterStyle val="lineMarker"/>
        <c:varyColors val="0"/>
        <c:ser>
          <c:idx val="0"/>
          <c:order val="0"/>
          <c:tx>
            <c:strRef>
              <c:f>Reichweite_SCHMAL!$X$10</c:f>
              <c:strCache>
                <c:ptCount val="1"/>
                <c:pt idx="0">
                  <c:v>X_</c:v>
                </c:pt>
              </c:strCache>
            </c:strRef>
          </c:tx>
          <c:spPr>
            <a:ln w="25400">
              <a:solidFill>
                <a:srgbClr val="FF0000"/>
              </a:solidFill>
              <a:prstDash val="solid"/>
            </a:ln>
          </c:spPr>
          <c:marker>
            <c:symbol val="diamond"/>
            <c:size val="7"/>
            <c:spPr>
              <a:solidFill>
                <a:srgbClr val="000080"/>
              </a:solidFill>
              <a:ln>
                <a:solidFill>
                  <a:srgbClr val="000080"/>
                </a:solidFill>
                <a:prstDash val="solid"/>
              </a:ln>
            </c:spPr>
          </c:marker>
          <c:dPt>
            <c:idx val="1"/>
            <c:marker>
              <c:symbol val="circle"/>
              <c:size val="10"/>
              <c:spPr>
                <a:solidFill>
                  <a:srgbClr val="FFFF00"/>
                </a:solidFill>
                <a:ln>
                  <a:solidFill>
                    <a:srgbClr val="000080"/>
                  </a:solidFill>
                  <a:prstDash val="solid"/>
                </a:ln>
              </c:spPr>
            </c:marker>
            <c:bubble3D val="0"/>
            <c:extLst>
              <c:ext xmlns:c16="http://schemas.microsoft.com/office/drawing/2014/chart" uri="{C3380CC4-5D6E-409C-BE32-E72D297353CC}">
                <c16:uniqueId val="{00000000-3AB5-4CF9-A15F-B0E2FF92F6B7}"/>
              </c:ext>
            </c:extLst>
          </c:dPt>
          <c:dPt>
            <c:idx val="2"/>
            <c:marker>
              <c:symbol val="circle"/>
              <c:size val="10"/>
              <c:spPr>
                <a:solidFill>
                  <a:srgbClr val="FFFF00"/>
                </a:solidFill>
                <a:ln>
                  <a:solidFill>
                    <a:srgbClr val="000080"/>
                  </a:solidFill>
                  <a:prstDash val="solid"/>
                </a:ln>
              </c:spPr>
            </c:marker>
            <c:bubble3D val="0"/>
            <c:extLst>
              <c:ext xmlns:c16="http://schemas.microsoft.com/office/drawing/2014/chart" uri="{C3380CC4-5D6E-409C-BE32-E72D297353CC}">
                <c16:uniqueId val="{00000001-3AB5-4CF9-A15F-B0E2FF92F6B7}"/>
              </c:ext>
            </c:extLst>
          </c:dPt>
          <c:dPt>
            <c:idx val="3"/>
            <c:marker>
              <c:symbol val="circle"/>
              <c:size val="10"/>
              <c:spPr>
                <a:solidFill>
                  <a:srgbClr val="FFFF00"/>
                </a:solidFill>
                <a:ln>
                  <a:solidFill>
                    <a:srgbClr val="000080"/>
                  </a:solidFill>
                  <a:prstDash val="solid"/>
                </a:ln>
              </c:spPr>
            </c:marker>
            <c:bubble3D val="0"/>
            <c:extLst>
              <c:ext xmlns:c16="http://schemas.microsoft.com/office/drawing/2014/chart" uri="{C3380CC4-5D6E-409C-BE32-E72D297353CC}">
                <c16:uniqueId val="{00000002-3AB5-4CF9-A15F-B0E2FF92F6B7}"/>
              </c:ext>
            </c:extLst>
          </c:dPt>
          <c:dPt>
            <c:idx val="4"/>
            <c:marker>
              <c:symbol val="circle"/>
              <c:size val="10"/>
              <c:spPr>
                <a:solidFill>
                  <a:srgbClr val="FFFF00"/>
                </a:solidFill>
                <a:ln>
                  <a:solidFill>
                    <a:srgbClr val="000080"/>
                  </a:solidFill>
                  <a:prstDash val="solid"/>
                </a:ln>
              </c:spPr>
            </c:marker>
            <c:bubble3D val="0"/>
            <c:extLst>
              <c:ext xmlns:c16="http://schemas.microsoft.com/office/drawing/2014/chart" uri="{C3380CC4-5D6E-409C-BE32-E72D297353CC}">
                <c16:uniqueId val="{00000003-3AB5-4CF9-A15F-B0E2FF92F6B7}"/>
              </c:ext>
            </c:extLst>
          </c:dPt>
          <c:xVal>
            <c:numRef>
              <c:f>Reichweite_SCHMAL!$W$11:$W$15</c:f>
              <c:numCache>
                <c:formatCode>0</c:formatCode>
                <c:ptCount val="5"/>
                <c:pt idx="0">
                  <c:v>-1152</c:v>
                </c:pt>
                <c:pt idx="1">
                  <c:v>-1140</c:v>
                </c:pt>
                <c:pt idx="2">
                  <c:v>1055</c:v>
                </c:pt>
                <c:pt idx="3">
                  <c:v>1062</c:v>
                </c:pt>
                <c:pt idx="4">
                  <c:v>-1152</c:v>
                </c:pt>
              </c:numCache>
            </c:numRef>
          </c:xVal>
          <c:yVal>
            <c:numRef>
              <c:f>Reichweite_SCHMAL!$X$11:$X$15</c:f>
              <c:numCache>
                <c:formatCode>0</c:formatCode>
                <c:ptCount val="5"/>
                <c:pt idx="0">
                  <c:v>6128</c:v>
                </c:pt>
                <c:pt idx="1">
                  <c:v>-750</c:v>
                </c:pt>
                <c:pt idx="2">
                  <c:v>-750</c:v>
                </c:pt>
                <c:pt idx="3">
                  <c:v>6128</c:v>
                </c:pt>
                <c:pt idx="4">
                  <c:v>6128</c:v>
                </c:pt>
              </c:numCache>
            </c:numRef>
          </c:yVal>
          <c:smooth val="0"/>
          <c:extLst>
            <c:ext xmlns:c16="http://schemas.microsoft.com/office/drawing/2014/chart" uri="{C3380CC4-5D6E-409C-BE32-E72D297353CC}">
              <c16:uniqueId val="{00000004-3AB5-4CF9-A15F-B0E2FF92F6B7}"/>
            </c:ext>
          </c:extLst>
        </c:ser>
        <c:dLbls>
          <c:showLegendKey val="0"/>
          <c:showVal val="0"/>
          <c:showCatName val="0"/>
          <c:showSerName val="0"/>
          <c:showPercent val="0"/>
          <c:showBubbleSize val="0"/>
        </c:dLbls>
        <c:axId val="70938624"/>
        <c:axId val="70940160"/>
      </c:scatterChart>
      <c:valAx>
        <c:axId val="70938624"/>
        <c:scaling>
          <c:orientation val="minMax"/>
          <c:max val="7000"/>
          <c:min val="-7000"/>
        </c:scaling>
        <c:delete val="0"/>
        <c:axPos val="b"/>
        <c:majorGridlines>
          <c:spPr>
            <a:ln w="3175">
              <a:solidFill>
                <a:srgbClr val="000000"/>
              </a:solidFill>
              <a:prstDash val="solid"/>
            </a:ln>
          </c:spPr>
        </c:majorGridlines>
        <c:minorGridlines>
          <c:spPr>
            <a:ln w="3175">
              <a:pattFill prst="pct50">
                <a:fgClr>
                  <a:srgbClr val="000000"/>
                </a:fgClr>
                <a:bgClr>
                  <a:srgbClr val="FFFFFF"/>
                </a:bgClr>
              </a:pattFill>
              <a:prstDash val="solid"/>
            </a:ln>
          </c:spPr>
        </c:minorGridlines>
        <c:numFmt formatCode="0" sourceLinked="1"/>
        <c:majorTickMark val="out"/>
        <c:minorTickMark val="none"/>
        <c:tickLblPos val="nextTo"/>
        <c:spPr>
          <a:ln w="3175">
            <a:solidFill>
              <a:srgbClr val="000000"/>
            </a:solidFill>
            <a:prstDash val="solid"/>
          </a:ln>
        </c:spPr>
        <c:txPr>
          <a:bodyPr rot="0" vert="horz"/>
          <a:lstStyle/>
          <a:p>
            <a:pPr>
              <a:defRPr sz="325" b="0" i="0" u="none" strike="noStrike" baseline="0">
                <a:solidFill>
                  <a:srgbClr val="000000"/>
                </a:solidFill>
                <a:latin typeface="Arial"/>
                <a:ea typeface="Arial"/>
                <a:cs typeface="Arial"/>
              </a:defRPr>
            </a:pPr>
            <a:endParaRPr lang="de-DE"/>
          </a:p>
        </c:txPr>
        <c:crossAx val="70940160"/>
        <c:crosses val="autoZero"/>
        <c:crossBetween val="midCat"/>
        <c:minorUnit val="500"/>
      </c:valAx>
      <c:valAx>
        <c:axId val="70940160"/>
        <c:scaling>
          <c:orientation val="minMax"/>
          <c:max val="7000"/>
          <c:min val="-7000"/>
        </c:scaling>
        <c:delete val="0"/>
        <c:axPos val="l"/>
        <c:majorGridlines>
          <c:spPr>
            <a:ln w="3175">
              <a:solidFill>
                <a:srgbClr val="000000"/>
              </a:solidFill>
              <a:prstDash val="solid"/>
            </a:ln>
          </c:spPr>
        </c:majorGridlines>
        <c:minorGridlines>
          <c:spPr>
            <a:ln w="3175">
              <a:pattFill prst="pct50">
                <a:fgClr>
                  <a:srgbClr val="000000"/>
                </a:fgClr>
                <a:bgClr>
                  <a:srgbClr val="FFFFFF"/>
                </a:bgClr>
              </a:pattFill>
              <a:prstDash val="solid"/>
            </a:ln>
          </c:spPr>
        </c:minorGridlines>
        <c:numFmt formatCode="0" sourceLinked="1"/>
        <c:majorTickMark val="out"/>
        <c:minorTickMark val="none"/>
        <c:tickLblPos val="nextTo"/>
        <c:spPr>
          <a:ln w="3175">
            <a:solidFill>
              <a:srgbClr val="000000"/>
            </a:solidFill>
            <a:prstDash val="solid"/>
          </a:ln>
        </c:spPr>
        <c:txPr>
          <a:bodyPr rot="0" vert="horz"/>
          <a:lstStyle/>
          <a:p>
            <a:pPr>
              <a:defRPr sz="325" b="0" i="0" u="none" strike="noStrike" baseline="0">
                <a:solidFill>
                  <a:srgbClr val="000000"/>
                </a:solidFill>
                <a:latin typeface="Arial"/>
                <a:ea typeface="Arial"/>
                <a:cs typeface="Arial"/>
              </a:defRPr>
            </a:pPr>
            <a:endParaRPr lang="de-DE"/>
          </a:p>
        </c:txPr>
        <c:crossAx val="70938624"/>
        <c:crosses val="autoZero"/>
        <c:crossBetween val="midCat"/>
        <c:minorUnit val="500"/>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de-DE"/>
    </a:p>
  </c:txPr>
  <c:printSettings>
    <c:headerFooter alignWithMargins="0"/>
    <c:pageMargins b="0.98425196899999956" l="0.7500000000000091" r="0.7500000000000091" t="0.98425196899999956" header="0.49212598450000522" footer="0.49212598450000522"/>
    <c:pageSetup paperSize="9"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0909219307227854E-2"/>
          <c:y val="9.6105497752401597E-2"/>
          <c:w val="0.78571428571428559"/>
          <c:h val="0.84848632549005476"/>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xVal>
            <c:numRef>
              <c:f>Reichweite_SCHMAL!$S$37:$S$218</c:f>
              <c:numCache>
                <c:formatCode>0.00</c:formatCode>
                <c:ptCount val="182"/>
                <c:pt idx="0">
                  <c:v>41.1</c:v>
                </c:pt>
                <c:pt idx="1">
                  <c:v>41.1</c:v>
                </c:pt>
                <c:pt idx="2">
                  <c:v>0</c:v>
                </c:pt>
                <c:pt idx="3">
                  <c:v>0.63265203698918604</c:v>
                </c:pt>
                <c:pt idx="4">
                  <c:v>1.2653707285456999</c:v>
                </c:pt>
                <c:pt idx="5">
                  <c:v>1.8983201208775295</c:v>
                </c:pt>
                <c:pt idx="6">
                  <c:v>2.5316655781027557</c:v>
                </c:pt>
                <c:pt idx="7">
                  <c:v>3.1655743839102795</c:v>
                </c:pt>
                <c:pt idx="8">
                  <c:v>3.8002163640280204</c:v>
                </c:pt>
                <c:pt idx="9">
                  <c:v>4.4357645124464327</c:v>
                </c:pt>
                <c:pt idx="10">
                  <c:v>5.072395625225675</c:v>
                </c:pt>
                <c:pt idx="11">
                  <c:v>5.7102909821174626</c:v>
                </c:pt>
                <c:pt idx="12">
                  <c:v>6.349637003123032</c:v>
                </c:pt>
                <c:pt idx="13">
                  <c:v>6.990625991234479</c:v>
                </c:pt>
                <c:pt idx="14">
                  <c:v>7.633456839681493</c:v>
                </c:pt>
                <c:pt idx="15">
                  <c:v>8.2783358305638615</c:v>
                </c:pt>
                <c:pt idx="16">
                  <c:v>8.9254774493105931</c:v>
                </c:pt>
                <c:pt idx="17">
                  <c:v>9.5751052196938762</c:v>
                </c:pt>
                <c:pt idx="18">
                  <c:v>10.227452636232838</c:v>
                </c:pt>
                <c:pt idx="19">
                  <c:v>10.878576256428575</c:v>
                </c:pt>
                <c:pt idx="20">
                  <c:v>11.109088153364109</c:v>
                </c:pt>
                <c:pt idx="21">
                  <c:v>11.33835953259063</c:v>
                </c:pt>
                <c:pt idx="22">
                  <c:v>11.566302013812914</c:v>
                </c:pt>
                <c:pt idx="23">
                  <c:v>11.792831667419783</c:v>
                </c:pt>
                <c:pt idx="24">
                  <c:v>12.017868085659655</c:v>
                </c:pt>
                <c:pt idx="25">
                  <c:v>12.241333766000748</c:v>
                </c:pt>
                <c:pt idx="26">
                  <c:v>12.463153632913311</c:v>
                </c:pt>
                <c:pt idx="27">
                  <c:v>12.683254666193887</c:v>
                </c:pt>
                <c:pt idx="28">
                  <c:v>12.901565615161855</c:v>
                </c:pt>
                <c:pt idx="29">
                  <c:v>13.118016838242999</c:v>
                </c:pt>
                <c:pt idx="30">
                  <c:v>13.332540066796573</c:v>
                </c:pt>
                <c:pt idx="31">
                  <c:v>13.545068351447501</c:v>
                </c:pt>
                <c:pt idx="32">
                  <c:v>13.755535915380706</c:v>
                </c:pt>
                <c:pt idx="33">
                  <c:v>13.963878128787803</c:v>
                </c:pt>
                <c:pt idx="34">
                  <c:v>14.170031393207092</c:v>
                </c:pt>
                <c:pt idx="35">
                  <c:v>14.373933128355977</c:v>
                </c:pt>
                <c:pt idx="36">
                  <c:v>14.575521774634373</c:v>
                </c:pt>
                <c:pt idx="37">
                  <c:v>14.77473666196506</c:v>
                </c:pt>
                <c:pt idx="38">
                  <c:v>14.971518115385374</c:v>
                </c:pt>
                <c:pt idx="39">
                  <c:v>15.165807327138886</c:v>
                </c:pt>
                <c:pt idx="40">
                  <c:v>15.357546463038867</c:v>
                </c:pt>
                <c:pt idx="41">
                  <c:v>15.546678522529247</c:v>
                </c:pt>
                <c:pt idx="42">
                  <c:v>15.733147450086292</c:v>
                </c:pt>
                <c:pt idx="43">
                  <c:v>15.916898087653058</c:v>
                </c:pt>
                <c:pt idx="44">
                  <c:v>16.097876170385241</c:v>
                </c:pt>
                <c:pt idx="45">
                  <c:v>16.276028313375146</c:v>
                </c:pt>
                <c:pt idx="46">
                  <c:v>16.451302058639367</c:v>
                </c:pt>
                <c:pt idx="47">
                  <c:v>16.623645868180031</c:v>
                </c:pt>
                <c:pt idx="48">
                  <c:v>16.793009082750494</c:v>
                </c:pt>
                <c:pt idx="49">
                  <c:v>16.95934201110893</c:v>
                </c:pt>
                <c:pt idx="50">
                  <c:v>17.122595853337085</c:v>
                </c:pt>
                <c:pt idx="51">
                  <c:v>17.282722746644939</c:v>
                </c:pt>
                <c:pt idx="52">
                  <c:v>17.43967578815117</c:v>
                </c:pt>
                <c:pt idx="53">
                  <c:v>17.593408994242481</c:v>
                </c:pt>
                <c:pt idx="54">
                  <c:v>17.743877359317032</c:v>
                </c:pt>
                <c:pt idx="55">
                  <c:v>17.891036848641502</c:v>
                </c:pt>
                <c:pt idx="56">
                  <c:v>18.034844396967497</c:v>
                </c:pt>
                <c:pt idx="57">
                  <c:v>18.175257885122292</c:v>
                </c:pt>
                <c:pt idx="58">
                  <c:v>18.31223622485199</c:v>
                </c:pt>
                <c:pt idx="59">
                  <c:v>18.44573931360457</c:v>
                </c:pt>
                <c:pt idx="60">
                  <c:v>18.575728060318323</c:v>
                </c:pt>
                <c:pt idx="61">
                  <c:v>18.702164357226525</c:v>
                </c:pt>
                <c:pt idx="62">
                  <c:v>18.825011139833833</c:v>
                </c:pt>
                <c:pt idx="63">
                  <c:v>18.944232403165664</c:v>
                </c:pt>
                <c:pt idx="64">
                  <c:v>19.059793095331639</c:v>
                </c:pt>
                <c:pt idx="65">
                  <c:v>19.171659314469348</c:v>
                </c:pt>
                <c:pt idx="66">
                  <c:v>19.279798097938318</c:v>
                </c:pt>
                <c:pt idx="67">
                  <c:v>19.384177669475164</c:v>
                </c:pt>
                <c:pt idx="68">
                  <c:v>19.484767198708681</c:v>
                </c:pt>
                <c:pt idx="69">
                  <c:v>19.58153704013078</c:v>
                </c:pt>
                <c:pt idx="70">
                  <c:v>19.674458511686694</c:v>
                </c:pt>
                <c:pt idx="71">
                  <c:v>19.763504126681411</c:v>
                </c:pt>
                <c:pt idx="72">
                  <c:v>19.848647414779741</c:v>
                </c:pt>
                <c:pt idx="73">
                  <c:v>19.929863048643579</c:v>
                </c:pt>
                <c:pt idx="74">
                  <c:v>20.007126842796271</c:v>
                </c:pt>
                <c:pt idx="75">
                  <c:v>20.080415622204573</c:v>
                </c:pt>
                <c:pt idx="76">
                  <c:v>20.149707415056746</c:v>
                </c:pt>
                <c:pt idx="77">
                  <c:v>20.214981381431716</c:v>
                </c:pt>
                <c:pt idx="78">
                  <c:v>20.276217737044231</c:v>
                </c:pt>
                <c:pt idx="79">
                  <c:v>20.333397893646115</c:v>
                </c:pt>
                <c:pt idx="80">
                  <c:v>20.386504384765665</c:v>
                </c:pt>
                <c:pt idx="81">
                  <c:v>20.435520915380458</c:v>
                </c:pt>
                <c:pt idx="82">
                  <c:v>20.480432319064874</c:v>
                </c:pt>
                <c:pt idx="83">
                  <c:v>20.52122456974439</c:v>
                </c:pt>
                <c:pt idx="84">
                  <c:v>20.557884825833884</c:v>
                </c:pt>
                <c:pt idx="85">
                  <c:v>20.59040140912359</c:v>
                </c:pt>
                <c:pt idx="86">
                  <c:v>20.618763792657838</c:v>
                </c:pt>
                <c:pt idx="87">
                  <c:v>20.642962648426582</c:v>
                </c:pt>
                <c:pt idx="88">
                  <c:v>20.662989781840171</c:v>
                </c:pt>
                <c:pt idx="89">
                  <c:v>20.678838201816607</c:v>
                </c:pt>
                <c:pt idx="90">
                  <c:v>20.690502103503366</c:v>
                </c:pt>
                <c:pt idx="91">
                  <c:v>20.697976863181204</c:v>
                </c:pt>
                <c:pt idx="92">
                  <c:v>20.701258995838884</c:v>
                </c:pt>
                <c:pt idx="93">
                  <c:v>20.697736258662829</c:v>
                </c:pt>
                <c:pt idx="94">
                  <c:v>20.690020789896138</c:v>
                </c:pt>
                <c:pt idx="95">
                  <c:v>20.678115871100907</c:v>
                </c:pt>
                <c:pt idx="96">
                  <c:v>20.662025999462848</c:v>
                </c:pt>
                <c:pt idx="97">
                  <c:v>20.641756806490569</c:v>
                </c:pt>
                <c:pt idx="98">
                  <c:v>20.617315163821193</c:v>
                </c:pt>
                <c:pt idx="99">
                  <c:v>20.588709101950347</c:v>
                </c:pt>
                <c:pt idx="100">
                  <c:v>20.555947791110139</c:v>
                </c:pt>
                <c:pt idx="101">
                  <c:v>20.519041583208828</c:v>
                </c:pt>
                <c:pt idx="102">
                  <c:v>20.478002039351903</c:v>
                </c:pt>
                <c:pt idx="103">
                  <c:v>20.432841819734278</c:v>
                </c:pt>
                <c:pt idx="104">
                  <c:v>20.383574755888741</c:v>
                </c:pt>
                <c:pt idx="105">
                  <c:v>20.330215856873135</c:v>
                </c:pt>
                <c:pt idx="106">
                  <c:v>20.272781274023306</c:v>
                </c:pt>
                <c:pt idx="107">
                  <c:v>20.211288272596008</c:v>
                </c:pt>
                <c:pt idx="108">
                  <c:v>20.145755257000229</c:v>
                </c:pt>
                <c:pt idx="109">
                  <c:v>20.076201774752672</c:v>
                </c:pt>
                <c:pt idx="110">
                  <c:v>20.002648521866242</c:v>
                </c:pt>
                <c:pt idx="111">
                  <c:v>19.925117253254388</c:v>
                </c:pt>
                <c:pt idx="112">
                  <c:v>19.843630858240303</c:v>
                </c:pt>
                <c:pt idx="113">
                  <c:v>19.758213382189318</c:v>
                </c:pt>
                <c:pt idx="114">
                  <c:v>19.668889877856934</c:v>
                </c:pt>
                <c:pt idx="115">
                  <c:v>19.575686551679372</c:v>
                </c:pt>
                <c:pt idx="116">
                  <c:v>19.478630685478841</c:v>
                </c:pt>
                <c:pt idx="117">
                  <c:v>19.377750612730836</c:v>
                </c:pt>
                <c:pt idx="118">
                  <c:v>19.273075765267546</c:v>
                </c:pt>
                <c:pt idx="119">
                  <c:v>19.164636581535635</c:v>
                </c:pt>
                <c:pt idx="120">
                  <c:v>19.052464632412143</c:v>
                </c:pt>
                <c:pt idx="121">
                  <c:v>18.93659244299139</c:v>
                </c:pt>
                <c:pt idx="122">
                  <c:v>18.817053607486571</c:v>
                </c:pt>
                <c:pt idx="123">
                  <c:v>18.693882785513601</c:v>
                </c:pt>
                <c:pt idx="124">
                  <c:v>18.567115579228481</c:v>
                </c:pt>
                <c:pt idx="125">
                  <c:v>18.436788626443978</c:v>
                </c:pt>
                <c:pt idx="126">
                  <c:v>18.302939572787711</c:v>
                </c:pt>
                <c:pt idx="127">
                  <c:v>18.165607022435903</c:v>
                </c:pt>
                <c:pt idx="128">
                  <c:v>18.024830557256678</c:v>
                </c:pt>
                <c:pt idx="129">
                  <c:v>17.880650723890998</c:v>
                </c:pt>
                <c:pt idx="130">
                  <c:v>17.733109013614449</c:v>
                </c:pt>
                <c:pt idx="131">
                  <c:v>17.582247854972813</c:v>
                </c:pt>
                <c:pt idx="132">
                  <c:v>17.42811059569393</c:v>
                </c:pt>
                <c:pt idx="133">
                  <c:v>17.270741487014114</c:v>
                </c:pt>
                <c:pt idx="134">
                  <c:v>17.110185715073122</c:v>
                </c:pt>
                <c:pt idx="135">
                  <c:v>16.946489294222001</c:v>
                </c:pt>
                <c:pt idx="136">
                  <c:v>16.779699139581087</c:v>
                </c:pt>
                <c:pt idx="137">
                  <c:v>16.609863006630821</c:v>
                </c:pt>
                <c:pt idx="138">
                  <c:v>16.4370294856563</c:v>
                </c:pt>
                <c:pt idx="139">
                  <c:v>16.261248000734597</c:v>
                </c:pt>
                <c:pt idx="140">
                  <c:v>16.082568741033818</c:v>
                </c:pt>
                <c:pt idx="141">
                  <c:v>15.901042711785022</c:v>
                </c:pt>
                <c:pt idx="142">
                  <c:v>15.716721678355309</c:v>
                </c:pt>
                <c:pt idx="143">
                  <c:v>15.529658090049576</c:v>
                </c:pt>
                <c:pt idx="144">
                  <c:v>15.339905188366645</c:v>
                </c:pt>
                <c:pt idx="145">
                  <c:v>15.147516838275623</c:v>
                </c:pt>
                <c:pt idx="146">
                  <c:v>14.952547619165296</c:v>
                </c:pt>
                <c:pt idx="147">
                  <c:v>14.755052672719115</c:v>
                </c:pt>
                <c:pt idx="148">
                  <c:v>14.555087819695284</c:v>
                </c:pt>
                <c:pt idx="149">
                  <c:v>14.35270935616813</c:v>
                </c:pt>
                <c:pt idx="150">
                  <c:v>14.147974163594084</c:v>
                </c:pt>
                <c:pt idx="151">
                  <c:v>13.940939545417411</c:v>
                </c:pt>
                <c:pt idx="152">
                  <c:v>13.731663255033322</c:v>
                </c:pt>
                <c:pt idx="153">
                  <c:v>13.520203345939224</c:v>
                </c:pt>
                <c:pt idx="154">
                  <c:v>13.306618200837372</c:v>
                </c:pt>
                <c:pt idx="155">
                  <c:v>13.090966364834307</c:v>
                </c:pt>
                <c:pt idx="156">
                  <c:v>12.873306473634935</c:v>
                </c:pt>
                <c:pt idx="157">
                  <c:v>12.653697115054255</c:v>
                </c:pt>
                <c:pt idx="158">
                  <c:v>12.432196688834281</c:v>
                </c:pt>
                <c:pt idx="159">
                  <c:v>12.208863231091765</c:v>
                </c:pt>
                <c:pt idx="160">
                  <c:v>11.98375412402296</c:v>
                </c:pt>
                <c:pt idx="161">
                  <c:v>11.756925874418533</c:v>
                </c:pt>
                <c:pt idx="162">
                  <c:v>11.528433659408369</c:v>
                </c:pt>
                <c:pt idx="163">
                  <c:v>11.298330893388275</c:v>
                </c:pt>
                <c:pt idx="164">
                  <c:v>11.066668501841306</c:v>
                </c:pt>
                <c:pt idx="165">
                  <c:v>10.488182740594013</c:v>
                </c:pt>
                <c:pt idx="166">
                  <c:v>9.857374015825533</c:v>
                </c:pt>
                <c:pt idx="167">
                  <c:v>9.2292852959053153</c:v>
                </c:pt>
                <c:pt idx="168">
                  <c:v>8.603690360958911</c:v>
                </c:pt>
                <c:pt idx="169">
                  <c:v>7.9803732982954223</c:v>
                </c:pt>
                <c:pt idx="170">
                  <c:v>7.35912761590569</c:v>
                </c:pt>
                <c:pt idx="171">
                  <c:v>6.7397553576618963</c:v>
                </c:pt>
                <c:pt idx="172">
                  <c:v>6.1220663105600348</c:v>
                </c:pt>
                <c:pt idx="173">
                  <c:v>5.5058772456487803</c:v>
                </c:pt>
                <c:pt idx="174">
                  <c:v>4.8910111613584979</c:v>
                </c:pt>
                <c:pt idx="175">
                  <c:v>4.2772966076008601</c:v>
                </c:pt>
                <c:pt idx="176">
                  <c:v>3.664566996210382</c:v>
                </c:pt>
                <c:pt idx="177">
                  <c:v>3.0526599815159874</c:v>
                </c:pt>
                <c:pt idx="178">
                  <c:v>2.4414168087411898</c:v>
                </c:pt>
                <c:pt idx="179">
                  <c:v>1.8306817225865348</c:v>
                </c:pt>
                <c:pt idx="180">
                  <c:v>1.2203013717227738</c:v>
                </c:pt>
                <c:pt idx="181">
                  <c:v>0.61012422441008662</c:v>
                </c:pt>
              </c:numCache>
            </c:numRef>
          </c:xVal>
          <c:yVal>
            <c:numRef>
              <c:f>Reichweite_SCHMAL!$T$37:$T$218</c:f>
              <c:numCache>
                <c:formatCode>0.00</c:formatCode>
                <c:ptCount val="182"/>
                <c:pt idx="0">
                  <c:v>41.1</c:v>
                </c:pt>
                <c:pt idx="1">
                  <c:v>-41.1</c:v>
                </c:pt>
                <c:pt idx="2">
                  <c:v>36.249503162333923</c:v>
                </c:pt>
                <c:pt idx="3">
                  <c:v>36.244610924732264</c:v>
                </c:pt>
                <c:pt idx="4">
                  <c:v>36.235476679422106</c:v>
                </c:pt>
                <c:pt idx="5">
                  <c:v>36.222105703528875</c:v>
                </c:pt>
                <c:pt idx="6">
                  <c:v>36.204504506053176</c:v>
                </c:pt>
                <c:pt idx="7">
                  <c:v>36.182680776376017</c:v>
                </c:pt>
                <c:pt idx="8">
                  <c:v>36.156643492263193</c:v>
                </c:pt>
                <c:pt idx="9">
                  <c:v>36.126402862279569</c:v>
                </c:pt>
                <c:pt idx="10">
                  <c:v>36.091970251684891</c:v>
                </c:pt>
                <c:pt idx="11">
                  <c:v>36.053358337579368</c:v>
                </c:pt>
                <c:pt idx="12">
                  <c:v>36.010580896983534</c:v>
                </c:pt>
                <c:pt idx="13">
                  <c:v>35.963653017351774</c:v>
                </c:pt>
                <c:pt idx="14">
                  <c:v>35.912590887369802</c:v>
                </c:pt>
                <c:pt idx="15">
                  <c:v>35.85741192930945</c:v>
                </c:pt>
                <c:pt idx="16">
                  <c:v>35.798134776399074</c:v>
                </c:pt>
                <c:pt idx="17">
                  <c:v>35.734779167715509</c:v>
                </c:pt>
                <c:pt idx="18">
                  <c:v>35.667366047297179</c:v>
                </c:pt>
                <c:pt idx="19">
                  <c:v>35.5822196337188</c:v>
                </c:pt>
                <c:pt idx="20">
                  <c:v>34.190257722637355</c:v>
                </c:pt>
                <c:pt idx="21">
                  <c:v>32.928987089549061</c:v>
                </c:pt>
                <c:pt idx="22">
                  <c:v>31.778153609543509</c:v>
                </c:pt>
                <c:pt idx="23">
                  <c:v>30.721376818570047</c:v>
                </c:pt>
                <c:pt idx="24">
                  <c:v>29.745267304907479</c:v>
                </c:pt>
                <c:pt idx="25">
                  <c:v>28.838775113471051</c:v>
                </c:pt>
                <c:pt idx="26">
                  <c:v>27.992701378341224</c:v>
                </c:pt>
                <c:pt idx="27">
                  <c:v>27.199327406237941</c:v>
                </c:pt>
                <c:pt idx="28">
                  <c:v>26.45212954315371</c:v>
                </c:pt>
                <c:pt idx="29">
                  <c:v>25.745557658129172</c:v>
                </c:pt>
                <c:pt idx="30">
                  <c:v>25.074860953914669</c:v>
                </c:pt>
                <c:pt idx="31">
                  <c:v>24.435950154426866</c:v>
                </c:pt>
                <c:pt idx="32">
                  <c:v>23.825287090777852</c:v>
                </c:pt>
                <c:pt idx="33">
                  <c:v>23.239795863784686</c:v>
                </c:pt>
                <c:pt idx="34">
                  <c:v>22.676790516144969</c:v>
                </c:pt>
                <c:pt idx="35">
                  <c:v>22.13391601656911</c:v>
                </c:pt>
                <c:pt idx="36">
                  <c:v>21.609099678780467</c:v>
                </c:pt>
                <c:pt idx="37">
                  <c:v>21.100510713925043</c:v>
                </c:pt>
                <c:pt idx="38">
                  <c:v>20.606526856023084</c:v>
                </c:pt>
                <c:pt idx="39">
                  <c:v>20.125706079172531</c:v>
                </c:pt>
                <c:pt idx="40">
                  <c:v>19.656763086383009</c:v>
                </c:pt>
                <c:pt idx="41">
                  <c:v>19.198549101035923</c:v>
                </c:pt>
                <c:pt idx="42">
                  <c:v>18.750034996454772</c:v>
                </c:pt>
                <c:pt idx="43">
                  <c:v>18.310296700992581</c:v>
                </c:pt>
                <c:pt idx="44">
                  <c:v>17.878502737000488</c:v>
                </c:pt>
                <c:pt idx="45">
                  <c:v>17.453903486739314</c:v>
                </c:pt>
                <c:pt idx="46">
                  <c:v>17.035821983046269</c:v>
                </c:pt>
                <c:pt idx="47">
                  <c:v>16.623645868180034</c:v>
                </c:pt>
                <c:pt idx="48">
                  <c:v>16.216820366445393</c:v>
                </c:pt>
                <c:pt idx="49">
                  <c:v>15.814842276327308</c:v>
                </c:pt>
                <c:pt idx="50">
                  <c:v>15.417254555222135</c:v>
                </c:pt>
                <c:pt idx="51">
                  <c:v>15.023641677013277</c:v>
                </c:pt>
                <c:pt idx="52">
                  <c:v>14.633625521688989</c:v>
                </c:pt>
                <c:pt idx="53">
                  <c:v>14.24686169300699</c:v>
                </c:pt>
                <c:pt idx="54">
                  <c:v>13.863036339332366</c:v>
                </c:pt>
                <c:pt idx="55">
                  <c:v>13.481863277832137</c:v>
                </c:pt>
                <c:pt idx="56">
                  <c:v>13.103081440356084</c:v>
                </c:pt>
                <c:pt idx="57">
                  <c:v>12.726452580068097</c:v>
                </c:pt>
                <c:pt idx="58">
                  <c:v>12.351759296093071</c:v>
                </c:pt>
                <c:pt idx="59">
                  <c:v>11.978803172396645</c:v>
                </c:pt>
                <c:pt idx="60">
                  <c:v>11.607403154295019</c:v>
                </c:pt>
                <c:pt idx="61">
                  <c:v>11.237394052838305</c:v>
                </c:pt>
                <c:pt idx="62">
                  <c:v>10.86862524908077</c:v>
                </c:pt>
                <c:pt idx="63">
                  <c:v>10.500959493899572</c:v>
                </c:pt>
                <c:pt idx="64">
                  <c:v>10.134271754304164</c:v>
                </c:pt>
                <c:pt idx="65">
                  <c:v>9.7684483297590479</c:v>
                </c:pt>
                <c:pt idx="66">
                  <c:v>9.4033858333346281</c:v>
                </c:pt>
                <c:pt idx="67">
                  <c:v>9.0389904943133814</c:v>
                </c:pt>
                <c:pt idx="68">
                  <c:v>8.675177283423956</c:v>
                </c:pt>
                <c:pt idx="69">
                  <c:v>8.31186933621108</c:v>
                </c:pt>
                <c:pt idx="70">
                  <c:v>7.9489972178271495</c:v>
                </c:pt>
                <c:pt idx="71">
                  <c:v>7.5864984405070208</c:v>
                </c:pt>
                <c:pt idx="72">
                  <c:v>7.2243168494246364</c:v>
                </c:pt>
                <c:pt idx="73">
                  <c:v>6.8624021767293382</c:v>
                </c:pt>
                <c:pt idx="74">
                  <c:v>6.5007095762545921</c:v>
                </c:pt>
                <c:pt idx="75">
                  <c:v>6.1391991521497351</c:v>
                </c:pt>
                <c:pt idx="76">
                  <c:v>5.7778356256575583</c:v>
                </c:pt>
                <c:pt idx="77">
                  <c:v>5.4165879361648086</c:v>
                </c:pt>
                <c:pt idx="78">
                  <c:v>5.0554288735907136</c:v>
                </c:pt>
                <c:pt idx="79">
                  <c:v>4.6943347911424125</c:v>
                </c:pt>
                <c:pt idx="80">
                  <c:v>4.3332852764966221</c:v>
                </c:pt>
                <c:pt idx="81">
                  <c:v>3.9722628729219669</c:v>
                </c:pt>
                <c:pt idx="82">
                  <c:v>3.6112527944247761</c:v>
                </c:pt>
                <c:pt idx="83">
                  <c:v>3.2502426682530894</c:v>
                </c:pt>
                <c:pt idx="84">
                  <c:v>2.8892222931383218</c:v>
                </c:pt>
                <c:pt idx="85">
                  <c:v>2.5281833958337883</c:v>
                </c:pt>
                <c:pt idx="86">
                  <c:v>2.1671194005509204</c:v>
                </c:pt>
                <c:pt idx="87">
                  <c:v>1.8060252133264096</c:v>
                </c:pt>
                <c:pt idx="88">
                  <c:v>1.4448970006654136</c:v>
                </c:pt>
                <c:pt idx="89">
                  <c:v>1.0837319883105283</c:v>
                </c:pt>
                <c:pt idx="90">
                  <c:v>0.72252825462496473</c:v>
                </c:pt>
                <c:pt idx="91">
                  <c:v>0.36128453002957506</c:v>
                </c:pt>
                <c:pt idx="92">
                  <c:v>1.2681057736707589E-15</c:v>
                </c:pt>
                <c:pt idx="93">
                  <c:v>-0.36128033026208223</c:v>
                </c:pt>
                <c:pt idx="94">
                  <c:v>-0.72251144678343104</c:v>
                </c:pt>
                <c:pt idx="95">
                  <c:v>-1.0836941325618079</c:v>
                </c:pt>
                <c:pt idx="96">
                  <c:v>-1.4448296064363619</c:v>
                </c:pt>
                <c:pt idx="97">
                  <c:v>-1.8059197158270064</c:v>
                </c:pt>
                <c:pt idx="98">
                  <c:v>-2.1669671435248632</c:v>
                </c:pt>
                <c:pt idx="99">
                  <c:v>-2.5279756066406058</c:v>
                </c:pt>
                <c:pt idx="100">
                  <c:v>-2.8889500606613967</c:v>
                </c:pt>
                <c:pt idx="101">
                  <c:v>-3.2498969171524164</c:v>
                </c:pt>
                <c:pt idx="102">
                  <c:v>-3.6108242705407085</c:v>
                </c:pt>
                <c:pt idx="103">
                  <c:v>-3.9717421094820509</c:v>
                </c:pt>
                <c:pt idx="104">
                  <c:v>-4.3326625646555712</c:v>
                </c:pt>
                <c:pt idx="105">
                  <c:v>-4.6936001600685406</c:v>
                </c:pt>
                <c:pt idx="106">
                  <c:v>-5.0545720671288636</c:v>
                </c:pt>
                <c:pt idx="107">
                  <c:v>-5.415598370634723</c:v>
                </c:pt>
                <c:pt idx="108">
                  <c:v>-5.7767023625710605</c:v>
                </c:pt>
                <c:pt idx="109">
                  <c:v>-6.1379108496966994</c:v>
                </c:pt>
                <c:pt idx="110">
                  <c:v>-6.4992544815783697</c:v>
                </c:pt>
                <c:pt idx="111">
                  <c:v>-6.860768068329814</c:v>
                </c:pt>
                <c:pt idx="112">
                  <c:v>-7.2224909721657644</c:v>
                </c:pt>
                <c:pt idx="113">
                  <c:v>-7.5844675139779421</c:v>
                </c:pt>
                <c:pt idx="114">
                  <c:v>-7.9467473437178562</c:v>
                </c:pt>
                <c:pt idx="115">
                  <c:v>-8.3093859512009338</c:v>
                </c:pt>
                <c:pt idx="116">
                  <c:v>-8.6724451317062563</c:v>
                </c:pt>
                <c:pt idx="117">
                  <c:v>-9.0359935085341014</c:v>
                </c:pt>
                <c:pt idx="118">
                  <c:v>-9.4001071326199135</c:v>
                </c:pt>
                <c:pt idx="119">
                  <c:v>-9.7648700686043153</c:v>
                </c:pt>
                <c:pt idx="120">
                  <c:v>-10.130375141450289</c:v>
                </c:pt>
                <c:pt idx="121">
                  <c:v>-10.496724594822229</c:v>
                </c:pt>
                <c:pt idx="122">
                  <c:v>-10.864030965637985</c:v>
                </c:pt>
                <c:pt idx="123">
                  <c:v>-11.232417982532359</c:v>
                </c:pt>
                <c:pt idx="124">
                  <c:v>-11.602021478818074</c:v>
                </c:pt>
                <c:pt idx="125">
                  <c:v>-11.972990528190222</c:v>
                </c:pt>
                <c:pt idx="126">
                  <c:v>-12.345488625097593</c:v>
                </c:pt>
                <c:pt idx="127">
                  <c:v>-12.719694973264863</c:v>
                </c:pt>
                <c:pt idx="128">
                  <c:v>-13.095805959937543</c:v>
                </c:pt>
                <c:pt idx="129">
                  <c:v>-13.474036771461524</c:v>
                </c:pt>
                <c:pt idx="130">
                  <c:v>-13.854623185613683</c:v>
                </c:pt>
                <c:pt idx="131">
                  <c:v>-14.237823580634142</c:v>
                </c:pt>
                <c:pt idx="132">
                  <c:v>-14.623921172963623</c:v>
                </c:pt>
                <c:pt idx="133">
                  <c:v>-15.013226526913861</c:v>
                </c:pt>
                <c:pt idx="134">
                  <c:v>-15.40608041653897</c:v>
                </c:pt>
                <c:pt idx="135">
                  <c:v>-15.802856923932387</c:v>
                </c:pt>
                <c:pt idx="136">
                  <c:v>-16.203967103733376</c:v>
                </c:pt>
                <c:pt idx="137">
                  <c:v>-16.609863006630817</c:v>
                </c:pt>
                <c:pt idx="138">
                  <c:v>-17.021042301066519</c:v>
                </c:pt>
                <c:pt idx="139">
                  <c:v>-17.438053541939205</c:v>
                </c:pt>
                <c:pt idx="140">
                  <c:v>-17.861502114392927</c:v>
                </c:pt>
                <c:pt idx="141">
                  <c:v>-18.292057177509381</c:v>
                </c:pt>
                <c:pt idx="142">
                  <c:v>-18.730459523983235</c:v>
                </c:pt>
                <c:pt idx="143">
                  <c:v>-19.177530617363782</c:v>
                </c:pt>
                <c:pt idx="144">
                  <c:v>-19.634183284485076</c:v>
                </c:pt>
                <c:pt idx="145">
                  <c:v>-20.101433780641639</c:v>
                </c:pt>
                <c:pt idx="146">
                  <c:v>-20.580416208003395</c:v>
                </c:pt>
                <c:pt idx="147">
                  <c:v>-21.072399063918724</c:v>
                </c:pt>
                <c:pt idx="148">
                  <c:v>-21.578805094755424</c:v>
                </c:pt>
                <c:pt idx="149">
                  <c:v>-22.101234273377052</c:v>
                </c:pt>
                <c:pt idx="150">
                  <c:v>-22.641491569980285</c:v>
                </c:pt>
                <c:pt idx="151">
                  <c:v>-23.201619650127142</c:v>
                </c:pt>
                <c:pt idx="152">
                  <c:v>-23.783938430144349</c:v>
                </c:pt>
                <c:pt idx="153">
                  <c:v>-24.391092497054842</c:v>
                </c:pt>
                <c:pt idx="154">
                  <c:v>-25.026109014574043</c:v>
                </c:pt>
                <c:pt idx="155">
                  <c:v>-25.692468114838377</c:v>
                </c:pt>
                <c:pt idx="156">
                  <c:v>-26.394189716721339</c:v>
                </c:pt>
                <c:pt idx="157">
                  <c:v>-27.135941033265681</c:v>
                </c:pt>
                <c:pt idx="158">
                  <c:v>-27.923170943532007</c:v>
                </c:pt>
                <c:pt idx="159">
                  <c:v>-28.762279326986164</c:v>
                </c:pt>
                <c:pt idx="160">
                  <c:v>-29.660832286942529</c:v>
                </c:pt>
                <c:pt idx="161">
                  <c:v>-30.627839029863338</c:v>
                </c:pt>
                <c:pt idx="162">
                  <c:v>-31.674111160905099</c:v>
                </c:pt>
                <c:pt idx="163">
                  <c:v>-32.812735480159034</c:v>
                </c:pt>
                <c:pt idx="164">
                  <c:v>-34.059703459492901</c:v>
                </c:pt>
                <c:pt idx="165">
                  <c:v>-34.305299980212119</c:v>
                </c:pt>
                <c:pt idx="166">
                  <c:v>-34.376748521132022</c:v>
                </c:pt>
                <c:pt idx="167">
                  <c:v>-34.444161641866962</c:v>
                </c:pt>
                <c:pt idx="168">
                  <c:v>-34.50751725778013</c:v>
                </c:pt>
                <c:pt idx="169">
                  <c:v>-34.566794409348063</c:v>
                </c:pt>
                <c:pt idx="170">
                  <c:v>-34.621973361284311</c:v>
                </c:pt>
                <c:pt idx="171">
                  <c:v>-34.673035491916899</c:v>
                </c:pt>
                <c:pt idx="172">
                  <c:v>-34.7199633655732</c:v>
                </c:pt>
                <c:pt idx="173">
                  <c:v>-34.762740799329819</c:v>
                </c:pt>
                <c:pt idx="174">
                  <c:v>-34.801352729373512</c:v>
                </c:pt>
                <c:pt idx="175">
                  <c:v>-34.83578534750189</c:v>
                </c:pt>
                <c:pt idx="176">
                  <c:v>-34.866025968861202</c:v>
                </c:pt>
                <c:pt idx="177">
                  <c:v>-34.892063251274202</c:v>
                </c:pt>
                <c:pt idx="178">
                  <c:v>-34.913886975334336</c:v>
                </c:pt>
                <c:pt idx="179">
                  <c:v>-34.931488180399427</c:v>
                </c:pt>
                <c:pt idx="180">
                  <c:v>-34.944859162142521</c:v>
                </c:pt>
                <c:pt idx="181">
                  <c:v>-34.953993406450863</c:v>
                </c:pt>
              </c:numCache>
            </c:numRef>
          </c:yVal>
          <c:smooth val="0"/>
          <c:extLst>
            <c:ext xmlns:c16="http://schemas.microsoft.com/office/drawing/2014/chart" uri="{C3380CC4-5D6E-409C-BE32-E72D297353CC}">
              <c16:uniqueId val="{00000000-EFA7-418D-BE37-0D2737FEEACF}"/>
            </c:ext>
          </c:extLst>
        </c:ser>
        <c:dLbls>
          <c:showLegendKey val="0"/>
          <c:showVal val="0"/>
          <c:showCatName val="0"/>
          <c:showSerName val="0"/>
          <c:showPercent val="0"/>
          <c:showBubbleSize val="0"/>
        </c:dLbls>
        <c:axId val="70957312"/>
        <c:axId val="70963584"/>
      </c:scatterChart>
      <c:valAx>
        <c:axId val="70957312"/>
        <c:scaling>
          <c:orientation val="minMax"/>
          <c:min val="0"/>
        </c:scaling>
        <c:delete val="0"/>
        <c:axPos val="b"/>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70963584"/>
        <c:crossesAt val="-11000"/>
        <c:crossBetween val="midCat"/>
        <c:majorUnit val="5"/>
        <c:minorUnit val="1"/>
      </c:valAx>
      <c:valAx>
        <c:axId val="70963584"/>
        <c:scaling>
          <c:orientation val="minMax"/>
        </c:scaling>
        <c:delete val="0"/>
        <c:axPos val="r"/>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70957312"/>
        <c:crosses val="max"/>
        <c:crossBetween val="midCat"/>
        <c:majorUnit val="5"/>
        <c:minorUnit val="1"/>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56" l="0.7500000000000091" r="0.7500000000000091" t="0.98425196899999956" header="0.49212598450000522" footer="0.49212598450000522"/>
    <c:pageSetup paperSize="9"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97106109324758"/>
          <c:y val="8.797127468581685E-2"/>
          <c:w val="0.78135048231511262"/>
          <c:h val="0.85457809694793541"/>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xVal>
            <c:numRef>
              <c:f>Reichweite_SCHMAL!$S$219:$S$400</c:f>
              <c:numCache>
                <c:formatCode>0.00</c:formatCode>
                <c:ptCount val="182"/>
                <c:pt idx="0">
                  <c:v>-41.1</c:v>
                </c:pt>
                <c:pt idx="1">
                  <c:v>-41.1</c:v>
                </c:pt>
                <c:pt idx="2">
                  <c:v>4.2829824752086943E-15</c:v>
                </c:pt>
                <c:pt idx="3">
                  <c:v>-0.61012422441009351</c:v>
                </c:pt>
                <c:pt idx="4">
                  <c:v>-1.2203013717227653</c:v>
                </c:pt>
                <c:pt idx="5">
                  <c:v>-1.830681722586526</c:v>
                </c:pt>
                <c:pt idx="6">
                  <c:v>-2.4414168087411809</c:v>
                </c:pt>
                <c:pt idx="7">
                  <c:v>-3.0526599815159789</c:v>
                </c:pt>
                <c:pt idx="8">
                  <c:v>-3.6645669962103735</c:v>
                </c:pt>
                <c:pt idx="9">
                  <c:v>-4.2772966076008521</c:v>
                </c:pt>
                <c:pt idx="10">
                  <c:v>-4.891011161358505</c:v>
                </c:pt>
                <c:pt idx="11">
                  <c:v>-5.5058772456487723</c:v>
                </c:pt>
                <c:pt idx="12">
                  <c:v>-6.122066310560041</c:v>
                </c:pt>
                <c:pt idx="13">
                  <c:v>-6.7397553576618874</c:v>
                </c:pt>
                <c:pt idx="14">
                  <c:v>-7.3591276159056971</c:v>
                </c:pt>
                <c:pt idx="15">
                  <c:v>-7.9803732982954143</c:v>
                </c:pt>
                <c:pt idx="16">
                  <c:v>-8.6036903609589039</c:v>
                </c:pt>
                <c:pt idx="17">
                  <c:v>-9.2292852959053082</c:v>
                </c:pt>
                <c:pt idx="18">
                  <c:v>-9.8573740158255259</c:v>
                </c:pt>
                <c:pt idx="19">
                  <c:v>-10.48818274059402</c:v>
                </c:pt>
                <c:pt idx="20">
                  <c:v>-11.121948964991887</c:v>
                </c:pt>
                <c:pt idx="21">
                  <c:v>-11.578285876730645</c:v>
                </c:pt>
                <c:pt idx="22">
                  <c:v>-11.809228273901274</c:v>
                </c:pt>
                <c:pt idx="23">
                  <c:v>-12.038483870030861</c:v>
                </c:pt>
                <c:pt idx="24">
                  <c:v>-12.266009600039533</c:v>
                </c:pt>
                <c:pt idx="25">
                  <c:v>-12.491758842027977</c:v>
                </c:pt>
                <c:pt idx="26">
                  <c:v>-12.715682231599073</c:v>
                </c:pt>
                <c:pt idx="27">
                  <c:v>-12.937728377893928</c:v>
                </c:pt>
                <c:pt idx="28">
                  <c:v>-13.157844344107998</c:v>
                </c:pt>
                <c:pt idx="29">
                  <c:v>-13.375976065890242</c:v>
                </c:pt>
                <c:pt idx="30">
                  <c:v>-13.592068666776195</c:v>
                </c:pt>
                <c:pt idx="31">
                  <c:v>-13.806066739904027</c:v>
                </c:pt>
                <c:pt idx="32">
                  <c:v>-14.017914504057538</c:v>
                </c:pt>
                <c:pt idx="33">
                  <c:v>-14.227556039903259</c:v>
                </c:pt>
                <c:pt idx="34">
                  <c:v>-14.434935393762844</c:v>
                </c:pt>
                <c:pt idx="35">
                  <c:v>-14.639996696173281</c:v>
                </c:pt>
                <c:pt idx="36">
                  <c:v>-14.842684276993614</c:v>
                </c:pt>
                <c:pt idx="37">
                  <c:v>-15.042942768286421</c:v>
                </c:pt>
                <c:pt idx="38">
                  <c:v>-15.240717129379478</c:v>
                </c:pt>
                <c:pt idx="39">
                  <c:v>-15.435952738920056</c:v>
                </c:pt>
                <c:pt idx="40">
                  <c:v>-15.628595469502748</c:v>
                </c:pt>
                <c:pt idx="41">
                  <c:v>-15.818591700004863</c:v>
                </c:pt>
                <c:pt idx="42">
                  <c:v>-16.005888382824487</c:v>
                </c:pt>
                <c:pt idx="43">
                  <c:v>-16.190433090838361</c:v>
                </c:pt>
                <c:pt idx="44">
                  <c:v>-16.372174022242142</c:v>
                </c:pt>
                <c:pt idx="45">
                  <c:v>-16.551060038532899</c:v>
                </c:pt>
                <c:pt idx="46">
                  <c:v>-16.727040745201531</c:v>
                </c:pt>
                <c:pt idx="47">
                  <c:v>-16.900066448413281</c:v>
                </c:pt>
                <c:pt idx="48">
                  <c:v>-17.070088198987488</c:v>
                </c:pt>
                <c:pt idx="49">
                  <c:v>-17.237057850440266</c:v>
                </c:pt>
                <c:pt idx="50">
                  <c:v>-17.400928045005212</c:v>
                </c:pt>
                <c:pt idx="51">
                  <c:v>-17.561652259284834</c:v>
                </c:pt>
                <c:pt idx="52">
                  <c:v>-17.719184777260011</c:v>
                </c:pt>
                <c:pt idx="53">
                  <c:v>-17.873480760297497</c:v>
                </c:pt>
                <c:pt idx="54">
                  <c:v>-18.024496240540689</c:v>
                </c:pt>
                <c:pt idx="55">
                  <c:v>-18.172188154477443</c:v>
                </c:pt>
                <c:pt idx="56">
                  <c:v>-18.316514297939854</c:v>
                </c:pt>
                <c:pt idx="57">
                  <c:v>-18.457433433618796</c:v>
                </c:pt>
                <c:pt idx="58">
                  <c:v>-18.594905241991746</c:v>
                </c:pt>
                <c:pt idx="59">
                  <c:v>-18.728890315613331</c:v>
                </c:pt>
                <c:pt idx="60">
                  <c:v>-18.859350244269251</c:v>
                </c:pt>
                <c:pt idx="61">
                  <c:v>-18.986247603308701</c:v>
                </c:pt>
                <c:pt idx="62">
                  <c:v>-19.109545875871259</c:v>
                </c:pt>
                <c:pt idx="63">
                  <c:v>-19.229209625344303</c:v>
                </c:pt>
                <c:pt idx="64">
                  <c:v>-19.345204353377973</c:v>
                </c:pt>
                <c:pt idx="65">
                  <c:v>-19.457496633964869</c:v>
                </c:pt>
                <c:pt idx="66">
                  <c:v>-19.566054013476208</c:v>
                </c:pt>
                <c:pt idx="67">
                  <c:v>-19.670845078101316</c:v>
                </c:pt>
                <c:pt idx="68">
                  <c:v>-19.771839501704832</c:v>
                </c:pt>
                <c:pt idx="69">
                  <c:v>-19.86900798758586</c:v>
                </c:pt>
                <c:pt idx="70">
                  <c:v>-19.962322243582332</c:v>
                </c:pt>
                <c:pt idx="71">
                  <c:v>-20.051755161470922</c:v>
                </c:pt>
                <c:pt idx="72">
                  <c:v>-20.137280628547661</c:v>
                </c:pt>
                <c:pt idx="73">
                  <c:v>-20.218873619551964</c:v>
                </c:pt>
                <c:pt idx="74">
                  <c:v>-20.296510253437347</c:v>
                </c:pt>
                <c:pt idx="75">
                  <c:v>-20.370167697022374</c:v>
                </c:pt>
                <c:pt idx="76">
                  <c:v>-20.439824248782461</c:v>
                </c:pt>
                <c:pt idx="77">
                  <c:v>-20.505459347124063</c:v>
                </c:pt>
                <c:pt idx="78">
                  <c:v>-20.567053478414124</c:v>
                </c:pt>
                <c:pt idx="79">
                  <c:v>-20.624588324684893</c:v>
                </c:pt>
                <c:pt idx="80">
                  <c:v>-20.67804667164312</c:v>
                </c:pt>
                <c:pt idx="81">
                  <c:v>-20.727412463987378</c:v>
                </c:pt>
                <c:pt idx="82">
                  <c:v>-20.772670767682996</c:v>
                </c:pt>
                <c:pt idx="83">
                  <c:v>-20.813807810982993</c:v>
                </c:pt>
                <c:pt idx="84">
                  <c:v>-20.850810983494959</c:v>
                </c:pt>
                <c:pt idx="85">
                  <c:v>-20.883668793444787</c:v>
                </c:pt>
                <c:pt idx="86">
                  <c:v>-20.912370957383548</c:v>
                </c:pt>
                <c:pt idx="87">
                  <c:v>-20.936908326479642</c:v>
                </c:pt>
                <c:pt idx="88">
                  <c:v>-20.95727297181827</c:v>
                </c:pt>
                <c:pt idx="89">
                  <c:v>-20.973458106783134</c:v>
                </c:pt>
                <c:pt idx="90">
                  <c:v>-20.985458095186988</c:v>
                </c:pt>
                <c:pt idx="91">
                  <c:v>-20.993268546335095</c:v>
                </c:pt>
                <c:pt idx="92">
                  <c:v>-20.996886197698529</c:v>
                </c:pt>
                <c:pt idx="93">
                  <c:v>-20.993698967743118</c:v>
                </c:pt>
                <c:pt idx="94">
                  <c:v>-20.986319218515483</c:v>
                </c:pt>
                <c:pt idx="95">
                  <c:v>-20.974750441325575</c:v>
                </c:pt>
                <c:pt idx="96">
                  <c:v>-20.958997326893911</c:v>
                </c:pt>
                <c:pt idx="97">
                  <c:v>-20.939065731201101</c:v>
                </c:pt>
                <c:pt idx="98">
                  <c:v>-20.914962752988465</c:v>
                </c:pt>
                <c:pt idx="99">
                  <c:v>-20.886696574237266</c:v>
                </c:pt>
                <c:pt idx="100">
                  <c:v>-20.854276610572683</c:v>
                </c:pt>
                <c:pt idx="101">
                  <c:v>-20.817713473163781</c:v>
                </c:pt>
                <c:pt idx="102">
                  <c:v>-20.777018867325911</c:v>
                </c:pt>
                <c:pt idx="103">
                  <c:v>-20.732205747467546</c:v>
                </c:pt>
                <c:pt idx="104">
                  <c:v>-20.683288184469276</c:v>
                </c:pt>
                <c:pt idx="105">
                  <c:v>-20.630281364904498</c:v>
                </c:pt>
                <c:pt idx="106">
                  <c:v>-20.57320171806299</c:v>
                </c:pt>
                <c:pt idx="107">
                  <c:v>-20.512066779565163</c:v>
                </c:pt>
                <c:pt idx="108">
                  <c:v>-20.446895206251885</c:v>
                </c:pt>
                <c:pt idx="109">
                  <c:v>-20.377706816890655</c:v>
                </c:pt>
                <c:pt idx="110">
                  <c:v>-20.304522560835252</c:v>
                </c:pt>
                <c:pt idx="111">
                  <c:v>-20.227364509741296</c:v>
                </c:pt>
                <c:pt idx="112">
                  <c:v>-20.146255892837253</c:v>
                </c:pt>
                <c:pt idx="113">
                  <c:v>-20.06122098484818</c:v>
                </c:pt>
                <c:pt idx="114">
                  <c:v>-19.972285267374328</c:v>
                </c:pt>
                <c:pt idx="115">
                  <c:v>-19.879475227107591</c:v>
                </c:pt>
                <c:pt idx="116">
                  <c:v>-19.782818535347676</c:v>
                </c:pt>
                <c:pt idx="117">
                  <c:v>-19.68234390656141</c:v>
                </c:pt>
                <c:pt idx="118">
                  <c:v>-19.578081164968829</c:v>
                </c:pt>
                <c:pt idx="119">
                  <c:v>-19.470061191474645</c:v>
                </c:pt>
                <c:pt idx="120">
                  <c:v>-19.358315950950114</c:v>
                </c:pt>
                <c:pt idx="121">
                  <c:v>-19.242878501638405</c:v>
                </c:pt>
                <c:pt idx="122">
                  <c:v>-19.12378293758098</c:v>
                </c:pt>
                <c:pt idx="123">
                  <c:v>-19.001064410933829</c:v>
                </c:pt>
                <c:pt idx="124">
                  <c:v>-18.874759114307746</c:v>
                </c:pt>
                <c:pt idx="125">
                  <c:v>-18.744904258144661</c:v>
                </c:pt>
                <c:pt idx="126">
                  <c:v>-18.611538156950072</c:v>
                </c:pt>
                <c:pt idx="127">
                  <c:v>-18.474700075811356</c:v>
                </c:pt>
                <c:pt idx="128">
                  <c:v>-18.334430347875294</c:v>
                </c:pt>
                <c:pt idx="129">
                  <c:v>-18.190770285544225</c:v>
                </c:pt>
                <c:pt idx="130">
                  <c:v>-18.043762219376905</c:v>
                </c:pt>
                <c:pt idx="131">
                  <c:v>-17.893449496867547</c:v>
                </c:pt>
                <c:pt idx="132">
                  <c:v>-17.739876420766958</c:v>
                </c:pt>
                <c:pt idx="133">
                  <c:v>-17.583088294390155</c:v>
                </c:pt>
                <c:pt idx="134">
                  <c:v>-17.423131420680757</c:v>
                </c:pt>
                <c:pt idx="135">
                  <c:v>-17.260053078169118</c:v>
                </c:pt>
                <c:pt idx="136">
                  <c:v>-17.093901470728792</c:v>
                </c:pt>
                <c:pt idx="137">
                  <c:v>-16.924725818311483</c:v>
                </c:pt>
                <c:pt idx="138">
                  <c:v>-16.752576273359274</c:v>
                </c:pt>
                <c:pt idx="139">
                  <c:v>-16.577503992920967</c:v>
                </c:pt>
                <c:pt idx="140">
                  <c:v>-16.399561037436055</c:v>
                </c:pt>
                <c:pt idx="141">
                  <c:v>-16.218800487905096</c:v>
                </c:pt>
                <c:pt idx="142">
                  <c:v>-16.035276310716764</c:v>
                </c:pt>
                <c:pt idx="143">
                  <c:v>-15.849043525049746</c:v>
                </c:pt>
                <c:pt idx="144">
                  <c:v>-15.660158083791311</c:v>
                </c:pt>
                <c:pt idx="145">
                  <c:v>-15.468676905660688</c:v>
                </c:pt>
                <c:pt idx="146">
                  <c:v>-15.274657931621078</c:v>
                </c:pt>
                <c:pt idx="147">
                  <c:v>-15.078160108735544</c:v>
                </c:pt>
                <c:pt idx="148">
                  <c:v>-14.879243430938768</c:v>
                </c:pt>
                <c:pt idx="149">
                  <c:v>-14.67796894873001</c:v>
                </c:pt>
                <c:pt idx="150">
                  <c:v>-14.474398812713753</c:v>
                </c:pt>
                <c:pt idx="151">
                  <c:v>-14.268596343036149</c:v>
                </c:pt>
                <c:pt idx="152">
                  <c:v>-14.060626039033016</c:v>
                </c:pt>
                <c:pt idx="153">
                  <c:v>-13.85055372011165</c:v>
                </c:pt>
                <c:pt idx="154">
                  <c:v>-13.638446563145159</c:v>
                </c:pt>
                <c:pt idx="155">
                  <c:v>-13.424373218328444</c:v>
                </c:pt>
                <c:pt idx="156">
                  <c:v>-13.208404032287801</c:v>
                </c:pt>
                <c:pt idx="157">
                  <c:v>-12.990611144160606</c:v>
                </c:pt>
                <c:pt idx="158">
                  <c:v>-12.771068763807158</c:v>
                </c:pt>
                <c:pt idx="159">
                  <c:v>-12.549853480598582</c:v>
                </c:pt>
                <c:pt idx="160">
                  <c:v>-12.327044637513804</c:v>
                </c:pt>
                <c:pt idx="161">
                  <c:v>-12.102724851408048</c:v>
                </c:pt>
                <c:pt idx="162">
                  <c:v>-11.876980688031827</c:v>
                </c:pt>
                <c:pt idx="163">
                  <c:v>-11.649903511211184</c:v>
                </c:pt>
                <c:pt idx="164">
                  <c:v>-11.421590698650688</c:v>
                </c:pt>
                <c:pt idx="165">
                  <c:v>-10.8827641137483</c:v>
                </c:pt>
                <c:pt idx="166">
                  <c:v>-10.22745263623283</c:v>
                </c:pt>
                <c:pt idx="167">
                  <c:v>-9.5751052196938744</c:v>
                </c:pt>
                <c:pt idx="168">
                  <c:v>-8.9254774493105984</c:v>
                </c:pt>
                <c:pt idx="169">
                  <c:v>-8.2783358305638739</c:v>
                </c:pt>
                <c:pt idx="170">
                  <c:v>-7.6334568396815126</c:v>
                </c:pt>
                <c:pt idx="171">
                  <c:v>-6.9906259912344746</c:v>
                </c:pt>
                <c:pt idx="172">
                  <c:v>-6.3496370031230347</c:v>
                </c:pt>
                <c:pt idx="173">
                  <c:v>-5.7102909821174714</c:v>
                </c:pt>
                <c:pt idx="174">
                  <c:v>-5.072395625225691</c:v>
                </c:pt>
                <c:pt idx="175">
                  <c:v>-4.4357645124464238</c:v>
                </c:pt>
                <c:pt idx="176">
                  <c:v>-3.8002163640280182</c:v>
                </c:pt>
                <c:pt idx="177">
                  <c:v>-3.1655743839102852</c:v>
                </c:pt>
                <c:pt idx="178">
                  <c:v>-2.5316655781027677</c:v>
                </c:pt>
                <c:pt idx="179">
                  <c:v>-1.8983201208775489</c:v>
                </c:pt>
                <c:pt idx="180">
                  <c:v>-1.2653707285456945</c:v>
                </c:pt>
                <c:pt idx="181">
                  <c:v>-0.63265203698918782</c:v>
                </c:pt>
              </c:numCache>
            </c:numRef>
          </c:xVal>
          <c:yVal>
            <c:numRef>
              <c:f>Reichweite_SCHMAL!$T$219:$T$400</c:f>
              <c:numCache>
                <c:formatCode>0.00</c:formatCode>
                <c:ptCount val="182"/>
                <c:pt idx="0">
                  <c:v>41.1</c:v>
                </c:pt>
                <c:pt idx="1">
                  <c:v>-41.1</c:v>
                </c:pt>
                <c:pt idx="2">
                  <c:v>-34.958885660335334</c:v>
                </c:pt>
                <c:pt idx="3">
                  <c:v>-34.953993406450863</c:v>
                </c:pt>
                <c:pt idx="4">
                  <c:v>-34.944859162142521</c:v>
                </c:pt>
                <c:pt idx="5">
                  <c:v>-34.931488180399427</c:v>
                </c:pt>
                <c:pt idx="6">
                  <c:v>-34.913886975334336</c:v>
                </c:pt>
                <c:pt idx="7">
                  <c:v>-34.892063251274202</c:v>
                </c:pt>
                <c:pt idx="8">
                  <c:v>-34.866025968861202</c:v>
                </c:pt>
                <c:pt idx="9">
                  <c:v>-34.835785347501897</c:v>
                </c:pt>
                <c:pt idx="10">
                  <c:v>-34.801352729373512</c:v>
                </c:pt>
                <c:pt idx="11">
                  <c:v>-34.762740799329819</c:v>
                </c:pt>
                <c:pt idx="12">
                  <c:v>-34.7199633655732</c:v>
                </c:pt>
                <c:pt idx="13">
                  <c:v>-34.673035491916899</c:v>
                </c:pt>
                <c:pt idx="14">
                  <c:v>-34.621973361284304</c:v>
                </c:pt>
                <c:pt idx="15">
                  <c:v>-34.566794409348063</c:v>
                </c:pt>
                <c:pt idx="16">
                  <c:v>-34.50751725778013</c:v>
                </c:pt>
                <c:pt idx="17">
                  <c:v>-34.444161641866962</c:v>
                </c:pt>
                <c:pt idx="18">
                  <c:v>-34.376748521132022</c:v>
                </c:pt>
                <c:pt idx="19">
                  <c:v>-34.305299980212112</c:v>
                </c:pt>
                <c:pt idx="20">
                  <c:v>-34.2298392308589</c:v>
                </c:pt>
                <c:pt idx="21">
                  <c:v>-33.625783788041474</c:v>
                </c:pt>
                <c:pt idx="22">
                  <c:v>-32.445588023728845</c:v>
                </c:pt>
                <c:pt idx="23">
                  <c:v>-31.361322685310096</c:v>
                </c:pt>
                <c:pt idx="24">
                  <c:v>-30.359439104935927</c:v>
                </c:pt>
                <c:pt idx="25">
                  <c:v>-29.42873962129141</c:v>
                </c:pt>
                <c:pt idx="26">
                  <c:v>-28.559889897451942</c:v>
                </c:pt>
                <c:pt idx="27">
                  <c:v>-27.745048042066447</c:v>
                </c:pt>
                <c:pt idx="28">
                  <c:v>-26.97757880562704</c:v>
                </c:pt>
                <c:pt idx="29">
                  <c:v>-26.251831148301651</c:v>
                </c:pt>
                <c:pt idx="30">
                  <c:v>-25.562963260410616</c:v>
                </c:pt>
                <c:pt idx="31">
                  <c:v>-24.906803711251332</c:v>
                </c:pt>
                <c:pt idx="32">
                  <c:v>-24.27974013718433</c:v>
                </c:pt>
                <c:pt idx="33">
                  <c:v>-23.678629601203184</c:v>
                </c:pt>
                <c:pt idx="34">
                  <c:v>-23.100725535115462</c:v>
                </c:pt>
                <c:pt idx="35">
                  <c:v>-22.543617982798484</c:v>
                </c:pt>
                <c:pt idx="36">
                  <c:v>-22.005184377028485</c:v>
                </c:pt>
                <c:pt idx="37">
                  <c:v>-21.483548730063955</c:v>
                </c:pt>
                <c:pt idx="38">
                  <c:v>-20.977047511893243</c:v>
                </c:pt>
                <c:pt idx="39">
                  <c:v>-20.48420114896124</c:v>
                </c:pt>
                <c:pt idx="40">
                  <c:v>-20.003689994120709</c:v>
                </c:pt>
                <c:pt idx="41">
                  <c:v>-19.534333910724961</c:v>
                </c:pt>
                <c:pt idx="42">
                  <c:v>-19.07507498289301</c:v>
                </c:pt>
                <c:pt idx="43">
                  <c:v>-18.624962726926064</c:v>
                </c:pt>
                <c:pt idx="44">
                  <c:v>-18.183141364063527</c:v>
                </c:pt>
                <c:pt idx="45">
                  <c:v>-17.748838903062602</c:v>
                </c:pt>
                <c:pt idx="46">
                  <c:v>-17.321357751666177</c:v>
                </c:pt>
                <c:pt idx="47">
                  <c:v>-16.900066448413284</c:v>
                </c:pt>
                <c:pt idx="48">
                  <c:v>-16.484392558728917</c:v>
                </c:pt>
                <c:pt idx="49">
                  <c:v>-16.073816486163167</c:v>
                </c:pt>
                <c:pt idx="50">
                  <c:v>-15.667865986258395</c:v>
                </c:pt>
                <c:pt idx="51">
                  <c:v>-15.26611140313668</c:v>
                </c:pt>
                <c:pt idx="52">
                  <c:v>-14.868161411360955</c:v>
                </c:pt>
                <c:pt idx="53">
                  <c:v>-14.473659337307083</c:v>
                </c:pt>
                <c:pt idx="54">
                  <c:v>-14.082279837758795</c:v>
                </c:pt>
                <c:pt idx="55">
                  <c:v>-13.693725983036497</c:v>
                </c:pt>
                <c:pt idx="56">
                  <c:v>-13.307726602271563</c:v>
                </c:pt>
                <c:pt idx="57">
                  <c:v>-12.924034026223818</c:v>
                </c:pt>
                <c:pt idx="58">
                  <c:v>-12.542421955601309</c:v>
                </c:pt>
                <c:pt idx="59">
                  <c:v>-12.162683583122615</c:v>
                </c:pt>
                <c:pt idx="60">
                  <c:v>-11.784629964567547</c:v>
                </c:pt>
                <c:pt idx="61">
                  <c:v>-11.408088487934609</c:v>
                </c:pt>
                <c:pt idx="62">
                  <c:v>-11.032901455525788</c:v>
                </c:pt>
                <c:pt idx="63">
                  <c:v>-10.658924947611048</c:v>
                </c:pt>
                <c:pt idx="64">
                  <c:v>-10.286027612109766</c:v>
                </c:pt>
                <c:pt idx="65">
                  <c:v>-9.9140897184572889</c:v>
                </c:pt>
                <c:pt idx="66">
                  <c:v>-9.5430021720122209</c:v>
                </c:pt>
                <c:pt idx="67">
                  <c:v>-9.1726657022991986</c:v>
                </c:pt>
                <c:pt idx="68">
                  <c:v>-8.8029901074754235</c:v>
                </c:pt>
                <c:pt idx="69">
                  <c:v>-8.4338935137976794</c:v>
                </c:pt>
                <c:pt idx="70">
                  <c:v>-8.0653017149797748</c:v>
                </c:pt>
                <c:pt idx="71">
                  <c:v>-7.6971476458244634</c:v>
                </c:pt>
                <c:pt idx="72">
                  <c:v>-7.3293707478567462</c:v>
                </c:pt>
                <c:pt idx="73">
                  <c:v>-6.9619164968257028</c:v>
                </c:pt>
                <c:pt idx="74">
                  <c:v>-6.5947359461349349</c:v>
                </c:pt>
                <c:pt idx="75">
                  <c:v>-6.2277852514378491</c:v>
                </c:pt>
                <c:pt idx="76">
                  <c:v>-5.8610252890593566</c:v>
                </c:pt>
                <c:pt idx="77">
                  <c:v>-5.4944212724911061</c:v>
                </c:pt>
                <c:pt idx="78">
                  <c:v>-5.1279423681418868</c:v>
                </c:pt>
                <c:pt idx="79">
                  <c:v>-4.7615613992294161</c:v>
                </c:pt>
                <c:pt idx="80">
                  <c:v>-4.3952545025767167</c:v>
                </c:pt>
                <c:pt idx="81">
                  <c:v>-4.0290008423748613</c:v>
                </c:pt>
                <c:pt idx="82">
                  <c:v>-3.662782317716534</c:v>
                </c:pt>
                <c:pt idx="83">
                  <c:v>-3.2965833011650072</c:v>
                </c:pt>
                <c:pt idx="84">
                  <c:v>-2.9303903798421813</c:v>
                </c:pt>
                <c:pt idx="85">
                  <c:v>-2.5641921028448027</c:v>
                </c:pt>
                <c:pt idx="86">
                  <c:v>-2.1979787570679377</c:v>
                </c:pt>
                <c:pt idx="87">
                  <c:v>-1.8317421278484958</c:v>
                </c:pt>
                <c:pt idx="88">
                  <c:v>-1.4654752859491558</c:v>
                </c:pt>
                <c:pt idx="89">
                  <c:v>-1.0991723632624117</c:v>
                </c:pt>
                <c:pt idx="90">
                  <c:v>-0.73282834482075176</c:v>
                </c:pt>
                <c:pt idx="91">
                  <c:v>-0.36643886553178673</c:v>
                </c:pt>
                <c:pt idx="92">
                  <c:v>-3.8586454024503721E-15</c:v>
                </c:pt>
                <c:pt idx="93">
                  <c:v>0.36644637856540258</c:v>
                </c:pt>
                <c:pt idx="94">
                  <c:v>0.73285841591002099</c:v>
                </c:pt>
                <c:pt idx="95">
                  <c:v>1.0992400916458644</c:v>
                </c:pt>
                <c:pt idx="96">
                  <c:v>1.4655958646022462</c:v>
                </c:pt>
                <c:pt idx="97">
                  <c:v>1.831930876304253</c:v>
                </c:pt>
                <c:pt idx="98">
                  <c:v>2.1982511657629495</c:v>
                </c:pt>
                <c:pt idx="99">
                  <c:v>2.5645638675799289</c:v>
                </c:pt>
                <c:pt idx="100">
                  <c:v>2.9308774419644439</c:v>
                </c:pt>
                <c:pt idx="101">
                  <c:v>3.2972018972836001</c:v>
                </c:pt>
                <c:pt idx="102">
                  <c:v>3.6635490049983805</c:v>
                </c:pt>
                <c:pt idx="103">
                  <c:v>4.0299325622995319</c:v>
                </c:pt>
                <c:pt idx="104">
                  <c:v>4.3963686205209864</c:v>
                </c:pt>
                <c:pt idx="105">
                  <c:v>4.7628757411269129</c:v>
                </c:pt>
                <c:pt idx="106">
                  <c:v>5.1294752964545323</c:v>
                </c:pt>
                <c:pt idx="107">
                  <c:v>5.4961917286777346</c:v>
                </c:pt>
                <c:pt idx="108">
                  <c:v>5.8630528534866215</c:v>
                </c:pt>
                <c:pt idx="109">
                  <c:v>6.2300901916927689</c:v>
                </c:pt>
                <c:pt idx="110">
                  <c:v>6.5973393026207789</c:v>
                </c:pt>
                <c:pt idx="111">
                  <c:v>6.9648401447792914</c:v>
                </c:pt>
                <c:pt idx="112">
                  <c:v>7.3326374769028408</c:v>
                </c:pt>
                <c:pt idx="113">
                  <c:v>7.7007812349809823</c:v>
                </c:pt>
                <c:pt idx="114">
                  <c:v>8.0693270378803525</c:v>
                </c:pt>
                <c:pt idx="115">
                  <c:v>8.4383365933698773</c:v>
                </c:pt>
                <c:pt idx="116">
                  <c:v>8.8078782881901745</c:v>
                </c:pt>
                <c:pt idx="117">
                  <c:v>9.1780276940699608</c:v>
                </c:pt>
                <c:pt idx="118">
                  <c:v>9.5488682057427816</c:v>
                </c:pt>
                <c:pt idx="119">
                  <c:v>9.9204916802701479</c:v>
                </c:pt>
                <c:pt idx="120">
                  <c:v>10.292999172203013</c:v>
                </c:pt>
                <c:pt idx="121">
                  <c:v>10.666501729464072</c:v>
                </c:pt>
                <c:pt idx="122">
                  <c:v>11.041121226936353</c:v>
                </c:pt>
                <c:pt idx="123">
                  <c:v>11.416991324136246</c:v>
                </c:pt>
                <c:pt idx="124">
                  <c:v>11.794258495202145</c:v>
                </c:pt>
                <c:pt idx="125">
                  <c:v>12.173083158999479</c:v>
                </c:pt>
                <c:pt idx="126">
                  <c:v>12.553640998400629</c:v>
                </c:pt>
                <c:pt idx="127">
                  <c:v>12.936124259246606</c:v>
                </c:pt>
                <c:pt idx="128">
                  <c:v>13.320743374483518</c:v>
                </c:pt>
                <c:pt idx="129">
                  <c:v>13.707728623161401</c:v>
                </c:pt>
                <c:pt idx="130">
                  <c:v>14.097332070104132</c:v>
                </c:pt>
                <c:pt idx="131">
                  <c:v>14.489829701344576</c:v>
                </c:pt>
                <c:pt idx="132">
                  <c:v>14.885523761796078</c:v>
                </c:pt>
                <c:pt idx="133">
                  <c:v>15.284745464165088</c:v>
                </c:pt>
                <c:pt idx="134">
                  <c:v>15.687857995513708</c:v>
                </c:pt>
                <c:pt idx="135">
                  <c:v>16.095259882929494</c:v>
                </c:pt>
                <c:pt idx="136">
                  <c:v>16.507388767940927</c:v>
                </c:pt>
                <c:pt idx="137">
                  <c:v>16.924725818311476</c:v>
                </c:pt>
                <c:pt idx="138">
                  <c:v>17.347800565152166</c:v>
                </c:pt>
                <c:pt idx="139">
                  <c:v>17.777196572317695</c:v>
                </c:pt>
                <c:pt idx="140">
                  <c:v>18.213557725881707</c:v>
                </c:pt>
                <c:pt idx="141">
                  <c:v>18.65759568430671</c:v>
                </c:pt>
                <c:pt idx="142">
                  <c:v>19.110098151537521</c:v>
                </c:pt>
                <c:pt idx="143">
                  <c:v>19.571938782884178</c:v>
                </c:pt>
                <c:pt idx="144">
                  <c:v>20.044088298169491</c:v>
                </c:pt>
                <c:pt idx="145">
                  <c:v>20.527627584976244</c:v>
                </c:pt>
                <c:pt idx="146">
                  <c:v>21.023763018464852</c:v>
                </c:pt>
                <c:pt idx="147">
                  <c:v>21.53384430462911</c:v>
                </c:pt>
                <c:pt idx="148">
                  <c:v>22.059385551709422</c:v>
                </c:pt>
                <c:pt idx="149">
                  <c:v>22.602090124107711</c:v>
                </c:pt>
                <c:pt idx="150">
                  <c:v>23.1638802070966</c:v>
                </c:pt>
                <c:pt idx="151">
                  <c:v>23.746932135656678</c:v>
                </c:pt>
                <c:pt idx="152">
                  <c:v>24.35371868583109</c:v>
                </c:pt>
                <c:pt idx="153">
                  <c:v>24.987060348033701</c:v>
                </c:pt>
                <c:pt idx="154">
                  <c:v>25.650187397518824</c:v>
                </c:pt>
                <c:pt idx="155">
                  <c:v>26.346815908113381</c:v>
                </c:pt>
                <c:pt idx="156">
                  <c:v>27.081241528531116</c:v>
                </c:pt>
                <c:pt idx="157">
                  <c:v>27.858455500301034</c:v>
                </c:pt>
                <c:pt idx="158">
                  <c:v>28.684290085570339</c:v>
                </c:pt>
                <c:pt idx="159">
                  <c:v>29.565602013009617</c:v>
                </c:pt>
                <c:pt idx="160">
                  <c:v>30.510506123786239</c:v>
                </c:pt>
                <c:pt idx="161">
                  <c:v>31.528676163400966</c:v>
                </c:pt>
                <c:pt idx="162">
                  <c:v>32.631736251666084</c:v>
                </c:pt>
                <c:pt idx="163">
                  <c:v>33.833776501133279</c:v>
                </c:pt>
                <c:pt idx="164">
                  <c:v>35.152041661591198</c:v>
                </c:pt>
                <c:pt idx="165">
                  <c:v>35.595917497798808</c:v>
                </c:pt>
                <c:pt idx="166">
                  <c:v>35.667366047297179</c:v>
                </c:pt>
                <c:pt idx="167">
                  <c:v>35.734779167715509</c:v>
                </c:pt>
                <c:pt idx="168">
                  <c:v>35.798134776399074</c:v>
                </c:pt>
                <c:pt idx="169">
                  <c:v>35.85741192930945</c:v>
                </c:pt>
                <c:pt idx="170">
                  <c:v>35.912590887369795</c:v>
                </c:pt>
                <c:pt idx="171">
                  <c:v>35.963653017351774</c:v>
                </c:pt>
                <c:pt idx="172">
                  <c:v>36.010580896983534</c:v>
                </c:pt>
                <c:pt idx="173">
                  <c:v>36.053358337579368</c:v>
                </c:pt>
                <c:pt idx="174">
                  <c:v>36.091970251684884</c:v>
                </c:pt>
                <c:pt idx="175">
                  <c:v>36.126402862279576</c:v>
                </c:pt>
                <c:pt idx="176">
                  <c:v>36.156643492263193</c:v>
                </c:pt>
                <c:pt idx="177">
                  <c:v>36.182680776376017</c:v>
                </c:pt>
                <c:pt idx="178">
                  <c:v>36.204504506053176</c:v>
                </c:pt>
                <c:pt idx="179">
                  <c:v>36.222105703528875</c:v>
                </c:pt>
                <c:pt idx="180">
                  <c:v>36.235476679422106</c:v>
                </c:pt>
                <c:pt idx="181">
                  <c:v>36.244610924732264</c:v>
                </c:pt>
              </c:numCache>
            </c:numRef>
          </c:yVal>
          <c:smooth val="0"/>
          <c:extLst>
            <c:ext xmlns:c16="http://schemas.microsoft.com/office/drawing/2014/chart" uri="{C3380CC4-5D6E-409C-BE32-E72D297353CC}">
              <c16:uniqueId val="{00000000-3850-4163-8C6B-30C5AF196300}"/>
            </c:ext>
          </c:extLst>
        </c:ser>
        <c:dLbls>
          <c:showLegendKey val="0"/>
          <c:showVal val="0"/>
          <c:showCatName val="0"/>
          <c:showSerName val="0"/>
          <c:showPercent val="0"/>
          <c:showBubbleSize val="0"/>
        </c:dLbls>
        <c:axId val="70970368"/>
        <c:axId val="71304320"/>
      </c:scatterChart>
      <c:valAx>
        <c:axId val="70970368"/>
        <c:scaling>
          <c:orientation val="minMax"/>
          <c:max val="0"/>
        </c:scaling>
        <c:delete val="0"/>
        <c:axPos val="b"/>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71304320"/>
        <c:crossesAt val="-11000"/>
        <c:crossBetween val="midCat"/>
        <c:majorUnit val="5"/>
        <c:minorUnit val="1"/>
      </c:valAx>
      <c:valAx>
        <c:axId val="71304320"/>
        <c:scaling>
          <c:orientation val="minMax"/>
        </c:scaling>
        <c:delete val="0"/>
        <c:axPos val="r"/>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70970368"/>
        <c:crosses val="max"/>
        <c:crossBetween val="midCat"/>
        <c:majorUnit val="5"/>
        <c:minorUnit val="1"/>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56" l="0.7500000000000091" r="0.7500000000000091" t="0.98425196899999956" header="0.49212598450000522" footer="0.49212598450000522"/>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560566131174378E-2"/>
          <c:y val="7.5000130789848823E-2"/>
          <c:w val="0.84042844230817326"/>
          <c:h val="0.8535729170844677"/>
        </c:manualLayout>
      </c:layout>
      <c:scatterChart>
        <c:scatterStyle val="lineMarker"/>
        <c:varyColors val="0"/>
        <c:ser>
          <c:idx val="0"/>
          <c:order val="0"/>
          <c:tx>
            <c:strRef>
              <c:f>Reichweite_BRSC!$X$10</c:f>
              <c:strCache>
                <c:ptCount val="1"/>
                <c:pt idx="0">
                  <c:v>X_</c:v>
                </c:pt>
              </c:strCache>
            </c:strRef>
          </c:tx>
          <c:spPr>
            <a:ln w="25400">
              <a:solidFill>
                <a:srgbClr val="FF0000"/>
              </a:solidFill>
              <a:prstDash val="solid"/>
            </a:ln>
          </c:spPr>
          <c:marker>
            <c:symbol val="diamond"/>
            <c:size val="7"/>
            <c:spPr>
              <a:solidFill>
                <a:srgbClr val="000080"/>
              </a:solidFill>
              <a:ln>
                <a:solidFill>
                  <a:srgbClr val="000080"/>
                </a:solidFill>
                <a:prstDash val="solid"/>
              </a:ln>
            </c:spPr>
          </c:marker>
          <c:dPt>
            <c:idx val="1"/>
            <c:marker>
              <c:symbol val="circle"/>
              <c:size val="10"/>
              <c:spPr>
                <a:solidFill>
                  <a:srgbClr val="FFFF00"/>
                </a:solidFill>
                <a:ln>
                  <a:solidFill>
                    <a:srgbClr val="000080"/>
                  </a:solidFill>
                  <a:prstDash val="solid"/>
                </a:ln>
              </c:spPr>
            </c:marker>
            <c:bubble3D val="0"/>
            <c:extLst>
              <c:ext xmlns:c16="http://schemas.microsoft.com/office/drawing/2014/chart" uri="{C3380CC4-5D6E-409C-BE32-E72D297353CC}">
                <c16:uniqueId val="{00000000-2EEB-452A-AFFF-BF55C27F34D0}"/>
              </c:ext>
            </c:extLst>
          </c:dPt>
          <c:dPt>
            <c:idx val="2"/>
            <c:marker>
              <c:symbol val="circle"/>
              <c:size val="10"/>
              <c:spPr>
                <a:solidFill>
                  <a:srgbClr val="FFFF00"/>
                </a:solidFill>
                <a:ln>
                  <a:solidFill>
                    <a:srgbClr val="000080"/>
                  </a:solidFill>
                  <a:prstDash val="solid"/>
                </a:ln>
              </c:spPr>
            </c:marker>
            <c:bubble3D val="0"/>
            <c:extLst>
              <c:ext xmlns:c16="http://schemas.microsoft.com/office/drawing/2014/chart" uri="{C3380CC4-5D6E-409C-BE32-E72D297353CC}">
                <c16:uniqueId val="{00000001-2EEB-452A-AFFF-BF55C27F34D0}"/>
              </c:ext>
            </c:extLst>
          </c:dPt>
          <c:dPt>
            <c:idx val="3"/>
            <c:marker>
              <c:symbol val="circle"/>
              <c:size val="10"/>
              <c:spPr>
                <a:solidFill>
                  <a:srgbClr val="FFFF00"/>
                </a:solidFill>
                <a:ln>
                  <a:solidFill>
                    <a:srgbClr val="000080"/>
                  </a:solidFill>
                  <a:prstDash val="solid"/>
                </a:ln>
              </c:spPr>
            </c:marker>
            <c:bubble3D val="0"/>
            <c:extLst>
              <c:ext xmlns:c16="http://schemas.microsoft.com/office/drawing/2014/chart" uri="{C3380CC4-5D6E-409C-BE32-E72D297353CC}">
                <c16:uniqueId val="{00000002-2EEB-452A-AFFF-BF55C27F34D0}"/>
              </c:ext>
            </c:extLst>
          </c:dPt>
          <c:dPt>
            <c:idx val="4"/>
            <c:marker>
              <c:symbol val="circle"/>
              <c:size val="10"/>
              <c:spPr>
                <a:solidFill>
                  <a:srgbClr val="FFFF00"/>
                </a:solidFill>
                <a:ln>
                  <a:solidFill>
                    <a:srgbClr val="000080"/>
                  </a:solidFill>
                  <a:prstDash val="solid"/>
                </a:ln>
              </c:spPr>
            </c:marker>
            <c:bubble3D val="0"/>
            <c:extLst>
              <c:ext xmlns:c16="http://schemas.microsoft.com/office/drawing/2014/chart" uri="{C3380CC4-5D6E-409C-BE32-E72D297353CC}">
                <c16:uniqueId val="{00000003-2EEB-452A-AFFF-BF55C27F34D0}"/>
              </c:ext>
            </c:extLst>
          </c:dPt>
          <c:xVal>
            <c:numRef>
              <c:f>Reichweite_BRSC!$W$11:$W$15</c:f>
              <c:numCache>
                <c:formatCode>0</c:formatCode>
                <c:ptCount val="5"/>
                <c:pt idx="0">
                  <c:v>-4228</c:v>
                </c:pt>
                <c:pt idx="1">
                  <c:v>-1140</c:v>
                </c:pt>
                <c:pt idx="2">
                  <c:v>4140</c:v>
                </c:pt>
                <c:pt idx="3">
                  <c:v>1062</c:v>
                </c:pt>
                <c:pt idx="4">
                  <c:v>-4228</c:v>
                </c:pt>
              </c:numCache>
            </c:numRef>
          </c:xVal>
          <c:yVal>
            <c:numRef>
              <c:f>Reichweite_BRSC!$X$11:$X$15</c:f>
              <c:numCache>
                <c:formatCode>0</c:formatCode>
                <c:ptCount val="5"/>
                <c:pt idx="0">
                  <c:v>6186</c:v>
                </c:pt>
                <c:pt idx="1">
                  <c:v>-750</c:v>
                </c:pt>
                <c:pt idx="2">
                  <c:v>-1075</c:v>
                </c:pt>
                <c:pt idx="3">
                  <c:v>6128</c:v>
                </c:pt>
                <c:pt idx="4">
                  <c:v>6186</c:v>
                </c:pt>
              </c:numCache>
            </c:numRef>
          </c:yVal>
          <c:smooth val="0"/>
          <c:extLst>
            <c:ext xmlns:c16="http://schemas.microsoft.com/office/drawing/2014/chart" uri="{C3380CC4-5D6E-409C-BE32-E72D297353CC}">
              <c16:uniqueId val="{00000004-2EEB-452A-AFFF-BF55C27F34D0}"/>
            </c:ext>
          </c:extLst>
        </c:ser>
        <c:dLbls>
          <c:showLegendKey val="0"/>
          <c:showVal val="0"/>
          <c:showCatName val="0"/>
          <c:showSerName val="0"/>
          <c:showPercent val="0"/>
          <c:showBubbleSize val="0"/>
        </c:dLbls>
        <c:axId val="76009472"/>
        <c:axId val="76011008"/>
      </c:scatterChart>
      <c:valAx>
        <c:axId val="76009472"/>
        <c:scaling>
          <c:orientation val="minMax"/>
          <c:max val="7000"/>
          <c:min val="-7000"/>
        </c:scaling>
        <c:delete val="0"/>
        <c:axPos val="b"/>
        <c:majorGridlines>
          <c:spPr>
            <a:ln w="3175">
              <a:solidFill>
                <a:srgbClr val="000000"/>
              </a:solidFill>
              <a:prstDash val="solid"/>
            </a:ln>
          </c:spPr>
        </c:majorGridlines>
        <c:minorGridlines>
          <c:spPr>
            <a:ln w="3175">
              <a:pattFill prst="pct50">
                <a:fgClr>
                  <a:srgbClr val="000000"/>
                </a:fgClr>
                <a:bgClr>
                  <a:srgbClr val="FFFFFF"/>
                </a:bgClr>
              </a:pattFill>
              <a:prstDash val="solid"/>
            </a:ln>
          </c:spPr>
        </c:minorGridlines>
        <c:numFmt formatCode="0" sourceLinked="1"/>
        <c:majorTickMark val="out"/>
        <c:minorTickMark val="none"/>
        <c:tickLblPos val="nextTo"/>
        <c:spPr>
          <a:ln w="3175">
            <a:solidFill>
              <a:srgbClr val="000000"/>
            </a:solidFill>
            <a:prstDash val="solid"/>
          </a:ln>
        </c:spPr>
        <c:txPr>
          <a:bodyPr rot="0" vert="horz"/>
          <a:lstStyle/>
          <a:p>
            <a:pPr>
              <a:defRPr sz="325" b="0" i="0" u="none" strike="noStrike" baseline="0">
                <a:solidFill>
                  <a:srgbClr val="000000"/>
                </a:solidFill>
                <a:latin typeface="Arial"/>
                <a:ea typeface="Arial"/>
                <a:cs typeface="Arial"/>
              </a:defRPr>
            </a:pPr>
            <a:endParaRPr lang="de-DE"/>
          </a:p>
        </c:txPr>
        <c:crossAx val="76011008"/>
        <c:crosses val="autoZero"/>
        <c:crossBetween val="midCat"/>
        <c:minorUnit val="500"/>
      </c:valAx>
      <c:valAx>
        <c:axId val="76011008"/>
        <c:scaling>
          <c:orientation val="minMax"/>
          <c:max val="7000"/>
          <c:min val="-7000"/>
        </c:scaling>
        <c:delete val="0"/>
        <c:axPos val="l"/>
        <c:majorGridlines>
          <c:spPr>
            <a:ln w="3175">
              <a:solidFill>
                <a:srgbClr val="000000"/>
              </a:solidFill>
              <a:prstDash val="solid"/>
            </a:ln>
          </c:spPr>
        </c:majorGridlines>
        <c:minorGridlines>
          <c:spPr>
            <a:ln w="3175">
              <a:pattFill prst="pct50">
                <a:fgClr>
                  <a:srgbClr val="000000"/>
                </a:fgClr>
                <a:bgClr>
                  <a:srgbClr val="FFFFFF"/>
                </a:bgClr>
              </a:pattFill>
              <a:prstDash val="solid"/>
            </a:ln>
          </c:spPr>
        </c:minorGridlines>
        <c:numFmt formatCode="0" sourceLinked="1"/>
        <c:majorTickMark val="out"/>
        <c:minorTickMark val="none"/>
        <c:tickLblPos val="nextTo"/>
        <c:spPr>
          <a:ln w="3175">
            <a:solidFill>
              <a:srgbClr val="000000"/>
            </a:solidFill>
            <a:prstDash val="solid"/>
          </a:ln>
        </c:spPr>
        <c:txPr>
          <a:bodyPr rot="0" vert="horz"/>
          <a:lstStyle/>
          <a:p>
            <a:pPr>
              <a:defRPr sz="325" b="0" i="0" u="none" strike="noStrike" baseline="0">
                <a:solidFill>
                  <a:srgbClr val="000000"/>
                </a:solidFill>
                <a:latin typeface="Arial"/>
                <a:ea typeface="Arial"/>
                <a:cs typeface="Arial"/>
              </a:defRPr>
            </a:pPr>
            <a:endParaRPr lang="de-DE"/>
          </a:p>
        </c:txPr>
        <c:crossAx val="76009472"/>
        <c:crosses val="autoZero"/>
        <c:crossBetween val="midCat"/>
        <c:minorUnit val="500"/>
      </c:valAx>
      <c:spPr>
        <a:solidFill>
          <a:srgbClr val="C0C0C0"/>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575" b="0" i="0" u="none" strike="noStrike" baseline="0">
          <a:solidFill>
            <a:srgbClr val="000000"/>
          </a:solidFill>
          <a:latin typeface="Arial"/>
          <a:ea typeface="Arial"/>
          <a:cs typeface="Arial"/>
        </a:defRPr>
      </a:pPr>
      <a:endParaRPr lang="de-DE"/>
    </a:p>
  </c:txPr>
  <c:printSettings>
    <c:headerFooter alignWithMargins="0"/>
    <c:pageMargins b="0.98425196899999956" l="0.7500000000000091" r="0.7500000000000091" t="0.98425196899999956" header="0.49212598450000522" footer="0.49212598450000522"/>
    <c:pageSetup paperSize="9" orientation="landscape"/>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0909090909091064E-2"/>
          <c:y val="9.2691783456897991E-2"/>
          <c:w val="0.78571428571428559"/>
          <c:h val="0.84848632549005476"/>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xVal>
            <c:numRef>
              <c:f>Reichweite_BRSC!$S$37:$S$218</c:f>
              <c:numCache>
                <c:formatCode>0.00</c:formatCode>
                <c:ptCount val="182"/>
                <c:pt idx="0">
                  <c:v>41.1</c:v>
                </c:pt>
                <c:pt idx="1">
                  <c:v>41.1</c:v>
                </c:pt>
                <c:pt idx="2">
                  <c:v>0</c:v>
                </c:pt>
                <c:pt idx="3">
                  <c:v>0.63387774061307278</c:v>
                </c:pt>
                <c:pt idx="4">
                  <c:v>1.2676737767304032</c:v>
                </c:pt>
                <c:pt idx="5">
                  <c:v>1.9015524899995033</c:v>
                </c:pt>
                <c:pt idx="6">
                  <c:v>2.5356792147869891</c:v>
                </c:pt>
                <c:pt idx="7">
                  <c:v>3.1702208424677965</c:v>
                </c:pt>
                <c:pt idx="8">
                  <c:v>3.8053464419450047</c:v>
                </c:pt>
                <c:pt idx="9">
                  <c:v>4.4412278611056246</c:v>
                </c:pt>
                <c:pt idx="10">
                  <c:v>5.07804038528913</c:v>
                </c:pt>
                <c:pt idx="11">
                  <c:v>5.7159633777300645</c:v>
                </c:pt>
                <c:pt idx="12">
                  <c:v>6.35518094007681</c:v>
                </c:pt>
                <c:pt idx="13">
                  <c:v>6.9958826346829941</c:v>
                </c:pt>
                <c:pt idx="14">
                  <c:v>7.6382641800789077</c:v>
                </c:pt>
                <c:pt idx="15">
                  <c:v>8.2825282274681911</c:v>
                </c:pt>
                <c:pt idx="16">
                  <c:v>8.9288851367879776</c:v>
                </c:pt>
                <c:pt idx="17">
                  <c:v>9.5775538094319188</c:v>
                </c:pt>
                <c:pt idx="18">
                  <c:v>10.228762592652226</c:v>
                </c:pt>
                <c:pt idx="19">
                  <c:v>10.881023319199006</c:v>
                </c:pt>
                <c:pt idx="20">
                  <c:v>11.355194952525741</c:v>
                </c:pt>
                <c:pt idx="21">
                  <c:v>11.818494502270967</c:v>
                </c:pt>
                <c:pt idx="22">
                  <c:v>12.271535373552839</c:v>
                </c:pt>
                <c:pt idx="23">
                  <c:v>12.714870494857239</c:v>
                </c:pt>
                <c:pt idx="24">
                  <c:v>13.148999069541182</c:v>
                </c:pt>
                <c:pt idx="25">
                  <c:v>13.574372574587008</c:v>
                </c:pt>
                <c:pt idx="26">
                  <c:v>13.991399825294836</c:v>
                </c:pt>
                <c:pt idx="27">
                  <c:v>14.400451591491088</c:v>
                </c:pt>
                <c:pt idx="28">
                  <c:v>14.801864479576599</c:v>
                </c:pt>
                <c:pt idx="29">
                  <c:v>15.195944533272812</c:v>
                </c:pt>
                <c:pt idx="30">
                  <c:v>15.582970242453449</c:v>
                </c:pt>
                <c:pt idx="31">
                  <c:v>15.963195312963434</c:v>
                </c:pt>
                <c:pt idx="32">
                  <c:v>16.336851145587509</c:v>
                </c:pt>
                <c:pt idx="33">
                  <c:v>16.704148911638484</c:v>
                </c:pt>
                <c:pt idx="34">
                  <c:v>17.065281566346613</c:v>
                </c:pt>
                <c:pt idx="35">
                  <c:v>17.420425552936347</c:v>
                </c:pt>
                <c:pt idx="36">
                  <c:v>17.769742346625279</c:v>
                </c:pt>
                <c:pt idx="37">
                  <c:v>18.113379867391686</c:v>
                </c:pt>
                <c:pt idx="38">
                  <c:v>18.451473710040258</c:v>
                </c:pt>
                <c:pt idx="39">
                  <c:v>18.78414829962799</c:v>
                </c:pt>
                <c:pt idx="40">
                  <c:v>19.111517893789728</c:v>
                </c:pt>
                <c:pt idx="41">
                  <c:v>19.433687550447779</c:v>
                </c:pt>
                <c:pt idx="42">
                  <c:v>19.750753954414595</c:v>
                </c:pt>
                <c:pt idx="43">
                  <c:v>20.062806151519748</c:v>
                </c:pt>
                <c:pt idx="44">
                  <c:v>20.369926294134689</c:v>
                </c:pt>
                <c:pt idx="45">
                  <c:v>20.672190292960913</c:v>
                </c:pt>
                <c:pt idx="46">
                  <c:v>20.969668317858062</c:v>
                </c:pt>
                <c:pt idx="47">
                  <c:v>21.262425468861338</c:v>
                </c:pt>
                <c:pt idx="48">
                  <c:v>21.550522120639826</c:v>
                </c:pt>
                <c:pt idx="49">
                  <c:v>21.834014501646323</c:v>
                </c:pt>
                <c:pt idx="50">
                  <c:v>22.112955088897802</c:v>
                </c:pt>
                <c:pt idx="51">
                  <c:v>22.387392904157554</c:v>
                </c:pt>
                <c:pt idx="52">
                  <c:v>22.657374020079839</c:v>
                </c:pt>
                <c:pt idx="53">
                  <c:v>22.922941805485006</c:v>
                </c:pt>
                <c:pt idx="54">
                  <c:v>23.184137265648083</c:v>
                </c:pt>
                <c:pt idx="55">
                  <c:v>23.440999277319676</c:v>
                </c:pt>
                <c:pt idx="56">
                  <c:v>23.693565019349766</c:v>
                </c:pt>
                <c:pt idx="57">
                  <c:v>23.941870010102011</c:v>
                </c:pt>
                <c:pt idx="58">
                  <c:v>24.185948571449778</c:v>
                </c:pt>
                <c:pt idx="59">
                  <c:v>24.425833903726073</c:v>
                </c:pt>
                <c:pt idx="60">
                  <c:v>24.661558378736647</c:v>
                </c:pt>
                <c:pt idx="61">
                  <c:v>24.893153709650317</c:v>
                </c:pt>
                <c:pt idx="62">
                  <c:v>25.120651164939247</c:v>
                </c:pt>
                <c:pt idx="63">
                  <c:v>25.344081811517359</c:v>
                </c:pt>
                <c:pt idx="64">
                  <c:v>25.563476571458587</c:v>
                </c:pt>
                <c:pt idx="65">
                  <c:v>25.778866572127392</c:v>
                </c:pt>
                <c:pt idx="66">
                  <c:v>25.990283137997316</c:v>
                </c:pt>
                <c:pt idx="67">
                  <c:v>26.197758082614982</c:v>
                </c:pt>
                <c:pt idx="68">
                  <c:v>26.401323841958074</c:v>
                </c:pt>
                <c:pt idx="69">
                  <c:v>26.601013671026063</c:v>
                </c:pt>
                <c:pt idx="70">
                  <c:v>26.796861676963747</c:v>
                </c:pt>
                <c:pt idx="71">
                  <c:v>26.988903124619537</c:v>
                </c:pt>
                <c:pt idx="72">
                  <c:v>27.177174559660362</c:v>
                </c:pt>
                <c:pt idx="73">
                  <c:v>27.361713929693117</c:v>
                </c:pt>
                <c:pt idx="74">
                  <c:v>27.542560727870974</c:v>
                </c:pt>
                <c:pt idx="75">
                  <c:v>27.719756279878528</c:v>
                </c:pt>
                <c:pt idx="76">
                  <c:v>27.893343771648077</c:v>
                </c:pt>
                <c:pt idx="77">
                  <c:v>28.06336849044256</c:v>
                </c:pt>
                <c:pt idx="78">
                  <c:v>28.22987799607963</c:v>
                </c:pt>
                <c:pt idx="79">
                  <c:v>28.392922292277326</c:v>
                </c:pt>
                <c:pt idx="80">
                  <c:v>28.552554021953505</c:v>
                </c:pt>
                <c:pt idx="81">
                  <c:v>28.70882863728843</c:v>
                </c:pt>
                <c:pt idx="82">
                  <c:v>28.861804715048375</c:v>
                </c:pt>
                <c:pt idx="83">
                  <c:v>29.011544024420061</c:v>
                </c:pt>
                <c:pt idx="84">
                  <c:v>29.158111785746875</c:v>
                </c:pt>
                <c:pt idx="85">
                  <c:v>29.301577048153938</c:v>
                </c:pt>
                <c:pt idx="86">
                  <c:v>29.442012763299225</c:v>
                </c:pt>
                <c:pt idx="87">
                  <c:v>29.579496170456853</c:v>
                </c:pt>
                <c:pt idx="88">
                  <c:v>29.714109095948764</c:v>
                </c:pt>
                <c:pt idx="89">
                  <c:v>29.845938162637538</c:v>
                </c:pt>
                <c:pt idx="90">
                  <c:v>29.975075230122773</c:v>
                </c:pt>
                <c:pt idx="91">
                  <c:v>30.101617713783291</c:v>
                </c:pt>
                <c:pt idx="92">
                  <c:v>30.225668952541341</c:v>
                </c:pt>
                <c:pt idx="93">
                  <c:v>30.344728679039555</c:v>
                </c:pt>
                <c:pt idx="94">
                  <c:v>30.461526601164561</c:v>
                </c:pt>
                <c:pt idx="95">
                  <c:v>30.576189776803137</c:v>
                </c:pt>
                <c:pt idx="96">
                  <c:v>30.68885311206742</c:v>
                </c:pt>
                <c:pt idx="97">
                  <c:v>30.799659911294821</c:v>
                </c:pt>
                <c:pt idx="98">
                  <c:v>30.908762636076951</c:v>
                </c:pt>
                <c:pt idx="99">
                  <c:v>31.016323415381429</c:v>
                </c:pt>
                <c:pt idx="100">
                  <c:v>31.122515041691621</c:v>
                </c:pt>
                <c:pt idx="101">
                  <c:v>31.22752162014341</c:v>
                </c:pt>
                <c:pt idx="102">
                  <c:v>31.331539674966439</c:v>
                </c:pt>
                <c:pt idx="103">
                  <c:v>31.434779003328202</c:v>
                </c:pt>
                <c:pt idx="104">
                  <c:v>31.537464047026631</c:v>
                </c:pt>
                <c:pt idx="105">
                  <c:v>31.639834947821321</c:v>
                </c:pt>
                <c:pt idx="106">
                  <c:v>31.742149121306209</c:v>
                </c:pt>
                <c:pt idx="107">
                  <c:v>31.844682707776943</c:v>
                </c:pt>
                <c:pt idx="108">
                  <c:v>31.947732452378318</c:v>
                </c:pt>
                <c:pt idx="109">
                  <c:v>32.051617611149958</c:v>
                </c:pt>
                <c:pt idx="110">
                  <c:v>32.156682226253658</c:v>
                </c:pt>
                <c:pt idx="111">
                  <c:v>32.263297503486406</c:v>
                </c:pt>
                <c:pt idx="112">
                  <c:v>32.371864781315061</c:v>
                </c:pt>
                <c:pt idx="113">
                  <c:v>32.482818546735572</c:v>
                </c:pt>
                <c:pt idx="114">
                  <c:v>32.596630175101467</c:v>
                </c:pt>
                <c:pt idx="115">
                  <c:v>32.713811944365645</c:v>
                </c:pt>
                <c:pt idx="116">
                  <c:v>32.834921729487775</c:v>
                </c:pt>
                <c:pt idx="117">
                  <c:v>32.960568291857292</c:v>
                </c:pt>
                <c:pt idx="118">
                  <c:v>33.091417536548832</c:v>
                </c:pt>
                <c:pt idx="119">
                  <c:v>33.228199329780786</c:v>
                </c:pt>
                <c:pt idx="120">
                  <c:v>33.371715815796982</c:v>
                </c:pt>
                <c:pt idx="121">
                  <c:v>33.522850743339006</c:v>
                </c:pt>
                <c:pt idx="122">
                  <c:v>33.682580432893928</c:v>
                </c:pt>
                <c:pt idx="123">
                  <c:v>33.851986559610765</c:v>
                </c:pt>
                <c:pt idx="124">
                  <c:v>34.032271046975687</c:v>
                </c:pt>
                <c:pt idx="125">
                  <c:v>34.224773818965453</c:v>
                </c:pt>
                <c:pt idx="126">
                  <c:v>34.073444232012214</c:v>
                </c:pt>
                <c:pt idx="127">
                  <c:v>33.667149020277563</c:v>
                </c:pt>
                <c:pt idx="128">
                  <c:v>33.250598468810338</c:v>
                </c:pt>
                <c:pt idx="129">
                  <c:v>32.823919462943735</c:v>
                </c:pt>
                <c:pt idx="130">
                  <c:v>32.387241973236279</c:v>
                </c:pt>
                <c:pt idx="131">
                  <c:v>31.94069901588151</c:v>
                </c:pt>
                <c:pt idx="132">
                  <c:v>31.484426612189999</c:v>
                </c:pt>
                <c:pt idx="133">
                  <c:v>31.018563747155934</c:v>
                </c:pt>
                <c:pt idx="134">
                  <c:v>30.543252327120904</c:v>
                </c:pt>
                <c:pt idx="135">
                  <c:v>30.058637136547912</c:v>
                </c:pt>
                <c:pt idx="136">
                  <c:v>29.56486579391856</c:v>
                </c:pt>
                <c:pt idx="137">
                  <c:v>29.062088706767106</c:v>
                </c:pt>
                <c:pt idx="138">
                  <c:v>28.550459025864782</c:v>
                </c:pt>
                <c:pt idx="139">
                  <c:v>28.030132598568692</c:v>
                </c:pt>
                <c:pt idx="140">
                  <c:v>27.501267921349079</c:v>
                </c:pt>
                <c:pt idx="141">
                  <c:v>26.964026091509851</c:v>
                </c:pt>
                <c:pt idx="142">
                  <c:v>26.418570758116772</c:v>
                </c:pt>
                <c:pt idx="143">
                  <c:v>25.865068072148318</c:v>
                </c:pt>
                <c:pt idx="144">
                  <c:v>25.30368663588456</c:v>
                </c:pt>
                <c:pt idx="145">
                  <c:v>24.734597451549181</c:v>
                </c:pt>
                <c:pt idx="146">
                  <c:v>24.157973869220651</c:v>
                </c:pt>
                <c:pt idx="147">
                  <c:v>23.573991534027989</c:v>
                </c:pt>
                <c:pt idx="148">
                  <c:v>22.838064148730947</c:v>
                </c:pt>
                <c:pt idx="149">
                  <c:v>22.052923393278395</c:v>
                </c:pt>
                <c:pt idx="150">
                  <c:v>21.28033160859388</c:v>
                </c:pt>
                <c:pt idx="151">
                  <c:v>20.519452198437364</c:v>
                </c:pt>
                <c:pt idx="152">
                  <c:v>19.769509468679409</c:v>
                </c:pt>
                <c:pt idx="153">
                  <c:v>19.029783279089866</c:v>
                </c:pt>
                <c:pt idx="154">
                  <c:v>18.299604199883145</c:v>
                </c:pt>
                <c:pt idx="155">
                  <c:v>17.578349191088421</c:v>
                </c:pt>
                <c:pt idx="156">
                  <c:v>16.865437643143562</c:v>
                </c:pt>
                <c:pt idx="157">
                  <c:v>16.160327827955921</c:v>
                </c:pt>
                <c:pt idx="158">
                  <c:v>15.462513717524612</c:v>
                </c:pt>
                <c:pt idx="159">
                  <c:v>14.771522010888912</c:v>
                </c:pt>
                <c:pt idx="160">
                  <c:v>14.086909511794351</c:v>
                </c:pt>
                <c:pt idx="161">
                  <c:v>13.408260663413119</c:v>
                </c:pt>
                <c:pt idx="162">
                  <c:v>12.735185381713675</c:v>
                </c:pt>
                <c:pt idx="163">
                  <c:v>12.067316974946452</c:v>
                </c:pt>
                <c:pt idx="164">
                  <c:v>11.404310305306884</c:v>
                </c:pt>
                <c:pt idx="165">
                  <c:v>10.745840076978867</c:v>
                </c:pt>
                <c:pt idx="166">
                  <c:v>10.091599245835566</c:v>
                </c:pt>
                <c:pt idx="167">
                  <c:v>9.4412975648366224</c:v>
                </c:pt>
                <c:pt idx="168">
                  <c:v>8.7946602382318666</c:v>
                </c:pt>
                <c:pt idx="169">
                  <c:v>8.1514266525118551</c:v>
                </c:pt>
                <c:pt idx="170">
                  <c:v>7.5113492378017384</c:v>
                </c:pt>
                <c:pt idx="171">
                  <c:v>6.8741923454771703</c:v>
                </c:pt>
                <c:pt idx="172">
                  <c:v>6.2397312622250851</c:v>
                </c:pt>
                <c:pt idx="173">
                  <c:v>5.6077512371793921</c:v>
                </c:pt>
                <c:pt idx="174">
                  <c:v>4.9780465816355868</c:v>
                </c:pt>
                <c:pt idx="175">
                  <c:v>4.3504198354501149</c:v>
                </c:pt>
                <c:pt idx="176">
                  <c:v>3.7246809608598466</c:v>
                </c:pt>
                <c:pt idx="177">
                  <c:v>3.1006465649539443</c:v>
                </c:pt>
                <c:pt idx="178">
                  <c:v>2.4781391919738591</c:v>
                </c:pt>
                <c:pt idx="179">
                  <c:v>1.856986616386777</c:v>
                </c:pt>
                <c:pt idx="180">
                  <c:v>1.2370211736317522</c:v>
                </c:pt>
                <c:pt idx="181">
                  <c:v>0.61807911968564755</c:v>
                </c:pt>
              </c:numCache>
            </c:numRef>
          </c:xVal>
          <c:yVal>
            <c:numRef>
              <c:f>Reichweite_BRSC!$T$37:$T$218</c:f>
              <c:numCache>
                <c:formatCode>0.00</c:formatCode>
                <c:ptCount val="182"/>
                <c:pt idx="0">
                  <c:v>41.1</c:v>
                </c:pt>
                <c:pt idx="1">
                  <c:v>-41.1</c:v>
                </c:pt>
                <c:pt idx="2">
                  <c:v>36.323992567406172</c:v>
                </c:pt>
                <c:pt idx="3">
                  <c:v>36.314831438315416</c:v>
                </c:pt>
                <c:pt idx="4">
                  <c:v>36.30142735056203</c:v>
                </c:pt>
                <c:pt idx="5">
                  <c:v>36.28378298057045</c:v>
                </c:pt>
                <c:pt idx="6">
                  <c:v>36.261902184750085</c:v>
                </c:pt>
                <c:pt idx="7">
                  <c:v>36.235790040711045</c:v>
                </c:pt>
                <c:pt idx="8">
                  <c:v>36.205452923243939</c:v>
                </c:pt>
                <c:pt idx="9">
                  <c:v>36.170898266416835</c:v>
                </c:pt>
                <c:pt idx="10">
                  <c:v>36.132134806530523</c:v>
                </c:pt>
                <c:pt idx="11">
                  <c:v>36.089172433970269</c:v>
                </c:pt>
                <c:pt idx="12">
                  <c:v>36.042022125838599</c:v>
                </c:pt>
                <c:pt idx="13">
                  <c:v>35.990696103515354</c:v>
                </c:pt>
                <c:pt idx="14">
                  <c:v>35.93520764574999</c:v>
                </c:pt>
                <c:pt idx="15">
                  <c:v>35.875571195355981</c:v>
                </c:pt>
                <c:pt idx="16">
                  <c:v>35.811802264360814</c:v>
                </c:pt>
                <c:pt idx="17">
                  <c:v>35.743917429024769</c:v>
                </c:pt>
                <c:pt idx="18">
                  <c:v>35.671934408234961</c:v>
                </c:pt>
                <c:pt idx="19">
                  <c:v>35.590223615389064</c:v>
                </c:pt>
                <c:pt idx="20">
                  <c:v>34.947696566804005</c:v>
                </c:pt>
                <c:pt idx="21">
                  <c:v>34.323400291247246</c:v>
                </c:pt>
                <c:pt idx="22">
                  <c:v>33.715766340875071</c:v>
                </c:pt>
                <c:pt idx="23">
                  <c:v>33.123370085150455</c:v>
                </c:pt>
                <c:pt idx="24">
                  <c:v>32.544914732604489</c:v>
                </c:pt>
                <c:pt idx="25">
                  <c:v>31.979217744413869</c:v>
                </c:pt>
                <c:pt idx="26">
                  <c:v>31.425198526009225</c:v>
                </c:pt>
                <c:pt idx="27">
                  <c:v>30.881868096415523</c:v>
                </c:pt>
                <c:pt idx="28">
                  <c:v>30.348319605012033</c:v>
                </c:pt>
                <c:pt idx="29">
                  <c:v>29.823720382074786</c:v>
                </c:pt>
                <c:pt idx="30">
                  <c:v>29.307304543686548</c:v>
                </c:pt>
                <c:pt idx="31">
                  <c:v>28.798366671310994</c:v>
                </c:pt>
                <c:pt idx="32">
                  <c:v>28.296256219847393</c:v>
                </c:pt>
                <c:pt idx="33">
                  <c:v>27.80037230376767</c:v>
                </c:pt>
                <c:pt idx="34">
                  <c:v>27.310159338432225</c:v>
                </c:pt>
                <c:pt idx="35">
                  <c:v>26.825102963706968</c:v>
                </c:pt>
                <c:pt idx="36">
                  <c:v>26.344726423634619</c:v>
                </c:pt>
                <c:pt idx="37">
                  <c:v>25.868587352978185</c:v>
                </c:pt>
                <c:pt idx="38">
                  <c:v>25.39627482054858</c:v>
                </c:pt>
                <c:pt idx="39">
                  <c:v>24.927406729571157</c:v>
                </c:pt>
                <c:pt idx="40">
                  <c:v>24.461627406664451</c:v>
                </c:pt>
                <c:pt idx="41">
                  <c:v>23.998605497038596</c:v>
                </c:pt>
                <c:pt idx="42">
                  <c:v>23.538031981617895</c:v>
                </c:pt>
                <c:pt idx="43">
                  <c:v>23.079618356907645</c:v>
                </c:pt>
                <c:pt idx="44">
                  <c:v>22.623095068414226</c:v>
                </c:pt>
                <c:pt idx="45">
                  <c:v>22.168210037847256</c:v>
                </c:pt>
                <c:pt idx="46">
                  <c:v>21.714727213275726</c:v>
                </c:pt>
                <c:pt idx="47">
                  <c:v>21.262425468861338</c:v>
                </c:pt>
                <c:pt idx="48">
                  <c:v>20.811097303133419</c:v>
                </c:pt>
                <c:pt idx="49">
                  <c:v>20.360547913733676</c:v>
                </c:pt>
                <c:pt idx="50">
                  <c:v>19.910594193420085</c:v>
                </c:pt>
                <c:pt idx="51">
                  <c:v>19.46106374586526</c:v>
                </c:pt>
                <c:pt idx="52">
                  <c:v>19.011794183694679</c:v>
                </c:pt>
                <c:pt idx="53">
                  <c:v>18.562632267940089</c:v>
                </c:pt>
                <c:pt idx="54">
                  <c:v>18.113433208609596</c:v>
                </c:pt>
                <c:pt idx="55">
                  <c:v>17.664059943880915</c:v>
                </c:pt>
                <c:pt idx="56">
                  <c:v>17.214382626617766</c:v>
                </c:pt>
                <c:pt idx="57">
                  <c:v>16.764277859910411</c:v>
                </c:pt>
                <c:pt idx="58">
                  <c:v>16.313628299355795</c:v>
                </c:pt>
                <c:pt idx="59">
                  <c:v>15.862322007260904</c:v>
                </c:pt>
                <c:pt idx="60">
                  <c:v>15.410252001195213</c:v>
                </c:pt>
                <c:pt idx="61">
                  <c:v>14.9573157475287</c:v>
                </c:pt>
                <c:pt idx="62">
                  <c:v>14.503414712296365</c:v>
                </c:pt>
                <c:pt idx="63">
                  <c:v>14.048453948883564</c:v>
                </c:pt>
                <c:pt idx="64">
                  <c:v>13.592341599101776</c:v>
                </c:pt>
                <c:pt idx="65">
                  <c:v>13.134988577620115</c:v>
                </c:pt>
                <c:pt idx="66">
                  <c:v>12.676308072455091</c:v>
                </c:pt>
                <c:pt idx="67">
                  <c:v>12.216215220415378</c:v>
                </c:pt>
                <c:pt idx="68">
                  <c:v>11.754626704559906</c:v>
                </c:pt>
                <c:pt idx="69">
                  <c:v>11.291460388997971</c:v>
                </c:pt>
                <c:pt idx="70">
                  <c:v>10.82663488757041</c:v>
                </c:pt>
                <c:pt idx="71">
                  <c:v>10.3600692545964</c:v>
                </c:pt>
                <c:pt idx="72">
                  <c:v>9.8916825911730601</c:v>
                </c:pt>
                <c:pt idx="73">
                  <c:v>9.421393652925822</c:v>
                </c:pt>
                <c:pt idx="74">
                  <c:v>8.9491204651762128</c:v>
                </c:pt>
                <c:pt idx="75">
                  <c:v>8.4747799773152437</c:v>
                </c:pt>
                <c:pt idx="76">
                  <c:v>7.9982876199042696</c:v>
                </c:pt>
                <c:pt idx="77">
                  <c:v>7.5195569239110975</c:v>
                </c:pt>
                <c:pt idx="78">
                  <c:v>7.038499101269184</c:v>
                </c:pt>
                <c:pt idx="79">
                  <c:v>6.5550226103867404</c:v>
                </c:pt>
                <c:pt idx="80">
                  <c:v>6.0690327098040022</c:v>
                </c:pt>
                <c:pt idx="81">
                  <c:v>5.5804309854979133</c:v>
                </c:pt>
                <c:pt idx="82">
                  <c:v>5.0891148832018205</c:v>
                </c:pt>
                <c:pt idx="83">
                  <c:v>4.5949771632584184</c:v>
                </c:pt>
                <c:pt idx="84">
                  <c:v>4.0979053687145042</c:v>
                </c:pt>
                <c:pt idx="85">
                  <c:v>3.5977812716202089</c:v>
                </c:pt>
                <c:pt idx="86">
                  <c:v>3.0944802361688506</c:v>
                </c:pt>
                <c:pt idx="87">
                  <c:v>2.5878705877234562</c:v>
                </c:pt>
                <c:pt idx="88">
                  <c:v>2.0778129188213597</c:v>
                </c:pt>
                <c:pt idx="89">
                  <c:v>1.5641593397228084</c:v>
                </c:pt>
                <c:pt idx="90">
                  <c:v>1.0467526926089177</c:v>
                </c:pt>
                <c:pt idx="91">
                  <c:v>0.52542569163847452</c:v>
                </c:pt>
                <c:pt idx="92">
                  <c:v>1.8515465807892736E-15</c:v>
                </c:pt>
                <c:pt idx="93">
                  <c:v>-0.52966920932178052</c:v>
                </c:pt>
                <c:pt idx="94">
                  <c:v>-1.0637399488060089</c:v>
                </c:pt>
                <c:pt idx="95">
                  <c:v>-1.6024302051390802</c:v>
                </c:pt>
                <c:pt idx="96">
                  <c:v>-2.1459736603295538</c:v>
                </c:pt>
                <c:pt idx="97">
                  <c:v>-2.6946210826921648</c:v>
                </c:pt>
                <c:pt idx="98">
                  <c:v>-3.2486418598731848</c:v>
                </c:pt>
                <c:pt idx="99">
                  <c:v>-3.8083256513800827</c:v>
                </c:pt>
                <c:pt idx="100">
                  <c:v>-4.3739842419970705</c:v>
                </c:pt>
                <c:pt idx="101">
                  <c:v>-4.9459535345287691</c:v>
                </c:pt>
                <c:pt idx="102">
                  <c:v>-5.5245957918343107</c:v>
                </c:pt>
                <c:pt idx="103">
                  <c:v>-6.1103020603427982</c:v>
                </c:pt>
                <c:pt idx="104">
                  <c:v>-6.7034949216279216</c:v>
                </c:pt>
                <c:pt idx="105">
                  <c:v>-7.3046314619148847</c:v>
                </c:pt>
                <c:pt idx="106">
                  <c:v>-7.9142066463657024</c:v>
                </c:pt>
                <c:pt idx="107">
                  <c:v>-8.5327570147741731</c:v>
                </c:pt>
                <c:pt idx="108">
                  <c:v>-9.1608648661764036</c:v>
                </c:pt>
                <c:pt idx="109">
                  <c:v>-9.7991628941092745</c:v>
                </c:pt>
                <c:pt idx="110">
                  <c:v>-10.448339420812434</c:v>
                </c:pt>
                <c:pt idx="111">
                  <c:v>-11.109144226229889</c:v>
                </c:pt>
                <c:pt idx="112">
                  <c:v>-11.782395208089069</c:v>
                </c:pt>
                <c:pt idx="113">
                  <c:v>-12.468985796673158</c:v>
                </c:pt>
                <c:pt idx="114">
                  <c:v>-13.169893464590633</c:v>
                </c:pt>
                <c:pt idx="115">
                  <c:v>-13.88618931260018</c:v>
                </c:pt>
                <c:pt idx="116">
                  <c:v>-14.619049033828531</c:v>
                </c:pt>
                <c:pt idx="117">
                  <c:v>-15.369765411633871</c:v>
                </c:pt>
                <c:pt idx="118">
                  <c:v>-16.139762734414706</c:v>
                </c:pt>
                <c:pt idx="119">
                  <c:v>-16.93061319939703</c:v>
                </c:pt>
                <c:pt idx="120">
                  <c:v>-17.744056049985801</c:v>
                </c:pt>
                <c:pt idx="121">
                  <c:v>-18.582019597532991</c:v>
                </c:pt>
                <c:pt idx="122">
                  <c:v>-19.446646879932523</c:v>
                </c:pt>
                <c:pt idx="123">
                  <c:v>-20.34032559952038</c:v>
                </c:pt>
                <c:pt idx="124">
                  <c:v>-21.26572315312626</c:v>
                </c:pt>
                <c:pt idx="125">
                  <c:v>-22.225827993503533</c:v>
                </c:pt>
                <c:pt idx="126">
                  <c:v>-22.982828332647689</c:v>
                </c:pt>
                <c:pt idx="127">
                  <c:v>-23.573991534027996</c:v>
                </c:pt>
                <c:pt idx="128">
                  <c:v>-24.15797386922064</c:v>
                </c:pt>
                <c:pt idx="129">
                  <c:v>-24.734597451549188</c:v>
                </c:pt>
                <c:pt idx="130">
                  <c:v>-25.303686635884556</c:v>
                </c:pt>
                <c:pt idx="131">
                  <c:v>-25.865068072148315</c:v>
                </c:pt>
                <c:pt idx="132">
                  <c:v>-26.418570758116768</c:v>
                </c:pt>
                <c:pt idx="133">
                  <c:v>-26.964026091509844</c:v>
                </c:pt>
                <c:pt idx="134">
                  <c:v>-27.501267921349076</c:v>
                </c:pt>
                <c:pt idx="135">
                  <c:v>-28.030132598568684</c:v>
                </c:pt>
                <c:pt idx="136">
                  <c:v>-28.550459025864793</c:v>
                </c:pt>
                <c:pt idx="137">
                  <c:v>-29.062088706767103</c:v>
                </c:pt>
                <c:pt idx="138">
                  <c:v>-29.564865793918564</c:v>
                </c:pt>
                <c:pt idx="139">
                  <c:v>-30.058637136547908</c:v>
                </c:pt>
                <c:pt idx="140">
                  <c:v>-30.543252327120896</c:v>
                </c:pt>
                <c:pt idx="141">
                  <c:v>-31.01856374715593</c:v>
                </c:pt>
                <c:pt idx="142">
                  <c:v>-31.484426612189992</c:v>
                </c:pt>
                <c:pt idx="143">
                  <c:v>-31.940699015881506</c:v>
                </c:pt>
                <c:pt idx="144">
                  <c:v>-32.387241973236272</c:v>
                </c:pt>
                <c:pt idx="145">
                  <c:v>-32.823919462943742</c:v>
                </c:pt>
                <c:pt idx="146">
                  <c:v>-33.250598468810338</c:v>
                </c:pt>
                <c:pt idx="147">
                  <c:v>-33.66714902027757</c:v>
                </c:pt>
                <c:pt idx="148">
                  <c:v>-33.85882250329864</c:v>
                </c:pt>
                <c:pt idx="149">
                  <c:v>-33.958524082996384</c:v>
                </c:pt>
                <c:pt idx="150">
                  <c:v>-34.055649462676463</c:v>
                </c:pt>
                <c:pt idx="151">
                  <c:v>-34.150103282931518</c:v>
                </c:pt>
                <c:pt idx="152">
                  <c:v>-34.241794840466746</c:v>
                </c:pt>
                <c:pt idx="153">
                  <c:v>-34.330637807943738</c:v>
                </c:pt>
                <c:pt idx="154">
                  <c:v>-34.416549924083128</c:v>
                </c:pt>
                <c:pt idx="155">
                  <c:v>-34.499452791868094</c:v>
                </c:pt>
                <c:pt idx="156">
                  <c:v>-34.579271589653324</c:v>
                </c:pt>
                <c:pt idx="157">
                  <c:v>-34.65593486475467</c:v>
                </c:pt>
                <c:pt idx="158">
                  <c:v>-34.729374426558643</c:v>
                </c:pt>
                <c:pt idx="159">
                  <c:v>-34.799525076170283</c:v>
                </c:pt>
                <c:pt idx="160">
                  <c:v>-34.866324537907147</c:v>
                </c:pt>
                <c:pt idx="161">
                  <c:v>-34.929713230821577</c:v>
                </c:pt>
                <c:pt idx="162">
                  <c:v>-34.989634268826904</c:v>
                </c:pt>
                <c:pt idx="163">
                  <c:v>-35.046033223001601</c:v>
                </c:pt>
                <c:pt idx="164">
                  <c:v>-35.098858079481076</c:v>
                </c:pt>
                <c:pt idx="165">
                  <c:v>-35.148059153598169</c:v>
                </c:pt>
                <c:pt idx="166">
                  <c:v>-35.193588971380976</c:v>
                </c:pt>
                <c:pt idx="167">
                  <c:v>-35.235402201346552</c:v>
                </c:pt>
                <c:pt idx="168">
                  <c:v>-35.273455600426182</c:v>
                </c:pt>
                <c:pt idx="169">
                  <c:v>-35.30770788635192</c:v>
                </c:pt>
                <c:pt idx="170">
                  <c:v>-35.338119786970104</c:v>
                </c:pt>
                <c:pt idx="171">
                  <c:v>-35.364653837476908</c:v>
                </c:pt>
                <c:pt idx="172">
                  <c:v>-35.387274466757404</c:v>
                </c:pt>
                <c:pt idx="173">
                  <c:v>-35.405947867662206</c:v>
                </c:pt>
                <c:pt idx="174">
                  <c:v>-35.420641923588093</c:v>
                </c:pt>
                <c:pt idx="175">
                  <c:v>-35.431326247037944</c:v>
                </c:pt>
                <c:pt idx="176">
                  <c:v>-35.437972137324458</c:v>
                </c:pt>
                <c:pt idx="177">
                  <c:v>-35.440552409800873</c:v>
                </c:pt>
                <c:pt idx="178">
                  <c:v>-35.439041522095813</c:v>
                </c:pt>
                <c:pt idx="179">
                  <c:v>-35.433415454558016</c:v>
                </c:pt>
                <c:pt idx="180">
                  <c:v>-35.423651644448206</c:v>
                </c:pt>
                <c:pt idx="181">
                  <c:v>-35.409729051564462</c:v>
                </c:pt>
              </c:numCache>
            </c:numRef>
          </c:yVal>
          <c:smooth val="0"/>
          <c:extLst>
            <c:ext xmlns:c16="http://schemas.microsoft.com/office/drawing/2014/chart" uri="{C3380CC4-5D6E-409C-BE32-E72D297353CC}">
              <c16:uniqueId val="{00000000-F33A-42C9-A41C-0C267ABFE714}"/>
            </c:ext>
          </c:extLst>
        </c:ser>
        <c:dLbls>
          <c:showLegendKey val="0"/>
          <c:showVal val="0"/>
          <c:showCatName val="0"/>
          <c:showSerName val="0"/>
          <c:showPercent val="0"/>
          <c:showBubbleSize val="0"/>
        </c:dLbls>
        <c:axId val="76044544"/>
        <c:axId val="76050816"/>
      </c:scatterChart>
      <c:valAx>
        <c:axId val="76044544"/>
        <c:scaling>
          <c:orientation val="minMax"/>
          <c:min val="0"/>
        </c:scaling>
        <c:delete val="0"/>
        <c:axPos val="b"/>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76050816"/>
        <c:crossesAt val="-11000"/>
        <c:crossBetween val="midCat"/>
        <c:majorUnit val="5"/>
        <c:minorUnit val="1"/>
      </c:valAx>
      <c:valAx>
        <c:axId val="76050816"/>
        <c:scaling>
          <c:orientation val="minMax"/>
        </c:scaling>
        <c:delete val="0"/>
        <c:axPos val="r"/>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76044544"/>
        <c:crosses val="max"/>
        <c:crossBetween val="midCat"/>
        <c:majorUnit val="5"/>
        <c:minorUnit val="1"/>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56" l="0.7500000000000091" r="0.7500000000000091" t="0.98425196899999956" header="0.49212598450000522" footer="0.49212598450000522"/>
    <c:pageSetup paperSize="9"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897106109324758"/>
          <c:y val="8.797127468581685E-2"/>
          <c:w val="0.78135048231511262"/>
          <c:h val="0.85457809694793541"/>
        </c:manualLayout>
      </c:layout>
      <c:scatterChart>
        <c:scatterStyle val="lineMarker"/>
        <c:varyColors val="0"/>
        <c:ser>
          <c:idx val="0"/>
          <c:order val="0"/>
          <c:spPr>
            <a:ln w="28575">
              <a:noFill/>
            </a:ln>
          </c:spPr>
          <c:marker>
            <c:symbol val="diamond"/>
            <c:size val="5"/>
            <c:spPr>
              <a:solidFill>
                <a:srgbClr val="000080"/>
              </a:solidFill>
              <a:ln>
                <a:solidFill>
                  <a:srgbClr val="000080"/>
                </a:solidFill>
                <a:prstDash val="solid"/>
              </a:ln>
            </c:spPr>
          </c:marker>
          <c:xVal>
            <c:numRef>
              <c:f>Reichweite_BRSC!$S$219:$S$400</c:f>
              <c:numCache>
                <c:formatCode>0.00</c:formatCode>
                <c:ptCount val="182"/>
                <c:pt idx="0">
                  <c:v>-41.1</c:v>
                </c:pt>
                <c:pt idx="1">
                  <c:v>-41.1</c:v>
                </c:pt>
                <c:pt idx="2">
                  <c:v>4.3359998462192203E-15</c:v>
                </c:pt>
                <c:pt idx="3">
                  <c:v>-0.61727728443842977</c:v>
                </c:pt>
                <c:pt idx="4">
                  <c:v>-1.2338118651085441</c:v>
                </c:pt>
                <c:pt idx="5">
                  <c:v>-1.8497582870175615</c:v>
                </c:pt>
                <c:pt idx="6">
                  <c:v>-2.4652704113995969</c:v>
                </c:pt>
                <c:pt idx="7">
                  <c:v>-3.0805019948315286</c:v>
                </c:pt>
                <c:pt idx="8">
                  <c:v>-3.695607248494222</c:v>
                </c:pt>
                <c:pt idx="9">
                  <c:v>-4.3107414338448784</c:v>
                </c:pt>
                <c:pt idx="10">
                  <c:v>-4.9260614151232458</c:v>
                </c:pt>
                <c:pt idx="11">
                  <c:v>-5.5417262705538768</c:v>
                </c:pt>
                <c:pt idx="12">
                  <c:v>-6.1578978665474091</c:v>
                </c:pt>
                <c:pt idx="13">
                  <c:v>-6.774741476571112</c:v>
                </c:pt>
                <c:pt idx="14">
                  <c:v>-7.3924264062543736</c:v>
                </c:pt>
                <c:pt idx="15">
                  <c:v>-8.0111266223912008</c:v>
                </c:pt>
                <c:pt idx="16">
                  <c:v>-8.6310214412997865</c:v>
                </c:pt>
                <c:pt idx="17">
                  <c:v>-9.2522962106369224</c:v>
                </c:pt>
                <c:pt idx="18">
                  <c:v>-9.8751430363968868</c:v>
                </c:pt>
                <c:pt idx="19">
                  <c:v>-10.499761538232256</c:v>
                </c:pt>
                <c:pt idx="20">
                  <c:v>-11.126359656580581</c:v>
                </c:pt>
                <c:pt idx="21">
                  <c:v>-11.679745709930394</c:v>
                </c:pt>
                <c:pt idx="22">
                  <c:v>-12.13265039610193</c:v>
                </c:pt>
                <c:pt idx="23">
                  <c:v>-12.576092782595433</c:v>
                </c:pt>
                <c:pt idx="24">
                  <c:v>-13.010546993781791</c:v>
                </c:pt>
                <c:pt idx="25">
                  <c:v>-13.436442420565054</c:v>
                </c:pt>
                <c:pt idx="26">
                  <c:v>-13.854168518687178</c:v>
                </c:pt>
                <c:pt idx="27">
                  <c:v>-14.264078954878908</c:v>
                </c:pt>
                <c:pt idx="28">
                  <c:v>-14.666495290630323</c:v>
                </c:pt>
                <c:pt idx="29">
                  <c:v>-15.061710257155106</c:v>
                </c:pt>
                <c:pt idx="30">
                  <c:v>-15.449990563012021</c:v>
                </c:pt>
                <c:pt idx="31">
                  <c:v>-15.831579524489998</c:v>
                </c:pt>
                <c:pt idx="32">
                  <c:v>-16.206699285397139</c:v>
                </c:pt>
                <c:pt idx="33">
                  <c:v>-16.575552868911593</c:v>
                </c:pt>
                <c:pt idx="34">
                  <c:v>-16.938325978136866</c:v>
                </c:pt>
                <c:pt idx="35">
                  <c:v>-17.295188639459052</c:v>
                </c:pt>
                <c:pt idx="36">
                  <c:v>-17.646296637171101</c:v>
                </c:pt>
                <c:pt idx="37">
                  <c:v>-17.991792864088019</c:v>
                </c:pt>
                <c:pt idx="38">
                  <c:v>-18.331808465165935</c:v>
                </c:pt>
                <c:pt idx="39">
                  <c:v>-18.666463931706375</c:v>
                </c:pt>
                <c:pt idx="40">
                  <c:v>-18.995870097938472</c:v>
                </c:pt>
                <c:pt idx="41">
                  <c:v>-19.320128958367018</c:v>
                </c:pt>
                <c:pt idx="42">
                  <c:v>-19.639334557926492</c:v>
                </c:pt>
                <c:pt idx="43">
                  <c:v>-19.953573657127617</c:v>
                </c:pt>
                <c:pt idx="44">
                  <c:v>-20.262926385750383</c:v>
                </c:pt>
                <c:pt idx="45">
                  <c:v>-20.567466962632196</c:v>
                </c:pt>
                <c:pt idx="46">
                  <c:v>-20.867264132009907</c:v>
                </c:pt>
                <c:pt idx="47">
                  <c:v>-21.162381740600072</c:v>
                </c:pt>
                <c:pt idx="48">
                  <c:v>-21.452879241782185</c:v>
                </c:pt>
                <c:pt idx="49">
                  <c:v>-21.738812041940541</c:v>
                </c:pt>
                <c:pt idx="50">
                  <c:v>-22.020232037615344</c:v>
                </c:pt>
                <c:pt idx="51">
                  <c:v>-22.297187850916778</c:v>
                </c:pt>
                <c:pt idx="52">
                  <c:v>-22.569725276256015</c:v>
                </c:pt>
                <c:pt idx="53">
                  <c:v>-22.837887584118413</c:v>
                </c:pt>
                <c:pt idx="54">
                  <c:v>-23.101715852474953</c:v>
                </c:pt>
                <c:pt idx="55">
                  <c:v>-23.361249157360273</c:v>
                </c:pt>
                <c:pt idx="56">
                  <c:v>-23.616524960096395</c:v>
                </c:pt>
                <c:pt idx="57">
                  <c:v>-23.867579286538476</c:v>
                </c:pt>
                <c:pt idx="58">
                  <c:v>-24.114446995467489</c:v>
                </c:pt>
                <c:pt idx="59">
                  <c:v>-24.357162002860548</c:v>
                </c:pt>
                <c:pt idx="60">
                  <c:v>-24.595757462784018</c:v>
                </c:pt>
                <c:pt idx="61">
                  <c:v>-24.830266055595615</c:v>
                </c:pt>
                <c:pt idx="62">
                  <c:v>-25.060720092450943</c:v>
                </c:pt>
                <c:pt idx="63">
                  <c:v>-25.287151775133886</c:v>
                </c:pt>
                <c:pt idx="64">
                  <c:v>-25.509593360820954</c:v>
                </c:pt>
                <c:pt idx="65">
                  <c:v>-25.728077316485706</c:v>
                </c:pt>
                <c:pt idx="66">
                  <c:v>-25.942636509605723</c:v>
                </c:pt>
                <c:pt idx="67">
                  <c:v>-26.153304371544554</c:v>
                </c:pt>
                <c:pt idx="68">
                  <c:v>-26.360115147636844</c:v>
                </c:pt>
                <c:pt idx="69">
                  <c:v>-26.563103872261479</c:v>
                </c:pt>
                <c:pt idx="70">
                  <c:v>-26.762306773177659</c:v>
                </c:pt>
                <c:pt idx="71">
                  <c:v>-26.957761265840801</c:v>
                </c:pt>
                <c:pt idx="72">
                  <c:v>-27.149506127748456</c:v>
                </c:pt>
                <c:pt idx="73">
                  <c:v>-27.337581768165766</c:v>
                </c:pt>
                <c:pt idx="74">
                  <c:v>-27.522030336143164</c:v>
                </c:pt>
                <c:pt idx="75">
                  <c:v>-27.70289585098331</c:v>
                </c:pt>
                <c:pt idx="76">
                  <c:v>-27.880224476466076</c:v>
                </c:pt>
                <c:pt idx="77">
                  <c:v>-28.054064606107389</c:v>
                </c:pt>
                <c:pt idx="78">
                  <c:v>-28.224467091578131</c:v>
                </c:pt>
                <c:pt idx="79">
                  <c:v>-28.391485521280167</c:v>
                </c:pt>
                <c:pt idx="80">
                  <c:v>-28.55517620737043</c:v>
                </c:pt>
                <c:pt idx="81">
                  <c:v>-28.715598632339319</c:v>
                </c:pt>
                <c:pt idx="82">
                  <c:v>-28.872815505089093</c:v>
                </c:pt>
                <c:pt idx="83">
                  <c:v>-29.026893130769736</c:v>
                </c:pt>
                <c:pt idx="84">
                  <c:v>-29.177901530789452</c:v>
                </c:pt>
                <c:pt idx="85">
                  <c:v>-29.325914777095083</c:v>
                </c:pt>
                <c:pt idx="86">
                  <c:v>-29.471011244328185</c:v>
                </c:pt>
                <c:pt idx="87">
                  <c:v>-29.613273925187258</c:v>
                </c:pt>
                <c:pt idx="88">
                  <c:v>-29.752790782050649</c:v>
                </c:pt>
                <c:pt idx="89">
                  <c:v>-29.889654982208853</c:v>
                </c:pt>
                <c:pt idx="90">
                  <c:v>-30.02396536171814</c:v>
                </c:pt>
                <c:pt idx="91">
                  <c:v>-30.15582686560154</c:v>
                </c:pt>
                <c:pt idx="92">
                  <c:v>-30.285350784465059</c:v>
                </c:pt>
                <c:pt idx="93">
                  <c:v>-30.4100454148547</c:v>
                </c:pt>
                <c:pt idx="94">
                  <c:v>-30.532649702682633</c:v>
                </c:pt>
                <c:pt idx="95">
                  <c:v>-30.653300525939006</c:v>
                </c:pt>
                <c:pt idx="96">
                  <c:v>-30.772143346049223</c:v>
                </c:pt>
                <c:pt idx="97">
                  <c:v>-30.889332930258053</c:v>
                </c:pt>
                <c:pt idx="98">
                  <c:v>-31.005033928243694</c:v>
                </c:pt>
                <c:pt idx="99">
                  <c:v>-31.119421740831609</c:v>
                </c:pt>
                <c:pt idx="100">
                  <c:v>-31.232683443371673</c:v>
                </c:pt>
                <c:pt idx="101">
                  <c:v>-31.34501855246263</c:v>
                </c:pt>
                <c:pt idx="102">
                  <c:v>-31.456640313439941</c:v>
                </c:pt>
                <c:pt idx="103">
                  <c:v>-31.567776673342735</c:v>
                </c:pt>
                <c:pt idx="104">
                  <c:v>-31.67867170943002</c:v>
                </c:pt>
                <c:pt idx="105">
                  <c:v>-31.789586995434821</c:v>
                </c:pt>
                <c:pt idx="106">
                  <c:v>-31.900803222853266</c:v>
                </c:pt>
                <c:pt idx="107">
                  <c:v>-32.012621995579558</c:v>
                </c:pt>
                <c:pt idx="108">
                  <c:v>-32.125367882463927</c:v>
                </c:pt>
                <c:pt idx="109">
                  <c:v>-32.239390565467168</c:v>
                </c:pt>
                <c:pt idx="110">
                  <c:v>-32.355067492295277</c:v>
                </c:pt>
                <c:pt idx="111">
                  <c:v>-32.472806615630361</c:v>
                </c:pt>
                <c:pt idx="112">
                  <c:v>-32.593049727118654</c:v>
                </c:pt>
                <c:pt idx="113">
                  <c:v>-32.716275998899079</c:v>
                </c:pt>
                <c:pt idx="114">
                  <c:v>-32.843006210734458</c:v>
                </c:pt>
                <c:pt idx="115">
                  <c:v>-32.97380748287474</c:v>
                </c:pt>
                <c:pt idx="116">
                  <c:v>-33.10929864863045</c:v>
                </c:pt>
                <c:pt idx="117">
                  <c:v>-33.250156398566695</c:v>
                </c:pt>
                <c:pt idx="118">
                  <c:v>-33.397122524102528</c:v>
                </c:pt>
                <c:pt idx="119">
                  <c:v>-33.551012074354269</c:v>
                </c:pt>
                <c:pt idx="120">
                  <c:v>-33.712722839744032</c:v>
                </c:pt>
                <c:pt idx="121">
                  <c:v>-33.883246468318738</c:v>
                </c:pt>
                <c:pt idx="122">
                  <c:v>-34.063681302628915</c:v>
                </c:pt>
                <c:pt idx="123">
                  <c:v>-34.25524760737563</c:v>
                </c:pt>
                <c:pt idx="124">
                  <c:v>-34.459305168139686</c:v>
                </c:pt>
                <c:pt idx="125">
                  <c:v>-34.469360342556939</c:v>
                </c:pt>
                <c:pt idx="126">
                  <c:v>-34.073444232012214</c:v>
                </c:pt>
                <c:pt idx="127">
                  <c:v>-33.667149020277563</c:v>
                </c:pt>
                <c:pt idx="128">
                  <c:v>-33.250598468810345</c:v>
                </c:pt>
                <c:pt idx="129">
                  <c:v>-32.823919462943742</c:v>
                </c:pt>
                <c:pt idx="130">
                  <c:v>-32.387241973236264</c:v>
                </c:pt>
                <c:pt idx="131">
                  <c:v>-31.940699015881499</c:v>
                </c:pt>
                <c:pt idx="132">
                  <c:v>-31.484426612190003</c:v>
                </c:pt>
                <c:pt idx="133">
                  <c:v>-31.018563747155941</c:v>
                </c:pt>
                <c:pt idx="134">
                  <c:v>-30.543252327120918</c:v>
                </c:pt>
                <c:pt idx="135">
                  <c:v>-30.058637136547901</c:v>
                </c:pt>
                <c:pt idx="136">
                  <c:v>-29.564865793918564</c:v>
                </c:pt>
                <c:pt idx="137">
                  <c:v>-29.06208870676711</c:v>
                </c:pt>
                <c:pt idx="138">
                  <c:v>-28.5504590258648</c:v>
                </c:pt>
                <c:pt idx="139">
                  <c:v>-28.030132598568681</c:v>
                </c:pt>
                <c:pt idx="140">
                  <c:v>-27.501267921349069</c:v>
                </c:pt>
                <c:pt idx="141">
                  <c:v>-26.964026091509854</c:v>
                </c:pt>
                <c:pt idx="142">
                  <c:v>-26.418570758116779</c:v>
                </c:pt>
                <c:pt idx="143">
                  <c:v>-25.865068072148336</c:v>
                </c:pt>
                <c:pt idx="144">
                  <c:v>-25.303686635884553</c:v>
                </c:pt>
                <c:pt idx="145">
                  <c:v>-24.734597451549185</c:v>
                </c:pt>
                <c:pt idx="146">
                  <c:v>-24.157973869220655</c:v>
                </c:pt>
                <c:pt idx="147">
                  <c:v>-23.573991534028011</c:v>
                </c:pt>
                <c:pt idx="148">
                  <c:v>-22.954468176494817</c:v>
                </c:pt>
                <c:pt idx="149">
                  <c:v>-22.184260252202687</c:v>
                </c:pt>
                <c:pt idx="150">
                  <c:v>-21.424759435775503</c:v>
                </c:pt>
                <c:pt idx="151">
                  <c:v>-20.675254269337383</c:v>
                </c:pt>
                <c:pt idx="152">
                  <c:v>-19.935082330457217</c:v>
                </c:pt>
                <c:pt idx="153">
                  <c:v>-19.203626090221299</c:v>
                </c:pt>
                <c:pt idx="154">
                  <c:v>-18.480309141755921</c:v>
                </c:pt>
                <c:pt idx="155">
                  <c:v>-17.764592791464761</c:v>
                </c:pt>
                <c:pt idx="156">
                  <c:v>-17.055973010861216</c:v>
                </c:pt>
                <c:pt idx="157">
                  <c:v>-16.353977569518605</c:v>
                </c:pt>
                <c:pt idx="158">
                  <c:v>-15.6581634962415</c:v>
                </c:pt>
                <c:pt idx="159">
                  <c:v>-14.968114706443663</c:v>
                </c:pt>
                <c:pt idx="160">
                  <c:v>-14.283439926141986</c:v>
                </c:pt>
                <c:pt idx="161">
                  <c:v>-13.603770629772345</c:v>
                </c:pt>
                <c:pt idx="162">
                  <c:v>-12.928759316344028</c:v>
                </c:pt>
                <c:pt idx="163">
                  <c:v>-12.258077775940688</c:v>
                </c:pt>
                <c:pt idx="164">
                  <c:v>-11.591415598269366</c:v>
                </c:pt>
                <c:pt idx="165">
                  <c:v>-10.92847872441361</c:v>
                </c:pt>
                <c:pt idx="166">
                  <c:v>-10.268988118137628</c:v>
                </c:pt>
                <c:pt idx="167">
                  <c:v>-9.6126785574975724</c:v>
                </c:pt>
                <c:pt idx="168">
                  <c:v>-8.9592974797045564</c:v>
                </c:pt>
                <c:pt idx="169">
                  <c:v>-8.3086039004153367</c:v>
                </c:pt>
                <c:pt idx="170">
                  <c:v>-7.6603674233791281</c:v>
                </c:pt>
                <c:pt idx="171">
                  <c:v>-7.0143672756259772</c:v>
                </c:pt>
                <c:pt idx="172">
                  <c:v>-6.3703914499170402</c:v>
                </c:pt>
                <c:pt idx="173">
                  <c:v>-5.7282358170136209</c:v>
                </c:pt>
                <c:pt idx="174">
                  <c:v>-5.087703357465287</c:v>
                </c:pt>
                <c:pt idx="175">
                  <c:v>-4.4486033852955016</c:v>
                </c:pt>
                <c:pt idx="176">
                  <c:v>-3.8107508158789987</c:v>
                </c:pt>
                <c:pt idx="177">
                  <c:v>-3.1739654704413276</c:v>
                </c:pt>
                <c:pt idx="178">
                  <c:v>-2.5380713850282923</c:v>
                </c:pt>
                <c:pt idx="179">
                  <c:v>-1.9028961717230348</c:v>
                </c:pt>
                <c:pt idx="180">
                  <c:v>-1.2682703614131274</c:v>
                </c:pt>
                <c:pt idx="181">
                  <c:v>-0.63402679574830245</c:v>
                </c:pt>
              </c:numCache>
            </c:numRef>
          </c:xVal>
          <c:yVal>
            <c:numRef>
              <c:f>Reichweite_BRSC!$T$219:$T$400</c:f>
              <c:numCache>
                <c:formatCode>0.00</c:formatCode>
                <c:ptCount val="182"/>
                <c:pt idx="0">
                  <c:v>41.1</c:v>
                </c:pt>
                <c:pt idx="1">
                  <c:v>-41.1</c:v>
                </c:pt>
                <c:pt idx="2">
                  <c:v>-35.391628082676959</c:v>
                </c:pt>
                <c:pt idx="3">
                  <c:v>-35.363791941016764</c:v>
                </c:pt>
                <c:pt idx="4">
                  <c:v>-35.331749072714842</c:v>
                </c:pt>
                <c:pt idx="5">
                  <c:v>-35.295490713840266</c:v>
                </c:pt>
                <c:pt idx="6">
                  <c:v>-35.255009385972564</c:v>
                </c:pt>
                <c:pt idx="7">
                  <c:v>-35.210298919685115</c:v>
                </c:pt>
                <c:pt idx="8">
                  <c:v>-35.161354241840748</c:v>
                </c:pt>
                <c:pt idx="9">
                  <c:v>-35.108171598656668</c:v>
                </c:pt>
                <c:pt idx="10">
                  <c:v>-35.050748243773029</c:v>
                </c:pt>
                <c:pt idx="11">
                  <c:v>-34.989082634624047</c:v>
                </c:pt>
                <c:pt idx="12">
                  <c:v>-34.923174217612974</c:v>
                </c:pt>
                <c:pt idx="13">
                  <c:v>-34.853023470454559</c:v>
                </c:pt>
                <c:pt idx="14">
                  <c:v>-34.778631852967898</c:v>
                </c:pt>
                <c:pt idx="15">
                  <c:v>-34.700001690722999</c:v>
                </c:pt>
                <c:pt idx="16">
                  <c:v>-34.617136233704286</c:v>
                </c:pt>
                <c:pt idx="17">
                  <c:v>-34.530039544773992</c:v>
                </c:pt>
                <c:pt idx="18">
                  <c:v>-34.438716460125491</c:v>
                </c:pt>
                <c:pt idx="19">
                  <c:v>-34.343172520786041</c:v>
                </c:pt>
                <c:pt idx="20">
                  <c:v>-34.243413943748983</c:v>
                </c:pt>
                <c:pt idx="21">
                  <c:v>-33.920444539267365</c:v>
                </c:pt>
                <c:pt idx="22">
                  <c:v>-33.334183001427242</c:v>
                </c:pt>
                <c:pt idx="23">
                  <c:v>-32.76184178451399</c:v>
                </c:pt>
                <c:pt idx="24">
                  <c:v>-32.202233820064222</c:v>
                </c:pt>
                <c:pt idx="25">
                  <c:v>-31.654274664742832</c:v>
                </c:pt>
                <c:pt idx="26">
                  <c:v>-31.116971964837504</c:v>
                </c:pt>
                <c:pt idx="27">
                  <c:v>-30.589416033432585</c:v>
                </c:pt>
                <c:pt idx="28">
                  <c:v>-30.070771636884</c:v>
                </c:pt>
                <c:pt idx="29">
                  <c:v>-29.560270781567301</c:v>
                </c:pt>
                <c:pt idx="30">
                  <c:v>-29.057206141207775</c:v>
                </c:pt>
                <c:pt idx="31">
                  <c:v>-28.560925503557225</c:v>
                </c:pt>
                <c:pt idx="32">
                  <c:v>-28.070826585298054</c:v>
                </c:pt>
                <c:pt idx="33">
                  <c:v>-27.586352548345833</c:v>
                </c:pt>
                <c:pt idx="34">
                  <c:v>-27.106987926965463</c:v>
                </c:pt>
                <c:pt idx="35">
                  <c:v>-26.632255028467</c:v>
                </c:pt>
                <c:pt idx="36">
                  <c:v>-26.161710633067514</c:v>
                </c:pt>
                <c:pt idx="37">
                  <c:v>-25.6949431165643</c:v>
                </c:pt>
                <c:pt idx="38">
                  <c:v>-25.231569740994811</c:v>
                </c:pt>
                <c:pt idx="39">
                  <c:v>-24.771234298535102</c:v>
                </c:pt>
                <c:pt idx="40">
                  <c:v>-24.313604978083074</c:v>
                </c:pt>
                <c:pt idx="41">
                  <c:v>-23.858372314577927</c:v>
                </c:pt>
                <c:pt idx="42">
                  <c:v>-23.405247515568519</c:v>
                </c:pt>
                <c:pt idx="43">
                  <c:v>-22.953960746317005</c:v>
                </c:pt>
                <c:pt idx="44">
                  <c:v>-22.504259631077041</c:v>
                </c:pt>
                <c:pt idx="45">
                  <c:v>-22.055908015193168</c:v>
                </c:pt>
                <c:pt idx="46">
                  <c:v>-21.608684574570912</c:v>
                </c:pt>
                <c:pt idx="47">
                  <c:v>-21.162381740600075</c:v>
                </c:pt>
                <c:pt idx="48">
                  <c:v>-20.716804671080748</c:v>
                </c:pt>
                <c:pt idx="49">
                  <c:v>-20.271770183820625</c:v>
                </c:pt>
                <c:pt idx="50">
                  <c:v>-19.827105983045715</c:v>
                </c:pt>
                <c:pt idx="51">
                  <c:v>-19.382649689399045</c:v>
                </c:pt>
                <c:pt idx="52">
                  <c:v>-18.938248155078963</c:v>
                </c:pt>
                <c:pt idx="53">
                  <c:v>-18.493756717521606</c:v>
                </c:pt>
                <c:pt idx="54">
                  <c:v>-18.049038543181048</c:v>
                </c:pt>
                <c:pt idx="55">
                  <c:v>-17.603963917989322</c:v>
                </c:pt>
                <c:pt idx="56">
                  <c:v>-17.158409747210147</c:v>
                </c:pt>
                <c:pt idx="57">
                  <c:v>-16.71225893525218</c:v>
                </c:pt>
                <c:pt idx="58">
                  <c:v>-16.265399877388077</c:v>
                </c:pt>
                <c:pt idx="59">
                  <c:v>-15.81772595339952</c:v>
                </c:pt>
                <c:pt idx="60">
                  <c:v>-15.369135025488855</c:v>
                </c:pt>
                <c:pt idx="61">
                  <c:v>-14.919529032784213</c:v>
                </c:pt>
                <c:pt idx="62">
                  <c:v>-14.468813491462432</c:v>
                </c:pt>
                <c:pt idx="63">
                  <c:v>-14.016897114416658</c:v>
                </c:pt>
                <c:pt idx="64">
                  <c:v>-13.56369138779754</c:v>
                </c:pt>
                <c:pt idx="65">
                  <c:v>-13.109110159309802</c:v>
                </c:pt>
                <c:pt idx="66">
                  <c:v>-12.653069259053234</c:v>
                </c:pt>
                <c:pt idx="67">
                  <c:v>-12.195486114509819</c:v>
                </c:pt>
                <c:pt idx="68">
                  <c:v>-11.736279411763977</c:v>
                </c:pt>
                <c:pt idx="69">
                  <c:v>-11.275368634134834</c:v>
                </c:pt>
                <c:pt idx="70">
                  <c:v>-10.812673800209632</c:v>
                </c:pt>
                <c:pt idx="71">
                  <c:v>-10.348115015027103</c:v>
                </c:pt>
                <c:pt idx="72">
                  <c:v>-9.8816121055282959</c:v>
                </c:pt>
                <c:pt idx="73">
                  <c:v>-9.4130842833435846</c:v>
                </c:pt>
                <c:pt idx="74">
                  <c:v>-8.942449736532474</c:v>
                </c:pt>
                <c:pt idx="75">
                  <c:v>-8.4696252268994332</c:v>
                </c:pt>
                <c:pt idx="76">
                  <c:v>-7.9945257225464141</c:v>
                </c:pt>
                <c:pt idx="77">
                  <c:v>-7.5170639556170133</c:v>
                </c:pt>
                <c:pt idx="78">
                  <c:v>-7.0371500112562533</c:v>
                </c:pt>
                <c:pt idx="79">
                  <c:v>-6.5546909056655753</c:v>
                </c:pt>
                <c:pt idx="80">
                  <c:v>-6.0695900725202945</c:v>
                </c:pt>
                <c:pt idx="81">
                  <c:v>-5.5817469392287569</c:v>
                </c:pt>
                <c:pt idx="82">
                  <c:v>-5.0910563825649131</c:v>
                </c:pt>
                <c:pt idx="83">
                  <c:v>-4.5974082228770969</c:v>
                </c:pt>
                <c:pt idx="84">
                  <c:v>-4.1006866360013463</c:v>
                </c:pt>
                <c:pt idx="85">
                  <c:v>-3.6007695689816117</c:v>
                </c:pt>
                <c:pt idx="86">
                  <c:v>-3.0975280993412628</c:v>
                </c:pt>
                <c:pt idx="87">
                  <c:v>-2.5908257583417291</c:v>
                </c:pt>
                <c:pt idx="88">
                  <c:v>-2.0805178058110743</c:v>
                </c:pt>
                <c:pt idx="89">
                  <c:v>-1.5664504411538687</c:v>
                </c:pt>
                <c:pt idx="90">
                  <c:v>-1.0484599736247711</c:v>
                </c:pt>
                <c:pt idx="91">
                  <c:v>-0.52637191590316257</c:v>
                </c:pt>
                <c:pt idx="92">
                  <c:v>-5.5656076079929396E-15</c:v>
                </c:pt>
                <c:pt idx="93">
                  <c:v>0.53080931718632263</c:v>
                </c:pt>
                <c:pt idx="94">
                  <c:v>1.0662236222396695</c:v>
                </c:pt>
                <c:pt idx="95">
                  <c:v>1.6064714082601459</c:v>
                </c:pt>
                <c:pt idx="96">
                  <c:v>2.1517978808579268</c:v>
                </c:pt>
                <c:pt idx="97">
                  <c:v>2.7024664552755824</c:v>
                </c:pt>
                <c:pt idx="98">
                  <c:v>3.2587603804143908</c:v>
                </c:pt>
                <c:pt idx="99">
                  <c:v>3.8209845340003183</c:v>
                </c:pt>
                <c:pt idx="100">
                  <c:v>4.3894674011270167</c:v>
                </c:pt>
                <c:pt idx="101">
                  <c:v>4.9645632203939938</c:v>
                </c:pt>
                <c:pt idx="102">
                  <c:v>5.5466544097010333</c:v>
                </c:pt>
                <c:pt idx="103">
                  <c:v>6.136154188554829</c:v>
                </c:pt>
                <c:pt idx="104">
                  <c:v>6.7335095368298505</c:v>
                </c:pt>
                <c:pt idx="105">
                  <c:v>7.3392044462647599</c:v>
                </c:pt>
                <c:pt idx="106">
                  <c:v>7.9537635566472966</c:v>
                </c:pt>
                <c:pt idx="107">
                  <c:v>8.5777562113183201</c:v>
                </c:pt>
                <c:pt idx="108">
                  <c:v>9.2118010061007443</c:v>
                </c:pt>
                <c:pt idx="109">
                  <c:v>9.8565708473921827</c:v>
                </c:pt>
                <c:pt idx="110">
                  <c:v>10.512798701191755</c:v>
                </c:pt>
                <c:pt idx="111">
                  <c:v>11.18128399877684</c:v>
                </c:pt>
                <c:pt idx="112">
                  <c:v>11.862899944629369</c:v>
                </c:pt>
                <c:pt idx="113">
                  <c:v>12.558601716269733</c:v>
                </c:pt>
                <c:pt idx="114">
                  <c:v>13.269435844403654</c:v>
                </c:pt>
                <c:pt idx="115">
                  <c:v>13.996550871024134</c:v>
                </c:pt>
                <c:pt idx="116">
                  <c:v>14.741209508817411</c:v>
                </c:pt>
                <c:pt idx="117">
                  <c:v>15.504802563503086</c:v>
                </c:pt>
                <c:pt idx="118">
                  <c:v>16.288865019331759</c:v>
                </c:pt>
                <c:pt idx="119">
                  <c:v>17.095094508178363</c:v>
                </c:pt>
                <c:pt idx="120">
                  <c:v>17.925372700881233</c:v>
                </c:pt>
                <c:pt idx="121">
                  <c:v>18.781790209994156</c:v>
                </c:pt>
                <c:pt idx="122">
                  <c:v>19.666675569662431</c:v>
                </c:pt>
                <c:pt idx="123">
                  <c:v>20.582629282310076</c:v>
                </c:pt>
                <c:pt idx="124">
                  <c:v>21.53256368766117</c:v>
                </c:pt>
                <c:pt idx="125">
                  <c:v>22.384664339117595</c:v>
                </c:pt>
                <c:pt idx="126">
                  <c:v>22.982828332647703</c:v>
                </c:pt>
                <c:pt idx="127">
                  <c:v>23.573991534027993</c:v>
                </c:pt>
                <c:pt idx="128">
                  <c:v>24.157973869220637</c:v>
                </c:pt>
                <c:pt idx="129">
                  <c:v>24.73459745154917</c:v>
                </c:pt>
                <c:pt idx="130">
                  <c:v>25.303686635884567</c:v>
                </c:pt>
                <c:pt idx="131">
                  <c:v>25.865068072148322</c:v>
                </c:pt>
                <c:pt idx="132">
                  <c:v>26.418570758116765</c:v>
                </c:pt>
                <c:pt idx="133">
                  <c:v>26.96402609150984</c:v>
                </c:pt>
                <c:pt idx="134">
                  <c:v>27.501267921349058</c:v>
                </c:pt>
                <c:pt idx="135">
                  <c:v>28.030132598568692</c:v>
                </c:pt>
                <c:pt idx="136">
                  <c:v>28.550459025864789</c:v>
                </c:pt>
                <c:pt idx="137">
                  <c:v>29.062088706767096</c:v>
                </c:pt>
                <c:pt idx="138">
                  <c:v>29.56486579391855</c:v>
                </c:pt>
                <c:pt idx="139">
                  <c:v>30.058637136547915</c:v>
                </c:pt>
                <c:pt idx="140">
                  <c:v>30.543252327120904</c:v>
                </c:pt>
                <c:pt idx="141">
                  <c:v>31.018563747155927</c:v>
                </c:pt>
                <c:pt idx="142">
                  <c:v>31.484426612189989</c:v>
                </c:pt>
                <c:pt idx="143">
                  <c:v>31.940699015881492</c:v>
                </c:pt>
                <c:pt idx="144">
                  <c:v>32.387241973236279</c:v>
                </c:pt>
                <c:pt idx="145">
                  <c:v>32.823919462943735</c:v>
                </c:pt>
                <c:pt idx="146">
                  <c:v>33.250598468810338</c:v>
                </c:pt>
                <c:pt idx="147">
                  <c:v>33.667149020277556</c:v>
                </c:pt>
                <c:pt idx="148">
                  <c:v>34.031398571439055</c:v>
                </c:pt>
                <c:pt idx="149">
                  <c:v>34.160765110511385</c:v>
                </c:pt>
                <c:pt idx="150">
                  <c:v>34.286782301469586</c:v>
                </c:pt>
                <c:pt idx="151">
                  <c:v>34.409401472838127</c:v>
                </c:pt>
                <c:pt idx="152">
                  <c:v>34.528575449420437</c:v>
                </c:pt>
                <c:pt idx="153">
                  <c:v>34.6442585411355</c:v>
                </c:pt>
                <c:pt idx="154">
                  <c:v>34.756406490682117</c:v>
                </c:pt>
                <c:pt idx="155">
                  <c:v>34.864976438549796</c:v>
                </c:pt>
                <c:pt idx="156">
                  <c:v>34.969926986041507</c:v>
                </c:pt>
                <c:pt idx="157">
                  <c:v>35.071218075690759</c:v>
                </c:pt>
                <c:pt idx="158">
                  <c:v>35.168811024363023</c:v>
                </c:pt>
                <c:pt idx="159">
                  <c:v>35.262668443096601</c:v>
                </c:pt>
                <c:pt idx="160">
                  <c:v>35.352754382755421</c:v>
                </c:pt>
                <c:pt idx="161">
                  <c:v>35.439034106222586</c:v>
                </c:pt>
                <c:pt idx="162">
                  <c:v>35.521474283218815</c:v>
                </c:pt>
                <c:pt idx="163">
                  <c:v>35.600042816283199</c:v>
                </c:pt>
                <c:pt idx="164">
                  <c:v>35.674708959350042</c:v>
                </c:pt>
                <c:pt idx="165">
                  <c:v>35.745443251796424</c:v>
                </c:pt>
                <c:pt idx="166">
                  <c:v>35.812217486823869</c:v>
                </c:pt>
                <c:pt idx="167">
                  <c:v>35.875004773408861</c:v>
                </c:pt>
                <c:pt idx="168">
                  <c:v>35.933779509474753</c:v>
                </c:pt>
                <c:pt idx="169">
                  <c:v>35.988517343632203</c:v>
                </c:pt>
                <c:pt idx="170">
                  <c:v>36.039195229697235</c:v>
                </c:pt>
                <c:pt idx="171">
                  <c:v>36.085791337312372</c:v>
                </c:pt>
                <c:pt idx="172">
                  <c:v>36.128285213762602</c:v>
                </c:pt>
                <c:pt idx="173">
                  <c:v>36.166657566085519</c:v>
                </c:pt>
                <c:pt idx="174">
                  <c:v>36.200890426180869</c:v>
                </c:pt>
                <c:pt idx="175">
                  <c:v>36.230967090507178</c:v>
                </c:pt>
                <c:pt idx="176">
                  <c:v>36.256872106498875</c:v>
                </c:pt>
                <c:pt idx="177">
                  <c:v>36.278591334302824</c:v>
                </c:pt>
                <c:pt idx="178">
                  <c:v>36.296111813000032</c:v>
                </c:pt>
                <c:pt idx="179">
                  <c:v>36.309421955201586</c:v>
                </c:pt>
                <c:pt idx="180">
                  <c:v>36.318511300641383</c:v>
                </c:pt>
                <c:pt idx="181">
                  <c:v>36.323370801293493</c:v>
                </c:pt>
              </c:numCache>
            </c:numRef>
          </c:yVal>
          <c:smooth val="0"/>
          <c:extLst>
            <c:ext xmlns:c16="http://schemas.microsoft.com/office/drawing/2014/chart" uri="{C3380CC4-5D6E-409C-BE32-E72D297353CC}">
              <c16:uniqueId val="{00000000-CD9E-4AE6-B8A9-F91B36E7BBAE}"/>
            </c:ext>
          </c:extLst>
        </c:ser>
        <c:dLbls>
          <c:showLegendKey val="0"/>
          <c:showVal val="0"/>
          <c:showCatName val="0"/>
          <c:showSerName val="0"/>
          <c:showPercent val="0"/>
          <c:showBubbleSize val="0"/>
        </c:dLbls>
        <c:axId val="76102656"/>
        <c:axId val="76104832"/>
      </c:scatterChart>
      <c:valAx>
        <c:axId val="76102656"/>
        <c:scaling>
          <c:orientation val="minMax"/>
          <c:max val="0"/>
        </c:scaling>
        <c:delete val="0"/>
        <c:axPos val="b"/>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76104832"/>
        <c:crossesAt val="-11000"/>
        <c:crossBetween val="midCat"/>
        <c:majorUnit val="5"/>
        <c:minorUnit val="1"/>
      </c:valAx>
      <c:valAx>
        <c:axId val="76104832"/>
        <c:scaling>
          <c:orientation val="minMax"/>
        </c:scaling>
        <c:delete val="0"/>
        <c:axPos val="r"/>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de-DE"/>
          </a:p>
        </c:txPr>
        <c:crossAx val="76102656"/>
        <c:crosses val="max"/>
        <c:crossBetween val="midCat"/>
        <c:majorUnit val="5"/>
        <c:minorUnit val="1"/>
      </c:valAx>
      <c:spPr>
        <a:solidFill>
          <a:srgbClr val="C0C0C0"/>
        </a:solidFill>
        <a:ln w="12700">
          <a:solidFill>
            <a:srgbClr val="808080"/>
          </a:solidFill>
          <a:prstDash val="solid"/>
        </a:ln>
      </c:spPr>
    </c:plotArea>
    <c:plotVisOnly val="1"/>
    <c:dispBlanksAs val="gap"/>
    <c:showDLblsOverMax val="0"/>
  </c:chart>
  <c:spPr>
    <a:noFill/>
    <a:ln w="9525">
      <a:noFill/>
    </a:ln>
  </c:spPr>
  <c:txPr>
    <a:bodyPr/>
    <a:lstStyle/>
    <a:p>
      <a:pPr>
        <a:defRPr sz="800" b="0" i="0" u="none" strike="noStrike" baseline="0">
          <a:solidFill>
            <a:srgbClr val="000000"/>
          </a:solidFill>
          <a:latin typeface="Arial"/>
          <a:ea typeface="Arial"/>
          <a:cs typeface="Arial"/>
        </a:defRPr>
      </a:pPr>
      <a:endParaRPr lang="de-DE"/>
    </a:p>
  </c:txPr>
  <c:printSettings>
    <c:headerFooter alignWithMargins="0"/>
    <c:pageMargins b="0.98425196899999956" l="0.7500000000000091" r="0.7500000000000091" t="0.98425196899999956" header="0.49212598450000522" footer="0.49212598450000522"/>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cid:image003.png@01D24978.82117110" TargetMode="External"/><Relationship Id="rId2" Type="http://schemas.openxmlformats.org/officeDocument/2006/relationships/image" Target="../media/image5.jpe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9</xdr:col>
      <xdr:colOff>476251</xdr:colOff>
      <xdr:row>59</xdr:row>
      <xdr:rowOff>161924</xdr:rowOff>
    </xdr:from>
    <xdr:to>
      <xdr:col>15</xdr:col>
      <xdr:colOff>133350</xdr:colOff>
      <xdr:row>78</xdr:row>
      <xdr:rowOff>157262</xdr:rowOff>
    </xdr:to>
    <xdr:pic>
      <xdr:nvPicPr>
        <xdr:cNvPr id="2" name="Grafik 1">
          <a:extLst>
            <a:ext uri="{FF2B5EF4-FFF2-40B4-BE49-F238E27FC236}">
              <a16:creationId xmlns:a16="http://schemas.microsoft.com/office/drawing/2014/main" id="{82A84601-428B-4D6F-80EC-8BCB26CC3B8B}"/>
            </a:ext>
          </a:extLst>
        </xdr:cNvPr>
        <xdr:cNvPicPr>
          <a:picLocks noChangeAspect="1"/>
        </xdr:cNvPicPr>
      </xdr:nvPicPr>
      <xdr:blipFill>
        <a:blip xmlns:r="http://schemas.openxmlformats.org/officeDocument/2006/relationships" r:embed="rId1"/>
        <a:stretch>
          <a:fillRect/>
        </a:stretch>
      </xdr:blipFill>
      <xdr:spPr>
        <a:xfrm>
          <a:off x="5886451" y="10391774"/>
          <a:ext cx="4229099" cy="3071913"/>
        </a:xfrm>
        <a:prstGeom prst="rect">
          <a:avLst/>
        </a:prstGeom>
      </xdr:spPr>
    </xdr:pic>
    <xdr:clientData/>
  </xdr:twoCellAnchor>
  <xdr:twoCellAnchor editAs="oneCell">
    <xdr:from>
      <xdr:col>16</xdr:col>
      <xdr:colOff>0</xdr:colOff>
      <xdr:row>60</xdr:row>
      <xdr:rowOff>19051</xdr:rowOff>
    </xdr:from>
    <xdr:to>
      <xdr:col>21</xdr:col>
      <xdr:colOff>542925</xdr:colOff>
      <xdr:row>78</xdr:row>
      <xdr:rowOff>133350</xdr:rowOff>
    </xdr:to>
    <xdr:pic>
      <xdr:nvPicPr>
        <xdr:cNvPr id="4" name="Grafik 3">
          <a:extLst>
            <a:ext uri="{FF2B5EF4-FFF2-40B4-BE49-F238E27FC236}">
              <a16:creationId xmlns:a16="http://schemas.microsoft.com/office/drawing/2014/main" id="{5235E368-5517-402A-9D17-A28D07092D6F}"/>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44200" y="10410826"/>
          <a:ext cx="4352925" cy="3028949"/>
        </a:xfrm>
        <a:prstGeom prst="rect">
          <a:avLst/>
        </a:prstGeom>
        <a:noFill/>
        <a:ln>
          <a:noFill/>
        </a:ln>
      </xdr:spPr>
    </xdr:pic>
    <xdr:clientData/>
  </xdr:twoCellAnchor>
  <xdr:twoCellAnchor editAs="oneCell">
    <xdr:from>
      <xdr:col>9</xdr:col>
      <xdr:colOff>447675</xdr:colOff>
      <xdr:row>79</xdr:row>
      <xdr:rowOff>95250</xdr:rowOff>
    </xdr:from>
    <xdr:to>
      <xdr:col>15</xdr:col>
      <xdr:colOff>0</xdr:colOff>
      <xdr:row>103</xdr:row>
      <xdr:rowOff>114300</xdr:rowOff>
    </xdr:to>
    <xdr:pic>
      <xdr:nvPicPr>
        <xdr:cNvPr id="5" name="Grafik 4">
          <a:extLst>
            <a:ext uri="{FF2B5EF4-FFF2-40B4-BE49-F238E27FC236}">
              <a16:creationId xmlns:a16="http://schemas.microsoft.com/office/drawing/2014/main" id="{8A635DCD-F1CD-47AF-971A-959C2BD0A7C1}"/>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857875" y="13563600"/>
          <a:ext cx="4124325" cy="3905250"/>
        </a:xfrm>
        <a:prstGeom prst="rect">
          <a:avLst/>
        </a:prstGeom>
        <a:noFill/>
        <a:ln>
          <a:noFill/>
        </a:ln>
      </xdr:spPr>
    </xdr:pic>
    <xdr:clientData/>
  </xdr:twoCellAnchor>
</xdr:wsDr>
</file>

<file path=xl/drawings/drawing10.xml><?xml version="1.0" encoding="utf-8"?>
<c:userShapes xmlns:c="http://schemas.openxmlformats.org/drawingml/2006/chart">
  <cdr:relSizeAnchor xmlns:cdr="http://schemas.openxmlformats.org/drawingml/2006/chartDrawing">
    <cdr:from>
      <cdr:x>0.1315</cdr:x>
      <cdr:y>0.10965</cdr:y>
    </cdr:from>
    <cdr:to>
      <cdr:x>0.15054</cdr:x>
      <cdr:y>0.1413</cdr:y>
    </cdr:to>
    <cdr:sp macro="" textlink="">
      <cdr:nvSpPr>
        <cdr:cNvPr id="47105" name="Text Box 1"/>
        <cdr:cNvSpPr txBox="1">
          <a:spLocks xmlns:a="http://schemas.openxmlformats.org/drawingml/2006/main" noChangeArrowheads="1"/>
        </cdr:cNvSpPr>
      </cdr:nvSpPr>
      <cdr:spPr bwMode="auto">
        <a:xfrm xmlns:a="http://schemas.openxmlformats.org/drawingml/2006/main">
          <a:off x="271443" y="229921"/>
          <a:ext cx="39306" cy="6636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9144" tIns="18288" rIns="0" bIns="0" anchor="t" upright="1">
          <a:spAutoFit/>
        </a:bodyPr>
        <a:lstStyle xmlns:a="http://schemas.openxmlformats.org/drawingml/2006/main"/>
        <a:p xmlns:a="http://schemas.openxmlformats.org/drawingml/2006/main">
          <a:pPr algn="l" rtl="0">
            <a:defRPr sz="1000"/>
          </a:pPr>
          <a:r>
            <a:rPr lang="de-DE" sz="325" b="1" i="0" u="none" strike="noStrike" baseline="0">
              <a:solidFill>
                <a:srgbClr val="000000"/>
              </a:solidFill>
              <a:latin typeface="Arial"/>
              <a:cs typeface="Arial"/>
            </a:rPr>
            <a:t>A</a:t>
          </a:r>
        </a:p>
      </cdr:txBody>
    </cdr:sp>
  </cdr:relSizeAnchor>
  <cdr:relSizeAnchor xmlns:cdr="http://schemas.openxmlformats.org/drawingml/2006/chartDrawing">
    <cdr:from>
      <cdr:x>0.1315</cdr:x>
      <cdr:y>0.74231</cdr:y>
    </cdr:from>
    <cdr:to>
      <cdr:x>0.15054</cdr:x>
      <cdr:y>0.77396</cdr:y>
    </cdr:to>
    <cdr:sp macro="" textlink="">
      <cdr:nvSpPr>
        <cdr:cNvPr id="47106" name="Text Box 2"/>
        <cdr:cNvSpPr txBox="1">
          <a:spLocks xmlns:a="http://schemas.openxmlformats.org/drawingml/2006/main" noChangeArrowheads="1"/>
        </cdr:cNvSpPr>
      </cdr:nvSpPr>
      <cdr:spPr bwMode="auto">
        <a:xfrm xmlns:a="http://schemas.openxmlformats.org/drawingml/2006/main">
          <a:off x="271443" y="1556521"/>
          <a:ext cx="39306" cy="6636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9144" tIns="18288" rIns="0" bIns="0" anchor="t" upright="1">
          <a:spAutoFit/>
        </a:bodyPr>
        <a:lstStyle xmlns:a="http://schemas.openxmlformats.org/drawingml/2006/main"/>
        <a:p xmlns:a="http://schemas.openxmlformats.org/drawingml/2006/main">
          <a:pPr algn="l" rtl="0">
            <a:defRPr sz="1000"/>
          </a:pPr>
          <a:r>
            <a:rPr lang="de-DE" sz="325" b="1" i="0" u="none" strike="noStrike" baseline="0">
              <a:solidFill>
                <a:srgbClr val="000000"/>
              </a:solidFill>
              <a:latin typeface="Arial"/>
              <a:cs typeface="Arial"/>
            </a:rPr>
            <a:t>B</a:t>
          </a:r>
        </a:p>
      </cdr:txBody>
    </cdr:sp>
  </cdr:relSizeAnchor>
  <cdr:relSizeAnchor xmlns:cdr="http://schemas.openxmlformats.org/drawingml/2006/chartDrawing">
    <cdr:from>
      <cdr:x>0.82582</cdr:x>
      <cdr:y>0.12822</cdr:y>
    </cdr:from>
    <cdr:to>
      <cdr:x>0.84486</cdr:x>
      <cdr:y>0.15987</cdr:y>
    </cdr:to>
    <cdr:sp macro="" textlink="">
      <cdr:nvSpPr>
        <cdr:cNvPr id="47107" name="Text Box 3"/>
        <cdr:cNvSpPr txBox="1">
          <a:spLocks xmlns:a="http://schemas.openxmlformats.org/drawingml/2006/main" noChangeArrowheads="1"/>
        </cdr:cNvSpPr>
      </cdr:nvSpPr>
      <cdr:spPr bwMode="auto">
        <a:xfrm xmlns:a="http://schemas.openxmlformats.org/drawingml/2006/main">
          <a:off x="1704661" y="268860"/>
          <a:ext cx="39306" cy="6636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9144" tIns="18288" rIns="0" bIns="0" anchor="t" upright="1">
          <a:spAutoFit/>
        </a:bodyPr>
        <a:lstStyle xmlns:a="http://schemas.openxmlformats.org/drawingml/2006/main"/>
        <a:p xmlns:a="http://schemas.openxmlformats.org/drawingml/2006/main">
          <a:pPr algn="l" rtl="0">
            <a:defRPr sz="1000"/>
          </a:pPr>
          <a:r>
            <a:rPr lang="de-DE" sz="325" b="1" i="0" u="none" strike="noStrike" baseline="0">
              <a:solidFill>
                <a:srgbClr val="000000"/>
              </a:solidFill>
              <a:latin typeface="Arial"/>
              <a:cs typeface="Arial"/>
            </a:rPr>
            <a:t>D</a:t>
          </a:r>
        </a:p>
      </cdr:txBody>
    </cdr:sp>
  </cdr:relSizeAnchor>
  <cdr:relSizeAnchor xmlns:cdr="http://schemas.openxmlformats.org/drawingml/2006/chartDrawing">
    <cdr:from>
      <cdr:x>0.81762</cdr:x>
      <cdr:y>0.80355</cdr:y>
    </cdr:from>
    <cdr:to>
      <cdr:x>0.83666</cdr:x>
      <cdr:y>0.8352</cdr:y>
    </cdr:to>
    <cdr:sp macro="" textlink="">
      <cdr:nvSpPr>
        <cdr:cNvPr id="47108" name="Text Box 4"/>
        <cdr:cNvSpPr txBox="1">
          <a:spLocks xmlns:a="http://schemas.openxmlformats.org/drawingml/2006/main" noChangeArrowheads="1"/>
        </cdr:cNvSpPr>
      </cdr:nvSpPr>
      <cdr:spPr bwMode="auto">
        <a:xfrm xmlns:a="http://schemas.openxmlformats.org/drawingml/2006/main">
          <a:off x="1687734" y="1684933"/>
          <a:ext cx="39306" cy="6636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9144" tIns="18288" rIns="0" bIns="0" anchor="t" upright="1">
          <a:spAutoFit/>
        </a:bodyPr>
        <a:lstStyle xmlns:a="http://schemas.openxmlformats.org/drawingml/2006/main"/>
        <a:p xmlns:a="http://schemas.openxmlformats.org/drawingml/2006/main">
          <a:pPr algn="l" rtl="0">
            <a:defRPr sz="1000"/>
          </a:pPr>
          <a:r>
            <a:rPr lang="de-DE" sz="325" b="1" i="0" u="none" strike="noStrike" baseline="0">
              <a:solidFill>
                <a:srgbClr val="000000"/>
              </a:solidFill>
              <a:latin typeface="Arial"/>
              <a:cs typeface="Arial"/>
            </a:rPr>
            <a:t>C</a:t>
          </a:r>
        </a:p>
      </cdr:txBody>
    </cdr:sp>
  </cdr:relSizeAnchor>
  <cdr:relSizeAnchor xmlns:cdr="http://schemas.openxmlformats.org/drawingml/2006/chartDrawing">
    <cdr:from>
      <cdr:x>0.49759</cdr:x>
      <cdr:y>0.5</cdr:y>
    </cdr:from>
    <cdr:to>
      <cdr:x>0.54775</cdr:x>
      <cdr:y>0.54677</cdr:y>
    </cdr:to>
    <cdr:sp macro="" textlink="">
      <cdr:nvSpPr>
        <cdr:cNvPr id="47109" name="Text Box 5"/>
        <cdr:cNvSpPr txBox="1">
          <a:spLocks xmlns:a="http://schemas.openxmlformats.org/drawingml/2006/main" noChangeArrowheads="1"/>
        </cdr:cNvSpPr>
      </cdr:nvSpPr>
      <cdr:spPr bwMode="auto">
        <a:xfrm xmlns:a="http://schemas.openxmlformats.org/drawingml/2006/main">
          <a:off x="1344462" y="1341438"/>
          <a:ext cx="135217" cy="12519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de-DE" sz="550" b="0" i="0" u="none" strike="noStrike" baseline="0">
              <a:solidFill>
                <a:srgbClr val="000000"/>
              </a:solidFill>
              <a:latin typeface="Arial"/>
              <a:cs typeface="Arial"/>
            </a:rPr>
            <a:t>0+</a:t>
          </a:r>
        </a:p>
      </cdr:txBody>
    </cdr:sp>
  </cdr:relSizeAnchor>
</c:userShapes>
</file>

<file path=xl/drawings/drawing2.xml><?xml version="1.0" encoding="utf-8"?>
<xdr:wsDr xmlns:xdr="http://schemas.openxmlformats.org/drawingml/2006/spreadsheetDrawing" xmlns:a="http://schemas.openxmlformats.org/drawingml/2006/main">
  <xdr:twoCellAnchor editAs="oneCell">
    <xdr:from>
      <xdr:col>11</xdr:col>
      <xdr:colOff>190501</xdr:colOff>
      <xdr:row>195</xdr:row>
      <xdr:rowOff>33618</xdr:rowOff>
    </xdr:from>
    <xdr:to>
      <xdr:col>18</xdr:col>
      <xdr:colOff>147876</xdr:colOff>
      <xdr:row>205</xdr:row>
      <xdr:rowOff>134727</xdr:rowOff>
    </xdr:to>
    <xdr:pic>
      <xdr:nvPicPr>
        <xdr:cNvPr id="4" name="Grafik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4200526" y="30037368"/>
          <a:ext cx="2688852" cy="1971673"/>
        </a:xfrm>
        <a:prstGeom prst="rect">
          <a:avLst/>
        </a:prstGeom>
      </xdr:spPr>
    </xdr:pic>
    <xdr:clientData/>
  </xdr:twoCellAnchor>
  <xdr:twoCellAnchor>
    <xdr:from>
      <xdr:col>15</xdr:col>
      <xdr:colOff>180975</xdr:colOff>
      <xdr:row>206</xdr:row>
      <xdr:rowOff>219074</xdr:rowOff>
    </xdr:from>
    <xdr:to>
      <xdr:col>16</xdr:col>
      <xdr:colOff>0</xdr:colOff>
      <xdr:row>214</xdr:row>
      <xdr:rowOff>228599</xdr:rowOff>
    </xdr:to>
    <xdr:sp macro="" textlink="">
      <xdr:nvSpPr>
        <xdr:cNvPr id="5" name="Rechteck 4">
          <a:extLst>
            <a:ext uri="{FF2B5EF4-FFF2-40B4-BE49-F238E27FC236}">
              <a16:creationId xmlns:a16="http://schemas.microsoft.com/office/drawing/2014/main" id="{00000000-0008-0000-0400-000005000000}"/>
            </a:ext>
          </a:extLst>
        </xdr:cNvPr>
        <xdr:cNvSpPr/>
      </xdr:nvSpPr>
      <xdr:spPr bwMode="auto">
        <a:xfrm>
          <a:off x="5619750" y="32356424"/>
          <a:ext cx="171450" cy="199072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de-DE" sz="1100"/>
        </a:p>
      </xdr:txBody>
    </xdr:sp>
    <xdr:clientData/>
  </xdr:twoCellAnchor>
  <xdr:twoCellAnchor>
    <xdr:from>
      <xdr:col>15</xdr:col>
      <xdr:colOff>9525</xdr:colOff>
      <xdr:row>210</xdr:row>
      <xdr:rowOff>161925</xdr:rowOff>
    </xdr:from>
    <xdr:to>
      <xdr:col>15</xdr:col>
      <xdr:colOff>180975</xdr:colOff>
      <xdr:row>219</xdr:row>
      <xdr:rowOff>171450</xdr:rowOff>
    </xdr:to>
    <xdr:sp macro="" textlink="">
      <xdr:nvSpPr>
        <xdr:cNvPr id="6" name="Rechteck 5">
          <a:extLst>
            <a:ext uri="{FF2B5EF4-FFF2-40B4-BE49-F238E27FC236}">
              <a16:creationId xmlns:a16="http://schemas.microsoft.com/office/drawing/2014/main" id="{00000000-0008-0000-0400-000006000000}"/>
            </a:ext>
          </a:extLst>
        </xdr:cNvPr>
        <xdr:cNvSpPr/>
      </xdr:nvSpPr>
      <xdr:spPr bwMode="auto">
        <a:xfrm>
          <a:off x="5448300" y="33289875"/>
          <a:ext cx="171450" cy="22383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de-DE" sz="1100"/>
        </a:p>
      </xdr:txBody>
    </xdr:sp>
    <xdr:clientData/>
  </xdr:twoCellAnchor>
  <xdr:twoCellAnchor>
    <xdr:from>
      <xdr:col>3</xdr:col>
      <xdr:colOff>123825</xdr:colOff>
      <xdr:row>206</xdr:row>
      <xdr:rowOff>142874</xdr:rowOff>
    </xdr:from>
    <xdr:to>
      <xdr:col>3</xdr:col>
      <xdr:colOff>295275</xdr:colOff>
      <xdr:row>214</xdr:row>
      <xdr:rowOff>152399</xdr:rowOff>
    </xdr:to>
    <xdr:sp macro="" textlink="">
      <xdr:nvSpPr>
        <xdr:cNvPr id="7" name="Rechteck 6">
          <a:extLst>
            <a:ext uri="{FF2B5EF4-FFF2-40B4-BE49-F238E27FC236}">
              <a16:creationId xmlns:a16="http://schemas.microsoft.com/office/drawing/2014/main" id="{00000000-0008-0000-0400-000007000000}"/>
            </a:ext>
          </a:extLst>
        </xdr:cNvPr>
        <xdr:cNvSpPr/>
      </xdr:nvSpPr>
      <xdr:spPr bwMode="auto">
        <a:xfrm>
          <a:off x="1314450" y="32280224"/>
          <a:ext cx="171450" cy="199072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de-DE" sz="1100"/>
        </a:p>
      </xdr:txBody>
    </xdr:sp>
    <xdr:clientData/>
  </xdr:twoCellAnchor>
  <xdr:twoCellAnchor>
    <xdr:from>
      <xdr:col>2</xdr:col>
      <xdr:colOff>457200</xdr:colOff>
      <xdr:row>210</xdr:row>
      <xdr:rowOff>85725</xdr:rowOff>
    </xdr:from>
    <xdr:to>
      <xdr:col>3</xdr:col>
      <xdr:colOff>123825</xdr:colOff>
      <xdr:row>219</xdr:row>
      <xdr:rowOff>95250</xdr:rowOff>
    </xdr:to>
    <xdr:sp macro="" textlink="">
      <xdr:nvSpPr>
        <xdr:cNvPr id="8" name="Rechteck 7">
          <a:extLst>
            <a:ext uri="{FF2B5EF4-FFF2-40B4-BE49-F238E27FC236}">
              <a16:creationId xmlns:a16="http://schemas.microsoft.com/office/drawing/2014/main" id="{00000000-0008-0000-0400-000008000000}"/>
            </a:ext>
          </a:extLst>
        </xdr:cNvPr>
        <xdr:cNvSpPr/>
      </xdr:nvSpPr>
      <xdr:spPr bwMode="auto">
        <a:xfrm>
          <a:off x="1143000" y="33213675"/>
          <a:ext cx="171450" cy="22383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de-DE" sz="1100"/>
        </a:p>
      </xdr:txBody>
    </xdr:sp>
    <xdr:clientData/>
  </xdr:twoCellAnchor>
  <xdr:twoCellAnchor>
    <xdr:from>
      <xdr:col>3</xdr:col>
      <xdr:colOff>285751</xdr:colOff>
      <xdr:row>210</xdr:row>
      <xdr:rowOff>180974</xdr:rowOff>
    </xdr:from>
    <xdr:to>
      <xdr:col>15</xdr:col>
      <xdr:colOff>1</xdr:colOff>
      <xdr:row>214</xdr:row>
      <xdr:rowOff>171449</xdr:rowOff>
    </xdr:to>
    <xdr:sp macro="" textlink="">
      <xdr:nvSpPr>
        <xdr:cNvPr id="9" name="Rechteck 8">
          <a:extLst>
            <a:ext uri="{FF2B5EF4-FFF2-40B4-BE49-F238E27FC236}">
              <a16:creationId xmlns:a16="http://schemas.microsoft.com/office/drawing/2014/main" id="{00000000-0008-0000-0400-000009000000}"/>
            </a:ext>
          </a:extLst>
        </xdr:cNvPr>
        <xdr:cNvSpPr/>
      </xdr:nvSpPr>
      <xdr:spPr bwMode="auto">
        <a:xfrm>
          <a:off x="1476376" y="33308924"/>
          <a:ext cx="3962400" cy="981075"/>
        </a:xfrm>
        <a:prstGeom prst="rect">
          <a:avLst/>
        </a:prstGeom>
        <a:solidFill>
          <a:srgbClr val="FFFF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de-DE" sz="1100"/>
        </a:p>
      </xdr:txBody>
    </xdr:sp>
    <xdr:clientData/>
  </xdr:twoCellAnchor>
  <xdr:twoCellAnchor>
    <xdr:from>
      <xdr:col>15</xdr:col>
      <xdr:colOff>152400</xdr:colOff>
      <xdr:row>0</xdr:row>
      <xdr:rowOff>200025</xdr:rowOff>
    </xdr:from>
    <xdr:to>
      <xdr:col>17</xdr:col>
      <xdr:colOff>495300</xdr:colOff>
      <xdr:row>1</xdr:row>
      <xdr:rowOff>114300</xdr:rowOff>
    </xdr:to>
    <xdr:pic>
      <xdr:nvPicPr>
        <xdr:cNvPr id="10" name="Picture 1" descr="PAL_Logo_rgb">
          <a:extLst>
            <a:ext uri="{FF2B5EF4-FFF2-40B4-BE49-F238E27FC236}">
              <a16:creationId xmlns:a16="http://schemas.microsoft.com/office/drawing/2014/main" id="{00000000-0008-0000-0400-00000A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591175" y="200025"/>
          <a:ext cx="1066800" cy="209550"/>
        </a:xfrm>
        <a:prstGeom prst="rect">
          <a:avLst/>
        </a:prstGeom>
        <a:noFill/>
        <a:ln w="9525">
          <a:noFill/>
          <a:miter lim="800000"/>
          <a:headEnd/>
          <a:tailEnd/>
        </a:ln>
      </xdr:spPr>
    </xdr:pic>
    <xdr:clientData/>
  </xdr:twoCellAnchor>
  <xdr:twoCellAnchor>
    <xdr:from>
      <xdr:col>4</xdr:col>
      <xdr:colOff>428624</xdr:colOff>
      <xdr:row>210</xdr:row>
      <xdr:rowOff>219075</xdr:rowOff>
    </xdr:from>
    <xdr:to>
      <xdr:col>7</xdr:col>
      <xdr:colOff>361949</xdr:colOff>
      <xdr:row>214</xdr:row>
      <xdr:rowOff>114300</xdr:rowOff>
    </xdr:to>
    <xdr:sp macro="" textlink="">
      <xdr:nvSpPr>
        <xdr:cNvPr id="11" name="Oval 10">
          <a:extLst>
            <a:ext uri="{FF2B5EF4-FFF2-40B4-BE49-F238E27FC236}">
              <a16:creationId xmlns:a16="http://schemas.microsoft.com/office/drawing/2014/main" id="{00000000-0008-0000-0400-00000B000000}"/>
            </a:ext>
          </a:extLst>
        </xdr:cNvPr>
        <xdr:cNvSpPr>
          <a:spLocks noChangeArrowheads="1"/>
        </xdr:cNvSpPr>
      </xdr:nvSpPr>
      <xdr:spPr bwMode="auto">
        <a:xfrm>
          <a:off x="2105024" y="33347025"/>
          <a:ext cx="866775" cy="885825"/>
        </a:xfrm>
        <a:prstGeom prst="ellipse">
          <a:avLst/>
        </a:prstGeom>
        <a:solidFill>
          <a:srgbClr val="FFFFFF"/>
        </a:solidFill>
        <a:ln w="9525">
          <a:solidFill>
            <a:srgbClr val="000000"/>
          </a:solidFill>
          <a:round/>
          <a:headEnd/>
          <a:tailEnd/>
        </a:ln>
      </xdr:spPr>
    </xdr:sp>
    <xdr:clientData/>
  </xdr:twoCellAnchor>
  <xdr:twoCellAnchor>
    <xdr:from>
      <xdr:col>2</xdr:col>
      <xdr:colOff>438150</xdr:colOff>
      <xdr:row>215</xdr:row>
      <xdr:rowOff>66675</xdr:rowOff>
    </xdr:from>
    <xdr:to>
      <xdr:col>3</xdr:col>
      <xdr:colOff>133350</xdr:colOff>
      <xdr:row>216</xdr:row>
      <xdr:rowOff>28575</xdr:rowOff>
    </xdr:to>
    <xdr:sp macro="" textlink="">
      <xdr:nvSpPr>
        <xdr:cNvPr id="12" name="Oval 6">
          <a:extLst>
            <a:ext uri="{FF2B5EF4-FFF2-40B4-BE49-F238E27FC236}">
              <a16:creationId xmlns:a16="http://schemas.microsoft.com/office/drawing/2014/main" id="{00000000-0008-0000-0400-00000C000000}"/>
            </a:ext>
          </a:extLst>
        </xdr:cNvPr>
        <xdr:cNvSpPr>
          <a:spLocks noChangeArrowheads="1"/>
        </xdr:cNvSpPr>
      </xdr:nvSpPr>
      <xdr:spPr bwMode="auto">
        <a:xfrm>
          <a:off x="1123950" y="34432875"/>
          <a:ext cx="200025" cy="209550"/>
        </a:xfrm>
        <a:prstGeom prst="ellipse">
          <a:avLst/>
        </a:prstGeom>
        <a:solidFill>
          <a:srgbClr val="FFFFFF"/>
        </a:solidFill>
        <a:ln w="9525">
          <a:solidFill>
            <a:srgbClr val="000000"/>
          </a:solidFill>
          <a:round/>
          <a:headEnd/>
          <a:tailEnd/>
        </a:ln>
      </xdr:spPr>
    </xdr:sp>
    <xdr:clientData/>
  </xdr:twoCellAnchor>
  <xdr:twoCellAnchor>
    <xdr:from>
      <xdr:col>2</xdr:col>
      <xdr:colOff>438150</xdr:colOff>
      <xdr:row>218</xdr:row>
      <xdr:rowOff>228600</xdr:rowOff>
    </xdr:from>
    <xdr:to>
      <xdr:col>3</xdr:col>
      <xdr:colOff>133350</xdr:colOff>
      <xdr:row>219</xdr:row>
      <xdr:rowOff>190500</xdr:rowOff>
    </xdr:to>
    <xdr:sp macro="" textlink="">
      <xdr:nvSpPr>
        <xdr:cNvPr id="13" name="Oval 6">
          <a:extLst>
            <a:ext uri="{FF2B5EF4-FFF2-40B4-BE49-F238E27FC236}">
              <a16:creationId xmlns:a16="http://schemas.microsoft.com/office/drawing/2014/main" id="{00000000-0008-0000-0400-00000D000000}"/>
            </a:ext>
          </a:extLst>
        </xdr:cNvPr>
        <xdr:cNvSpPr>
          <a:spLocks noChangeArrowheads="1"/>
        </xdr:cNvSpPr>
      </xdr:nvSpPr>
      <xdr:spPr bwMode="auto">
        <a:xfrm>
          <a:off x="1123950" y="35337750"/>
          <a:ext cx="200025" cy="209550"/>
        </a:xfrm>
        <a:prstGeom prst="ellipse">
          <a:avLst/>
        </a:prstGeom>
        <a:solidFill>
          <a:srgbClr val="FFFFFF"/>
        </a:solidFill>
        <a:ln w="9525">
          <a:solidFill>
            <a:srgbClr val="000000"/>
          </a:solidFill>
          <a:round/>
          <a:headEnd/>
          <a:tailEnd/>
        </a:ln>
      </xdr:spPr>
    </xdr:sp>
    <xdr:clientData/>
  </xdr:twoCellAnchor>
  <xdr:twoCellAnchor>
    <xdr:from>
      <xdr:col>15</xdr:col>
      <xdr:colOff>0</xdr:colOff>
      <xdr:row>219</xdr:row>
      <xdr:rowOff>76200</xdr:rowOff>
    </xdr:from>
    <xdr:to>
      <xdr:col>15</xdr:col>
      <xdr:colOff>200025</xdr:colOff>
      <xdr:row>220</xdr:row>
      <xdr:rowOff>38100</xdr:rowOff>
    </xdr:to>
    <xdr:sp macro="" textlink="">
      <xdr:nvSpPr>
        <xdr:cNvPr id="14" name="Oval 6">
          <a:extLst>
            <a:ext uri="{FF2B5EF4-FFF2-40B4-BE49-F238E27FC236}">
              <a16:creationId xmlns:a16="http://schemas.microsoft.com/office/drawing/2014/main" id="{00000000-0008-0000-0400-00000E000000}"/>
            </a:ext>
          </a:extLst>
        </xdr:cNvPr>
        <xdr:cNvSpPr>
          <a:spLocks noChangeArrowheads="1"/>
        </xdr:cNvSpPr>
      </xdr:nvSpPr>
      <xdr:spPr bwMode="auto">
        <a:xfrm>
          <a:off x="5438775" y="35433000"/>
          <a:ext cx="200025" cy="209550"/>
        </a:xfrm>
        <a:prstGeom prst="ellipse">
          <a:avLst/>
        </a:prstGeom>
        <a:solidFill>
          <a:srgbClr val="FFFFFF"/>
        </a:solidFill>
        <a:ln w="9525">
          <a:solidFill>
            <a:srgbClr val="000000"/>
          </a:solidFill>
          <a:round/>
          <a:headEnd/>
          <a:tailEnd/>
        </a:ln>
      </xdr:spPr>
    </xdr:sp>
    <xdr:clientData/>
  </xdr:twoCellAnchor>
  <xdr:twoCellAnchor>
    <xdr:from>
      <xdr:col>14</xdr:col>
      <xdr:colOff>219075</xdr:colOff>
      <xdr:row>215</xdr:row>
      <xdr:rowOff>38100</xdr:rowOff>
    </xdr:from>
    <xdr:to>
      <xdr:col>15</xdr:col>
      <xdr:colOff>190500</xdr:colOff>
      <xdr:row>216</xdr:row>
      <xdr:rowOff>0</xdr:rowOff>
    </xdr:to>
    <xdr:sp macro="" textlink="">
      <xdr:nvSpPr>
        <xdr:cNvPr id="15" name="Oval 6">
          <a:extLst>
            <a:ext uri="{FF2B5EF4-FFF2-40B4-BE49-F238E27FC236}">
              <a16:creationId xmlns:a16="http://schemas.microsoft.com/office/drawing/2014/main" id="{00000000-0008-0000-0400-00000F000000}"/>
            </a:ext>
          </a:extLst>
        </xdr:cNvPr>
        <xdr:cNvSpPr>
          <a:spLocks noChangeArrowheads="1"/>
        </xdr:cNvSpPr>
      </xdr:nvSpPr>
      <xdr:spPr bwMode="auto">
        <a:xfrm>
          <a:off x="5429250" y="34404300"/>
          <a:ext cx="200025" cy="209550"/>
        </a:xfrm>
        <a:prstGeom prst="ellipse">
          <a:avLst/>
        </a:prstGeom>
        <a:solidFill>
          <a:srgbClr val="FFFFFF"/>
        </a:solidFill>
        <a:ln w="9525">
          <a:solidFill>
            <a:srgbClr val="000000"/>
          </a:solidFill>
          <a:round/>
          <a:headEnd/>
          <a:tailEnd/>
        </a:ln>
      </xdr:spPr>
    </xdr:sp>
    <xdr:clientData/>
  </xdr:twoCellAnchor>
  <xdr:twoCellAnchor>
    <xdr:from>
      <xdr:col>3</xdr:col>
      <xdr:colOff>104775</xdr:colOff>
      <xdr:row>206</xdr:row>
      <xdr:rowOff>38100</xdr:rowOff>
    </xdr:from>
    <xdr:to>
      <xdr:col>3</xdr:col>
      <xdr:colOff>304800</xdr:colOff>
      <xdr:row>207</xdr:row>
      <xdr:rowOff>0</xdr:rowOff>
    </xdr:to>
    <xdr:sp macro="" textlink="">
      <xdr:nvSpPr>
        <xdr:cNvPr id="16" name="Oval 6">
          <a:extLst>
            <a:ext uri="{FF2B5EF4-FFF2-40B4-BE49-F238E27FC236}">
              <a16:creationId xmlns:a16="http://schemas.microsoft.com/office/drawing/2014/main" id="{00000000-0008-0000-0400-000010000000}"/>
            </a:ext>
          </a:extLst>
        </xdr:cNvPr>
        <xdr:cNvSpPr>
          <a:spLocks noChangeArrowheads="1"/>
        </xdr:cNvSpPr>
      </xdr:nvSpPr>
      <xdr:spPr bwMode="auto">
        <a:xfrm>
          <a:off x="1295400" y="32175450"/>
          <a:ext cx="200025" cy="209550"/>
        </a:xfrm>
        <a:prstGeom prst="ellipse">
          <a:avLst/>
        </a:prstGeom>
        <a:solidFill>
          <a:srgbClr val="FFFFFF"/>
        </a:solidFill>
        <a:ln w="9525">
          <a:solidFill>
            <a:srgbClr val="000000"/>
          </a:solidFill>
          <a:round/>
          <a:headEnd/>
          <a:tailEnd/>
        </a:ln>
      </xdr:spPr>
    </xdr:sp>
    <xdr:clientData/>
  </xdr:twoCellAnchor>
  <xdr:twoCellAnchor>
    <xdr:from>
      <xdr:col>3</xdr:col>
      <xdr:colOff>104775</xdr:colOff>
      <xdr:row>209</xdr:row>
      <xdr:rowOff>200025</xdr:rowOff>
    </xdr:from>
    <xdr:to>
      <xdr:col>3</xdr:col>
      <xdr:colOff>304800</xdr:colOff>
      <xdr:row>210</xdr:row>
      <xdr:rowOff>161925</xdr:rowOff>
    </xdr:to>
    <xdr:sp macro="" textlink="">
      <xdr:nvSpPr>
        <xdr:cNvPr id="17" name="Oval 6">
          <a:extLst>
            <a:ext uri="{FF2B5EF4-FFF2-40B4-BE49-F238E27FC236}">
              <a16:creationId xmlns:a16="http://schemas.microsoft.com/office/drawing/2014/main" id="{00000000-0008-0000-0400-000011000000}"/>
            </a:ext>
          </a:extLst>
        </xdr:cNvPr>
        <xdr:cNvSpPr>
          <a:spLocks noChangeArrowheads="1"/>
        </xdr:cNvSpPr>
      </xdr:nvSpPr>
      <xdr:spPr bwMode="auto">
        <a:xfrm>
          <a:off x="1295400" y="33080325"/>
          <a:ext cx="200025" cy="209550"/>
        </a:xfrm>
        <a:prstGeom prst="ellipse">
          <a:avLst/>
        </a:prstGeom>
        <a:solidFill>
          <a:srgbClr val="FFFFFF"/>
        </a:solidFill>
        <a:ln w="9525">
          <a:solidFill>
            <a:srgbClr val="000000"/>
          </a:solidFill>
          <a:round/>
          <a:headEnd/>
          <a:tailEnd/>
        </a:ln>
      </xdr:spPr>
    </xdr:sp>
    <xdr:clientData/>
  </xdr:twoCellAnchor>
  <xdr:twoCellAnchor>
    <xdr:from>
      <xdr:col>15</xdr:col>
      <xdr:colOff>166938</xdr:colOff>
      <xdr:row>209</xdr:row>
      <xdr:rowOff>233112</xdr:rowOff>
    </xdr:from>
    <xdr:to>
      <xdr:col>16</xdr:col>
      <xdr:colOff>14538</xdr:colOff>
      <xdr:row>210</xdr:row>
      <xdr:rowOff>195011</xdr:rowOff>
    </xdr:to>
    <xdr:sp macro="" textlink="">
      <xdr:nvSpPr>
        <xdr:cNvPr id="18" name="Oval 6">
          <a:extLst>
            <a:ext uri="{FF2B5EF4-FFF2-40B4-BE49-F238E27FC236}">
              <a16:creationId xmlns:a16="http://schemas.microsoft.com/office/drawing/2014/main" id="{00000000-0008-0000-0400-000012000000}"/>
            </a:ext>
          </a:extLst>
        </xdr:cNvPr>
        <xdr:cNvSpPr>
          <a:spLocks noChangeArrowheads="1"/>
        </xdr:cNvSpPr>
      </xdr:nvSpPr>
      <xdr:spPr bwMode="auto">
        <a:xfrm>
          <a:off x="5605713" y="33113412"/>
          <a:ext cx="200025" cy="209549"/>
        </a:xfrm>
        <a:prstGeom prst="ellipse">
          <a:avLst/>
        </a:prstGeom>
        <a:solidFill>
          <a:srgbClr val="FFFFFF"/>
        </a:solidFill>
        <a:ln w="9525">
          <a:solidFill>
            <a:srgbClr val="000000"/>
          </a:solidFill>
          <a:round/>
          <a:headEnd/>
          <a:tailEnd/>
        </a:ln>
      </xdr:spPr>
    </xdr:sp>
    <xdr:clientData/>
  </xdr:twoCellAnchor>
  <xdr:twoCellAnchor>
    <xdr:from>
      <xdr:col>15</xdr:col>
      <xdr:colOff>161925</xdr:colOff>
      <xdr:row>206</xdr:row>
      <xdr:rowOff>28575</xdr:rowOff>
    </xdr:from>
    <xdr:to>
      <xdr:col>16</xdr:col>
      <xdr:colOff>9525</xdr:colOff>
      <xdr:row>206</xdr:row>
      <xdr:rowOff>238125</xdr:rowOff>
    </xdr:to>
    <xdr:sp macro="" textlink="">
      <xdr:nvSpPr>
        <xdr:cNvPr id="19" name="Oval 6">
          <a:extLst>
            <a:ext uri="{FF2B5EF4-FFF2-40B4-BE49-F238E27FC236}">
              <a16:creationId xmlns:a16="http://schemas.microsoft.com/office/drawing/2014/main" id="{00000000-0008-0000-0400-000013000000}"/>
            </a:ext>
          </a:extLst>
        </xdr:cNvPr>
        <xdr:cNvSpPr>
          <a:spLocks noChangeArrowheads="1"/>
        </xdr:cNvSpPr>
      </xdr:nvSpPr>
      <xdr:spPr bwMode="auto">
        <a:xfrm>
          <a:off x="5600700" y="32165925"/>
          <a:ext cx="200025" cy="209550"/>
        </a:xfrm>
        <a:prstGeom prst="ellipse">
          <a:avLst/>
        </a:prstGeom>
        <a:solidFill>
          <a:srgbClr val="FFFFFF"/>
        </a:solidFill>
        <a:ln w="9525">
          <a:solidFill>
            <a:srgbClr val="000000"/>
          </a:solidFill>
          <a:round/>
          <a:headEnd/>
          <a:tailEnd/>
        </a:ln>
      </xdr:spPr>
    </xdr:sp>
    <xdr:clientData/>
  </xdr:twoCellAnchor>
  <xdr:twoCellAnchor>
    <xdr:from>
      <xdr:col>1</xdr:col>
      <xdr:colOff>363140</xdr:colOff>
      <xdr:row>206</xdr:row>
      <xdr:rowOff>95250</xdr:rowOff>
    </xdr:from>
    <xdr:to>
      <xdr:col>2</xdr:col>
      <xdr:colOff>59532</xdr:colOff>
      <xdr:row>219</xdr:row>
      <xdr:rowOff>23813</xdr:rowOff>
    </xdr:to>
    <xdr:cxnSp macro="">
      <xdr:nvCxnSpPr>
        <xdr:cNvPr id="20" name="Gerade Verbindung mit Pfeil 19">
          <a:extLst>
            <a:ext uri="{FF2B5EF4-FFF2-40B4-BE49-F238E27FC236}">
              <a16:creationId xmlns:a16="http://schemas.microsoft.com/office/drawing/2014/main" id="{00000000-0008-0000-0400-000014000000}"/>
            </a:ext>
          </a:extLst>
        </xdr:cNvPr>
        <xdr:cNvCxnSpPr/>
      </xdr:nvCxnSpPr>
      <xdr:spPr bwMode="auto">
        <a:xfrm flipH="1">
          <a:off x="544115" y="32232600"/>
          <a:ext cx="201217" cy="3148013"/>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2</xdr:col>
      <xdr:colOff>226219</xdr:colOff>
      <xdr:row>210</xdr:row>
      <xdr:rowOff>11906</xdr:rowOff>
    </xdr:from>
    <xdr:to>
      <xdr:col>2</xdr:col>
      <xdr:colOff>404813</xdr:colOff>
      <xdr:row>215</xdr:row>
      <xdr:rowOff>113110</xdr:rowOff>
    </xdr:to>
    <xdr:cxnSp macro="">
      <xdr:nvCxnSpPr>
        <xdr:cNvPr id="21" name="Gerade Verbindung mit Pfeil 20">
          <a:extLst>
            <a:ext uri="{FF2B5EF4-FFF2-40B4-BE49-F238E27FC236}">
              <a16:creationId xmlns:a16="http://schemas.microsoft.com/office/drawing/2014/main" id="{00000000-0008-0000-0400-000015000000}"/>
            </a:ext>
          </a:extLst>
        </xdr:cNvPr>
        <xdr:cNvCxnSpPr/>
      </xdr:nvCxnSpPr>
      <xdr:spPr bwMode="auto">
        <a:xfrm flipH="1">
          <a:off x="912019" y="33139856"/>
          <a:ext cx="178594" cy="1339454"/>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3</xdr:col>
      <xdr:colOff>223630</xdr:colOff>
      <xdr:row>209</xdr:row>
      <xdr:rowOff>107673</xdr:rowOff>
    </xdr:from>
    <xdr:to>
      <xdr:col>15</xdr:col>
      <xdr:colOff>233616</xdr:colOff>
      <xdr:row>209</xdr:row>
      <xdr:rowOff>113301</xdr:rowOff>
    </xdr:to>
    <xdr:cxnSp macro="">
      <xdr:nvCxnSpPr>
        <xdr:cNvPr id="22" name="Gerade Verbindung mit Pfeil 21">
          <a:extLst>
            <a:ext uri="{FF2B5EF4-FFF2-40B4-BE49-F238E27FC236}">
              <a16:creationId xmlns:a16="http://schemas.microsoft.com/office/drawing/2014/main" id="{00000000-0008-0000-0400-000016000000}"/>
            </a:ext>
          </a:extLst>
        </xdr:cNvPr>
        <xdr:cNvCxnSpPr/>
      </xdr:nvCxnSpPr>
      <xdr:spPr bwMode="auto">
        <a:xfrm flipH="1" flipV="1">
          <a:off x="1414255" y="32987973"/>
          <a:ext cx="4258136" cy="5628"/>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3</xdr:col>
      <xdr:colOff>223630</xdr:colOff>
      <xdr:row>205</xdr:row>
      <xdr:rowOff>207066</xdr:rowOff>
    </xdr:from>
    <xdr:to>
      <xdr:col>15</xdr:col>
      <xdr:colOff>238127</xdr:colOff>
      <xdr:row>205</xdr:row>
      <xdr:rowOff>228600</xdr:rowOff>
    </xdr:to>
    <xdr:cxnSp macro="">
      <xdr:nvCxnSpPr>
        <xdr:cNvPr id="23" name="Gerade Verbindung mit Pfeil 22">
          <a:extLst>
            <a:ext uri="{FF2B5EF4-FFF2-40B4-BE49-F238E27FC236}">
              <a16:creationId xmlns:a16="http://schemas.microsoft.com/office/drawing/2014/main" id="{00000000-0008-0000-0400-000017000000}"/>
            </a:ext>
          </a:extLst>
        </xdr:cNvPr>
        <xdr:cNvCxnSpPr/>
      </xdr:nvCxnSpPr>
      <xdr:spPr bwMode="auto">
        <a:xfrm flipH="1" flipV="1">
          <a:off x="1414255" y="32096766"/>
          <a:ext cx="4262647" cy="21534"/>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3</xdr:col>
      <xdr:colOff>41413</xdr:colOff>
      <xdr:row>220</xdr:row>
      <xdr:rowOff>95250</xdr:rowOff>
    </xdr:from>
    <xdr:to>
      <xdr:col>15</xdr:col>
      <xdr:colOff>90237</xdr:colOff>
      <xdr:row>220</xdr:row>
      <xdr:rowOff>115957</xdr:rowOff>
    </xdr:to>
    <xdr:cxnSp macro="">
      <xdr:nvCxnSpPr>
        <xdr:cNvPr id="24" name="Gerade Verbindung mit Pfeil 23">
          <a:extLst>
            <a:ext uri="{FF2B5EF4-FFF2-40B4-BE49-F238E27FC236}">
              <a16:creationId xmlns:a16="http://schemas.microsoft.com/office/drawing/2014/main" id="{00000000-0008-0000-0400-000018000000}"/>
            </a:ext>
          </a:extLst>
        </xdr:cNvPr>
        <xdr:cNvCxnSpPr/>
      </xdr:nvCxnSpPr>
      <xdr:spPr bwMode="auto">
        <a:xfrm flipH="1">
          <a:off x="1232038" y="35699700"/>
          <a:ext cx="4296974" cy="20707"/>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3</xdr:col>
      <xdr:colOff>49695</xdr:colOff>
      <xdr:row>216</xdr:row>
      <xdr:rowOff>99392</xdr:rowOff>
    </xdr:from>
    <xdr:to>
      <xdr:col>15</xdr:col>
      <xdr:colOff>90237</xdr:colOff>
      <xdr:row>216</xdr:row>
      <xdr:rowOff>110291</xdr:rowOff>
    </xdr:to>
    <xdr:cxnSp macro="">
      <xdr:nvCxnSpPr>
        <xdr:cNvPr id="25" name="Gerade Verbindung mit Pfeil 24">
          <a:extLst>
            <a:ext uri="{FF2B5EF4-FFF2-40B4-BE49-F238E27FC236}">
              <a16:creationId xmlns:a16="http://schemas.microsoft.com/office/drawing/2014/main" id="{00000000-0008-0000-0400-000019000000}"/>
            </a:ext>
          </a:extLst>
        </xdr:cNvPr>
        <xdr:cNvCxnSpPr/>
      </xdr:nvCxnSpPr>
      <xdr:spPr bwMode="auto">
        <a:xfrm flipH="1" flipV="1">
          <a:off x="1240320" y="34713242"/>
          <a:ext cx="4288692" cy="10899"/>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xdr:col>
      <xdr:colOff>295603</xdr:colOff>
      <xdr:row>212</xdr:row>
      <xdr:rowOff>152401</xdr:rowOff>
    </xdr:from>
    <xdr:to>
      <xdr:col>17</xdr:col>
      <xdr:colOff>495300</xdr:colOff>
      <xdr:row>212</xdr:row>
      <xdr:rowOff>164224</xdr:rowOff>
    </xdr:to>
    <xdr:cxnSp macro="">
      <xdr:nvCxnSpPr>
        <xdr:cNvPr id="26" name="Gerade Verbindung 30">
          <a:extLst>
            <a:ext uri="{FF2B5EF4-FFF2-40B4-BE49-F238E27FC236}">
              <a16:creationId xmlns:a16="http://schemas.microsoft.com/office/drawing/2014/main" id="{00000000-0008-0000-0400-00001A000000}"/>
            </a:ext>
          </a:extLst>
        </xdr:cNvPr>
        <xdr:cNvCxnSpPr/>
      </xdr:nvCxnSpPr>
      <xdr:spPr bwMode="auto">
        <a:xfrm flipV="1">
          <a:off x="476578" y="33775651"/>
          <a:ext cx="6181397" cy="11823"/>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6</xdr:col>
      <xdr:colOff>123825</xdr:colOff>
      <xdr:row>205</xdr:row>
      <xdr:rowOff>133350</xdr:rowOff>
    </xdr:from>
    <xdr:to>
      <xdr:col>6</xdr:col>
      <xdr:colOff>142876</xdr:colOff>
      <xdr:row>220</xdr:row>
      <xdr:rowOff>219075</xdr:rowOff>
    </xdr:to>
    <xdr:cxnSp macro="">
      <xdr:nvCxnSpPr>
        <xdr:cNvPr id="27" name="Gerade Verbindung 56322">
          <a:extLst>
            <a:ext uri="{FF2B5EF4-FFF2-40B4-BE49-F238E27FC236}">
              <a16:creationId xmlns:a16="http://schemas.microsoft.com/office/drawing/2014/main" id="{00000000-0008-0000-0400-00001B000000}"/>
            </a:ext>
          </a:extLst>
        </xdr:cNvPr>
        <xdr:cNvCxnSpPr/>
      </xdr:nvCxnSpPr>
      <xdr:spPr bwMode="auto">
        <a:xfrm flipH="1">
          <a:off x="2543175" y="32023050"/>
          <a:ext cx="19051" cy="380047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9</xdr:col>
      <xdr:colOff>38100</xdr:colOff>
      <xdr:row>204</xdr:row>
      <xdr:rowOff>54952</xdr:rowOff>
    </xdr:from>
    <xdr:to>
      <xdr:col>11</xdr:col>
      <xdr:colOff>218661</xdr:colOff>
      <xdr:row>205</xdr:row>
      <xdr:rowOff>197827</xdr:rowOff>
    </xdr:to>
    <xdr:sp macro="" textlink="$W$211">
      <xdr:nvSpPr>
        <xdr:cNvPr id="28" name="Textfeld 27">
          <a:extLst>
            <a:ext uri="{FF2B5EF4-FFF2-40B4-BE49-F238E27FC236}">
              <a16:creationId xmlns:a16="http://schemas.microsoft.com/office/drawing/2014/main" id="{00000000-0008-0000-0400-00001C000000}"/>
            </a:ext>
          </a:extLst>
        </xdr:cNvPr>
        <xdr:cNvSpPr txBox="1"/>
      </xdr:nvSpPr>
      <xdr:spPr>
        <a:xfrm>
          <a:off x="3409950" y="31868452"/>
          <a:ext cx="818736"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9DB20F-6E58-43DC-80BC-E36537D17D95}" type="TxLink">
            <a:rPr lang="en-US" sz="1000" b="0" i="0" u="none" strike="noStrike">
              <a:solidFill>
                <a:srgbClr val="000000"/>
              </a:solidFill>
              <a:latin typeface="Century Gothic"/>
              <a:cs typeface="Arial"/>
            </a:rPr>
            <a:pPr/>
            <a:t>7005</a:t>
          </a:fld>
          <a:endParaRPr lang="de-DE" sz="800" i="1">
            <a:solidFill>
              <a:schemeClr val="bg1">
                <a:lumMod val="50000"/>
              </a:schemeClr>
            </a:solidFill>
          </a:endParaRPr>
        </a:p>
      </xdr:txBody>
    </xdr:sp>
    <xdr:clientData/>
  </xdr:twoCellAnchor>
  <xdr:twoCellAnchor>
    <xdr:from>
      <xdr:col>9</xdr:col>
      <xdr:colOff>38100</xdr:colOff>
      <xdr:row>207</xdr:row>
      <xdr:rowOff>200025</xdr:rowOff>
    </xdr:from>
    <xdr:to>
      <xdr:col>11</xdr:col>
      <xdr:colOff>206651</xdr:colOff>
      <xdr:row>209</xdr:row>
      <xdr:rowOff>0</xdr:rowOff>
    </xdr:to>
    <xdr:sp macro="" textlink="$W$212">
      <xdr:nvSpPr>
        <xdr:cNvPr id="29" name="Textfeld 28">
          <a:extLst>
            <a:ext uri="{FF2B5EF4-FFF2-40B4-BE49-F238E27FC236}">
              <a16:creationId xmlns:a16="http://schemas.microsoft.com/office/drawing/2014/main" id="{00000000-0008-0000-0400-00001D000000}"/>
            </a:ext>
          </a:extLst>
        </xdr:cNvPr>
        <xdr:cNvSpPr txBox="1"/>
      </xdr:nvSpPr>
      <xdr:spPr>
        <a:xfrm>
          <a:off x="3409950" y="32661225"/>
          <a:ext cx="806726"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B89ADE-3D33-4027-8EFE-FCA5A6C878FB}" type="TxLink">
            <a:rPr lang="en-US" sz="1000" b="0" i="0" u="none" strike="noStrike">
              <a:solidFill>
                <a:srgbClr val="000000"/>
              </a:solidFill>
              <a:latin typeface="Century Gothic"/>
              <a:cs typeface="Arial"/>
            </a:rPr>
            <a:pPr/>
            <a:t>7167</a:t>
          </a:fld>
          <a:endParaRPr lang="de-DE" sz="800" i="1">
            <a:solidFill>
              <a:schemeClr val="bg1">
                <a:lumMod val="50000"/>
              </a:schemeClr>
            </a:solidFill>
          </a:endParaRPr>
        </a:p>
      </xdr:txBody>
    </xdr:sp>
    <xdr:clientData/>
  </xdr:twoCellAnchor>
  <xdr:twoCellAnchor>
    <xdr:from>
      <xdr:col>9</xdr:col>
      <xdr:colOff>57150</xdr:colOff>
      <xdr:row>214</xdr:row>
      <xdr:rowOff>228600</xdr:rowOff>
    </xdr:from>
    <xdr:to>
      <xdr:col>11</xdr:col>
      <xdr:colOff>129209</xdr:colOff>
      <xdr:row>216</xdr:row>
      <xdr:rowOff>28575</xdr:rowOff>
    </xdr:to>
    <xdr:sp macro="" textlink="$W$217">
      <xdr:nvSpPr>
        <xdr:cNvPr id="30" name="Textfeld 29">
          <a:extLst>
            <a:ext uri="{FF2B5EF4-FFF2-40B4-BE49-F238E27FC236}">
              <a16:creationId xmlns:a16="http://schemas.microsoft.com/office/drawing/2014/main" id="{00000000-0008-0000-0400-00001E000000}"/>
            </a:ext>
          </a:extLst>
        </xdr:cNvPr>
        <xdr:cNvSpPr txBox="1"/>
      </xdr:nvSpPr>
      <xdr:spPr>
        <a:xfrm>
          <a:off x="3429000" y="34423350"/>
          <a:ext cx="710234"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65CC45-0A37-4038-AD1B-1DC35AFAB3F8}" type="TxLink">
            <a:rPr lang="en-US" sz="1000" b="0" i="0" u="none" strike="noStrike">
              <a:solidFill>
                <a:srgbClr val="000000"/>
              </a:solidFill>
              <a:latin typeface="Century Gothic"/>
              <a:cs typeface="Arial"/>
            </a:rPr>
            <a:pPr/>
            <a:t>7283</a:t>
          </a:fld>
          <a:endParaRPr lang="de-DE" sz="800" i="1">
            <a:solidFill>
              <a:schemeClr val="bg1">
                <a:lumMod val="50000"/>
              </a:schemeClr>
            </a:solidFill>
          </a:endParaRPr>
        </a:p>
      </xdr:txBody>
    </xdr:sp>
    <xdr:clientData/>
  </xdr:twoCellAnchor>
  <xdr:twoCellAnchor>
    <xdr:from>
      <xdr:col>9</xdr:col>
      <xdr:colOff>38099</xdr:colOff>
      <xdr:row>218</xdr:row>
      <xdr:rowOff>238125</xdr:rowOff>
    </xdr:from>
    <xdr:to>
      <xdr:col>11</xdr:col>
      <xdr:colOff>157783</xdr:colOff>
      <xdr:row>220</xdr:row>
      <xdr:rowOff>38100</xdr:rowOff>
    </xdr:to>
    <xdr:sp macro="" textlink="$W$218">
      <xdr:nvSpPr>
        <xdr:cNvPr id="31" name="Textfeld 30">
          <a:extLst>
            <a:ext uri="{FF2B5EF4-FFF2-40B4-BE49-F238E27FC236}">
              <a16:creationId xmlns:a16="http://schemas.microsoft.com/office/drawing/2014/main" id="{00000000-0008-0000-0400-00001F000000}"/>
            </a:ext>
          </a:extLst>
        </xdr:cNvPr>
        <xdr:cNvSpPr txBox="1"/>
      </xdr:nvSpPr>
      <xdr:spPr>
        <a:xfrm>
          <a:off x="3409949" y="35423475"/>
          <a:ext cx="757859"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5ECC192-2777-43A6-BAF5-4B8E3A2714E0}" type="TxLink">
            <a:rPr lang="en-US" sz="1000" b="0" i="0" u="none" strike="noStrike">
              <a:solidFill>
                <a:srgbClr val="000000"/>
              </a:solidFill>
              <a:latin typeface="Century Gothic"/>
              <a:cs typeface="Arial"/>
            </a:rPr>
            <a:pPr/>
            <a:t>7445</a:t>
          </a:fld>
          <a:endParaRPr lang="de-DE" sz="800" i="1">
            <a:solidFill>
              <a:schemeClr val="bg1">
                <a:lumMod val="50000"/>
              </a:schemeClr>
            </a:solidFill>
          </a:endParaRPr>
        </a:p>
      </xdr:txBody>
    </xdr:sp>
    <xdr:clientData/>
  </xdr:twoCellAnchor>
  <xdr:twoCellAnchor>
    <xdr:from>
      <xdr:col>16</xdr:col>
      <xdr:colOff>22624</xdr:colOff>
      <xdr:row>213</xdr:row>
      <xdr:rowOff>94061</xdr:rowOff>
    </xdr:from>
    <xdr:to>
      <xdr:col>16</xdr:col>
      <xdr:colOff>315518</xdr:colOff>
      <xdr:row>215</xdr:row>
      <xdr:rowOff>205980</xdr:rowOff>
    </xdr:to>
    <xdr:sp macro="" textlink="$X$215">
      <xdr:nvSpPr>
        <xdr:cNvPr id="32" name="Textfeld 31">
          <a:extLst>
            <a:ext uri="{FF2B5EF4-FFF2-40B4-BE49-F238E27FC236}">
              <a16:creationId xmlns:a16="http://schemas.microsoft.com/office/drawing/2014/main" id="{00000000-0008-0000-0400-000020000000}"/>
            </a:ext>
          </a:extLst>
        </xdr:cNvPr>
        <xdr:cNvSpPr txBox="1"/>
      </xdr:nvSpPr>
      <xdr:spPr>
        <a:xfrm rot="16693016">
          <a:off x="5656661" y="34198324"/>
          <a:ext cx="607219" cy="29289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FA76209-B197-49AC-88EC-9A5893C9BF07}" type="TxLink">
            <a:rPr lang="en-US" sz="1000" b="0" i="0" u="none" strike="noStrike">
              <a:solidFill>
                <a:srgbClr val="000000"/>
              </a:solidFill>
              <a:latin typeface="Century Gothic"/>
              <a:cs typeface="Arial"/>
            </a:rPr>
            <a:pPr/>
            <a:t>2245</a:t>
          </a:fld>
          <a:endParaRPr lang="de-DE" sz="800" i="1">
            <a:solidFill>
              <a:schemeClr val="bg1">
                <a:lumMod val="50000"/>
              </a:schemeClr>
            </a:solidFill>
          </a:endParaRPr>
        </a:p>
      </xdr:txBody>
    </xdr:sp>
    <xdr:clientData/>
  </xdr:twoCellAnchor>
  <xdr:twoCellAnchor>
    <xdr:from>
      <xdr:col>16</xdr:col>
      <xdr:colOff>230985</xdr:colOff>
      <xdr:row>216</xdr:row>
      <xdr:rowOff>145464</xdr:rowOff>
    </xdr:from>
    <xdr:to>
      <xdr:col>17</xdr:col>
      <xdr:colOff>159547</xdr:colOff>
      <xdr:row>219</xdr:row>
      <xdr:rowOff>88108</xdr:rowOff>
    </xdr:to>
    <xdr:sp macro="" textlink="$X$214">
      <xdr:nvSpPr>
        <xdr:cNvPr id="33" name="Textfeld 32">
          <a:extLst>
            <a:ext uri="{FF2B5EF4-FFF2-40B4-BE49-F238E27FC236}">
              <a16:creationId xmlns:a16="http://schemas.microsoft.com/office/drawing/2014/main" id="{00000000-0008-0000-0400-000021000000}"/>
            </a:ext>
          </a:extLst>
        </xdr:cNvPr>
        <xdr:cNvSpPr txBox="1"/>
      </xdr:nvSpPr>
      <xdr:spPr>
        <a:xfrm rot="16423593">
          <a:off x="5829407" y="34952092"/>
          <a:ext cx="685594" cy="3000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553D70A-C466-439F-9C8E-18032F44E27A}" type="TxLink">
            <a:rPr lang="en-US" sz="1000" b="0" i="0" u="none" strike="noStrike">
              <a:solidFill>
                <a:srgbClr val="000000"/>
              </a:solidFill>
              <a:latin typeface="Century Gothic"/>
              <a:cs typeface="Arial"/>
            </a:rPr>
            <a:pPr/>
            <a:t>8397</a:t>
          </a:fld>
          <a:endParaRPr lang="de-DE" sz="800" i="1">
            <a:solidFill>
              <a:schemeClr val="bg1">
                <a:lumMod val="50000"/>
              </a:schemeClr>
            </a:solidFill>
          </a:endParaRPr>
        </a:p>
      </xdr:txBody>
    </xdr:sp>
    <xdr:clientData/>
  </xdr:twoCellAnchor>
  <xdr:twoCellAnchor>
    <xdr:from>
      <xdr:col>1</xdr:col>
      <xdr:colOff>79775</xdr:colOff>
      <xdr:row>213</xdr:row>
      <xdr:rowOff>55131</xdr:rowOff>
    </xdr:from>
    <xdr:to>
      <xdr:col>1</xdr:col>
      <xdr:colOff>375050</xdr:colOff>
      <xdr:row>216</xdr:row>
      <xdr:rowOff>32148</xdr:rowOff>
    </xdr:to>
    <xdr:sp macro="" textlink="$V$214">
      <xdr:nvSpPr>
        <xdr:cNvPr id="34" name="Textfeld 33">
          <a:extLst>
            <a:ext uri="{FF2B5EF4-FFF2-40B4-BE49-F238E27FC236}">
              <a16:creationId xmlns:a16="http://schemas.microsoft.com/office/drawing/2014/main" id="{00000000-0008-0000-0400-000022000000}"/>
            </a:ext>
          </a:extLst>
        </xdr:cNvPr>
        <xdr:cNvSpPr txBox="1"/>
      </xdr:nvSpPr>
      <xdr:spPr>
        <a:xfrm rot="16515765">
          <a:off x="48404" y="34138377"/>
          <a:ext cx="719967"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50263E-0DF3-4B23-8500-E1F275D7A3A2}" type="TxLink">
            <a:rPr lang="en-US" sz="1000" b="0" i="0" u="none" strike="noStrike">
              <a:solidFill>
                <a:srgbClr val="000000"/>
              </a:solidFill>
              <a:latin typeface="Century Gothic"/>
              <a:cs typeface="Arial"/>
            </a:rPr>
            <a:pPr/>
            <a:t>8397</a:t>
          </a:fld>
          <a:endParaRPr lang="de-DE" sz="800" i="1">
            <a:solidFill>
              <a:schemeClr val="bg1">
                <a:lumMod val="50000"/>
              </a:schemeClr>
            </a:solidFill>
          </a:endParaRPr>
        </a:p>
      </xdr:txBody>
    </xdr:sp>
    <xdr:clientData/>
  </xdr:twoCellAnchor>
  <xdr:twoCellAnchor>
    <xdr:from>
      <xdr:col>1</xdr:col>
      <xdr:colOff>487695</xdr:colOff>
      <xdr:row>212</xdr:row>
      <xdr:rowOff>161731</xdr:rowOff>
    </xdr:from>
    <xdr:to>
      <xdr:col>2</xdr:col>
      <xdr:colOff>279335</xdr:colOff>
      <xdr:row>215</xdr:row>
      <xdr:rowOff>10674</xdr:rowOff>
    </xdr:to>
    <xdr:sp macro="" textlink="$V$215">
      <xdr:nvSpPr>
        <xdr:cNvPr id="35" name="Textfeld 34">
          <a:extLst>
            <a:ext uri="{FF2B5EF4-FFF2-40B4-BE49-F238E27FC236}">
              <a16:creationId xmlns:a16="http://schemas.microsoft.com/office/drawing/2014/main" id="{00000000-0008-0000-0400-000023000000}"/>
            </a:ext>
          </a:extLst>
        </xdr:cNvPr>
        <xdr:cNvSpPr txBox="1"/>
      </xdr:nvSpPr>
      <xdr:spPr>
        <a:xfrm rot="16660889">
          <a:off x="520956" y="34008895"/>
          <a:ext cx="591893" cy="2964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38489B9-A0C9-4E8A-BB47-98653C233953}" type="TxLink">
            <a:rPr lang="en-US" sz="1000" b="0" i="0" u="none" strike="noStrike">
              <a:solidFill>
                <a:srgbClr val="000000"/>
              </a:solidFill>
              <a:latin typeface="Century Gothic"/>
              <a:cs typeface="Arial"/>
            </a:rPr>
            <a:pPr/>
            <a:t>2245</a:t>
          </a:fld>
          <a:endParaRPr lang="de-DE" sz="800" i="1">
            <a:solidFill>
              <a:schemeClr val="bg1">
                <a:lumMod val="50000"/>
              </a:schemeClr>
            </a:solidFill>
          </a:endParaRPr>
        </a:p>
      </xdr:txBody>
    </xdr:sp>
    <xdr:clientData/>
  </xdr:twoCellAnchor>
  <xdr:twoCellAnchor>
    <xdr:from>
      <xdr:col>3</xdr:col>
      <xdr:colOff>204788</xdr:colOff>
      <xdr:row>205</xdr:row>
      <xdr:rowOff>80210</xdr:rowOff>
    </xdr:from>
    <xdr:to>
      <xdr:col>3</xdr:col>
      <xdr:colOff>210552</xdr:colOff>
      <xdr:row>210</xdr:row>
      <xdr:rowOff>71688</xdr:rowOff>
    </xdr:to>
    <xdr:cxnSp macro="">
      <xdr:nvCxnSpPr>
        <xdr:cNvPr id="36" name="Gerade Verbindung 56359">
          <a:extLst>
            <a:ext uri="{FF2B5EF4-FFF2-40B4-BE49-F238E27FC236}">
              <a16:creationId xmlns:a16="http://schemas.microsoft.com/office/drawing/2014/main" id="{00000000-0008-0000-0400-000024000000}"/>
            </a:ext>
          </a:extLst>
        </xdr:cNvPr>
        <xdr:cNvCxnSpPr/>
      </xdr:nvCxnSpPr>
      <xdr:spPr bwMode="auto">
        <a:xfrm flipV="1">
          <a:off x="1395413" y="31969910"/>
          <a:ext cx="5764" cy="1229728"/>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3</xdr:col>
      <xdr:colOff>29328</xdr:colOff>
      <xdr:row>215</xdr:row>
      <xdr:rowOff>155408</xdr:rowOff>
    </xdr:from>
    <xdr:to>
      <xdr:col>3</xdr:col>
      <xdr:colOff>35092</xdr:colOff>
      <xdr:row>220</xdr:row>
      <xdr:rowOff>146886</xdr:rowOff>
    </xdr:to>
    <xdr:cxnSp macro="">
      <xdr:nvCxnSpPr>
        <xdr:cNvPr id="37" name="Gerade Verbindung 96">
          <a:extLst>
            <a:ext uri="{FF2B5EF4-FFF2-40B4-BE49-F238E27FC236}">
              <a16:creationId xmlns:a16="http://schemas.microsoft.com/office/drawing/2014/main" id="{00000000-0008-0000-0400-000025000000}"/>
            </a:ext>
          </a:extLst>
        </xdr:cNvPr>
        <xdr:cNvCxnSpPr/>
      </xdr:nvCxnSpPr>
      <xdr:spPr bwMode="auto">
        <a:xfrm flipV="1">
          <a:off x="1219953" y="34521608"/>
          <a:ext cx="5764" cy="1229728"/>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15</xdr:col>
      <xdr:colOff>259933</xdr:colOff>
      <xdr:row>205</xdr:row>
      <xdr:rowOff>170447</xdr:rowOff>
    </xdr:from>
    <xdr:to>
      <xdr:col>15</xdr:col>
      <xdr:colOff>265697</xdr:colOff>
      <xdr:row>210</xdr:row>
      <xdr:rowOff>161925</xdr:rowOff>
    </xdr:to>
    <xdr:cxnSp macro="">
      <xdr:nvCxnSpPr>
        <xdr:cNvPr id="38" name="Gerade Verbindung 98">
          <a:extLst>
            <a:ext uri="{FF2B5EF4-FFF2-40B4-BE49-F238E27FC236}">
              <a16:creationId xmlns:a16="http://schemas.microsoft.com/office/drawing/2014/main" id="{00000000-0008-0000-0400-000026000000}"/>
            </a:ext>
          </a:extLst>
        </xdr:cNvPr>
        <xdr:cNvCxnSpPr/>
      </xdr:nvCxnSpPr>
      <xdr:spPr bwMode="auto">
        <a:xfrm flipV="1">
          <a:off x="5698708" y="32060147"/>
          <a:ext cx="5764" cy="1229728"/>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15</xdr:col>
      <xdr:colOff>95249</xdr:colOff>
      <xdr:row>215</xdr:row>
      <xdr:rowOff>25066</xdr:rowOff>
    </xdr:from>
    <xdr:to>
      <xdr:col>15</xdr:col>
      <xdr:colOff>100263</xdr:colOff>
      <xdr:row>220</xdr:row>
      <xdr:rowOff>140368</xdr:rowOff>
    </xdr:to>
    <xdr:cxnSp macro="">
      <xdr:nvCxnSpPr>
        <xdr:cNvPr id="39" name="Gerade Verbindung 99">
          <a:extLst>
            <a:ext uri="{FF2B5EF4-FFF2-40B4-BE49-F238E27FC236}">
              <a16:creationId xmlns:a16="http://schemas.microsoft.com/office/drawing/2014/main" id="{00000000-0008-0000-0400-000027000000}"/>
            </a:ext>
          </a:extLst>
        </xdr:cNvPr>
        <xdr:cNvCxnSpPr/>
      </xdr:nvCxnSpPr>
      <xdr:spPr bwMode="auto">
        <a:xfrm flipH="1" flipV="1">
          <a:off x="5534024" y="34391266"/>
          <a:ext cx="5014" cy="1353552"/>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2</xdr:col>
      <xdr:colOff>226219</xdr:colOff>
      <xdr:row>209</xdr:row>
      <xdr:rowOff>232172</xdr:rowOff>
    </xdr:from>
    <xdr:to>
      <xdr:col>3</xdr:col>
      <xdr:colOff>392906</xdr:colOff>
      <xdr:row>210</xdr:row>
      <xdr:rowOff>95250</xdr:rowOff>
    </xdr:to>
    <xdr:cxnSp macro="">
      <xdr:nvCxnSpPr>
        <xdr:cNvPr id="40" name="Gerade Verbindung 109">
          <a:extLst>
            <a:ext uri="{FF2B5EF4-FFF2-40B4-BE49-F238E27FC236}">
              <a16:creationId xmlns:a16="http://schemas.microsoft.com/office/drawing/2014/main" id="{00000000-0008-0000-0400-000028000000}"/>
            </a:ext>
          </a:extLst>
        </xdr:cNvPr>
        <xdr:cNvCxnSpPr/>
      </xdr:nvCxnSpPr>
      <xdr:spPr bwMode="auto">
        <a:xfrm>
          <a:off x="912019" y="33112472"/>
          <a:ext cx="671512" cy="110728"/>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xdr:col>
      <xdr:colOff>345281</xdr:colOff>
      <xdr:row>206</xdr:row>
      <xdr:rowOff>77391</xdr:rowOff>
    </xdr:from>
    <xdr:to>
      <xdr:col>3</xdr:col>
      <xdr:colOff>392906</xdr:colOff>
      <xdr:row>206</xdr:row>
      <xdr:rowOff>157288</xdr:rowOff>
    </xdr:to>
    <xdr:cxnSp macro="">
      <xdr:nvCxnSpPr>
        <xdr:cNvPr id="41" name="Gerade Verbindung 111">
          <a:extLst>
            <a:ext uri="{FF2B5EF4-FFF2-40B4-BE49-F238E27FC236}">
              <a16:creationId xmlns:a16="http://schemas.microsoft.com/office/drawing/2014/main" id="{00000000-0008-0000-0400-000029000000}"/>
            </a:ext>
          </a:extLst>
        </xdr:cNvPr>
        <xdr:cNvCxnSpPr/>
      </xdr:nvCxnSpPr>
      <xdr:spPr bwMode="auto">
        <a:xfrm>
          <a:off x="526256" y="32214741"/>
          <a:ext cx="1057275" cy="79897"/>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7</xdr:col>
      <xdr:colOff>17369</xdr:colOff>
      <xdr:row>211</xdr:row>
      <xdr:rowOff>76760</xdr:rowOff>
    </xdr:from>
    <xdr:to>
      <xdr:col>8</xdr:col>
      <xdr:colOff>300318</xdr:colOff>
      <xdr:row>212</xdr:row>
      <xdr:rowOff>132790</xdr:rowOff>
    </xdr:to>
    <xdr:sp macro="" textlink="">
      <xdr:nvSpPr>
        <xdr:cNvPr id="42" name="Textfeld 41">
          <a:extLst>
            <a:ext uri="{FF2B5EF4-FFF2-40B4-BE49-F238E27FC236}">
              <a16:creationId xmlns:a16="http://schemas.microsoft.com/office/drawing/2014/main" id="{00000000-0008-0000-0400-00002A000000}"/>
            </a:ext>
          </a:extLst>
        </xdr:cNvPr>
        <xdr:cNvSpPr txBox="1"/>
      </xdr:nvSpPr>
      <xdr:spPr>
        <a:xfrm>
          <a:off x="2627219" y="33452360"/>
          <a:ext cx="644899" cy="303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KDV</a:t>
          </a:r>
        </a:p>
      </xdr:txBody>
    </xdr:sp>
    <xdr:clientData/>
  </xdr:twoCellAnchor>
  <xdr:twoCellAnchor editAs="oneCell">
    <xdr:from>
      <xdr:col>19</xdr:col>
      <xdr:colOff>367334</xdr:colOff>
      <xdr:row>241</xdr:row>
      <xdr:rowOff>59220</xdr:rowOff>
    </xdr:from>
    <xdr:to>
      <xdr:col>29</xdr:col>
      <xdr:colOff>331245</xdr:colOff>
      <xdr:row>285</xdr:row>
      <xdr:rowOff>4103</xdr:rowOff>
    </xdr:to>
    <xdr:pic>
      <xdr:nvPicPr>
        <xdr:cNvPr id="43" name="Grafik 42">
          <a:extLst>
            <a:ext uri="{FF2B5EF4-FFF2-40B4-BE49-F238E27FC236}">
              <a16:creationId xmlns:a16="http://schemas.microsoft.com/office/drawing/2014/main" id="{00000000-0008-0000-0400-00002B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49159" y="39273645"/>
          <a:ext cx="7583911" cy="6513469"/>
        </a:xfrm>
        <a:prstGeom prst="rect">
          <a:avLst/>
        </a:prstGeom>
      </xdr:spPr>
    </xdr:pic>
    <xdr:clientData/>
  </xdr:twoCellAnchor>
  <xdr:twoCellAnchor editAs="oneCell">
    <xdr:from>
      <xdr:col>0</xdr:col>
      <xdr:colOff>165654</xdr:colOff>
      <xdr:row>30</xdr:row>
      <xdr:rowOff>24848</xdr:rowOff>
    </xdr:from>
    <xdr:to>
      <xdr:col>18</xdr:col>
      <xdr:colOff>89422</xdr:colOff>
      <xdr:row>51</xdr:row>
      <xdr:rowOff>50552</xdr:rowOff>
    </xdr:to>
    <xdr:pic>
      <xdr:nvPicPr>
        <xdr:cNvPr id="44" name="Grafik 43">
          <a:extLst>
            <a:ext uri="{FF2B5EF4-FFF2-40B4-BE49-F238E27FC236}">
              <a16:creationId xmlns:a16="http://schemas.microsoft.com/office/drawing/2014/main" id="{00000000-0008-0000-0400-00002C000000}"/>
            </a:ext>
          </a:extLst>
        </xdr:cNvPr>
        <xdr:cNvPicPr>
          <a:picLocks noChangeAspect="1"/>
        </xdr:cNvPicPr>
      </xdr:nvPicPr>
      <xdr:blipFill>
        <a:blip xmlns:r="http://schemas.openxmlformats.org/officeDocument/2006/relationships" r:embed="rId4"/>
        <a:stretch>
          <a:fillRect/>
        </a:stretch>
      </xdr:blipFill>
      <xdr:spPr>
        <a:xfrm>
          <a:off x="165654" y="5301698"/>
          <a:ext cx="6660874" cy="4035729"/>
        </a:xfrm>
        <a:prstGeom prst="rect">
          <a:avLst/>
        </a:prstGeom>
      </xdr:spPr>
    </xdr:pic>
    <xdr:clientData/>
  </xdr:twoCellAnchor>
  <xdr:twoCellAnchor editAs="oneCell">
    <xdr:from>
      <xdr:col>2</xdr:col>
      <xdr:colOff>364434</xdr:colOff>
      <xdr:row>46</xdr:row>
      <xdr:rowOff>63722</xdr:rowOff>
    </xdr:from>
    <xdr:to>
      <xdr:col>5</xdr:col>
      <xdr:colOff>51677</xdr:colOff>
      <xdr:row>51</xdr:row>
      <xdr:rowOff>24493</xdr:rowOff>
    </xdr:to>
    <xdr:pic>
      <xdr:nvPicPr>
        <xdr:cNvPr id="45" name="Grafik 44">
          <a:extLst>
            <a:ext uri="{FF2B5EF4-FFF2-40B4-BE49-F238E27FC236}">
              <a16:creationId xmlns:a16="http://schemas.microsoft.com/office/drawing/2014/main" id="{00000000-0008-0000-0400-00002D000000}"/>
            </a:ext>
          </a:extLst>
        </xdr:cNvPr>
        <xdr:cNvPicPr>
          <a:picLocks noChangeAspect="1"/>
        </xdr:cNvPicPr>
      </xdr:nvPicPr>
      <xdr:blipFill>
        <a:blip xmlns:r="http://schemas.openxmlformats.org/officeDocument/2006/relationships" r:embed="rId5"/>
        <a:stretch>
          <a:fillRect/>
        </a:stretch>
      </xdr:blipFill>
      <xdr:spPr>
        <a:xfrm>
          <a:off x="1050234" y="8388572"/>
          <a:ext cx="1173143" cy="911073"/>
        </a:xfrm>
        <a:prstGeom prst="rect">
          <a:avLst/>
        </a:prstGeom>
      </xdr:spPr>
    </xdr:pic>
    <xdr:clientData/>
  </xdr:twoCellAnchor>
  <xdr:twoCellAnchor>
    <xdr:from>
      <xdr:col>0</xdr:col>
      <xdr:colOff>0</xdr:colOff>
      <xdr:row>221</xdr:row>
      <xdr:rowOff>231911</xdr:rowOff>
    </xdr:from>
    <xdr:to>
      <xdr:col>12</xdr:col>
      <xdr:colOff>289891</xdr:colOff>
      <xdr:row>225</xdr:row>
      <xdr:rowOff>0</xdr:rowOff>
    </xdr:to>
    <xdr:sp macro="" textlink="">
      <xdr:nvSpPr>
        <xdr:cNvPr id="46" name="Textfeld 45">
          <a:extLst>
            <a:ext uri="{FF2B5EF4-FFF2-40B4-BE49-F238E27FC236}">
              <a16:creationId xmlns:a16="http://schemas.microsoft.com/office/drawing/2014/main" id="{00000000-0008-0000-0400-00002E000000}"/>
            </a:ext>
          </a:extLst>
        </xdr:cNvPr>
        <xdr:cNvSpPr txBox="1"/>
      </xdr:nvSpPr>
      <xdr:spPr>
        <a:xfrm>
          <a:off x="0" y="36084011"/>
          <a:ext cx="4642816" cy="539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Arial" panose="020B0604020202020204" pitchFamily="34" charset="0"/>
              <a:cs typeface="Arial" panose="020B0604020202020204" pitchFamily="34" charset="0"/>
            </a:rPr>
            <a:t>Alle  Werte der Stützgeometrie sind zu ermitteln</a:t>
          </a:r>
          <a:r>
            <a:rPr lang="de-DE" sz="900" baseline="0">
              <a:latin typeface="Arial" panose="020B0604020202020204" pitchFamily="34" charset="0"/>
              <a:cs typeface="Arial" panose="020B0604020202020204" pitchFamily="34" charset="0"/>
            </a:rPr>
            <a:t> und </a:t>
          </a:r>
          <a:r>
            <a:rPr lang="de-DE" sz="900">
              <a:latin typeface="Arial" panose="020B0604020202020204" pitchFamily="34" charset="0"/>
              <a:cs typeface="Arial" panose="020B0604020202020204" pitchFamily="34" charset="0"/>
            </a:rPr>
            <a:t>in die Felder neben den grauen</a:t>
          </a:r>
          <a:r>
            <a:rPr lang="de-DE" sz="900" baseline="0">
              <a:latin typeface="Arial" panose="020B0604020202020204" pitchFamily="34" charset="0"/>
              <a:cs typeface="Arial" panose="020B0604020202020204" pitchFamily="34" charset="0"/>
            </a:rPr>
            <a:t> Werten einzutragen. </a:t>
          </a:r>
        </a:p>
        <a:p>
          <a:r>
            <a:rPr lang="de-DE" sz="900" baseline="0">
              <a:latin typeface="Arial" panose="020B0604020202020204" pitchFamily="34" charset="0"/>
              <a:cs typeface="Arial" panose="020B0604020202020204" pitchFamily="34" charset="0"/>
            </a:rPr>
            <a:t>M</a:t>
          </a:r>
          <a:r>
            <a:rPr lang="de-DE" sz="900">
              <a:latin typeface="Arial" panose="020B0604020202020204" pitchFamily="34" charset="0"/>
              <a:cs typeface="Arial" panose="020B0604020202020204" pitchFamily="34" charset="0"/>
            </a:rPr>
            <a:t>ehr als 20mm abweichende Werte sind  umgehend der</a:t>
          </a:r>
          <a:r>
            <a:rPr lang="de-DE" sz="900" baseline="0">
              <a:latin typeface="Arial" panose="020B0604020202020204" pitchFamily="34" charset="0"/>
              <a:cs typeface="Arial" panose="020B0604020202020204" pitchFamily="34" charset="0"/>
            </a:rPr>
            <a:t> Gruppe Statik/Konzeption zu melden!</a:t>
          </a:r>
          <a:endParaRPr lang="de-DE" sz="900">
            <a:latin typeface="Arial" panose="020B0604020202020204" pitchFamily="34" charset="0"/>
            <a:cs typeface="Arial" panose="020B0604020202020204" pitchFamily="34" charset="0"/>
          </a:endParaRPr>
        </a:p>
      </xdr:txBody>
    </xdr:sp>
    <xdr:clientData/>
  </xdr:twoCellAnchor>
  <xdr:twoCellAnchor>
    <xdr:from>
      <xdr:col>2</xdr:col>
      <xdr:colOff>41672</xdr:colOff>
      <xdr:row>215</xdr:row>
      <xdr:rowOff>83344</xdr:rowOff>
    </xdr:from>
    <xdr:to>
      <xdr:col>3</xdr:col>
      <xdr:colOff>208359</xdr:colOff>
      <xdr:row>215</xdr:row>
      <xdr:rowOff>196453</xdr:rowOff>
    </xdr:to>
    <xdr:cxnSp macro="">
      <xdr:nvCxnSpPr>
        <xdr:cNvPr id="47" name="Gerade Verbindung 104">
          <a:extLst>
            <a:ext uri="{FF2B5EF4-FFF2-40B4-BE49-F238E27FC236}">
              <a16:creationId xmlns:a16="http://schemas.microsoft.com/office/drawing/2014/main" id="{00000000-0008-0000-0400-00002F000000}"/>
            </a:ext>
          </a:extLst>
        </xdr:cNvPr>
        <xdr:cNvCxnSpPr/>
      </xdr:nvCxnSpPr>
      <xdr:spPr bwMode="auto">
        <a:xfrm>
          <a:off x="727472" y="34449544"/>
          <a:ext cx="671512" cy="113109"/>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xdr:col>
      <xdr:colOff>255984</xdr:colOff>
      <xdr:row>219</xdr:row>
      <xdr:rowOff>29766</xdr:rowOff>
    </xdr:from>
    <xdr:to>
      <xdr:col>3</xdr:col>
      <xdr:colOff>303609</xdr:colOff>
      <xdr:row>219</xdr:row>
      <xdr:rowOff>109663</xdr:rowOff>
    </xdr:to>
    <xdr:cxnSp macro="">
      <xdr:nvCxnSpPr>
        <xdr:cNvPr id="48" name="Gerade Verbindung 108">
          <a:extLst>
            <a:ext uri="{FF2B5EF4-FFF2-40B4-BE49-F238E27FC236}">
              <a16:creationId xmlns:a16="http://schemas.microsoft.com/office/drawing/2014/main" id="{00000000-0008-0000-0400-000030000000}"/>
            </a:ext>
          </a:extLst>
        </xdr:cNvPr>
        <xdr:cNvCxnSpPr/>
      </xdr:nvCxnSpPr>
      <xdr:spPr bwMode="auto">
        <a:xfrm>
          <a:off x="436959" y="35386566"/>
          <a:ext cx="1057275" cy="79897"/>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17</xdr:col>
      <xdr:colOff>178593</xdr:colOff>
      <xdr:row>206</xdr:row>
      <xdr:rowOff>196453</xdr:rowOff>
    </xdr:from>
    <xdr:to>
      <xdr:col>17</xdr:col>
      <xdr:colOff>381001</xdr:colOff>
      <xdr:row>219</xdr:row>
      <xdr:rowOff>244079</xdr:rowOff>
    </xdr:to>
    <xdr:cxnSp macro="">
      <xdr:nvCxnSpPr>
        <xdr:cNvPr id="49" name="Gerade Verbindung mit Pfeil 48">
          <a:extLst>
            <a:ext uri="{FF2B5EF4-FFF2-40B4-BE49-F238E27FC236}">
              <a16:creationId xmlns:a16="http://schemas.microsoft.com/office/drawing/2014/main" id="{00000000-0008-0000-0400-000031000000}"/>
            </a:ext>
          </a:extLst>
        </xdr:cNvPr>
        <xdr:cNvCxnSpPr/>
      </xdr:nvCxnSpPr>
      <xdr:spPr bwMode="auto">
        <a:xfrm flipH="1">
          <a:off x="6341268" y="32333803"/>
          <a:ext cx="202408" cy="3267076"/>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16</xdr:col>
      <xdr:colOff>279797</xdr:colOff>
      <xdr:row>210</xdr:row>
      <xdr:rowOff>160734</xdr:rowOff>
    </xdr:from>
    <xdr:to>
      <xdr:col>17</xdr:col>
      <xdr:colOff>89297</xdr:colOff>
      <xdr:row>216</xdr:row>
      <xdr:rowOff>11906</xdr:rowOff>
    </xdr:to>
    <xdr:cxnSp macro="">
      <xdr:nvCxnSpPr>
        <xdr:cNvPr id="50" name="Gerade Verbindung mit Pfeil 49">
          <a:extLst>
            <a:ext uri="{FF2B5EF4-FFF2-40B4-BE49-F238E27FC236}">
              <a16:creationId xmlns:a16="http://schemas.microsoft.com/office/drawing/2014/main" id="{00000000-0008-0000-0400-000032000000}"/>
            </a:ext>
          </a:extLst>
        </xdr:cNvPr>
        <xdr:cNvCxnSpPr/>
      </xdr:nvCxnSpPr>
      <xdr:spPr bwMode="auto">
        <a:xfrm flipH="1">
          <a:off x="6070997" y="33288684"/>
          <a:ext cx="180975" cy="1337072"/>
        </a:xfrm>
        <a:prstGeom prst="straightConnector1">
          <a:avLst/>
        </a:prstGeom>
        <a:solidFill>
          <a:srgbClr val="FFFFFF"/>
        </a:solidFill>
        <a:ln w="9525" cap="flat" cmpd="sng" algn="ctr">
          <a:solidFill>
            <a:srgbClr val="000000"/>
          </a:solidFill>
          <a:prstDash val="solid"/>
          <a:round/>
          <a:headEnd type="arrow"/>
          <a:tailEnd type="arrow"/>
        </a:ln>
        <a:effectLst/>
      </xdr:spPr>
    </xdr:cxnSp>
    <xdr:clientData/>
  </xdr:twoCellAnchor>
  <xdr:twoCellAnchor>
    <xdr:from>
      <xdr:col>15</xdr:col>
      <xdr:colOff>142875</xdr:colOff>
      <xdr:row>210</xdr:row>
      <xdr:rowOff>65485</xdr:rowOff>
    </xdr:from>
    <xdr:to>
      <xdr:col>17</xdr:col>
      <xdr:colOff>196453</xdr:colOff>
      <xdr:row>210</xdr:row>
      <xdr:rowOff>190500</xdr:rowOff>
    </xdr:to>
    <xdr:cxnSp macro="">
      <xdr:nvCxnSpPr>
        <xdr:cNvPr id="51" name="Gerade Verbindung 113">
          <a:extLst>
            <a:ext uri="{FF2B5EF4-FFF2-40B4-BE49-F238E27FC236}">
              <a16:creationId xmlns:a16="http://schemas.microsoft.com/office/drawing/2014/main" id="{00000000-0008-0000-0400-000033000000}"/>
            </a:ext>
          </a:extLst>
        </xdr:cNvPr>
        <xdr:cNvCxnSpPr/>
      </xdr:nvCxnSpPr>
      <xdr:spPr bwMode="auto">
        <a:xfrm>
          <a:off x="5581650" y="33193435"/>
          <a:ext cx="777478" cy="12501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15</xdr:col>
      <xdr:colOff>101204</xdr:colOff>
      <xdr:row>206</xdr:row>
      <xdr:rowOff>119063</xdr:rowOff>
    </xdr:from>
    <xdr:to>
      <xdr:col>17</xdr:col>
      <xdr:colOff>440531</xdr:colOff>
      <xdr:row>206</xdr:row>
      <xdr:rowOff>198960</xdr:rowOff>
    </xdr:to>
    <xdr:cxnSp macro="">
      <xdr:nvCxnSpPr>
        <xdr:cNvPr id="52" name="Gerade Verbindung 114">
          <a:extLst>
            <a:ext uri="{FF2B5EF4-FFF2-40B4-BE49-F238E27FC236}">
              <a16:creationId xmlns:a16="http://schemas.microsoft.com/office/drawing/2014/main" id="{00000000-0008-0000-0400-000034000000}"/>
            </a:ext>
          </a:extLst>
        </xdr:cNvPr>
        <xdr:cNvCxnSpPr/>
      </xdr:nvCxnSpPr>
      <xdr:spPr bwMode="auto">
        <a:xfrm>
          <a:off x="5539979" y="32256413"/>
          <a:ext cx="1063227" cy="79897"/>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14</xdr:col>
      <xdr:colOff>202406</xdr:colOff>
      <xdr:row>215</xdr:row>
      <xdr:rowOff>130968</xdr:rowOff>
    </xdr:from>
    <xdr:to>
      <xdr:col>16</xdr:col>
      <xdr:colOff>363140</xdr:colOff>
      <xdr:row>216</xdr:row>
      <xdr:rowOff>11906</xdr:rowOff>
    </xdr:to>
    <xdr:cxnSp macro="">
      <xdr:nvCxnSpPr>
        <xdr:cNvPr id="53" name="Gerade Verbindung 116">
          <a:extLst>
            <a:ext uri="{FF2B5EF4-FFF2-40B4-BE49-F238E27FC236}">
              <a16:creationId xmlns:a16="http://schemas.microsoft.com/office/drawing/2014/main" id="{00000000-0008-0000-0400-000035000000}"/>
            </a:ext>
          </a:extLst>
        </xdr:cNvPr>
        <xdr:cNvCxnSpPr/>
      </xdr:nvCxnSpPr>
      <xdr:spPr bwMode="auto">
        <a:xfrm>
          <a:off x="5412581" y="34497168"/>
          <a:ext cx="741759" cy="128588"/>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14</xdr:col>
      <xdr:colOff>172641</xdr:colOff>
      <xdr:row>219</xdr:row>
      <xdr:rowOff>172640</xdr:rowOff>
    </xdr:from>
    <xdr:to>
      <xdr:col>17</xdr:col>
      <xdr:colOff>285750</xdr:colOff>
      <xdr:row>220</xdr:row>
      <xdr:rowOff>2505</xdr:rowOff>
    </xdr:to>
    <xdr:cxnSp macro="">
      <xdr:nvCxnSpPr>
        <xdr:cNvPr id="54" name="Gerade Verbindung 117">
          <a:extLst>
            <a:ext uri="{FF2B5EF4-FFF2-40B4-BE49-F238E27FC236}">
              <a16:creationId xmlns:a16="http://schemas.microsoft.com/office/drawing/2014/main" id="{00000000-0008-0000-0400-000036000000}"/>
            </a:ext>
          </a:extLst>
        </xdr:cNvPr>
        <xdr:cNvCxnSpPr/>
      </xdr:nvCxnSpPr>
      <xdr:spPr bwMode="auto">
        <a:xfrm>
          <a:off x="5382816" y="35529440"/>
          <a:ext cx="1065609" cy="7751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xdr:col>
      <xdr:colOff>1</xdr:colOff>
      <xdr:row>191</xdr:row>
      <xdr:rowOff>0</xdr:rowOff>
    </xdr:from>
    <xdr:to>
      <xdr:col>4</xdr:col>
      <xdr:colOff>403413</xdr:colOff>
      <xdr:row>202</xdr:row>
      <xdr:rowOff>94713</xdr:rowOff>
    </xdr:to>
    <xdr:pic>
      <xdr:nvPicPr>
        <xdr:cNvPr id="55" name="Grafik 2" descr="cid:image003.png@01D24978.82117110">
          <a:extLst>
            <a:ext uri="{FF2B5EF4-FFF2-40B4-BE49-F238E27FC236}">
              <a16:creationId xmlns:a16="http://schemas.microsoft.com/office/drawing/2014/main" id="{00000000-0008-0000-0400-000037000000}"/>
            </a:ext>
          </a:extLst>
        </xdr:cNvPr>
        <xdr:cNvPicPr>
          <a:picLocks noChangeAspect="1" noChangeArrowheads="1"/>
        </xdr:cNvPicPr>
      </xdr:nvPicPr>
      <xdr:blipFill>
        <a:blip xmlns:r="http://schemas.openxmlformats.org/officeDocument/2006/relationships" r:embed="rId6" r:link="rId7" cstate="print">
          <a:extLst>
            <a:ext uri="{28A0092B-C50C-407E-A947-70E740481C1C}">
              <a14:useLocalDpi xmlns:a14="http://schemas.microsoft.com/office/drawing/2010/main" val="0"/>
            </a:ext>
          </a:extLst>
        </a:blip>
        <a:srcRect/>
        <a:stretch>
          <a:fillRect/>
        </a:stretch>
      </xdr:blipFill>
      <xdr:spPr bwMode="auto">
        <a:xfrm>
          <a:off x="180976" y="29241750"/>
          <a:ext cx="1898837" cy="21902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116332</xdr:colOff>
      <xdr:row>450</xdr:row>
      <xdr:rowOff>156078</xdr:rowOff>
    </xdr:from>
    <xdr:to>
      <xdr:col>18</xdr:col>
      <xdr:colOff>131248</xdr:colOff>
      <xdr:row>460</xdr:row>
      <xdr:rowOff>164225</xdr:rowOff>
    </xdr:to>
    <xdr:sp macro="" textlink="">
      <xdr:nvSpPr>
        <xdr:cNvPr id="56" name="Textfeld 55">
          <a:extLst>
            <a:ext uri="{FF2B5EF4-FFF2-40B4-BE49-F238E27FC236}">
              <a16:creationId xmlns:a16="http://schemas.microsoft.com/office/drawing/2014/main" id="{00000000-0008-0000-0400-000038000000}"/>
            </a:ext>
          </a:extLst>
        </xdr:cNvPr>
        <xdr:cNvSpPr txBox="1"/>
      </xdr:nvSpPr>
      <xdr:spPr>
        <a:xfrm>
          <a:off x="116332" y="66164328"/>
          <a:ext cx="6758616" cy="198934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000" b="1"/>
            <a:t>Ablauf der Prüfung:</a:t>
          </a:r>
        </a:p>
        <a:p>
          <a:r>
            <a:rPr lang="de-DE" sz="1000"/>
            <a:t>- Fahrzeug in der maximalen Abstützung (100% Stützweite li. u. re.) auf ebenen Boden waagerecht abstützen und sichern</a:t>
          </a:r>
        </a:p>
        <a:p>
          <a:r>
            <a:rPr lang="de-DE" sz="1000"/>
            <a:t>- Fahrzeug komplett freiheben (alle Räder haben keinen Bodenkontakt)</a:t>
          </a:r>
        </a:p>
        <a:p>
          <a:r>
            <a:rPr lang="de-DE" sz="1000"/>
            <a:t>- Korblastmessung inaktiv schalten (Merker setzen)</a:t>
          </a:r>
        </a:p>
        <a:p>
          <a:pPr>
            <a:lnSpc>
              <a:spcPts val="1100"/>
            </a:lnSpc>
          </a:pPr>
          <a:r>
            <a:rPr lang="de-DE" sz="1000"/>
            <a:t>- den Korb</a:t>
          </a:r>
          <a:r>
            <a:rPr lang="de-DE" sz="1000" b="0" baseline="0"/>
            <a:t> mit </a:t>
          </a:r>
          <a:r>
            <a:rPr lang="de-DE" sz="1000" b="1" baseline="0"/>
            <a:t>125% </a:t>
          </a:r>
          <a:r>
            <a:rPr lang="de-DE" sz="1000" baseline="0"/>
            <a:t>der max. Nennlast beladen (1,25 x max. Nennlast)</a:t>
          </a:r>
          <a:r>
            <a:rPr lang="de-DE" sz="1100" b="0" i="0" u="none" strike="noStrike">
              <a:solidFill>
                <a:schemeClr val="dk1"/>
              </a:solidFill>
              <a:effectLst/>
              <a:latin typeface="+mn-lt"/>
              <a:ea typeface="+mn-ea"/>
              <a:cs typeface="+mn-cs"/>
            </a:rPr>
            <a:t> </a:t>
          </a:r>
          <a:r>
            <a:rPr lang="de-DE" sz="1000"/>
            <a:t> </a:t>
          </a:r>
          <a:r>
            <a:rPr lang="de-DE" sz="500" b="0" i="0" u="none" strike="noStrike">
              <a:solidFill>
                <a:schemeClr val="dk1"/>
              </a:solidFill>
              <a:effectLst/>
              <a:latin typeface="+mn-lt"/>
              <a:ea typeface="+mn-ea"/>
              <a:cs typeface="+mn-cs"/>
            </a:rPr>
            <a:t> </a:t>
          </a:r>
          <a:r>
            <a:rPr lang="de-DE" sz="500"/>
            <a:t> </a:t>
          </a:r>
        </a:p>
        <a:p>
          <a:endParaRPr lang="de-DE" sz="500"/>
        </a:p>
        <a:p>
          <a:pPr>
            <a:lnSpc>
              <a:spcPts val="1100"/>
            </a:lnSpc>
          </a:pPr>
          <a:r>
            <a:rPr lang="de-DE" sz="1000"/>
            <a:t>Alle Bewegungen sind einzeln (nacheinander) durchzufahre</a:t>
          </a:r>
          <a:r>
            <a:rPr lang="de-DE" sz="1000" baseline="0"/>
            <a:t>n.</a:t>
          </a:r>
          <a:br>
            <a:rPr lang="de-DE" sz="1000" baseline="0"/>
          </a:br>
          <a:r>
            <a:rPr lang="de-DE" sz="1000" baseline="0"/>
            <a:t>Bewegung ist ein kurzzeitiger Stop einzulegen. Die Funktion der Nivellierung muß bei allen Auf-Ab-Bewegungen ohne Veränderung bzw. Einschränkungen gegeben sein. </a:t>
          </a:r>
          <a:endParaRPr lang="de-DE" sz="500" baseline="0"/>
        </a:p>
        <a:p>
          <a:endParaRPr lang="de-DE" sz="500" baseline="0"/>
        </a:p>
        <a:p>
          <a:pPr>
            <a:lnSpc>
              <a:spcPts val="1100"/>
            </a:lnSpc>
          </a:pPr>
          <a:r>
            <a:rPr lang="de-DE" sz="1000" b="0" i="0" baseline="0">
              <a:solidFill>
                <a:schemeClr val="dk1"/>
              </a:solidFill>
              <a:effectLst/>
              <a:latin typeface="+mn-lt"/>
              <a:ea typeface="+mn-ea"/>
              <a:cs typeface="+mn-cs"/>
            </a:rPr>
            <a:t>Bei der Überlastprüfung müssen die Bremssysteme in der Lage sein, die Prüflast abzubremsen und im Stillstand zu halten. Nach Entlastung von den Prüflasten darf die FHAB keine blei benden Verformungen aufweisen. </a:t>
          </a:r>
          <a:r>
            <a:rPr lang="de-DE" sz="1000">
              <a:solidFill>
                <a:schemeClr val="dk1"/>
              </a:solidFill>
              <a:effectLst/>
              <a:latin typeface="+mn-lt"/>
              <a:ea typeface="+mn-ea"/>
              <a:cs typeface="+mn-cs"/>
            </a:rPr>
            <a:t>Das Rampenverhalten darf sich gegenüber der vom Inbetriebnehmer eingestellten Rampe nicht spürbar verändern , auf gar keinen Fall verschlechtern, im Zweifelsfall ist zur Beurteilung eine zweite Person hinzuzuziehen.</a:t>
          </a:r>
          <a:endParaRPr lang="de-DE" sz="1000">
            <a:effectLst/>
          </a:endParaRPr>
        </a:p>
      </xdr:txBody>
    </xdr:sp>
    <xdr:clientData/>
  </xdr:twoCellAnchor>
  <xdr:twoCellAnchor>
    <xdr:from>
      <xdr:col>0</xdr:col>
      <xdr:colOff>146377</xdr:colOff>
      <xdr:row>441</xdr:row>
      <xdr:rowOff>58822</xdr:rowOff>
    </xdr:from>
    <xdr:to>
      <xdr:col>18</xdr:col>
      <xdr:colOff>218024</xdr:colOff>
      <xdr:row>444</xdr:row>
      <xdr:rowOff>39940</xdr:rowOff>
    </xdr:to>
    <xdr:sp macro="" textlink="">
      <xdr:nvSpPr>
        <xdr:cNvPr id="57" name="Textfeld 56">
          <a:extLst>
            <a:ext uri="{FF2B5EF4-FFF2-40B4-BE49-F238E27FC236}">
              <a16:creationId xmlns:a16="http://schemas.microsoft.com/office/drawing/2014/main" id="{00000000-0008-0000-0400-000039000000}"/>
            </a:ext>
          </a:extLst>
        </xdr:cNvPr>
        <xdr:cNvSpPr txBox="1"/>
      </xdr:nvSpPr>
      <xdr:spPr>
        <a:xfrm>
          <a:off x="146377" y="63942997"/>
          <a:ext cx="6815347" cy="64786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lnSpc>
              <a:spcPts val="1000"/>
            </a:lnSpc>
          </a:pPr>
          <a:r>
            <a:rPr lang="de-DE" sz="1000" b="0" i="0" u="none" strike="noStrike" baseline="0">
              <a:solidFill>
                <a:schemeClr val="dk1"/>
              </a:solidFill>
              <a:latin typeface="+mn-lt"/>
              <a:ea typeface="+mn-ea"/>
              <a:cs typeface="+mn-cs"/>
            </a:rPr>
            <a:t>Alle Bewegungen mit Prüflasten sollen mit Beschleunigungen und Verzögerungen, die einem sicheren Führen der Last angemessen sind, erfolgen. Müssen mehrere Bewegungen mit einer Prüflast durchgeführt werden (z. B. Heben, Senken, Schwenken), sind die vorgesehenen Bewegungen einzeln und nach Abklingen von Schwingungen aus der vorangehenden Bewegung mit der erforderlichen Sorgfalt unter Berücksichtigung der ungünstigsten Laststellungen durchzuführen.</a:t>
          </a:r>
          <a:endParaRPr lang="de-DE" sz="1000"/>
        </a:p>
      </xdr:txBody>
    </xdr:sp>
    <xdr:clientData/>
  </xdr:twoCellAnchor>
  <xdr:twoCellAnchor>
    <xdr:from>
      <xdr:col>0</xdr:col>
      <xdr:colOff>84871</xdr:colOff>
      <xdr:row>443</xdr:row>
      <xdr:rowOff>121948</xdr:rowOff>
    </xdr:from>
    <xdr:to>
      <xdr:col>18</xdr:col>
      <xdr:colOff>216756</xdr:colOff>
      <xdr:row>448</xdr:row>
      <xdr:rowOff>37632</xdr:rowOff>
    </xdr:to>
    <xdr:sp macro="" textlink="">
      <xdr:nvSpPr>
        <xdr:cNvPr id="58" name="Textfeld 57">
          <a:extLst>
            <a:ext uri="{FF2B5EF4-FFF2-40B4-BE49-F238E27FC236}">
              <a16:creationId xmlns:a16="http://schemas.microsoft.com/office/drawing/2014/main" id="{00000000-0008-0000-0400-00003A000000}"/>
            </a:ext>
          </a:extLst>
        </xdr:cNvPr>
        <xdr:cNvSpPr txBox="1"/>
      </xdr:nvSpPr>
      <xdr:spPr>
        <a:xfrm>
          <a:off x="84871" y="64501423"/>
          <a:ext cx="6875585" cy="1077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000" b="0" i="0" u="none" strike="noStrike" baseline="0">
              <a:solidFill>
                <a:schemeClr val="dk1"/>
              </a:solidFill>
              <a:latin typeface="+mn-lt"/>
              <a:ea typeface="+mn-ea"/>
              <a:cs typeface="+mn-cs"/>
            </a:rPr>
            <a:t>Die Funktionsprüfungen soll zeigen, dass</a:t>
          </a:r>
        </a:p>
        <a:p>
          <a:r>
            <a:rPr lang="de-DE" sz="1000" b="0" i="0" u="none" strike="noStrike" baseline="0">
              <a:solidFill>
                <a:schemeClr val="dk1"/>
              </a:solidFill>
              <a:latin typeface="+mn-lt"/>
              <a:ea typeface="+mn-ea"/>
              <a:cs typeface="+mn-cs"/>
            </a:rPr>
            <a:t>a) die FHAB bei Belastung mit 125% der Nennlast alle Bewegungen möglichst ruckfrei ausführen kann;</a:t>
          </a:r>
        </a:p>
        <a:p>
          <a:r>
            <a:rPr lang="de-DE" sz="1000" b="0" i="0" u="none" strike="noStrike" baseline="0">
              <a:solidFill>
                <a:schemeClr val="dk1"/>
              </a:solidFill>
              <a:latin typeface="+mn-lt"/>
              <a:ea typeface="+mn-ea"/>
              <a:cs typeface="+mn-cs"/>
            </a:rPr>
            <a:t>b) alle Sicherheitseinrichtungen richtig arbeiten;</a:t>
          </a:r>
        </a:p>
        <a:p>
          <a:r>
            <a:rPr lang="de-DE" sz="1000" b="0" i="0" u="none" strike="noStrike" baseline="0">
              <a:solidFill>
                <a:schemeClr val="dk1"/>
              </a:solidFill>
              <a:latin typeface="+mn-lt"/>
              <a:ea typeface="+mn-ea"/>
              <a:cs typeface="+mn-cs"/>
            </a:rPr>
            <a:t>c) zulässige Höchstgeschwindigkeiten nicht überschritten werden;</a:t>
          </a:r>
        </a:p>
        <a:p>
          <a:r>
            <a:rPr lang="de-DE" sz="1000" b="0" i="0" u="none" strike="noStrike" baseline="0">
              <a:solidFill>
                <a:schemeClr val="dk1"/>
              </a:solidFill>
              <a:latin typeface="+mn-lt"/>
              <a:ea typeface="+mn-ea"/>
              <a:cs typeface="+mn-cs"/>
            </a:rPr>
            <a:t>d) höchstzulässige Beschleunigungen und Verzögerungen nicht überschritten werden.</a:t>
          </a:r>
          <a:endParaRPr lang="de-DE" sz="1000"/>
        </a:p>
      </xdr:txBody>
    </xdr:sp>
    <xdr:clientData/>
  </xdr:twoCellAnchor>
  <xdr:twoCellAnchor>
    <xdr:from>
      <xdr:col>0</xdr:col>
      <xdr:colOff>133127</xdr:colOff>
      <xdr:row>475</xdr:row>
      <xdr:rowOff>19706</xdr:rowOff>
    </xdr:from>
    <xdr:to>
      <xdr:col>18</xdr:col>
      <xdr:colOff>39413</xdr:colOff>
      <xdr:row>479</xdr:row>
      <xdr:rowOff>72258</xdr:rowOff>
    </xdr:to>
    <xdr:sp macro="" textlink="">
      <xdr:nvSpPr>
        <xdr:cNvPr id="59" name="Textfeld 58">
          <a:extLst>
            <a:ext uri="{FF2B5EF4-FFF2-40B4-BE49-F238E27FC236}">
              <a16:creationId xmlns:a16="http://schemas.microsoft.com/office/drawing/2014/main" id="{00000000-0008-0000-0400-00003B000000}"/>
            </a:ext>
          </a:extLst>
        </xdr:cNvPr>
        <xdr:cNvSpPr txBox="1"/>
      </xdr:nvSpPr>
      <xdr:spPr>
        <a:xfrm>
          <a:off x="133127" y="71676281"/>
          <a:ext cx="6649986" cy="785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de-DE" sz="1100" b="1" i="0" baseline="0">
              <a:solidFill>
                <a:schemeClr val="dk1"/>
              </a:solidFill>
              <a:effectLst/>
              <a:latin typeface="+mn-lt"/>
              <a:ea typeface="+mn-ea"/>
              <a:cs typeface="+mn-cs"/>
            </a:rPr>
            <a:t>in "Fahrverhalten" sind folgende Eintragungen vorzunehmen:</a:t>
          </a:r>
          <a:endParaRPr lang="de-DE" sz="1000">
            <a:effectLst/>
          </a:endParaRPr>
        </a:p>
        <a:p>
          <a:pPr eaLnBrk="1" fontAlgn="auto" latinLnBrk="0" hangingPunct="1"/>
          <a:r>
            <a:rPr lang="de-DE" sz="1100" b="0" i="0" baseline="0">
              <a:solidFill>
                <a:schemeClr val="dk1"/>
              </a:solidFill>
              <a:effectLst/>
              <a:latin typeface="+mn-lt"/>
              <a:ea typeface="+mn-ea"/>
              <a:cs typeface="+mn-cs"/>
            </a:rPr>
            <a:t>+   Fahrverhalten ok, keine unzulässigen Veränderungen / Auffälligkeiten erkennbar</a:t>
          </a:r>
          <a:endParaRPr lang="de-DE" sz="1000">
            <a:effectLst/>
          </a:endParaRPr>
        </a:p>
        <a:p>
          <a:r>
            <a:rPr lang="de-DE" sz="1100" b="0" i="0" baseline="0">
              <a:solidFill>
                <a:schemeClr val="dk1"/>
              </a:solidFill>
              <a:effectLst/>
              <a:latin typeface="+mn-lt"/>
              <a:ea typeface="+mn-ea"/>
              <a:cs typeface="+mn-cs"/>
            </a:rPr>
            <a:t>-   unzulässige Verschlechterung, nicht akzeptabel z.B.: Last sinkt selbstsständig ab; starke Schwingungen, die nicht selbstständig abklingen; Nachlauf der Bewegung zu groß; starke Änderung der Geschwindigkeit; .</a:t>
          </a:r>
          <a:endParaRPr lang="de-DE" sz="1000"/>
        </a:p>
      </xdr:txBody>
    </xdr:sp>
    <xdr:clientData/>
  </xdr:twoCellAnchor>
  <xdr:twoCellAnchor>
    <xdr:from>
      <xdr:col>1</xdr:col>
      <xdr:colOff>44634</xdr:colOff>
      <xdr:row>439</xdr:row>
      <xdr:rowOff>28287</xdr:rowOff>
    </xdr:from>
    <xdr:to>
      <xdr:col>13</xdr:col>
      <xdr:colOff>495300</xdr:colOff>
      <xdr:row>441</xdr:row>
      <xdr:rowOff>7327</xdr:rowOff>
    </xdr:to>
    <xdr:sp macro="" textlink="">
      <xdr:nvSpPr>
        <xdr:cNvPr id="60" name="Textfeld 59">
          <a:extLst>
            <a:ext uri="{FF2B5EF4-FFF2-40B4-BE49-F238E27FC236}">
              <a16:creationId xmlns:a16="http://schemas.microsoft.com/office/drawing/2014/main" id="{00000000-0008-0000-0400-00003C000000}"/>
            </a:ext>
          </a:extLst>
        </xdr:cNvPr>
        <xdr:cNvSpPr txBox="1"/>
      </xdr:nvSpPr>
      <xdr:spPr>
        <a:xfrm>
          <a:off x="225609" y="63540987"/>
          <a:ext cx="4965516" cy="35051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de-DE" sz="1100" b="1" i="0" u="none" strike="noStrike" baseline="0">
              <a:solidFill>
                <a:schemeClr val="dk1"/>
              </a:solidFill>
              <a:latin typeface="+mn-lt"/>
              <a:ea typeface="+mn-ea"/>
              <a:cs typeface="+mn-cs"/>
            </a:rPr>
            <a:t>Überlastprüfung</a:t>
          </a:r>
          <a:r>
            <a:rPr lang="de-DE" sz="1100" b="0" i="0" u="none" strike="noStrike" baseline="0">
              <a:solidFill>
                <a:schemeClr val="dk1"/>
              </a:solidFill>
              <a:latin typeface="+mn-lt"/>
              <a:ea typeface="+mn-ea"/>
              <a:cs typeface="+mn-cs"/>
            </a:rPr>
            <a:t> gemäß EN280 6.1.4.3 und </a:t>
          </a:r>
          <a:r>
            <a:rPr lang="de-DE" sz="1100" b="1" i="0" baseline="0">
              <a:solidFill>
                <a:schemeClr val="dk1"/>
              </a:solidFill>
              <a:effectLst/>
              <a:latin typeface="+mn-lt"/>
              <a:ea typeface="+mn-ea"/>
              <a:cs typeface="+mn-cs"/>
            </a:rPr>
            <a:t>Funktionsprüfung</a:t>
          </a:r>
          <a:r>
            <a:rPr lang="de-DE" sz="1100" b="0" i="0" baseline="0">
              <a:solidFill>
                <a:schemeClr val="dk1"/>
              </a:solidFill>
              <a:effectLst/>
              <a:latin typeface="+mn-lt"/>
              <a:ea typeface="+mn-ea"/>
              <a:cs typeface="+mn-cs"/>
            </a:rPr>
            <a:t> gemäß EN280 6.1.4.4</a:t>
          </a:r>
          <a:endParaRPr lang="de-DE">
            <a:effectLst/>
          </a:endParaRPr>
        </a:p>
        <a:p>
          <a:pPr marL="0" marR="0" indent="0" algn="ctr" defTabSz="914400" eaLnBrk="1" fontAlgn="auto" latinLnBrk="0" hangingPunct="1">
            <a:lnSpc>
              <a:spcPct val="100000"/>
            </a:lnSpc>
            <a:spcBef>
              <a:spcPts val="0"/>
            </a:spcBef>
            <a:spcAft>
              <a:spcPts val="0"/>
            </a:spcAft>
            <a:buClrTx/>
            <a:buSzTx/>
            <a:buFontTx/>
            <a:buNone/>
            <a:tabLst/>
            <a:defRPr/>
          </a:pPr>
          <a:endParaRPr lang="de-DE">
            <a:effectLst/>
          </a:endParaRPr>
        </a:p>
        <a:p>
          <a:pPr algn="ctr"/>
          <a:endParaRPr lang="de-DE" sz="1100"/>
        </a:p>
      </xdr:txBody>
    </xdr:sp>
    <xdr:clientData/>
  </xdr:twoCellAnchor>
  <xdr:twoCellAnchor>
    <xdr:from>
      <xdr:col>0</xdr:col>
      <xdr:colOff>85922</xdr:colOff>
      <xdr:row>447</xdr:row>
      <xdr:rowOff>45681</xdr:rowOff>
    </xdr:from>
    <xdr:to>
      <xdr:col>18</xdr:col>
      <xdr:colOff>217807</xdr:colOff>
      <xdr:row>450</xdr:row>
      <xdr:rowOff>182334</xdr:rowOff>
    </xdr:to>
    <xdr:sp macro="" textlink="">
      <xdr:nvSpPr>
        <xdr:cNvPr id="61" name="Textfeld 60">
          <a:extLst>
            <a:ext uri="{FF2B5EF4-FFF2-40B4-BE49-F238E27FC236}">
              <a16:creationId xmlns:a16="http://schemas.microsoft.com/office/drawing/2014/main" id="{00000000-0008-0000-0400-00003D000000}"/>
            </a:ext>
          </a:extLst>
        </xdr:cNvPr>
        <xdr:cNvSpPr txBox="1"/>
      </xdr:nvSpPr>
      <xdr:spPr>
        <a:xfrm>
          <a:off x="85922" y="65423816"/>
          <a:ext cx="6879981" cy="854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solidFill>
                <a:srgbClr val="FF0000"/>
              </a:solidFill>
              <a:effectLst/>
              <a:latin typeface="+mn-lt"/>
              <a:ea typeface="+mn-ea"/>
              <a:cs typeface="+mn-cs"/>
            </a:rPr>
            <a:t>Hinweis:</a:t>
          </a:r>
        </a:p>
        <a:p>
          <a:r>
            <a:rPr lang="de-DE" sz="1100" b="1">
              <a:solidFill>
                <a:srgbClr val="FF0000"/>
              </a:solidFill>
              <a:effectLst/>
              <a:latin typeface="+mn-lt"/>
              <a:ea typeface="+mn-ea"/>
              <a:cs typeface="+mn-cs"/>
            </a:rPr>
            <a:t>Beim Test dürfen keine Personen im Korb stehen. Die Bedienung hat über die  Zweitbedienung zu erfolgen (Sicherheitsfunktionen sind aktiviert). Alle Bewegungen sind weit innerhalb der LMB-Grenzen langsam zu fahren und der Korb ist in Bodenhöhe zu halten.  </a:t>
          </a:r>
        </a:p>
        <a:p>
          <a:endParaRPr lang="de-DE" sz="1100">
            <a:solidFill>
              <a:schemeClr val="dk1"/>
            </a:solidFill>
            <a:effectLst/>
            <a:latin typeface="+mn-lt"/>
            <a:ea typeface="+mn-ea"/>
            <a:cs typeface="+mn-cs"/>
          </a:endParaRPr>
        </a:p>
      </xdr:txBody>
    </xdr:sp>
    <xdr:clientData/>
  </xdr:twoCellAnchor>
  <xdr:twoCellAnchor>
    <xdr:from>
      <xdr:col>11</xdr:col>
      <xdr:colOff>333374</xdr:colOff>
      <xdr:row>204</xdr:row>
      <xdr:rowOff>47625</xdr:rowOff>
    </xdr:from>
    <xdr:to>
      <xdr:col>13</xdr:col>
      <xdr:colOff>447675</xdr:colOff>
      <xdr:row>205</xdr:row>
      <xdr:rowOff>200025</xdr:rowOff>
    </xdr:to>
    <xdr:sp macro="" textlink="" fLocksText="0">
      <xdr:nvSpPr>
        <xdr:cNvPr id="62" name="Textfeld 61">
          <a:extLst>
            <a:ext uri="{FF2B5EF4-FFF2-40B4-BE49-F238E27FC236}">
              <a16:creationId xmlns:a16="http://schemas.microsoft.com/office/drawing/2014/main" id="{06FDBE24-63A2-4459-A132-B57C22D39750}"/>
            </a:ext>
          </a:extLst>
        </xdr:cNvPr>
        <xdr:cNvSpPr txBox="1"/>
      </xdr:nvSpPr>
      <xdr:spPr>
        <a:xfrm>
          <a:off x="4343399" y="31861125"/>
          <a:ext cx="800101"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000" b="0" i="0" u="none" strike="noStrike">
            <a:solidFill>
              <a:srgbClr val="000000"/>
            </a:solidFill>
            <a:latin typeface="Century Gothic"/>
          </a:endParaRPr>
        </a:p>
      </xdr:txBody>
    </xdr:sp>
    <xdr:clientData/>
  </xdr:twoCellAnchor>
  <xdr:twoCellAnchor>
    <xdr:from>
      <xdr:col>11</xdr:col>
      <xdr:colOff>323849</xdr:colOff>
      <xdr:row>207</xdr:row>
      <xdr:rowOff>200025</xdr:rowOff>
    </xdr:from>
    <xdr:to>
      <xdr:col>13</xdr:col>
      <xdr:colOff>438150</xdr:colOff>
      <xdr:row>209</xdr:row>
      <xdr:rowOff>9525</xdr:rowOff>
    </xdr:to>
    <xdr:sp macro="" textlink="" fLocksText="0">
      <xdr:nvSpPr>
        <xdr:cNvPr id="63" name="Textfeld 62">
          <a:extLst>
            <a:ext uri="{FF2B5EF4-FFF2-40B4-BE49-F238E27FC236}">
              <a16:creationId xmlns:a16="http://schemas.microsoft.com/office/drawing/2014/main" id="{C074FA59-196D-47C1-BBD7-4F39F84F508A}"/>
            </a:ext>
          </a:extLst>
        </xdr:cNvPr>
        <xdr:cNvSpPr txBox="1"/>
      </xdr:nvSpPr>
      <xdr:spPr>
        <a:xfrm>
          <a:off x="4333874" y="32661225"/>
          <a:ext cx="800101"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000" b="0" i="0" u="none" strike="noStrike">
            <a:solidFill>
              <a:srgbClr val="000000"/>
            </a:solidFill>
            <a:latin typeface="Century Gothic"/>
          </a:endParaRPr>
        </a:p>
      </xdr:txBody>
    </xdr:sp>
    <xdr:clientData/>
  </xdr:twoCellAnchor>
  <xdr:twoCellAnchor>
    <xdr:from>
      <xdr:col>11</xdr:col>
      <xdr:colOff>285749</xdr:colOff>
      <xdr:row>214</xdr:row>
      <xdr:rowOff>238125</xdr:rowOff>
    </xdr:from>
    <xdr:to>
      <xdr:col>13</xdr:col>
      <xdr:colOff>400050</xdr:colOff>
      <xdr:row>216</xdr:row>
      <xdr:rowOff>47625</xdr:rowOff>
    </xdr:to>
    <xdr:sp macro="" textlink="" fLocksText="0">
      <xdr:nvSpPr>
        <xdr:cNvPr id="64" name="Textfeld 63">
          <a:extLst>
            <a:ext uri="{FF2B5EF4-FFF2-40B4-BE49-F238E27FC236}">
              <a16:creationId xmlns:a16="http://schemas.microsoft.com/office/drawing/2014/main" id="{A455E98C-DA75-4F8C-90F0-7FAB54A25FB5}"/>
            </a:ext>
          </a:extLst>
        </xdr:cNvPr>
        <xdr:cNvSpPr txBox="1"/>
      </xdr:nvSpPr>
      <xdr:spPr>
        <a:xfrm>
          <a:off x="4295774" y="34432875"/>
          <a:ext cx="800101"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000" b="0" i="0" u="none" strike="noStrike">
            <a:solidFill>
              <a:srgbClr val="000000"/>
            </a:solidFill>
            <a:latin typeface="Century Gothic"/>
          </a:endParaRPr>
        </a:p>
      </xdr:txBody>
    </xdr:sp>
    <xdr:clientData/>
  </xdr:twoCellAnchor>
  <xdr:twoCellAnchor>
    <xdr:from>
      <xdr:col>11</xdr:col>
      <xdr:colOff>276224</xdr:colOff>
      <xdr:row>218</xdr:row>
      <xdr:rowOff>238125</xdr:rowOff>
    </xdr:from>
    <xdr:to>
      <xdr:col>13</xdr:col>
      <xdr:colOff>390525</xdr:colOff>
      <xdr:row>220</xdr:row>
      <xdr:rowOff>47625</xdr:rowOff>
    </xdr:to>
    <xdr:sp macro="" textlink="" fLocksText="0">
      <xdr:nvSpPr>
        <xdr:cNvPr id="65" name="Textfeld 64">
          <a:extLst>
            <a:ext uri="{FF2B5EF4-FFF2-40B4-BE49-F238E27FC236}">
              <a16:creationId xmlns:a16="http://schemas.microsoft.com/office/drawing/2014/main" id="{3A77A8D7-0142-4275-A6C1-ED4A77C3D27E}"/>
            </a:ext>
          </a:extLst>
        </xdr:cNvPr>
        <xdr:cNvSpPr txBox="1"/>
      </xdr:nvSpPr>
      <xdr:spPr>
        <a:xfrm>
          <a:off x="4286249" y="35423475"/>
          <a:ext cx="800101"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000" b="0" i="0" u="none" strike="noStrike">
            <a:solidFill>
              <a:srgbClr val="000000"/>
            </a:solidFill>
            <a:latin typeface="Century Gothic"/>
          </a:endParaRPr>
        </a:p>
      </xdr:txBody>
    </xdr:sp>
    <xdr:clientData/>
  </xdr:twoCellAnchor>
  <xdr:twoCellAnchor>
    <xdr:from>
      <xdr:col>1</xdr:col>
      <xdr:colOff>133350</xdr:colOff>
      <xdr:row>208</xdr:row>
      <xdr:rowOff>28574</xdr:rowOff>
    </xdr:from>
    <xdr:to>
      <xdr:col>1</xdr:col>
      <xdr:colOff>438150</xdr:colOff>
      <xdr:row>211</xdr:row>
      <xdr:rowOff>85725</xdr:rowOff>
    </xdr:to>
    <xdr:sp macro="" textlink="" fLocksText="0">
      <xdr:nvSpPr>
        <xdr:cNvPr id="66" name="Textfeld 65">
          <a:extLst>
            <a:ext uri="{FF2B5EF4-FFF2-40B4-BE49-F238E27FC236}">
              <a16:creationId xmlns:a16="http://schemas.microsoft.com/office/drawing/2014/main" id="{3796F80E-27CE-4DFD-8C23-4821CA490335}"/>
            </a:ext>
          </a:extLst>
        </xdr:cNvPr>
        <xdr:cNvSpPr txBox="1"/>
      </xdr:nvSpPr>
      <xdr:spPr>
        <a:xfrm rot="16477078">
          <a:off x="66674" y="32985075"/>
          <a:ext cx="800101"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000" b="0" i="0" u="none" strike="noStrike">
            <a:solidFill>
              <a:srgbClr val="000000"/>
            </a:solidFill>
            <a:latin typeface="Century Gothic"/>
          </a:endParaRPr>
        </a:p>
      </xdr:txBody>
    </xdr:sp>
    <xdr:clientData/>
  </xdr:twoCellAnchor>
  <xdr:twoCellAnchor>
    <xdr:from>
      <xdr:col>2</xdr:col>
      <xdr:colOff>50831</xdr:colOff>
      <xdr:row>209</xdr:row>
      <xdr:rowOff>242509</xdr:rowOff>
    </xdr:from>
    <xdr:to>
      <xdr:col>2</xdr:col>
      <xdr:colOff>355631</xdr:colOff>
      <xdr:row>212</xdr:row>
      <xdr:rowOff>142622</xdr:rowOff>
    </xdr:to>
    <xdr:sp macro="" textlink="" fLocksText="0">
      <xdr:nvSpPr>
        <xdr:cNvPr id="67" name="Textfeld 66">
          <a:extLst>
            <a:ext uri="{FF2B5EF4-FFF2-40B4-BE49-F238E27FC236}">
              <a16:creationId xmlns:a16="http://schemas.microsoft.com/office/drawing/2014/main" id="{6F50396F-1BB3-4CC2-AA89-C85D6B801A30}"/>
            </a:ext>
          </a:extLst>
        </xdr:cNvPr>
        <xdr:cNvSpPr txBox="1"/>
      </xdr:nvSpPr>
      <xdr:spPr>
        <a:xfrm rot="16477078">
          <a:off x="567499" y="33368141"/>
          <a:ext cx="643063"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000" b="0" i="0" u="none" strike="noStrike">
            <a:solidFill>
              <a:srgbClr val="000000"/>
            </a:solidFill>
            <a:latin typeface="Century Gothic"/>
          </a:endParaRPr>
        </a:p>
      </xdr:txBody>
    </xdr:sp>
    <xdr:clientData/>
  </xdr:twoCellAnchor>
  <xdr:twoCellAnchor>
    <xdr:from>
      <xdr:col>16</xdr:col>
      <xdr:colOff>88929</xdr:colOff>
      <xdr:row>210</xdr:row>
      <xdr:rowOff>185358</xdr:rowOff>
    </xdr:from>
    <xdr:to>
      <xdr:col>17</xdr:col>
      <xdr:colOff>22254</xdr:colOff>
      <xdr:row>213</xdr:row>
      <xdr:rowOff>85471</xdr:rowOff>
    </xdr:to>
    <xdr:sp macro="" textlink="" fLocksText="0">
      <xdr:nvSpPr>
        <xdr:cNvPr id="68" name="Textfeld 67">
          <a:extLst>
            <a:ext uri="{FF2B5EF4-FFF2-40B4-BE49-F238E27FC236}">
              <a16:creationId xmlns:a16="http://schemas.microsoft.com/office/drawing/2014/main" id="{18FB1D82-ECBA-4036-AD2C-976153CAE41E}"/>
            </a:ext>
          </a:extLst>
        </xdr:cNvPr>
        <xdr:cNvSpPr txBox="1"/>
      </xdr:nvSpPr>
      <xdr:spPr>
        <a:xfrm rot="16704296">
          <a:off x="5710997" y="33558640"/>
          <a:ext cx="643063"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000" b="0" i="0" u="none" strike="noStrike">
            <a:solidFill>
              <a:srgbClr val="000000"/>
            </a:solidFill>
            <a:latin typeface="Century Gothic"/>
          </a:endParaRPr>
        </a:p>
      </xdr:txBody>
    </xdr:sp>
    <xdr:clientData/>
  </xdr:twoCellAnchor>
  <xdr:twoCellAnchor>
    <xdr:from>
      <xdr:col>16</xdr:col>
      <xdr:colOff>352426</xdr:colOff>
      <xdr:row>207</xdr:row>
      <xdr:rowOff>57148</xdr:rowOff>
    </xdr:from>
    <xdr:to>
      <xdr:col>17</xdr:col>
      <xdr:colOff>285751</xdr:colOff>
      <xdr:row>210</xdr:row>
      <xdr:rowOff>114299</xdr:rowOff>
    </xdr:to>
    <xdr:sp macro="" textlink="" fLocksText="0">
      <xdr:nvSpPr>
        <xdr:cNvPr id="69" name="Textfeld 68">
          <a:extLst>
            <a:ext uri="{FF2B5EF4-FFF2-40B4-BE49-F238E27FC236}">
              <a16:creationId xmlns:a16="http://schemas.microsoft.com/office/drawing/2014/main" id="{426D1F0A-DDAA-422C-BB11-5D4749A5DF0F}"/>
            </a:ext>
          </a:extLst>
        </xdr:cNvPr>
        <xdr:cNvSpPr txBox="1"/>
      </xdr:nvSpPr>
      <xdr:spPr>
        <a:xfrm rot="16477078">
          <a:off x="5895975" y="32765999"/>
          <a:ext cx="800101"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000" b="0" i="0" u="none" strike="noStrike">
            <a:solidFill>
              <a:srgbClr val="000000"/>
            </a:solidFill>
            <a:latin typeface="Century Gothic"/>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495300</xdr:colOff>
      <xdr:row>14</xdr:row>
      <xdr:rowOff>69396</xdr:rowOff>
    </xdr:from>
    <xdr:to>
      <xdr:col>5</xdr:col>
      <xdr:colOff>276225</xdr:colOff>
      <xdr:row>27</xdr:row>
      <xdr:rowOff>121103</xdr:rowOff>
    </xdr:to>
    <xdr:graphicFrame macro="">
      <xdr:nvGraphicFramePr>
        <xdr:cNvPr id="36871" name="Chart 1025">
          <a:extLst>
            <a:ext uri="{FF2B5EF4-FFF2-40B4-BE49-F238E27FC236}">
              <a16:creationId xmlns:a16="http://schemas.microsoft.com/office/drawing/2014/main" id="{00000000-0008-0000-0500-000007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277585</xdr:colOff>
      <xdr:row>2</xdr:row>
      <xdr:rowOff>1</xdr:rowOff>
    </xdr:from>
    <xdr:to>
      <xdr:col>17</xdr:col>
      <xdr:colOff>287110</xdr:colOff>
      <xdr:row>24</xdr:row>
      <xdr:rowOff>125187</xdr:rowOff>
    </xdr:to>
    <xdr:graphicFrame macro="">
      <xdr:nvGraphicFramePr>
        <xdr:cNvPr id="36872" name="Chart 1028">
          <a:extLst>
            <a:ext uri="{FF2B5EF4-FFF2-40B4-BE49-F238E27FC236}">
              <a16:creationId xmlns:a16="http://schemas.microsoft.com/office/drawing/2014/main" id="{00000000-0008-0000-0500-000008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540203</xdr:colOff>
      <xdr:row>1</xdr:row>
      <xdr:rowOff>54429</xdr:rowOff>
    </xdr:from>
    <xdr:to>
      <xdr:col>13</xdr:col>
      <xdr:colOff>487135</xdr:colOff>
      <xdr:row>24</xdr:row>
      <xdr:rowOff>25854</xdr:rowOff>
    </xdr:to>
    <xdr:graphicFrame macro="">
      <xdr:nvGraphicFramePr>
        <xdr:cNvPr id="36873" name="Chart 1029">
          <a:extLst>
            <a:ext uri="{FF2B5EF4-FFF2-40B4-BE49-F238E27FC236}">
              <a16:creationId xmlns:a16="http://schemas.microsoft.com/office/drawing/2014/main" id="{00000000-0008-0000-0500-0000099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304800</xdr:colOff>
      <xdr:row>27</xdr:row>
      <xdr:rowOff>104775</xdr:rowOff>
    </xdr:from>
    <xdr:to>
      <xdr:col>24</xdr:col>
      <xdr:colOff>742950</xdr:colOff>
      <xdr:row>29</xdr:row>
      <xdr:rowOff>142875</xdr:rowOff>
    </xdr:to>
    <xdr:grpSp>
      <xdr:nvGrpSpPr>
        <xdr:cNvPr id="36874" name="Group 1036">
          <a:extLst>
            <a:ext uri="{FF2B5EF4-FFF2-40B4-BE49-F238E27FC236}">
              <a16:creationId xmlns:a16="http://schemas.microsoft.com/office/drawing/2014/main" id="{00000000-0008-0000-0500-00000A900000}"/>
            </a:ext>
          </a:extLst>
        </xdr:cNvPr>
        <xdr:cNvGrpSpPr>
          <a:grpSpLocks/>
        </xdr:cNvGrpSpPr>
      </xdr:nvGrpSpPr>
      <xdr:grpSpPr bwMode="auto">
        <a:xfrm>
          <a:off x="17125950" y="4581525"/>
          <a:ext cx="438150" cy="361950"/>
          <a:chOff x="1700" y="447"/>
          <a:chExt cx="82" cy="82"/>
        </a:xfrm>
      </xdr:grpSpPr>
      <xdr:sp macro="" textlink="">
        <xdr:nvSpPr>
          <xdr:cNvPr id="36887" name="Line 1033">
            <a:extLst>
              <a:ext uri="{FF2B5EF4-FFF2-40B4-BE49-F238E27FC236}">
                <a16:creationId xmlns:a16="http://schemas.microsoft.com/office/drawing/2014/main" id="{00000000-0008-0000-0500-000017900000}"/>
              </a:ext>
            </a:extLst>
          </xdr:cNvPr>
          <xdr:cNvSpPr>
            <a:spLocks noChangeShapeType="1"/>
          </xdr:cNvSpPr>
        </xdr:nvSpPr>
        <xdr:spPr bwMode="auto">
          <a:xfrm flipH="1">
            <a:off x="1727" y="447"/>
            <a:ext cx="18" cy="82"/>
          </a:xfrm>
          <a:prstGeom prst="line">
            <a:avLst/>
          </a:prstGeom>
          <a:noFill/>
          <a:ln w="9525">
            <a:solidFill>
              <a:srgbClr val="000000"/>
            </a:solidFill>
            <a:round/>
            <a:headEnd/>
            <a:tailEnd/>
          </a:ln>
        </xdr:spPr>
      </xdr:sp>
      <xdr:sp macro="" textlink="">
        <xdr:nvSpPr>
          <xdr:cNvPr id="36888" name="Line 1034">
            <a:extLst>
              <a:ext uri="{FF2B5EF4-FFF2-40B4-BE49-F238E27FC236}">
                <a16:creationId xmlns:a16="http://schemas.microsoft.com/office/drawing/2014/main" id="{00000000-0008-0000-0500-000018900000}"/>
              </a:ext>
            </a:extLst>
          </xdr:cNvPr>
          <xdr:cNvSpPr>
            <a:spLocks noChangeShapeType="1"/>
          </xdr:cNvSpPr>
        </xdr:nvSpPr>
        <xdr:spPr bwMode="auto">
          <a:xfrm>
            <a:off x="1700" y="485"/>
            <a:ext cx="82" cy="0"/>
          </a:xfrm>
          <a:prstGeom prst="line">
            <a:avLst/>
          </a:prstGeom>
          <a:noFill/>
          <a:ln w="9525">
            <a:solidFill>
              <a:srgbClr val="000000"/>
            </a:solidFill>
            <a:prstDash val="lgDashDot"/>
            <a:round/>
            <a:headEnd/>
            <a:tailEnd/>
          </a:ln>
        </xdr:spPr>
      </xdr:sp>
      <xdr:sp macro="" textlink="">
        <xdr:nvSpPr>
          <xdr:cNvPr id="36889" name="AutoShape 1035">
            <a:extLst>
              <a:ext uri="{FF2B5EF4-FFF2-40B4-BE49-F238E27FC236}">
                <a16:creationId xmlns:a16="http://schemas.microsoft.com/office/drawing/2014/main" id="{00000000-0008-0000-0500-000019900000}"/>
              </a:ext>
            </a:extLst>
          </xdr:cNvPr>
          <xdr:cNvSpPr>
            <a:spLocks noChangeArrowheads="1"/>
          </xdr:cNvSpPr>
        </xdr:nvSpPr>
        <xdr:spPr bwMode="auto">
          <a:xfrm rot="-3451729">
            <a:off x="1712" y="469"/>
            <a:ext cx="31" cy="28"/>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60000 65536"/>
              <a:gd name="T13" fmla="*/ 0 60000 65536"/>
              <a:gd name="T14" fmla="*/ 0 60000 65536"/>
              <a:gd name="T15" fmla="*/ 0 60000 65536"/>
              <a:gd name="T16" fmla="*/ 0 60000 65536"/>
              <a:gd name="T17" fmla="*/ 0 60000 65536"/>
              <a:gd name="T18" fmla="*/ 3484 w 21600"/>
              <a:gd name="T19" fmla="*/ 3086 h 21600"/>
              <a:gd name="T20" fmla="*/ 18116 w 21600"/>
              <a:gd name="T21" fmla="*/ 18514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8806" y="9971"/>
                </a:moveTo>
                <a:cubicBezTo>
                  <a:pt x="18381" y="5868"/>
                  <a:pt x="14924" y="2751"/>
                  <a:pt x="10800" y="2751"/>
                </a:cubicBezTo>
                <a:cubicBezTo>
                  <a:pt x="9269" y="2750"/>
                  <a:pt x="7770" y="3187"/>
                  <a:pt x="6478" y="4009"/>
                </a:cubicBezTo>
                <a:lnTo>
                  <a:pt x="5001" y="1688"/>
                </a:lnTo>
                <a:cubicBezTo>
                  <a:pt x="6734" y="585"/>
                  <a:pt x="8746" y="-1"/>
                  <a:pt x="10800" y="0"/>
                </a:cubicBezTo>
                <a:cubicBezTo>
                  <a:pt x="16334" y="0"/>
                  <a:pt x="20972" y="4183"/>
                  <a:pt x="21542" y="9687"/>
                </a:cubicBezTo>
                <a:lnTo>
                  <a:pt x="24228" y="9409"/>
                </a:lnTo>
                <a:lnTo>
                  <a:pt x="20594" y="13883"/>
                </a:lnTo>
                <a:lnTo>
                  <a:pt x="16120" y="10249"/>
                </a:lnTo>
                <a:lnTo>
                  <a:pt x="18806" y="9971"/>
                </a:lnTo>
                <a:close/>
              </a:path>
            </a:pathLst>
          </a:custGeom>
          <a:solidFill>
            <a:srgbClr val="FFFFFF"/>
          </a:solidFill>
          <a:ln w="9525">
            <a:solidFill>
              <a:srgbClr val="000000"/>
            </a:solidFill>
            <a:miter lim="800000"/>
            <a:headEnd/>
            <a:tailEnd/>
          </a:ln>
        </xdr:spPr>
      </xdr:sp>
    </xdr:grpSp>
    <xdr:clientData/>
  </xdr:twoCellAnchor>
  <xdr:twoCellAnchor>
    <xdr:from>
      <xdr:col>36</xdr:col>
      <xdr:colOff>304800</xdr:colOff>
      <xdr:row>27</xdr:row>
      <xdr:rowOff>76200</xdr:rowOff>
    </xdr:from>
    <xdr:to>
      <xdr:col>36</xdr:col>
      <xdr:colOff>714375</xdr:colOff>
      <xdr:row>29</xdr:row>
      <xdr:rowOff>104775</xdr:rowOff>
    </xdr:to>
    <xdr:grpSp>
      <xdr:nvGrpSpPr>
        <xdr:cNvPr id="36875" name="Group 1037">
          <a:extLst>
            <a:ext uri="{FF2B5EF4-FFF2-40B4-BE49-F238E27FC236}">
              <a16:creationId xmlns:a16="http://schemas.microsoft.com/office/drawing/2014/main" id="{00000000-0008-0000-0500-00000B900000}"/>
            </a:ext>
          </a:extLst>
        </xdr:cNvPr>
        <xdr:cNvGrpSpPr>
          <a:grpSpLocks/>
        </xdr:cNvGrpSpPr>
      </xdr:nvGrpSpPr>
      <xdr:grpSpPr bwMode="auto">
        <a:xfrm rot="5400000">
          <a:off x="26184225" y="4524375"/>
          <a:ext cx="352425" cy="409575"/>
          <a:chOff x="1700" y="447"/>
          <a:chExt cx="82" cy="82"/>
        </a:xfrm>
      </xdr:grpSpPr>
      <xdr:sp macro="" textlink="">
        <xdr:nvSpPr>
          <xdr:cNvPr id="36884" name="Line 1038">
            <a:extLst>
              <a:ext uri="{FF2B5EF4-FFF2-40B4-BE49-F238E27FC236}">
                <a16:creationId xmlns:a16="http://schemas.microsoft.com/office/drawing/2014/main" id="{00000000-0008-0000-0500-000014900000}"/>
              </a:ext>
            </a:extLst>
          </xdr:cNvPr>
          <xdr:cNvSpPr>
            <a:spLocks noChangeShapeType="1"/>
          </xdr:cNvSpPr>
        </xdr:nvSpPr>
        <xdr:spPr bwMode="auto">
          <a:xfrm flipH="1">
            <a:off x="1727" y="447"/>
            <a:ext cx="18" cy="82"/>
          </a:xfrm>
          <a:prstGeom prst="line">
            <a:avLst/>
          </a:prstGeom>
          <a:noFill/>
          <a:ln w="9525">
            <a:solidFill>
              <a:srgbClr val="000000"/>
            </a:solidFill>
            <a:round/>
            <a:headEnd/>
            <a:tailEnd/>
          </a:ln>
        </xdr:spPr>
      </xdr:sp>
      <xdr:sp macro="" textlink="">
        <xdr:nvSpPr>
          <xdr:cNvPr id="36885" name="Line 1039">
            <a:extLst>
              <a:ext uri="{FF2B5EF4-FFF2-40B4-BE49-F238E27FC236}">
                <a16:creationId xmlns:a16="http://schemas.microsoft.com/office/drawing/2014/main" id="{00000000-0008-0000-0500-000015900000}"/>
              </a:ext>
            </a:extLst>
          </xdr:cNvPr>
          <xdr:cNvSpPr>
            <a:spLocks noChangeShapeType="1"/>
          </xdr:cNvSpPr>
        </xdr:nvSpPr>
        <xdr:spPr bwMode="auto">
          <a:xfrm>
            <a:off x="1700" y="485"/>
            <a:ext cx="82" cy="0"/>
          </a:xfrm>
          <a:prstGeom prst="line">
            <a:avLst/>
          </a:prstGeom>
          <a:noFill/>
          <a:ln w="9525">
            <a:solidFill>
              <a:srgbClr val="000000"/>
            </a:solidFill>
            <a:prstDash val="lgDashDot"/>
            <a:round/>
            <a:headEnd/>
            <a:tailEnd/>
          </a:ln>
        </xdr:spPr>
      </xdr:sp>
      <xdr:sp macro="" textlink="">
        <xdr:nvSpPr>
          <xdr:cNvPr id="36886" name="AutoShape 1040">
            <a:extLst>
              <a:ext uri="{FF2B5EF4-FFF2-40B4-BE49-F238E27FC236}">
                <a16:creationId xmlns:a16="http://schemas.microsoft.com/office/drawing/2014/main" id="{00000000-0008-0000-0500-000016900000}"/>
              </a:ext>
            </a:extLst>
          </xdr:cNvPr>
          <xdr:cNvSpPr>
            <a:spLocks noChangeArrowheads="1"/>
          </xdr:cNvSpPr>
        </xdr:nvSpPr>
        <xdr:spPr bwMode="auto">
          <a:xfrm rot="-3451729">
            <a:off x="1712" y="469"/>
            <a:ext cx="31" cy="28"/>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60000 65536"/>
              <a:gd name="T13" fmla="*/ 0 60000 65536"/>
              <a:gd name="T14" fmla="*/ 0 60000 65536"/>
              <a:gd name="T15" fmla="*/ 0 60000 65536"/>
              <a:gd name="T16" fmla="*/ 0 60000 65536"/>
              <a:gd name="T17" fmla="*/ 0 60000 65536"/>
              <a:gd name="T18" fmla="*/ 3484 w 21600"/>
              <a:gd name="T19" fmla="*/ 3086 h 21600"/>
              <a:gd name="T20" fmla="*/ 18116 w 21600"/>
              <a:gd name="T21" fmla="*/ 18514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8806" y="9971"/>
                </a:moveTo>
                <a:cubicBezTo>
                  <a:pt x="18381" y="5868"/>
                  <a:pt x="14924" y="2751"/>
                  <a:pt x="10800" y="2751"/>
                </a:cubicBezTo>
                <a:cubicBezTo>
                  <a:pt x="9269" y="2750"/>
                  <a:pt x="7770" y="3187"/>
                  <a:pt x="6478" y="4009"/>
                </a:cubicBezTo>
                <a:lnTo>
                  <a:pt x="5001" y="1688"/>
                </a:lnTo>
                <a:cubicBezTo>
                  <a:pt x="6734" y="585"/>
                  <a:pt x="8746" y="-1"/>
                  <a:pt x="10800" y="0"/>
                </a:cubicBezTo>
                <a:cubicBezTo>
                  <a:pt x="16334" y="0"/>
                  <a:pt x="20972" y="4183"/>
                  <a:pt x="21542" y="9687"/>
                </a:cubicBezTo>
                <a:lnTo>
                  <a:pt x="24228" y="9409"/>
                </a:lnTo>
                <a:lnTo>
                  <a:pt x="20594" y="13883"/>
                </a:lnTo>
                <a:lnTo>
                  <a:pt x="16120" y="10249"/>
                </a:lnTo>
                <a:lnTo>
                  <a:pt x="18806" y="9971"/>
                </a:lnTo>
                <a:close/>
              </a:path>
            </a:pathLst>
          </a:custGeom>
          <a:solidFill>
            <a:srgbClr val="FFFFFF"/>
          </a:solidFill>
          <a:ln w="9525">
            <a:solidFill>
              <a:srgbClr val="000000"/>
            </a:solidFill>
            <a:miter lim="800000"/>
            <a:headEnd/>
            <a:tailEnd/>
          </a:ln>
        </xdr:spPr>
      </xdr:sp>
    </xdr:grpSp>
    <xdr:clientData/>
  </xdr:twoCellAnchor>
  <xdr:twoCellAnchor>
    <xdr:from>
      <xdr:col>32</xdr:col>
      <xdr:colOff>257175</xdr:colOff>
      <xdr:row>27</xdr:row>
      <xdr:rowOff>28575</xdr:rowOff>
    </xdr:from>
    <xdr:to>
      <xdr:col>32</xdr:col>
      <xdr:colOff>628650</xdr:colOff>
      <xdr:row>29</xdr:row>
      <xdr:rowOff>38100</xdr:rowOff>
    </xdr:to>
    <xdr:grpSp>
      <xdr:nvGrpSpPr>
        <xdr:cNvPr id="36876" name="Group 1041">
          <a:extLst>
            <a:ext uri="{FF2B5EF4-FFF2-40B4-BE49-F238E27FC236}">
              <a16:creationId xmlns:a16="http://schemas.microsoft.com/office/drawing/2014/main" id="{00000000-0008-0000-0500-00000C900000}"/>
            </a:ext>
          </a:extLst>
        </xdr:cNvPr>
        <xdr:cNvGrpSpPr>
          <a:grpSpLocks/>
        </xdr:cNvGrpSpPr>
      </xdr:nvGrpSpPr>
      <xdr:grpSpPr bwMode="auto">
        <a:xfrm rot="10800000">
          <a:off x="23098125" y="4505325"/>
          <a:ext cx="371475" cy="333375"/>
          <a:chOff x="1700" y="447"/>
          <a:chExt cx="82" cy="82"/>
        </a:xfrm>
      </xdr:grpSpPr>
      <xdr:sp macro="" textlink="">
        <xdr:nvSpPr>
          <xdr:cNvPr id="36881" name="Line 1042">
            <a:extLst>
              <a:ext uri="{FF2B5EF4-FFF2-40B4-BE49-F238E27FC236}">
                <a16:creationId xmlns:a16="http://schemas.microsoft.com/office/drawing/2014/main" id="{00000000-0008-0000-0500-000011900000}"/>
              </a:ext>
            </a:extLst>
          </xdr:cNvPr>
          <xdr:cNvSpPr>
            <a:spLocks noChangeShapeType="1"/>
          </xdr:cNvSpPr>
        </xdr:nvSpPr>
        <xdr:spPr bwMode="auto">
          <a:xfrm flipH="1">
            <a:off x="1727" y="447"/>
            <a:ext cx="18" cy="82"/>
          </a:xfrm>
          <a:prstGeom prst="line">
            <a:avLst/>
          </a:prstGeom>
          <a:noFill/>
          <a:ln w="9525">
            <a:solidFill>
              <a:srgbClr val="000000"/>
            </a:solidFill>
            <a:round/>
            <a:headEnd/>
            <a:tailEnd/>
          </a:ln>
        </xdr:spPr>
      </xdr:sp>
      <xdr:sp macro="" textlink="">
        <xdr:nvSpPr>
          <xdr:cNvPr id="36882" name="Line 1043">
            <a:extLst>
              <a:ext uri="{FF2B5EF4-FFF2-40B4-BE49-F238E27FC236}">
                <a16:creationId xmlns:a16="http://schemas.microsoft.com/office/drawing/2014/main" id="{00000000-0008-0000-0500-000012900000}"/>
              </a:ext>
            </a:extLst>
          </xdr:cNvPr>
          <xdr:cNvSpPr>
            <a:spLocks noChangeShapeType="1"/>
          </xdr:cNvSpPr>
        </xdr:nvSpPr>
        <xdr:spPr bwMode="auto">
          <a:xfrm>
            <a:off x="1700" y="485"/>
            <a:ext cx="82" cy="0"/>
          </a:xfrm>
          <a:prstGeom prst="line">
            <a:avLst/>
          </a:prstGeom>
          <a:noFill/>
          <a:ln w="9525">
            <a:solidFill>
              <a:srgbClr val="000000"/>
            </a:solidFill>
            <a:prstDash val="lgDashDot"/>
            <a:round/>
            <a:headEnd/>
            <a:tailEnd/>
          </a:ln>
        </xdr:spPr>
      </xdr:sp>
      <xdr:sp macro="" textlink="">
        <xdr:nvSpPr>
          <xdr:cNvPr id="36883" name="AutoShape 1044">
            <a:extLst>
              <a:ext uri="{FF2B5EF4-FFF2-40B4-BE49-F238E27FC236}">
                <a16:creationId xmlns:a16="http://schemas.microsoft.com/office/drawing/2014/main" id="{00000000-0008-0000-0500-000013900000}"/>
              </a:ext>
            </a:extLst>
          </xdr:cNvPr>
          <xdr:cNvSpPr>
            <a:spLocks noChangeArrowheads="1"/>
          </xdr:cNvSpPr>
        </xdr:nvSpPr>
        <xdr:spPr bwMode="auto">
          <a:xfrm rot="-3451729">
            <a:off x="1712" y="469"/>
            <a:ext cx="31" cy="28"/>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60000 65536"/>
              <a:gd name="T13" fmla="*/ 0 60000 65536"/>
              <a:gd name="T14" fmla="*/ 0 60000 65536"/>
              <a:gd name="T15" fmla="*/ 0 60000 65536"/>
              <a:gd name="T16" fmla="*/ 0 60000 65536"/>
              <a:gd name="T17" fmla="*/ 0 60000 65536"/>
              <a:gd name="T18" fmla="*/ 3484 w 21600"/>
              <a:gd name="T19" fmla="*/ 3086 h 21600"/>
              <a:gd name="T20" fmla="*/ 18116 w 21600"/>
              <a:gd name="T21" fmla="*/ 18514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8806" y="9971"/>
                </a:moveTo>
                <a:cubicBezTo>
                  <a:pt x="18381" y="5868"/>
                  <a:pt x="14924" y="2751"/>
                  <a:pt x="10800" y="2751"/>
                </a:cubicBezTo>
                <a:cubicBezTo>
                  <a:pt x="9269" y="2750"/>
                  <a:pt x="7770" y="3187"/>
                  <a:pt x="6478" y="4009"/>
                </a:cubicBezTo>
                <a:lnTo>
                  <a:pt x="5001" y="1688"/>
                </a:lnTo>
                <a:cubicBezTo>
                  <a:pt x="6734" y="585"/>
                  <a:pt x="8746" y="-1"/>
                  <a:pt x="10800" y="0"/>
                </a:cubicBezTo>
                <a:cubicBezTo>
                  <a:pt x="16334" y="0"/>
                  <a:pt x="20972" y="4183"/>
                  <a:pt x="21542" y="9687"/>
                </a:cubicBezTo>
                <a:lnTo>
                  <a:pt x="24228" y="9409"/>
                </a:lnTo>
                <a:lnTo>
                  <a:pt x="20594" y="13883"/>
                </a:lnTo>
                <a:lnTo>
                  <a:pt x="16120" y="10249"/>
                </a:lnTo>
                <a:lnTo>
                  <a:pt x="18806" y="9971"/>
                </a:lnTo>
                <a:close/>
              </a:path>
            </a:pathLst>
          </a:custGeom>
          <a:solidFill>
            <a:srgbClr val="FFFFFF"/>
          </a:solidFill>
          <a:ln w="9525">
            <a:solidFill>
              <a:srgbClr val="000000"/>
            </a:solidFill>
            <a:miter lim="800000"/>
            <a:headEnd/>
            <a:tailEnd/>
          </a:ln>
        </xdr:spPr>
      </xdr:sp>
    </xdr:grpSp>
    <xdr:clientData/>
  </xdr:twoCellAnchor>
  <xdr:twoCellAnchor>
    <xdr:from>
      <xdr:col>28</xdr:col>
      <xdr:colOff>295275</xdr:colOff>
      <xdr:row>26</xdr:row>
      <xdr:rowOff>152400</xdr:rowOff>
    </xdr:from>
    <xdr:to>
      <xdr:col>29</xdr:col>
      <xdr:colOff>38100</xdr:colOff>
      <xdr:row>29</xdr:row>
      <xdr:rowOff>142875</xdr:rowOff>
    </xdr:to>
    <xdr:grpSp>
      <xdr:nvGrpSpPr>
        <xdr:cNvPr id="36877" name="Group 1045">
          <a:extLst>
            <a:ext uri="{FF2B5EF4-FFF2-40B4-BE49-F238E27FC236}">
              <a16:creationId xmlns:a16="http://schemas.microsoft.com/office/drawing/2014/main" id="{00000000-0008-0000-0500-00000D900000}"/>
            </a:ext>
          </a:extLst>
        </xdr:cNvPr>
        <xdr:cNvGrpSpPr>
          <a:grpSpLocks/>
        </xdr:cNvGrpSpPr>
      </xdr:nvGrpSpPr>
      <xdr:grpSpPr bwMode="auto">
        <a:xfrm rot="-5400000">
          <a:off x="20131087" y="4452938"/>
          <a:ext cx="485775" cy="495300"/>
          <a:chOff x="1700" y="447"/>
          <a:chExt cx="82" cy="82"/>
        </a:xfrm>
      </xdr:grpSpPr>
      <xdr:sp macro="" textlink="">
        <xdr:nvSpPr>
          <xdr:cNvPr id="36878" name="Line 1046">
            <a:extLst>
              <a:ext uri="{FF2B5EF4-FFF2-40B4-BE49-F238E27FC236}">
                <a16:creationId xmlns:a16="http://schemas.microsoft.com/office/drawing/2014/main" id="{00000000-0008-0000-0500-00000E900000}"/>
              </a:ext>
            </a:extLst>
          </xdr:cNvPr>
          <xdr:cNvSpPr>
            <a:spLocks noChangeShapeType="1"/>
          </xdr:cNvSpPr>
        </xdr:nvSpPr>
        <xdr:spPr bwMode="auto">
          <a:xfrm flipH="1">
            <a:off x="1727" y="447"/>
            <a:ext cx="18" cy="82"/>
          </a:xfrm>
          <a:prstGeom prst="line">
            <a:avLst/>
          </a:prstGeom>
          <a:noFill/>
          <a:ln w="9525">
            <a:solidFill>
              <a:srgbClr val="000000"/>
            </a:solidFill>
            <a:round/>
            <a:headEnd/>
            <a:tailEnd/>
          </a:ln>
        </xdr:spPr>
      </xdr:sp>
      <xdr:sp macro="" textlink="">
        <xdr:nvSpPr>
          <xdr:cNvPr id="36879" name="Line 1047">
            <a:extLst>
              <a:ext uri="{FF2B5EF4-FFF2-40B4-BE49-F238E27FC236}">
                <a16:creationId xmlns:a16="http://schemas.microsoft.com/office/drawing/2014/main" id="{00000000-0008-0000-0500-00000F900000}"/>
              </a:ext>
            </a:extLst>
          </xdr:cNvPr>
          <xdr:cNvSpPr>
            <a:spLocks noChangeShapeType="1"/>
          </xdr:cNvSpPr>
        </xdr:nvSpPr>
        <xdr:spPr bwMode="auto">
          <a:xfrm>
            <a:off x="1700" y="485"/>
            <a:ext cx="82" cy="0"/>
          </a:xfrm>
          <a:prstGeom prst="line">
            <a:avLst/>
          </a:prstGeom>
          <a:noFill/>
          <a:ln w="9525">
            <a:solidFill>
              <a:srgbClr val="000000"/>
            </a:solidFill>
            <a:prstDash val="lgDashDot"/>
            <a:round/>
            <a:headEnd/>
            <a:tailEnd/>
          </a:ln>
        </xdr:spPr>
      </xdr:sp>
      <xdr:sp macro="" textlink="">
        <xdr:nvSpPr>
          <xdr:cNvPr id="36880" name="AutoShape 1048">
            <a:extLst>
              <a:ext uri="{FF2B5EF4-FFF2-40B4-BE49-F238E27FC236}">
                <a16:creationId xmlns:a16="http://schemas.microsoft.com/office/drawing/2014/main" id="{00000000-0008-0000-0500-000010900000}"/>
              </a:ext>
            </a:extLst>
          </xdr:cNvPr>
          <xdr:cNvSpPr>
            <a:spLocks noChangeArrowheads="1"/>
          </xdr:cNvSpPr>
        </xdr:nvSpPr>
        <xdr:spPr bwMode="auto">
          <a:xfrm rot="-3451729">
            <a:off x="1712" y="469"/>
            <a:ext cx="31" cy="28"/>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60000 65536"/>
              <a:gd name="T13" fmla="*/ 0 60000 65536"/>
              <a:gd name="T14" fmla="*/ 0 60000 65536"/>
              <a:gd name="T15" fmla="*/ 0 60000 65536"/>
              <a:gd name="T16" fmla="*/ 0 60000 65536"/>
              <a:gd name="T17" fmla="*/ 0 60000 65536"/>
              <a:gd name="T18" fmla="*/ 3484 w 21600"/>
              <a:gd name="T19" fmla="*/ 3086 h 21600"/>
              <a:gd name="T20" fmla="*/ 18116 w 21600"/>
              <a:gd name="T21" fmla="*/ 18514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8806" y="9971"/>
                </a:moveTo>
                <a:cubicBezTo>
                  <a:pt x="18381" y="5868"/>
                  <a:pt x="14924" y="2751"/>
                  <a:pt x="10800" y="2751"/>
                </a:cubicBezTo>
                <a:cubicBezTo>
                  <a:pt x="9269" y="2750"/>
                  <a:pt x="7770" y="3187"/>
                  <a:pt x="6478" y="4009"/>
                </a:cubicBezTo>
                <a:lnTo>
                  <a:pt x="5001" y="1688"/>
                </a:lnTo>
                <a:cubicBezTo>
                  <a:pt x="6734" y="585"/>
                  <a:pt x="8746" y="-1"/>
                  <a:pt x="10800" y="0"/>
                </a:cubicBezTo>
                <a:cubicBezTo>
                  <a:pt x="16334" y="0"/>
                  <a:pt x="20972" y="4183"/>
                  <a:pt x="21542" y="9687"/>
                </a:cubicBezTo>
                <a:lnTo>
                  <a:pt x="24228" y="9409"/>
                </a:lnTo>
                <a:lnTo>
                  <a:pt x="20594" y="13883"/>
                </a:lnTo>
                <a:lnTo>
                  <a:pt x="16120" y="10249"/>
                </a:lnTo>
                <a:lnTo>
                  <a:pt x="18806" y="9971"/>
                </a:lnTo>
                <a:close/>
              </a:path>
            </a:pathLst>
          </a:custGeom>
          <a:solidFill>
            <a:srgbClr val="FFFFFF"/>
          </a:solidFill>
          <a:ln w="9525">
            <a:solidFill>
              <a:srgbClr val="000000"/>
            </a:solidFill>
            <a:miter lim="800000"/>
            <a:headEnd/>
            <a:tailEnd/>
          </a:ln>
        </xdr:spPr>
      </xdr:sp>
    </xdr:grpSp>
    <xdr:clientData/>
  </xdr:twoCellAnchor>
</xdr:wsDr>
</file>

<file path=xl/drawings/drawing4.xml><?xml version="1.0" encoding="utf-8"?>
<c:userShapes xmlns:c="http://schemas.openxmlformats.org/drawingml/2006/chart">
  <cdr:relSizeAnchor xmlns:cdr="http://schemas.openxmlformats.org/drawingml/2006/chartDrawing">
    <cdr:from>
      <cdr:x>0.1315</cdr:x>
      <cdr:y>0.10965</cdr:y>
    </cdr:from>
    <cdr:to>
      <cdr:x>0.15003</cdr:x>
      <cdr:y>0.13998</cdr:y>
    </cdr:to>
    <cdr:sp macro="" textlink="">
      <cdr:nvSpPr>
        <cdr:cNvPr id="37889" name="Text Box 1"/>
        <cdr:cNvSpPr txBox="1">
          <a:spLocks xmlns:a="http://schemas.openxmlformats.org/drawingml/2006/main" noChangeArrowheads="1"/>
        </cdr:cNvSpPr>
      </cdr:nvSpPr>
      <cdr:spPr bwMode="auto">
        <a:xfrm xmlns:a="http://schemas.openxmlformats.org/drawingml/2006/main">
          <a:off x="278958" y="239917"/>
          <a:ext cx="39306" cy="6636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9144" tIns="18288" rIns="0" bIns="0" anchor="t" upright="1">
          <a:spAutoFit/>
        </a:bodyPr>
        <a:lstStyle xmlns:a="http://schemas.openxmlformats.org/drawingml/2006/main"/>
        <a:p xmlns:a="http://schemas.openxmlformats.org/drawingml/2006/main">
          <a:pPr algn="l" rtl="0">
            <a:defRPr sz="1000"/>
          </a:pPr>
          <a:r>
            <a:rPr lang="de-DE" sz="325" b="1" i="0" u="none" strike="noStrike" baseline="0">
              <a:solidFill>
                <a:srgbClr val="000000"/>
              </a:solidFill>
              <a:latin typeface="Arial"/>
              <a:cs typeface="Arial"/>
            </a:rPr>
            <a:t>A</a:t>
          </a:r>
        </a:p>
      </cdr:txBody>
    </cdr:sp>
  </cdr:relSizeAnchor>
  <cdr:relSizeAnchor xmlns:cdr="http://schemas.openxmlformats.org/drawingml/2006/chartDrawing">
    <cdr:from>
      <cdr:x>0.1315</cdr:x>
      <cdr:y>0.74231</cdr:y>
    </cdr:from>
    <cdr:to>
      <cdr:x>0.15003</cdr:x>
      <cdr:y>0.77264</cdr:y>
    </cdr:to>
    <cdr:sp macro="" textlink="">
      <cdr:nvSpPr>
        <cdr:cNvPr id="37890" name="Text Box 2"/>
        <cdr:cNvSpPr txBox="1">
          <a:spLocks xmlns:a="http://schemas.openxmlformats.org/drawingml/2006/main" noChangeArrowheads="1"/>
        </cdr:cNvSpPr>
      </cdr:nvSpPr>
      <cdr:spPr bwMode="auto">
        <a:xfrm xmlns:a="http://schemas.openxmlformats.org/drawingml/2006/main">
          <a:off x="278958" y="1624196"/>
          <a:ext cx="39306" cy="6636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9144" tIns="18288" rIns="0" bIns="0" anchor="t" upright="1">
          <a:spAutoFit/>
        </a:bodyPr>
        <a:lstStyle xmlns:a="http://schemas.openxmlformats.org/drawingml/2006/main"/>
        <a:p xmlns:a="http://schemas.openxmlformats.org/drawingml/2006/main">
          <a:pPr algn="l" rtl="0">
            <a:defRPr sz="1000"/>
          </a:pPr>
          <a:r>
            <a:rPr lang="de-DE" sz="325" b="1" i="0" u="none" strike="noStrike" baseline="0">
              <a:solidFill>
                <a:srgbClr val="000000"/>
              </a:solidFill>
              <a:latin typeface="Arial"/>
              <a:cs typeface="Arial"/>
            </a:rPr>
            <a:t>B</a:t>
          </a:r>
        </a:p>
      </cdr:txBody>
    </cdr:sp>
  </cdr:relSizeAnchor>
  <cdr:relSizeAnchor xmlns:cdr="http://schemas.openxmlformats.org/drawingml/2006/chartDrawing">
    <cdr:from>
      <cdr:x>0.82582</cdr:x>
      <cdr:y>0.12822</cdr:y>
    </cdr:from>
    <cdr:to>
      <cdr:x>0.84435</cdr:x>
      <cdr:y>0.15855</cdr:y>
    </cdr:to>
    <cdr:sp macro="" textlink="">
      <cdr:nvSpPr>
        <cdr:cNvPr id="37891" name="Text Box 3"/>
        <cdr:cNvSpPr txBox="1">
          <a:spLocks xmlns:a="http://schemas.openxmlformats.org/drawingml/2006/main" noChangeArrowheads="1"/>
        </cdr:cNvSpPr>
      </cdr:nvSpPr>
      <cdr:spPr bwMode="auto">
        <a:xfrm xmlns:a="http://schemas.openxmlformats.org/drawingml/2006/main">
          <a:off x="1751857" y="280549"/>
          <a:ext cx="39306" cy="6636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9144" tIns="18288" rIns="0" bIns="0" anchor="t" upright="1">
          <a:spAutoFit/>
        </a:bodyPr>
        <a:lstStyle xmlns:a="http://schemas.openxmlformats.org/drawingml/2006/main"/>
        <a:p xmlns:a="http://schemas.openxmlformats.org/drawingml/2006/main">
          <a:pPr algn="l" rtl="0">
            <a:defRPr sz="1000"/>
          </a:pPr>
          <a:r>
            <a:rPr lang="de-DE" sz="325" b="1" i="0" u="none" strike="noStrike" baseline="0">
              <a:solidFill>
                <a:srgbClr val="000000"/>
              </a:solidFill>
              <a:latin typeface="Arial"/>
              <a:cs typeface="Arial"/>
            </a:rPr>
            <a:t>D</a:t>
          </a:r>
        </a:p>
      </cdr:txBody>
    </cdr:sp>
  </cdr:relSizeAnchor>
  <cdr:relSizeAnchor xmlns:cdr="http://schemas.openxmlformats.org/drawingml/2006/chartDrawing">
    <cdr:from>
      <cdr:x>0.81762</cdr:x>
      <cdr:y>0.80355</cdr:y>
    </cdr:from>
    <cdr:to>
      <cdr:x>0.83615</cdr:x>
      <cdr:y>0.83388</cdr:y>
    </cdr:to>
    <cdr:sp macro="" textlink="">
      <cdr:nvSpPr>
        <cdr:cNvPr id="37892" name="Text Box 4"/>
        <cdr:cNvSpPr txBox="1">
          <a:spLocks xmlns:a="http://schemas.openxmlformats.org/drawingml/2006/main" noChangeArrowheads="1"/>
        </cdr:cNvSpPr>
      </cdr:nvSpPr>
      <cdr:spPr bwMode="auto">
        <a:xfrm xmlns:a="http://schemas.openxmlformats.org/drawingml/2006/main">
          <a:off x="1734461" y="1758191"/>
          <a:ext cx="39306" cy="6636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9144" tIns="18288" rIns="0" bIns="0" anchor="t" upright="1">
          <a:spAutoFit/>
        </a:bodyPr>
        <a:lstStyle xmlns:a="http://schemas.openxmlformats.org/drawingml/2006/main"/>
        <a:p xmlns:a="http://schemas.openxmlformats.org/drawingml/2006/main">
          <a:pPr algn="l" rtl="0">
            <a:defRPr sz="1000"/>
          </a:pPr>
          <a:r>
            <a:rPr lang="de-DE" sz="325" b="1" i="0" u="none" strike="noStrike" baseline="0">
              <a:solidFill>
                <a:srgbClr val="000000"/>
              </a:solidFill>
              <a:latin typeface="Arial"/>
              <a:cs typeface="Arial"/>
            </a:rPr>
            <a:t>C</a:t>
          </a:r>
        </a:p>
      </cdr:txBody>
    </cdr:sp>
  </cdr:relSizeAnchor>
  <cdr:relSizeAnchor xmlns:cdr="http://schemas.openxmlformats.org/drawingml/2006/chartDrawing">
    <cdr:from>
      <cdr:x>0.49759</cdr:x>
      <cdr:y>0.5</cdr:y>
    </cdr:from>
    <cdr:to>
      <cdr:x>0.54775</cdr:x>
      <cdr:y>0.54677</cdr:y>
    </cdr:to>
    <cdr:sp macro="" textlink="">
      <cdr:nvSpPr>
        <cdr:cNvPr id="37893" name="Text Box 5"/>
        <cdr:cNvSpPr txBox="1">
          <a:spLocks xmlns:a="http://schemas.openxmlformats.org/drawingml/2006/main" noChangeArrowheads="1"/>
        </cdr:cNvSpPr>
      </cdr:nvSpPr>
      <cdr:spPr bwMode="auto">
        <a:xfrm xmlns:a="http://schemas.openxmlformats.org/drawingml/2006/main">
          <a:off x="1344462" y="1341438"/>
          <a:ext cx="135217" cy="12519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de-DE" sz="550" b="0" i="0" u="none" strike="noStrike" baseline="0">
              <a:solidFill>
                <a:srgbClr val="000000"/>
              </a:solidFill>
              <a:latin typeface="Arial"/>
              <a:cs typeface="Arial"/>
            </a:rPr>
            <a:t>0+</a:t>
          </a:r>
        </a:p>
      </cdr:txBody>
    </cdr:sp>
  </cdr:relSizeAnchor>
</c:userShapes>
</file>

<file path=xl/drawings/drawing5.xml><?xml version="1.0" encoding="utf-8"?>
<xdr:wsDr xmlns:xdr="http://schemas.openxmlformats.org/drawingml/2006/spreadsheetDrawing" xmlns:a="http://schemas.openxmlformats.org/drawingml/2006/main">
  <xdr:twoCellAnchor editAs="absolute">
    <xdr:from>
      <xdr:col>1</xdr:col>
      <xdr:colOff>384137</xdr:colOff>
      <xdr:row>14</xdr:row>
      <xdr:rowOff>118558</xdr:rowOff>
    </xdr:from>
    <xdr:to>
      <xdr:col>5</xdr:col>
      <xdr:colOff>338418</xdr:colOff>
      <xdr:row>28</xdr:row>
      <xdr:rowOff>110490</xdr:rowOff>
    </xdr:to>
    <xdr:graphicFrame macro="">
      <xdr:nvGraphicFramePr>
        <xdr:cNvPr id="44039" name="Chart 1">
          <a:extLst>
            <a:ext uri="{FF2B5EF4-FFF2-40B4-BE49-F238E27FC236}">
              <a16:creationId xmlns:a16="http://schemas.microsoft.com/office/drawing/2014/main" id="{00000000-0008-0000-0600-000007A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247650</xdr:colOff>
      <xdr:row>0</xdr:row>
      <xdr:rowOff>95250</xdr:rowOff>
    </xdr:from>
    <xdr:to>
      <xdr:col>15</xdr:col>
      <xdr:colOff>85725</xdr:colOff>
      <xdr:row>22</xdr:row>
      <xdr:rowOff>114300</xdr:rowOff>
    </xdr:to>
    <xdr:graphicFrame macro="">
      <xdr:nvGraphicFramePr>
        <xdr:cNvPr id="44040" name="Chart 4">
          <a:extLst>
            <a:ext uri="{FF2B5EF4-FFF2-40B4-BE49-F238E27FC236}">
              <a16:creationId xmlns:a16="http://schemas.microsoft.com/office/drawing/2014/main" id="{00000000-0008-0000-0600-000008A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504825</xdr:colOff>
      <xdr:row>0</xdr:row>
      <xdr:rowOff>133350</xdr:rowOff>
    </xdr:from>
    <xdr:to>
      <xdr:col>12</xdr:col>
      <xdr:colOff>333375</xdr:colOff>
      <xdr:row>23</xdr:row>
      <xdr:rowOff>0</xdr:rowOff>
    </xdr:to>
    <xdr:graphicFrame macro="">
      <xdr:nvGraphicFramePr>
        <xdr:cNvPr id="44041" name="Chart 5">
          <a:extLst>
            <a:ext uri="{FF2B5EF4-FFF2-40B4-BE49-F238E27FC236}">
              <a16:creationId xmlns:a16="http://schemas.microsoft.com/office/drawing/2014/main" id="{00000000-0008-0000-0600-000009AC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304800</xdr:colOff>
      <xdr:row>27</xdr:row>
      <xdr:rowOff>104775</xdr:rowOff>
    </xdr:from>
    <xdr:to>
      <xdr:col>23</xdr:col>
      <xdr:colOff>742950</xdr:colOff>
      <xdr:row>29</xdr:row>
      <xdr:rowOff>142875</xdr:rowOff>
    </xdr:to>
    <xdr:grpSp>
      <xdr:nvGrpSpPr>
        <xdr:cNvPr id="44042" name="Group 7">
          <a:extLst>
            <a:ext uri="{FF2B5EF4-FFF2-40B4-BE49-F238E27FC236}">
              <a16:creationId xmlns:a16="http://schemas.microsoft.com/office/drawing/2014/main" id="{00000000-0008-0000-0600-00000AAC0000}"/>
            </a:ext>
          </a:extLst>
        </xdr:cNvPr>
        <xdr:cNvGrpSpPr>
          <a:grpSpLocks/>
        </xdr:cNvGrpSpPr>
      </xdr:nvGrpSpPr>
      <xdr:grpSpPr bwMode="auto">
        <a:xfrm>
          <a:off x="16354425" y="4581525"/>
          <a:ext cx="438150" cy="361950"/>
          <a:chOff x="1700" y="447"/>
          <a:chExt cx="82" cy="82"/>
        </a:xfrm>
      </xdr:grpSpPr>
      <xdr:sp macro="" textlink="">
        <xdr:nvSpPr>
          <xdr:cNvPr id="44055" name="Line 8">
            <a:extLst>
              <a:ext uri="{FF2B5EF4-FFF2-40B4-BE49-F238E27FC236}">
                <a16:creationId xmlns:a16="http://schemas.microsoft.com/office/drawing/2014/main" id="{00000000-0008-0000-0600-000017AC0000}"/>
              </a:ext>
            </a:extLst>
          </xdr:cNvPr>
          <xdr:cNvSpPr>
            <a:spLocks noChangeShapeType="1"/>
          </xdr:cNvSpPr>
        </xdr:nvSpPr>
        <xdr:spPr bwMode="auto">
          <a:xfrm flipH="1">
            <a:off x="1727" y="447"/>
            <a:ext cx="18" cy="82"/>
          </a:xfrm>
          <a:prstGeom prst="line">
            <a:avLst/>
          </a:prstGeom>
          <a:noFill/>
          <a:ln w="9525">
            <a:solidFill>
              <a:srgbClr val="000000"/>
            </a:solidFill>
            <a:round/>
            <a:headEnd/>
            <a:tailEnd/>
          </a:ln>
        </xdr:spPr>
      </xdr:sp>
      <xdr:sp macro="" textlink="">
        <xdr:nvSpPr>
          <xdr:cNvPr id="44056" name="Line 9">
            <a:extLst>
              <a:ext uri="{FF2B5EF4-FFF2-40B4-BE49-F238E27FC236}">
                <a16:creationId xmlns:a16="http://schemas.microsoft.com/office/drawing/2014/main" id="{00000000-0008-0000-0600-000018AC0000}"/>
              </a:ext>
            </a:extLst>
          </xdr:cNvPr>
          <xdr:cNvSpPr>
            <a:spLocks noChangeShapeType="1"/>
          </xdr:cNvSpPr>
        </xdr:nvSpPr>
        <xdr:spPr bwMode="auto">
          <a:xfrm>
            <a:off x="1700" y="485"/>
            <a:ext cx="82" cy="0"/>
          </a:xfrm>
          <a:prstGeom prst="line">
            <a:avLst/>
          </a:prstGeom>
          <a:noFill/>
          <a:ln w="9525">
            <a:solidFill>
              <a:srgbClr val="000000"/>
            </a:solidFill>
            <a:prstDash val="lgDashDot"/>
            <a:round/>
            <a:headEnd/>
            <a:tailEnd/>
          </a:ln>
        </xdr:spPr>
      </xdr:sp>
      <xdr:sp macro="" textlink="">
        <xdr:nvSpPr>
          <xdr:cNvPr id="44057" name="AutoShape 10">
            <a:extLst>
              <a:ext uri="{FF2B5EF4-FFF2-40B4-BE49-F238E27FC236}">
                <a16:creationId xmlns:a16="http://schemas.microsoft.com/office/drawing/2014/main" id="{00000000-0008-0000-0600-000019AC0000}"/>
              </a:ext>
            </a:extLst>
          </xdr:cNvPr>
          <xdr:cNvSpPr>
            <a:spLocks noChangeArrowheads="1"/>
          </xdr:cNvSpPr>
        </xdr:nvSpPr>
        <xdr:spPr bwMode="auto">
          <a:xfrm rot="-3451729">
            <a:off x="1712" y="469"/>
            <a:ext cx="31" cy="28"/>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60000 65536"/>
              <a:gd name="T13" fmla="*/ 0 60000 65536"/>
              <a:gd name="T14" fmla="*/ 0 60000 65536"/>
              <a:gd name="T15" fmla="*/ 0 60000 65536"/>
              <a:gd name="T16" fmla="*/ 0 60000 65536"/>
              <a:gd name="T17" fmla="*/ 0 60000 65536"/>
              <a:gd name="T18" fmla="*/ 3484 w 21600"/>
              <a:gd name="T19" fmla="*/ 3086 h 21600"/>
              <a:gd name="T20" fmla="*/ 18116 w 21600"/>
              <a:gd name="T21" fmla="*/ 18514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8806" y="9971"/>
                </a:moveTo>
                <a:cubicBezTo>
                  <a:pt x="18381" y="5868"/>
                  <a:pt x="14924" y="2751"/>
                  <a:pt x="10800" y="2751"/>
                </a:cubicBezTo>
                <a:cubicBezTo>
                  <a:pt x="9269" y="2750"/>
                  <a:pt x="7770" y="3187"/>
                  <a:pt x="6478" y="4009"/>
                </a:cubicBezTo>
                <a:lnTo>
                  <a:pt x="5001" y="1688"/>
                </a:lnTo>
                <a:cubicBezTo>
                  <a:pt x="6734" y="585"/>
                  <a:pt x="8746" y="-1"/>
                  <a:pt x="10800" y="0"/>
                </a:cubicBezTo>
                <a:cubicBezTo>
                  <a:pt x="16334" y="0"/>
                  <a:pt x="20972" y="4183"/>
                  <a:pt x="21542" y="9687"/>
                </a:cubicBezTo>
                <a:lnTo>
                  <a:pt x="24228" y="9409"/>
                </a:lnTo>
                <a:lnTo>
                  <a:pt x="20594" y="13883"/>
                </a:lnTo>
                <a:lnTo>
                  <a:pt x="16120" y="10249"/>
                </a:lnTo>
                <a:lnTo>
                  <a:pt x="18806" y="9971"/>
                </a:lnTo>
                <a:close/>
              </a:path>
            </a:pathLst>
          </a:custGeom>
          <a:solidFill>
            <a:srgbClr val="FFFFFF"/>
          </a:solidFill>
          <a:ln w="9525">
            <a:solidFill>
              <a:srgbClr val="000000"/>
            </a:solidFill>
            <a:miter lim="800000"/>
            <a:headEnd/>
            <a:tailEnd/>
          </a:ln>
        </xdr:spPr>
      </xdr:sp>
    </xdr:grpSp>
    <xdr:clientData/>
  </xdr:twoCellAnchor>
  <xdr:twoCellAnchor>
    <xdr:from>
      <xdr:col>35</xdr:col>
      <xdr:colOff>304800</xdr:colOff>
      <xdr:row>27</xdr:row>
      <xdr:rowOff>76200</xdr:rowOff>
    </xdr:from>
    <xdr:to>
      <xdr:col>35</xdr:col>
      <xdr:colOff>714375</xdr:colOff>
      <xdr:row>29</xdr:row>
      <xdr:rowOff>104775</xdr:rowOff>
    </xdr:to>
    <xdr:grpSp>
      <xdr:nvGrpSpPr>
        <xdr:cNvPr id="44043" name="Group 11">
          <a:extLst>
            <a:ext uri="{FF2B5EF4-FFF2-40B4-BE49-F238E27FC236}">
              <a16:creationId xmlns:a16="http://schemas.microsoft.com/office/drawing/2014/main" id="{00000000-0008-0000-0600-00000BAC0000}"/>
            </a:ext>
          </a:extLst>
        </xdr:cNvPr>
        <xdr:cNvGrpSpPr>
          <a:grpSpLocks/>
        </xdr:cNvGrpSpPr>
      </xdr:nvGrpSpPr>
      <xdr:grpSpPr bwMode="auto">
        <a:xfrm rot="5400000">
          <a:off x="25412700" y="4524375"/>
          <a:ext cx="352425" cy="409575"/>
          <a:chOff x="1700" y="447"/>
          <a:chExt cx="82" cy="82"/>
        </a:xfrm>
      </xdr:grpSpPr>
      <xdr:sp macro="" textlink="">
        <xdr:nvSpPr>
          <xdr:cNvPr id="44052" name="Line 12">
            <a:extLst>
              <a:ext uri="{FF2B5EF4-FFF2-40B4-BE49-F238E27FC236}">
                <a16:creationId xmlns:a16="http://schemas.microsoft.com/office/drawing/2014/main" id="{00000000-0008-0000-0600-000014AC0000}"/>
              </a:ext>
            </a:extLst>
          </xdr:cNvPr>
          <xdr:cNvSpPr>
            <a:spLocks noChangeShapeType="1"/>
          </xdr:cNvSpPr>
        </xdr:nvSpPr>
        <xdr:spPr bwMode="auto">
          <a:xfrm flipH="1">
            <a:off x="1727" y="447"/>
            <a:ext cx="18" cy="82"/>
          </a:xfrm>
          <a:prstGeom prst="line">
            <a:avLst/>
          </a:prstGeom>
          <a:noFill/>
          <a:ln w="9525">
            <a:solidFill>
              <a:srgbClr val="000000"/>
            </a:solidFill>
            <a:round/>
            <a:headEnd/>
            <a:tailEnd/>
          </a:ln>
        </xdr:spPr>
      </xdr:sp>
      <xdr:sp macro="" textlink="">
        <xdr:nvSpPr>
          <xdr:cNvPr id="44053" name="Line 13">
            <a:extLst>
              <a:ext uri="{FF2B5EF4-FFF2-40B4-BE49-F238E27FC236}">
                <a16:creationId xmlns:a16="http://schemas.microsoft.com/office/drawing/2014/main" id="{00000000-0008-0000-0600-000015AC0000}"/>
              </a:ext>
            </a:extLst>
          </xdr:cNvPr>
          <xdr:cNvSpPr>
            <a:spLocks noChangeShapeType="1"/>
          </xdr:cNvSpPr>
        </xdr:nvSpPr>
        <xdr:spPr bwMode="auto">
          <a:xfrm>
            <a:off x="1700" y="485"/>
            <a:ext cx="82" cy="0"/>
          </a:xfrm>
          <a:prstGeom prst="line">
            <a:avLst/>
          </a:prstGeom>
          <a:noFill/>
          <a:ln w="9525">
            <a:solidFill>
              <a:srgbClr val="000000"/>
            </a:solidFill>
            <a:prstDash val="lgDashDot"/>
            <a:round/>
            <a:headEnd/>
            <a:tailEnd/>
          </a:ln>
        </xdr:spPr>
      </xdr:sp>
      <xdr:sp macro="" textlink="">
        <xdr:nvSpPr>
          <xdr:cNvPr id="44054" name="AutoShape 14">
            <a:extLst>
              <a:ext uri="{FF2B5EF4-FFF2-40B4-BE49-F238E27FC236}">
                <a16:creationId xmlns:a16="http://schemas.microsoft.com/office/drawing/2014/main" id="{00000000-0008-0000-0600-000016AC0000}"/>
              </a:ext>
            </a:extLst>
          </xdr:cNvPr>
          <xdr:cNvSpPr>
            <a:spLocks noChangeArrowheads="1"/>
          </xdr:cNvSpPr>
        </xdr:nvSpPr>
        <xdr:spPr bwMode="auto">
          <a:xfrm rot="-3451729">
            <a:off x="1712" y="469"/>
            <a:ext cx="31" cy="28"/>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60000 65536"/>
              <a:gd name="T13" fmla="*/ 0 60000 65536"/>
              <a:gd name="T14" fmla="*/ 0 60000 65536"/>
              <a:gd name="T15" fmla="*/ 0 60000 65536"/>
              <a:gd name="T16" fmla="*/ 0 60000 65536"/>
              <a:gd name="T17" fmla="*/ 0 60000 65536"/>
              <a:gd name="T18" fmla="*/ 3484 w 21600"/>
              <a:gd name="T19" fmla="*/ 3086 h 21600"/>
              <a:gd name="T20" fmla="*/ 18116 w 21600"/>
              <a:gd name="T21" fmla="*/ 18514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8806" y="9971"/>
                </a:moveTo>
                <a:cubicBezTo>
                  <a:pt x="18381" y="5868"/>
                  <a:pt x="14924" y="2751"/>
                  <a:pt x="10800" y="2751"/>
                </a:cubicBezTo>
                <a:cubicBezTo>
                  <a:pt x="9269" y="2750"/>
                  <a:pt x="7770" y="3187"/>
                  <a:pt x="6478" y="4009"/>
                </a:cubicBezTo>
                <a:lnTo>
                  <a:pt x="5001" y="1688"/>
                </a:lnTo>
                <a:cubicBezTo>
                  <a:pt x="6734" y="585"/>
                  <a:pt x="8746" y="-1"/>
                  <a:pt x="10800" y="0"/>
                </a:cubicBezTo>
                <a:cubicBezTo>
                  <a:pt x="16334" y="0"/>
                  <a:pt x="20972" y="4183"/>
                  <a:pt x="21542" y="9687"/>
                </a:cubicBezTo>
                <a:lnTo>
                  <a:pt x="24228" y="9409"/>
                </a:lnTo>
                <a:lnTo>
                  <a:pt x="20594" y="13883"/>
                </a:lnTo>
                <a:lnTo>
                  <a:pt x="16120" y="10249"/>
                </a:lnTo>
                <a:lnTo>
                  <a:pt x="18806" y="9971"/>
                </a:lnTo>
                <a:close/>
              </a:path>
            </a:pathLst>
          </a:custGeom>
          <a:solidFill>
            <a:srgbClr val="FFFFFF"/>
          </a:solidFill>
          <a:ln w="9525">
            <a:solidFill>
              <a:srgbClr val="000000"/>
            </a:solidFill>
            <a:miter lim="800000"/>
            <a:headEnd/>
            <a:tailEnd/>
          </a:ln>
        </xdr:spPr>
      </xdr:sp>
    </xdr:grpSp>
    <xdr:clientData/>
  </xdr:twoCellAnchor>
  <xdr:twoCellAnchor>
    <xdr:from>
      <xdr:col>31</xdr:col>
      <xdr:colOff>257175</xdr:colOff>
      <xdr:row>27</xdr:row>
      <xdr:rowOff>28575</xdr:rowOff>
    </xdr:from>
    <xdr:to>
      <xdr:col>31</xdr:col>
      <xdr:colOff>628650</xdr:colOff>
      <xdr:row>29</xdr:row>
      <xdr:rowOff>38100</xdr:rowOff>
    </xdr:to>
    <xdr:grpSp>
      <xdr:nvGrpSpPr>
        <xdr:cNvPr id="44044" name="Group 15">
          <a:extLst>
            <a:ext uri="{FF2B5EF4-FFF2-40B4-BE49-F238E27FC236}">
              <a16:creationId xmlns:a16="http://schemas.microsoft.com/office/drawing/2014/main" id="{00000000-0008-0000-0600-00000CAC0000}"/>
            </a:ext>
          </a:extLst>
        </xdr:cNvPr>
        <xdr:cNvGrpSpPr>
          <a:grpSpLocks/>
        </xdr:cNvGrpSpPr>
      </xdr:nvGrpSpPr>
      <xdr:grpSpPr bwMode="auto">
        <a:xfrm rot="10800000">
          <a:off x="22326600" y="4505325"/>
          <a:ext cx="371475" cy="333375"/>
          <a:chOff x="1700" y="447"/>
          <a:chExt cx="82" cy="82"/>
        </a:xfrm>
      </xdr:grpSpPr>
      <xdr:sp macro="" textlink="">
        <xdr:nvSpPr>
          <xdr:cNvPr id="44049" name="Line 16">
            <a:extLst>
              <a:ext uri="{FF2B5EF4-FFF2-40B4-BE49-F238E27FC236}">
                <a16:creationId xmlns:a16="http://schemas.microsoft.com/office/drawing/2014/main" id="{00000000-0008-0000-0600-000011AC0000}"/>
              </a:ext>
            </a:extLst>
          </xdr:cNvPr>
          <xdr:cNvSpPr>
            <a:spLocks noChangeShapeType="1"/>
          </xdr:cNvSpPr>
        </xdr:nvSpPr>
        <xdr:spPr bwMode="auto">
          <a:xfrm flipH="1">
            <a:off x="1727" y="447"/>
            <a:ext cx="18" cy="82"/>
          </a:xfrm>
          <a:prstGeom prst="line">
            <a:avLst/>
          </a:prstGeom>
          <a:noFill/>
          <a:ln w="9525">
            <a:solidFill>
              <a:srgbClr val="000000"/>
            </a:solidFill>
            <a:round/>
            <a:headEnd/>
            <a:tailEnd/>
          </a:ln>
        </xdr:spPr>
      </xdr:sp>
      <xdr:sp macro="" textlink="">
        <xdr:nvSpPr>
          <xdr:cNvPr id="44050" name="Line 17">
            <a:extLst>
              <a:ext uri="{FF2B5EF4-FFF2-40B4-BE49-F238E27FC236}">
                <a16:creationId xmlns:a16="http://schemas.microsoft.com/office/drawing/2014/main" id="{00000000-0008-0000-0600-000012AC0000}"/>
              </a:ext>
            </a:extLst>
          </xdr:cNvPr>
          <xdr:cNvSpPr>
            <a:spLocks noChangeShapeType="1"/>
          </xdr:cNvSpPr>
        </xdr:nvSpPr>
        <xdr:spPr bwMode="auto">
          <a:xfrm>
            <a:off x="1700" y="485"/>
            <a:ext cx="82" cy="0"/>
          </a:xfrm>
          <a:prstGeom prst="line">
            <a:avLst/>
          </a:prstGeom>
          <a:noFill/>
          <a:ln w="9525">
            <a:solidFill>
              <a:srgbClr val="000000"/>
            </a:solidFill>
            <a:prstDash val="lgDashDot"/>
            <a:round/>
            <a:headEnd/>
            <a:tailEnd/>
          </a:ln>
        </xdr:spPr>
      </xdr:sp>
      <xdr:sp macro="" textlink="">
        <xdr:nvSpPr>
          <xdr:cNvPr id="44051" name="AutoShape 18">
            <a:extLst>
              <a:ext uri="{FF2B5EF4-FFF2-40B4-BE49-F238E27FC236}">
                <a16:creationId xmlns:a16="http://schemas.microsoft.com/office/drawing/2014/main" id="{00000000-0008-0000-0600-000013AC0000}"/>
              </a:ext>
            </a:extLst>
          </xdr:cNvPr>
          <xdr:cNvSpPr>
            <a:spLocks noChangeArrowheads="1"/>
          </xdr:cNvSpPr>
        </xdr:nvSpPr>
        <xdr:spPr bwMode="auto">
          <a:xfrm rot="-3451729">
            <a:off x="1712" y="469"/>
            <a:ext cx="31" cy="28"/>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60000 65536"/>
              <a:gd name="T13" fmla="*/ 0 60000 65536"/>
              <a:gd name="T14" fmla="*/ 0 60000 65536"/>
              <a:gd name="T15" fmla="*/ 0 60000 65536"/>
              <a:gd name="T16" fmla="*/ 0 60000 65536"/>
              <a:gd name="T17" fmla="*/ 0 60000 65536"/>
              <a:gd name="T18" fmla="*/ 3484 w 21600"/>
              <a:gd name="T19" fmla="*/ 3086 h 21600"/>
              <a:gd name="T20" fmla="*/ 18116 w 21600"/>
              <a:gd name="T21" fmla="*/ 18514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8806" y="9971"/>
                </a:moveTo>
                <a:cubicBezTo>
                  <a:pt x="18381" y="5868"/>
                  <a:pt x="14924" y="2751"/>
                  <a:pt x="10800" y="2751"/>
                </a:cubicBezTo>
                <a:cubicBezTo>
                  <a:pt x="9269" y="2750"/>
                  <a:pt x="7770" y="3187"/>
                  <a:pt x="6478" y="4009"/>
                </a:cubicBezTo>
                <a:lnTo>
                  <a:pt x="5001" y="1688"/>
                </a:lnTo>
                <a:cubicBezTo>
                  <a:pt x="6734" y="585"/>
                  <a:pt x="8746" y="-1"/>
                  <a:pt x="10800" y="0"/>
                </a:cubicBezTo>
                <a:cubicBezTo>
                  <a:pt x="16334" y="0"/>
                  <a:pt x="20972" y="4183"/>
                  <a:pt x="21542" y="9687"/>
                </a:cubicBezTo>
                <a:lnTo>
                  <a:pt x="24228" y="9409"/>
                </a:lnTo>
                <a:lnTo>
                  <a:pt x="20594" y="13883"/>
                </a:lnTo>
                <a:lnTo>
                  <a:pt x="16120" y="10249"/>
                </a:lnTo>
                <a:lnTo>
                  <a:pt x="18806" y="9971"/>
                </a:lnTo>
                <a:close/>
              </a:path>
            </a:pathLst>
          </a:custGeom>
          <a:solidFill>
            <a:srgbClr val="FFFFFF"/>
          </a:solidFill>
          <a:ln w="9525">
            <a:solidFill>
              <a:srgbClr val="000000"/>
            </a:solidFill>
            <a:miter lim="800000"/>
            <a:headEnd/>
            <a:tailEnd/>
          </a:ln>
        </xdr:spPr>
      </xdr:sp>
    </xdr:grpSp>
    <xdr:clientData/>
  </xdr:twoCellAnchor>
  <xdr:twoCellAnchor>
    <xdr:from>
      <xdr:col>27</xdr:col>
      <xdr:colOff>295275</xdr:colOff>
      <xdr:row>26</xdr:row>
      <xdr:rowOff>152400</xdr:rowOff>
    </xdr:from>
    <xdr:to>
      <xdr:col>28</xdr:col>
      <xdr:colOff>38100</xdr:colOff>
      <xdr:row>29</xdr:row>
      <xdr:rowOff>142875</xdr:rowOff>
    </xdr:to>
    <xdr:grpSp>
      <xdr:nvGrpSpPr>
        <xdr:cNvPr id="44045" name="Group 19">
          <a:extLst>
            <a:ext uri="{FF2B5EF4-FFF2-40B4-BE49-F238E27FC236}">
              <a16:creationId xmlns:a16="http://schemas.microsoft.com/office/drawing/2014/main" id="{00000000-0008-0000-0600-00000DAC0000}"/>
            </a:ext>
          </a:extLst>
        </xdr:cNvPr>
        <xdr:cNvGrpSpPr>
          <a:grpSpLocks/>
        </xdr:cNvGrpSpPr>
      </xdr:nvGrpSpPr>
      <xdr:grpSpPr bwMode="auto">
        <a:xfrm rot="-5400000">
          <a:off x="19359562" y="4452938"/>
          <a:ext cx="485775" cy="495300"/>
          <a:chOff x="1700" y="447"/>
          <a:chExt cx="82" cy="82"/>
        </a:xfrm>
      </xdr:grpSpPr>
      <xdr:sp macro="" textlink="">
        <xdr:nvSpPr>
          <xdr:cNvPr id="44046" name="Line 20">
            <a:extLst>
              <a:ext uri="{FF2B5EF4-FFF2-40B4-BE49-F238E27FC236}">
                <a16:creationId xmlns:a16="http://schemas.microsoft.com/office/drawing/2014/main" id="{00000000-0008-0000-0600-00000EAC0000}"/>
              </a:ext>
            </a:extLst>
          </xdr:cNvPr>
          <xdr:cNvSpPr>
            <a:spLocks noChangeShapeType="1"/>
          </xdr:cNvSpPr>
        </xdr:nvSpPr>
        <xdr:spPr bwMode="auto">
          <a:xfrm flipH="1">
            <a:off x="1727" y="447"/>
            <a:ext cx="18" cy="82"/>
          </a:xfrm>
          <a:prstGeom prst="line">
            <a:avLst/>
          </a:prstGeom>
          <a:noFill/>
          <a:ln w="9525">
            <a:solidFill>
              <a:srgbClr val="000000"/>
            </a:solidFill>
            <a:round/>
            <a:headEnd/>
            <a:tailEnd/>
          </a:ln>
        </xdr:spPr>
      </xdr:sp>
      <xdr:sp macro="" textlink="">
        <xdr:nvSpPr>
          <xdr:cNvPr id="44047" name="Line 21">
            <a:extLst>
              <a:ext uri="{FF2B5EF4-FFF2-40B4-BE49-F238E27FC236}">
                <a16:creationId xmlns:a16="http://schemas.microsoft.com/office/drawing/2014/main" id="{00000000-0008-0000-0600-00000FAC0000}"/>
              </a:ext>
            </a:extLst>
          </xdr:cNvPr>
          <xdr:cNvSpPr>
            <a:spLocks noChangeShapeType="1"/>
          </xdr:cNvSpPr>
        </xdr:nvSpPr>
        <xdr:spPr bwMode="auto">
          <a:xfrm>
            <a:off x="1700" y="485"/>
            <a:ext cx="82" cy="0"/>
          </a:xfrm>
          <a:prstGeom prst="line">
            <a:avLst/>
          </a:prstGeom>
          <a:noFill/>
          <a:ln w="9525">
            <a:solidFill>
              <a:srgbClr val="000000"/>
            </a:solidFill>
            <a:prstDash val="lgDashDot"/>
            <a:round/>
            <a:headEnd/>
            <a:tailEnd/>
          </a:ln>
        </xdr:spPr>
      </xdr:sp>
      <xdr:sp macro="" textlink="">
        <xdr:nvSpPr>
          <xdr:cNvPr id="44048" name="AutoShape 22">
            <a:extLst>
              <a:ext uri="{FF2B5EF4-FFF2-40B4-BE49-F238E27FC236}">
                <a16:creationId xmlns:a16="http://schemas.microsoft.com/office/drawing/2014/main" id="{00000000-0008-0000-0600-000010AC0000}"/>
              </a:ext>
            </a:extLst>
          </xdr:cNvPr>
          <xdr:cNvSpPr>
            <a:spLocks noChangeArrowheads="1"/>
          </xdr:cNvSpPr>
        </xdr:nvSpPr>
        <xdr:spPr bwMode="auto">
          <a:xfrm rot="-3451729">
            <a:off x="1712" y="469"/>
            <a:ext cx="31" cy="28"/>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60000 65536"/>
              <a:gd name="T13" fmla="*/ 0 60000 65536"/>
              <a:gd name="T14" fmla="*/ 0 60000 65536"/>
              <a:gd name="T15" fmla="*/ 0 60000 65536"/>
              <a:gd name="T16" fmla="*/ 0 60000 65536"/>
              <a:gd name="T17" fmla="*/ 0 60000 65536"/>
              <a:gd name="T18" fmla="*/ 3484 w 21600"/>
              <a:gd name="T19" fmla="*/ 3086 h 21600"/>
              <a:gd name="T20" fmla="*/ 18116 w 21600"/>
              <a:gd name="T21" fmla="*/ 18514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8806" y="9971"/>
                </a:moveTo>
                <a:cubicBezTo>
                  <a:pt x="18381" y="5868"/>
                  <a:pt x="14924" y="2751"/>
                  <a:pt x="10800" y="2751"/>
                </a:cubicBezTo>
                <a:cubicBezTo>
                  <a:pt x="9269" y="2750"/>
                  <a:pt x="7770" y="3187"/>
                  <a:pt x="6478" y="4009"/>
                </a:cubicBezTo>
                <a:lnTo>
                  <a:pt x="5001" y="1688"/>
                </a:lnTo>
                <a:cubicBezTo>
                  <a:pt x="6734" y="585"/>
                  <a:pt x="8746" y="-1"/>
                  <a:pt x="10800" y="0"/>
                </a:cubicBezTo>
                <a:cubicBezTo>
                  <a:pt x="16334" y="0"/>
                  <a:pt x="20972" y="4183"/>
                  <a:pt x="21542" y="9687"/>
                </a:cubicBezTo>
                <a:lnTo>
                  <a:pt x="24228" y="9409"/>
                </a:lnTo>
                <a:lnTo>
                  <a:pt x="20594" y="13883"/>
                </a:lnTo>
                <a:lnTo>
                  <a:pt x="16120" y="10249"/>
                </a:lnTo>
                <a:lnTo>
                  <a:pt x="18806" y="9971"/>
                </a:lnTo>
                <a:close/>
              </a:path>
            </a:pathLst>
          </a:custGeom>
          <a:solidFill>
            <a:srgbClr val="FFFFFF"/>
          </a:solidFill>
          <a:ln w="9525">
            <a:solidFill>
              <a:srgbClr val="000000"/>
            </a:solidFill>
            <a:miter lim="800000"/>
            <a:headEnd/>
            <a:tailEnd/>
          </a:ln>
        </xdr:spPr>
      </xdr:sp>
    </xdr:grpSp>
    <xdr:clientData/>
  </xdr:twoCellAnchor>
</xdr:wsDr>
</file>

<file path=xl/drawings/drawing6.xml><?xml version="1.0" encoding="utf-8"?>
<c:userShapes xmlns:c="http://schemas.openxmlformats.org/drawingml/2006/chart">
  <cdr:relSizeAnchor xmlns:cdr="http://schemas.openxmlformats.org/drawingml/2006/chartDrawing">
    <cdr:from>
      <cdr:x>0.13126</cdr:x>
      <cdr:y>0.11108</cdr:y>
    </cdr:from>
    <cdr:to>
      <cdr:x>0.14848</cdr:x>
      <cdr:y>0.14149</cdr:y>
    </cdr:to>
    <cdr:sp macro="" textlink="">
      <cdr:nvSpPr>
        <cdr:cNvPr id="45057" name="Text Box 1"/>
        <cdr:cNvSpPr txBox="1">
          <a:spLocks xmlns:a="http://schemas.openxmlformats.org/drawingml/2006/main" noChangeArrowheads="1"/>
        </cdr:cNvSpPr>
      </cdr:nvSpPr>
      <cdr:spPr bwMode="auto">
        <a:xfrm xmlns:a="http://schemas.openxmlformats.org/drawingml/2006/main">
          <a:off x="299695" y="242415"/>
          <a:ext cx="39306" cy="6636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9144" tIns="18288" rIns="0" bIns="0" anchor="t" upright="1">
          <a:spAutoFit/>
        </a:bodyPr>
        <a:lstStyle xmlns:a="http://schemas.openxmlformats.org/drawingml/2006/main"/>
        <a:p xmlns:a="http://schemas.openxmlformats.org/drawingml/2006/main">
          <a:pPr algn="l" rtl="0">
            <a:defRPr sz="1000"/>
          </a:pPr>
          <a:r>
            <a:rPr lang="de-DE" sz="325" b="1" i="0" u="none" strike="noStrike" baseline="0">
              <a:solidFill>
                <a:srgbClr val="000000"/>
              </a:solidFill>
              <a:latin typeface="Arial"/>
              <a:cs typeface="Arial"/>
            </a:rPr>
            <a:t>A</a:t>
          </a:r>
        </a:p>
      </cdr:txBody>
    </cdr:sp>
  </cdr:relSizeAnchor>
  <cdr:relSizeAnchor xmlns:cdr="http://schemas.openxmlformats.org/drawingml/2006/chartDrawing">
    <cdr:from>
      <cdr:x>0.1315</cdr:x>
      <cdr:y>0.74231</cdr:y>
    </cdr:from>
    <cdr:to>
      <cdr:x>0.14872</cdr:x>
      <cdr:y>0.77272</cdr:y>
    </cdr:to>
    <cdr:sp macro="" textlink="">
      <cdr:nvSpPr>
        <cdr:cNvPr id="45058" name="Text Box 2"/>
        <cdr:cNvSpPr txBox="1">
          <a:spLocks xmlns:a="http://schemas.openxmlformats.org/drawingml/2006/main" noChangeArrowheads="1"/>
        </cdr:cNvSpPr>
      </cdr:nvSpPr>
      <cdr:spPr bwMode="auto">
        <a:xfrm xmlns:a="http://schemas.openxmlformats.org/drawingml/2006/main">
          <a:off x="300241" y="1619977"/>
          <a:ext cx="39306" cy="6636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9144" tIns="18288" rIns="0" bIns="0" anchor="t" upright="1">
          <a:spAutoFit/>
        </a:bodyPr>
        <a:lstStyle xmlns:a="http://schemas.openxmlformats.org/drawingml/2006/main"/>
        <a:p xmlns:a="http://schemas.openxmlformats.org/drawingml/2006/main">
          <a:pPr algn="l" rtl="0">
            <a:defRPr sz="1000"/>
          </a:pPr>
          <a:r>
            <a:rPr lang="de-DE" sz="325" b="1" i="0" u="none" strike="noStrike" baseline="0">
              <a:solidFill>
                <a:srgbClr val="000000"/>
              </a:solidFill>
              <a:latin typeface="Arial"/>
              <a:cs typeface="Arial"/>
            </a:rPr>
            <a:t>B</a:t>
          </a:r>
        </a:p>
      </cdr:txBody>
    </cdr:sp>
  </cdr:relSizeAnchor>
  <cdr:relSizeAnchor xmlns:cdr="http://schemas.openxmlformats.org/drawingml/2006/chartDrawing">
    <cdr:from>
      <cdr:x>0.82606</cdr:x>
      <cdr:y>0.12965</cdr:y>
    </cdr:from>
    <cdr:to>
      <cdr:x>0.84327</cdr:x>
      <cdr:y>0.16006</cdr:y>
    </cdr:to>
    <cdr:sp macro="" textlink="">
      <cdr:nvSpPr>
        <cdr:cNvPr id="45059" name="Text Box 3"/>
        <cdr:cNvSpPr txBox="1">
          <a:spLocks xmlns:a="http://schemas.openxmlformats.org/drawingml/2006/main" noChangeArrowheads="1"/>
        </cdr:cNvSpPr>
      </cdr:nvSpPr>
      <cdr:spPr bwMode="auto">
        <a:xfrm xmlns:a="http://schemas.openxmlformats.org/drawingml/2006/main">
          <a:off x="1886057" y="282942"/>
          <a:ext cx="39306" cy="6636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9144" tIns="18288" rIns="0" bIns="0" anchor="t" upright="1">
          <a:spAutoFit/>
        </a:bodyPr>
        <a:lstStyle xmlns:a="http://schemas.openxmlformats.org/drawingml/2006/main"/>
        <a:p xmlns:a="http://schemas.openxmlformats.org/drawingml/2006/main">
          <a:pPr algn="l" rtl="0">
            <a:defRPr sz="1000"/>
          </a:pPr>
          <a:r>
            <a:rPr lang="de-DE" sz="325" b="1" i="0" u="none" strike="noStrike" baseline="0">
              <a:solidFill>
                <a:srgbClr val="000000"/>
              </a:solidFill>
              <a:latin typeface="Arial"/>
              <a:cs typeface="Arial"/>
            </a:rPr>
            <a:t>D</a:t>
          </a:r>
        </a:p>
      </cdr:txBody>
    </cdr:sp>
  </cdr:relSizeAnchor>
  <cdr:relSizeAnchor xmlns:cdr="http://schemas.openxmlformats.org/drawingml/2006/chartDrawing">
    <cdr:from>
      <cdr:x>0.8181</cdr:x>
      <cdr:y>0.80236</cdr:y>
    </cdr:from>
    <cdr:to>
      <cdr:x>0.83531</cdr:x>
      <cdr:y>0.83277</cdr:y>
    </cdr:to>
    <cdr:sp macro="" textlink="">
      <cdr:nvSpPr>
        <cdr:cNvPr id="45060" name="Text Box 4"/>
        <cdr:cNvSpPr txBox="1">
          <a:spLocks xmlns:a="http://schemas.openxmlformats.org/drawingml/2006/main" noChangeArrowheads="1"/>
        </cdr:cNvSpPr>
      </cdr:nvSpPr>
      <cdr:spPr bwMode="auto">
        <a:xfrm xmlns:a="http://schemas.openxmlformats.org/drawingml/2006/main">
          <a:off x="1867880" y="1751023"/>
          <a:ext cx="39306" cy="6636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9144" tIns="18288" rIns="0" bIns="0" anchor="t" upright="1">
          <a:spAutoFit/>
        </a:bodyPr>
        <a:lstStyle xmlns:a="http://schemas.openxmlformats.org/drawingml/2006/main"/>
        <a:p xmlns:a="http://schemas.openxmlformats.org/drawingml/2006/main">
          <a:pPr algn="l" rtl="0">
            <a:defRPr sz="1000"/>
          </a:pPr>
          <a:r>
            <a:rPr lang="de-DE" sz="325" b="1" i="0" u="none" strike="noStrike" baseline="0">
              <a:solidFill>
                <a:srgbClr val="000000"/>
              </a:solidFill>
              <a:latin typeface="Arial"/>
              <a:cs typeface="Arial"/>
            </a:rPr>
            <a:t>C</a:t>
          </a:r>
        </a:p>
      </cdr:txBody>
    </cdr:sp>
  </cdr:relSizeAnchor>
  <cdr:relSizeAnchor xmlns:cdr="http://schemas.openxmlformats.org/drawingml/2006/chartDrawing">
    <cdr:from>
      <cdr:x>0.49759</cdr:x>
      <cdr:y>0.5</cdr:y>
    </cdr:from>
    <cdr:to>
      <cdr:x>0.54775</cdr:x>
      <cdr:y>0.54677</cdr:y>
    </cdr:to>
    <cdr:sp macro="" textlink="">
      <cdr:nvSpPr>
        <cdr:cNvPr id="45061" name="Text Box 5"/>
        <cdr:cNvSpPr txBox="1">
          <a:spLocks xmlns:a="http://schemas.openxmlformats.org/drawingml/2006/main" noChangeArrowheads="1"/>
        </cdr:cNvSpPr>
      </cdr:nvSpPr>
      <cdr:spPr bwMode="auto">
        <a:xfrm xmlns:a="http://schemas.openxmlformats.org/drawingml/2006/main">
          <a:off x="1344462" y="1341438"/>
          <a:ext cx="135217" cy="12519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de-DE" sz="550" b="0" i="0" u="none" strike="noStrike" baseline="0">
              <a:solidFill>
                <a:srgbClr val="000000"/>
              </a:solidFill>
              <a:latin typeface="Arial"/>
              <a:cs typeface="Arial"/>
            </a:rPr>
            <a:t>0+</a:t>
          </a:r>
        </a:p>
      </cdr:txBody>
    </cdr:sp>
  </cdr:relSizeAnchor>
</c:userShapes>
</file>

<file path=xl/drawings/drawing7.xml><?xml version="1.0" encoding="utf-8"?>
<xdr:wsDr xmlns:xdr="http://schemas.openxmlformats.org/drawingml/2006/spreadsheetDrawing" xmlns:a="http://schemas.openxmlformats.org/drawingml/2006/main">
  <xdr:twoCellAnchor editAs="absolute">
    <xdr:from>
      <xdr:col>1</xdr:col>
      <xdr:colOff>276225</xdr:colOff>
      <xdr:row>15</xdr:row>
      <xdr:rowOff>19050</xdr:rowOff>
    </xdr:from>
    <xdr:to>
      <xdr:col>5</xdr:col>
      <xdr:colOff>0</xdr:colOff>
      <xdr:row>27</xdr:row>
      <xdr:rowOff>142875</xdr:rowOff>
    </xdr:to>
    <xdr:graphicFrame macro="">
      <xdr:nvGraphicFramePr>
        <xdr:cNvPr id="46087" name="Chart 1">
          <a:extLst>
            <a:ext uri="{FF2B5EF4-FFF2-40B4-BE49-F238E27FC236}">
              <a16:creationId xmlns:a16="http://schemas.microsoft.com/office/drawing/2014/main" id="{00000000-0008-0000-0700-000007B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160564</xdr:colOff>
      <xdr:row>0</xdr:row>
      <xdr:rowOff>141515</xdr:rowOff>
    </xdr:from>
    <xdr:to>
      <xdr:col>16</xdr:col>
      <xdr:colOff>112939</xdr:colOff>
      <xdr:row>23</xdr:row>
      <xdr:rowOff>141515</xdr:rowOff>
    </xdr:to>
    <xdr:graphicFrame macro="">
      <xdr:nvGraphicFramePr>
        <xdr:cNvPr id="46088" name="Chart 4">
          <a:extLst>
            <a:ext uri="{FF2B5EF4-FFF2-40B4-BE49-F238E27FC236}">
              <a16:creationId xmlns:a16="http://schemas.microsoft.com/office/drawing/2014/main" id="{00000000-0008-0000-0700-000008B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624568</xdr:colOff>
      <xdr:row>0</xdr:row>
      <xdr:rowOff>146957</xdr:rowOff>
    </xdr:from>
    <xdr:to>
      <xdr:col>13</xdr:col>
      <xdr:colOff>375557</xdr:colOff>
      <xdr:row>24</xdr:row>
      <xdr:rowOff>2722</xdr:rowOff>
    </xdr:to>
    <xdr:graphicFrame macro="">
      <xdr:nvGraphicFramePr>
        <xdr:cNvPr id="46089" name="Chart 5">
          <a:extLst>
            <a:ext uri="{FF2B5EF4-FFF2-40B4-BE49-F238E27FC236}">
              <a16:creationId xmlns:a16="http://schemas.microsoft.com/office/drawing/2014/main" id="{00000000-0008-0000-0700-000009B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304800</xdr:colOff>
      <xdr:row>27</xdr:row>
      <xdr:rowOff>104775</xdr:rowOff>
    </xdr:from>
    <xdr:to>
      <xdr:col>23</xdr:col>
      <xdr:colOff>742950</xdr:colOff>
      <xdr:row>29</xdr:row>
      <xdr:rowOff>142875</xdr:rowOff>
    </xdr:to>
    <xdr:grpSp>
      <xdr:nvGrpSpPr>
        <xdr:cNvPr id="46090" name="Group 7">
          <a:extLst>
            <a:ext uri="{FF2B5EF4-FFF2-40B4-BE49-F238E27FC236}">
              <a16:creationId xmlns:a16="http://schemas.microsoft.com/office/drawing/2014/main" id="{00000000-0008-0000-0700-00000AB40000}"/>
            </a:ext>
          </a:extLst>
        </xdr:cNvPr>
        <xdr:cNvGrpSpPr>
          <a:grpSpLocks/>
        </xdr:cNvGrpSpPr>
      </xdr:nvGrpSpPr>
      <xdr:grpSpPr bwMode="auto">
        <a:xfrm>
          <a:off x="16354425" y="4581525"/>
          <a:ext cx="438150" cy="361950"/>
          <a:chOff x="1700" y="447"/>
          <a:chExt cx="82" cy="82"/>
        </a:xfrm>
      </xdr:grpSpPr>
      <xdr:sp macro="" textlink="">
        <xdr:nvSpPr>
          <xdr:cNvPr id="46103" name="Line 8">
            <a:extLst>
              <a:ext uri="{FF2B5EF4-FFF2-40B4-BE49-F238E27FC236}">
                <a16:creationId xmlns:a16="http://schemas.microsoft.com/office/drawing/2014/main" id="{00000000-0008-0000-0700-000017B40000}"/>
              </a:ext>
            </a:extLst>
          </xdr:cNvPr>
          <xdr:cNvSpPr>
            <a:spLocks noChangeShapeType="1"/>
          </xdr:cNvSpPr>
        </xdr:nvSpPr>
        <xdr:spPr bwMode="auto">
          <a:xfrm flipH="1">
            <a:off x="1727" y="447"/>
            <a:ext cx="18" cy="82"/>
          </a:xfrm>
          <a:prstGeom prst="line">
            <a:avLst/>
          </a:prstGeom>
          <a:noFill/>
          <a:ln w="9525">
            <a:solidFill>
              <a:srgbClr val="000000"/>
            </a:solidFill>
            <a:round/>
            <a:headEnd/>
            <a:tailEnd/>
          </a:ln>
        </xdr:spPr>
      </xdr:sp>
      <xdr:sp macro="" textlink="">
        <xdr:nvSpPr>
          <xdr:cNvPr id="46104" name="Line 9">
            <a:extLst>
              <a:ext uri="{FF2B5EF4-FFF2-40B4-BE49-F238E27FC236}">
                <a16:creationId xmlns:a16="http://schemas.microsoft.com/office/drawing/2014/main" id="{00000000-0008-0000-0700-000018B40000}"/>
              </a:ext>
            </a:extLst>
          </xdr:cNvPr>
          <xdr:cNvSpPr>
            <a:spLocks noChangeShapeType="1"/>
          </xdr:cNvSpPr>
        </xdr:nvSpPr>
        <xdr:spPr bwMode="auto">
          <a:xfrm>
            <a:off x="1700" y="485"/>
            <a:ext cx="82" cy="0"/>
          </a:xfrm>
          <a:prstGeom prst="line">
            <a:avLst/>
          </a:prstGeom>
          <a:noFill/>
          <a:ln w="9525">
            <a:solidFill>
              <a:srgbClr val="000000"/>
            </a:solidFill>
            <a:prstDash val="lgDashDot"/>
            <a:round/>
            <a:headEnd/>
            <a:tailEnd/>
          </a:ln>
        </xdr:spPr>
      </xdr:sp>
      <xdr:sp macro="" textlink="">
        <xdr:nvSpPr>
          <xdr:cNvPr id="46105" name="AutoShape 10">
            <a:extLst>
              <a:ext uri="{FF2B5EF4-FFF2-40B4-BE49-F238E27FC236}">
                <a16:creationId xmlns:a16="http://schemas.microsoft.com/office/drawing/2014/main" id="{00000000-0008-0000-0700-000019B40000}"/>
              </a:ext>
            </a:extLst>
          </xdr:cNvPr>
          <xdr:cNvSpPr>
            <a:spLocks noChangeArrowheads="1"/>
          </xdr:cNvSpPr>
        </xdr:nvSpPr>
        <xdr:spPr bwMode="auto">
          <a:xfrm rot="-3451729">
            <a:off x="1712" y="469"/>
            <a:ext cx="31" cy="28"/>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60000 65536"/>
              <a:gd name="T13" fmla="*/ 0 60000 65536"/>
              <a:gd name="T14" fmla="*/ 0 60000 65536"/>
              <a:gd name="T15" fmla="*/ 0 60000 65536"/>
              <a:gd name="T16" fmla="*/ 0 60000 65536"/>
              <a:gd name="T17" fmla="*/ 0 60000 65536"/>
              <a:gd name="T18" fmla="*/ 3484 w 21600"/>
              <a:gd name="T19" fmla="*/ 3086 h 21600"/>
              <a:gd name="T20" fmla="*/ 18116 w 21600"/>
              <a:gd name="T21" fmla="*/ 18514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8806" y="9971"/>
                </a:moveTo>
                <a:cubicBezTo>
                  <a:pt x="18381" y="5868"/>
                  <a:pt x="14924" y="2751"/>
                  <a:pt x="10800" y="2751"/>
                </a:cubicBezTo>
                <a:cubicBezTo>
                  <a:pt x="9269" y="2750"/>
                  <a:pt x="7770" y="3187"/>
                  <a:pt x="6478" y="4009"/>
                </a:cubicBezTo>
                <a:lnTo>
                  <a:pt x="5001" y="1688"/>
                </a:lnTo>
                <a:cubicBezTo>
                  <a:pt x="6734" y="585"/>
                  <a:pt x="8746" y="-1"/>
                  <a:pt x="10800" y="0"/>
                </a:cubicBezTo>
                <a:cubicBezTo>
                  <a:pt x="16334" y="0"/>
                  <a:pt x="20972" y="4183"/>
                  <a:pt x="21542" y="9687"/>
                </a:cubicBezTo>
                <a:lnTo>
                  <a:pt x="24228" y="9409"/>
                </a:lnTo>
                <a:lnTo>
                  <a:pt x="20594" y="13883"/>
                </a:lnTo>
                <a:lnTo>
                  <a:pt x="16120" y="10249"/>
                </a:lnTo>
                <a:lnTo>
                  <a:pt x="18806" y="9971"/>
                </a:lnTo>
                <a:close/>
              </a:path>
            </a:pathLst>
          </a:custGeom>
          <a:solidFill>
            <a:srgbClr val="FFFFFF"/>
          </a:solidFill>
          <a:ln w="9525">
            <a:solidFill>
              <a:srgbClr val="000000"/>
            </a:solidFill>
            <a:miter lim="800000"/>
            <a:headEnd/>
            <a:tailEnd/>
          </a:ln>
        </xdr:spPr>
      </xdr:sp>
    </xdr:grpSp>
    <xdr:clientData/>
  </xdr:twoCellAnchor>
  <xdr:twoCellAnchor>
    <xdr:from>
      <xdr:col>35</xdr:col>
      <xdr:colOff>304800</xdr:colOff>
      <xdr:row>27</xdr:row>
      <xdr:rowOff>76200</xdr:rowOff>
    </xdr:from>
    <xdr:to>
      <xdr:col>35</xdr:col>
      <xdr:colOff>714375</xdr:colOff>
      <xdr:row>29</xdr:row>
      <xdr:rowOff>104775</xdr:rowOff>
    </xdr:to>
    <xdr:grpSp>
      <xdr:nvGrpSpPr>
        <xdr:cNvPr id="46091" name="Group 11">
          <a:extLst>
            <a:ext uri="{FF2B5EF4-FFF2-40B4-BE49-F238E27FC236}">
              <a16:creationId xmlns:a16="http://schemas.microsoft.com/office/drawing/2014/main" id="{00000000-0008-0000-0700-00000BB40000}"/>
            </a:ext>
          </a:extLst>
        </xdr:cNvPr>
        <xdr:cNvGrpSpPr>
          <a:grpSpLocks/>
        </xdr:cNvGrpSpPr>
      </xdr:nvGrpSpPr>
      <xdr:grpSpPr bwMode="auto">
        <a:xfrm rot="5400000">
          <a:off x="25412700" y="4524375"/>
          <a:ext cx="352425" cy="409575"/>
          <a:chOff x="1700" y="447"/>
          <a:chExt cx="82" cy="82"/>
        </a:xfrm>
      </xdr:grpSpPr>
      <xdr:sp macro="" textlink="">
        <xdr:nvSpPr>
          <xdr:cNvPr id="46100" name="Line 12">
            <a:extLst>
              <a:ext uri="{FF2B5EF4-FFF2-40B4-BE49-F238E27FC236}">
                <a16:creationId xmlns:a16="http://schemas.microsoft.com/office/drawing/2014/main" id="{00000000-0008-0000-0700-000014B40000}"/>
              </a:ext>
            </a:extLst>
          </xdr:cNvPr>
          <xdr:cNvSpPr>
            <a:spLocks noChangeShapeType="1"/>
          </xdr:cNvSpPr>
        </xdr:nvSpPr>
        <xdr:spPr bwMode="auto">
          <a:xfrm flipH="1">
            <a:off x="1727" y="447"/>
            <a:ext cx="18" cy="82"/>
          </a:xfrm>
          <a:prstGeom prst="line">
            <a:avLst/>
          </a:prstGeom>
          <a:noFill/>
          <a:ln w="9525">
            <a:solidFill>
              <a:srgbClr val="000000"/>
            </a:solidFill>
            <a:round/>
            <a:headEnd/>
            <a:tailEnd/>
          </a:ln>
        </xdr:spPr>
      </xdr:sp>
      <xdr:sp macro="" textlink="">
        <xdr:nvSpPr>
          <xdr:cNvPr id="46101" name="Line 13">
            <a:extLst>
              <a:ext uri="{FF2B5EF4-FFF2-40B4-BE49-F238E27FC236}">
                <a16:creationId xmlns:a16="http://schemas.microsoft.com/office/drawing/2014/main" id="{00000000-0008-0000-0700-000015B40000}"/>
              </a:ext>
            </a:extLst>
          </xdr:cNvPr>
          <xdr:cNvSpPr>
            <a:spLocks noChangeShapeType="1"/>
          </xdr:cNvSpPr>
        </xdr:nvSpPr>
        <xdr:spPr bwMode="auto">
          <a:xfrm>
            <a:off x="1700" y="485"/>
            <a:ext cx="82" cy="0"/>
          </a:xfrm>
          <a:prstGeom prst="line">
            <a:avLst/>
          </a:prstGeom>
          <a:noFill/>
          <a:ln w="9525">
            <a:solidFill>
              <a:srgbClr val="000000"/>
            </a:solidFill>
            <a:prstDash val="lgDashDot"/>
            <a:round/>
            <a:headEnd/>
            <a:tailEnd/>
          </a:ln>
        </xdr:spPr>
      </xdr:sp>
      <xdr:sp macro="" textlink="">
        <xdr:nvSpPr>
          <xdr:cNvPr id="46102" name="AutoShape 14">
            <a:extLst>
              <a:ext uri="{FF2B5EF4-FFF2-40B4-BE49-F238E27FC236}">
                <a16:creationId xmlns:a16="http://schemas.microsoft.com/office/drawing/2014/main" id="{00000000-0008-0000-0700-000016B40000}"/>
              </a:ext>
            </a:extLst>
          </xdr:cNvPr>
          <xdr:cNvSpPr>
            <a:spLocks noChangeArrowheads="1"/>
          </xdr:cNvSpPr>
        </xdr:nvSpPr>
        <xdr:spPr bwMode="auto">
          <a:xfrm rot="-3451729">
            <a:off x="1712" y="469"/>
            <a:ext cx="31" cy="28"/>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60000 65536"/>
              <a:gd name="T13" fmla="*/ 0 60000 65536"/>
              <a:gd name="T14" fmla="*/ 0 60000 65536"/>
              <a:gd name="T15" fmla="*/ 0 60000 65536"/>
              <a:gd name="T16" fmla="*/ 0 60000 65536"/>
              <a:gd name="T17" fmla="*/ 0 60000 65536"/>
              <a:gd name="T18" fmla="*/ 3484 w 21600"/>
              <a:gd name="T19" fmla="*/ 3086 h 21600"/>
              <a:gd name="T20" fmla="*/ 18116 w 21600"/>
              <a:gd name="T21" fmla="*/ 18514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8806" y="9971"/>
                </a:moveTo>
                <a:cubicBezTo>
                  <a:pt x="18381" y="5868"/>
                  <a:pt x="14924" y="2751"/>
                  <a:pt x="10800" y="2751"/>
                </a:cubicBezTo>
                <a:cubicBezTo>
                  <a:pt x="9269" y="2750"/>
                  <a:pt x="7770" y="3187"/>
                  <a:pt x="6478" y="4009"/>
                </a:cubicBezTo>
                <a:lnTo>
                  <a:pt x="5001" y="1688"/>
                </a:lnTo>
                <a:cubicBezTo>
                  <a:pt x="6734" y="585"/>
                  <a:pt x="8746" y="-1"/>
                  <a:pt x="10800" y="0"/>
                </a:cubicBezTo>
                <a:cubicBezTo>
                  <a:pt x="16334" y="0"/>
                  <a:pt x="20972" y="4183"/>
                  <a:pt x="21542" y="9687"/>
                </a:cubicBezTo>
                <a:lnTo>
                  <a:pt x="24228" y="9409"/>
                </a:lnTo>
                <a:lnTo>
                  <a:pt x="20594" y="13883"/>
                </a:lnTo>
                <a:lnTo>
                  <a:pt x="16120" y="10249"/>
                </a:lnTo>
                <a:lnTo>
                  <a:pt x="18806" y="9971"/>
                </a:lnTo>
                <a:close/>
              </a:path>
            </a:pathLst>
          </a:custGeom>
          <a:solidFill>
            <a:srgbClr val="FFFFFF"/>
          </a:solidFill>
          <a:ln w="9525">
            <a:solidFill>
              <a:srgbClr val="000000"/>
            </a:solidFill>
            <a:miter lim="800000"/>
            <a:headEnd/>
            <a:tailEnd/>
          </a:ln>
        </xdr:spPr>
      </xdr:sp>
    </xdr:grpSp>
    <xdr:clientData/>
  </xdr:twoCellAnchor>
  <xdr:twoCellAnchor>
    <xdr:from>
      <xdr:col>31</xdr:col>
      <xdr:colOff>257175</xdr:colOff>
      <xdr:row>27</xdr:row>
      <xdr:rowOff>28575</xdr:rowOff>
    </xdr:from>
    <xdr:to>
      <xdr:col>31</xdr:col>
      <xdr:colOff>628650</xdr:colOff>
      <xdr:row>29</xdr:row>
      <xdr:rowOff>38100</xdr:rowOff>
    </xdr:to>
    <xdr:grpSp>
      <xdr:nvGrpSpPr>
        <xdr:cNvPr id="46092" name="Group 15">
          <a:extLst>
            <a:ext uri="{FF2B5EF4-FFF2-40B4-BE49-F238E27FC236}">
              <a16:creationId xmlns:a16="http://schemas.microsoft.com/office/drawing/2014/main" id="{00000000-0008-0000-0700-00000CB40000}"/>
            </a:ext>
          </a:extLst>
        </xdr:cNvPr>
        <xdr:cNvGrpSpPr>
          <a:grpSpLocks/>
        </xdr:cNvGrpSpPr>
      </xdr:nvGrpSpPr>
      <xdr:grpSpPr bwMode="auto">
        <a:xfrm rot="10800000">
          <a:off x="22326600" y="4505325"/>
          <a:ext cx="371475" cy="333375"/>
          <a:chOff x="1700" y="447"/>
          <a:chExt cx="82" cy="82"/>
        </a:xfrm>
      </xdr:grpSpPr>
      <xdr:sp macro="" textlink="">
        <xdr:nvSpPr>
          <xdr:cNvPr id="46097" name="Line 16">
            <a:extLst>
              <a:ext uri="{FF2B5EF4-FFF2-40B4-BE49-F238E27FC236}">
                <a16:creationId xmlns:a16="http://schemas.microsoft.com/office/drawing/2014/main" id="{00000000-0008-0000-0700-000011B40000}"/>
              </a:ext>
            </a:extLst>
          </xdr:cNvPr>
          <xdr:cNvSpPr>
            <a:spLocks noChangeShapeType="1"/>
          </xdr:cNvSpPr>
        </xdr:nvSpPr>
        <xdr:spPr bwMode="auto">
          <a:xfrm flipH="1">
            <a:off x="1727" y="447"/>
            <a:ext cx="18" cy="82"/>
          </a:xfrm>
          <a:prstGeom prst="line">
            <a:avLst/>
          </a:prstGeom>
          <a:noFill/>
          <a:ln w="9525">
            <a:solidFill>
              <a:srgbClr val="000000"/>
            </a:solidFill>
            <a:round/>
            <a:headEnd/>
            <a:tailEnd/>
          </a:ln>
        </xdr:spPr>
      </xdr:sp>
      <xdr:sp macro="" textlink="">
        <xdr:nvSpPr>
          <xdr:cNvPr id="46098" name="Line 17">
            <a:extLst>
              <a:ext uri="{FF2B5EF4-FFF2-40B4-BE49-F238E27FC236}">
                <a16:creationId xmlns:a16="http://schemas.microsoft.com/office/drawing/2014/main" id="{00000000-0008-0000-0700-000012B40000}"/>
              </a:ext>
            </a:extLst>
          </xdr:cNvPr>
          <xdr:cNvSpPr>
            <a:spLocks noChangeShapeType="1"/>
          </xdr:cNvSpPr>
        </xdr:nvSpPr>
        <xdr:spPr bwMode="auto">
          <a:xfrm>
            <a:off x="1700" y="485"/>
            <a:ext cx="82" cy="0"/>
          </a:xfrm>
          <a:prstGeom prst="line">
            <a:avLst/>
          </a:prstGeom>
          <a:noFill/>
          <a:ln w="9525">
            <a:solidFill>
              <a:srgbClr val="000000"/>
            </a:solidFill>
            <a:prstDash val="lgDashDot"/>
            <a:round/>
            <a:headEnd/>
            <a:tailEnd/>
          </a:ln>
        </xdr:spPr>
      </xdr:sp>
      <xdr:sp macro="" textlink="">
        <xdr:nvSpPr>
          <xdr:cNvPr id="46099" name="AutoShape 18">
            <a:extLst>
              <a:ext uri="{FF2B5EF4-FFF2-40B4-BE49-F238E27FC236}">
                <a16:creationId xmlns:a16="http://schemas.microsoft.com/office/drawing/2014/main" id="{00000000-0008-0000-0700-000013B40000}"/>
              </a:ext>
            </a:extLst>
          </xdr:cNvPr>
          <xdr:cNvSpPr>
            <a:spLocks noChangeArrowheads="1"/>
          </xdr:cNvSpPr>
        </xdr:nvSpPr>
        <xdr:spPr bwMode="auto">
          <a:xfrm rot="-3451729">
            <a:off x="1712" y="469"/>
            <a:ext cx="31" cy="28"/>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60000 65536"/>
              <a:gd name="T13" fmla="*/ 0 60000 65536"/>
              <a:gd name="T14" fmla="*/ 0 60000 65536"/>
              <a:gd name="T15" fmla="*/ 0 60000 65536"/>
              <a:gd name="T16" fmla="*/ 0 60000 65536"/>
              <a:gd name="T17" fmla="*/ 0 60000 65536"/>
              <a:gd name="T18" fmla="*/ 3484 w 21600"/>
              <a:gd name="T19" fmla="*/ 3086 h 21600"/>
              <a:gd name="T20" fmla="*/ 18116 w 21600"/>
              <a:gd name="T21" fmla="*/ 18514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8806" y="9971"/>
                </a:moveTo>
                <a:cubicBezTo>
                  <a:pt x="18381" y="5868"/>
                  <a:pt x="14924" y="2751"/>
                  <a:pt x="10800" y="2751"/>
                </a:cubicBezTo>
                <a:cubicBezTo>
                  <a:pt x="9269" y="2750"/>
                  <a:pt x="7770" y="3187"/>
                  <a:pt x="6478" y="4009"/>
                </a:cubicBezTo>
                <a:lnTo>
                  <a:pt x="5001" y="1688"/>
                </a:lnTo>
                <a:cubicBezTo>
                  <a:pt x="6734" y="585"/>
                  <a:pt x="8746" y="-1"/>
                  <a:pt x="10800" y="0"/>
                </a:cubicBezTo>
                <a:cubicBezTo>
                  <a:pt x="16334" y="0"/>
                  <a:pt x="20972" y="4183"/>
                  <a:pt x="21542" y="9687"/>
                </a:cubicBezTo>
                <a:lnTo>
                  <a:pt x="24228" y="9409"/>
                </a:lnTo>
                <a:lnTo>
                  <a:pt x="20594" y="13883"/>
                </a:lnTo>
                <a:lnTo>
                  <a:pt x="16120" y="10249"/>
                </a:lnTo>
                <a:lnTo>
                  <a:pt x="18806" y="9971"/>
                </a:lnTo>
                <a:close/>
              </a:path>
            </a:pathLst>
          </a:custGeom>
          <a:solidFill>
            <a:srgbClr val="FFFFFF"/>
          </a:solidFill>
          <a:ln w="9525">
            <a:solidFill>
              <a:srgbClr val="000000"/>
            </a:solidFill>
            <a:miter lim="800000"/>
            <a:headEnd/>
            <a:tailEnd/>
          </a:ln>
        </xdr:spPr>
      </xdr:sp>
    </xdr:grpSp>
    <xdr:clientData/>
  </xdr:twoCellAnchor>
  <xdr:twoCellAnchor>
    <xdr:from>
      <xdr:col>27</xdr:col>
      <xdr:colOff>295275</xdr:colOff>
      <xdr:row>26</xdr:row>
      <xdr:rowOff>152400</xdr:rowOff>
    </xdr:from>
    <xdr:to>
      <xdr:col>28</xdr:col>
      <xdr:colOff>38100</xdr:colOff>
      <xdr:row>29</xdr:row>
      <xdr:rowOff>142875</xdr:rowOff>
    </xdr:to>
    <xdr:grpSp>
      <xdr:nvGrpSpPr>
        <xdr:cNvPr id="46093" name="Group 19">
          <a:extLst>
            <a:ext uri="{FF2B5EF4-FFF2-40B4-BE49-F238E27FC236}">
              <a16:creationId xmlns:a16="http://schemas.microsoft.com/office/drawing/2014/main" id="{00000000-0008-0000-0700-00000DB40000}"/>
            </a:ext>
          </a:extLst>
        </xdr:cNvPr>
        <xdr:cNvGrpSpPr>
          <a:grpSpLocks/>
        </xdr:cNvGrpSpPr>
      </xdr:nvGrpSpPr>
      <xdr:grpSpPr bwMode="auto">
        <a:xfrm rot="-5400000">
          <a:off x="19359562" y="4452938"/>
          <a:ext cx="485775" cy="495300"/>
          <a:chOff x="1700" y="447"/>
          <a:chExt cx="82" cy="82"/>
        </a:xfrm>
      </xdr:grpSpPr>
      <xdr:sp macro="" textlink="">
        <xdr:nvSpPr>
          <xdr:cNvPr id="46094" name="Line 20">
            <a:extLst>
              <a:ext uri="{FF2B5EF4-FFF2-40B4-BE49-F238E27FC236}">
                <a16:creationId xmlns:a16="http://schemas.microsoft.com/office/drawing/2014/main" id="{00000000-0008-0000-0700-00000EB40000}"/>
              </a:ext>
            </a:extLst>
          </xdr:cNvPr>
          <xdr:cNvSpPr>
            <a:spLocks noChangeShapeType="1"/>
          </xdr:cNvSpPr>
        </xdr:nvSpPr>
        <xdr:spPr bwMode="auto">
          <a:xfrm flipH="1">
            <a:off x="1727" y="447"/>
            <a:ext cx="18" cy="82"/>
          </a:xfrm>
          <a:prstGeom prst="line">
            <a:avLst/>
          </a:prstGeom>
          <a:noFill/>
          <a:ln w="9525">
            <a:solidFill>
              <a:srgbClr val="000000"/>
            </a:solidFill>
            <a:round/>
            <a:headEnd/>
            <a:tailEnd/>
          </a:ln>
        </xdr:spPr>
      </xdr:sp>
      <xdr:sp macro="" textlink="">
        <xdr:nvSpPr>
          <xdr:cNvPr id="46095" name="Line 21">
            <a:extLst>
              <a:ext uri="{FF2B5EF4-FFF2-40B4-BE49-F238E27FC236}">
                <a16:creationId xmlns:a16="http://schemas.microsoft.com/office/drawing/2014/main" id="{00000000-0008-0000-0700-00000FB40000}"/>
              </a:ext>
            </a:extLst>
          </xdr:cNvPr>
          <xdr:cNvSpPr>
            <a:spLocks noChangeShapeType="1"/>
          </xdr:cNvSpPr>
        </xdr:nvSpPr>
        <xdr:spPr bwMode="auto">
          <a:xfrm>
            <a:off x="1700" y="485"/>
            <a:ext cx="82" cy="0"/>
          </a:xfrm>
          <a:prstGeom prst="line">
            <a:avLst/>
          </a:prstGeom>
          <a:noFill/>
          <a:ln w="9525">
            <a:solidFill>
              <a:srgbClr val="000000"/>
            </a:solidFill>
            <a:prstDash val="lgDashDot"/>
            <a:round/>
            <a:headEnd/>
            <a:tailEnd/>
          </a:ln>
        </xdr:spPr>
      </xdr:sp>
      <xdr:sp macro="" textlink="">
        <xdr:nvSpPr>
          <xdr:cNvPr id="46096" name="AutoShape 22">
            <a:extLst>
              <a:ext uri="{FF2B5EF4-FFF2-40B4-BE49-F238E27FC236}">
                <a16:creationId xmlns:a16="http://schemas.microsoft.com/office/drawing/2014/main" id="{00000000-0008-0000-0700-000010B40000}"/>
              </a:ext>
            </a:extLst>
          </xdr:cNvPr>
          <xdr:cNvSpPr>
            <a:spLocks noChangeArrowheads="1"/>
          </xdr:cNvSpPr>
        </xdr:nvSpPr>
        <xdr:spPr bwMode="auto">
          <a:xfrm rot="-3451729">
            <a:off x="1712" y="469"/>
            <a:ext cx="31" cy="28"/>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60000 65536"/>
              <a:gd name="T13" fmla="*/ 0 60000 65536"/>
              <a:gd name="T14" fmla="*/ 0 60000 65536"/>
              <a:gd name="T15" fmla="*/ 0 60000 65536"/>
              <a:gd name="T16" fmla="*/ 0 60000 65536"/>
              <a:gd name="T17" fmla="*/ 0 60000 65536"/>
              <a:gd name="T18" fmla="*/ 3484 w 21600"/>
              <a:gd name="T19" fmla="*/ 3086 h 21600"/>
              <a:gd name="T20" fmla="*/ 18116 w 21600"/>
              <a:gd name="T21" fmla="*/ 18514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8806" y="9971"/>
                </a:moveTo>
                <a:cubicBezTo>
                  <a:pt x="18381" y="5868"/>
                  <a:pt x="14924" y="2751"/>
                  <a:pt x="10800" y="2751"/>
                </a:cubicBezTo>
                <a:cubicBezTo>
                  <a:pt x="9269" y="2750"/>
                  <a:pt x="7770" y="3187"/>
                  <a:pt x="6478" y="4009"/>
                </a:cubicBezTo>
                <a:lnTo>
                  <a:pt x="5001" y="1688"/>
                </a:lnTo>
                <a:cubicBezTo>
                  <a:pt x="6734" y="585"/>
                  <a:pt x="8746" y="-1"/>
                  <a:pt x="10800" y="0"/>
                </a:cubicBezTo>
                <a:cubicBezTo>
                  <a:pt x="16334" y="0"/>
                  <a:pt x="20972" y="4183"/>
                  <a:pt x="21542" y="9687"/>
                </a:cubicBezTo>
                <a:lnTo>
                  <a:pt x="24228" y="9409"/>
                </a:lnTo>
                <a:lnTo>
                  <a:pt x="20594" y="13883"/>
                </a:lnTo>
                <a:lnTo>
                  <a:pt x="16120" y="10249"/>
                </a:lnTo>
                <a:lnTo>
                  <a:pt x="18806" y="9971"/>
                </a:lnTo>
                <a:close/>
              </a:path>
            </a:pathLst>
          </a:custGeom>
          <a:solidFill>
            <a:srgbClr val="FFFFFF"/>
          </a:solidFill>
          <a:ln w="9525">
            <a:solidFill>
              <a:srgbClr val="000000"/>
            </a:solidFill>
            <a:miter lim="800000"/>
            <a:headEnd/>
            <a:tailEnd/>
          </a:ln>
        </xdr:spPr>
      </xdr:sp>
    </xdr:grpSp>
    <xdr:clientData/>
  </xdr:twoCellAnchor>
</xdr:wsDr>
</file>

<file path=xl/drawings/drawing8.xml><?xml version="1.0" encoding="utf-8"?>
<c:userShapes xmlns:c="http://schemas.openxmlformats.org/drawingml/2006/chart">
  <cdr:relSizeAnchor xmlns:cdr="http://schemas.openxmlformats.org/drawingml/2006/chartDrawing">
    <cdr:from>
      <cdr:x>0.1315</cdr:x>
      <cdr:y>0.10965</cdr:y>
    </cdr:from>
    <cdr:to>
      <cdr:x>0.15054</cdr:x>
      <cdr:y>0.1413</cdr:y>
    </cdr:to>
    <cdr:sp macro="" textlink="">
      <cdr:nvSpPr>
        <cdr:cNvPr id="47105" name="Text Box 1"/>
        <cdr:cNvSpPr txBox="1">
          <a:spLocks xmlns:a="http://schemas.openxmlformats.org/drawingml/2006/main" noChangeArrowheads="1"/>
        </cdr:cNvSpPr>
      </cdr:nvSpPr>
      <cdr:spPr bwMode="auto">
        <a:xfrm xmlns:a="http://schemas.openxmlformats.org/drawingml/2006/main">
          <a:off x="271443" y="229921"/>
          <a:ext cx="39306" cy="6636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9144" tIns="18288" rIns="0" bIns="0" anchor="t" upright="1">
          <a:spAutoFit/>
        </a:bodyPr>
        <a:lstStyle xmlns:a="http://schemas.openxmlformats.org/drawingml/2006/main"/>
        <a:p xmlns:a="http://schemas.openxmlformats.org/drawingml/2006/main">
          <a:pPr algn="l" rtl="0">
            <a:defRPr sz="1000"/>
          </a:pPr>
          <a:r>
            <a:rPr lang="de-DE" sz="325" b="1" i="0" u="none" strike="noStrike" baseline="0">
              <a:solidFill>
                <a:srgbClr val="000000"/>
              </a:solidFill>
              <a:latin typeface="Arial"/>
              <a:cs typeface="Arial"/>
            </a:rPr>
            <a:t>A</a:t>
          </a:r>
        </a:p>
      </cdr:txBody>
    </cdr:sp>
  </cdr:relSizeAnchor>
  <cdr:relSizeAnchor xmlns:cdr="http://schemas.openxmlformats.org/drawingml/2006/chartDrawing">
    <cdr:from>
      <cdr:x>0.1315</cdr:x>
      <cdr:y>0.74231</cdr:y>
    </cdr:from>
    <cdr:to>
      <cdr:x>0.15054</cdr:x>
      <cdr:y>0.77396</cdr:y>
    </cdr:to>
    <cdr:sp macro="" textlink="">
      <cdr:nvSpPr>
        <cdr:cNvPr id="47106" name="Text Box 2"/>
        <cdr:cNvSpPr txBox="1">
          <a:spLocks xmlns:a="http://schemas.openxmlformats.org/drawingml/2006/main" noChangeArrowheads="1"/>
        </cdr:cNvSpPr>
      </cdr:nvSpPr>
      <cdr:spPr bwMode="auto">
        <a:xfrm xmlns:a="http://schemas.openxmlformats.org/drawingml/2006/main">
          <a:off x="271443" y="1556521"/>
          <a:ext cx="39306" cy="6636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9144" tIns="18288" rIns="0" bIns="0" anchor="t" upright="1">
          <a:spAutoFit/>
        </a:bodyPr>
        <a:lstStyle xmlns:a="http://schemas.openxmlformats.org/drawingml/2006/main"/>
        <a:p xmlns:a="http://schemas.openxmlformats.org/drawingml/2006/main">
          <a:pPr algn="l" rtl="0">
            <a:defRPr sz="1000"/>
          </a:pPr>
          <a:r>
            <a:rPr lang="de-DE" sz="325" b="1" i="0" u="none" strike="noStrike" baseline="0">
              <a:solidFill>
                <a:srgbClr val="000000"/>
              </a:solidFill>
              <a:latin typeface="Arial"/>
              <a:cs typeface="Arial"/>
            </a:rPr>
            <a:t>B</a:t>
          </a:r>
        </a:p>
      </cdr:txBody>
    </cdr:sp>
  </cdr:relSizeAnchor>
  <cdr:relSizeAnchor xmlns:cdr="http://schemas.openxmlformats.org/drawingml/2006/chartDrawing">
    <cdr:from>
      <cdr:x>0.82582</cdr:x>
      <cdr:y>0.12822</cdr:y>
    </cdr:from>
    <cdr:to>
      <cdr:x>0.84486</cdr:x>
      <cdr:y>0.15987</cdr:y>
    </cdr:to>
    <cdr:sp macro="" textlink="">
      <cdr:nvSpPr>
        <cdr:cNvPr id="47107" name="Text Box 3"/>
        <cdr:cNvSpPr txBox="1">
          <a:spLocks xmlns:a="http://schemas.openxmlformats.org/drawingml/2006/main" noChangeArrowheads="1"/>
        </cdr:cNvSpPr>
      </cdr:nvSpPr>
      <cdr:spPr bwMode="auto">
        <a:xfrm xmlns:a="http://schemas.openxmlformats.org/drawingml/2006/main">
          <a:off x="1704661" y="268860"/>
          <a:ext cx="39306" cy="6636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9144" tIns="18288" rIns="0" bIns="0" anchor="t" upright="1">
          <a:spAutoFit/>
        </a:bodyPr>
        <a:lstStyle xmlns:a="http://schemas.openxmlformats.org/drawingml/2006/main"/>
        <a:p xmlns:a="http://schemas.openxmlformats.org/drawingml/2006/main">
          <a:pPr algn="l" rtl="0">
            <a:defRPr sz="1000"/>
          </a:pPr>
          <a:r>
            <a:rPr lang="de-DE" sz="325" b="1" i="0" u="none" strike="noStrike" baseline="0">
              <a:solidFill>
                <a:srgbClr val="000000"/>
              </a:solidFill>
              <a:latin typeface="Arial"/>
              <a:cs typeface="Arial"/>
            </a:rPr>
            <a:t>D</a:t>
          </a:r>
        </a:p>
      </cdr:txBody>
    </cdr:sp>
  </cdr:relSizeAnchor>
  <cdr:relSizeAnchor xmlns:cdr="http://schemas.openxmlformats.org/drawingml/2006/chartDrawing">
    <cdr:from>
      <cdr:x>0.81762</cdr:x>
      <cdr:y>0.80355</cdr:y>
    </cdr:from>
    <cdr:to>
      <cdr:x>0.83666</cdr:x>
      <cdr:y>0.8352</cdr:y>
    </cdr:to>
    <cdr:sp macro="" textlink="">
      <cdr:nvSpPr>
        <cdr:cNvPr id="47108" name="Text Box 4"/>
        <cdr:cNvSpPr txBox="1">
          <a:spLocks xmlns:a="http://schemas.openxmlformats.org/drawingml/2006/main" noChangeArrowheads="1"/>
        </cdr:cNvSpPr>
      </cdr:nvSpPr>
      <cdr:spPr bwMode="auto">
        <a:xfrm xmlns:a="http://schemas.openxmlformats.org/drawingml/2006/main">
          <a:off x="1687734" y="1684933"/>
          <a:ext cx="39306" cy="6636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none" lIns="9144" tIns="18288" rIns="0" bIns="0" anchor="t" upright="1">
          <a:spAutoFit/>
        </a:bodyPr>
        <a:lstStyle xmlns:a="http://schemas.openxmlformats.org/drawingml/2006/main"/>
        <a:p xmlns:a="http://schemas.openxmlformats.org/drawingml/2006/main">
          <a:pPr algn="l" rtl="0">
            <a:defRPr sz="1000"/>
          </a:pPr>
          <a:r>
            <a:rPr lang="de-DE" sz="325" b="1" i="0" u="none" strike="noStrike" baseline="0">
              <a:solidFill>
                <a:srgbClr val="000000"/>
              </a:solidFill>
              <a:latin typeface="Arial"/>
              <a:cs typeface="Arial"/>
            </a:rPr>
            <a:t>C</a:t>
          </a:r>
        </a:p>
      </cdr:txBody>
    </cdr:sp>
  </cdr:relSizeAnchor>
  <cdr:relSizeAnchor xmlns:cdr="http://schemas.openxmlformats.org/drawingml/2006/chartDrawing">
    <cdr:from>
      <cdr:x>0.49759</cdr:x>
      <cdr:y>0.5</cdr:y>
    </cdr:from>
    <cdr:to>
      <cdr:x>0.54775</cdr:x>
      <cdr:y>0.54677</cdr:y>
    </cdr:to>
    <cdr:sp macro="" textlink="">
      <cdr:nvSpPr>
        <cdr:cNvPr id="47109" name="Text Box 5"/>
        <cdr:cNvSpPr txBox="1">
          <a:spLocks xmlns:a="http://schemas.openxmlformats.org/drawingml/2006/main" noChangeArrowheads="1"/>
        </cdr:cNvSpPr>
      </cdr:nvSpPr>
      <cdr:spPr bwMode="auto">
        <a:xfrm xmlns:a="http://schemas.openxmlformats.org/drawingml/2006/main">
          <a:off x="1344462" y="1341438"/>
          <a:ext cx="135217" cy="125191"/>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18288" tIns="18288" rIns="18288" bIns="18288" anchor="ctr" upright="1"/>
        <a:lstStyle xmlns:a="http://schemas.openxmlformats.org/drawingml/2006/main"/>
        <a:p xmlns:a="http://schemas.openxmlformats.org/drawingml/2006/main">
          <a:pPr algn="ctr" rtl="0">
            <a:defRPr sz="1000"/>
          </a:pPr>
          <a:r>
            <a:rPr lang="de-DE" sz="550" b="0" i="0" u="none" strike="noStrike" baseline="0">
              <a:solidFill>
                <a:srgbClr val="000000"/>
              </a:solidFill>
              <a:latin typeface="Arial"/>
              <a:cs typeface="Arial"/>
            </a:rPr>
            <a:t>0+</a:t>
          </a:r>
        </a:p>
      </cdr:txBody>
    </cdr:sp>
  </cdr:relSizeAnchor>
</c:userShapes>
</file>

<file path=xl/drawings/drawing9.xml><?xml version="1.0" encoding="utf-8"?>
<xdr:wsDr xmlns:xdr="http://schemas.openxmlformats.org/drawingml/2006/spreadsheetDrawing" xmlns:a="http://schemas.openxmlformats.org/drawingml/2006/main">
  <xdr:twoCellAnchor editAs="absolute">
    <xdr:from>
      <xdr:col>1</xdr:col>
      <xdr:colOff>295275</xdr:colOff>
      <xdr:row>15</xdr:row>
      <xdr:rowOff>57150</xdr:rowOff>
    </xdr:from>
    <xdr:to>
      <xdr:col>5</xdr:col>
      <xdr:colOff>19050</xdr:colOff>
      <xdr:row>28</xdr:row>
      <xdr:rowOff>19050</xdr:rowOff>
    </xdr:to>
    <xdr:graphicFrame macro="">
      <xdr:nvGraphicFramePr>
        <xdr:cNvPr id="47108" name="Chart 1">
          <a:extLst>
            <a:ext uri="{FF2B5EF4-FFF2-40B4-BE49-F238E27FC236}">
              <a16:creationId xmlns:a16="http://schemas.microsoft.com/office/drawing/2014/main" id="{00000000-0008-0000-0800-000004B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650421</xdr:colOff>
      <xdr:row>0</xdr:row>
      <xdr:rowOff>209550</xdr:rowOff>
    </xdr:from>
    <xdr:to>
      <xdr:col>15</xdr:col>
      <xdr:colOff>602796</xdr:colOff>
      <xdr:row>24</xdr:row>
      <xdr:rowOff>46265</xdr:rowOff>
    </xdr:to>
    <xdr:graphicFrame macro="">
      <xdr:nvGraphicFramePr>
        <xdr:cNvPr id="47109" name="Chart 4">
          <a:extLst>
            <a:ext uri="{FF2B5EF4-FFF2-40B4-BE49-F238E27FC236}">
              <a16:creationId xmlns:a16="http://schemas.microsoft.com/office/drawing/2014/main" id="{00000000-0008-0000-0800-000005B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297996</xdr:colOff>
      <xdr:row>0</xdr:row>
      <xdr:rowOff>214993</xdr:rowOff>
    </xdr:from>
    <xdr:to>
      <xdr:col>13</xdr:col>
      <xdr:colOff>48985</xdr:colOff>
      <xdr:row>24</xdr:row>
      <xdr:rowOff>70758</xdr:rowOff>
    </xdr:to>
    <xdr:graphicFrame macro="">
      <xdr:nvGraphicFramePr>
        <xdr:cNvPr id="47110" name="Chart 5">
          <a:extLst>
            <a:ext uri="{FF2B5EF4-FFF2-40B4-BE49-F238E27FC236}">
              <a16:creationId xmlns:a16="http://schemas.microsoft.com/office/drawing/2014/main" id="{00000000-0008-0000-0800-000006B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304800</xdr:colOff>
      <xdr:row>27</xdr:row>
      <xdr:rowOff>104775</xdr:rowOff>
    </xdr:from>
    <xdr:to>
      <xdr:col>23</xdr:col>
      <xdr:colOff>742950</xdr:colOff>
      <xdr:row>29</xdr:row>
      <xdr:rowOff>142875</xdr:rowOff>
    </xdr:to>
    <xdr:grpSp>
      <xdr:nvGrpSpPr>
        <xdr:cNvPr id="47111" name="Group 7">
          <a:extLst>
            <a:ext uri="{FF2B5EF4-FFF2-40B4-BE49-F238E27FC236}">
              <a16:creationId xmlns:a16="http://schemas.microsoft.com/office/drawing/2014/main" id="{00000000-0008-0000-0800-000007B80000}"/>
            </a:ext>
          </a:extLst>
        </xdr:cNvPr>
        <xdr:cNvGrpSpPr>
          <a:grpSpLocks/>
        </xdr:cNvGrpSpPr>
      </xdr:nvGrpSpPr>
      <xdr:grpSpPr bwMode="auto">
        <a:xfrm>
          <a:off x="16354425" y="4581525"/>
          <a:ext cx="438150" cy="361950"/>
          <a:chOff x="1700" y="447"/>
          <a:chExt cx="82" cy="82"/>
        </a:xfrm>
      </xdr:grpSpPr>
      <xdr:sp macro="" textlink="">
        <xdr:nvSpPr>
          <xdr:cNvPr id="47124" name="Line 8">
            <a:extLst>
              <a:ext uri="{FF2B5EF4-FFF2-40B4-BE49-F238E27FC236}">
                <a16:creationId xmlns:a16="http://schemas.microsoft.com/office/drawing/2014/main" id="{00000000-0008-0000-0800-000014B80000}"/>
              </a:ext>
            </a:extLst>
          </xdr:cNvPr>
          <xdr:cNvSpPr>
            <a:spLocks noChangeShapeType="1"/>
          </xdr:cNvSpPr>
        </xdr:nvSpPr>
        <xdr:spPr bwMode="auto">
          <a:xfrm flipH="1">
            <a:off x="1727" y="447"/>
            <a:ext cx="18" cy="82"/>
          </a:xfrm>
          <a:prstGeom prst="line">
            <a:avLst/>
          </a:prstGeom>
          <a:noFill/>
          <a:ln w="9525">
            <a:solidFill>
              <a:srgbClr val="000000"/>
            </a:solidFill>
            <a:round/>
            <a:headEnd/>
            <a:tailEnd/>
          </a:ln>
        </xdr:spPr>
      </xdr:sp>
      <xdr:sp macro="" textlink="">
        <xdr:nvSpPr>
          <xdr:cNvPr id="47125" name="Line 9">
            <a:extLst>
              <a:ext uri="{FF2B5EF4-FFF2-40B4-BE49-F238E27FC236}">
                <a16:creationId xmlns:a16="http://schemas.microsoft.com/office/drawing/2014/main" id="{00000000-0008-0000-0800-000015B80000}"/>
              </a:ext>
            </a:extLst>
          </xdr:cNvPr>
          <xdr:cNvSpPr>
            <a:spLocks noChangeShapeType="1"/>
          </xdr:cNvSpPr>
        </xdr:nvSpPr>
        <xdr:spPr bwMode="auto">
          <a:xfrm>
            <a:off x="1700" y="485"/>
            <a:ext cx="82" cy="0"/>
          </a:xfrm>
          <a:prstGeom prst="line">
            <a:avLst/>
          </a:prstGeom>
          <a:noFill/>
          <a:ln w="9525">
            <a:solidFill>
              <a:srgbClr val="000000"/>
            </a:solidFill>
            <a:prstDash val="lgDashDot"/>
            <a:round/>
            <a:headEnd/>
            <a:tailEnd/>
          </a:ln>
        </xdr:spPr>
      </xdr:sp>
      <xdr:sp macro="" textlink="">
        <xdr:nvSpPr>
          <xdr:cNvPr id="47126" name="AutoShape 10">
            <a:extLst>
              <a:ext uri="{FF2B5EF4-FFF2-40B4-BE49-F238E27FC236}">
                <a16:creationId xmlns:a16="http://schemas.microsoft.com/office/drawing/2014/main" id="{00000000-0008-0000-0800-000016B80000}"/>
              </a:ext>
            </a:extLst>
          </xdr:cNvPr>
          <xdr:cNvSpPr>
            <a:spLocks noChangeArrowheads="1"/>
          </xdr:cNvSpPr>
        </xdr:nvSpPr>
        <xdr:spPr bwMode="auto">
          <a:xfrm rot="-3451729">
            <a:off x="1712" y="469"/>
            <a:ext cx="31" cy="28"/>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60000 65536"/>
              <a:gd name="T13" fmla="*/ 0 60000 65536"/>
              <a:gd name="T14" fmla="*/ 0 60000 65536"/>
              <a:gd name="T15" fmla="*/ 0 60000 65536"/>
              <a:gd name="T16" fmla="*/ 0 60000 65536"/>
              <a:gd name="T17" fmla="*/ 0 60000 65536"/>
              <a:gd name="T18" fmla="*/ 3484 w 21600"/>
              <a:gd name="T19" fmla="*/ 3086 h 21600"/>
              <a:gd name="T20" fmla="*/ 18116 w 21600"/>
              <a:gd name="T21" fmla="*/ 18514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8806" y="9971"/>
                </a:moveTo>
                <a:cubicBezTo>
                  <a:pt x="18381" y="5868"/>
                  <a:pt x="14924" y="2751"/>
                  <a:pt x="10800" y="2751"/>
                </a:cubicBezTo>
                <a:cubicBezTo>
                  <a:pt x="9269" y="2750"/>
                  <a:pt x="7770" y="3187"/>
                  <a:pt x="6478" y="4009"/>
                </a:cubicBezTo>
                <a:lnTo>
                  <a:pt x="5001" y="1688"/>
                </a:lnTo>
                <a:cubicBezTo>
                  <a:pt x="6734" y="585"/>
                  <a:pt x="8746" y="-1"/>
                  <a:pt x="10800" y="0"/>
                </a:cubicBezTo>
                <a:cubicBezTo>
                  <a:pt x="16334" y="0"/>
                  <a:pt x="20972" y="4183"/>
                  <a:pt x="21542" y="9687"/>
                </a:cubicBezTo>
                <a:lnTo>
                  <a:pt x="24228" y="9409"/>
                </a:lnTo>
                <a:lnTo>
                  <a:pt x="20594" y="13883"/>
                </a:lnTo>
                <a:lnTo>
                  <a:pt x="16120" y="10249"/>
                </a:lnTo>
                <a:lnTo>
                  <a:pt x="18806" y="9971"/>
                </a:lnTo>
                <a:close/>
              </a:path>
            </a:pathLst>
          </a:custGeom>
          <a:solidFill>
            <a:srgbClr val="FFFFFF"/>
          </a:solidFill>
          <a:ln w="9525">
            <a:solidFill>
              <a:srgbClr val="000000"/>
            </a:solidFill>
            <a:miter lim="800000"/>
            <a:headEnd/>
            <a:tailEnd/>
          </a:ln>
        </xdr:spPr>
      </xdr:sp>
    </xdr:grpSp>
    <xdr:clientData/>
  </xdr:twoCellAnchor>
  <xdr:twoCellAnchor>
    <xdr:from>
      <xdr:col>35</xdr:col>
      <xdr:colOff>304800</xdr:colOff>
      <xdr:row>27</xdr:row>
      <xdr:rowOff>76200</xdr:rowOff>
    </xdr:from>
    <xdr:to>
      <xdr:col>35</xdr:col>
      <xdr:colOff>714375</xdr:colOff>
      <xdr:row>29</xdr:row>
      <xdr:rowOff>104775</xdr:rowOff>
    </xdr:to>
    <xdr:grpSp>
      <xdr:nvGrpSpPr>
        <xdr:cNvPr id="47112" name="Group 11">
          <a:extLst>
            <a:ext uri="{FF2B5EF4-FFF2-40B4-BE49-F238E27FC236}">
              <a16:creationId xmlns:a16="http://schemas.microsoft.com/office/drawing/2014/main" id="{00000000-0008-0000-0800-000008B80000}"/>
            </a:ext>
          </a:extLst>
        </xdr:cNvPr>
        <xdr:cNvGrpSpPr>
          <a:grpSpLocks/>
        </xdr:cNvGrpSpPr>
      </xdr:nvGrpSpPr>
      <xdr:grpSpPr bwMode="auto">
        <a:xfrm rot="5400000">
          <a:off x="25412700" y="4524375"/>
          <a:ext cx="352425" cy="409575"/>
          <a:chOff x="1700" y="447"/>
          <a:chExt cx="82" cy="82"/>
        </a:xfrm>
      </xdr:grpSpPr>
      <xdr:sp macro="" textlink="">
        <xdr:nvSpPr>
          <xdr:cNvPr id="47121" name="Line 12">
            <a:extLst>
              <a:ext uri="{FF2B5EF4-FFF2-40B4-BE49-F238E27FC236}">
                <a16:creationId xmlns:a16="http://schemas.microsoft.com/office/drawing/2014/main" id="{00000000-0008-0000-0800-000011B80000}"/>
              </a:ext>
            </a:extLst>
          </xdr:cNvPr>
          <xdr:cNvSpPr>
            <a:spLocks noChangeShapeType="1"/>
          </xdr:cNvSpPr>
        </xdr:nvSpPr>
        <xdr:spPr bwMode="auto">
          <a:xfrm flipH="1">
            <a:off x="1727" y="447"/>
            <a:ext cx="18" cy="82"/>
          </a:xfrm>
          <a:prstGeom prst="line">
            <a:avLst/>
          </a:prstGeom>
          <a:noFill/>
          <a:ln w="9525">
            <a:solidFill>
              <a:srgbClr val="000000"/>
            </a:solidFill>
            <a:round/>
            <a:headEnd/>
            <a:tailEnd/>
          </a:ln>
        </xdr:spPr>
      </xdr:sp>
      <xdr:sp macro="" textlink="">
        <xdr:nvSpPr>
          <xdr:cNvPr id="47122" name="Line 13">
            <a:extLst>
              <a:ext uri="{FF2B5EF4-FFF2-40B4-BE49-F238E27FC236}">
                <a16:creationId xmlns:a16="http://schemas.microsoft.com/office/drawing/2014/main" id="{00000000-0008-0000-0800-000012B80000}"/>
              </a:ext>
            </a:extLst>
          </xdr:cNvPr>
          <xdr:cNvSpPr>
            <a:spLocks noChangeShapeType="1"/>
          </xdr:cNvSpPr>
        </xdr:nvSpPr>
        <xdr:spPr bwMode="auto">
          <a:xfrm>
            <a:off x="1700" y="485"/>
            <a:ext cx="82" cy="0"/>
          </a:xfrm>
          <a:prstGeom prst="line">
            <a:avLst/>
          </a:prstGeom>
          <a:noFill/>
          <a:ln w="9525">
            <a:solidFill>
              <a:srgbClr val="000000"/>
            </a:solidFill>
            <a:prstDash val="lgDashDot"/>
            <a:round/>
            <a:headEnd/>
            <a:tailEnd/>
          </a:ln>
        </xdr:spPr>
      </xdr:sp>
      <xdr:sp macro="" textlink="">
        <xdr:nvSpPr>
          <xdr:cNvPr id="47123" name="AutoShape 14">
            <a:extLst>
              <a:ext uri="{FF2B5EF4-FFF2-40B4-BE49-F238E27FC236}">
                <a16:creationId xmlns:a16="http://schemas.microsoft.com/office/drawing/2014/main" id="{00000000-0008-0000-0800-000013B80000}"/>
              </a:ext>
            </a:extLst>
          </xdr:cNvPr>
          <xdr:cNvSpPr>
            <a:spLocks noChangeArrowheads="1"/>
          </xdr:cNvSpPr>
        </xdr:nvSpPr>
        <xdr:spPr bwMode="auto">
          <a:xfrm rot="-3451729">
            <a:off x="1712" y="469"/>
            <a:ext cx="31" cy="28"/>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60000 65536"/>
              <a:gd name="T13" fmla="*/ 0 60000 65536"/>
              <a:gd name="T14" fmla="*/ 0 60000 65536"/>
              <a:gd name="T15" fmla="*/ 0 60000 65536"/>
              <a:gd name="T16" fmla="*/ 0 60000 65536"/>
              <a:gd name="T17" fmla="*/ 0 60000 65536"/>
              <a:gd name="T18" fmla="*/ 3484 w 21600"/>
              <a:gd name="T19" fmla="*/ 3086 h 21600"/>
              <a:gd name="T20" fmla="*/ 18116 w 21600"/>
              <a:gd name="T21" fmla="*/ 18514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8806" y="9971"/>
                </a:moveTo>
                <a:cubicBezTo>
                  <a:pt x="18381" y="5868"/>
                  <a:pt x="14924" y="2751"/>
                  <a:pt x="10800" y="2751"/>
                </a:cubicBezTo>
                <a:cubicBezTo>
                  <a:pt x="9269" y="2750"/>
                  <a:pt x="7770" y="3187"/>
                  <a:pt x="6478" y="4009"/>
                </a:cubicBezTo>
                <a:lnTo>
                  <a:pt x="5001" y="1688"/>
                </a:lnTo>
                <a:cubicBezTo>
                  <a:pt x="6734" y="585"/>
                  <a:pt x="8746" y="-1"/>
                  <a:pt x="10800" y="0"/>
                </a:cubicBezTo>
                <a:cubicBezTo>
                  <a:pt x="16334" y="0"/>
                  <a:pt x="20972" y="4183"/>
                  <a:pt x="21542" y="9687"/>
                </a:cubicBezTo>
                <a:lnTo>
                  <a:pt x="24228" y="9409"/>
                </a:lnTo>
                <a:lnTo>
                  <a:pt x="20594" y="13883"/>
                </a:lnTo>
                <a:lnTo>
                  <a:pt x="16120" y="10249"/>
                </a:lnTo>
                <a:lnTo>
                  <a:pt x="18806" y="9971"/>
                </a:lnTo>
                <a:close/>
              </a:path>
            </a:pathLst>
          </a:custGeom>
          <a:solidFill>
            <a:srgbClr val="FFFFFF"/>
          </a:solidFill>
          <a:ln w="9525">
            <a:solidFill>
              <a:srgbClr val="000000"/>
            </a:solidFill>
            <a:miter lim="800000"/>
            <a:headEnd/>
            <a:tailEnd/>
          </a:ln>
        </xdr:spPr>
      </xdr:sp>
    </xdr:grpSp>
    <xdr:clientData/>
  </xdr:twoCellAnchor>
  <xdr:twoCellAnchor>
    <xdr:from>
      <xdr:col>31</xdr:col>
      <xdr:colOff>257175</xdr:colOff>
      <xdr:row>27</xdr:row>
      <xdr:rowOff>28575</xdr:rowOff>
    </xdr:from>
    <xdr:to>
      <xdr:col>31</xdr:col>
      <xdr:colOff>628650</xdr:colOff>
      <xdr:row>29</xdr:row>
      <xdr:rowOff>38100</xdr:rowOff>
    </xdr:to>
    <xdr:grpSp>
      <xdr:nvGrpSpPr>
        <xdr:cNvPr id="47113" name="Group 15">
          <a:extLst>
            <a:ext uri="{FF2B5EF4-FFF2-40B4-BE49-F238E27FC236}">
              <a16:creationId xmlns:a16="http://schemas.microsoft.com/office/drawing/2014/main" id="{00000000-0008-0000-0800-000009B80000}"/>
            </a:ext>
          </a:extLst>
        </xdr:cNvPr>
        <xdr:cNvGrpSpPr>
          <a:grpSpLocks/>
        </xdr:cNvGrpSpPr>
      </xdr:nvGrpSpPr>
      <xdr:grpSpPr bwMode="auto">
        <a:xfrm rot="10800000">
          <a:off x="22326600" y="4505325"/>
          <a:ext cx="371475" cy="333375"/>
          <a:chOff x="1700" y="447"/>
          <a:chExt cx="82" cy="82"/>
        </a:xfrm>
      </xdr:grpSpPr>
      <xdr:sp macro="" textlink="">
        <xdr:nvSpPr>
          <xdr:cNvPr id="47118" name="Line 16">
            <a:extLst>
              <a:ext uri="{FF2B5EF4-FFF2-40B4-BE49-F238E27FC236}">
                <a16:creationId xmlns:a16="http://schemas.microsoft.com/office/drawing/2014/main" id="{00000000-0008-0000-0800-00000EB80000}"/>
              </a:ext>
            </a:extLst>
          </xdr:cNvPr>
          <xdr:cNvSpPr>
            <a:spLocks noChangeShapeType="1"/>
          </xdr:cNvSpPr>
        </xdr:nvSpPr>
        <xdr:spPr bwMode="auto">
          <a:xfrm flipH="1">
            <a:off x="1727" y="447"/>
            <a:ext cx="18" cy="82"/>
          </a:xfrm>
          <a:prstGeom prst="line">
            <a:avLst/>
          </a:prstGeom>
          <a:noFill/>
          <a:ln w="9525">
            <a:solidFill>
              <a:srgbClr val="000000"/>
            </a:solidFill>
            <a:round/>
            <a:headEnd/>
            <a:tailEnd/>
          </a:ln>
        </xdr:spPr>
      </xdr:sp>
      <xdr:sp macro="" textlink="">
        <xdr:nvSpPr>
          <xdr:cNvPr id="47119" name="Line 17">
            <a:extLst>
              <a:ext uri="{FF2B5EF4-FFF2-40B4-BE49-F238E27FC236}">
                <a16:creationId xmlns:a16="http://schemas.microsoft.com/office/drawing/2014/main" id="{00000000-0008-0000-0800-00000FB80000}"/>
              </a:ext>
            </a:extLst>
          </xdr:cNvPr>
          <xdr:cNvSpPr>
            <a:spLocks noChangeShapeType="1"/>
          </xdr:cNvSpPr>
        </xdr:nvSpPr>
        <xdr:spPr bwMode="auto">
          <a:xfrm>
            <a:off x="1700" y="485"/>
            <a:ext cx="82" cy="0"/>
          </a:xfrm>
          <a:prstGeom prst="line">
            <a:avLst/>
          </a:prstGeom>
          <a:noFill/>
          <a:ln w="9525">
            <a:solidFill>
              <a:srgbClr val="000000"/>
            </a:solidFill>
            <a:prstDash val="lgDashDot"/>
            <a:round/>
            <a:headEnd/>
            <a:tailEnd/>
          </a:ln>
        </xdr:spPr>
      </xdr:sp>
      <xdr:sp macro="" textlink="">
        <xdr:nvSpPr>
          <xdr:cNvPr id="47120" name="AutoShape 18">
            <a:extLst>
              <a:ext uri="{FF2B5EF4-FFF2-40B4-BE49-F238E27FC236}">
                <a16:creationId xmlns:a16="http://schemas.microsoft.com/office/drawing/2014/main" id="{00000000-0008-0000-0800-000010B80000}"/>
              </a:ext>
            </a:extLst>
          </xdr:cNvPr>
          <xdr:cNvSpPr>
            <a:spLocks noChangeArrowheads="1"/>
          </xdr:cNvSpPr>
        </xdr:nvSpPr>
        <xdr:spPr bwMode="auto">
          <a:xfrm rot="-3451729">
            <a:off x="1712" y="469"/>
            <a:ext cx="31" cy="28"/>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60000 65536"/>
              <a:gd name="T13" fmla="*/ 0 60000 65536"/>
              <a:gd name="T14" fmla="*/ 0 60000 65536"/>
              <a:gd name="T15" fmla="*/ 0 60000 65536"/>
              <a:gd name="T16" fmla="*/ 0 60000 65536"/>
              <a:gd name="T17" fmla="*/ 0 60000 65536"/>
              <a:gd name="T18" fmla="*/ 3484 w 21600"/>
              <a:gd name="T19" fmla="*/ 3086 h 21600"/>
              <a:gd name="T20" fmla="*/ 18116 w 21600"/>
              <a:gd name="T21" fmla="*/ 18514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8806" y="9971"/>
                </a:moveTo>
                <a:cubicBezTo>
                  <a:pt x="18381" y="5868"/>
                  <a:pt x="14924" y="2751"/>
                  <a:pt x="10800" y="2751"/>
                </a:cubicBezTo>
                <a:cubicBezTo>
                  <a:pt x="9269" y="2750"/>
                  <a:pt x="7770" y="3187"/>
                  <a:pt x="6478" y="4009"/>
                </a:cubicBezTo>
                <a:lnTo>
                  <a:pt x="5001" y="1688"/>
                </a:lnTo>
                <a:cubicBezTo>
                  <a:pt x="6734" y="585"/>
                  <a:pt x="8746" y="-1"/>
                  <a:pt x="10800" y="0"/>
                </a:cubicBezTo>
                <a:cubicBezTo>
                  <a:pt x="16334" y="0"/>
                  <a:pt x="20972" y="4183"/>
                  <a:pt x="21542" y="9687"/>
                </a:cubicBezTo>
                <a:lnTo>
                  <a:pt x="24228" y="9409"/>
                </a:lnTo>
                <a:lnTo>
                  <a:pt x="20594" y="13883"/>
                </a:lnTo>
                <a:lnTo>
                  <a:pt x="16120" y="10249"/>
                </a:lnTo>
                <a:lnTo>
                  <a:pt x="18806" y="9971"/>
                </a:lnTo>
                <a:close/>
              </a:path>
            </a:pathLst>
          </a:custGeom>
          <a:solidFill>
            <a:srgbClr val="FFFFFF"/>
          </a:solidFill>
          <a:ln w="9525">
            <a:solidFill>
              <a:srgbClr val="000000"/>
            </a:solidFill>
            <a:miter lim="800000"/>
            <a:headEnd/>
            <a:tailEnd/>
          </a:ln>
        </xdr:spPr>
      </xdr:sp>
    </xdr:grpSp>
    <xdr:clientData/>
  </xdr:twoCellAnchor>
  <xdr:twoCellAnchor>
    <xdr:from>
      <xdr:col>27</xdr:col>
      <xdr:colOff>295275</xdr:colOff>
      <xdr:row>26</xdr:row>
      <xdr:rowOff>152400</xdr:rowOff>
    </xdr:from>
    <xdr:to>
      <xdr:col>28</xdr:col>
      <xdr:colOff>38100</xdr:colOff>
      <xdr:row>29</xdr:row>
      <xdr:rowOff>142875</xdr:rowOff>
    </xdr:to>
    <xdr:grpSp>
      <xdr:nvGrpSpPr>
        <xdr:cNvPr id="47114" name="Group 19">
          <a:extLst>
            <a:ext uri="{FF2B5EF4-FFF2-40B4-BE49-F238E27FC236}">
              <a16:creationId xmlns:a16="http://schemas.microsoft.com/office/drawing/2014/main" id="{00000000-0008-0000-0800-00000AB80000}"/>
            </a:ext>
          </a:extLst>
        </xdr:cNvPr>
        <xdr:cNvGrpSpPr>
          <a:grpSpLocks/>
        </xdr:cNvGrpSpPr>
      </xdr:nvGrpSpPr>
      <xdr:grpSpPr bwMode="auto">
        <a:xfrm rot="-5400000">
          <a:off x="19359562" y="4452938"/>
          <a:ext cx="485775" cy="495300"/>
          <a:chOff x="1700" y="447"/>
          <a:chExt cx="82" cy="82"/>
        </a:xfrm>
      </xdr:grpSpPr>
      <xdr:sp macro="" textlink="">
        <xdr:nvSpPr>
          <xdr:cNvPr id="47115" name="Line 20">
            <a:extLst>
              <a:ext uri="{FF2B5EF4-FFF2-40B4-BE49-F238E27FC236}">
                <a16:creationId xmlns:a16="http://schemas.microsoft.com/office/drawing/2014/main" id="{00000000-0008-0000-0800-00000BB80000}"/>
              </a:ext>
            </a:extLst>
          </xdr:cNvPr>
          <xdr:cNvSpPr>
            <a:spLocks noChangeShapeType="1"/>
          </xdr:cNvSpPr>
        </xdr:nvSpPr>
        <xdr:spPr bwMode="auto">
          <a:xfrm flipH="1">
            <a:off x="1727" y="447"/>
            <a:ext cx="18" cy="82"/>
          </a:xfrm>
          <a:prstGeom prst="line">
            <a:avLst/>
          </a:prstGeom>
          <a:noFill/>
          <a:ln w="9525">
            <a:solidFill>
              <a:srgbClr val="000000"/>
            </a:solidFill>
            <a:round/>
            <a:headEnd/>
            <a:tailEnd/>
          </a:ln>
        </xdr:spPr>
      </xdr:sp>
      <xdr:sp macro="" textlink="">
        <xdr:nvSpPr>
          <xdr:cNvPr id="47116" name="Line 21">
            <a:extLst>
              <a:ext uri="{FF2B5EF4-FFF2-40B4-BE49-F238E27FC236}">
                <a16:creationId xmlns:a16="http://schemas.microsoft.com/office/drawing/2014/main" id="{00000000-0008-0000-0800-00000CB80000}"/>
              </a:ext>
            </a:extLst>
          </xdr:cNvPr>
          <xdr:cNvSpPr>
            <a:spLocks noChangeShapeType="1"/>
          </xdr:cNvSpPr>
        </xdr:nvSpPr>
        <xdr:spPr bwMode="auto">
          <a:xfrm>
            <a:off x="1700" y="485"/>
            <a:ext cx="82" cy="0"/>
          </a:xfrm>
          <a:prstGeom prst="line">
            <a:avLst/>
          </a:prstGeom>
          <a:noFill/>
          <a:ln w="9525">
            <a:solidFill>
              <a:srgbClr val="000000"/>
            </a:solidFill>
            <a:prstDash val="lgDashDot"/>
            <a:round/>
            <a:headEnd/>
            <a:tailEnd/>
          </a:ln>
        </xdr:spPr>
      </xdr:sp>
      <xdr:sp macro="" textlink="">
        <xdr:nvSpPr>
          <xdr:cNvPr id="47117" name="AutoShape 22">
            <a:extLst>
              <a:ext uri="{FF2B5EF4-FFF2-40B4-BE49-F238E27FC236}">
                <a16:creationId xmlns:a16="http://schemas.microsoft.com/office/drawing/2014/main" id="{00000000-0008-0000-0800-00000DB80000}"/>
              </a:ext>
            </a:extLst>
          </xdr:cNvPr>
          <xdr:cNvSpPr>
            <a:spLocks noChangeArrowheads="1"/>
          </xdr:cNvSpPr>
        </xdr:nvSpPr>
        <xdr:spPr bwMode="auto">
          <a:xfrm rot="-3451729">
            <a:off x="1712" y="469"/>
            <a:ext cx="31" cy="28"/>
          </a:xfrm>
          <a:custGeom>
            <a:avLst/>
            <a:gdLst>
              <a:gd name="T0" fmla="*/ 0 w 21600"/>
              <a:gd name="T1" fmla="*/ 0 h 21600"/>
              <a:gd name="T2" fmla="*/ 0 w 21600"/>
              <a:gd name="T3" fmla="*/ 0 h 21600"/>
              <a:gd name="T4" fmla="*/ 0 w 21600"/>
              <a:gd name="T5" fmla="*/ 0 h 21600"/>
              <a:gd name="T6" fmla="*/ 0 w 21600"/>
              <a:gd name="T7" fmla="*/ 0 h 21600"/>
              <a:gd name="T8" fmla="*/ 0 w 21600"/>
              <a:gd name="T9" fmla="*/ 0 h 21600"/>
              <a:gd name="T10" fmla="*/ 0 w 21600"/>
              <a:gd name="T11" fmla="*/ 0 h 21600"/>
              <a:gd name="T12" fmla="*/ 0 60000 65536"/>
              <a:gd name="T13" fmla="*/ 0 60000 65536"/>
              <a:gd name="T14" fmla="*/ 0 60000 65536"/>
              <a:gd name="T15" fmla="*/ 0 60000 65536"/>
              <a:gd name="T16" fmla="*/ 0 60000 65536"/>
              <a:gd name="T17" fmla="*/ 0 60000 65536"/>
              <a:gd name="T18" fmla="*/ 3484 w 21600"/>
              <a:gd name="T19" fmla="*/ 3086 h 21600"/>
              <a:gd name="T20" fmla="*/ 18116 w 21600"/>
              <a:gd name="T21" fmla="*/ 18514 h 21600"/>
            </a:gdLst>
            <a:ahLst/>
            <a:cxnLst>
              <a:cxn ang="T12">
                <a:pos x="T0" y="T1"/>
              </a:cxn>
              <a:cxn ang="T13">
                <a:pos x="T2" y="T3"/>
              </a:cxn>
              <a:cxn ang="T14">
                <a:pos x="T4" y="T5"/>
              </a:cxn>
              <a:cxn ang="T15">
                <a:pos x="T6" y="T7"/>
              </a:cxn>
              <a:cxn ang="T16">
                <a:pos x="T8" y="T9"/>
              </a:cxn>
              <a:cxn ang="T17">
                <a:pos x="T10" y="T11"/>
              </a:cxn>
            </a:cxnLst>
            <a:rect l="T18" t="T19" r="T20" b="T21"/>
            <a:pathLst>
              <a:path w="21600" h="21600">
                <a:moveTo>
                  <a:pt x="18806" y="9971"/>
                </a:moveTo>
                <a:cubicBezTo>
                  <a:pt x="18381" y="5868"/>
                  <a:pt x="14924" y="2751"/>
                  <a:pt x="10800" y="2751"/>
                </a:cubicBezTo>
                <a:cubicBezTo>
                  <a:pt x="9269" y="2750"/>
                  <a:pt x="7770" y="3187"/>
                  <a:pt x="6478" y="4009"/>
                </a:cubicBezTo>
                <a:lnTo>
                  <a:pt x="5001" y="1688"/>
                </a:lnTo>
                <a:cubicBezTo>
                  <a:pt x="6734" y="585"/>
                  <a:pt x="8746" y="-1"/>
                  <a:pt x="10800" y="0"/>
                </a:cubicBezTo>
                <a:cubicBezTo>
                  <a:pt x="16334" y="0"/>
                  <a:pt x="20972" y="4183"/>
                  <a:pt x="21542" y="9687"/>
                </a:cubicBezTo>
                <a:lnTo>
                  <a:pt x="24228" y="9409"/>
                </a:lnTo>
                <a:lnTo>
                  <a:pt x="20594" y="13883"/>
                </a:lnTo>
                <a:lnTo>
                  <a:pt x="16120" y="10249"/>
                </a:lnTo>
                <a:lnTo>
                  <a:pt x="18806" y="9971"/>
                </a:lnTo>
                <a:close/>
              </a:path>
            </a:pathLst>
          </a:custGeom>
          <a:solidFill>
            <a:srgbClr val="FFFFFF"/>
          </a:solidFill>
          <a:ln w="9525">
            <a:solidFill>
              <a:srgbClr val="000000"/>
            </a:solidFill>
            <a:miter lim="800000"/>
            <a:headEnd/>
            <a:tailEnd/>
          </a:ln>
        </xdr:spPr>
      </xdr:sp>
    </xdr:grpSp>
    <xdr:clientData/>
  </xdr:twoCellAnchor>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2"/>
  <dimension ref="B3:R55"/>
  <sheetViews>
    <sheetView tabSelected="1" workbookViewId="0">
      <selection activeCell="D4" sqref="D4:E4"/>
    </sheetView>
  </sheetViews>
  <sheetFormatPr baseColWidth="10" defaultColWidth="11.42578125" defaultRowHeight="12.75" x14ac:dyDescent="0.2"/>
  <cols>
    <col min="6" max="6" width="5.140625" customWidth="1"/>
    <col min="7" max="7" width="7.42578125" style="205" customWidth="1"/>
    <col min="8" max="8" width="3.85546875" style="205" customWidth="1"/>
    <col min="11" max="18" width="11.42578125" customWidth="1"/>
  </cols>
  <sheetData>
    <row r="3" spans="2:16" x14ac:dyDescent="0.2">
      <c r="B3" s="205" t="s">
        <v>522</v>
      </c>
      <c r="C3" s="205"/>
      <c r="D3" s="712" t="s">
        <v>355</v>
      </c>
      <c r="E3" s="713"/>
      <c r="G3" s="191"/>
      <c r="M3" s="205" t="s">
        <v>523</v>
      </c>
      <c r="N3" s="205"/>
      <c r="O3" s="191" t="s">
        <v>810</v>
      </c>
    </row>
    <row r="4" spans="2:16" x14ac:dyDescent="0.2">
      <c r="B4" s="191" t="s">
        <v>521</v>
      </c>
      <c r="D4" s="722">
        <v>11570035</v>
      </c>
      <c r="E4" s="723"/>
      <c r="M4" s="205" t="s">
        <v>355</v>
      </c>
      <c r="N4" s="205"/>
      <c r="O4" s="191" t="s">
        <v>811</v>
      </c>
      <c r="P4" s="170"/>
    </row>
    <row r="5" spans="2:16" x14ac:dyDescent="0.2">
      <c r="B5" t="s">
        <v>362</v>
      </c>
      <c r="D5" s="722" t="s">
        <v>363</v>
      </c>
      <c r="E5" s="723"/>
      <c r="M5" s="205"/>
      <c r="N5" s="205"/>
      <c r="O5" s="191" t="s">
        <v>812</v>
      </c>
      <c r="P5" s="170"/>
    </row>
    <row r="6" spans="2:16" x14ac:dyDescent="0.2">
      <c r="B6" t="s">
        <v>315</v>
      </c>
      <c r="D6" s="722" t="s">
        <v>824</v>
      </c>
      <c r="E6" s="723"/>
      <c r="M6" s="205"/>
      <c r="N6" s="205"/>
      <c r="O6" s="191" t="s">
        <v>45</v>
      </c>
    </row>
    <row r="7" spans="2:16" x14ac:dyDescent="0.2">
      <c r="D7" s="195"/>
      <c r="E7" s="195"/>
      <c r="M7" s="205"/>
      <c r="N7" s="205"/>
      <c r="O7" s="191" t="s">
        <v>363</v>
      </c>
    </row>
    <row r="8" spans="2:16" x14ac:dyDescent="0.2">
      <c r="B8" s="184" t="s">
        <v>377</v>
      </c>
      <c r="C8" s="123"/>
      <c r="D8" s="196"/>
      <c r="E8" s="196"/>
      <c r="F8" s="123"/>
      <c r="G8" s="124"/>
      <c r="H8" s="76"/>
    </row>
    <row r="9" spans="2:16" x14ac:dyDescent="0.2">
      <c r="B9" s="185" t="s">
        <v>368</v>
      </c>
      <c r="C9" s="76"/>
      <c r="D9" s="720">
        <v>5000</v>
      </c>
      <c r="E9" s="721"/>
      <c r="F9" s="188" t="s">
        <v>13</v>
      </c>
      <c r="G9" s="186"/>
      <c r="H9" s="188"/>
    </row>
    <row r="10" spans="2:16" x14ac:dyDescent="0.2">
      <c r="B10" s="185" t="s">
        <v>369</v>
      </c>
      <c r="C10" s="76"/>
      <c r="D10" s="720">
        <v>3480</v>
      </c>
      <c r="E10" s="721"/>
      <c r="F10" s="188" t="s">
        <v>13</v>
      </c>
      <c r="G10" s="186"/>
      <c r="H10" s="188"/>
    </row>
    <row r="11" spans="2:16" ht="6" customHeight="1" x14ac:dyDescent="0.2">
      <c r="B11" s="185"/>
      <c r="C11" s="76"/>
      <c r="D11" s="197"/>
      <c r="E11" s="198"/>
      <c r="F11" s="188"/>
      <c r="G11" s="186"/>
      <c r="H11" s="188"/>
    </row>
    <row r="12" spans="2:16" x14ac:dyDescent="0.2">
      <c r="B12" s="185" t="s">
        <v>497</v>
      </c>
      <c r="C12" s="76"/>
      <c r="D12" s="724">
        <v>6750</v>
      </c>
      <c r="E12" s="725"/>
      <c r="F12" s="188" t="s">
        <v>13</v>
      </c>
      <c r="G12" s="186"/>
      <c r="H12" s="188"/>
      <c r="M12" s="191" t="s">
        <v>506</v>
      </c>
    </row>
    <row r="13" spans="2:16" ht="12.75" customHeight="1" x14ac:dyDescent="0.2">
      <c r="B13" s="193" t="s">
        <v>547</v>
      </c>
      <c r="C13" s="76"/>
      <c r="D13" s="714" t="s">
        <v>366</v>
      </c>
      <c r="E13" s="715"/>
      <c r="F13" s="188"/>
      <c r="G13" s="186"/>
      <c r="H13" s="188"/>
      <c r="M13" t="s">
        <v>505</v>
      </c>
    </row>
    <row r="14" spans="2:16" s="205" customFormat="1" ht="6" customHeight="1" x14ac:dyDescent="0.2">
      <c r="B14" s="185"/>
      <c r="C14" s="76"/>
      <c r="D14" s="198"/>
      <c r="E14" s="198"/>
      <c r="F14" s="188"/>
      <c r="G14" s="186"/>
      <c r="H14" s="188"/>
    </row>
    <row r="15" spans="2:16" x14ac:dyDescent="0.2">
      <c r="B15" s="193" t="s">
        <v>504</v>
      </c>
      <c r="C15" s="76"/>
      <c r="D15" s="726" t="s">
        <v>506</v>
      </c>
      <c r="E15" s="727"/>
      <c r="F15" s="188"/>
      <c r="G15" s="186"/>
      <c r="H15" s="188"/>
      <c r="M15" t="s">
        <v>503</v>
      </c>
    </row>
    <row r="16" spans="2:16" ht="6" customHeight="1" x14ac:dyDescent="0.2">
      <c r="B16" s="107"/>
      <c r="C16" s="76"/>
      <c r="D16" s="197"/>
      <c r="E16" s="197"/>
      <c r="F16" s="76"/>
      <c r="G16" s="101"/>
      <c r="H16" s="76"/>
    </row>
    <row r="17" spans="2:18" x14ac:dyDescent="0.2">
      <c r="B17" s="107" t="str">
        <f>IF(D15="Einzeln","Vorn Rechts","Vorderachse")</f>
        <v>Vorderachse</v>
      </c>
      <c r="D17" s="728">
        <v>7200</v>
      </c>
      <c r="E17" s="729"/>
      <c r="F17" s="188" t="s">
        <v>13</v>
      </c>
      <c r="G17" s="186"/>
      <c r="H17" s="188"/>
      <c r="I17" s="107" t="s">
        <v>356</v>
      </c>
      <c r="J17" s="76"/>
      <c r="K17" s="732">
        <f>IF(D15="Einzeln",D17+D18,D17)</f>
        <v>7200</v>
      </c>
      <c r="L17" s="733"/>
    </row>
    <row r="18" spans="2:18" x14ac:dyDescent="0.2">
      <c r="B18" s="107" t="str">
        <f>IF(D15="Einzeln","Vorn Links","Hinterachse")</f>
        <v>Hinterachse</v>
      </c>
      <c r="D18" s="730">
        <v>18000</v>
      </c>
      <c r="E18" s="731"/>
      <c r="F18" s="188" t="s">
        <v>13</v>
      </c>
      <c r="G18" s="186"/>
      <c r="H18" s="188"/>
      <c r="I18" s="107" t="s">
        <v>357</v>
      </c>
      <c r="J18" s="76"/>
      <c r="K18" s="732">
        <f>IF(D15="Einzeln",D20+D19,D18)</f>
        <v>18000</v>
      </c>
      <c r="L18" s="733"/>
    </row>
    <row r="19" spans="2:18" x14ac:dyDescent="0.2">
      <c r="B19" s="107" t="str">
        <f>IF(D15="Einzeln","Hinten Links","Linke Seite")</f>
        <v>Linke Seite</v>
      </c>
      <c r="D19" s="730">
        <v>12350</v>
      </c>
      <c r="E19" s="731"/>
      <c r="F19" s="188" t="s">
        <v>13</v>
      </c>
      <c r="G19" s="186"/>
      <c r="H19" s="188"/>
      <c r="I19" s="107" t="s">
        <v>358</v>
      </c>
      <c r="J19" s="76"/>
      <c r="K19" s="732">
        <f>IF(D15="Einzeln",D17+D20,D20)</f>
        <v>13000</v>
      </c>
      <c r="L19" s="733"/>
    </row>
    <row r="20" spans="2:18" x14ac:dyDescent="0.2">
      <c r="B20" s="107" t="str">
        <f>IF(D15="Einzeln","Hinten Rechts","Rechte Seite")</f>
        <v>Rechte Seite</v>
      </c>
      <c r="D20" s="728">
        <v>13000</v>
      </c>
      <c r="E20" s="729"/>
      <c r="F20" s="188" t="s">
        <v>13</v>
      </c>
      <c r="G20" s="186"/>
      <c r="H20" s="188"/>
      <c r="I20" s="107" t="s">
        <v>359</v>
      </c>
      <c r="J20" s="76"/>
      <c r="K20" s="732">
        <f>IF(D15="Einzeln",D18+D19,D19)</f>
        <v>12350</v>
      </c>
      <c r="L20" s="733"/>
      <c r="P20" s="191"/>
      <c r="R20" s="191"/>
    </row>
    <row r="21" spans="2:18" x14ac:dyDescent="0.2">
      <c r="B21" s="107"/>
      <c r="C21" s="76"/>
      <c r="D21" s="197"/>
      <c r="E21" s="197"/>
      <c r="F21" s="76"/>
      <c r="G21" s="101"/>
      <c r="H21" s="76"/>
      <c r="Q21" s="191"/>
      <c r="R21" s="191"/>
    </row>
    <row r="22" spans="2:18" x14ac:dyDescent="0.2">
      <c r="B22" s="107" t="s">
        <v>360</v>
      </c>
      <c r="C22" s="76"/>
      <c r="D22" s="714">
        <v>405</v>
      </c>
      <c r="E22" s="715"/>
      <c r="F22" s="188" t="s">
        <v>364</v>
      </c>
      <c r="G22" s="186"/>
      <c r="H22" s="188"/>
      <c r="R22" s="191"/>
    </row>
    <row r="23" spans="2:18" x14ac:dyDescent="0.2">
      <c r="B23" s="107" t="s">
        <v>361</v>
      </c>
      <c r="C23" s="76"/>
      <c r="D23" s="714">
        <v>80</v>
      </c>
      <c r="E23" s="715"/>
      <c r="F23" s="172" t="s">
        <v>365</v>
      </c>
      <c r="G23" s="187"/>
      <c r="H23" s="172"/>
      <c r="P23" s="269"/>
      <c r="Q23" s="269"/>
      <c r="R23" s="191"/>
    </row>
    <row r="24" spans="2:18" x14ac:dyDescent="0.2">
      <c r="B24" s="107"/>
      <c r="C24" s="76"/>
      <c r="D24" s="197"/>
      <c r="E24" s="197"/>
      <c r="F24" s="76"/>
      <c r="G24" s="101"/>
      <c r="H24" s="76"/>
      <c r="P24" s="268"/>
      <c r="Q24" s="268"/>
      <c r="R24" s="268"/>
    </row>
    <row r="25" spans="2:18" x14ac:dyDescent="0.2">
      <c r="B25" s="185" t="s">
        <v>110</v>
      </c>
      <c r="C25" s="76"/>
      <c r="D25" s="714" t="s">
        <v>367</v>
      </c>
      <c r="E25" s="715"/>
      <c r="F25" s="76"/>
      <c r="G25" s="101"/>
      <c r="H25" s="76"/>
      <c r="M25" s="170" t="s">
        <v>366</v>
      </c>
      <c r="P25" s="191"/>
      <c r="Q25" s="268"/>
      <c r="R25" s="191"/>
    </row>
    <row r="26" spans="2:18" x14ac:dyDescent="0.2">
      <c r="B26" s="185" t="s">
        <v>187</v>
      </c>
      <c r="C26" s="76"/>
      <c r="D26" s="714" t="s">
        <v>367</v>
      </c>
      <c r="E26" s="715"/>
      <c r="F26" s="76"/>
      <c r="G26" s="101"/>
      <c r="H26" s="76"/>
      <c r="M26" s="170" t="s">
        <v>367</v>
      </c>
      <c r="P26" s="268"/>
      <c r="Q26" s="191"/>
      <c r="R26" s="191"/>
    </row>
    <row r="27" spans="2:18" x14ac:dyDescent="0.2">
      <c r="B27" s="193" t="s">
        <v>524</v>
      </c>
      <c r="C27" s="76"/>
      <c r="D27" s="714" t="s">
        <v>366</v>
      </c>
      <c r="E27" s="715"/>
      <c r="F27" s="188"/>
      <c r="G27" s="186"/>
      <c r="H27" s="188"/>
      <c r="P27" s="268"/>
      <c r="Q27" s="268"/>
      <c r="R27" s="191"/>
    </row>
    <row r="28" spans="2:18" ht="17.25" customHeight="1" x14ac:dyDescent="0.2">
      <c r="B28" s="718" t="str">
        <f>IF(D27="Ja","eintragen","")</f>
        <v>eintragen</v>
      </c>
      <c r="C28" s="719"/>
      <c r="D28" s="209" t="s">
        <v>112</v>
      </c>
      <c r="E28" s="210" t="s">
        <v>113</v>
      </c>
      <c r="F28" s="188"/>
      <c r="G28" s="186"/>
      <c r="H28" s="242" t="s">
        <v>609</v>
      </c>
      <c r="M28" s="170" t="str">
        <f>IF(D27="nein","","fest")</f>
        <v>fest</v>
      </c>
      <c r="P28" s="269"/>
      <c r="Q28" s="269"/>
      <c r="R28" s="191"/>
    </row>
    <row r="29" spans="2:18" x14ac:dyDescent="0.2">
      <c r="B29" s="709" t="s">
        <v>576</v>
      </c>
      <c r="C29" s="708"/>
      <c r="D29" s="211">
        <v>120</v>
      </c>
      <c r="E29" s="214">
        <v>-100</v>
      </c>
      <c r="F29" s="687" t="s">
        <v>511</v>
      </c>
      <c r="G29" s="688" t="s">
        <v>608</v>
      </c>
      <c r="H29" s="242" t="s">
        <v>610</v>
      </c>
      <c r="M29" s="170" t="str">
        <f>IF(D27="nein","","lose")</f>
        <v>lose</v>
      </c>
      <c r="P29" s="191"/>
      <c r="Q29" s="191"/>
      <c r="R29" s="191"/>
    </row>
    <row r="30" spans="2:18" x14ac:dyDescent="0.2">
      <c r="B30" s="709" t="s">
        <v>813</v>
      </c>
      <c r="C30" s="708"/>
      <c r="D30" s="211">
        <v>30</v>
      </c>
      <c r="E30" s="214">
        <v>3500</v>
      </c>
      <c r="F30" s="687" t="s">
        <v>511</v>
      </c>
      <c r="G30" s="688" t="s">
        <v>607</v>
      </c>
      <c r="H30" s="188"/>
      <c r="I30" s="194"/>
      <c r="J30" s="194"/>
      <c r="K30" s="194"/>
      <c r="L30" s="194"/>
      <c r="M30" s="194"/>
      <c r="N30" s="194"/>
      <c r="P30" s="191"/>
      <c r="R30" s="191"/>
    </row>
    <row r="31" spans="2:18" x14ac:dyDescent="0.2">
      <c r="B31" s="709" t="s">
        <v>577</v>
      </c>
      <c r="C31" s="708"/>
      <c r="D31" s="211">
        <v>60</v>
      </c>
      <c r="E31" s="214">
        <v>1200</v>
      </c>
      <c r="F31" s="687" t="s">
        <v>511</v>
      </c>
      <c r="G31" s="688" t="s">
        <v>607</v>
      </c>
      <c r="H31" s="188"/>
      <c r="I31" s="194"/>
      <c r="J31" s="194"/>
      <c r="K31" s="194"/>
      <c r="L31" s="194"/>
      <c r="M31" s="194" t="s">
        <v>607</v>
      </c>
      <c r="N31" s="194"/>
      <c r="Q31" s="191"/>
      <c r="R31" s="191"/>
    </row>
    <row r="32" spans="2:18" x14ac:dyDescent="0.2">
      <c r="B32" s="709" t="s">
        <v>578</v>
      </c>
      <c r="C32" s="708"/>
      <c r="D32" s="211">
        <v>45</v>
      </c>
      <c r="E32" s="215">
        <v>1800</v>
      </c>
      <c r="F32" s="687" t="s">
        <v>511</v>
      </c>
      <c r="G32" s="688" t="s">
        <v>607</v>
      </c>
      <c r="H32" s="76"/>
      <c r="I32" s="194"/>
      <c r="J32" s="194"/>
      <c r="K32" s="194"/>
      <c r="L32" s="194"/>
      <c r="M32" s="194" t="s">
        <v>608</v>
      </c>
      <c r="N32" s="194"/>
      <c r="P32" s="170"/>
      <c r="R32" s="191"/>
    </row>
    <row r="33" spans="2:18" x14ac:dyDescent="0.2">
      <c r="B33" s="709" t="s">
        <v>814</v>
      </c>
      <c r="C33" s="708"/>
      <c r="D33" s="211">
        <v>50</v>
      </c>
      <c r="E33" s="215">
        <v>3500</v>
      </c>
      <c r="F33" s="687" t="s">
        <v>511</v>
      </c>
      <c r="G33" s="688" t="s">
        <v>608</v>
      </c>
      <c r="H33" s="76"/>
      <c r="I33" s="194"/>
      <c r="J33" s="194"/>
      <c r="K33" s="194"/>
      <c r="L33" s="194"/>
      <c r="M33" s="194"/>
      <c r="N33" s="194"/>
      <c r="P33" s="191"/>
      <c r="Q33" s="191"/>
      <c r="R33" s="170"/>
    </row>
    <row r="34" spans="2:18" x14ac:dyDescent="0.2">
      <c r="B34" s="709" t="s">
        <v>597</v>
      </c>
      <c r="C34" s="708"/>
      <c r="D34" s="211">
        <v>20</v>
      </c>
      <c r="E34" s="215">
        <v>3500</v>
      </c>
      <c r="F34" s="687" t="s">
        <v>606</v>
      </c>
      <c r="G34" s="688" t="s">
        <v>607</v>
      </c>
      <c r="H34" s="76"/>
      <c r="I34" s="194"/>
      <c r="J34" s="194"/>
      <c r="K34" s="194"/>
      <c r="L34" s="194"/>
      <c r="M34" s="194"/>
      <c r="N34" s="194"/>
      <c r="P34" s="191"/>
      <c r="R34" s="191"/>
    </row>
    <row r="35" spans="2:18" x14ac:dyDescent="0.2">
      <c r="B35" s="709" t="s">
        <v>815</v>
      </c>
      <c r="C35" s="708"/>
      <c r="D35" s="211">
        <v>100</v>
      </c>
      <c r="E35" s="215">
        <v>1500</v>
      </c>
      <c r="F35" s="687" t="s">
        <v>511</v>
      </c>
      <c r="G35" s="688" t="s">
        <v>607</v>
      </c>
      <c r="H35" s="188"/>
      <c r="I35" s="194"/>
      <c r="J35" s="194"/>
      <c r="K35" s="194"/>
      <c r="L35" s="194"/>
      <c r="M35" s="194" t="str">
        <f>IF($D$5=O3,$P$19:$P$20,IF($D$5=O4,$P$24:$P$25,IF($D$5=O5,$P$29:$P$30,IF($D$5=O6,$P$33:$P$34,""))))</f>
        <v/>
      </c>
      <c r="N35" s="194"/>
      <c r="Q35" s="191"/>
      <c r="R35" s="170"/>
    </row>
    <row r="36" spans="2:18" ht="13.5" thickBot="1" x14ac:dyDescent="0.25">
      <c r="B36" s="707" t="s">
        <v>540</v>
      </c>
      <c r="C36" s="708"/>
      <c r="D36" s="211">
        <v>300</v>
      </c>
      <c r="E36" s="215">
        <v>-1020</v>
      </c>
      <c r="F36" s="687" t="s">
        <v>511</v>
      </c>
      <c r="G36" s="688" t="s">
        <v>608</v>
      </c>
      <c r="I36" s="194"/>
      <c r="J36" s="194"/>
      <c r="K36" s="194"/>
      <c r="L36" s="194"/>
      <c r="M36" s="240">
        <f>SUM(D29:D36)</f>
        <v>725</v>
      </c>
      <c r="N36" s="194"/>
      <c r="R36" s="170"/>
    </row>
    <row r="37" spans="2:18" ht="13.5" thickBot="1" x14ac:dyDescent="0.25">
      <c r="B37" s="699" t="s">
        <v>805</v>
      </c>
      <c r="C37" s="700"/>
      <c r="D37" s="319">
        <f>12*217+330</f>
        <v>2934</v>
      </c>
      <c r="E37" s="320">
        <v>1100</v>
      </c>
      <c r="F37" s="701" t="s">
        <v>608</v>
      </c>
      <c r="G37" s="702"/>
      <c r="I37" s="194"/>
      <c r="J37" s="194"/>
      <c r="K37" s="194"/>
      <c r="L37" s="194"/>
      <c r="M37" s="194"/>
      <c r="N37" s="194"/>
    </row>
    <row r="38" spans="2:18" x14ac:dyDescent="0.2">
      <c r="B38" s="76"/>
      <c r="C38" s="205"/>
      <c r="D38" s="194"/>
      <c r="E38" s="194"/>
      <c r="F38" s="194"/>
      <c r="G38" s="194"/>
      <c r="H38" s="194"/>
      <c r="I38" s="194"/>
    </row>
    <row r="39" spans="2:18" x14ac:dyDescent="0.2">
      <c r="B39" s="170" t="s">
        <v>431</v>
      </c>
      <c r="D39" s="195"/>
      <c r="E39" s="195"/>
      <c r="I39" s="194"/>
      <c r="J39" s="194"/>
      <c r="K39" s="194"/>
      <c r="L39" s="194"/>
      <c r="M39" s="194"/>
      <c r="N39" s="194"/>
    </row>
    <row r="40" spans="2:18" x14ac:dyDescent="0.2">
      <c r="D40" s="195"/>
      <c r="E40" s="195"/>
      <c r="I40" s="194"/>
      <c r="J40" s="194"/>
      <c r="K40" s="194"/>
      <c r="L40" s="194"/>
      <c r="M40" s="194"/>
      <c r="N40" s="194"/>
    </row>
    <row r="41" spans="2:18" x14ac:dyDescent="0.2">
      <c r="B41" s="13" t="s">
        <v>153</v>
      </c>
      <c r="D41" s="703" t="s">
        <v>825</v>
      </c>
      <c r="E41" s="706"/>
      <c r="I41" s="194"/>
      <c r="J41" s="194"/>
      <c r="K41" s="194"/>
      <c r="L41" s="194"/>
      <c r="M41" s="194"/>
      <c r="N41" s="194"/>
    </row>
    <row r="42" spans="2:18" s="285" customFormat="1" x14ac:dyDescent="0.2">
      <c r="B42" s="13" t="s">
        <v>617</v>
      </c>
      <c r="D42" s="703">
        <v>5200</v>
      </c>
      <c r="E42" s="704"/>
      <c r="I42" s="194"/>
      <c r="J42" s="194"/>
      <c r="K42" s="194"/>
      <c r="L42" s="194"/>
      <c r="M42" s="194"/>
      <c r="N42" s="194"/>
    </row>
    <row r="43" spans="2:18" s="285" customFormat="1" x14ac:dyDescent="0.2">
      <c r="B43" s="13" t="s">
        <v>618</v>
      </c>
      <c r="D43" s="703">
        <v>-2825</v>
      </c>
      <c r="E43" s="704"/>
      <c r="I43" s="194"/>
      <c r="J43" s="194"/>
      <c r="K43" s="194"/>
      <c r="L43" s="194"/>
      <c r="M43" s="194"/>
      <c r="N43" s="194"/>
    </row>
    <row r="44" spans="2:18" x14ac:dyDescent="0.2">
      <c r="B44" s="13" t="s">
        <v>143</v>
      </c>
      <c r="D44" s="705">
        <v>9000</v>
      </c>
      <c r="E44" s="706"/>
      <c r="I44" s="194"/>
      <c r="J44" s="194"/>
      <c r="K44" s="194"/>
      <c r="L44" s="194"/>
      <c r="M44" s="194"/>
      <c r="N44" s="194"/>
      <c r="O44" s="285"/>
      <c r="P44" s="285" t="str">
        <f>VLOOKUP(Eingabewerte!D5,Geraetedaten!R7:AB11,11)</f>
        <v>leicht</v>
      </c>
    </row>
    <row r="45" spans="2:18" x14ac:dyDescent="0.2">
      <c r="B45" s="321" t="s">
        <v>806</v>
      </c>
      <c r="D45" s="705">
        <v>13000</v>
      </c>
      <c r="E45" s="706"/>
      <c r="I45" s="194"/>
      <c r="J45" s="194"/>
      <c r="K45" s="194"/>
      <c r="L45" s="194"/>
      <c r="M45" s="194"/>
      <c r="N45" s="194"/>
      <c r="O45" s="285"/>
      <c r="P45" s="285"/>
    </row>
    <row r="46" spans="2:18" s="285" customFormat="1" x14ac:dyDescent="0.2">
      <c r="B46" s="321" t="s">
        <v>807</v>
      </c>
      <c r="D46" s="705">
        <v>7500</v>
      </c>
      <c r="E46" s="706"/>
      <c r="I46" s="194"/>
      <c r="J46" s="194"/>
      <c r="K46" s="194"/>
      <c r="L46" s="194"/>
      <c r="M46" s="194"/>
      <c r="N46" s="194"/>
    </row>
    <row r="47" spans="2:18" s="285" customFormat="1" x14ac:dyDescent="0.2">
      <c r="B47" s="321" t="s">
        <v>808</v>
      </c>
      <c r="D47" s="705">
        <v>1370</v>
      </c>
      <c r="E47" s="706"/>
      <c r="I47" s="194"/>
      <c r="J47" s="194"/>
      <c r="K47" s="194"/>
      <c r="L47" s="194"/>
      <c r="M47" s="194"/>
      <c r="N47" s="194"/>
    </row>
    <row r="48" spans="2:18" x14ac:dyDescent="0.2">
      <c r="B48" s="13" t="s">
        <v>145</v>
      </c>
      <c r="D48" s="705">
        <v>29500</v>
      </c>
      <c r="E48" s="706"/>
      <c r="N48" s="285">
        <f>IF((VLOOKUP(Eingabewerte!D5,Geraetedaten!R7:AB11,11)="schwer")=TRUE,1,0)</f>
        <v>0</v>
      </c>
      <c r="O48" s="285"/>
      <c r="P48" s="285"/>
    </row>
    <row r="49" spans="2:16" x14ac:dyDescent="0.2">
      <c r="B49" s="170" t="s">
        <v>429</v>
      </c>
      <c r="D49" s="705">
        <v>1900</v>
      </c>
      <c r="E49" s="706"/>
      <c r="M49">
        <f>IF(AND(D5="Sonder",D52="schwer")=TRUE,1,0)</f>
        <v>0</v>
      </c>
      <c r="N49" s="285">
        <f>IF(AND(D5="Sonder",D53="schwer")=TRUE,1,0)</f>
        <v>0</v>
      </c>
      <c r="O49" s="285"/>
      <c r="P49" s="285"/>
    </row>
    <row r="50" spans="2:16" x14ac:dyDescent="0.2">
      <c r="B50" s="170" t="s">
        <v>430</v>
      </c>
      <c r="D50" s="705">
        <v>1800</v>
      </c>
      <c r="E50" s="706"/>
    </row>
    <row r="51" spans="2:16" x14ac:dyDescent="0.2">
      <c r="B51" s="191" t="s">
        <v>525</v>
      </c>
      <c r="C51" s="216"/>
      <c r="D51" s="716" t="s">
        <v>529</v>
      </c>
      <c r="E51" s="717"/>
      <c r="F51" s="216"/>
      <c r="G51" s="194"/>
      <c r="H51" s="194"/>
      <c r="I51" s="194"/>
      <c r="J51" s="194"/>
      <c r="M51" s="194" t="s">
        <v>526</v>
      </c>
    </row>
    <row r="52" spans="2:16" x14ac:dyDescent="0.2">
      <c r="B52" s="191" t="s">
        <v>527</v>
      </c>
      <c r="C52" s="216"/>
      <c r="D52" s="716" t="s">
        <v>528</v>
      </c>
      <c r="E52" s="717"/>
      <c r="F52" s="216"/>
      <c r="G52" s="216"/>
      <c r="H52" s="216"/>
      <c r="I52" s="216"/>
      <c r="J52" s="216"/>
      <c r="M52" s="216" t="s">
        <v>529</v>
      </c>
    </row>
    <row r="53" spans="2:16" x14ac:dyDescent="0.2">
      <c r="B53" s="216"/>
      <c r="C53" s="216"/>
      <c r="D53" s="216"/>
      <c r="E53" s="216"/>
      <c r="F53" s="216"/>
      <c r="G53" s="216"/>
      <c r="H53" s="216"/>
      <c r="I53" s="216"/>
      <c r="J53" s="216"/>
      <c r="M53" s="216" t="s">
        <v>530</v>
      </c>
    </row>
    <row r="54" spans="2:16" x14ac:dyDescent="0.2">
      <c r="B54" s="13" t="s">
        <v>83</v>
      </c>
      <c r="D54" s="710">
        <f>'LMB-Parameter'!E129</f>
        <v>5701.2195121951218</v>
      </c>
      <c r="E54" s="711"/>
      <c r="F54" s="216"/>
      <c r="G54" s="216"/>
      <c r="H54" s="216"/>
      <c r="I54" s="216"/>
      <c r="J54" s="216"/>
      <c r="M54" s="194" t="s">
        <v>528</v>
      </c>
    </row>
    <row r="55" spans="2:16" x14ac:dyDescent="0.2">
      <c r="B55" s="13" t="s">
        <v>81</v>
      </c>
      <c r="D55" s="710">
        <f>'LMB-Parameter'!E130</f>
        <v>-2323.7804878048782</v>
      </c>
      <c r="E55" s="711"/>
    </row>
  </sheetData>
  <sheetProtection selectLockedCells="1" selectUnlockedCells="1"/>
  <mergeCells count="47">
    <mergeCell ref="K17:L17"/>
    <mergeCell ref="K18:L18"/>
    <mergeCell ref="K19:L19"/>
    <mergeCell ref="K20:L20"/>
    <mergeCell ref="D22:E22"/>
    <mergeCell ref="D17:E17"/>
    <mergeCell ref="D18:E18"/>
    <mergeCell ref="B28:C28"/>
    <mergeCell ref="B32:C32"/>
    <mergeCell ref="B35:C35"/>
    <mergeCell ref="D10:E10"/>
    <mergeCell ref="D4:E4"/>
    <mergeCell ref="D5:E5"/>
    <mergeCell ref="D6:E6"/>
    <mergeCell ref="D9:E9"/>
    <mergeCell ref="D12:E12"/>
    <mergeCell ref="D23:E23"/>
    <mergeCell ref="D25:E25"/>
    <mergeCell ref="D15:E15"/>
    <mergeCell ref="D20:E20"/>
    <mergeCell ref="D19:E19"/>
    <mergeCell ref="D27:E27"/>
    <mergeCell ref="D26:E26"/>
    <mergeCell ref="D55:E55"/>
    <mergeCell ref="D54:E54"/>
    <mergeCell ref="D45:E45"/>
    <mergeCell ref="D48:E48"/>
    <mergeCell ref="D3:E3"/>
    <mergeCell ref="D13:E13"/>
    <mergeCell ref="D41:E41"/>
    <mergeCell ref="D51:E51"/>
    <mergeCell ref="D52:E52"/>
    <mergeCell ref="D50:E50"/>
    <mergeCell ref="D49:E49"/>
    <mergeCell ref="D44:E44"/>
    <mergeCell ref="D47:E47"/>
    <mergeCell ref="B36:C36"/>
    <mergeCell ref="B29:C29"/>
    <mergeCell ref="B30:C30"/>
    <mergeCell ref="B31:C31"/>
    <mergeCell ref="B33:C33"/>
    <mergeCell ref="B34:C34"/>
    <mergeCell ref="B37:C37"/>
    <mergeCell ref="F37:G37"/>
    <mergeCell ref="D43:E43"/>
    <mergeCell ref="D42:E42"/>
    <mergeCell ref="D46:E46"/>
  </mergeCells>
  <phoneticPr fontId="51" type="noConversion"/>
  <conditionalFormatting sqref="D3:E3">
    <cfRule type="expression" dxfId="15" priority="4">
      <formula>$D$3="Projekt"</formula>
    </cfRule>
  </conditionalFormatting>
  <conditionalFormatting sqref="D5:E5">
    <cfRule type="expression" dxfId="14" priority="3">
      <formula>$D$5="Sonder"</formula>
    </cfRule>
  </conditionalFormatting>
  <conditionalFormatting sqref="F37">
    <cfRule type="expression" dxfId="13" priority="2">
      <formula>$D$27="nein"</formula>
    </cfRule>
  </conditionalFormatting>
  <conditionalFormatting sqref="F29:G36">
    <cfRule type="expression" dxfId="12" priority="1">
      <formula>$D$27="nein"</formula>
    </cfRule>
  </conditionalFormatting>
  <dataValidations count="8">
    <dataValidation type="list" allowBlank="1" showInputMessage="1" showErrorMessage="1" sqref="D5:E5" xr:uid="{00000000-0002-0000-0000-000000000000}">
      <formula1>$O$3:$O$7</formula1>
    </dataValidation>
    <dataValidation type="list" allowBlank="1" showInputMessage="1" showErrorMessage="1" sqref="D25:E27 D13:E13" xr:uid="{00000000-0002-0000-0000-000001000000}">
      <formula1>$M$25:$M$26</formula1>
    </dataValidation>
    <dataValidation type="list" allowBlank="1" showInputMessage="1" showErrorMessage="1" sqref="D15:E15" xr:uid="{00000000-0002-0000-0000-000002000000}">
      <formula1>$M$12:$M$13</formula1>
    </dataValidation>
    <dataValidation type="list" allowBlank="1" showInputMessage="1" showErrorMessage="1" sqref="D3:E3" xr:uid="{00000000-0002-0000-0000-000003000000}">
      <formula1>$M$3:$M$4</formula1>
    </dataValidation>
    <dataValidation type="list" allowBlank="1" showInputMessage="1" showErrorMessage="1" sqref="F29:F36" xr:uid="{DB1E31D1-890C-4793-959B-6B7EBC682026}">
      <formula1>$M$28:$M$29</formula1>
    </dataValidation>
    <dataValidation type="list" allowBlank="1" showInputMessage="1" showErrorMessage="1" sqref="D52:E52" xr:uid="{00000000-0002-0000-0000-000006000000}">
      <formula1>$M$53:$M$54</formula1>
    </dataValidation>
    <dataValidation type="list" allowBlank="1" showInputMessage="1" showErrorMessage="1" sqref="D51:E51" xr:uid="{00000000-0002-0000-0000-000007000000}">
      <formula1>$M$51:$M$52</formula1>
    </dataValidation>
    <dataValidation type="list" allowBlank="1" showInputMessage="1" showErrorMessage="1" sqref="F37 G29:G36" xr:uid="{00000000-0002-0000-0000-000005000000}">
      <formula1>$M$31:$M$32</formula1>
    </dataValidation>
  </dataValidations>
  <pageMargins left="0.7" right="0.7" top="0.78740157499999996" bottom="0.78740157499999996"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3"/>
  <dimension ref="A1:AE178"/>
  <sheetViews>
    <sheetView topLeftCell="N49" workbookViewId="0">
      <selection activeCell="AB71" sqref="AB71"/>
    </sheetView>
  </sheetViews>
  <sheetFormatPr baseColWidth="10" defaultColWidth="11.42578125" defaultRowHeight="12.75" x14ac:dyDescent="0.2"/>
  <cols>
    <col min="1" max="1" width="32.85546875" customWidth="1"/>
    <col min="2" max="2" width="8.7109375" style="2" customWidth="1"/>
    <col min="3" max="3" width="8.7109375" customWidth="1"/>
    <col min="4" max="5" width="3.7109375" style="6" customWidth="1"/>
    <col min="6" max="18" width="8.7109375" customWidth="1"/>
    <col min="19" max="19" width="11.42578125" customWidth="1"/>
    <col min="25" max="25" width="25.140625" customWidth="1"/>
  </cols>
  <sheetData>
    <row r="1" spans="1:28" ht="18" x14ac:dyDescent="0.25">
      <c r="A1" s="4" t="s">
        <v>152</v>
      </c>
      <c r="B1" s="765" t="s">
        <v>817</v>
      </c>
      <c r="C1" s="765"/>
      <c r="N1" s="58"/>
      <c r="O1" s="58"/>
    </row>
    <row r="2" spans="1:28" x14ac:dyDescent="0.2">
      <c r="N2" s="58"/>
      <c r="O2" s="58"/>
    </row>
    <row r="3" spans="1:28" x14ac:dyDescent="0.2">
      <c r="N3" s="58"/>
      <c r="O3" s="58"/>
    </row>
    <row r="4" spans="1:28" ht="18" x14ac:dyDescent="0.25">
      <c r="A4" s="768" t="s">
        <v>103</v>
      </c>
      <c r="B4" s="768"/>
      <c r="C4" s="768"/>
      <c r="D4" s="768"/>
      <c r="E4" s="768"/>
      <c r="F4" s="768"/>
      <c r="G4" s="768"/>
      <c r="H4" s="768"/>
      <c r="I4" s="768"/>
      <c r="J4" s="768"/>
      <c r="K4" s="768"/>
      <c r="L4" s="768"/>
      <c r="M4" s="768"/>
      <c r="N4" s="58"/>
      <c r="O4" s="58"/>
    </row>
    <row r="5" spans="1:28" x14ac:dyDescent="0.2">
      <c r="A5" s="26" t="s">
        <v>155</v>
      </c>
      <c r="B5" s="769">
        <f>Eingabewerte!D4</f>
        <v>11570035</v>
      </c>
      <c r="C5" s="770"/>
      <c r="D5" s="770"/>
      <c r="E5" s="771"/>
      <c r="F5" s="755" t="s">
        <v>156</v>
      </c>
      <c r="G5" s="755"/>
      <c r="H5" s="755"/>
      <c r="I5" s="755"/>
      <c r="J5" s="755"/>
      <c r="K5" s="755"/>
      <c r="L5" s="755"/>
      <c r="M5" s="755"/>
      <c r="N5" s="58"/>
      <c r="O5" s="58"/>
    </row>
    <row r="6" spans="1:28" x14ac:dyDescent="0.2">
      <c r="A6" s="26" t="s">
        <v>153</v>
      </c>
      <c r="B6" s="769" t="str">
        <f>VLOOKUP(Eingabewerte!D5,R7:X11,2,0)</f>
        <v>Volvo FMX 430</v>
      </c>
      <c r="C6" s="770"/>
      <c r="D6" s="770"/>
      <c r="E6" s="771"/>
      <c r="F6" s="755" t="s">
        <v>154</v>
      </c>
      <c r="G6" s="755"/>
      <c r="H6" s="755"/>
      <c r="I6" s="755"/>
      <c r="J6" s="755"/>
      <c r="K6" s="755"/>
      <c r="L6" s="755"/>
      <c r="M6" s="755"/>
      <c r="N6" s="58"/>
      <c r="O6" s="58"/>
      <c r="T6" s="170" t="s">
        <v>83</v>
      </c>
      <c r="U6" s="170" t="s">
        <v>370</v>
      </c>
      <c r="V6" s="170" t="s">
        <v>371</v>
      </c>
      <c r="W6" s="170" t="s">
        <v>372</v>
      </c>
      <c r="X6" s="170" t="s">
        <v>81</v>
      </c>
      <c r="Y6" s="170" t="s">
        <v>432</v>
      </c>
      <c r="Z6" s="170" t="s">
        <v>433</v>
      </c>
      <c r="AA6" s="191" t="s">
        <v>537</v>
      </c>
      <c r="AB6" s="191" t="s">
        <v>816</v>
      </c>
    </row>
    <row r="7" spans="1:28" x14ac:dyDescent="0.2">
      <c r="A7" s="26" t="s">
        <v>83</v>
      </c>
      <c r="B7" s="176">
        <f>VLOOKUP(Eingabewerte!D5,R7:X11,3,0)</f>
        <v>5701.2195121951218</v>
      </c>
      <c r="C7" s="756" t="s">
        <v>28</v>
      </c>
      <c r="D7" s="757"/>
      <c r="E7" s="758"/>
      <c r="F7" s="755" t="s">
        <v>84</v>
      </c>
      <c r="G7" s="755"/>
      <c r="H7" s="755"/>
      <c r="I7" s="755"/>
      <c r="J7" s="755"/>
      <c r="K7" s="755"/>
      <c r="L7" s="755"/>
      <c r="M7" s="755"/>
      <c r="N7" s="58"/>
      <c r="O7" s="58"/>
      <c r="R7" s="191" t="s">
        <v>810</v>
      </c>
      <c r="S7" s="191" t="s">
        <v>810</v>
      </c>
      <c r="T7" s="285">
        <v>5640</v>
      </c>
      <c r="U7" s="285">
        <v>9000</v>
      </c>
      <c r="V7" s="285">
        <v>19000</v>
      </c>
      <c r="W7" s="285">
        <v>26000</v>
      </c>
      <c r="X7" s="285">
        <v>-2285</v>
      </c>
      <c r="Y7" s="285">
        <v>1900</v>
      </c>
      <c r="Z7" s="285">
        <v>1800</v>
      </c>
      <c r="AA7" s="285">
        <v>1</v>
      </c>
      <c r="AB7" s="285" t="s">
        <v>528</v>
      </c>
    </row>
    <row r="8" spans="1:28" x14ac:dyDescent="0.2">
      <c r="A8" s="26" t="s">
        <v>85</v>
      </c>
      <c r="B8" s="176">
        <f>Eingabewerte!D9</f>
        <v>5000</v>
      </c>
      <c r="C8" s="756" t="s">
        <v>13</v>
      </c>
      <c r="D8" s="757"/>
      <c r="E8" s="758"/>
      <c r="F8" s="755" t="s">
        <v>203</v>
      </c>
      <c r="G8" s="755"/>
      <c r="H8" s="755"/>
      <c r="I8" s="755"/>
      <c r="J8" s="755"/>
      <c r="K8" s="755"/>
      <c r="L8" s="755"/>
      <c r="M8" s="755"/>
      <c r="N8" s="58"/>
      <c r="O8" s="58"/>
      <c r="R8" s="191" t="s">
        <v>811</v>
      </c>
      <c r="S8" s="191" t="s">
        <v>811</v>
      </c>
      <c r="T8" s="285">
        <v>5648</v>
      </c>
      <c r="U8" s="285">
        <v>7630</v>
      </c>
      <c r="V8" s="285">
        <v>19000</v>
      </c>
      <c r="W8" s="285">
        <v>32000</v>
      </c>
      <c r="X8" s="285">
        <v>-2277</v>
      </c>
      <c r="Y8" s="285">
        <v>1900</v>
      </c>
      <c r="Z8" s="285">
        <v>1800</v>
      </c>
      <c r="AA8" s="285">
        <v>-1</v>
      </c>
      <c r="AB8" s="191" t="s">
        <v>528</v>
      </c>
    </row>
    <row r="9" spans="1:28" x14ac:dyDescent="0.2">
      <c r="A9" s="26" t="s">
        <v>86</v>
      </c>
      <c r="B9" s="176">
        <f>Eingabewerte!D10</f>
        <v>3480</v>
      </c>
      <c r="C9" s="756" t="s">
        <v>13</v>
      </c>
      <c r="D9" s="757"/>
      <c r="E9" s="758"/>
      <c r="F9" s="755" t="s">
        <v>204</v>
      </c>
      <c r="G9" s="755"/>
      <c r="H9" s="755"/>
      <c r="I9" s="755"/>
      <c r="J9" s="755"/>
      <c r="K9" s="755"/>
      <c r="L9" s="755"/>
      <c r="M9" s="755"/>
      <c r="N9" s="58"/>
      <c r="O9" s="58"/>
      <c r="R9" s="191" t="s">
        <v>812</v>
      </c>
      <c r="S9" s="191" t="s">
        <v>812</v>
      </c>
      <c r="T9" s="285">
        <v>5741</v>
      </c>
      <c r="U9" s="285">
        <v>9000</v>
      </c>
      <c r="V9" s="285">
        <v>19000</v>
      </c>
      <c r="W9" s="285">
        <v>28000</v>
      </c>
      <c r="X9" s="285">
        <v>-2284</v>
      </c>
      <c r="Y9" s="285">
        <v>1900</v>
      </c>
      <c r="Z9" s="285">
        <v>1800</v>
      </c>
      <c r="AA9" s="285">
        <v>1</v>
      </c>
      <c r="AB9" s="285" t="s">
        <v>528</v>
      </c>
    </row>
    <row r="10" spans="1:28" x14ac:dyDescent="0.2">
      <c r="A10" s="26" t="s">
        <v>146</v>
      </c>
      <c r="B10" s="40">
        <f>B8+B9</f>
        <v>8480</v>
      </c>
      <c r="C10" s="756" t="s">
        <v>13</v>
      </c>
      <c r="D10" s="757"/>
      <c r="E10" s="758"/>
      <c r="F10" s="755" t="s">
        <v>102</v>
      </c>
      <c r="G10" s="755"/>
      <c r="H10" s="755"/>
      <c r="I10" s="755"/>
      <c r="J10" s="755"/>
      <c r="K10" s="755"/>
      <c r="L10" s="755"/>
      <c r="M10" s="755"/>
      <c r="N10" s="58"/>
      <c r="O10" s="58"/>
      <c r="R10" s="191"/>
      <c r="S10" s="191"/>
      <c r="AB10" s="285"/>
    </row>
    <row r="11" spans="1:28" x14ac:dyDescent="0.2">
      <c r="A11" s="26" t="s">
        <v>129</v>
      </c>
      <c r="B11" s="40">
        <f>B8*B7/B10</f>
        <v>3361.5681086056143</v>
      </c>
      <c r="C11" s="756" t="s">
        <v>28</v>
      </c>
      <c r="D11" s="757"/>
      <c r="E11" s="758"/>
      <c r="F11" s="755" t="s">
        <v>128</v>
      </c>
      <c r="G11" s="755"/>
      <c r="H11" s="755"/>
      <c r="I11" s="755"/>
      <c r="J11" s="755"/>
      <c r="K11" s="755"/>
      <c r="L11" s="755"/>
      <c r="M11" s="755"/>
      <c r="N11" s="58"/>
      <c r="O11" s="58"/>
      <c r="R11" s="170" t="s">
        <v>363</v>
      </c>
      <c r="S11" t="str">
        <f>Eingabewerte!D41</f>
        <v>Volvo FMX 430</v>
      </c>
      <c r="T11">
        <f>Eingabewerte!D54</f>
        <v>5701.2195121951218</v>
      </c>
      <c r="U11">
        <f>Eingabewerte!D44</f>
        <v>9000</v>
      </c>
      <c r="V11">
        <f>Eingabewerte!D45+Eingabewerte!D46</f>
        <v>20500</v>
      </c>
      <c r="W11">
        <f>Eingabewerte!D48</f>
        <v>29500</v>
      </c>
      <c r="X11">
        <f>Eingabewerte!D55</f>
        <v>-2323.7804878048782</v>
      </c>
      <c r="Y11">
        <f>Eingabewerte!D49</f>
        <v>1900</v>
      </c>
      <c r="Z11">
        <f>Eingabewerte!D50</f>
        <v>1800</v>
      </c>
      <c r="AA11" s="216">
        <f>IF(Eingabewerte!D51="links",-1,1)</f>
        <v>1</v>
      </c>
      <c r="AB11" s="285">
        <f>Eingabewerte!D53</f>
        <v>0</v>
      </c>
    </row>
    <row r="12" spans="1:28" x14ac:dyDescent="0.2">
      <c r="A12" s="26" t="s">
        <v>130</v>
      </c>
      <c r="B12" s="40">
        <f>B11-B17</f>
        <v>5685.348596410493</v>
      </c>
      <c r="C12" s="756" t="s">
        <v>28</v>
      </c>
      <c r="D12" s="757"/>
      <c r="E12" s="758"/>
      <c r="F12" s="755" t="s">
        <v>87</v>
      </c>
      <c r="G12" s="755"/>
      <c r="H12" s="755"/>
      <c r="I12" s="755"/>
      <c r="J12" s="755"/>
      <c r="K12" s="755"/>
      <c r="L12" s="755"/>
      <c r="M12" s="755"/>
      <c r="N12" s="58"/>
      <c r="O12" s="58"/>
    </row>
    <row r="13" spans="1:28" x14ac:dyDescent="0.2">
      <c r="A13" s="26" t="s">
        <v>143</v>
      </c>
      <c r="B13" s="176">
        <f>VLOOKUP(Eingabewerte!D5,R7:X11,4,0)</f>
        <v>9000</v>
      </c>
      <c r="C13" s="756" t="s">
        <v>13</v>
      </c>
      <c r="D13" s="757"/>
      <c r="E13" s="758"/>
      <c r="F13" s="755" t="s">
        <v>147</v>
      </c>
      <c r="G13" s="755"/>
      <c r="H13" s="755"/>
      <c r="I13" s="755"/>
      <c r="J13" s="755"/>
      <c r="K13" s="755"/>
      <c r="L13" s="755"/>
      <c r="M13" s="755"/>
      <c r="N13" s="58"/>
      <c r="O13" s="58"/>
    </row>
    <row r="14" spans="1:28" x14ac:dyDescent="0.2">
      <c r="A14" s="26" t="s">
        <v>144</v>
      </c>
      <c r="B14" s="176">
        <f>VLOOKUP(Eingabewerte!D5,R7:X11,5,0)</f>
        <v>20500</v>
      </c>
      <c r="C14" s="756" t="s">
        <v>13</v>
      </c>
      <c r="D14" s="757"/>
      <c r="E14" s="758"/>
      <c r="F14" s="755" t="s">
        <v>148</v>
      </c>
      <c r="G14" s="755"/>
      <c r="H14" s="755"/>
      <c r="I14" s="755"/>
      <c r="J14" s="755"/>
      <c r="K14" s="755"/>
      <c r="L14" s="755"/>
      <c r="M14" s="755"/>
      <c r="N14" s="58"/>
      <c r="O14" s="58"/>
    </row>
    <row r="15" spans="1:28" x14ac:dyDescent="0.2">
      <c r="A15" s="26" t="s">
        <v>145</v>
      </c>
      <c r="B15" s="176">
        <f>VLOOKUP(Eingabewerte!D5,R7:X11,6,0)</f>
        <v>29500</v>
      </c>
      <c r="C15" s="756" t="s">
        <v>13</v>
      </c>
      <c r="D15" s="757"/>
      <c r="E15" s="758"/>
      <c r="F15" s="755" t="s">
        <v>149</v>
      </c>
      <c r="G15" s="755"/>
      <c r="H15" s="755"/>
      <c r="I15" s="755"/>
      <c r="J15" s="755"/>
      <c r="K15" s="755"/>
      <c r="L15" s="755"/>
      <c r="M15" s="755"/>
      <c r="N15" s="58"/>
      <c r="O15" s="58"/>
    </row>
    <row r="16" spans="1:28" x14ac:dyDescent="0.2">
      <c r="A16" s="756"/>
      <c r="B16" s="757"/>
      <c r="C16" s="757"/>
      <c r="D16" s="757"/>
      <c r="E16" s="757"/>
      <c r="F16" s="757"/>
      <c r="G16" s="757"/>
      <c r="H16" s="757"/>
      <c r="I16" s="757"/>
      <c r="J16" s="757"/>
      <c r="K16" s="757"/>
      <c r="L16" s="757"/>
      <c r="M16" s="758"/>
      <c r="N16" s="58"/>
      <c r="O16" s="58"/>
    </row>
    <row r="17" spans="1:26" x14ac:dyDescent="0.2">
      <c r="A17" s="37" t="s">
        <v>81</v>
      </c>
      <c r="B17" s="177">
        <f>VLOOKUP(Eingabewerte!D5,R7:X11,7,0)</f>
        <v>-2323.7804878048782</v>
      </c>
      <c r="C17" s="756" t="s">
        <v>28</v>
      </c>
      <c r="D17" s="757"/>
      <c r="E17" s="758"/>
      <c r="F17" s="755" t="s">
        <v>82</v>
      </c>
      <c r="G17" s="755"/>
      <c r="H17" s="755"/>
      <c r="I17" s="755"/>
      <c r="J17" s="755"/>
      <c r="K17" s="755"/>
      <c r="L17" s="755"/>
      <c r="M17" s="755"/>
      <c r="N17" s="58"/>
      <c r="O17" s="58"/>
    </row>
    <row r="18" spans="1:26" x14ac:dyDescent="0.2">
      <c r="A18" s="26" t="s">
        <v>94</v>
      </c>
      <c r="B18" s="173">
        <v>1780</v>
      </c>
      <c r="C18" s="756" t="s">
        <v>28</v>
      </c>
      <c r="D18" s="757"/>
      <c r="E18" s="758"/>
      <c r="F18" s="755" t="s">
        <v>93</v>
      </c>
      <c r="G18" s="755"/>
      <c r="H18" s="755"/>
      <c r="I18" s="755"/>
      <c r="J18" s="755"/>
      <c r="K18" s="755"/>
      <c r="L18" s="755"/>
      <c r="M18" s="755"/>
      <c r="N18" s="58"/>
      <c r="O18" s="58"/>
    </row>
    <row r="19" spans="1:26" x14ac:dyDescent="0.2">
      <c r="A19" s="756"/>
      <c r="B19" s="757"/>
      <c r="C19" s="757"/>
      <c r="D19" s="757"/>
      <c r="E19" s="757"/>
      <c r="F19" s="757"/>
      <c r="G19" s="757"/>
      <c r="H19" s="757"/>
      <c r="I19" s="757"/>
      <c r="J19" s="757"/>
      <c r="K19" s="757"/>
      <c r="L19" s="757"/>
      <c r="M19" s="758"/>
      <c r="N19" s="58"/>
      <c r="O19" s="58"/>
    </row>
    <row r="20" spans="1:26" x14ac:dyDescent="0.2">
      <c r="A20" s="26" t="s">
        <v>150</v>
      </c>
      <c r="B20" s="40">
        <f>B10+B30+B141</f>
        <v>25200</v>
      </c>
      <c r="C20" s="756" t="s">
        <v>13</v>
      </c>
      <c r="D20" s="757"/>
      <c r="E20" s="758"/>
      <c r="F20" s="767" t="s">
        <v>351</v>
      </c>
      <c r="G20" s="755"/>
      <c r="H20" s="755"/>
      <c r="I20" s="755"/>
      <c r="J20" s="755"/>
      <c r="K20" s="755"/>
      <c r="L20" s="755"/>
      <c r="M20" s="755"/>
      <c r="N20" s="58"/>
      <c r="O20" s="58"/>
    </row>
    <row r="21" spans="1:26" x14ac:dyDescent="0.2">
      <c r="A21" s="26" t="s">
        <v>151</v>
      </c>
      <c r="B21" s="40">
        <f>(B10*B12+B30*C30+B141*B142)/B20</f>
        <v>3952.7003484320562</v>
      </c>
      <c r="C21" s="756" t="s">
        <v>28</v>
      </c>
      <c r="D21" s="757"/>
      <c r="E21" s="758"/>
      <c r="F21" s="755"/>
      <c r="G21" s="755"/>
      <c r="H21" s="755"/>
      <c r="I21" s="755"/>
      <c r="J21" s="755"/>
      <c r="K21" s="755"/>
      <c r="L21" s="755"/>
      <c r="M21" s="755"/>
      <c r="N21" s="58"/>
      <c r="O21" s="58"/>
    </row>
    <row r="22" spans="1:26" x14ac:dyDescent="0.2">
      <c r="A22" s="756"/>
      <c r="B22" s="757"/>
      <c r="C22" s="757"/>
      <c r="D22" s="757"/>
      <c r="E22" s="757"/>
      <c r="F22" s="757"/>
      <c r="G22" s="757"/>
      <c r="H22" s="757"/>
      <c r="I22" s="757"/>
      <c r="J22" s="757"/>
      <c r="K22" s="757"/>
      <c r="L22" s="757"/>
      <c r="M22" s="758"/>
      <c r="N22" s="58"/>
      <c r="O22" s="58"/>
    </row>
    <row r="23" spans="1:26" x14ac:dyDescent="0.2">
      <c r="A23" s="26" t="s">
        <v>118</v>
      </c>
      <c r="B23" s="40">
        <f>B30+B10</f>
        <v>16163.8124362895</v>
      </c>
      <c r="C23" s="756" t="s">
        <v>13</v>
      </c>
      <c r="D23" s="757"/>
      <c r="E23" s="758"/>
      <c r="F23" s="755" t="s">
        <v>131</v>
      </c>
      <c r="G23" s="755"/>
      <c r="H23" s="755"/>
      <c r="I23" s="755"/>
      <c r="J23" s="755"/>
      <c r="K23" s="755"/>
      <c r="L23" s="755"/>
      <c r="M23" s="755"/>
      <c r="N23" s="58"/>
      <c r="O23" s="58"/>
    </row>
    <row r="24" spans="1:26" x14ac:dyDescent="0.2">
      <c r="A24" s="26" t="s">
        <v>126</v>
      </c>
      <c r="B24" s="40">
        <f>(B10*B12+B30*C30)/B23</f>
        <v>4218.3427733171811</v>
      </c>
      <c r="C24" s="756" t="s">
        <v>28</v>
      </c>
      <c r="D24" s="757"/>
      <c r="E24" s="758"/>
      <c r="F24" s="755"/>
      <c r="G24" s="755"/>
      <c r="H24" s="755"/>
      <c r="I24" s="755"/>
      <c r="J24" s="755"/>
      <c r="K24" s="755"/>
      <c r="L24" s="755"/>
      <c r="M24" s="755"/>
      <c r="N24" s="58"/>
      <c r="O24" s="58"/>
    </row>
    <row r="25" spans="1:26" x14ac:dyDescent="0.2">
      <c r="A25" s="756"/>
      <c r="B25" s="757"/>
      <c r="C25" s="757"/>
      <c r="D25" s="757"/>
      <c r="E25" s="757"/>
      <c r="F25" s="757"/>
      <c r="G25" s="757"/>
      <c r="H25" s="757"/>
      <c r="I25" s="757"/>
      <c r="J25" s="757"/>
      <c r="K25" s="757"/>
      <c r="L25" s="757"/>
      <c r="M25" s="758"/>
      <c r="N25" s="58"/>
      <c r="O25" s="58"/>
    </row>
    <row r="26" spans="1:26" x14ac:dyDescent="0.2">
      <c r="A26" s="26" t="s">
        <v>119</v>
      </c>
      <c r="B26" s="38">
        <f>B10+B31</f>
        <v>15634.612436289499</v>
      </c>
      <c r="C26" s="756" t="s">
        <v>13</v>
      </c>
      <c r="D26" s="757"/>
      <c r="E26" s="758"/>
      <c r="F26" s="755" t="s">
        <v>132</v>
      </c>
      <c r="G26" s="755"/>
      <c r="H26" s="755"/>
      <c r="I26" s="755"/>
      <c r="J26" s="755"/>
      <c r="K26" s="755"/>
      <c r="L26" s="755"/>
      <c r="M26" s="755"/>
      <c r="N26" s="58"/>
      <c r="O26" s="58"/>
    </row>
    <row r="27" spans="1:26" x14ac:dyDescent="0.2">
      <c r="A27" s="26" t="s">
        <v>127</v>
      </c>
      <c r="B27" s="38">
        <f>(B10*B12+B31*C31)/B26</f>
        <v>4238.9881903056585</v>
      </c>
      <c r="C27" s="756" t="s">
        <v>28</v>
      </c>
      <c r="D27" s="757"/>
      <c r="E27" s="758"/>
      <c r="F27" s="755"/>
      <c r="G27" s="755"/>
      <c r="H27" s="755"/>
      <c r="I27" s="755"/>
      <c r="J27" s="755"/>
      <c r="K27" s="755"/>
      <c r="L27" s="755"/>
      <c r="M27" s="755"/>
      <c r="N27" s="58"/>
      <c r="O27" s="58"/>
    </row>
    <row r="28" spans="1:26" x14ac:dyDescent="0.2">
      <c r="A28" s="756"/>
      <c r="B28" s="757"/>
      <c r="C28" s="757"/>
      <c r="D28" s="757"/>
      <c r="E28" s="757"/>
      <c r="F28" s="757"/>
      <c r="G28" s="757"/>
      <c r="H28" s="757"/>
      <c r="I28" s="757"/>
      <c r="J28" s="757"/>
      <c r="K28" s="757"/>
      <c r="L28" s="757"/>
      <c r="M28" s="758"/>
      <c r="N28" s="58"/>
      <c r="O28" s="58"/>
    </row>
    <row r="29" spans="1:26" ht="13.5" thickBot="1" x14ac:dyDescent="0.25">
      <c r="A29" s="30"/>
      <c r="B29" s="33" t="s">
        <v>112</v>
      </c>
      <c r="C29" s="33" t="s">
        <v>113</v>
      </c>
      <c r="D29" s="41" t="s">
        <v>120</v>
      </c>
      <c r="E29" s="41" t="s">
        <v>114</v>
      </c>
      <c r="F29" s="33" t="s">
        <v>124</v>
      </c>
      <c r="G29" s="223" t="s">
        <v>122</v>
      </c>
      <c r="H29" s="33" t="s">
        <v>125</v>
      </c>
      <c r="I29" s="33" t="s">
        <v>123</v>
      </c>
      <c r="J29" s="761"/>
      <c r="K29" s="761"/>
      <c r="L29" s="761"/>
      <c r="M29" s="761"/>
      <c r="N29" s="58"/>
      <c r="O29" s="58"/>
      <c r="Q29" s="216"/>
      <c r="X29" t="s">
        <v>382</v>
      </c>
      <c r="Y29" t="s">
        <v>383</v>
      </c>
      <c r="Z29" t="s">
        <v>384</v>
      </c>
    </row>
    <row r="30" spans="1:26" x14ac:dyDescent="0.2">
      <c r="A30" s="42" t="s">
        <v>116</v>
      </c>
      <c r="B30" s="48">
        <f>F30</f>
        <v>7683.8124362894987</v>
      </c>
      <c r="C30" s="48">
        <f>G30/F30*1000</f>
        <v>2599.3275405821882</v>
      </c>
      <c r="D30" s="43">
        <v>1</v>
      </c>
      <c r="E30" s="43">
        <v>0</v>
      </c>
      <c r="F30" s="44">
        <f>SUM(F32:F72)</f>
        <v>7683.8124362894987</v>
      </c>
      <c r="G30" s="44">
        <f>SUM(G32:G72)</f>
        <v>19972.745282315213</v>
      </c>
      <c r="H30" s="44"/>
      <c r="I30" s="44"/>
      <c r="J30" s="759"/>
      <c r="K30" s="759"/>
      <c r="L30" s="759"/>
      <c r="M30" s="760"/>
      <c r="N30" s="58"/>
      <c r="O30" s="58"/>
      <c r="Q30" s="216"/>
      <c r="X30" s="1">
        <f>Y32+B141</f>
        <v>25706.387563710501</v>
      </c>
      <c r="Y30" s="1">
        <f>(Y35*(B17+Y36))/B7</f>
        <v>7383.8450664922275</v>
      </c>
      <c r="Z30" s="1">
        <f>X30-Y30</f>
        <v>18322.542497218274</v>
      </c>
    </row>
    <row r="31" spans="1:26" ht="13.5" thickBot="1" x14ac:dyDescent="0.25">
      <c r="A31" s="45" t="s">
        <v>117</v>
      </c>
      <c r="B31" s="49">
        <f>H31</f>
        <v>7154.6124362894989</v>
      </c>
      <c r="C31" s="46">
        <f>I31/H31*1000</f>
        <v>2524.6904064651271</v>
      </c>
      <c r="D31" s="47">
        <v>0</v>
      </c>
      <c r="E31" s="47">
        <v>1</v>
      </c>
      <c r="F31" s="46"/>
      <c r="G31" s="46"/>
      <c r="H31" s="46">
        <f>SUM(H32:H72)</f>
        <v>7154.6124362894989</v>
      </c>
      <c r="I31" s="46">
        <f>SUM(I32:I72)</f>
        <v>18063.181379876187</v>
      </c>
      <c r="J31" s="762"/>
      <c r="K31" s="762"/>
      <c r="L31" s="762"/>
      <c r="M31" s="763"/>
      <c r="N31" s="58"/>
      <c r="O31" s="58"/>
      <c r="Q31" s="216"/>
      <c r="R31" s="216" t="s">
        <v>531</v>
      </c>
      <c r="S31" s="216"/>
      <c r="T31" s="216"/>
      <c r="U31" s="216" t="s">
        <v>532</v>
      </c>
      <c r="V31" s="216"/>
    </row>
    <row r="32" spans="1:26" x14ac:dyDescent="0.2">
      <c r="A32" s="83" t="s">
        <v>107</v>
      </c>
      <c r="B32" s="212">
        <f>IF(Eingabewerte!$M$49=1,Geraetedaten!U32,Geraetedaten!R32)</f>
        <v>4450</v>
      </c>
      <c r="C32" s="213">
        <f>IF(Eingabewerte!$M$49=1,Geraetedaten!V32,Geraetedaten!S32)</f>
        <v>2650</v>
      </c>
      <c r="D32" s="32">
        <v>1</v>
      </c>
      <c r="E32" s="32">
        <v>1</v>
      </c>
      <c r="F32" s="38">
        <f t="shared" ref="F32:F81" si="0">B32*D32</f>
        <v>4450</v>
      </c>
      <c r="G32" s="38">
        <f t="shared" ref="G32:G81" si="1">F32*C32/1000</f>
        <v>11792.5</v>
      </c>
      <c r="H32" s="38">
        <f t="shared" ref="H32:H81" si="2">B32*E32</f>
        <v>4450</v>
      </c>
      <c r="I32" s="38">
        <f t="shared" ref="I32:I81" si="3">H32*C32/1000</f>
        <v>11792.5</v>
      </c>
      <c r="J32" s="755"/>
      <c r="K32" s="755"/>
      <c r="L32" s="755"/>
      <c r="M32" s="755"/>
      <c r="N32" s="58"/>
      <c r="O32" s="58"/>
      <c r="Q32" s="191"/>
      <c r="R32" s="212">
        <v>4450</v>
      </c>
      <c r="S32" s="213">
        <v>2650</v>
      </c>
      <c r="T32" s="216"/>
      <c r="U32" s="212">
        <v>4830</v>
      </c>
      <c r="V32" s="213">
        <v>2650</v>
      </c>
      <c r="X32" t="s">
        <v>385</v>
      </c>
      <c r="Y32" s="1">
        <f>SUM(F32:F69)+B10</f>
        <v>16670.2</v>
      </c>
    </row>
    <row r="33" spans="1:26" x14ac:dyDescent="0.2">
      <c r="A33" s="83" t="s">
        <v>111</v>
      </c>
      <c r="B33" s="212">
        <f>IF(Eingabewerte!$M$49=1,Geraetedaten!U33,Geraetedaten!R33)</f>
        <v>0</v>
      </c>
      <c r="C33" s="213">
        <f>IF(Eingabewerte!$M$49=1,Geraetedaten!V33,Geraetedaten!S33)</f>
        <v>0</v>
      </c>
      <c r="D33" s="32">
        <v>1</v>
      </c>
      <c r="E33" s="32">
        <v>1</v>
      </c>
      <c r="F33" s="38">
        <f t="shared" si="0"/>
        <v>0</v>
      </c>
      <c r="G33" s="38">
        <f t="shared" si="1"/>
        <v>0</v>
      </c>
      <c r="H33" s="38">
        <f t="shared" si="2"/>
        <v>0</v>
      </c>
      <c r="I33" s="38">
        <f t="shared" si="3"/>
        <v>0</v>
      </c>
      <c r="J33" s="755"/>
      <c r="K33" s="755"/>
      <c r="L33" s="755"/>
      <c r="M33" s="755"/>
      <c r="N33" s="58"/>
      <c r="O33" s="58"/>
      <c r="Q33" s="191"/>
      <c r="R33" s="212"/>
      <c r="S33" s="213"/>
      <c r="T33" s="216"/>
      <c r="U33" s="212"/>
      <c r="V33" s="213"/>
      <c r="X33" t="s">
        <v>386</v>
      </c>
      <c r="Y33" s="1">
        <f>SUM(F32:F69)</f>
        <v>8190.2</v>
      </c>
    </row>
    <row r="34" spans="1:26" x14ac:dyDescent="0.2">
      <c r="A34" s="83" t="s">
        <v>108</v>
      </c>
      <c r="B34" s="212">
        <f>IF(Eingabewerte!$M$49=1,Geraetedaten!U34,Geraetedaten!R34)</f>
        <v>0</v>
      </c>
      <c r="C34" s="213">
        <f>IF(Eingabewerte!$M$49=1,Geraetedaten!V34,Geraetedaten!S34)</f>
        <v>0</v>
      </c>
      <c r="D34" s="32">
        <v>1</v>
      </c>
      <c r="E34" s="32">
        <v>1</v>
      </c>
      <c r="F34" s="38">
        <f t="shared" si="0"/>
        <v>0</v>
      </c>
      <c r="G34" s="38">
        <f t="shared" si="1"/>
        <v>0</v>
      </c>
      <c r="H34" s="38">
        <f t="shared" si="2"/>
        <v>0</v>
      </c>
      <c r="I34" s="38">
        <f t="shared" si="3"/>
        <v>0</v>
      </c>
      <c r="J34" s="755"/>
      <c r="K34" s="755"/>
      <c r="L34" s="755"/>
      <c r="M34" s="755"/>
      <c r="N34" s="58"/>
      <c r="O34" s="58"/>
      <c r="Q34" s="191"/>
      <c r="R34" s="212"/>
      <c r="S34" s="213"/>
      <c r="T34" s="216"/>
      <c r="U34" s="212"/>
      <c r="V34" s="213"/>
      <c r="X34" t="s">
        <v>387</v>
      </c>
      <c r="Y34">
        <f>SUM(G32:G69)/Y33*1000</f>
        <v>2710.2659156600598</v>
      </c>
    </row>
    <row r="35" spans="1:26" x14ac:dyDescent="0.2">
      <c r="A35" s="221" t="s">
        <v>200</v>
      </c>
      <c r="B35" s="222">
        <f>IF(Eingabewerte!$M$49=1,Geraetedaten!U35,Geraetedaten!R35)</f>
        <v>780</v>
      </c>
      <c r="C35" s="222">
        <f>IF(Eingabewerte!$M$49=1,Geraetedaten!V35,Geraetedaten!S35)</f>
        <v>6348</v>
      </c>
      <c r="D35" s="32">
        <v>1</v>
      </c>
      <c r="E35" s="32">
        <v>1</v>
      </c>
      <c r="F35" s="38">
        <f t="shared" si="0"/>
        <v>780</v>
      </c>
      <c r="G35" s="38">
        <f t="shared" si="1"/>
        <v>4951.4399999999996</v>
      </c>
      <c r="H35" s="38">
        <f t="shared" si="2"/>
        <v>780</v>
      </c>
      <c r="I35" s="38">
        <f t="shared" si="3"/>
        <v>4951.4399999999996</v>
      </c>
      <c r="J35" s="755"/>
      <c r="K35" s="755"/>
      <c r="L35" s="755"/>
      <c r="M35" s="755"/>
      <c r="N35" s="58"/>
      <c r="O35" s="58"/>
      <c r="Q35" s="191"/>
      <c r="R35" s="222">
        <v>780</v>
      </c>
      <c r="S35" s="239">
        <f>R101</f>
        <v>6348</v>
      </c>
      <c r="T35" s="216"/>
      <c r="U35" s="222">
        <v>780</v>
      </c>
      <c r="V35" s="239">
        <f>S101</f>
        <v>6988</v>
      </c>
      <c r="X35" t="s">
        <v>388</v>
      </c>
      <c r="Y35" s="1">
        <f>Y32+B141</f>
        <v>25706.387563710501</v>
      </c>
    </row>
    <row r="36" spans="1:26" x14ac:dyDescent="0.2">
      <c r="A36" s="221" t="s">
        <v>201</v>
      </c>
      <c r="B36" s="222">
        <f>IF(Eingabewerte!$M$49=1,Geraetedaten!U36,Geraetedaten!R36)</f>
        <v>780</v>
      </c>
      <c r="C36" s="222">
        <f>IF(Eingabewerte!$M$49=1,Geraetedaten!V36,Geraetedaten!S36)</f>
        <v>6128</v>
      </c>
      <c r="D36" s="32">
        <v>1</v>
      </c>
      <c r="E36" s="32">
        <v>1</v>
      </c>
      <c r="F36" s="38">
        <f t="shared" si="0"/>
        <v>780</v>
      </c>
      <c r="G36" s="38">
        <f t="shared" si="1"/>
        <v>4779.84</v>
      </c>
      <c r="H36" s="38">
        <f t="shared" si="2"/>
        <v>780</v>
      </c>
      <c r="I36" s="38">
        <f t="shared" si="3"/>
        <v>4779.84</v>
      </c>
      <c r="J36" s="755"/>
      <c r="K36" s="755"/>
      <c r="L36" s="755"/>
      <c r="M36" s="755"/>
      <c r="N36" s="58"/>
      <c r="O36" s="58"/>
      <c r="Q36" s="191"/>
      <c r="R36" s="222">
        <v>780</v>
      </c>
      <c r="S36" s="239">
        <f>R116</f>
        <v>6128</v>
      </c>
      <c r="T36" s="216"/>
      <c r="U36" s="222">
        <v>780</v>
      </c>
      <c r="V36" s="239">
        <f>S116</f>
        <v>6768</v>
      </c>
      <c r="X36" t="s">
        <v>389</v>
      </c>
      <c r="Y36">
        <f>(B10*B12+Y33*Y37+B141*B142)/Y35</f>
        <v>3961.3859842511802</v>
      </c>
    </row>
    <row r="37" spans="1:26" x14ac:dyDescent="0.2">
      <c r="A37" s="221" t="s">
        <v>202</v>
      </c>
      <c r="B37" s="222">
        <f>IF(Eingabewerte!$M$49=1,Geraetedaten!U37,Geraetedaten!R37)</f>
        <v>1560</v>
      </c>
      <c r="C37" s="222">
        <f>IF(Eingabewerte!$M$49=1,Geraetedaten!V37,Geraetedaten!S37)</f>
        <v>-987</v>
      </c>
      <c r="D37" s="32">
        <v>1</v>
      </c>
      <c r="E37" s="32">
        <v>1</v>
      </c>
      <c r="F37" s="38">
        <f t="shared" si="0"/>
        <v>1560</v>
      </c>
      <c r="G37" s="38">
        <f>F37*C37/1000</f>
        <v>-1539.72</v>
      </c>
      <c r="H37" s="38">
        <f t="shared" si="2"/>
        <v>1560</v>
      </c>
      <c r="I37" s="38">
        <f t="shared" si="3"/>
        <v>-1539.72</v>
      </c>
      <c r="J37" s="755"/>
      <c r="K37" s="755"/>
      <c r="L37" s="755"/>
      <c r="M37" s="755"/>
      <c r="N37" s="58"/>
      <c r="O37" s="58"/>
      <c r="Q37" s="191"/>
      <c r="R37" s="222">
        <v>1560</v>
      </c>
      <c r="S37" s="222">
        <f>(R106+R111)/2</f>
        <v>-987</v>
      </c>
      <c r="T37" s="216"/>
      <c r="U37" s="222">
        <v>1560</v>
      </c>
      <c r="V37" s="222">
        <f>(S106+S111)/2</f>
        <v>-987</v>
      </c>
      <c r="Y37">
        <f>Y38/Y33*1000</f>
        <v>2710.2659156600598</v>
      </c>
    </row>
    <row r="38" spans="1:26" x14ac:dyDescent="0.2">
      <c r="A38" s="83" t="s">
        <v>353</v>
      </c>
      <c r="B38" s="212">
        <f>IF(Eingabewerte!$M$49=1,Geraetedaten!U38,Geraetedaten!R38)</f>
        <v>0</v>
      </c>
      <c r="C38" s="213">
        <f>IF(Eingabewerte!$M$49=1,Geraetedaten!V38,Geraetedaten!S38)</f>
        <v>0</v>
      </c>
      <c r="D38" s="32">
        <v>1</v>
      </c>
      <c r="E38" s="32">
        <v>1</v>
      </c>
      <c r="F38" s="38">
        <f t="shared" si="0"/>
        <v>0</v>
      </c>
      <c r="G38" s="38">
        <f t="shared" si="1"/>
        <v>0</v>
      </c>
      <c r="H38" s="38">
        <f t="shared" si="2"/>
        <v>0</v>
      </c>
      <c r="I38" s="38">
        <f t="shared" si="3"/>
        <v>0</v>
      </c>
      <c r="J38" s="755"/>
      <c r="K38" s="755"/>
      <c r="L38" s="755"/>
      <c r="M38" s="755"/>
      <c r="N38" s="58"/>
      <c r="O38" s="58"/>
      <c r="Q38" s="191"/>
      <c r="R38" s="212"/>
      <c r="S38" s="212"/>
      <c r="T38" s="216"/>
      <c r="U38" s="212"/>
      <c r="V38" s="212"/>
      <c r="X38" t="s">
        <v>390</v>
      </c>
      <c r="Y38" s="1">
        <f>SUM(G32:G69)</f>
        <v>22197.619902439023</v>
      </c>
    </row>
    <row r="39" spans="1:26" x14ac:dyDescent="0.2">
      <c r="A39" s="83" t="s">
        <v>428</v>
      </c>
      <c r="B39" s="212">
        <f>IF(Eingabewerte!$M$49=1,Geraetedaten!U39,Geraetedaten!R39)</f>
        <v>0</v>
      </c>
      <c r="C39" s="213">
        <f>IF(Eingabewerte!$M$49=1,Geraetedaten!V39,Geraetedaten!S39)</f>
        <v>0</v>
      </c>
      <c r="D39" s="32">
        <v>1</v>
      </c>
      <c r="E39" s="32">
        <v>1</v>
      </c>
      <c r="F39" s="38">
        <f t="shared" si="0"/>
        <v>0</v>
      </c>
      <c r="G39" s="38">
        <f t="shared" si="1"/>
        <v>0</v>
      </c>
      <c r="H39" s="38">
        <f t="shared" si="2"/>
        <v>0</v>
      </c>
      <c r="I39" s="38">
        <f t="shared" si="3"/>
        <v>0</v>
      </c>
      <c r="J39" s="755"/>
      <c r="K39" s="755"/>
      <c r="L39" s="755"/>
      <c r="M39" s="755"/>
      <c r="N39" s="58"/>
      <c r="O39" s="58"/>
      <c r="Q39" s="191"/>
      <c r="R39" s="212"/>
      <c r="S39" s="212"/>
      <c r="T39" s="216"/>
      <c r="U39" s="212"/>
      <c r="V39" s="212"/>
    </row>
    <row r="40" spans="1:26" x14ac:dyDescent="0.2">
      <c r="A40" s="83" t="s">
        <v>533</v>
      </c>
      <c r="B40" s="212">
        <f>IF(Eingabewerte!$M$49=1,Geraetedaten!U40,Geraetedaten!R40)</f>
        <v>0</v>
      </c>
      <c r="C40" s="213">
        <f>IF(Eingabewerte!$M$49=1,Geraetedaten!V40,Geraetedaten!S40)</f>
        <v>0</v>
      </c>
      <c r="D40" s="32">
        <v>1</v>
      </c>
      <c r="E40" s="32">
        <v>1</v>
      </c>
      <c r="F40" s="38">
        <f t="shared" si="0"/>
        <v>0</v>
      </c>
      <c r="G40" s="38">
        <f t="shared" si="1"/>
        <v>0</v>
      </c>
      <c r="H40" s="38">
        <f t="shared" si="2"/>
        <v>0</v>
      </c>
      <c r="I40" s="38">
        <f t="shared" si="3"/>
        <v>0</v>
      </c>
      <c r="J40" s="755"/>
      <c r="K40" s="755"/>
      <c r="L40" s="755"/>
      <c r="M40" s="755"/>
      <c r="N40" s="58"/>
      <c r="O40" s="58"/>
      <c r="Q40" s="191"/>
      <c r="R40" s="212"/>
      <c r="S40" s="212"/>
      <c r="T40" s="216"/>
      <c r="U40" s="212"/>
      <c r="V40" s="212"/>
    </row>
    <row r="41" spans="1:26" x14ac:dyDescent="0.2">
      <c r="A41" s="83" t="s">
        <v>642</v>
      </c>
      <c r="B41" s="212">
        <f>IF(Eingabewerte!$M$49=1,Geraetedaten!U41,Geraetedaten!R41)</f>
        <v>0</v>
      </c>
      <c r="C41" s="213">
        <f>IF(Eingabewerte!$M$49=1,Geraetedaten!V41,Geraetedaten!S41)</f>
        <v>0</v>
      </c>
      <c r="D41" s="32">
        <v>1</v>
      </c>
      <c r="E41" s="32">
        <v>1</v>
      </c>
      <c r="F41" s="38">
        <f t="shared" si="0"/>
        <v>0</v>
      </c>
      <c r="G41" s="38">
        <f t="shared" si="1"/>
        <v>0</v>
      </c>
      <c r="H41" s="38">
        <f t="shared" si="2"/>
        <v>0</v>
      </c>
      <c r="I41" s="38">
        <f t="shared" si="3"/>
        <v>0</v>
      </c>
      <c r="J41" s="755"/>
      <c r="K41" s="755"/>
      <c r="L41" s="755"/>
      <c r="M41" s="755"/>
      <c r="N41" s="58"/>
      <c r="O41" s="58"/>
      <c r="Q41" s="191"/>
      <c r="R41" s="212"/>
      <c r="S41" s="212"/>
      <c r="T41" s="216"/>
      <c r="U41" s="212"/>
      <c r="V41" s="212"/>
      <c r="X41" s="191" t="s">
        <v>539</v>
      </c>
      <c r="Z41" s="1">
        <f>B10+Z44</f>
        <v>12514.612436289499</v>
      </c>
    </row>
    <row r="42" spans="1:26" x14ac:dyDescent="0.2">
      <c r="A42" s="83" t="s">
        <v>311</v>
      </c>
      <c r="B42" s="212">
        <f>IF(Eingabewerte!$M$49=1,Geraetedaten!U42,Geraetedaten!R42)</f>
        <v>0</v>
      </c>
      <c r="C42" s="213">
        <f>IF(Eingabewerte!$M$49=1,Geraetedaten!V42,Geraetedaten!S42)</f>
        <v>0</v>
      </c>
      <c r="D42" s="32">
        <v>1</v>
      </c>
      <c r="E42" s="32">
        <v>1</v>
      </c>
      <c r="F42" s="38">
        <f t="shared" si="0"/>
        <v>0</v>
      </c>
      <c r="G42" s="38">
        <f t="shared" si="1"/>
        <v>0</v>
      </c>
      <c r="H42" s="38">
        <f t="shared" si="2"/>
        <v>0</v>
      </c>
      <c r="I42" s="38">
        <f t="shared" si="3"/>
        <v>0</v>
      </c>
      <c r="J42" s="755"/>
      <c r="K42" s="755"/>
      <c r="L42" s="755"/>
      <c r="M42" s="755"/>
      <c r="N42" s="58"/>
      <c r="O42" s="58"/>
      <c r="Q42" s="191"/>
      <c r="R42" s="212"/>
      <c r="S42" s="212"/>
      <c r="T42" s="216"/>
      <c r="U42" s="212"/>
      <c r="V42" s="212"/>
      <c r="X42" s="170" t="s">
        <v>496</v>
      </c>
      <c r="Z42">
        <f>(B10*B12+Z44*Z45)/Z41</f>
        <v>4641.244606905183</v>
      </c>
    </row>
    <row r="43" spans="1:26" x14ac:dyDescent="0.2">
      <c r="A43" s="83" t="s">
        <v>312</v>
      </c>
      <c r="B43" s="212">
        <f>IF(Eingabewerte!$M$49=1,Geraetedaten!U43,Geraetedaten!R43)</f>
        <v>66</v>
      </c>
      <c r="C43" s="213">
        <f>IF(Eingabewerte!$M$49=1,Geraetedaten!V43,Geraetedaten!S43)</f>
        <v>6066</v>
      </c>
      <c r="D43" s="32">
        <v>1</v>
      </c>
      <c r="E43" s="32">
        <v>1</v>
      </c>
      <c r="F43" s="38">
        <f t="shared" si="0"/>
        <v>66</v>
      </c>
      <c r="G43" s="38">
        <f t="shared" si="1"/>
        <v>400.35599999999999</v>
      </c>
      <c r="H43" s="38">
        <f t="shared" si="2"/>
        <v>66</v>
      </c>
      <c r="I43" s="38">
        <f t="shared" si="3"/>
        <v>400.35599999999999</v>
      </c>
      <c r="J43" s="755"/>
      <c r="K43" s="755"/>
      <c r="L43" s="755"/>
      <c r="M43" s="755"/>
      <c r="N43" s="58"/>
      <c r="O43" s="58"/>
      <c r="Q43" s="191"/>
      <c r="R43" s="212">
        <v>66</v>
      </c>
      <c r="S43" s="212">
        <v>6066</v>
      </c>
      <c r="T43" s="216"/>
      <c r="U43" s="212">
        <v>66</v>
      </c>
      <c r="V43" s="212">
        <v>6066</v>
      </c>
    </row>
    <row r="44" spans="1:26" x14ac:dyDescent="0.2">
      <c r="A44" s="83" t="s">
        <v>109</v>
      </c>
      <c r="B44" s="212">
        <f>IF(Eingabewerte!$M$49=1,Geraetedaten!U44,Geraetedaten!R44)</f>
        <v>0</v>
      </c>
      <c r="C44" s="213">
        <f>IF(Eingabewerte!$M$49=1,Geraetedaten!V44,Geraetedaten!S44)</f>
        <v>0</v>
      </c>
      <c r="D44" s="32">
        <v>1</v>
      </c>
      <c r="E44" s="32">
        <v>1</v>
      </c>
      <c r="F44" s="38">
        <f t="shared" si="0"/>
        <v>0</v>
      </c>
      <c r="G44" s="38">
        <f t="shared" si="1"/>
        <v>0</v>
      </c>
      <c r="H44" s="38">
        <f t="shared" si="2"/>
        <v>0</v>
      </c>
      <c r="I44" s="38">
        <f t="shared" si="3"/>
        <v>0</v>
      </c>
      <c r="J44" s="755"/>
      <c r="K44" s="755"/>
      <c r="L44" s="755"/>
      <c r="M44" s="755"/>
      <c r="N44" s="58"/>
      <c r="O44" s="58"/>
      <c r="Q44" s="191"/>
      <c r="R44" s="212"/>
      <c r="S44" s="212"/>
      <c r="T44" s="216"/>
      <c r="U44" s="212"/>
      <c r="V44" s="212"/>
      <c r="X44" s="191" t="s">
        <v>538</v>
      </c>
      <c r="Z44" s="1">
        <f>SUM(H32:H34,H38:H72)</f>
        <v>4034.6124362894989</v>
      </c>
    </row>
    <row r="45" spans="1:26" x14ac:dyDescent="0.2">
      <c r="A45" s="83" t="s">
        <v>567</v>
      </c>
      <c r="B45" s="212">
        <f>IF(Eingabewerte!$M$49=1,Geraetedaten!U45,Geraetedaten!R45)</f>
        <v>0</v>
      </c>
      <c r="C45" s="213">
        <f>IF(Eingabewerte!$M$49=1,Geraetedaten!V45,Geraetedaten!S45)</f>
        <v>0</v>
      </c>
      <c r="D45" s="32">
        <v>1</v>
      </c>
      <c r="E45" s="32">
        <v>1</v>
      </c>
      <c r="F45" s="38">
        <f t="shared" si="0"/>
        <v>0</v>
      </c>
      <c r="G45" s="38">
        <f t="shared" si="1"/>
        <v>0</v>
      </c>
      <c r="H45" s="38">
        <f t="shared" si="2"/>
        <v>0</v>
      </c>
      <c r="I45" s="38">
        <f t="shared" si="3"/>
        <v>0</v>
      </c>
      <c r="J45" s="755"/>
      <c r="K45" s="755"/>
      <c r="L45" s="755"/>
      <c r="M45" s="755"/>
      <c r="N45" s="58"/>
      <c r="O45" s="58"/>
      <c r="Q45" s="191"/>
      <c r="R45" s="212"/>
      <c r="S45" s="212"/>
      <c r="T45" s="216"/>
      <c r="U45" s="212"/>
      <c r="V45" s="212"/>
      <c r="X45" s="191" t="s">
        <v>582</v>
      </c>
      <c r="Z45">
        <f>SUM(I32:I34,I38:I72)/Z44*1000</f>
        <v>2446.7334931815158</v>
      </c>
    </row>
    <row r="46" spans="1:26" x14ac:dyDescent="0.2">
      <c r="A46" s="83" t="s">
        <v>519</v>
      </c>
      <c r="B46" s="212">
        <f>IF(Eingabewerte!$M$49=1,Geraetedaten!U46,Geraetedaten!R46)</f>
        <v>40</v>
      </c>
      <c r="C46" s="213">
        <f>IF(Eingabewerte!$M$49=1,Geraetedaten!V46,Geraetedaten!S46)</f>
        <v>4066</v>
      </c>
      <c r="D46" s="32">
        <v>1</v>
      </c>
      <c r="E46" s="32">
        <v>1</v>
      </c>
      <c r="F46" s="38">
        <f t="shared" si="0"/>
        <v>40</v>
      </c>
      <c r="G46" s="38">
        <f t="shared" si="1"/>
        <v>162.63999999999999</v>
      </c>
      <c r="H46" s="38">
        <f t="shared" si="2"/>
        <v>40</v>
      </c>
      <c r="I46" s="38">
        <f t="shared" si="3"/>
        <v>162.63999999999999</v>
      </c>
      <c r="J46" s="755"/>
      <c r="K46" s="755"/>
      <c r="L46" s="755"/>
      <c r="M46" s="755"/>
      <c r="N46" s="58"/>
      <c r="O46" s="58"/>
      <c r="Q46" s="191"/>
      <c r="R46" s="212">
        <v>40</v>
      </c>
      <c r="S46" s="212">
        <v>4066</v>
      </c>
      <c r="T46" s="216"/>
      <c r="U46" s="212">
        <v>40</v>
      </c>
      <c r="V46" s="212">
        <v>4066</v>
      </c>
    </row>
    <row r="47" spans="1:26" x14ac:dyDescent="0.2">
      <c r="A47" s="83" t="s">
        <v>520</v>
      </c>
      <c r="B47" s="212">
        <f>IF(Eingabewerte!$M$49=1,Geraetedaten!U47,Geraetedaten!R47)</f>
        <v>0</v>
      </c>
      <c r="C47" s="213">
        <f>IF(Eingabewerte!$M$49=1,Geraetedaten!V47,Geraetedaten!S47)</f>
        <v>0</v>
      </c>
      <c r="D47" s="32">
        <v>1</v>
      </c>
      <c r="E47" s="32">
        <v>1</v>
      </c>
      <c r="F47" s="38">
        <f t="shared" si="0"/>
        <v>0</v>
      </c>
      <c r="G47" s="38">
        <f t="shared" si="1"/>
        <v>0</v>
      </c>
      <c r="H47" s="38">
        <f t="shared" si="2"/>
        <v>0</v>
      </c>
      <c r="I47" s="38">
        <f t="shared" si="3"/>
        <v>0</v>
      </c>
      <c r="J47" s="755"/>
      <c r="K47" s="755"/>
      <c r="L47" s="755"/>
      <c r="M47" s="755"/>
      <c r="N47" s="58"/>
      <c r="O47" s="58"/>
      <c r="Q47" s="191"/>
      <c r="R47" s="212"/>
      <c r="S47" s="212"/>
      <c r="T47" s="1"/>
      <c r="U47" s="212"/>
      <c r="V47" s="212"/>
      <c r="X47" s="170" t="s">
        <v>498</v>
      </c>
      <c r="Z47" s="1">
        <f>SUM(F32,F38:F45)</f>
        <v>4516</v>
      </c>
    </row>
    <row r="48" spans="1:26" x14ac:dyDescent="0.2">
      <c r="A48" s="83" t="s">
        <v>115</v>
      </c>
      <c r="B48" s="212">
        <f>IF(Eingabewerte!$M$49=1,Geraetedaten!U48,Geraetedaten!R48)</f>
        <v>0</v>
      </c>
      <c r="C48" s="213">
        <f>IF(Eingabewerte!$M$49=1,Geraetedaten!V48,Geraetedaten!S48)</f>
        <v>0</v>
      </c>
      <c r="D48" s="32">
        <v>1</v>
      </c>
      <c r="E48" s="241">
        <v>1</v>
      </c>
      <c r="F48" s="38">
        <f t="shared" si="0"/>
        <v>0</v>
      </c>
      <c r="G48" s="38">
        <f t="shared" si="1"/>
        <v>0</v>
      </c>
      <c r="H48" s="38">
        <f t="shared" si="2"/>
        <v>0</v>
      </c>
      <c r="I48" s="38">
        <f t="shared" si="3"/>
        <v>0</v>
      </c>
      <c r="J48" s="755"/>
      <c r="K48" s="755"/>
      <c r="L48" s="755"/>
      <c r="M48" s="755"/>
      <c r="N48" s="58"/>
      <c r="O48" s="58"/>
      <c r="Q48" s="191"/>
      <c r="R48" s="212"/>
      <c r="S48" s="212"/>
      <c r="T48" s="216"/>
      <c r="U48" s="212"/>
      <c r="V48" s="212"/>
      <c r="X48" s="170" t="s">
        <v>499</v>
      </c>
      <c r="Z48">
        <v>0</v>
      </c>
    </row>
    <row r="49" spans="1:28" x14ac:dyDescent="0.2">
      <c r="A49" s="83" t="s">
        <v>541</v>
      </c>
      <c r="B49" s="212">
        <f>IF(Eingabewerte!$M$49=1,Geraetedaten!U49,Geraetedaten!R49)</f>
        <v>0</v>
      </c>
      <c r="C49" s="213">
        <f>IF(Eingabewerte!$M$49=1,Geraetedaten!V49,Geraetedaten!S49)</f>
        <v>0</v>
      </c>
      <c r="D49" s="32">
        <v>1</v>
      </c>
      <c r="E49" s="32">
        <v>1</v>
      </c>
      <c r="F49" s="38">
        <f t="shared" si="0"/>
        <v>0</v>
      </c>
      <c r="G49" s="38">
        <f t="shared" si="1"/>
        <v>0</v>
      </c>
      <c r="H49" s="38">
        <f t="shared" si="2"/>
        <v>0</v>
      </c>
      <c r="I49" s="38">
        <f t="shared" si="3"/>
        <v>0</v>
      </c>
      <c r="J49" s="755"/>
      <c r="K49" s="755"/>
      <c r="L49" s="755"/>
      <c r="M49" s="755"/>
      <c r="N49" s="58"/>
      <c r="O49" s="58"/>
      <c r="Q49" s="191"/>
      <c r="R49" s="212"/>
      <c r="S49" s="270"/>
      <c r="T49" s="1"/>
      <c r="U49" s="270"/>
      <c r="V49" s="270"/>
      <c r="X49" s="170" t="s">
        <v>391</v>
      </c>
      <c r="Z49" s="1">
        <f>Z47+Z48</f>
        <v>4516</v>
      </c>
    </row>
    <row r="50" spans="1:28" x14ac:dyDescent="0.2">
      <c r="A50" s="83" t="s">
        <v>580</v>
      </c>
      <c r="B50" s="212">
        <f>IF(Eingabewerte!$M$49=1,Geraetedaten!U50,Geraetedaten!R50)</f>
        <v>0</v>
      </c>
      <c r="C50" s="213">
        <f>IF(Eingabewerte!$M$49=1,Geraetedaten!V50,Geraetedaten!S50)</f>
        <v>0</v>
      </c>
      <c r="D50" s="32">
        <v>1</v>
      </c>
      <c r="E50" s="32">
        <v>1</v>
      </c>
      <c r="F50" s="38">
        <f t="shared" si="0"/>
        <v>0</v>
      </c>
      <c r="G50" s="38">
        <f t="shared" si="1"/>
        <v>0</v>
      </c>
      <c r="H50" s="38">
        <f t="shared" si="2"/>
        <v>0</v>
      </c>
      <c r="I50" s="38">
        <f t="shared" si="3"/>
        <v>0</v>
      </c>
      <c r="J50" s="755"/>
      <c r="K50" s="755"/>
      <c r="L50" s="755"/>
      <c r="M50" s="755"/>
      <c r="N50" s="58"/>
      <c r="O50" s="58"/>
      <c r="Q50" s="191"/>
      <c r="R50" s="218"/>
      <c r="S50" s="218"/>
      <c r="T50" s="216"/>
      <c r="U50" s="218"/>
      <c r="V50" s="218"/>
    </row>
    <row r="51" spans="1:28" x14ac:dyDescent="0.2">
      <c r="A51" s="83"/>
      <c r="B51" s="212"/>
      <c r="C51" s="212"/>
      <c r="D51" s="32">
        <v>1</v>
      </c>
      <c r="E51" s="32">
        <v>0</v>
      </c>
      <c r="F51" s="38">
        <f t="shared" si="0"/>
        <v>0</v>
      </c>
      <c r="G51" s="38">
        <f t="shared" si="1"/>
        <v>0</v>
      </c>
      <c r="H51" s="38">
        <f t="shared" si="2"/>
        <v>0</v>
      </c>
      <c r="I51" s="38">
        <f t="shared" si="3"/>
        <v>0</v>
      </c>
      <c r="J51" s="755"/>
      <c r="K51" s="755"/>
      <c r="L51" s="755"/>
      <c r="M51" s="755"/>
      <c r="N51" s="58"/>
      <c r="O51" s="58"/>
      <c r="Q51" s="216"/>
      <c r="R51" s="218"/>
      <c r="S51" s="218"/>
      <c r="T51" s="216"/>
      <c r="U51" s="218"/>
      <c r="V51" s="218"/>
    </row>
    <row r="52" spans="1:28" x14ac:dyDescent="0.2">
      <c r="A52" s="83"/>
      <c r="B52" s="212"/>
      <c r="C52" s="212"/>
      <c r="D52" s="32">
        <v>1</v>
      </c>
      <c r="E52" s="32">
        <v>1</v>
      </c>
      <c r="F52" s="38">
        <f t="shared" si="0"/>
        <v>0</v>
      </c>
      <c r="G52" s="38">
        <f t="shared" si="1"/>
        <v>0</v>
      </c>
      <c r="H52" s="38">
        <f t="shared" si="2"/>
        <v>0</v>
      </c>
      <c r="I52" s="38">
        <f t="shared" si="3"/>
        <v>0</v>
      </c>
      <c r="J52" s="755"/>
      <c r="K52" s="755"/>
      <c r="L52" s="755"/>
      <c r="M52" s="755"/>
      <c r="N52" s="58"/>
      <c r="O52" s="58"/>
      <c r="Q52" s="216"/>
      <c r="R52" s="218"/>
      <c r="S52" s="218"/>
      <c r="T52" s="216"/>
      <c r="U52" s="218"/>
      <c r="V52" s="218"/>
    </row>
    <row r="53" spans="1:28" x14ac:dyDescent="0.2">
      <c r="A53" s="83"/>
      <c r="B53" s="212"/>
      <c r="C53" s="212"/>
      <c r="D53" s="32">
        <v>1</v>
      </c>
      <c r="E53" s="32">
        <v>1</v>
      </c>
      <c r="F53" s="38">
        <f t="shared" si="0"/>
        <v>0</v>
      </c>
      <c r="G53" s="38">
        <f t="shared" si="1"/>
        <v>0</v>
      </c>
      <c r="H53" s="38">
        <f t="shared" si="2"/>
        <v>0</v>
      </c>
      <c r="I53" s="38">
        <f t="shared" si="3"/>
        <v>0</v>
      </c>
      <c r="J53" s="755"/>
      <c r="K53" s="755"/>
      <c r="L53" s="755"/>
      <c r="M53" s="755"/>
      <c r="N53" s="58"/>
      <c r="O53" s="58"/>
      <c r="Q53" s="216"/>
      <c r="R53" s="218"/>
      <c r="S53" s="218"/>
      <c r="T53" s="216"/>
      <c r="U53" s="218"/>
      <c r="V53" s="218"/>
    </row>
    <row r="54" spans="1:28" x14ac:dyDescent="0.2">
      <c r="A54" s="217" t="str">
        <f>IF(Eingabewerte!$D$27="ja",Eingabewerte!B29,"")</f>
        <v>Zweitsteuerung</v>
      </c>
      <c r="B54" s="176">
        <f>IF(Eingabewerte!$D$27="ja",Eingabewerte!D29,0)</f>
        <v>120</v>
      </c>
      <c r="C54" s="176">
        <f>IF(Eingabewerte!$D$27="ja",Eingabewerte!E29,0)</f>
        <v>-100</v>
      </c>
      <c r="D54" s="178">
        <f>IF(AND(Eingabewerte!D$27="ja",Eingabewerte!G29="vorh"),1,0)</f>
        <v>0</v>
      </c>
      <c r="E54" s="178">
        <f>IF(AND(Eingabewerte!D$27="ja",Eingabewerte!G29="vorh",Eingabewerte!F29="fest"),1,0)</f>
        <v>0</v>
      </c>
      <c r="F54" s="38">
        <f t="shared" si="0"/>
        <v>0</v>
      </c>
      <c r="G54" s="38">
        <f t="shared" si="1"/>
        <v>0</v>
      </c>
      <c r="H54" s="38">
        <f t="shared" si="2"/>
        <v>0</v>
      </c>
      <c r="I54" s="38">
        <f t="shared" si="3"/>
        <v>0</v>
      </c>
      <c r="J54" s="755"/>
      <c r="K54" s="755"/>
      <c r="L54" s="755"/>
      <c r="M54" s="755"/>
      <c r="N54" s="58"/>
      <c r="O54" s="58"/>
      <c r="Q54" s="216"/>
      <c r="R54" s="216">
        <f>SUM(R32:R49)</f>
        <v>7676</v>
      </c>
      <c r="S54" s="216"/>
      <c r="T54" s="216"/>
      <c r="U54" s="216"/>
      <c r="V54" s="216"/>
      <c r="X54" s="191" t="s">
        <v>432</v>
      </c>
      <c r="Y54">
        <f>VLOOKUP(Eingabewerte!D5,R7:AA11,8,0)</f>
        <v>1900</v>
      </c>
    </row>
    <row r="55" spans="1:28" x14ac:dyDescent="0.2">
      <c r="A55" s="217" t="str">
        <f>IF(Eingabewerte!$D$27="ja",Eingabewerte!B30,"")</f>
        <v>Bordwände</v>
      </c>
      <c r="B55" s="176">
        <f>IF(Eingabewerte!$D$27="ja",Eingabewerte!D30,0)</f>
        <v>30</v>
      </c>
      <c r="C55" s="176">
        <f>IF(Eingabewerte!$D$27="ja",Eingabewerte!E30,0)</f>
        <v>3500</v>
      </c>
      <c r="D55" s="178">
        <f>IF(AND(Eingabewerte!D$27="ja",Eingabewerte!G30="vorh"),1,0)</f>
        <v>1</v>
      </c>
      <c r="E55" s="178">
        <f>IF(AND(Eingabewerte!D$27="ja",Eingabewerte!G30="vorh",Eingabewerte!F30="fest"),1,0)</f>
        <v>1</v>
      </c>
      <c r="F55" s="38">
        <f t="shared" si="0"/>
        <v>30</v>
      </c>
      <c r="G55" s="38">
        <f t="shared" si="1"/>
        <v>105</v>
      </c>
      <c r="H55" s="38">
        <f t="shared" si="2"/>
        <v>30</v>
      </c>
      <c r="I55" s="38">
        <f t="shared" si="3"/>
        <v>105</v>
      </c>
      <c r="J55" s="755"/>
      <c r="K55" s="755"/>
      <c r="L55" s="755"/>
      <c r="M55" s="755"/>
      <c r="N55" s="58"/>
      <c r="O55" s="58"/>
      <c r="Q55" s="216"/>
      <c r="R55" s="216"/>
      <c r="S55" s="216"/>
      <c r="T55" s="216"/>
      <c r="U55" s="216"/>
      <c r="V55" s="216"/>
      <c r="X55" s="216" t="s">
        <v>433</v>
      </c>
      <c r="Y55">
        <f>VLOOKUP(Eingabewerte!D5,R7:AA11,9,0)</f>
        <v>1800</v>
      </c>
    </row>
    <row r="56" spans="1:28" x14ac:dyDescent="0.2">
      <c r="A56" s="217" t="str">
        <f>IF(Eingabewerte!$D$27="ja",Eingabewerte!B31,"")</f>
        <v>Generator</v>
      </c>
      <c r="B56" s="176">
        <f>IF(Eingabewerte!$D$27="ja",Eingabewerte!D31,0)</f>
        <v>60</v>
      </c>
      <c r="C56" s="176">
        <f>IF(Eingabewerte!$D$27="ja",Eingabewerte!E31,0)</f>
        <v>1200</v>
      </c>
      <c r="D56" s="178">
        <f>IF(AND(Eingabewerte!D$27="ja",Eingabewerte!G31="vorh"),1,0)</f>
        <v>1</v>
      </c>
      <c r="E56" s="178">
        <f>IF(AND(Eingabewerte!D$27="ja",Eingabewerte!G31="vorh",Eingabewerte!F31="fest"),1,0)</f>
        <v>1</v>
      </c>
      <c r="F56" s="38">
        <f t="shared" si="0"/>
        <v>60</v>
      </c>
      <c r="G56" s="38">
        <f t="shared" si="1"/>
        <v>72</v>
      </c>
      <c r="H56" s="38">
        <f t="shared" si="2"/>
        <v>60</v>
      </c>
      <c r="I56" s="38">
        <f t="shared" si="3"/>
        <v>72</v>
      </c>
      <c r="J56" s="755"/>
      <c r="K56" s="755"/>
      <c r="L56" s="755"/>
      <c r="M56" s="755"/>
      <c r="N56" s="58"/>
      <c r="O56" s="58"/>
      <c r="Q56" s="216"/>
      <c r="R56" s="216"/>
      <c r="S56" s="216"/>
      <c r="T56" s="216"/>
      <c r="U56" s="216"/>
      <c r="V56" s="216"/>
      <c r="X56" s="216" t="s">
        <v>536</v>
      </c>
      <c r="Y56">
        <f>Y54-Y55</f>
        <v>100</v>
      </c>
    </row>
    <row r="57" spans="1:28" x14ac:dyDescent="0.2">
      <c r="A57" s="217" t="str">
        <f>IF(Eingabewerte!$D$27="ja",Eingabewerte!B32,"")</f>
        <v>2.Aufstieg</v>
      </c>
      <c r="B57" s="176">
        <f>IF(Eingabewerte!$D$27="ja",Eingabewerte!D32,0)</f>
        <v>45</v>
      </c>
      <c r="C57" s="176">
        <f>IF(Eingabewerte!$D$27="ja",Eingabewerte!E32,0)</f>
        <v>1800</v>
      </c>
      <c r="D57" s="178">
        <f>IF(AND(Eingabewerte!D$27="ja",Eingabewerte!G32="vorh"),1,0)</f>
        <v>1</v>
      </c>
      <c r="E57" s="178">
        <f>IF(AND(Eingabewerte!D$27="ja",Eingabewerte!G32="vorh",Eingabewerte!F32="fest"),1,0)</f>
        <v>1</v>
      </c>
      <c r="F57" s="38">
        <f t="shared" si="0"/>
        <v>45</v>
      </c>
      <c r="G57" s="38">
        <f t="shared" si="1"/>
        <v>81</v>
      </c>
      <c r="H57" s="38">
        <f t="shared" si="2"/>
        <v>45</v>
      </c>
      <c r="I57" s="38">
        <f t="shared" si="3"/>
        <v>81</v>
      </c>
      <c r="J57" s="755"/>
      <c r="K57" s="755"/>
      <c r="L57" s="755"/>
      <c r="M57" s="755"/>
      <c r="N57" s="58"/>
      <c r="O57" s="58"/>
      <c r="Q57" s="216"/>
      <c r="R57" s="216"/>
      <c r="S57" s="216"/>
      <c r="T57" s="216"/>
      <c r="U57" s="216"/>
      <c r="V57" s="216"/>
      <c r="X57" s="216"/>
    </row>
    <row r="58" spans="1:28" x14ac:dyDescent="0.2">
      <c r="A58" s="217" t="str">
        <f>IF(Eingabewerte!$D$27="ja",Eingabewerte!B33,"")</f>
        <v>Öl</v>
      </c>
      <c r="B58" s="176">
        <f>IF(Eingabewerte!$D$27="ja",Eingabewerte!D33,0)</f>
        <v>50</v>
      </c>
      <c r="C58" s="176">
        <f>IF(Eingabewerte!$D$27="ja",Eingabewerte!E33,0)</f>
        <v>3500</v>
      </c>
      <c r="D58" s="178">
        <f>IF(AND(Eingabewerte!D$27="ja",Eingabewerte!G33="vorh"),1,0)</f>
        <v>0</v>
      </c>
      <c r="E58" s="178">
        <f>IF(AND(Eingabewerte!D$27="ja",Eingabewerte!G33="vorh",Eingabewerte!F33="fest"),1,0)</f>
        <v>0</v>
      </c>
      <c r="F58" s="38">
        <f t="shared" si="0"/>
        <v>0</v>
      </c>
      <c r="G58" s="38">
        <f t="shared" si="1"/>
        <v>0</v>
      </c>
      <c r="H58" s="38">
        <f t="shared" si="2"/>
        <v>0</v>
      </c>
      <c r="I58" s="38">
        <f t="shared" si="3"/>
        <v>0</v>
      </c>
      <c r="J58" s="755"/>
      <c r="K58" s="755"/>
      <c r="L58" s="755"/>
      <c r="M58" s="755"/>
      <c r="N58" s="58"/>
      <c r="O58" s="58"/>
      <c r="Q58" s="216"/>
      <c r="R58" s="216"/>
      <c r="S58" s="216"/>
      <c r="T58" s="216"/>
      <c r="U58" s="216"/>
      <c r="V58" s="216"/>
      <c r="X58" s="191" t="s">
        <v>569</v>
      </c>
      <c r="Y58" s="216">
        <f>VLOOKUP(Eingabewerte!D5,R7:AA11,10,0)*(-6.4)</f>
        <v>-6.4</v>
      </c>
    </row>
    <row r="59" spans="1:28" x14ac:dyDescent="0.2">
      <c r="A59" s="217" t="str">
        <f>IF(Eingabewerte!$D$27="ja",Eingabewerte!B34,"")</f>
        <v>Powerlift</v>
      </c>
      <c r="B59" s="176">
        <f>IF(Eingabewerte!$D$27="ja",Eingabewerte!D34,0)</f>
        <v>20</v>
      </c>
      <c r="C59" s="176">
        <f>IF(Eingabewerte!$D$27="ja",Eingabewerte!E34,0)</f>
        <v>3500</v>
      </c>
      <c r="D59" s="178">
        <f>IF(AND(Eingabewerte!D$27="ja",Eingabewerte!G34="vorh"),1,0)</f>
        <v>1</v>
      </c>
      <c r="E59" s="178">
        <f>IF(AND(Eingabewerte!D$27="ja",Eingabewerte!G34="vorh",Eingabewerte!F34="fest"),1,0)</f>
        <v>0</v>
      </c>
      <c r="F59" s="38">
        <f t="shared" si="0"/>
        <v>20</v>
      </c>
      <c r="G59" s="38">
        <f t="shared" si="1"/>
        <v>70</v>
      </c>
      <c r="H59" s="38">
        <f t="shared" si="2"/>
        <v>0</v>
      </c>
      <c r="I59" s="38">
        <f t="shared" si="3"/>
        <v>0</v>
      </c>
      <c r="J59" s="755"/>
      <c r="K59" s="755"/>
      <c r="L59" s="755"/>
      <c r="M59" s="755"/>
      <c r="N59" s="58"/>
      <c r="O59" s="58"/>
      <c r="Q59" s="216"/>
      <c r="R59" s="216"/>
      <c r="S59" s="216"/>
      <c r="T59" s="216"/>
      <c r="U59" s="216"/>
      <c r="V59" s="216"/>
      <c r="Y59" s="224"/>
    </row>
    <row r="60" spans="1:28" x14ac:dyDescent="0.2">
      <c r="A60" s="217" t="str">
        <f>IF(Eingabewerte!$D$27="ja",Eingabewerte!B35,"")</f>
        <v>Gerätekasten</v>
      </c>
      <c r="B60" s="176">
        <f>IF(Eingabewerte!$D$27="ja",Eingabewerte!D35,0)</f>
        <v>100</v>
      </c>
      <c r="C60" s="176">
        <f>IF(Eingabewerte!$D$27="ja",Eingabewerte!E35,0)</f>
        <v>1500</v>
      </c>
      <c r="D60" s="178">
        <f>IF(AND(Eingabewerte!D$27="ja",Eingabewerte!G35="vorh"),1,0)</f>
        <v>1</v>
      </c>
      <c r="E60" s="178">
        <f>IF(AND(Eingabewerte!D$27="ja",Eingabewerte!G35="vorh",Eingabewerte!F35="fest"),1,0)</f>
        <v>1</v>
      </c>
      <c r="F60" s="38">
        <f t="shared" si="0"/>
        <v>100</v>
      </c>
      <c r="G60" s="38">
        <f t="shared" si="1"/>
        <v>150</v>
      </c>
      <c r="H60" s="38">
        <f t="shared" si="2"/>
        <v>100</v>
      </c>
      <c r="I60" s="38">
        <f t="shared" si="3"/>
        <v>150</v>
      </c>
      <c r="J60" s="755"/>
      <c r="K60" s="755"/>
      <c r="L60" s="755"/>
      <c r="M60" s="755"/>
      <c r="N60" s="58"/>
      <c r="O60" s="58"/>
      <c r="Q60" s="216"/>
      <c r="R60" s="216"/>
      <c r="S60" s="216"/>
      <c r="T60" s="216"/>
      <c r="U60" s="216"/>
      <c r="V60" s="216"/>
      <c r="X60" s="191" t="s">
        <v>554</v>
      </c>
      <c r="Y60" s="224">
        <f>Y56/B7*Y63+Y55</f>
        <v>1799.4576012223072</v>
      </c>
    </row>
    <row r="61" spans="1:28" x14ac:dyDescent="0.2">
      <c r="A61" s="217" t="str">
        <f>IF(Eingabewerte!$D$27="ja",Eingabewerte!B36,"")</f>
        <v>Ballast</v>
      </c>
      <c r="B61" s="176">
        <f>IF(Eingabewerte!$D$27="ja",Eingabewerte!D36,0)</f>
        <v>300</v>
      </c>
      <c r="C61" s="176">
        <f>IF(Eingabewerte!$D$27="ja",Eingabewerte!E36,0)</f>
        <v>-1020</v>
      </c>
      <c r="D61" s="178">
        <f>IF(AND(Eingabewerte!D$27="ja",Eingabewerte!G36="vorh"),1,0)</f>
        <v>0</v>
      </c>
      <c r="E61" s="178">
        <f>IF(AND(Eingabewerte!D$27="ja",Eingabewerte!G36="vorh",Eingabewerte!F36="fest"),1,0)</f>
        <v>0</v>
      </c>
      <c r="F61" s="38">
        <f t="shared" si="0"/>
        <v>0</v>
      </c>
      <c r="G61" s="38">
        <f t="shared" si="1"/>
        <v>0</v>
      </c>
      <c r="H61" s="38">
        <f t="shared" si="2"/>
        <v>0</v>
      </c>
      <c r="I61" s="38">
        <f t="shared" si="3"/>
        <v>0</v>
      </c>
      <c r="J61" s="755"/>
      <c r="K61" s="755"/>
      <c r="L61" s="755"/>
      <c r="M61" s="755"/>
      <c r="N61" s="58"/>
      <c r="O61" s="58"/>
      <c r="Q61" s="216"/>
      <c r="R61" s="216"/>
      <c r="S61" s="216"/>
      <c r="T61" s="216"/>
      <c r="U61" s="216"/>
      <c r="V61" s="216"/>
    </row>
    <row r="62" spans="1:28" x14ac:dyDescent="0.2">
      <c r="A62" s="31"/>
      <c r="B62" s="39">
        <v>-250</v>
      </c>
      <c r="C62" s="695">
        <v>2668</v>
      </c>
      <c r="D62" s="32">
        <v>0</v>
      </c>
      <c r="E62" s="32">
        <v>1</v>
      </c>
      <c r="F62" s="38">
        <f t="shared" si="0"/>
        <v>0</v>
      </c>
      <c r="G62" s="38">
        <f t="shared" si="1"/>
        <v>0</v>
      </c>
      <c r="H62" s="38">
        <f t="shared" si="2"/>
        <v>-250</v>
      </c>
      <c r="I62" s="38">
        <f t="shared" si="3"/>
        <v>-667</v>
      </c>
      <c r="J62" s="755"/>
      <c r="K62" s="755"/>
      <c r="L62" s="755"/>
      <c r="M62" s="755"/>
      <c r="N62" s="58"/>
      <c r="O62" s="58"/>
      <c r="Q62" s="216"/>
      <c r="R62" s="216"/>
      <c r="S62" s="216"/>
      <c r="T62" s="216"/>
      <c r="U62" s="216"/>
      <c r="V62" s="216"/>
      <c r="X62" s="191" t="s">
        <v>558</v>
      </c>
      <c r="Y62" s="224">
        <f>m_VA*(B7-B17)/(m_VA+m_HA)</f>
        <v>2292.8571428571427</v>
      </c>
      <c r="Z62" s="224"/>
      <c r="AA62" s="224"/>
      <c r="AB62" s="224"/>
    </row>
    <row r="63" spans="1:28" x14ac:dyDescent="0.2">
      <c r="A63" s="31"/>
      <c r="B63" s="39"/>
      <c r="C63" s="50"/>
      <c r="D63" s="32">
        <v>1</v>
      </c>
      <c r="E63" s="32">
        <v>1</v>
      </c>
      <c r="F63" s="38">
        <f t="shared" si="0"/>
        <v>0</v>
      </c>
      <c r="G63" s="38">
        <f t="shared" si="1"/>
        <v>0</v>
      </c>
      <c r="H63" s="38">
        <f t="shared" si="2"/>
        <v>0</v>
      </c>
      <c r="I63" s="38">
        <f t="shared" si="3"/>
        <v>0</v>
      </c>
      <c r="J63" s="755"/>
      <c r="K63" s="755"/>
      <c r="L63" s="755"/>
      <c r="M63" s="755"/>
      <c r="N63" s="58"/>
      <c r="O63" s="58"/>
      <c r="Q63" s="216"/>
      <c r="R63" s="216"/>
      <c r="S63" s="216"/>
      <c r="T63" s="216"/>
      <c r="U63" s="216"/>
      <c r="V63" s="216"/>
      <c r="X63" s="191" t="s">
        <v>559</v>
      </c>
      <c r="Y63" s="224">
        <f>Y62+B17</f>
        <v>-30.923344947735586</v>
      </c>
      <c r="Z63" s="224"/>
      <c r="AA63" s="224"/>
      <c r="AB63" s="224"/>
    </row>
    <row r="64" spans="1:28" x14ac:dyDescent="0.2">
      <c r="A64" s="31"/>
      <c r="B64" s="39"/>
      <c r="C64" s="50"/>
      <c r="D64" s="32">
        <v>1</v>
      </c>
      <c r="E64" s="32">
        <v>1</v>
      </c>
      <c r="F64" s="38">
        <f t="shared" si="0"/>
        <v>0</v>
      </c>
      <c r="G64" s="38">
        <f t="shared" si="1"/>
        <v>0</v>
      </c>
      <c r="H64" s="38">
        <f t="shared" si="2"/>
        <v>0</v>
      </c>
      <c r="I64" s="38">
        <f t="shared" si="3"/>
        <v>0</v>
      </c>
      <c r="J64" s="755"/>
      <c r="K64" s="755"/>
      <c r="L64" s="755"/>
      <c r="M64" s="755"/>
      <c r="N64" s="58"/>
      <c r="O64" s="58"/>
      <c r="Q64" s="216"/>
      <c r="R64" s="216"/>
      <c r="S64" s="216"/>
      <c r="T64" s="216"/>
      <c r="U64" s="216"/>
      <c r="V64" s="216"/>
      <c r="X64" s="191"/>
      <c r="AB64" s="191"/>
    </row>
    <row r="65" spans="1:31" x14ac:dyDescent="0.2">
      <c r="A65" s="31" t="s">
        <v>110</v>
      </c>
      <c r="B65" s="39">
        <v>0</v>
      </c>
      <c r="C65" s="50">
        <v>5000</v>
      </c>
      <c r="D65" s="178">
        <f>IF(Eingabewerte!D25="nein",0,1)</f>
        <v>0</v>
      </c>
      <c r="E65" s="32">
        <v>0</v>
      </c>
      <c r="F65" s="38">
        <f t="shared" si="0"/>
        <v>0</v>
      </c>
      <c r="G65" s="38">
        <f t="shared" si="1"/>
        <v>0</v>
      </c>
      <c r="H65" s="38">
        <f t="shared" si="2"/>
        <v>0</v>
      </c>
      <c r="I65" s="38">
        <f t="shared" si="3"/>
        <v>0</v>
      </c>
      <c r="J65" s="755"/>
      <c r="K65" s="755"/>
      <c r="L65" s="755"/>
      <c r="M65" s="755"/>
      <c r="N65" s="58"/>
      <c r="O65" s="58"/>
      <c r="Q65" s="216"/>
      <c r="R65" s="216"/>
      <c r="S65" s="216"/>
      <c r="T65" s="216"/>
      <c r="U65" s="216"/>
      <c r="V65" s="216"/>
      <c r="Y65" s="191" t="s">
        <v>556</v>
      </c>
      <c r="Z65" s="191"/>
      <c r="AA65" s="191" t="s">
        <v>557</v>
      </c>
      <c r="AB65" s="191" t="s">
        <v>568</v>
      </c>
      <c r="AC65" s="191" t="s">
        <v>560</v>
      </c>
    </row>
    <row r="66" spans="1:31" x14ac:dyDescent="0.2">
      <c r="A66" s="31" t="s">
        <v>187</v>
      </c>
      <c r="B66" s="39">
        <v>120</v>
      </c>
      <c r="C66" s="50">
        <v>500</v>
      </c>
      <c r="D66" s="178">
        <f>IF(Eingabewerte!D26="nein",0,1)</f>
        <v>0</v>
      </c>
      <c r="E66" s="32">
        <v>0</v>
      </c>
      <c r="F66" s="38">
        <f t="shared" si="0"/>
        <v>0</v>
      </c>
      <c r="G66" s="38">
        <f t="shared" si="1"/>
        <v>0</v>
      </c>
      <c r="H66" s="38">
        <f t="shared" si="2"/>
        <v>0</v>
      </c>
      <c r="I66" s="38">
        <f t="shared" si="3"/>
        <v>0</v>
      </c>
      <c r="J66" s="755"/>
      <c r="K66" s="755"/>
      <c r="L66" s="755"/>
      <c r="M66" s="755"/>
      <c r="N66" s="58"/>
      <c r="O66" s="58"/>
      <c r="Q66" s="216"/>
      <c r="R66" s="216"/>
      <c r="S66" s="216"/>
      <c r="T66" s="216"/>
      <c r="U66" s="216"/>
      <c r="V66" s="216"/>
      <c r="X66" s="191" t="s">
        <v>555</v>
      </c>
      <c r="Y66" s="229">
        <f>-B141</f>
        <v>-9036.1875637104986</v>
      </c>
      <c r="Z66" s="229"/>
      <c r="AA66" s="229">
        <f>B142</f>
        <v>3477.5227029161265</v>
      </c>
      <c r="AB66">
        <f>B85+B84</f>
        <v>11</v>
      </c>
      <c r="AC66">
        <f>AB66*Y66</f>
        <v>-99398.063200815479</v>
      </c>
    </row>
    <row r="67" spans="1:31" x14ac:dyDescent="0.2">
      <c r="A67" s="31"/>
      <c r="B67" s="39"/>
      <c r="C67" s="50"/>
      <c r="D67" s="32">
        <v>0</v>
      </c>
      <c r="E67" s="32">
        <v>0</v>
      </c>
      <c r="F67" s="38">
        <f t="shared" si="0"/>
        <v>0</v>
      </c>
      <c r="G67" s="38">
        <f t="shared" si="1"/>
        <v>0</v>
      </c>
      <c r="H67" s="38">
        <f t="shared" si="2"/>
        <v>0</v>
      </c>
      <c r="I67" s="38">
        <f t="shared" si="3"/>
        <v>0</v>
      </c>
      <c r="J67" s="755"/>
      <c r="K67" s="755"/>
      <c r="L67" s="755"/>
      <c r="M67" s="755"/>
      <c r="N67" s="58"/>
      <c r="O67" s="58"/>
      <c r="R67" s="216"/>
      <c r="S67" s="216"/>
      <c r="T67" s="216"/>
      <c r="U67" s="216"/>
      <c r="V67" s="216"/>
      <c r="X67" s="191" t="s">
        <v>561</v>
      </c>
      <c r="Y67">
        <f>m_reSei*(m_VA+m_HA)/(m_reSei+m_liSei)</f>
        <v>12923.076923076924</v>
      </c>
      <c r="AB67" s="1">
        <f>Y60/2</f>
        <v>899.72880061115359</v>
      </c>
      <c r="AC67" s="224">
        <f t="shared" ref="AC67:AC68" si="4">AB67*Y67</f>
        <v>11627264.500205677</v>
      </c>
      <c r="AE67" s="224"/>
    </row>
    <row r="68" spans="1:31" x14ac:dyDescent="0.2">
      <c r="A68" s="34" t="s">
        <v>373</v>
      </c>
      <c r="B68" s="176">
        <f>Eingabewerte!D22*Eingabewerte!D23/100*0.8</f>
        <v>259.2</v>
      </c>
      <c r="C68" s="179">
        <f>-B17+2200</f>
        <v>4523.7804878048782</v>
      </c>
      <c r="D68" s="32">
        <v>1</v>
      </c>
      <c r="E68" s="32">
        <v>0</v>
      </c>
      <c r="F68" s="38">
        <f t="shared" si="0"/>
        <v>259.2</v>
      </c>
      <c r="G68" s="38">
        <f t="shared" si="1"/>
        <v>1172.5639024390243</v>
      </c>
      <c r="H68" s="38">
        <f t="shared" si="2"/>
        <v>0</v>
      </c>
      <c r="I68" s="38">
        <f t="shared" si="3"/>
        <v>0</v>
      </c>
      <c r="J68" s="755"/>
      <c r="K68" s="755"/>
      <c r="L68" s="755"/>
      <c r="M68" s="755"/>
      <c r="N68" s="58"/>
      <c r="O68" s="58"/>
      <c r="X68" s="191" t="s">
        <v>562</v>
      </c>
      <c r="Y68" s="224">
        <f>m_liSei*(m_VA+m_HA)/(m_reSei+m_liSei)</f>
        <v>12276.923076923076</v>
      </c>
      <c r="AB68" s="1">
        <f>-Y60/2</f>
        <v>-899.72880061115359</v>
      </c>
      <c r="AC68" s="224">
        <f t="shared" si="4"/>
        <v>-11045901.275195392</v>
      </c>
      <c r="AE68" s="224"/>
    </row>
    <row r="69" spans="1:31" x14ac:dyDescent="0.2">
      <c r="A69" s="34"/>
      <c r="B69" s="39"/>
      <c r="C69" s="50"/>
      <c r="D69" s="32">
        <v>0</v>
      </c>
      <c r="E69" s="32">
        <v>0</v>
      </c>
      <c r="F69" s="38">
        <f t="shared" si="0"/>
        <v>0</v>
      </c>
      <c r="G69" s="38">
        <f t="shared" si="1"/>
        <v>0</v>
      </c>
      <c r="H69" s="38">
        <f t="shared" si="2"/>
        <v>0</v>
      </c>
      <c r="I69" s="38">
        <f t="shared" si="3"/>
        <v>0</v>
      </c>
      <c r="J69" s="755"/>
      <c r="K69" s="755"/>
      <c r="L69" s="755"/>
      <c r="M69" s="755"/>
      <c r="N69" s="244" t="s">
        <v>611</v>
      </c>
      <c r="O69" s="244"/>
      <c r="X69" s="191"/>
    </row>
    <row r="70" spans="1:31" x14ac:dyDescent="0.2">
      <c r="A70" s="26" t="s">
        <v>198</v>
      </c>
      <c r="B70" s="39">
        <f>IF(Eingabewerte!D3="Auftrag",Eingabewerte!K17-Geraetedaten!Y30,N70)</f>
        <v>-183.84506649222749</v>
      </c>
      <c r="C70" s="50">
        <f>B7-B17</f>
        <v>8025</v>
      </c>
      <c r="D70" s="32">
        <v>1</v>
      </c>
      <c r="E70" s="32">
        <v>1</v>
      </c>
      <c r="F70" s="38">
        <f t="shared" si="0"/>
        <v>-183.84506649222749</v>
      </c>
      <c r="G70" s="38">
        <f t="shared" si="1"/>
        <v>-1475.3566586001257</v>
      </c>
      <c r="H70" s="38">
        <f t="shared" si="2"/>
        <v>-183.84506649222749</v>
      </c>
      <c r="I70" s="38">
        <f t="shared" si="3"/>
        <v>-1475.3566586001257</v>
      </c>
      <c r="J70" s="755"/>
      <c r="K70" s="755"/>
      <c r="L70" s="755"/>
      <c r="M70" s="755"/>
      <c r="N70" s="272">
        <v>343.96805287388361</v>
      </c>
      <c r="O70" s="243"/>
      <c r="X70" s="191" t="s">
        <v>564</v>
      </c>
      <c r="Y70" s="1">
        <f>B30-SUM(B35:B37)+B10</f>
        <v>13043.8124362895</v>
      </c>
      <c r="AB70">
        <f>SUM(AC66:AC68)/Y70</f>
        <v>36.949715749406501</v>
      </c>
      <c r="AD70" s="224"/>
    </row>
    <row r="71" spans="1:31" x14ac:dyDescent="0.2">
      <c r="A71" s="26" t="s">
        <v>199</v>
      </c>
      <c r="B71" s="39">
        <f>IF(Eingabewerte!D3="Auftrag",Eingabewerte!K18-Geraetedaten!Z30,N71)</f>
        <v>-322.54249721827364</v>
      </c>
      <c r="C71" s="50">
        <f>-B17</f>
        <v>2323.7804878048782</v>
      </c>
      <c r="D71" s="32">
        <v>1</v>
      </c>
      <c r="E71" s="32">
        <v>1</v>
      </c>
      <c r="F71" s="38">
        <f t="shared" si="0"/>
        <v>-322.54249721827364</v>
      </c>
      <c r="G71" s="38">
        <f t="shared" si="1"/>
        <v>-749.51796152368354</v>
      </c>
      <c r="H71" s="38">
        <f t="shared" si="2"/>
        <v>-322.54249721827364</v>
      </c>
      <c r="I71" s="38">
        <f t="shared" si="3"/>
        <v>-749.51796152368354</v>
      </c>
      <c r="J71" s="755"/>
      <c r="K71" s="755"/>
      <c r="L71" s="755"/>
      <c r="M71" s="755"/>
      <c r="N71" s="272">
        <v>-125.08324145695951</v>
      </c>
      <c r="O71" s="243"/>
      <c r="X71" s="191" t="s">
        <v>563</v>
      </c>
      <c r="Y71" s="1">
        <f>Z41</f>
        <v>12514.612436289499</v>
      </c>
      <c r="AB71">
        <f>(Y70*AB70+Y58*Eingabewerte!D23*Eingabewerte!D22)/Y71</f>
        <v>21.942761967855965</v>
      </c>
    </row>
    <row r="72" spans="1:31" x14ac:dyDescent="0.2">
      <c r="A72" s="26"/>
      <c r="B72" s="39"/>
      <c r="C72" s="50"/>
      <c r="D72" s="32">
        <v>0</v>
      </c>
      <c r="E72" s="32">
        <v>0</v>
      </c>
      <c r="F72" s="38">
        <f t="shared" si="0"/>
        <v>0</v>
      </c>
      <c r="G72" s="38">
        <f t="shared" si="1"/>
        <v>0</v>
      </c>
      <c r="H72" s="38">
        <f t="shared" si="2"/>
        <v>0</v>
      </c>
      <c r="I72" s="38">
        <f t="shared" si="3"/>
        <v>0</v>
      </c>
      <c r="J72" s="755"/>
      <c r="K72" s="755"/>
      <c r="L72" s="755"/>
      <c r="M72" s="755"/>
      <c r="N72" s="58"/>
      <c r="O72" s="58"/>
    </row>
    <row r="73" spans="1:31" x14ac:dyDescent="0.2">
      <c r="A73" s="174" t="s">
        <v>381</v>
      </c>
      <c r="B73" s="181"/>
      <c r="C73" s="182"/>
      <c r="D73" s="183">
        <v>0</v>
      </c>
      <c r="E73" s="183">
        <v>0</v>
      </c>
      <c r="F73" s="182">
        <f t="shared" si="0"/>
        <v>0</v>
      </c>
      <c r="G73" s="182">
        <f t="shared" si="1"/>
        <v>0</v>
      </c>
      <c r="H73" s="182">
        <f t="shared" si="2"/>
        <v>0</v>
      </c>
      <c r="I73" s="182">
        <f t="shared" si="3"/>
        <v>0</v>
      </c>
      <c r="J73" s="764"/>
      <c r="K73" s="764"/>
      <c r="L73" s="764"/>
      <c r="M73" s="764"/>
      <c r="N73" s="58"/>
      <c r="O73" s="58"/>
      <c r="R73" t="s">
        <v>382</v>
      </c>
      <c r="S73" t="s">
        <v>383</v>
      </c>
      <c r="T73" t="s">
        <v>384</v>
      </c>
    </row>
    <row r="74" spans="1:31" x14ac:dyDescent="0.2">
      <c r="A74" s="26"/>
      <c r="B74" s="39"/>
      <c r="C74" s="50"/>
      <c r="D74" s="32">
        <v>0</v>
      </c>
      <c r="E74" s="32">
        <v>0</v>
      </c>
      <c r="F74" s="38">
        <f>B74*D74</f>
        <v>0</v>
      </c>
      <c r="G74" s="38">
        <f>F74*C74/1000</f>
        <v>0</v>
      </c>
      <c r="H74" s="38">
        <f>B74*E74</f>
        <v>0</v>
      </c>
      <c r="I74" s="38">
        <f>H74*C74/1000</f>
        <v>0</v>
      </c>
      <c r="J74" s="755"/>
      <c r="K74" s="755"/>
      <c r="L74" s="755"/>
      <c r="M74" s="755"/>
      <c r="N74" s="58"/>
      <c r="O74" s="58"/>
      <c r="R74" s="1">
        <f>SUM(F74:F81)</f>
        <v>334.80100000000004</v>
      </c>
      <c r="S74">
        <f>(B17+(SUM(G74:G81)/SUM(F74:F81)*1000))*R74/B7</f>
        <v>136.61848010695181</v>
      </c>
      <c r="T74" s="1">
        <f>R74-S74</f>
        <v>198.18251989304824</v>
      </c>
    </row>
    <row r="75" spans="1:31" x14ac:dyDescent="0.2">
      <c r="A75" s="34" t="s">
        <v>380</v>
      </c>
      <c r="B75" s="39">
        <v>75</v>
      </c>
      <c r="C75" s="50">
        <f>C70</f>
        <v>8025</v>
      </c>
      <c r="D75" s="32">
        <f>Gewichtsbilanz!G17</f>
        <v>2</v>
      </c>
      <c r="E75" s="32">
        <v>0</v>
      </c>
      <c r="F75" s="38">
        <f>B75*D75</f>
        <v>150</v>
      </c>
      <c r="G75" s="38">
        <f>F75*C75/1000</f>
        <v>1203.75</v>
      </c>
      <c r="H75" s="38">
        <f>B75*E75</f>
        <v>0</v>
      </c>
      <c r="I75" s="38">
        <f>H75*C75/1000</f>
        <v>0</v>
      </c>
      <c r="J75" s="755"/>
      <c r="K75" s="755"/>
      <c r="L75" s="755"/>
      <c r="M75" s="755"/>
      <c r="N75" s="58"/>
      <c r="O75" s="58"/>
    </row>
    <row r="76" spans="1:31" x14ac:dyDescent="0.2">
      <c r="A76" s="34"/>
      <c r="B76" s="39"/>
      <c r="C76" s="50"/>
      <c r="D76" s="32">
        <v>0</v>
      </c>
      <c r="E76" s="32">
        <v>0</v>
      </c>
      <c r="F76" s="38">
        <f t="shared" si="0"/>
        <v>0</v>
      </c>
      <c r="G76" s="38">
        <f t="shared" si="1"/>
        <v>0</v>
      </c>
      <c r="H76" s="38">
        <f t="shared" si="2"/>
        <v>0</v>
      </c>
      <c r="I76" s="38">
        <f t="shared" si="3"/>
        <v>0</v>
      </c>
      <c r="J76" s="755"/>
      <c r="K76" s="755"/>
      <c r="L76" s="755"/>
      <c r="M76" s="755"/>
      <c r="N76" s="58"/>
      <c r="O76" s="58"/>
    </row>
    <row r="77" spans="1:31" x14ac:dyDescent="0.2">
      <c r="A77" s="34" t="s">
        <v>376</v>
      </c>
      <c r="B77" s="39">
        <f>Eingabewerte!D22*(100-Eingabewerte!D23)/100*0.8</f>
        <v>64.8</v>
      </c>
      <c r="C77" s="50">
        <f>C68</f>
        <v>4523.7804878048782</v>
      </c>
      <c r="D77" s="32">
        <v>1</v>
      </c>
      <c r="E77" s="32">
        <v>0</v>
      </c>
      <c r="F77" s="38">
        <f t="shared" si="0"/>
        <v>64.8</v>
      </c>
      <c r="G77" s="38">
        <f t="shared" si="1"/>
        <v>293.14097560975608</v>
      </c>
      <c r="H77" s="38">
        <f t="shared" si="2"/>
        <v>0</v>
      </c>
      <c r="I77" s="38">
        <f t="shared" si="3"/>
        <v>0</v>
      </c>
      <c r="J77" s="755"/>
      <c r="K77" s="755"/>
      <c r="L77" s="755"/>
      <c r="M77" s="755"/>
      <c r="N77" s="58"/>
      <c r="O77" s="58"/>
    </row>
    <row r="78" spans="1:31" x14ac:dyDescent="0.2">
      <c r="A78" s="31" t="s">
        <v>110</v>
      </c>
      <c r="B78" s="39">
        <v>1E-3</v>
      </c>
      <c r="C78" s="39">
        <f>C65</f>
        <v>5000</v>
      </c>
      <c r="D78" s="178">
        <f>IF(Eingabewerte!D25="ja",0,1)</f>
        <v>1</v>
      </c>
      <c r="E78" s="32">
        <v>0</v>
      </c>
      <c r="F78" s="38">
        <f>B78*D78</f>
        <v>1E-3</v>
      </c>
      <c r="G78" s="38">
        <f>F78*C78/1000</f>
        <v>5.0000000000000001E-3</v>
      </c>
      <c r="H78" s="38">
        <f>B78*E78</f>
        <v>0</v>
      </c>
      <c r="I78" s="38">
        <f>H78*C78/1000</f>
        <v>0</v>
      </c>
      <c r="J78" s="755"/>
      <c r="K78" s="755"/>
      <c r="L78" s="755"/>
      <c r="M78" s="755"/>
      <c r="N78" s="58"/>
      <c r="O78" s="58"/>
    </row>
    <row r="79" spans="1:31" x14ac:dyDescent="0.2">
      <c r="A79" s="31" t="s">
        <v>187</v>
      </c>
      <c r="B79" s="39">
        <f>B66</f>
        <v>120</v>
      </c>
      <c r="C79" s="39">
        <f>C66</f>
        <v>500</v>
      </c>
      <c r="D79" s="178">
        <f>IF(Eingabewerte!D26="ja",0,1)</f>
        <v>1</v>
      </c>
      <c r="E79" s="32">
        <v>0</v>
      </c>
      <c r="F79" s="38">
        <f>B79*D79</f>
        <v>120</v>
      </c>
      <c r="G79" s="38">
        <f>F79*C79/1000</f>
        <v>60</v>
      </c>
      <c r="H79" s="38">
        <f>B79*E79</f>
        <v>0</v>
      </c>
      <c r="I79" s="38">
        <f>H79*C79/1000</f>
        <v>0</v>
      </c>
      <c r="J79" s="755"/>
      <c r="K79" s="755"/>
      <c r="L79" s="755"/>
      <c r="M79" s="755"/>
      <c r="N79" s="58"/>
      <c r="O79" s="58"/>
    </row>
    <row r="80" spans="1:31" x14ac:dyDescent="0.2">
      <c r="A80" s="31" t="s">
        <v>379</v>
      </c>
      <c r="B80" s="39"/>
      <c r="C80" s="39"/>
      <c r="D80" s="32">
        <v>0</v>
      </c>
      <c r="E80" s="32">
        <v>0</v>
      </c>
      <c r="F80" s="38">
        <f>B80*D80</f>
        <v>0</v>
      </c>
      <c r="G80" s="38">
        <f>F80*C80/1000</f>
        <v>0</v>
      </c>
      <c r="H80" s="38">
        <f>B80*E80</f>
        <v>0</v>
      </c>
      <c r="I80" s="38">
        <f>H80*C80/1000</f>
        <v>0</v>
      </c>
      <c r="J80" s="755"/>
      <c r="K80" s="755"/>
      <c r="L80" s="755"/>
      <c r="M80" s="755"/>
      <c r="N80" s="58"/>
      <c r="O80" s="58"/>
    </row>
    <row r="81" spans="1:28" x14ac:dyDescent="0.2">
      <c r="A81" s="26"/>
      <c r="B81" s="39"/>
      <c r="C81" s="50"/>
      <c r="D81" s="32">
        <v>1</v>
      </c>
      <c r="E81" s="32">
        <v>0</v>
      </c>
      <c r="F81" s="38">
        <f t="shared" si="0"/>
        <v>0</v>
      </c>
      <c r="G81" s="38">
        <f t="shared" si="1"/>
        <v>0</v>
      </c>
      <c r="H81" s="38">
        <f t="shared" si="2"/>
        <v>0</v>
      </c>
      <c r="I81" s="38">
        <f t="shared" si="3"/>
        <v>0</v>
      </c>
      <c r="J81" s="755"/>
      <c r="K81" s="755"/>
      <c r="L81" s="755"/>
      <c r="M81" s="755"/>
      <c r="N81" s="58"/>
      <c r="O81" s="58"/>
    </row>
    <row r="82" spans="1:28" x14ac:dyDescent="0.2">
      <c r="N82" s="58"/>
      <c r="O82" s="58"/>
    </row>
    <row r="83" spans="1:28" s="224" customFormat="1" ht="18" customHeight="1" x14ac:dyDescent="0.25">
      <c r="A83" s="734" t="s">
        <v>553</v>
      </c>
      <c r="B83" s="734"/>
      <c r="C83" s="734"/>
      <c r="D83" s="734"/>
      <c r="E83" s="734"/>
      <c r="F83" s="734"/>
      <c r="G83" s="734"/>
      <c r="H83" s="734"/>
      <c r="I83" s="734"/>
      <c r="J83" s="734"/>
      <c r="K83" s="734"/>
      <c r="L83" s="734"/>
      <c r="M83" s="734"/>
      <c r="N83" s="58"/>
      <c r="O83" s="58"/>
      <c r="X83"/>
      <c r="Y83"/>
      <c r="Z83"/>
      <c r="AA83"/>
      <c r="AB83"/>
    </row>
    <row r="84" spans="1:28" s="224" customFormat="1" ht="12.75" customHeight="1" x14ac:dyDescent="0.2">
      <c r="A84" s="227" t="s">
        <v>552</v>
      </c>
      <c r="B84" s="226">
        <v>55</v>
      </c>
      <c r="C84" s="752" t="s">
        <v>28</v>
      </c>
      <c r="D84" s="753"/>
      <c r="E84" s="754"/>
      <c r="F84" s="788"/>
      <c r="G84" s="789"/>
      <c r="H84" s="789"/>
      <c r="I84" s="789"/>
      <c r="J84" s="789"/>
      <c r="K84" s="789"/>
      <c r="L84" s="789"/>
      <c r="M84" s="790"/>
      <c r="N84" s="58"/>
      <c r="O84" s="58"/>
    </row>
    <row r="85" spans="1:28" s="224" customFormat="1" ht="12.75" customHeight="1" x14ac:dyDescent="0.2">
      <c r="A85" s="228" t="s">
        <v>565</v>
      </c>
      <c r="B85" s="226">
        <v>-44</v>
      </c>
      <c r="C85" s="752" t="s">
        <v>28</v>
      </c>
      <c r="D85" s="753"/>
      <c r="E85" s="754"/>
      <c r="F85" s="788"/>
      <c r="G85" s="789"/>
      <c r="H85" s="789"/>
      <c r="I85" s="789"/>
      <c r="J85" s="789"/>
      <c r="K85" s="789"/>
      <c r="L85" s="789"/>
      <c r="M85" s="790"/>
      <c r="N85" s="58"/>
      <c r="O85" s="58"/>
    </row>
    <row r="86" spans="1:28" s="224" customFormat="1" x14ac:dyDescent="0.2">
      <c r="A86" s="228" t="s">
        <v>566</v>
      </c>
      <c r="B86" s="230">
        <f>AB71-B84</f>
        <v>-33.057238032144035</v>
      </c>
      <c r="C86" s="752" t="s">
        <v>28</v>
      </c>
      <c r="D86" s="753"/>
      <c r="E86" s="754"/>
      <c r="F86" s="788"/>
      <c r="G86" s="789"/>
      <c r="H86" s="789"/>
      <c r="I86" s="789"/>
      <c r="J86" s="789"/>
      <c r="K86" s="789"/>
      <c r="L86" s="789"/>
      <c r="M86" s="790"/>
      <c r="N86" s="58"/>
      <c r="O86" s="58"/>
    </row>
    <row r="87" spans="1:28" s="224" customFormat="1" x14ac:dyDescent="0.2">
      <c r="B87" s="2"/>
      <c r="D87" s="6"/>
      <c r="E87" s="6"/>
      <c r="N87" s="58"/>
      <c r="O87" s="58"/>
    </row>
    <row r="88" spans="1:28" x14ac:dyDescent="0.2">
      <c r="B88" s="23"/>
      <c r="N88" s="58"/>
      <c r="O88" s="58"/>
      <c r="X88" s="224"/>
      <c r="Y88" s="224"/>
      <c r="Z88" s="224"/>
      <c r="AA88" s="224"/>
      <c r="AB88" s="224"/>
    </row>
    <row r="89" spans="1:28" ht="18" x14ac:dyDescent="0.25">
      <c r="A89" s="792" t="s">
        <v>160</v>
      </c>
      <c r="B89" s="792"/>
      <c r="C89" s="792"/>
      <c r="D89" s="792"/>
      <c r="E89" s="792"/>
      <c r="F89" s="792"/>
      <c r="G89" s="792"/>
      <c r="H89" s="792"/>
      <c r="I89" s="792"/>
      <c r="J89" s="792"/>
      <c r="K89" s="792"/>
      <c r="L89" s="792"/>
      <c r="M89" s="792"/>
      <c r="N89" s="58"/>
      <c r="O89" s="58"/>
      <c r="X89" s="224"/>
      <c r="Y89" s="224"/>
      <c r="Z89" s="224"/>
      <c r="AA89" s="224"/>
      <c r="AB89" s="224"/>
    </row>
    <row r="90" spans="1:28" x14ac:dyDescent="0.2">
      <c r="A90" s="36" t="s">
        <v>62</v>
      </c>
      <c r="B90" s="51">
        <v>92600</v>
      </c>
      <c r="C90" s="785" t="s">
        <v>63</v>
      </c>
      <c r="D90" s="786"/>
      <c r="E90" s="787"/>
      <c r="F90" s="766" t="s">
        <v>65</v>
      </c>
      <c r="G90" s="766"/>
      <c r="H90" s="766"/>
      <c r="I90" s="766"/>
      <c r="J90" s="766"/>
      <c r="K90" s="766"/>
      <c r="L90" s="766"/>
      <c r="M90" s="766"/>
      <c r="N90" s="58"/>
      <c r="O90" s="58"/>
    </row>
    <row r="91" spans="1:28" x14ac:dyDescent="0.2">
      <c r="A91" s="25" t="s">
        <v>67</v>
      </c>
      <c r="B91" s="52">
        <v>2100</v>
      </c>
      <c r="C91" s="785" t="s">
        <v>28</v>
      </c>
      <c r="D91" s="786"/>
      <c r="E91" s="787"/>
      <c r="F91" s="766" t="s">
        <v>68</v>
      </c>
      <c r="G91" s="766"/>
      <c r="H91" s="766"/>
      <c r="I91" s="766"/>
      <c r="J91" s="766"/>
      <c r="K91" s="766"/>
      <c r="L91" s="766"/>
      <c r="M91" s="766"/>
      <c r="N91" s="58"/>
      <c r="O91" s="58"/>
    </row>
    <row r="92" spans="1:28" x14ac:dyDescent="0.2">
      <c r="A92" s="25" t="s">
        <v>64</v>
      </c>
      <c r="B92" s="52">
        <v>235800</v>
      </c>
      <c r="C92" s="785" t="s">
        <v>63</v>
      </c>
      <c r="D92" s="786"/>
      <c r="E92" s="787"/>
      <c r="F92" s="766" t="s">
        <v>66</v>
      </c>
      <c r="G92" s="766"/>
      <c r="H92" s="766"/>
      <c r="I92" s="766"/>
      <c r="J92" s="766"/>
      <c r="K92" s="766"/>
      <c r="L92" s="766"/>
      <c r="M92" s="766"/>
      <c r="N92" s="58"/>
      <c r="O92" s="58"/>
    </row>
    <row r="93" spans="1:28" x14ac:dyDescent="0.2">
      <c r="A93" s="25" t="s">
        <v>69</v>
      </c>
      <c r="B93" s="52">
        <v>1750</v>
      </c>
      <c r="C93" s="785" t="s">
        <v>28</v>
      </c>
      <c r="D93" s="786"/>
      <c r="E93" s="787"/>
      <c r="F93" s="766" t="s">
        <v>68</v>
      </c>
      <c r="G93" s="766"/>
      <c r="H93" s="766"/>
      <c r="I93" s="766"/>
      <c r="J93" s="766"/>
      <c r="K93" s="766"/>
      <c r="L93" s="766"/>
      <c r="M93" s="766"/>
      <c r="N93" s="58"/>
      <c r="O93" s="58"/>
    </row>
    <row r="94" spans="1:28" x14ac:dyDescent="0.2">
      <c r="A94" s="25" t="s">
        <v>72</v>
      </c>
      <c r="B94" s="52">
        <f>100*1.1*1.4</f>
        <v>154</v>
      </c>
      <c r="C94" s="785" t="s">
        <v>73</v>
      </c>
      <c r="D94" s="786"/>
      <c r="E94" s="787"/>
      <c r="F94" s="766" t="s">
        <v>74</v>
      </c>
      <c r="G94" s="766"/>
      <c r="H94" s="766"/>
      <c r="I94" s="766"/>
      <c r="J94" s="766"/>
      <c r="K94" s="766"/>
      <c r="L94" s="766"/>
      <c r="M94" s="766"/>
      <c r="N94" s="58"/>
      <c r="O94" s="58"/>
    </row>
    <row r="95" spans="1:28" x14ac:dyDescent="0.2">
      <c r="N95" s="58"/>
      <c r="O95" s="58"/>
    </row>
    <row r="96" spans="1:28" x14ac:dyDescent="0.2">
      <c r="N96" s="58"/>
      <c r="O96" s="58"/>
    </row>
    <row r="97" spans="1:19" ht="18" x14ac:dyDescent="0.25">
      <c r="A97" s="742" t="s">
        <v>95</v>
      </c>
      <c r="B97" s="742"/>
      <c r="C97" s="742"/>
      <c r="D97" s="742"/>
      <c r="E97" s="742"/>
      <c r="F97" s="742"/>
      <c r="G97" s="742"/>
      <c r="H97" s="742"/>
      <c r="I97" s="742"/>
      <c r="J97" s="742"/>
      <c r="K97" s="742"/>
      <c r="L97" s="742"/>
      <c r="M97" s="742"/>
      <c r="N97" s="58"/>
      <c r="O97" s="58"/>
    </row>
    <row r="98" spans="1:19" ht="12.75" customHeight="1" x14ac:dyDescent="0.25">
      <c r="A98" s="53" t="s">
        <v>275</v>
      </c>
      <c r="B98" s="96">
        <v>0</v>
      </c>
      <c r="C98" s="739" t="s">
        <v>22</v>
      </c>
      <c r="D98" s="740"/>
      <c r="E98" s="741"/>
      <c r="F98" s="746"/>
      <c r="G98" s="747"/>
      <c r="H98" s="747"/>
      <c r="I98" s="747"/>
      <c r="J98" s="747"/>
      <c r="K98" s="747"/>
      <c r="L98" s="747"/>
      <c r="M98" s="748"/>
      <c r="N98" s="58"/>
      <c r="O98" s="58"/>
    </row>
    <row r="99" spans="1:19" ht="12.75" customHeight="1" x14ac:dyDescent="0.25">
      <c r="A99" s="53" t="s">
        <v>276</v>
      </c>
      <c r="B99" s="102">
        <f>Geraetedaten!B18*SIN(Geraetedaten!B98*PI()/180)</f>
        <v>0</v>
      </c>
      <c r="C99" s="739" t="s">
        <v>28</v>
      </c>
      <c r="D99" s="740"/>
      <c r="E99" s="741"/>
      <c r="F99" s="284"/>
      <c r="G99" s="283"/>
      <c r="H99" s="283"/>
      <c r="I99" s="283"/>
      <c r="J99" s="283"/>
      <c r="K99" s="283"/>
      <c r="L99" s="282" t="s">
        <v>659</v>
      </c>
      <c r="M99" s="282" t="s">
        <v>658</v>
      </c>
      <c r="N99" s="282" t="s">
        <v>657</v>
      </c>
      <c r="O99" s="282" t="s">
        <v>657</v>
      </c>
      <c r="P99" s="271"/>
      <c r="Q99" s="271"/>
      <c r="R99" s="191" t="s">
        <v>656</v>
      </c>
      <c r="S99" s="191" t="s">
        <v>656</v>
      </c>
    </row>
    <row r="100" spans="1:19" ht="12.75" customHeight="1" x14ac:dyDescent="0.25">
      <c r="A100" s="743"/>
      <c r="B100" s="744"/>
      <c r="C100" s="744"/>
      <c r="D100" s="744"/>
      <c r="E100" s="744"/>
      <c r="F100" s="744"/>
      <c r="G100" s="744"/>
      <c r="H100" s="744"/>
      <c r="I100" s="744"/>
      <c r="J100" s="744"/>
      <c r="K100" s="744"/>
      <c r="L100" s="744"/>
      <c r="M100" s="745"/>
      <c r="N100" s="282"/>
      <c r="O100" s="282" t="s">
        <v>655</v>
      </c>
      <c r="P100" s="271"/>
      <c r="Q100" s="271"/>
      <c r="R100" s="191" t="s">
        <v>528</v>
      </c>
      <c r="S100" s="191" t="s">
        <v>530</v>
      </c>
    </row>
    <row r="101" spans="1:19" x14ac:dyDescent="0.2">
      <c r="A101" s="53" t="s">
        <v>26</v>
      </c>
      <c r="B101" s="96">
        <f>IF(M101&gt;=0,M101-B$99,M101+B$99)</f>
        <v>6128</v>
      </c>
      <c r="C101" s="739" t="s">
        <v>28</v>
      </c>
      <c r="D101" s="740"/>
      <c r="E101" s="741"/>
      <c r="F101" s="97"/>
      <c r="G101" s="98"/>
      <c r="H101" s="98"/>
      <c r="I101" s="98"/>
      <c r="J101" s="98"/>
      <c r="K101" s="98"/>
      <c r="L101" s="98">
        <f>IF(Eingabewerte!$M$49=1,Geraetedaten!S101,Geraetedaten!R101)</f>
        <v>6348</v>
      </c>
      <c r="M101" s="35">
        <f>IF(Eingabewerte!$M$49=1,L101-O101,L101-N101)</f>
        <v>6128</v>
      </c>
      <c r="N101" s="97">
        <v>220</v>
      </c>
      <c r="O101" s="97">
        <v>950</v>
      </c>
      <c r="P101" s="271">
        <v>0</v>
      </c>
      <c r="Q101" s="271"/>
      <c r="R101" s="35">
        <v>6348</v>
      </c>
      <c r="S101" s="35">
        <v>6988</v>
      </c>
    </row>
    <row r="102" spans="1:19" x14ac:dyDescent="0.2">
      <c r="A102" s="12" t="s">
        <v>29</v>
      </c>
      <c r="B102" s="96">
        <f>IF(M102&gt;=0,M102-B$99,M102+B$99)</f>
        <v>-1152</v>
      </c>
      <c r="C102" s="739" t="s">
        <v>28</v>
      </c>
      <c r="D102" s="740"/>
      <c r="E102" s="741"/>
      <c r="F102" s="97" t="s">
        <v>31</v>
      </c>
      <c r="G102" s="98"/>
      <c r="H102" s="98"/>
      <c r="I102" s="98"/>
      <c r="J102" s="98"/>
      <c r="K102" s="98"/>
      <c r="L102" s="98">
        <f>IF(Eingabewerte!$M$49=1,Geraetedaten!S102,Geraetedaten!R102)</f>
        <v>-1172</v>
      </c>
      <c r="M102" s="35">
        <f>IF(Eingabewerte!$M$49=1,L102-O102,L102-N102)</f>
        <v>-1152</v>
      </c>
      <c r="N102" s="97">
        <v>-20</v>
      </c>
      <c r="O102" s="97"/>
      <c r="P102" s="271"/>
      <c r="Q102" s="271"/>
      <c r="R102" s="29">
        <v>-1172</v>
      </c>
      <c r="S102" s="29">
        <v>-1172</v>
      </c>
    </row>
    <row r="103" spans="1:19" x14ac:dyDescent="0.2">
      <c r="A103" s="12" t="s">
        <v>27</v>
      </c>
      <c r="B103" s="96">
        <f>IF(M103&gt;=0,M103-B$99,M103+B$99)</f>
        <v>6186</v>
      </c>
      <c r="C103" s="739" t="s">
        <v>28</v>
      </c>
      <c r="D103" s="740"/>
      <c r="E103" s="741"/>
      <c r="F103" s="97"/>
      <c r="G103" s="98"/>
      <c r="H103" s="98"/>
      <c r="I103" s="98"/>
      <c r="J103" s="98"/>
      <c r="K103" s="98"/>
      <c r="L103" s="98">
        <f>IF(Eingabewerte!$M$49=1,Geraetedaten!S103,Geraetedaten!R103)</f>
        <v>6186</v>
      </c>
      <c r="M103" s="35">
        <f>IF(Eingabewerte!$M$49=1,L103-O103,L103-N103)</f>
        <v>6186</v>
      </c>
      <c r="N103" s="97"/>
      <c r="O103" s="97"/>
      <c r="P103" s="271"/>
      <c r="Q103" s="271"/>
      <c r="R103" s="29">
        <v>6186</v>
      </c>
      <c r="S103" s="29">
        <v>6826</v>
      </c>
    </row>
    <row r="104" spans="1:19" x14ac:dyDescent="0.2">
      <c r="A104" s="12" t="s">
        <v>30</v>
      </c>
      <c r="B104" s="96">
        <f>IF(M104&gt;=0,M104-B$99,M104+B$99)</f>
        <v>-4228</v>
      </c>
      <c r="C104" s="739" t="s">
        <v>28</v>
      </c>
      <c r="D104" s="740"/>
      <c r="E104" s="741"/>
      <c r="F104" s="97" t="s">
        <v>32</v>
      </c>
      <c r="G104" s="98"/>
      <c r="H104" s="98"/>
      <c r="I104" s="98"/>
      <c r="J104" s="98"/>
      <c r="K104" s="98"/>
      <c r="L104" s="98">
        <f>IF(Eingabewerte!$M$49=1,Geraetedaten!S104,Geraetedaten!R104)</f>
        <v>-4253</v>
      </c>
      <c r="M104" s="35">
        <f>IF(Eingabewerte!$M$49=1,L104-O104,L104-N104)</f>
        <v>-4228</v>
      </c>
      <c r="N104" s="97">
        <v>-25</v>
      </c>
      <c r="O104" s="97"/>
      <c r="P104" s="271"/>
      <c r="Q104" s="271"/>
      <c r="R104" s="29">
        <v>-4253</v>
      </c>
      <c r="S104" s="29">
        <v>-4253</v>
      </c>
    </row>
    <row r="105" spans="1:19" x14ac:dyDescent="0.2">
      <c r="A105" s="750"/>
      <c r="B105" s="751"/>
      <c r="C105" s="751"/>
      <c r="D105" s="751"/>
      <c r="E105" s="751"/>
      <c r="F105" s="751"/>
      <c r="G105" s="751"/>
      <c r="H105" s="751"/>
      <c r="I105" s="751"/>
      <c r="J105" s="751"/>
      <c r="K105" s="751"/>
      <c r="L105" s="751"/>
      <c r="M105" s="751"/>
      <c r="N105" s="58"/>
      <c r="O105" s="58"/>
      <c r="R105" s="268"/>
      <c r="S105" s="268"/>
    </row>
    <row r="106" spans="1:19" x14ac:dyDescent="0.2">
      <c r="A106" s="12" t="s">
        <v>33</v>
      </c>
      <c r="B106" s="96">
        <f>IF(M106&gt;=0,M106-Geraetedaten!B$99,M106+Geraetedaten!B$99)</f>
        <v>-750</v>
      </c>
      <c r="C106" s="739" t="s">
        <v>28</v>
      </c>
      <c r="D106" s="740"/>
      <c r="E106" s="741"/>
      <c r="F106" s="97"/>
      <c r="G106" s="98"/>
      <c r="H106" s="98"/>
      <c r="I106" s="98"/>
      <c r="J106" s="98"/>
      <c r="K106" s="98"/>
      <c r="L106" s="98">
        <f>IF(Eingabewerte!$M$49=1,Geraetedaten!S106,Geraetedaten!R106)</f>
        <v>-819</v>
      </c>
      <c r="M106" s="35">
        <f>IF(Eingabewerte!$M$49=1,L106-O106,L106-N106)</f>
        <v>-750</v>
      </c>
      <c r="N106" s="97">
        <v>-69</v>
      </c>
      <c r="O106" s="97">
        <v>-150</v>
      </c>
      <c r="P106" s="271"/>
      <c r="Q106" s="271"/>
      <c r="R106" s="29">
        <v>-819</v>
      </c>
      <c r="S106" s="29">
        <v>-819</v>
      </c>
    </row>
    <row r="107" spans="1:19" x14ac:dyDescent="0.2">
      <c r="A107" s="12" t="s">
        <v>34</v>
      </c>
      <c r="B107" s="96">
        <f>IF(M107&gt;=0,M107-Geraetedaten!B$99,M107+Geraetedaten!B$99)</f>
        <v>-1140</v>
      </c>
      <c r="C107" s="739" t="s">
        <v>28</v>
      </c>
      <c r="D107" s="740"/>
      <c r="E107" s="741"/>
      <c r="F107" s="97" t="s">
        <v>31</v>
      </c>
      <c r="G107" s="98"/>
      <c r="H107" s="98"/>
      <c r="I107" s="98"/>
      <c r="J107" s="98"/>
      <c r="K107" s="98"/>
      <c r="L107" s="98">
        <f>IF(Eingabewerte!$M$49=1,Geraetedaten!S107,Geraetedaten!R107)</f>
        <v>-1165</v>
      </c>
      <c r="M107" s="35">
        <f>IF(Eingabewerte!$M$49=1,L107-O107,L107-N107)</f>
        <v>-1140</v>
      </c>
      <c r="N107" s="97">
        <v>-25</v>
      </c>
      <c r="O107" s="97"/>
      <c r="P107" s="271"/>
      <c r="Q107" s="271"/>
      <c r="R107" s="29">
        <v>-1165</v>
      </c>
      <c r="S107" s="29">
        <v>-1165</v>
      </c>
    </row>
    <row r="108" spans="1:19" x14ac:dyDescent="0.2">
      <c r="A108" s="12" t="s">
        <v>35</v>
      </c>
      <c r="B108" s="96">
        <f>IF(M108&gt;=0,M108-Geraetedaten!B$99,M108+Geraetedaten!B$99)</f>
        <v>-750</v>
      </c>
      <c r="C108" s="739" t="s">
        <v>28</v>
      </c>
      <c r="D108" s="740"/>
      <c r="E108" s="741"/>
      <c r="F108" s="97"/>
      <c r="G108" s="98"/>
      <c r="H108" s="98"/>
      <c r="I108" s="98"/>
      <c r="J108" s="98"/>
      <c r="K108" s="98"/>
      <c r="L108" s="98">
        <f>IF(Eingabewerte!$M$49=1,Geraetedaten!S108,Geraetedaten!R108)</f>
        <v>-819</v>
      </c>
      <c r="M108" s="35">
        <f>IF(Eingabewerte!$M$49=1,L108-O108,L108-N108)</f>
        <v>-750</v>
      </c>
      <c r="N108" s="97">
        <v>-69</v>
      </c>
      <c r="O108" s="97"/>
      <c r="P108" s="271"/>
      <c r="Q108" s="271"/>
      <c r="R108" s="29">
        <v>-819</v>
      </c>
      <c r="S108" s="29">
        <v>-819</v>
      </c>
    </row>
    <row r="109" spans="1:19" x14ac:dyDescent="0.2">
      <c r="A109" s="12" t="s">
        <v>36</v>
      </c>
      <c r="B109" s="96">
        <f>IF(M109&gt;=0,M109-Geraetedaten!B$99,M109+Geraetedaten!B$99)</f>
        <v>-4225</v>
      </c>
      <c r="C109" s="739" t="s">
        <v>28</v>
      </c>
      <c r="D109" s="740"/>
      <c r="E109" s="741"/>
      <c r="F109" s="97" t="s">
        <v>32</v>
      </c>
      <c r="G109" s="98"/>
      <c r="H109" s="98"/>
      <c r="I109" s="98"/>
      <c r="J109" s="98"/>
      <c r="K109" s="98"/>
      <c r="L109" s="98">
        <f>IF(Eingabewerte!$M$49=1,Geraetedaten!S109,Geraetedaten!R109)</f>
        <v>-4250</v>
      </c>
      <c r="M109" s="35">
        <f>IF(Eingabewerte!$M$49=1,L109-O109,L109-N109)</f>
        <v>-4225</v>
      </c>
      <c r="N109" s="97">
        <v>-25</v>
      </c>
      <c r="O109" s="97"/>
      <c r="P109" s="271"/>
      <c r="Q109" s="271"/>
      <c r="R109" s="29">
        <v>-4250</v>
      </c>
      <c r="S109" s="29">
        <v>-4250</v>
      </c>
    </row>
    <row r="110" spans="1:19" x14ac:dyDescent="0.2">
      <c r="A110" s="750"/>
      <c r="B110" s="751"/>
      <c r="C110" s="751"/>
      <c r="D110" s="751"/>
      <c r="E110" s="751"/>
      <c r="F110" s="751"/>
      <c r="G110" s="751"/>
      <c r="H110" s="751"/>
      <c r="I110" s="751"/>
      <c r="J110" s="751"/>
      <c r="K110" s="751"/>
      <c r="L110" s="751"/>
      <c r="M110" s="751"/>
      <c r="N110" s="58"/>
      <c r="O110" s="58"/>
      <c r="P110" s="271"/>
      <c r="Q110" s="271"/>
      <c r="R110" s="271"/>
      <c r="S110" s="271"/>
    </row>
    <row r="111" spans="1:19" x14ac:dyDescent="0.2">
      <c r="A111" s="12" t="s">
        <v>37</v>
      </c>
      <c r="B111" s="96">
        <f>IF(M111&gt;=0,M111-Geraetedaten!B$99,M111+Geraetedaten!B$99)</f>
        <v>-750</v>
      </c>
      <c r="C111" s="739" t="s">
        <v>28</v>
      </c>
      <c r="D111" s="740"/>
      <c r="E111" s="741"/>
      <c r="F111" s="97"/>
      <c r="G111" s="98"/>
      <c r="H111" s="98"/>
      <c r="I111" s="98"/>
      <c r="J111" s="98"/>
      <c r="K111" s="98"/>
      <c r="L111" s="98">
        <f>IF(Eingabewerte!$M$49=1,Geraetedaten!S111,Geraetedaten!R111)</f>
        <v>-1155</v>
      </c>
      <c r="M111" s="35">
        <f>IF(Eingabewerte!$M$49=1,L111-O111,L111-N111)</f>
        <v>-750</v>
      </c>
      <c r="N111" s="97">
        <v>-405</v>
      </c>
      <c r="O111" s="97">
        <v>-150</v>
      </c>
      <c r="P111" s="271"/>
      <c r="Q111" s="271"/>
      <c r="R111" s="29">
        <v>-1155</v>
      </c>
      <c r="S111" s="29">
        <v>-1155</v>
      </c>
    </row>
    <row r="112" spans="1:19" x14ac:dyDescent="0.2">
      <c r="A112" s="12" t="s">
        <v>38</v>
      </c>
      <c r="B112" s="96">
        <f>IF(M112&gt;=0,M112-Geraetedaten!B$99,M112+Geraetedaten!B$99)</f>
        <v>1055</v>
      </c>
      <c r="C112" s="739" t="s">
        <v>28</v>
      </c>
      <c r="D112" s="740"/>
      <c r="E112" s="741"/>
      <c r="F112" s="97" t="s">
        <v>31</v>
      </c>
      <c r="G112" s="98"/>
      <c r="H112" s="98"/>
      <c r="I112" s="98"/>
      <c r="J112" s="98"/>
      <c r="K112" s="98"/>
      <c r="L112" s="98">
        <f>IF(Eingabewerte!$M$49=1,Geraetedaten!S112,Geraetedaten!R112)</f>
        <v>1055</v>
      </c>
      <c r="M112" s="35">
        <f>IF(Eingabewerte!$M$49=1,L112-O112,L112-N112)</f>
        <v>1055</v>
      </c>
      <c r="N112" s="97"/>
      <c r="O112" s="97"/>
      <c r="P112" s="271"/>
      <c r="Q112" s="271"/>
      <c r="R112" s="29">
        <v>1055</v>
      </c>
      <c r="S112" s="29">
        <v>1055</v>
      </c>
    </row>
    <row r="113" spans="1:19" x14ac:dyDescent="0.2">
      <c r="A113" s="12" t="s">
        <v>39</v>
      </c>
      <c r="B113" s="96">
        <f>IF(M113&gt;=0,M113-Geraetedaten!B$99,M113+Geraetedaten!B$99)</f>
        <v>-1075</v>
      </c>
      <c r="C113" s="739" t="s">
        <v>28</v>
      </c>
      <c r="D113" s="740"/>
      <c r="E113" s="741"/>
      <c r="F113" s="97"/>
      <c r="G113" s="98"/>
      <c r="H113" s="98"/>
      <c r="I113" s="98"/>
      <c r="J113" s="98"/>
      <c r="K113" s="98"/>
      <c r="L113" s="98">
        <f>IF(Eingabewerte!$M$49=1,Geraetedaten!S113,Geraetedaten!R113)</f>
        <v>-1155</v>
      </c>
      <c r="M113" s="35">
        <f>IF(Eingabewerte!$M$49=1,L113-O113,L113-N113)</f>
        <v>-1075</v>
      </c>
      <c r="N113" s="97">
        <v>-80</v>
      </c>
      <c r="O113" s="97"/>
      <c r="P113" s="271"/>
      <c r="Q113" s="271"/>
      <c r="R113" s="29">
        <v>-1155</v>
      </c>
      <c r="S113" s="29">
        <v>-1155</v>
      </c>
    </row>
    <row r="114" spans="1:19" x14ac:dyDescent="0.2">
      <c r="A114" s="12" t="s">
        <v>40</v>
      </c>
      <c r="B114" s="96">
        <f>IF(M114&gt;=0,M114-Geraetedaten!B$99,M114+Geraetedaten!B$99)</f>
        <v>4140</v>
      </c>
      <c r="C114" s="739" t="s">
        <v>28</v>
      </c>
      <c r="D114" s="740"/>
      <c r="E114" s="741"/>
      <c r="F114" s="97" t="s">
        <v>32</v>
      </c>
      <c r="G114" s="98"/>
      <c r="H114" s="98"/>
      <c r="I114" s="98"/>
      <c r="J114" s="98"/>
      <c r="K114" s="98"/>
      <c r="L114" s="98">
        <f>IF(Eingabewerte!$M$49=1,Geraetedaten!S114,Geraetedaten!R114)</f>
        <v>4140</v>
      </c>
      <c r="M114" s="35">
        <f>IF(Eingabewerte!$M$49=1,L114-O114,L114-N114)</f>
        <v>4140</v>
      </c>
      <c r="N114" s="97"/>
      <c r="O114" s="97"/>
      <c r="P114" s="271"/>
      <c r="Q114" s="271"/>
      <c r="R114" s="29">
        <v>4140</v>
      </c>
      <c r="S114" s="29">
        <v>4140</v>
      </c>
    </row>
    <row r="115" spans="1:19" x14ac:dyDescent="0.2">
      <c r="A115" s="750"/>
      <c r="B115" s="751"/>
      <c r="C115" s="751"/>
      <c r="D115" s="751"/>
      <c r="E115" s="751"/>
      <c r="F115" s="751"/>
      <c r="G115" s="751"/>
      <c r="H115" s="751"/>
      <c r="I115" s="751"/>
      <c r="J115" s="751"/>
      <c r="K115" s="751"/>
      <c r="L115" s="751"/>
      <c r="M115" s="751"/>
      <c r="N115" s="58"/>
      <c r="O115" s="58"/>
      <c r="P115" s="271"/>
      <c r="Q115" s="271"/>
      <c r="R115" s="271"/>
      <c r="S115" s="271"/>
    </row>
    <row r="116" spans="1:19" x14ac:dyDescent="0.2">
      <c r="A116" s="12" t="s">
        <v>41</v>
      </c>
      <c r="B116" s="96">
        <f>IF(M116&gt;=0,M116-Geraetedaten!B$99,M116+Geraetedaten!B$99)</f>
        <v>6128</v>
      </c>
      <c r="C116" s="739" t="s">
        <v>28</v>
      </c>
      <c r="D116" s="740"/>
      <c r="E116" s="741"/>
      <c r="F116" s="97"/>
      <c r="G116" s="98"/>
      <c r="H116" s="98"/>
      <c r="I116" s="98"/>
      <c r="J116" s="98"/>
      <c r="K116" s="98"/>
      <c r="L116" s="98">
        <f>IF(Eingabewerte!$M$49=1,Geraetedaten!S116,Geraetedaten!R116)</f>
        <v>6128</v>
      </c>
      <c r="M116" s="35">
        <f>IF(Eingabewerte!$M$49=1,L116-O116,L116-N116)</f>
        <v>6128</v>
      </c>
      <c r="N116" s="97">
        <v>0</v>
      </c>
      <c r="O116" s="97">
        <v>950</v>
      </c>
      <c r="P116" s="271"/>
      <c r="Q116" s="271"/>
      <c r="R116" s="35">
        <v>6128</v>
      </c>
      <c r="S116" s="35">
        <v>6768</v>
      </c>
    </row>
    <row r="117" spans="1:19" x14ac:dyDescent="0.2">
      <c r="A117" s="12" t="s">
        <v>42</v>
      </c>
      <c r="B117" s="96">
        <f>IF(M117&gt;=0,M117-Geraetedaten!B$99,M117+Geraetedaten!B$99)</f>
        <v>1062</v>
      </c>
      <c r="C117" s="739" t="s">
        <v>28</v>
      </c>
      <c r="D117" s="740"/>
      <c r="E117" s="741"/>
      <c r="F117" s="97" t="s">
        <v>31</v>
      </c>
      <c r="G117" s="98"/>
      <c r="H117" s="98"/>
      <c r="I117" s="98"/>
      <c r="J117" s="98"/>
      <c r="K117" s="98"/>
      <c r="L117" s="98">
        <f>IF(Eingabewerte!$M$49=1,Geraetedaten!S117,Geraetedaten!R117)</f>
        <v>1062</v>
      </c>
      <c r="M117" s="35">
        <f>IF(Eingabewerte!$M$49=1,L117-O117,L117-N117)</f>
        <v>1062</v>
      </c>
      <c r="N117" s="97"/>
      <c r="O117" s="97"/>
      <c r="P117" s="271"/>
      <c r="Q117" s="271"/>
      <c r="R117" s="29">
        <v>1062</v>
      </c>
      <c r="S117" s="29">
        <v>1062</v>
      </c>
    </row>
    <row r="118" spans="1:19" x14ac:dyDescent="0.2">
      <c r="A118" s="12" t="s">
        <v>43</v>
      </c>
      <c r="B118" s="96">
        <f>IF(M118&gt;=0,M118-Geraetedaten!B$99,M118+Geraetedaten!B$99)</f>
        <v>6290</v>
      </c>
      <c r="C118" s="739" t="s">
        <v>28</v>
      </c>
      <c r="D118" s="740"/>
      <c r="E118" s="741"/>
      <c r="F118" s="97"/>
      <c r="G118" s="98"/>
      <c r="H118" s="98"/>
      <c r="I118" s="98"/>
      <c r="J118" s="98"/>
      <c r="K118" s="98"/>
      <c r="L118" s="98">
        <f>IF(Eingabewerte!$M$49=1,Geraetedaten!S118,Geraetedaten!R118)</f>
        <v>6290</v>
      </c>
      <c r="M118" s="35">
        <f>IF(Eingabewerte!$M$49=1,L118-O118,L118-N118)</f>
        <v>6290</v>
      </c>
      <c r="N118" s="97"/>
      <c r="O118" s="97"/>
      <c r="P118" s="271"/>
      <c r="Q118" s="271"/>
      <c r="R118" s="29">
        <v>6290</v>
      </c>
      <c r="S118" s="29">
        <v>6930</v>
      </c>
    </row>
    <row r="119" spans="1:19" x14ac:dyDescent="0.2">
      <c r="A119" s="12" t="s">
        <v>44</v>
      </c>
      <c r="B119" s="96">
        <f>IF(M119&gt;=0,M119-Geraetedaten!B$99,M119+Geraetedaten!B$99)</f>
        <v>4143</v>
      </c>
      <c r="C119" s="739" t="s">
        <v>28</v>
      </c>
      <c r="D119" s="740"/>
      <c r="E119" s="741"/>
      <c r="F119" s="97" t="s">
        <v>32</v>
      </c>
      <c r="G119" s="98"/>
      <c r="H119" s="98"/>
      <c r="I119" s="98"/>
      <c r="J119" s="98"/>
      <c r="K119" s="98"/>
      <c r="L119" s="98">
        <f>IF(Eingabewerte!$M$49=1,Geraetedaten!S119,Geraetedaten!R119)</f>
        <v>4143</v>
      </c>
      <c r="M119" s="35">
        <f>IF(Eingabewerte!$M$49=1,L119-O119,L119-N119)</f>
        <v>4143</v>
      </c>
      <c r="N119" s="97"/>
      <c r="O119" s="97"/>
      <c r="P119" s="271"/>
      <c r="Q119" s="271"/>
      <c r="R119" s="29">
        <v>4143</v>
      </c>
      <c r="S119" s="29">
        <v>4143</v>
      </c>
    </row>
    <row r="120" spans="1:19" x14ac:dyDescent="0.2">
      <c r="N120" s="58"/>
      <c r="O120" s="58"/>
    </row>
    <row r="121" spans="1:19" ht="18" x14ac:dyDescent="0.25">
      <c r="A121" s="776" t="s">
        <v>348</v>
      </c>
      <c r="B121" s="776"/>
      <c r="C121" s="776"/>
      <c r="D121" s="776"/>
      <c r="E121" s="776"/>
      <c r="F121" s="776"/>
      <c r="G121" s="776"/>
      <c r="H121" s="776"/>
      <c r="I121" s="776"/>
      <c r="J121" s="776"/>
      <c r="K121" s="776"/>
      <c r="L121" s="776"/>
      <c r="M121" s="776"/>
      <c r="N121" s="58"/>
      <c r="O121" s="58"/>
    </row>
    <row r="122" spans="1:19" x14ac:dyDescent="0.2">
      <c r="A122" s="103" t="s">
        <v>280</v>
      </c>
      <c r="B122" s="106" t="s">
        <v>551</v>
      </c>
      <c r="C122" s="749"/>
      <c r="D122" s="749"/>
      <c r="E122" s="749"/>
      <c r="F122" s="749" t="s">
        <v>281</v>
      </c>
      <c r="G122" s="749"/>
      <c r="H122" s="749"/>
      <c r="I122" s="749"/>
      <c r="J122" s="749"/>
      <c r="K122" s="749"/>
      <c r="L122" s="749"/>
      <c r="M122" s="749"/>
      <c r="N122" s="58"/>
      <c r="O122" s="58"/>
    </row>
    <row r="123" spans="1:19" x14ac:dyDescent="0.2">
      <c r="A123" s="168" t="s">
        <v>350</v>
      </c>
      <c r="B123" s="104">
        <v>950</v>
      </c>
      <c r="C123" s="749" t="s">
        <v>28</v>
      </c>
      <c r="D123" s="749"/>
      <c r="E123" s="749"/>
      <c r="F123" s="749" t="s">
        <v>282</v>
      </c>
      <c r="G123" s="749"/>
      <c r="H123" s="749"/>
      <c r="I123" s="749"/>
      <c r="J123" s="749"/>
      <c r="K123" s="749"/>
      <c r="L123" s="749"/>
      <c r="M123" s="749"/>
      <c r="N123" s="58"/>
      <c r="O123" s="58"/>
    </row>
    <row r="124" spans="1:19" x14ac:dyDescent="0.2">
      <c r="A124" s="168" t="s">
        <v>349</v>
      </c>
      <c r="B124" s="104">
        <v>476</v>
      </c>
      <c r="C124" s="749" t="s">
        <v>28</v>
      </c>
      <c r="D124" s="749"/>
      <c r="E124" s="749"/>
      <c r="F124" s="749" t="s">
        <v>283</v>
      </c>
      <c r="G124" s="749"/>
      <c r="H124" s="749"/>
      <c r="I124" s="749"/>
      <c r="J124" s="749"/>
      <c r="K124" s="749"/>
      <c r="L124" s="749"/>
      <c r="M124" s="749"/>
      <c r="N124" s="58"/>
      <c r="O124" s="58"/>
      <c r="P124" s="199"/>
    </row>
    <row r="125" spans="1:19" x14ac:dyDescent="0.2">
      <c r="A125" s="103" t="s">
        <v>279</v>
      </c>
      <c r="B125" s="104">
        <v>438</v>
      </c>
      <c r="C125" s="749" t="s">
        <v>13</v>
      </c>
      <c r="D125" s="749"/>
      <c r="E125" s="749"/>
      <c r="F125" s="749"/>
      <c r="G125" s="749"/>
      <c r="H125" s="749"/>
      <c r="I125" s="749"/>
      <c r="J125" s="749"/>
      <c r="K125" s="749"/>
      <c r="L125" s="749"/>
      <c r="M125" s="749"/>
      <c r="N125" s="58"/>
      <c r="O125" s="58"/>
    </row>
    <row r="126" spans="1:19" x14ac:dyDescent="0.2">
      <c r="A126" s="103" t="s">
        <v>295</v>
      </c>
      <c r="B126" s="104">
        <v>384</v>
      </c>
      <c r="C126" s="749" t="s">
        <v>28</v>
      </c>
      <c r="D126" s="749"/>
      <c r="E126" s="749"/>
      <c r="F126" s="749" t="s">
        <v>284</v>
      </c>
      <c r="G126" s="749"/>
      <c r="H126" s="749"/>
      <c r="I126" s="749"/>
      <c r="J126" s="749"/>
      <c r="K126" s="749"/>
      <c r="L126" s="749"/>
      <c r="M126" s="749"/>
      <c r="N126" s="58"/>
      <c r="O126" s="58"/>
    </row>
    <row r="127" spans="1:19" x14ac:dyDescent="0.2">
      <c r="A127" s="103" t="s">
        <v>290</v>
      </c>
      <c r="B127" s="104">
        <v>420</v>
      </c>
      <c r="C127" s="749" t="s">
        <v>28</v>
      </c>
      <c r="D127" s="749"/>
      <c r="E127" s="749"/>
      <c r="F127" s="749" t="s">
        <v>292</v>
      </c>
      <c r="G127" s="749"/>
      <c r="H127" s="749"/>
      <c r="I127" s="749"/>
      <c r="J127" s="749"/>
      <c r="K127" s="749"/>
      <c r="L127" s="749"/>
      <c r="M127" s="749"/>
      <c r="N127" s="58"/>
      <c r="O127" s="58"/>
    </row>
    <row r="128" spans="1:19" x14ac:dyDescent="0.2">
      <c r="A128" s="103" t="s">
        <v>291</v>
      </c>
      <c r="B128" s="104">
        <v>245</v>
      </c>
      <c r="C128" s="749" t="s">
        <v>28</v>
      </c>
      <c r="D128" s="749"/>
      <c r="E128" s="749"/>
      <c r="F128" s="749" t="s">
        <v>293</v>
      </c>
      <c r="G128" s="749"/>
      <c r="H128" s="749"/>
      <c r="I128" s="749"/>
      <c r="J128" s="749"/>
      <c r="K128" s="749"/>
      <c r="L128" s="749"/>
      <c r="M128" s="749"/>
      <c r="N128" s="58"/>
      <c r="O128" s="58"/>
    </row>
    <row r="129" spans="1:28" x14ac:dyDescent="0.2">
      <c r="A129" s="103" t="s">
        <v>286</v>
      </c>
      <c r="B129" s="104">
        <v>180</v>
      </c>
      <c r="C129" s="749" t="s">
        <v>28</v>
      </c>
      <c r="D129" s="749"/>
      <c r="E129" s="749"/>
      <c r="F129" s="749" t="s">
        <v>294</v>
      </c>
      <c r="G129" s="749"/>
      <c r="H129" s="749"/>
      <c r="I129" s="749"/>
      <c r="J129" s="749"/>
      <c r="K129" s="749"/>
      <c r="L129" s="749"/>
      <c r="M129" s="749"/>
      <c r="N129" s="58"/>
      <c r="O129" s="58"/>
    </row>
    <row r="130" spans="1:28" s="225" customFormat="1" x14ac:dyDescent="0.2">
      <c r="A130" s="13"/>
      <c r="B130" s="231"/>
      <c r="C130" s="232"/>
      <c r="D130" s="232"/>
      <c r="E130" s="232"/>
      <c r="F130" s="232"/>
      <c r="G130" s="232"/>
      <c r="H130" s="232"/>
      <c r="I130" s="232"/>
      <c r="J130" s="232"/>
      <c r="K130" s="232"/>
      <c r="L130" s="232"/>
      <c r="M130" s="232"/>
      <c r="N130" s="58"/>
      <c r="O130" s="58"/>
    </row>
    <row r="131" spans="1:28" s="225" customFormat="1" ht="21.75" customHeight="1" x14ac:dyDescent="0.25">
      <c r="A131" s="791" t="s">
        <v>570</v>
      </c>
      <c r="B131" s="791"/>
      <c r="C131" s="791"/>
      <c r="D131" s="791"/>
      <c r="E131" s="791"/>
      <c r="F131" s="791"/>
      <c r="G131" s="791"/>
      <c r="H131" s="791"/>
      <c r="I131" s="791"/>
      <c r="J131" s="791"/>
      <c r="K131" s="791"/>
      <c r="L131" s="791"/>
      <c r="M131" s="791"/>
      <c r="N131" s="58"/>
      <c r="O131" s="58"/>
    </row>
    <row r="132" spans="1:28" s="225" customFormat="1" x14ac:dyDescent="0.2">
      <c r="A132" s="233" t="s">
        <v>280</v>
      </c>
      <c r="B132" s="234" t="str">
        <f>IF(Eingabewerte!F37="vorh","ja","nein")</f>
        <v>nein</v>
      </c>
      <c r="C132" s="775"/>
      <c r="D132" s="775"/>
      <c r="E132" s="775"/>
      <c r="F132" s="775" t="s">
        <v>281</v>
      </c>
      <c r="G132" s="775"/>
      <c r="H132" s="775"/>
      <c r="I132" s="775"/>
      <c r="J132" s="775"/>
      <c r="K132" s="775"/>
      <c r="L132" s="775"/>
      <c r="M132" s="775"/>
      <c r="N132" s="58"/>
      <c r="O132" s="58"/>
    </row>
    <row r="133" spans="1:28" s="225" customFormat="1" x14ac:dyDescent="0.2">
      <c r="A133" s="235" t="s">
        <v>571</v>
      </c>
      <c r="B133" s="236">
        <f>Eingabewerte!D37</f>
        <v>2934</v>
      </c>
      <c r="C133" s="774" t="s">
        <v>13</v>
      </c>
      <c r="D133" s="775"/>
      <c r="E133" s="775"/>
      <c r="F133" s="775"/>
      <c r="G133" s="775"/>
      <c r="H133" s="775"/>
      <c r="I133" s="775"/>
      <c r="J133" s="775"/>
      <c r="K133" s="775"/>
      <c r="L133" s="775"/>
      <c r="M133" s="775"/>
      <c r="N133" s="58"/>
      <c r="O133" s="58"/>
      <c r="P133" s="225">
        <f>IF(B132="ja",B133*9.81/1000,0)</f>
        <v>0</v>
      </c>
    </row>
    <row r="134" spans="1:28" s="225" customFormat="1" x14ac:dyDescent="0.2">
      <c r="A134" s="235" t="s">
        <v>572</v>
      </c>
      <c r="B134" s="236">
        <f>Eingabewerte!E37</f>
        <v>1100</v>
      </c>
      <c r="C134" s="774" t="s">
        <v>28</v>
      </c>
      <c r="D134" s="775"/>
      <c r="E134" s="775"/>
      <c r="F134" s="774" t="s">
        <v>575</v>
      </c>
      <c r="G134" s="775"/>
      <c r="H134" s="775"/>
      <c r="I134" s="775"/>
      <c r="J134" s="775"/>
      <c r="K134" s="775"/>
      <c r="L134" s="775"/>
      <c r="M134" s="775"/>
      <c r="N134" s="58"/>
      <c r="O134" s="58"/>
      <c r="P134" s="225">
        <f>P133*B134/1000</f>
        <v>0</v>
      </c>
    </row>
    <row r="135" spans="1:28" x14ac:dyDescent="0.2">
      <c r="N135" s="58"/>
      <c r="O135" s="58"/>
    </row>
    <row r="136" spans="1:28" ht="18" x14ac:dyDescent="0.25">
      <c r="A136" s="773" t="s">
        <v>352</v>
      </c>
      <c r="B136" s="773"/>
      <c r="C136" s="773"/>
      <c r="D136" s="773"/>
      <c r="E136" s="773"/>
      <c r="F136" s="773"/>
      <c r="G136" s="773"/>
      <c r="H136" s="773"/>
      <c r="I136" s="773"/>
      <c r="J136" s="773"/>
      <c r="K136" s="773"/>
      <c r="L136" s="773"/>
      <c r="M136" s="773"/>
      <c r="N136" s="58"/>
      <c r="O136" s="58"/>
      <c r="Q136" s="191" t="s">
        <v>547</v>
      </c>
      <c r="R136" s="191" t="s">
        <v>548</v>
      </c>
    </row>
    <row r="137" spans="1:28" s="200" customFormat="1" ht="13.5" customHeight="1" x14ac:dyDescent="0.2">
      <c r="A137" s="28" t="s">
        <v>78</v>
      </c>
      <c r="B137" s="169">
        <f>IF(Eingabewerte!$D$13="ja",Geraetedaten!Q137,Geraetedaten!R137)</f>
        <v>-308.26499999999999</v>
      </c>
      <c r="C137" s="736" t="s">
        <v>15</v>
      </c>
      <c r="D137" s="737"/>
      <c r="E137" s="738"/>
      <c r="F137" s="735" t="s">
        <v>514</v>
      </c>
      <c r="G137" s="735"/>
      <c r="H137" s="735"/>
      <c r="I137" s="735"/>
      <c r="J137" s="735"/>
      <c r="K137" s="735"/>
      <c r="L137" s="735"/>
      <c r="M137" s="735"/>
      <c r="N137" s="58"/>
      <c r="O137" s="58"/>
      <c r="P137" s="219">
        <v>-308.26499999999999</v>
      </c>
      <c r="Q137" s="219">
        <f>P137+P134</f>
        <v>-308.26499999999999</v>
      </c>
      <c r="R137" s="219">
        <f>Q137+(S137*9.81*S138/1000)</f>
        <v>-309.60406499999999</v>
      </c>
      <c r="S137" s="220">
        <v>-30</v>
      </c>
      <c r="T137" s="191" t="s">
        <v>550</v>
      </c>
      <c r="X137"/>
      <c r="Y137"/>
      <c r="Z137"/>
      <c r="AA137"/>
      <c r="AB137"/>
    </row>
    <row r="138" spans="1:28" s="200" customFormat="1" ht="13.5" customHeight="1" x14ac:dyDescent="0.2">
      <c r="A138" s="28" t="s">
        <v>17</v>
      </c>
      <c r="B138" s="169">
        <f>IF(Eingabewerte!$D$13="ja",Geraetedaten!Q138,Geraetedaten!R138)</f>
        <v>88.644999999999996</v>
      </c>
      <c r="C138" s="736" t="s">
        <v>16</v>
      </c>
      <c r="D138" s="737"/>
      <c r="E138" s="738"/>
      <c r="F138" s="735" t="s">
        <v>79</v>
      </c>
      <c r="G138" s="735"/>
      <c r="H138" s="735"/>
      <c r="I138" s="735"/>
      <c r="J138" s="735"/>
      <c r="K138" s="735"/>
      <c r="L138" s="735"/>
      <c r="M138" s="735"/>
      <c r="N138" s="58"/>
      <c r="O138" s="58"/>
      <c r="P138" s="54">
        <v>88.644999999999996</v>
      </c>
      <c r="Q138" s="54">
        <f>P138+P134</f>
        <v>88.644999999999996</v>
      </c>
      <c r="R138" s="54">
        <f>Q138+(S137*9.81/1000)</f>
        <v>88.350699999999989</v>
      </c>
      <c r="S138" s="220">
        <v>4.55</v>
      </c>
      <c r="T138" s="200" t="s">
        <v>534</v>
      </c>
      <c r="X138"/>
      <c r="Y138"/>
      <c r="Z138"/>
      <c r="AA138"/>
      <c r="AB138"/>
    </row>
    <row r="139" spans="1:28" x14ac:dyDescent="0.2">
      <c r="A139" s="28" t="s">
        <v>78</v>
      </c>
      <c r="B139" s="202">
        <f>(IF(B122="ja",1,0))*D142*(B138*B123/1000+B124*B125*0.00000981)+B137</f>
        <v>-308.26499999999999</v>
      </c>
      <c r="C139" s="736" t="s">
        <v>15</v>
      </c>
      <c r="D139" s="737"/>
      <c r="E139" s="738"/>
      <c r="F139" s="735" t="s">
        <v>515</v>
      </c>
      <c r="G139" s="735"/>
      <c r="H139" s="735"/>
      <c r="I139" s="735"/>
      <c r="J139" s="735"/>
      <c r="K139" s="735"/>
      <c r="L139" s="735"/>
      <c r="M139" s="735"/>
      <c r="N139" s="58"/>
      <c r="O139" s="58"/>
      <c r="Q139">
        <v>0</v>
      </c>
      <c r="S139">
        <v>5</v>
      </c>
      <c r="T139" t="s">
        <v>535</v>
      </c>
      <c r="X139" s="200"/>
      <c r="Y139" s="200"/>
      <c r="Z139" s="200"/>
      <c r="AA139" s="200"/>
      <c r="AB139" s="200"/>
    </row>
    <row r="140" spans="1:28" x14ac:dyDescent="0.2">
      <c r="A140" s="28" t="s">
        <v>17</v>
      </c>
      <c r="B140" s="203">
        <f>(IF(B122="ja",1,0))*0.00981*B125+B138</f>
        <v>88.644999999999996</v>
      </c>
      <c r="C140" s="736" t="s">
        <v>16</v>
      </c>
      <c r="D140" s="737"/>
      <c r="E140" s="738"/>
      <c r="F140" s="735" t="s">
        <v>79</v>
      </c>
      <c r="G140" s="735"/>
      <c r="H140" s="735"/>
      <c r="I140" s="735"/>
      <c r="J140" s="735"/>
      <c r="K140" s="735"/>
      <c r="L140" s="735"/>
      <c r="M140" s="735"/>
      <c r="N140" s="58"/>
      <c r="O140" s="58"/>
      <c r="Q140">
        <v>0</v>
      </c>
      <c r="R140" s="170" t="s">
        <v>354</v>
      </c>
      <c r="X140" s="200"/>
      <c r="Y140" s="200"/>
      <c r="Z140" s="200"/>
      <c r="AA140" s="200"/>
      <c r="AB140" s="200"/>
    </row>
    <row r="141" spans="1:28" x14ac:dyDescent="0.2">
      <c r="A141" s="28" t="s">
        <v>142</v>
      </c>
      <c r="B141" s="204">
        <f>B140*1000/9.81</f>
        <v>9036.1875637104986</v>
      </c>
      <c r="C141" s="736" t="s">
        <v>13</v>
      </c>
      <c r="D141" s="737"/>
      <c r="E141" s="738"/>
      <c r="F141" s="735" t="s">
        <v>79</v>
      </c>
      <c r="G141" s="735"/>
      <c r="H141" s="735"/>
      <c r="I141" s="735"/>
      <c r="J141" s="735"/>
      <c r="K141" s="735"/>
      <c r="L141" s="735"/>
      <c r="M141" s="735"/>
      <c r="N141" s="58"/>
      <c r="O141" s="58"/>
      <c r="Q141">
        <v>175</v>
      </c>
      <c r="R141" s="191" t="s">
        <v>549</v>
      </c>
    </row>
    <row r="142" spans="1:28" x14ac:dyDescent="0.2">
      <c r="A142" s="28" t="s">
        <v>141</v>
      </c>
      <c r="B142" s="204">
        <f>B139*1000/B140*D142</f>
        <v>3477.5227029161265</v>
      </c>
      <c r="C142" s="28" t="s">
        <v>28</v>
      </c>
      <c r="D142" s="782">
        <v>-1</v>
      </c>
      <c r="E142" s="783"/>
      <c r="F142" s="735" t="s">
        <v>513</v>
      </c>
      <c r="G142" s="735"/>
      <c r="H142" s="735"/>
      <c r="I142" s="735"/>
      <c r="J142" s="735"/>
      <c r="K142" s="735"/>
      <c r="L142" s="735"/>
      <c r="M142" s="735"/>
      <c r="N142" s="58"/>
      <c r="O142" s="58"/>
    </row>
    <row r="143" spans="1:28" x14ac:dyDescent="0.2">
      <c r="N143" s="58"/>
      <c r="O143" s="58"/>
    </row>
    <row r="144" spans="1:28" x14ac:dyDescent="0.2">
      <c r="N144" s="58"/>
      <c r="O144" s="58"/>
    </row>
    <row r="145" spans="1:20" ht="18" x14ac:dyDescent="0.25">
      <c r="A145" s="784" t="s">
        <v>101</v>
      </c>
      <c r="B145" s="784"/>
      <c r="C145" s="784"/>
      <c r="D145" s="784"/>
      <c r="E145" s="784"/>
      <c r="F145" s="784"/>
      <c r="G145" s="784"/>
      <c r="H145" s="784"/>
      <c r="I145" s="784"/>
      <c r="J145" s="784"/>
      <c r="K145" s="784"/>
      <c r="L145" s="784"/>
      <c r="M145" s="784"/>
      <c r="N145" s="58"/>
      <c r="O145" s="58"/>
    </row>
    <row r="146" spans="1:20" x14ac:dyDescent="0.2">
      <c r="A146" s="27" t="s">
        <v>11</v>
      </c>
      <c r="B146" s="52">
        <v>100</v>
      </c>
      <c r="C146" s="772" t="s">
        <v>13</v>
      </c>
      <c r="D146" s="772"/>
      <c r="E146" s="772"/>
      <c r="F146" s="772" t="s">
        <v>96</v>
      </c>
      <c r="G146" s="772"/>
      <c r="H146" s="772"/>
      <c r="I146" s="772"/>
      <c r="J146" s="772"/>
      <c r="K146" s="772"/>
      <c r="L146" s="772"/>
      <c r="M146" s="772"/>
      <c r="N146" s="58"/>
      <c r="O146" s="58"/>
    </row>
    <row r="147" spans="1:20" x14ac:dyDescent="0.2">
      <c r="A147" s="82" t="str">
        <f>IF(Eingabewerte!D13="ja",Geraetedaten!Q136,Geraetedaten!R136)</f>
        <v>Teleskopkorb</v>
      </c>
      <c r="B147" s="52">
        <f>IF(Eingabewerte!D13="ja",Q141,Q141+S137)</f>
        <v>175</v>
      </c>
      <c r="C147" s="772" t="s">
        <v>13</v>
      </c>
      <c r="D147" s="772"/>
      <c r="E147" s="772"/>
      <c r="F147" s="772" t="s">
        <v>97</v>
      </c>
      <c r="G147" s="772"/>
      <c r="H147" s="772"/>
      <c r="I147" s="772"/>
      <c r="J147" s="772"/>
      <c r="K147" s="772"/>
      <c r="L147" s="772"/>
      <c r="M147" s="772"/>
      <c r="N147" s="58"/>
      <c r="O147" s="58"/>
    </row>
    <row r="148" spans="1:20" x14ac:dyDescent="0.2">
      <c r="A148" s="27" t="s">
        <v>12</v>
      </c>
      <c r="B148" s="52">
        <v>0</v>
      </c>
      <c r="C148" s="772" t="s">
        <v>14</v>
      </c>
      <c r="D148" s="772"/>
      <c r="E148" s="772"/>
      <c r="F148" s="772" t="s">
        <v>98</v>
      </c>
      <c r="G148" s="772"/>
      <c r="H148" s="772"/>
      <c r="I148" s="772"/>
      <c r="J148" s="772"/>
      <c r="K148" s="772"/>
      <c r="L148" s="772"/>
      <c r="M148" s="772"/>
      <c r="N148" s="58"/>
      <c r="O148" s="58"/>
    </row>
    <row r="149" spans="1:20" x14ac:dyDescent="0.2">
      <c r="A149" s="27" t="s">
        <v>77</v>
      </c>
      <c r="B149" s="52">
        <v>180</v>
      </c>
      <c r="C149" s="772" t="s">
        <v>22</v>
      </c>
      <c r="D149" s="772"/>
      <c r="E149" s="772"/>
      <c r="F149" s="772" t="s">
        <v>99</v>
      </c>
      <c r="G149" s="772"/>
      <c r="H149" s="772"/>
      <c r="I149" s="772"/>
      <c r="J149" s="772"/>
      <c r="K149" s="772"/>
      <c r="L149" s="772"/>
      <c r="M149" s="772"/>
      <c r="N149" s="58"/>
      <c r="O149" s="58"/>
    </row>
    <row r="150" spans="1:20" x14ac:dyDescent="0.2">
      <c r="A150" s="27" t="s">
        <v>21</v>
      </c>
      <c r="B150" s="52">
        <v>0</v>
      </c>
      <c r="C150" s="772" t="s">
        <v>22</v>
      </c>
      <c r="D150" s="772"/>
      <c r="E150" s="772"/>
      <c r="F150" s="772" t="s">
        <v>100</v>
      </c>
      <c r="G150" s="772"/>
      <c r="H150" s="772"/>
      <c r="I150" s="772"/>
      <c r="J150" s="772"/>
      <c r="K150" s="772"/>
      <c r="L150" s="772"/>
      <c r="M150" s="772"/>
      <c r="N150" s="58"/>
      <c r="O150" s="58"/>
    </row>
    <row r="151" spans="1:20" x14ac:dyDescent="0.2">
      <c r="A151" s="778"/>
      <c r="B151" s="779"/>
      <c r="C151" s="779"/>
      <c r="D151" s="779"/>
      <c r="E151" s="779"/>
      <c r="F151" s="779"/>
      <c r="G151" s="779"/>
      <c r="H151" s="779"/>
      <c r="I151" s="779"/>
      <c r="J151" s="779"/>
      <c r="K151" s="779"/>
      <c r="L151" s="779"/>
      <c r="M151" s="780"/>
      <c r="N151" s="58"/>
      <c r="O151" s="58"/>
    </row>
    <row r="152" spans="1:20" x14ac:dyDescent="0.2">
      <c r="A152" s="27" t="s">
        <v>7</v>
      </c>
      <c r="B152" s="167">
        <f>IF(Eingabewerte!$D$13="ja",Q152,R152)</f>
        <v>594.79999999999995</v>
      </c>
      <c r="C152" s="772" t="s">
        <v>15</v>
      </c>
      <c r="D152" s="772"/>
      <c r="E152" s="772"/>
      <c r="F152" s="777" t="s">
        <v>573</v>
      </c>
      <c r="G152" s="772"/>
      <c r="H152" s="772"/>
      <c r="I152" s="772"/>
      <c r="J152" s="772"/>
      <c r="K152" s="772"/>
      <c r="L152" s="772"/>
      <c r="M152" s="772"/>
      <c r="N152" s="58"/>
      <c r="O152" s="58"/>
      <c r="P152" s="167">
        <v>594.79999999999995</v>
      </c>
      <c r="Q152" s="167">
        <f>P152-$P$134</f>
        <v>594.79999999999995</v>
      </c>
      <c r="R152" s="167">
        <f>Q152+(S137*9.81*(S138+S139)/1000)</f>
        <v>591.98943499999996</v>
      </c>
      <c r="S152" s="285"/>
      <c r="T152" s="167">
        <v>427.76</v>
      </c>
    </row>
    <row r="153" spans="1:20" x14ac:dyDescent="0.2">
      <c r="A153" s="27" t="s">
        <v>8</v>
      </c>
      <c r="B153" s="167">
        <f>IF(Eingabewerte!$D$13="ja",Q153,R153)</f>
        <v>5.7889999999999997</v>
      </c>
      <c r="C153" s="772" t="s">
        <v>16</v>
      </c>
      <c r="D153" s="772"/>
      <c r="E153" s="772"/>
      <c r="F153" s="772" t="s">
        <v>18</v>
      </c>
      <c r="G153" s="772"/>
      <c r="H153" s="772"/>
      <c r="I153" s="772"/>
      <c r="J153" s="772"/>
      <c r="K153" s="772"/>
      <c r="L153" s="772"/>
      <c r="M153" s="772"/>
      <c r="N153" s="58"/>
      <c r="O153" s="58"/>
      <c r="P153" s="167">
        <v>5.7889999999999997</v>
      </c>
      <c r="Q153" s="167">
        <f t="shared" ref="Q153:Q156" si="5">P153</f>
        <v>5.7889999999999997</v>
      </c>
      <c r="R153" s="167">
        <f>Q153</f>
        <v>5.7889999999999997</v>
      </c>
      <c r="S153" s="285"/>
      <c r="T153" s="167">
        <v>3.9529999999999998</v>
      </c>
    </row>
    <row r="154" spans="1:20" x14ac:dyDescent="0.2">
      <c r="A154" s="27" t="s">
        <v>9</v>
      </c>
      <c r="B154" s="167">
        <f>IF(Eingabewerte!$D$13="ja",Q154,R154)</f>
        <v>98.018000000000001</v>
      </c>
      <c r="C154" s="772" t="s">
        <v>16</v>
      </c>
      <c r="D154" s="772"/>
      <c r="E154" s="772"/>
      <c r="F154" s="772" t="s">
        <v>18</v>
      </c>
      <c r="G154" s="772"/>
      <c r="H154" s="772"/>
      <c r="I154" s="772"/>
      <c r="J154" s="772"/>
      <c r="K154" s="772"/>
      <c r="L154" s="772"/>
      <c r="M154" s="772"/>
      <c r="N154" s="58"/>
      <c r="O154" s="58"/>
      <c r="P154" s="167">
        <v>98.018000000000001</v>
      </c>
      <c r="Q154" s="167">
        <f>P154+$P$133</f>
        <v>98.018000000000001</v>
      </c>
      <c r="R154" s="167">
        <f>Q154+(S137*0.00981)</f>
        <v>97.723699999999994</v>
      </c>
      <c r="S154" s="285"/>
      <c r="T154" s="167">
        <v>72.87</v>
      </c>
    </row>
    <row r="155" spans="1:20" x14ac:dyDescent="0.2">
      <c r="A155" s="27" t="s">
        <v>78</v>
      </c>
      <c r="B155" s="167">
        <f>IF(Eingabewerte!$D$13="ja",Q155,R155)</f>
        <v>537.4</v>
      </c>
      <c r="C155" s="772" t="s">
        <v>15</v>
      </c>
      <c r="D155" s="772"/>
      <c r="E155" s="772"/>
      <c r="F155" s="777" t="s">
        <v>574</v>
      </c>
      <c r="G155" s="772"/>
      <c r="H155" s="772"/>
      <c r="I155" s="772"/>
      <c r="J155" s="772"/>
      <c r="K155" s="772"/>
      <c r="L155" s="772"/>
      <c r="M155" s="772"/>
      <c r="N155" s="58"/>
      <c r="O155" s="58"/>
      <c r="P155" s="167">
        <v>537.4</v>
      </c>
      <c r="Q155" s="167">
        <f>P155-$P$134</f>
        <v>537.4</v>
      </c>
      <c r="R155" s="166">
        <f>Q155+(S137*9.81*(S138+S139)/1000)</f>
        <v>534.58943499999998</v>
      </c>
      <c r="S155" s="285"/>
      <c r="T155" s="167">
        <v>385.20299999999997</v>
      </c>
    </row>
    <row r="156" spans="1:20" x14ac:dyDescent="0.2">
      <c r="A156" s="27" t="s">
        <v>88</v>
      </c>
      <c r="B156" s="167">
        <f>IF(Eingabewerte!$D$13="ja",Q156,R156)</f>
        <v>4.242</v>
      </c>
      <c r="C156" s="772" t="s">
        <v>16</v>
      </c>
      <c r="D156" s="772"/>
      <c r="E156" s="772"/>
      <c r="F156" s="772" t="s">
        <v>18</v>
      </c>
      <c r="G156" s="772"/>
      <c r="H156" s="772"/>
      <c r="I156" s="772"/>
      <c r="J156" s="772"/>
      <c r="K156" s="772"/>
      <c r="L156" s="772"/>
      <c r="M156" s="772"/>
      <c r="N156" s="58"/>
      <c r="O156" s="58"/>
      <c r="P156" s="167">
        <v>4.242</v>
      </c>
      <c r="Q156" s="167">
        <f t="shared" si="5"/>
        <v>4.242</v>
      </c>
      <c r="R156" s="167">
        <f>Q156</f>
        <v>4.242</v>
      </c>
      <c r="S156" s="285"/>
      <c r="T156" s="167">
        <v>2.4940000000000002</v>
      </c>
    </row>
    <row r="157" spans="1:20" x14ac:dyDescent="0.2">
      <c r="A157" s="27" t="s">
        <v>17</v>
      </c>
      <c r="B157" s="167">
        <f>IF(Eingabewerte!$D$13="ja",Q157,R157)</f>
        <v>90.685000000000002</v>
      </c>
      <c r="C157" s="772" t="s">
        <v>16</v>
      </c>
      <c r="D157" s="772"/>
      <c r="E157" s="772"/>
      <c r="F157" s="772" t="s">
        <v>18</v>
      </c>
      <c r="G157" s="772"/>
      <c r="H157" s="772"/>
      <c r="I157" s="772"/>
      <c r="J157" s="772"/>
      <c r="K157" s="772"/>
      <c r="L157" s="772"/>
      <c r="M157" s="772"/>
      <c r="N157" s="58"/>
      <c r="O157" s="58"/>
      <c r="P157" s="167">
        <v>90.685000000000002</v>
      </c>
      <c r="Q157" s="167">
        <f>P157+$P$133</f>
        <v>90.685000000000002</v>
      </c>
      <c r="R157" s="167">
        <f>Q157+(S137*0.00981)</f>
        <v>90.390699999999995</v>
      </c>
      <c r="S157" s="285"/>
      <c r="T157" s="167">
        <v>67.102000000000004</v>
      </c>
    </row>
    <row r="158" spans="1:20" x14ac:dyDescent="0.2">
      <c r="A158" s="27" t="s">
        <v>90</v>
      </c>
      <c r="B158" s="166">
        <f>B152-B155</f>
        <v>57.399999999999977</v>
      </c>
      <c r="C158" s="772" t="s">
        <v>15</v>
      </c>
      <c r="D158" s="772"/>
      <c r="E158" s="772"/>
      <c r="F158" s="772" t="s">
        <v>89</v>
      </c>
      <c r="G158" s="772"/>
      <c r="H158" s="772"/>
      <c r="I158" s="772"/>
      <c r="J158" s="772"/>
      <c r="K158" s="772"/>
      <c r="L158" s="772"/>
      <c r="M158" s="772"/>
      <c r="N158" s="58"/>
      <c r="O158" s="58"/>
      <c r="P158" s="285"/>
      <c r="Q158" s="285"/>
      <c r="R158" s="285"/>
      <c r="S158" s="285"/>
      <c r="T158" s="285"/>
    </row>
    <row r="159" spans="1:20" x14ac:dyDescent="0.2">
      <c r="A159" s="27" t="s">
        <v>91</v>
      </c>
      <c r="B159" s="166">
        <f>B153-B156</f>
        <v>1.5469999999999997</v>
      </c>
      <c r="C159" s="772" t="s">
        <v>16</v>
      </c>
      <c r="D159" s="772"/>
      <c r="E159" s="772"/>
      <c r="F159" s="772" t="s">
        <v>18</v>
      </c>
      <c r="G159" s="772"/>
      <c r="H159" s="772"/>
      <c r="I159" s="772"/>
      <c r="J159" s="772"/>
      <c r="K159" s="772"/>
      <c r="L159" s="772"/>
      <c r="M159" s="772"/>
      <c r="N159" s="58"/>
      <c r="O159" s="58"/>
      <c r="P159" s="285"/>
      <c r="Q159" s="285"/>
      <c r="R159" s="285"/>
      <c r="S159" s="285"/>
      <c r="T159" s="285"/>
    </row>
    <row r="160" spans="1:20" x14ac:dyDescent="0.2">
      <c r="A160" s="27" t="s">
        <v>92</v>
      </c>
      <c r="B160" s="166">
        <f>B154-B157</f>
        <v>7.3329999999999984</v>
      </c>
      <c r="C160" s="772" t="s">
        <v>16</v>
      </c>
      <c r="D160" s="772"/>
      <c r="E160" s="772"/>
      <c r="F160" s="772" t="s">
        <v>18</v>
      </c>
      <c r="G160" s="772"/>
      <c r="H160" s="772"/>
      <c r="I160" s="772"/>
      <c r="J160" s="772"/>
      <c r="K160" s="772"/>
      <c r="L160" s="772"/>
      <c r="M160" s="772"/>
      <c r="N160" s="58"/>
      <c r="O160" s="58"/>
      <c r="P160" s="285"/>
      <c r="Q160" s="285"/>
      <c r="R160" s="285"/>
      <c r="S160" s="285"/>
      <c r="T160" s="285"/>
    </row>
    <row r="161" spans="1:20" x14ac:dyDescent="0.2">
      <c r="A161" s="27" t="s">
        <v>10</v>
      </c>
      <c r="B161" s="165">
        <f>IF(Eingabewerte!$D$13="ja",Q161,R161)</f>
        <v>0</v>
      </c>
      <c r="C161" s="772" t="s">
        <v>14</v>
      </c>
      <c r="D161" s="772"/>
      <c r="E161" s="772"/>
      <c r="F161" s="772" t="s">
        <v>80</v>
      </c>
      <c r="G161" s="772"/>
      <c r="H161" s="772"/>
      <c r="I161" s="772"/>
      <c r="J161" s="772"/>
      <c r="K161" s="772"/>
      <c r="L161" s="772"/>
      <c r="M161" s="772"/>
      <c r="N161" s="58"/>
      <c r="O161" s="58"/>
      <c r="P161" s="285"/>
      <c r="Q161" s="165">
        <v>0</v>
      </c>
      <c r="R161" s="165">
        <v>0</v>
      </c>
      <c r="S161" s="285"/>
      <c r="T161" s="285"/>
    </row>
    <row r="162" spans="1:20" x14ac:dyDescent="0.2">
      <c r="A162" s="27" t="s">
        <v>19</v>
      </c>
      <c r="B162" s="165">
        <f>IF(Eingabewerte!$D$13="ja",Q162,R162)</f>
        <v>29.2</v>
      </c>
      <c r="C162" s="772" t="s">
        <v>20</v>
      </c>
      <c r="D162" s="772"/>
      <c r="E162" s="772"/>
      <c r="F162" s="772" t="s">
        <v>23</v>
      </c>
      <c r="G162" s="772"/>
      <c r="H162" s="772"/>
      <c r="I162" s="772"/>
      <c r="J162" s="772"/>
      <c r="K162" s="772"/>
      <c r="L162" s="772"/>
      <c r="M162" s="772"/>
      <c r="N162" s="58"/>
      <c r="O162" s="58"/>
      <c r="P162" s="285"/>
      <c r="Q162" s="165">
        <v>29.2</v>
      </c>
      <c r="R162" s="165">
        <v>29.2</v>
      </c>
      <c r="S162" s="285"/>
      <c r="T162" s="285"/>
    </row>
    <row r="163" spans="1:20" x14ac:dyDescent="0.2">
      <c r="A163" s="27" t="s">
        <v>24</v>
      </c>
      <c r="B163" s="165">
        <f>IF(Eingabewerte!$D$13="ja",Q163,R163)</f>
        <v>29.3</v>
      </c>
      <c r="C163" s="772" t="s">
        <v>20</v>
      </c>
      <c r="D163" s="772"/>
      <c r="E163" s="772"/>
      <c r="F163" s="772" t="s">
        <v>25</v>
      </c>
      <c r="G163" s="772"/>
      <c r="H163" s="772"/>
      <c r="I163" s="772"/>
      <c r="J163" s="772"/>
      <c r="K163" s="772"/>
      <c r="L163" s="772"/>
      <c r="M163" s="772"/>
      <c r="N163" s="58"/>
      <c r="O163" s="58"/>
      <c r="P163" s="285"/>
      <c r="Q163" s="165">
        <v>29.3</v>
      </c>
      <c r="R163" s="165">
        <v>29.3</v>
      </c>
      <c r="S163" s="285"/>
      <c r="T163" s="285"/>
    </row>
    <row r="164" spans="1:20" x14ac:dyDescent="0.2">
      <c r="A164" s="778"/>
      <c r="B164" s="779"/>
      <c r="C164" s="779"/>
      <c r="D164" s="779"/>
      <c r="E164" s="779"/>
      <c r="F164" s="779"/>
      <c r="G164" s="779"/>
      <c r="H164" s="779"/>
      <c r="I164" s="779"/>
      <c r="J164" s="779"/>
      <c r="K164" s="779"/>
      <c r="L164" s="779"/>
      <c r="M164" s="780"/>
      <c r="N164" s="58"/>
      <c r="O164" s="58"/>
      <c r="P164" s="285"/>
      <c r="Q164" s="285"/>
      <c r="R164" s="285"/>
      <c r="S164" s="285"/>
      <c r="T164" s="285"/>
    </row>
    <row r="165" spans="1:20" x14ac:dyDescent="0.2">
      <c r="A165" s="27" t="s">
        <v>7</v>
      </c>
      <c r="B165" s="167">
        <f>IF(Eingabewerte!$D$13="ja",Q165,R165)</f>
        <v>1066.7</v>
      </c>
      <c r="C165" s="772" t="s">
        <v>15</v>
      </c>
      <c r="D165" s="772"/>
      <c r="E165" s="772"/>
      <c r="F165" s="781" t="s">
        <v>121</v>
      </c>
      <c r="G165" s="781"/>
      <c r="H165" s="781"/>
      <c r="I165" s="781"/>
      <c r="J165" s="781"/>
      <c r="K165" s="781"/>
      <c r="L165" s="781"/>
      <c r="M165" s="781"/>
      <c r="N165" s="58"/>
      <c r="O165" s="58"/>
      <c r="P165" s="167">
        <v>1066.7</v>
      </c>
      <c r="Q165" s="167">
        <f>P165-$P$134</f>
        <v>1066.7</v>
      </c>
      <c r="R165" s="166">
        <f>Q165+(S137*9.81*(S138+S139+0.03*R174)/1000)</f>
        <v>1060.357835</v>
      </c>
      <c r="S165" s="285"/>
      <c r="T165" s="166">
        <v>626.27499999999998</v>
      </c>
    </row>
    <row r="166" spans="1:20" x14ac:dyDescent="0.2">
      <c r="A166" s="27" t="s">
        <v>8</v>
      </c>
      <c r="B166" s="167">
        <f>IF(Eingabewerte!$D$13="ja",Q166,R166)</f>
        <v>8.3800000000000008</v>
      </c>
      <c r="C166" s="772" t="s">
        <v>16</v>
      </c>
      <c r="D166" s="772"/>
      <c r="E166" s="772"/>
      <c r="F166" s="772" t="s">
        <v>104</v>
      </c>
      <c r="G166" s="772"/>
      <c r="H166" s="772"/>
      <c r="I166" s="772"/>
      <c r="J166" s="772"/>
      <c r="K166" s="772"/>
      <c r="L166" s="772"/>
      <c r="M166" s="772"/>
      <c r="N166" s="58"/>
      <c r="O166" s="58"/>
      <c r="P166" s="167">
        <v>8.3800000000000008</v>
      </c>
      <c r="Q166" s="167">
        <f t="shared" ref="Q166:Q169" si="6">P166</f>
        <v>8.3800000000000008</v>
      </c>
      <c r="R166" s="166">
        <v>1.6919999999999999</v>
      </c>
      <c r="S166" s="285"/>
      <c r="T166" s="166">
        <v>5.0819999999999999</v>
      </c>
    </row>
    <row r="167" spans="1:20" x14ac:dyDescent="0.2">
      <c r="A167" s="27" t="s">
        <v>9</v>
      </c>
      <c r="B167" s="167">
        <f>IF(Eingabewerte!$D$13="ja",Q167,R167)</f>
        <v>98.51</v>
      </c>
      <c r="C167" s="772" t="s">
        <v>16</v>
      </c>
      <c r="D167" s="772"/>
      <c r="E167" s="772"/>
      <c r="F167" s="778" t="s">
        <v>104</v>
      </c>
      <c r="G167" s="779"/>
      <c r="H167" s="779"/>
      <c r="I167" s="779"/>
      <c r="J167" s="779"/>
      <c r="K167" s="779"/>
      <c r="L167" s="779"/>
      <c r="M167" s="780"/>
      <c r="N167" s="58"/>
      <c r="O167" s="58"/>
      <c r="P167" s="167">
        <v>98.51</v>
      </c>
      <c r="Q167" s="167">
        <f>P167+$P$133</f>
        <v>98.51</v>
      </c>
      <c r="R167" s="166">
        <f>Q167+(S137*0.00981)</f>
        <v>98.215699999999998</v>
      </c>
      <c r="S167" s="285"/>
      <c r="T167" s="166">
        <v>73.064999999999998</v>
      </c>
    </row>
    <row r="168" spans="1:20" x14ac:dyDescent="0.2">
      <c r="A168" s="27" t="s">
        <v>78</v>
      </c>
      <c r="B168" s="167">
        <f>IF(Eingabewerte!$D$13="ja",Q168,R168)</f>
        <v>963.8</v>
      </c>
      <c r="C168" s="772" t="s">
        <v>15</v>
      </c>
      <c r="D168" s="772"/>
      <c r="E168" s="772"/>
      <c r="F168" s="778" t="s">
        <v>105</v>
      </c>
      <c r="G168" s="779"/>
      <c r="H168" s="779"/>
      <c r="I168" s="779"/>
      <c r="J168" s="779"/>
      <c r="K168" s="779"/>
      <c r="L168" s="779"/>
      <c r="M168" s="780"/>
      <c r="N168" s="58"/>
      <c r="O168" s="58"/>
      <c r="P168" s="167">
        <v>963.8</v>
      </c>
      <c r="Q168" s="167">
        <f>P168-$P$134</f>
        <v>963.8</v>
      </c>
      <c r="R168" s="166">
        <f>Q168+(S137*9.81*(S138+S139+0.03*R174)/1000)</f>
        <v>957.45783499999993</v>
      </c>
      <c r="S168" s="285"/>
      <c r="T168" s="166">
        <v>564.09299999999996</v>
      </c>
    </row>
    <row r="169" spans="1:20" x14ac:dyDescent="0.2">
      <c r="A169" s="27" t="s">
        <v>88</v>
      </c>
      <c r="B169" s="167">
        <f>IF(Eingabewerte!$D$13="ja",Q169,R169)</f>
        <v>6.3650000000000002</v>
      </c>
      <c r="C169" s="772" t="s">
        <v>16</v>
      </c>
      <c r="D169" s="772"/>
      <c r="E169" s="772"/>
      <c r="F169" s="778" t="s">
        <v>104</v>
      </c>
      <c r="G169" s="779"/>
      <c r="H169" s="779"/>
      <c r="I169" s="779"/>
      <c r="J169" s="779"/>
      <c r="K169" s="779"/>
      <c r="L169" s="779"/>
      <c r="M169" s="780"/>
      <c r="N169" s="58"/>
      <c r="O169" s="58"/>
      <c r="P169" s="167">
        <v>6.3650000000000002</v>
      </c>
      <c r="Q169" s="167">
        <f t="shared" si="6"/>
        <v>6.3650000000000002</v>
      </c>
      <c r="R169" s="166">
        <v>0.68300000000000005</v>
      </c>
      <c r="S169" s="285"/>
      <c r="T169" s="166">
        <v>3.383</v>
      </c>
    </row>
    <row r="170" spans="1:20" x14ac:dyDescent="0.2">
      <c r="A170" s="27" t="s">
        <v>17</v>
      </c>
      <c r="B170" s="167">
        <f>IF(Eingabewerte!$D$13="ja",Q170,R170)</f>
        <v>91.066000000000003</v>
      </c>
      <c r="C170" s="772" t="s">
        <v>16</v>
      </c>
      <c r="D170" s="772"/>
      <c r="E170" s="772"/>
      <c r="F170" s="778" t="s">
        <v>104</v>
      </c>
      <c r="G170" s="779"/>
      <c r="H170" s="779"/>
      <c r="I170" s="779"/>
      <c r="J170" s="779"/>
      <c r="K170" s="779"/>
      <c r="L170" s="779"/>
      <c r="M170" s="780"/>
      <c r="N170" s="58"/>
      <c r="O170" s="58"/>
      <c r="P170" s="167">
        <v>91.066000000000003</v>
      </c>
      <c r="Q170" s="167">
        <f>P170+$P$133</f>
        <v>91.066000000000003</v>
      </c>
      <c r="R170" s="166">
        <f>Q170+(S137*0.00981)</f>
        <v>90.771699999999996</v>
      </c>
      <c r="S170" s="285"/>
      <c r="T170" s="166">
        <v>67.233999999999995</v>
      </c>
    </row>
    <row r="171" spans="1:20" x14ac:dyDescent="0.2">
      <c r="A171" s="27" t="s">
        <v>90</v>
      </c>
      <c r="B171" s="166">
        <f>B165-B168</f>
        <v>102.90000000000009</v>
      </c>
      <c r="C171" s="772" t="s">
        <v>15</v>
      </c>
      <c r="D171" s="772"/>
      <c r="E171" s="772"/>
      <c r="F171" s="778" t="s">
        <v>105</v>
      </c>
      <c r="G171" s="779"/>
      <c r="H171" s="779"/>
      <c r="I171" s="779"/>
      <c r="J171" s="779"/>
      <c r="K171" s="779"/>
      <c r="L171" s="779"/>
      <c r="M171" s="780"/>
      <c r="N171" s="58"/>
      <c r="O171" s="58"/>
      <c r="P171" s="285"/>
      <c r="Q171" s="285"/>
      <c r="R171" s="285"/>
      <c r="S171" s="285"/>
      <c r="T171" s="285"/>
    </row>
    <row r="172" spans="1:20" x14ac:dyDescent="0.2">
      <c r="A172" s="27" t="s">
        <v>91</v>
      </c>
      <c r="B172" s="166">
        <f>B166-B169</f>
        <v>2.0150000000000006</v>
      </c>
      <c r="C172" s="772" t="s">
        <v>16</v>
      </c>
      <c r="D172" s="772"/>
      <c r="E172" s="772"/>
      <c r="F172" s="778" t="s">
        <v>104</v>
      </c>
      <c r="G172" s="779"/>
      <c r="H172" s="779"/>
      <c r="I172" s="779"/>
      <c r="J172" s="779"/>
      <c r="K172" s="779"/>
      <c r="L172" s="779"/>
      <c r="M172" s="780"/>
      <c r="N172" s="58"/>
      <c r="O172" s="58"/>
      <c r="P172" s="285"/>
      <c r="Q172" s="285"/>
      <c r="R172" s="285"/>
      <c r="S172" s="285"/>
      <c r="T172" s="285"/>
    </row>
    <row r="173" spans="1:20" x14ac:dyDescent="0.2">
      <c r="A173" s="27" t="s">
        <v>92</v>
      </c>
      <c r="B173" s="166">
        <f>B167-B170</f>
        <v>7.4440000000000026</v>
      </c>
      <c r="C173" s="772" t="s">
        <v>16</v>
      </c>
      <c r="D173" s="772"/>
      <c r="E173" s="772"/>
      <c r="F173" s="772" t="s">
        <v>104</v>
      </c>
      <c r="G173" s="772"/>
      <c r="H173" s="772"/>
      <c r="I173" s="772"/>
      <c r="J173" s="772"/>
      <c r="K173" s="772"/>
      <c r="L173" s="772"/>
      <c r="M173" s="772"/>
      <c r="N173" s="58"/>
      <c r="O173" s="58"/>
      <c r="P173" s="285"/>
      <c r="Q173" s="285"/>
      <c r="R173" s="285"/>
      <c r="S173" s="285"/>
      <c r="T173" s="285"/>
    </row>
    <row r="174" spans="1:20" x14ac:dyDescent="0.2">
      <c r="A174" s="27" t="s">
        <v>10</v>
      </c>
      <c r="B174" s="165">
        <f>IF(Eingabewerte!$D$13="ja",Q174,R174)</f>
        <v>400</v>
      </c>
      <c r="C174" s="772" t="s">
        <v>14</v>
      </c>
      <c r="D174" s="772"/>
      <c r="E174" s="772"/>
      <c r="F174" s="772" t="s">
        <v>106</v>
      </c>
      <c r="G174" s="772"/>
      <c r="H174" s="772"/>
      <c r="I174" s="772"/>
      <c r="J174" s="772"/>
      <c r="K174" s="772"/>
      <c r="L174" s="772"/>
      <c r="M174" s="772"/>
      <c r="N174" s="58"/>
      <c r="O174" s="58"/>
      <c r="P174" s="285"/>
      <c r="Q174" s="165">
        <v>400</v>
      </c>
      <c r="R174" s="165">
        <v>400</v>
      </c>
      <c r="S174" s="285"/>
      <c r="T174" s="285"/>
    </row>
    <row r="175" spans="1:20" x14ac:dyDescent="0.2">
      <c r="A175" s="27" t="s">
        <v>19</v>
      </c>
      <c r="B175" s="165">
        <f>IF(Eingabewerte!$D$13="ja",Q175,R175)</f>
        <v>41.1</v>
      </c>
      <c r="C175" s="772" t="s">
        <v>20</v>
      </c>
      <c r="D175" s="772"/>
      <c r="E175" s="772"/>
      <c r="F175" s="772" t="s">
        <v>23</v>
      </c>
      <c r="G175" s="772"/>
      <c r="H175" s="772"/>
      <c r="I175" s="772"/>
      <c r="J175" s="772"/>
      <c r="K175" s="772"/>
      <c r="L175" s="772"/>
      <c r="M175" s="772"/>
      <c r="N175" s="58"/>
      <c r="O175" s="58"/>
      <c r="P175" s="285"/>
      <c r="Q175" s="165">
        <v>41.1</v>
      </c>
      <c r="R175" s="165">
        <v>41.1</v>
      </c>
      <c r="S175" s="285"/>
      <c r="T175" s="285"/>
    </row>
    <row r="176" spans="1:20" x14ac:dyDescent="0.2">
      <c r="A176" s="27" t="s">
        <v>24</v>
      </c>
      <c r="B176" s="165">
        <f>IF(Eingabewerte!$D$13="ja",Q176,R176)</f>
        <v>41.2</v>
      </c>
      <c r="C176" s="772" t="s">
        <v>20</v>
      </c>
      <c r="D176" s="772"/>
      <c r="E176" s="772"/>
      <c r="F176" s="772" t="s">
        <v>25</v>
      </c>
      <c r="G176" s="772"/>
      <c r="H176" s="772"/>
      <c r="I176" s="772"/>
      <c r="J176" s="772"/>
      <c r="K176" s="772"/>
      <c r="L176" s="772"/>
      <c r="M176" s="772"/>
      <c r="N176" s="58"/>
      <c r="O176" s="58"/>
      <c r="P176" s="285"/>
      <c r="Q176" s="165">
        <v>41.2</v>
      </c>
      <c r="R176" s="165">
        <v>41.2</v>
      </c>
      <c r="S176" s="285"/>
      <c r="T176" s="285"/>
    </row>
    <row r="177" spans="2:16" x14ac:dyDescent="0.2">
      <c r="P177" s="225"/>
    </row>
    <row r="178" spans="2:16" x14ac:dyDescent="0.2">
      <c r="B178" s="84"/>
    </row>
  </sheetData>
  <sheetProtection selectLockedCells="1"/>
  <mergeCells count="238">
    <mergeCell ref="C85:E85"/>
    <mergeCell ref="C84:E84"/>
    <mergeCell ref="F86:M86"/>
    <mergeCell ref="F85:M85"/>
    <mergeCell ref="F84:M84"/>
    <mergeCell ref="A131:M131"/>
    <mergeCell ref="C132:E132"/>
    <mergeCell ref="F132:M132"/>
    <mergeCell ref="C129:E129"/>
    <mergeCell ref="C126:E126"/>
    <mergeCell ref="F122:M122"/>
    <mergeCell ref="F123:M123"/>
    <mergeCell ref="F124:M124"/>
    <mergeCell ref="F125:M125"/>
    <mergeCell ref="C123:E123"/>
    <mergeCell ref="C122:E122"/>
    <mergeCell ref="C127:E127"/>
    <mergeCell ref="F128:M128"/>
    <mergeCell ref="A89:M89"/>
    <mergeCell ref="F126:M126"/>
    <mergeCell ref="J74:M74"/>
    <mergeCell ref="J75:M75"/>
    <mergeCell ref="J78:M78"/>
    <mergeCell ref="J79:M79"/>
    <mergeCell ref="C92:E92"/>
    <mergeCell ref="J76:M76"/>
    <mergeCell ref="J77:M77"/>
    <mergeCell ref="F92:M92"/>
    <mergeCell ref="A110:M110"/>
    <mergeCell ref="C102:E102"/>
    <mergeCell ref="C103:E103"/>
    <mergeCell ref="A105:M105"/>
    <mergeCell ref="C106:E106"/>
    <mergeCell ref="C109:E109"/>
    <mergeCell ref="C93:E93"/>
    <mergeCell ref="C91:E91"/>
    <mergeCell ref="J80:M80"/>
    <mergeCell ref="J81:M81"/>
    <mergeCell ref="F91:M91"/>
    <mergeCell ref="F93:M93"/>
    <mergeCell ref="C90:E90"/>
    <mergeCell ref="C94:E94"/>
    <mergeCell ref="F94:M94"/>
    <mergeCell ref="C104:E104"/>
    <mergeCell ref="D142:E142"/>
    <mergeCell ref="C139:E139"/>
    <mergeCell ref="C140:E140"/>
    <mergeCell ref="F176:M176"/>
    <mergeCell ref="F173:M173"/>
    <mergeCell ref="F174:M174"/>
    <mergeCell ref="F175:M175"/>
    <mergeCell ref="A145:M145"/>
    <mergeCell ref="C146:E146"/>
    <mergeCell ref="A151:M151"/>
    <mergeCell ref="C149:E149"/>
    <mergeCell ref="F148:M148"/>
    <mergeCell ref="C150:E150"/>
    <mergeCell ref="F149:M149"/>
    <mergeCell ref="F146:M146"/>
    <mergeCell ref="F150:M150"/>
    <mergeCell ref="C152:E152"/>
    <mergeCell ref="C147:E147"/>
    <mergeCell ref="C148:E148"/>
    <mergeCell ref="F152:M152"/>
    <mergeCell ref="C155:E155"/>
    <mergeCell ref="F147:M147"/>
    <mergeCell ref="C176:E176"/>
    <mergeCell ref="C173:E173"/>
    <mergeCell ref="C174:E174"/>
    <mergeCell ref="C175:E175"/>
    <mergeCell ref="C162:E162"/>
    <mergeCell ref="C163:E163"/>
    <mergeCell ref="C160:E160"/>
    <mergeCell ref="C161:E161"/>
    <mergeCell ref="F171:M171"/>
    <mergeCell ref="F172:M172"/>
    <mergeCell ref="C165:E165"/>
    <mergeCell ref="C166:E166"/>
    <mergeCell ref="C169:E169"/>
    <mergeCell ref="F167:M167"/>
    <mergeCell ref="F168:M168"/>
    <mergeCell ref="C168:E168"/>
    <mergeCell ref="C167:E167"/>
    <mergeCell ref="F166:M166"/>
    <mergeCell ref="F170:M170"/>
    <mergeCell ref="F165:M165"/>
    <mergeCell ref="F169:M169"/>
    <mergeCell ref="C170:E170"/>
    <mergeCell ref="C171:E171"/>
    <mergeCell ref="C172:E172"/>
    <mergeCell ref="A164:M164"/>
    <mergeCell ref="C153:E153"/>
    <mergeCell ref="C154:E154"/>
    <mergeCell ref="F163:M163"/>
    <mergeCell ref="F161:M161"/>
    <mergeCell ref="F154:M154"/>
    <mergeCell ref="F153:M153"/>
    <mergeCell ref="F157:M157"/>
    <mergeCell ref="F158:M158"/>
    <mergeCell ref="F160:M160"/>
    <mergeCell ref="F159:M159"/>
    <mergeCell ref="F156:M156"/>
    <mergeCell ref="C156:E156"/>
    <mergeCell ref="F155:M155"/>
    <mergeCell ref="C158:E158"/>
    <mergeCell ref="C159:E159"/>
    <mergeCell ref="A16:M16"/>
    <mergeCell ref="C13:E13"/>
    <mergeCell ref="C10:E10"/>
    <mergeCell ref="F12:M12"/>
    <mergeCell ref="C15:E15"/>
    <mergeCell ref="C17:E17"/>
    <mergeCell ref="F17:M17"/>
    <mergeCell ref="C157:E157"/>
    <mergeCell ref="F162:M162"/>
    <mergeCell ref="F141:M141"/>
    <mergeCell ref="C141:E141"/>
    <mergeCell ref="F127:M127"/>
    <mergeCell ref="F129:M129"/>
    <mergeCell ref="C128:E128"/>
    <mergeCell ref="A136:M136"/>
    <mergeCell ref="C119:E119"/>
    <mergeCell ref="F139:M139"/>
    <mergeCell ref="F140:M140"/>
    <mergeCell ref="C133:E133"/>
    <mergeCell ref="F133:M133"/>
    <mergeCell ref="C134:E134"/>
    <mergeCell ref="F134:M134"/>
    <mergeCell ref="A121:M121"/>
    <mergeCell ref="F142:M142"/>
    <mergeCell ref="F23:M23"/>
    <mergeCell ref="F26:M26"/>
    <mergeCell ref="J42:M42"/>
    <mergeCell ref="J46:M46"/>
    <mergeCell ref="A25:M25"/>
    <mergeCell ref="C26:E26"/>
    <mergeCell ref="F27:M27"/>
    <mergeCell ref="B1:C1"/>
    <mergeCell ref="F90:M90"/>
    <mergeCell ref="F13:M13"/>
    <mergeCell ref="C14:E14"/>
    <mergeCell ref="J33:M33"/>
    <mergeCell ref="F10:M10"/>
    <mergeCell ref="F20:M20"/>
    <mergeCell ref="A4:M4"/>
    <mergeCell ref="C8:E8"/>
    <mergeCell ref="F14:M14"/>
    <mergeCell ref="F9:M9"/>
    <mergeCell ref="B5:E5"/>
    <mergeCell ref="F5:M5"/>
    <mergeCell ref="F6:M6"/>
    <mergeCell ref="B6:E6"/>
    <mergeCell ref="F7:M7"/>
    <mergeCell ref="F18:M18"/>
    <mergeCell ref="J51:M51"/>
    <mergeCell ref="J63:M63"/>
    <mergeCell ref="J52:M52"/>
    <mergeCell ref="J56:M56"/>
    <mergeCell ref="J39:M39"/>
    <mergeCell ref="J37:M37"/>
    <mergeCell ref="J36:M36"/>
    <mergeCell ref="J47:M47"/>
    <mergeCell ref="J43:M43"/>
    <mergeCell ref="J49:M49"/>
    <mergeCell ref="J50:M50"/>
    <mergeCell ref="J48:M48"/>
    <mergeCell ref="J40:M40"/>
    <mergeCell ref="J41:M41"/>
    <mergeCell ref="J45:M45"/>
    <mergeCell ref="J44:M44"/>
    <mergeCell ref="J38:M38"/>
    <mergeCell ref="J73:M73"/>
    <mergeCell ref="J71:M71"/>
    <mergeCell ref="J53:M53"/>
    <mergeCell ref="J65:M65"/>
    <mergeCell ref="J54:M54"/>
    <mergeCell ref="J55:M55"/>
    <mergeCell ref="J67:M67"/>
    <mergeCell ref="J58:M58"/>
    <mergeCell ref="J69:M69"/>
    <mergeCell ref="J70:M70"/>
    <mergeCell ref="J68:M68"/>
    <mergeCell ref="J66:M66"/>
    <mergeCell ref="J64:M64"/>
    <mergeCell ref="J62:M62"/>
    <mergeCell ref="J57:M57"/>
    <mergeCell ref="J61:M61"/>
    <mergeCell ref="J60:M60"/>
    <mergeCell ref="J59:M59"/>
    <mergeCell ref="J72:M72"/>
    <mergeCell ref="F8:M8"/>
    <mergeCell ref="C7:E7"/>
    <mergeCell ref="F15:M15"/>
    <mergeCell ref="C11:E11"/>
    <mergeCell ref="C9:E9"/>
    <mergeCell ref="C12:E12"/>
    <mergeCell ref="F11:M11"/>
    <mergeCell ref="A19:M19"/>
    <mergeCell ref="J35:M35"/>
    <mergeCell ref="C18:E18"/>
    <mergeCell ref="A28:M28"/>
    <mergeCell ref="J34:M34"/>
    <mergeCell ref="J30:M30"/>
    <mergeCell ref="C20:E20"/>
    <mergeCell ref="J29:M29"/>
    <mergeCell ref="F24:M24"/>
    <mergeCell ref="C21:E21"/>
    <mergeCell ref="C23:E23"/>
    <mergeCell ref="C24:E24"/>
    <mergeCell ref="F21:M21"/>
    <mergeCell ref="A22:M22"/>
    <mergeCell ref="J32:M32"/>
    <mergeCell ref="C27:E27"/>
    <mergeCell ref="J31:M31"/>
    <mergeCell ref="A83:M83"/>
    <mergeCell ref="F137:M137"/>
    <mergeCell ref="F138:M138"/>
    <mergeCell ref="C137:E137"/>
    <mergeCell ref="C138:E138"/>
    <mergeCell ref="C99:E99"/>
    <mergeCell ref="A97:M97"/>
    <mergeCell ref="A100:M100"/>
    <mergeCell ref="F98:M98"/>
    <mergeCell ref="C101:E101"/>
    <mergeCell ref="C98:E98"/>
    <mergeCell ref="C112:E112"/>
    <mergeCell ref="C113:E113"/>
    <mergeCell ref="C124:E124"/>
    <mergeCell ref="C125:E125"/>
    <mergeCell ref="C116:E116"/>
    <mergeCell ref="C117:E117"/>
    <mergeCell ref="A115:M115"/>
    <mergeCell ref="C111:E111"/>
    <mergeCell ref="C107:E107"/>
    <mergeCell ref="C108:E108"/>
    <mergeCell ref="C114:E114"/>
    <mergeCell ref="C118:E118"/>
    <mergeCell ref="C86:E86"/>
  </mergeCells>
  <phoneticPr fontId="11" type="noConversion"/>
  <dataValidations count="1">
    <dataValidation type="list" allowBlank="1" showInputMessage="1" showErrorMessage="1" sqref="B122" xr:uid="{00000000-0002-0000-0100-000000000000}">
      <formula1>"Ja, Nein"</formula1>
    </dataValidation>
  </dataValidations>
  <pageMargins left="0.75" right="0.75" top="1" bottom="1" header="0.4921259845" footer="0.4921259845"/>
  <pageSetup paperSize="9" orientation="landscape"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5"/>
  <dimension ref="A5:V130"/>
  <sheetViews>
    <sheetView workbookViewId="0"/>
  </sheetViews>
  <sheetFormatPr baseColWidth="10" defaultColWidth="11.42578125" defaultRowHeight="12.75" x14ac:dyDescent="0.2"/>
  <cols>
    <col min="7" max="7" width="11.42578125" style="285"/>
    <col min="8" max="8" width="9.7109375" customWidth="1"/>
    <col min="9" max="9" width="7.28515625" customWidth="1"/>
    <col min="11" max="19" width="11.42578125" customWidth="1"/>
  </cols>
  <sheetData>
    <row r="5" spans="10:10" ht="3.75" customHeight="1" x14ac:dyDescent="0.2"/>
    <row r="6" spans="10:10" ht="10.5" hidden="1" customHeight="1" x14ac:dyDescent="0.2">
      <c r="J6" s="189"/>
    </row>
    <row r="7" spans="10:10" ht="10.5" hidden="1" customHeight="1" x14ac:dyDescent="0.2">
      <c r="J7" s="189"/>
    </row>
    <row r="8" spans="10:10" ht="3.75" hidden="1" customHeight="1" x14ac:dyDescent="0.2">
      <c r="J8" s="189"/>
    </row>
    <row r="9" spans="10:10" ht="10.5" hidden="1" customHeight="1" x14ac:dyDescent="0.2">
      <c r="J9" s="189"/>
    </row>
    <row r="10" spans="10:10" ht="10.5" hidden="1" customHeight="1" x14ac:dyDescent="0.2">
      <c r="J10" s="189"/>
    </row>
    <row r="11" spans="10:10" ht="3.75" hidden="1" customHeight="1" x14ac:dyDescent="0.2"/>
    <row r="17" spans="10:10" ht="3.75" customHeight="1" x14ac:dyDescent="0.2"/>
    <row r="18" spans="10:10" ht="10.5" hidden="1" customHeight="1" x14ac:dyDescent="0.2">
      <c r="J18" s="189"/>
    </row>
    <row r="19" spans="10:10" ht="10.5" hidden="1" customHeight="1" x14ac:dyDescent="0.2">
      <c r="J19" s="189"/>
    </row>
    <row r="20" spans="10:10" ht="3.75" hidden="1" customHeight="1" x14ac:dyDescent="0.2"/>
    <row r="21" spans="10:10" ht="10.5" hidden="1" customHeight="1" x14ac:dyDescent="0.2">
      <c r="J21" s="189"/>
    </row>
    <row r="22" spans="10:10" ht="10.5" hidden="1" customHeight="1" x14ac:dyDescent="0.2">
      <c r="J22" s="189"/>
    </row>
    <row r="23" spans="10:10" ht="3.75" hidden="1" customHeight="1" x14ac:dyDescent="0.2"/>
    <row r="29" spans="10:10" ht="3.75" customHeight="1" x14ac:dyDescent="0.2"/>
    <row r="30" spans="10:10" ht="10.5" hidden="1" customHeight="1" x14ac:dyDescent="0.2">
      <c r="J30" s="189"/>
    </row>
    <row r="31" spans="10:10" ht="10.5" hidden="1" customHeight="1" x14ac:dyDescent="0.2">
      <c r="J31" s="189"/>
    </row>
    <row r="32" spans="10:10" ht="3.75" hidden="1" customHeight="1" x14ac:dyDescent="0.2"/>
    <row r="33" spans="10:10" ht="10.5" hidden="1" customHeight="1" x14ac:dyDescent="0.2">
      <c r="J33" s="189"/>
    </row>
    <row r="34" spans="10:10" ht="10.5" hidden="1" customHeight="1" x14ac:dyDescent="0.2">
      <c r="J34" s="189"/>
    </row>
    <row r="35" spans="10:10" ht="3.75" hidden="1" customHeight="1" x14ac:dyDescent="0.2"/>
    <row r="41" spans="10:10" ht="3.75" customHeight="1" x14ac:dyDescent="0.2"/>
    <row r="42" spans="10:10" ht="10.5" hidden="1" customHeight="1" x14ac:dyDescent="0.2">
      <c r="J42" s="189"/>
    </row>
    <row r="43" spans="10:10" ht="10.5" hidden="1" customHeight="1" x14ac:dyDescent="0.2">
      <c r="J43" s="189"/>
    </row>
    <row r="44" spans="10:10" ht="3.75" hidden="1" customHeight="1" x14ac:dyDescent="0.2"/>
    <row r="45" spans="10:10" ht="10.5" hidden="1" customHeight="1" x14ac:dyDescent="0.2">
      <c r="J45" s="189"/>
    </row>
    <row r="46" spans="10:10" ht="10.5" hidden="1" customHeight="1" x14ac:dyDescent="0.2">
      <c r="J46" s="189"/>
    </row>
    <row r="47" spans="10:10" ht="3.75" hidden="1" customHeight="1" x14ac:dyDescent="0.2"/>
    <row r="50" spans="10:10" ht="10.5" customHeight="1" x14ac:dyDescent="0.2"/>
    <row r="51" spans="10:10" hidden="1" x14ac:dyDescent="0.2"/>
    <row r="52" spans="10:10" ht="3.75" hidden="1" customHeight="1" x14ac:dyDescent="0.2"/>
    <row r="53" spans="10:10" hidden="1" x14ac:dyDescent="0.2">
      <c r="J53" s="189"/>
    </row>
    <row r="54" spans="10:10" ht="3.75" hidden="1" customHeight="1" x14ac:dyDescent="0.2"/>
    <row r="55" spans="10:10" hidden="1" x14ac:dyDescent="0.2"/>
    <row r="56" spans="10:10" ht="3.75" customHeight="1" x14ac:dyDescent="0.2"/>
    <row r="58" spans="10:10" ht="10.5" customHeight="1" x14ac:dyDescent="0.2"/>
    <row r="60" spans="10:10" ht="13.5" customHeight="1" x14ac:dyDescent="0.2"/>
    <row r="62" spans="10:10" ht="12.75" customHeight="1" x14ac:dyDescent="0.2"/>
    <row r="63" spans="10:10" ht="6" customHeight="1" x14ac:dyDescent="0.2"/>
    <row r="64" spans="10:10" ht="13.5" customHeight="1" x14ac:dyDescent="0.2"/>
    <row r="65" spans="20:22" x14ac:dyDescent="0.2">
      <c r="V65" s="170"/>
    </row>
    <row r="66" spans="20:22" x14ac:dyDescent="0.2">
      <c r="V66" s="170"/>
    </row>
    <row r="67" spans="20:22" x14ac:dyDescent="0.2">
      <c r="V67" s="170"/>
    </row>
    <row r="68" spans="20:22" ht="6.75" customHeight="1" x14ac:dyDescent="0.2"/>
    <row r="69" spans="20:22" x14ac:dyDescent="0.2">
      <c r="V69" s="170"/>
    </row>
    <row r="70" spans="20:22" x14ac:dyDescent="0.2">
      <c r="T70" s="170"/>
    </row>
    <row r="71" spans="20:22" ht="6.75" customHeight="1" x14ac:dyDescent="0.2"/>
    <row r="72" spans="20:22" x14ac:dyDescent="0.2">
      <c r="T72" s="170"/>
    </row>
    <row r="73" spans="20:22" x14ac:dyDescent="0.2">
      <c r="T73" s="170"/>
    </row>
    <row r="74" spans="20:22" ht="13.5" customHeight="1" x14ac:dyDescent="0.2"/>
    <row r="75" spans="20:22" x14ac:dyDescent="0.2">
      <c r="T75" s="170"/>
    </row>
    <row r="76" spans="20:22" ht="13.5" customHeight="1" x14ac:dyDescent="0.2"/>
    <row r="77" spans="20:22" x14ac:dyDescent="0.2">
      <c r="T77" s="170"/>
    </row>
    <row r="78" spans="20:22" x14ac:dyDescent="0.2">
      <c r="T78" s="170"/>
    </row>
    <row r="79" spans="20:22" x14ac:dyDescent="0.2">
      <c r="T79" s="170"/>
    </row>
    <row r="80" spans="20:22" ht="10.5" customHeight="1" x14ac:dyDescent="0.2"/>
    <row r="81" spans="1:20" x14ac:dyDescent="0.2">
      <c r="T81" s="170"/>
    </row>
    <row r="84" spans="1:20" ht="10.5" customHeight="1" x14ac:dyDescent="0.2"/>
    <row r="85" spans="1:20" x14ac:dyDescent="0.2">
      <c r="T85" s="170"/>
    </row>
    <row r="86" spans="1:20" x14ac:dyDescent="0.2">
      <c r="T86" s="170"/>
    </row>
    <row r="87" spans="1:20" x14ac:dyDescent="0.2">
      <c r="T87" s="170"/>
    </row>
    <row r="88" spans="1:20" ht="10.5" customHeight="1" x14ac:dyDescent="0.2"/>
    <row r="89" spans="1:20" x14ac:dyDescent="0.2">
      <c r="T89" s="170"/>
    </row>
    <row r="91" spans="1:20" x14ac:dyDescent="0.2">
      <c r="T91" s="170"/>
    </row>
    <row r="92" spans="1:20" ht="13.5" x14ac:dyDescent="0.25">
      <c r="A92" s="171"/>
    </row>
    <row r="93" spans="1:20" ht="13.5" x14ac:dyDescent="0.25">
      <c r="A93" s="171"/>
    </row>
    <row r="94" spans="1:20" ht="13.5" x14ac:dyDescent="0.25">
      <c r="A94" s="171"/>
    </row>
    <row r="95" spans="1:20" ht="13.5" x14ac:dyDescent="0.25">
      <c r="A95" s="171"/>
    </row>
    <row r="96" spans="1:20" ht="13.5" x14ac:dyDescent="0.25">
      <c r="A96" s="171"/>
    </row>
    <row r="97" spans="1:9" ht="13.5" x14ac:dyDescent="0.25">
      <c r="A97" s="171"/>
    </row>
    <row r="98" spans="1:9" ht="14.25" thickBot="1" x14ac:dyDescent="0.3">
      <c r="A98" s="171"/>
    </row>
    <row r="99" spans="1:9" x14ac:dyDescent="0.2">
      <c r="A99" s="246" t="s">
        <v>615</v>
      </c>
      <c r="B99" s="247"/>
      <c r="C99" s="248"/>
      <c r="D99" s="322" t="str">
        <f>Eingabewerte!D41</f>
        <v>Volvo FMX 430</v>
      </c>
      <c r="E99" s="245"/>
      <c r="F99" s="245"/>
      <c r="H99" s="245"/>
    </row>
    <row r="100" spans="1:9" x14ac:dyDescent="0.2">
      <c r="A100" s="249" t="s">
        <v>616</v>
      </c>
      <c r="B100" s="250"/>
      <c r="C100" s="251"/>
      <c r="D100" s="251">
        <v>750</v>
      </c>
      <c r="E100" s="245" t="s">
        <v>28</v>
      </c>
      <c r="F100" s="245"/>
      <c r="H100" s="245"/>
    </row>
    <row r="101" spans="1:9" x14ac:dyDescent="0.2">
      <c r="A101" s="249" t="s">
        <v>617</v>
      </c>
      <c r="B101" s="250"/>
      <c r="C101" s="251"/>
      <c r="D101" s="251">
        <f>Eingabewerte!D42</f>
        <v>5200</v>
      </c>
      <c r="E101" s="245" t="s">
        <v>28</v>
      </c>
      <c r="F101" s="245"/>
      <c r="H101" s="245"/>
    </row>
    <row r="102" spans="1:9" x14ac:dyDescent="0.2">
      <c r="A102" s="252" t="s">
        <v>618</v>
      </c>
      <c r="B102" s="253"/>
      <c r="C102" s="254"/>
      <c r="D102" s="251">
        <f>Eingabewerte!D43</f>
        <v>-2825</v>
      </c>
      <c r="E102" s="245" t="s">
        <v>28</v>
      </c>
      <c r="F102" s="245"/>
      <c r="H102" s="245"/>
    </row>
    <row r="103" spans="1:9" x14ac:dyDescent="0.2">
      <c r="A103" s="252" t="s">
        <v>619</v>
      </c>
      <c r="B103" s="255"/>
      <c r="C103" s="256"/>
      <c r="D103" s="257"/>
      <c r="E103" s="245" t="s">
        <v>13</v>
      </c>
      <c r="F103" s="245"/>
      <c r="H103" s="245"/>
    </row>
    <row r="104" spans="1:9" ht="13.5" thickBot="1" x14ac:dyDescent="0.25">
      <c r="A104" s="258" t="s">
        <v>620</v>
      </c>
      <c r="B104" s="259"/>
      <c r="C104" s="260"/>
      <c r="D104" s="261"/>
      <c r="E104" s="245" t="s">
        <v>28</v>
      </c>
      <c r="F104" s="245"/>
      <c r="H104" s="245"/>
    </row>
    <row r="105" spans="1:9" x14ac:dyDescent="0.2">
      <c r="A105" s="245"/>
      <c r="B105" s="245"/>
      <c r="C105" s="245"/>
      <c r="D105" s="245"/>
      <c r="E105" s="245"/>
      <c r="F105" s="245"/>
      <c r="H105" s="245"/>
    </row>
    <row r="106" spans="1:9" ht="25.5" x14ac:dyDescent="0.2">
      <c r="A106" s="245"/>
      <c r="B106" s="245"/>
      <c r="C106" s="245"/>
      <c r="D106" s="245" t="s">
        <v>801</v>
      </c>
      <c r="E106" s="245" t="s">
        <v>622</v>
      </c>
      <c r="F106" s="262" t="s">
        <v>623</v>
      </c>
      <c r="G106" s="262" t="str">
        <f>D106</f>
        <v>fertig</v>
      </c>
      <c r="H106" s="285" t="str">
        <f>E106</f>
        <v>zul</v>
      </c>
    </row>
    <row r="107" spans="1:9" ht="13.5" thickBot="1" x14ac:dyDescent="0.25">
      <c r="A107" s="245"/>
      <c r="B107" s="245"/>
      <c r="C107" s="245"/>
      <c r="D107" s="245" t="s">
        <v>13</v>
      </c>
      <c r="E107" s="245" t="s">
        <v>13</v>
      </c>
      <c r="F107" s="245" t="s">
        <v>28</v>
      </c>
      <c r="H107" s="262"/>
    </row>
    <row r="108" spans="1:9" x14ac:dyDescent="0.2">
      <c r="A108" s="246" t="s">
        <v>624</v>
      </c>
      <c r="B108" s="247"/>
      <c r="C108" s="248"/>
      <c r="D108" s="248">
        <v>5680</v>
      </c>
      <c r="E108" s="248">
        <f>Eingabewerte!D44</f>
        <v>9000</v>
      </c>
      <c r="F108" s="248">
        <v>0</v>
      </c>
      <c r="G108" s="263">
        <f>D108*F108</f>
        <v>0</v>
      </c>
      <c r="H108" s="263">
        <f>E108*F108</f>
        <v>0</v>
      </c>
    </row>
    <row r="109" spans="1:9" x14ac:dyDescent="0.2">
      <c r="A109" s="252" t="s">
        <v>625</v>
      </c>
      <c r="B109" s="253"/>
      <c r="C109" s="254"/>
      <c r="D109" s="254"/>
      <c r="E109" s="254"/>
      <c r="F109" s="254"/>
      <c r="G109" s="264">
        <f>D109*F109</f>
        <v>0</v>
      </c>
      <c r="H109" s="264">
        <f>E109*F109</f>
        <v>0</v>
      </c>
    </row>
    <row r="110" spans="1:9" ht="13.5" thickBot="1" x14ac:dyDescent="0.25">
      <c r="A110" s="258" t="s">
        <v>626</v>
      </c>
      <c r="B110" s="259"/>
      <c r="C110" s="260"/>
      <c r="D110" s="260"/>
      <c r="E110" s="260"/>
      <c r="F110" s="260"/>
      <c r="G110" s="261">
        <f>D110*F110</f>
        <v>0</v>
      </c>
      <c r="H110" s="261">
        <f>E110*F110</f>
        <v>0</v>
      </c>
    </row>
    <row r="111" spans="1:9" ht="13.5" thickBot="1" x14ac:dyDescent="0.25">
      <c r="A111" s="245"/>
      <c r="B111" s="245"/>
      <c r="C111" s="245"/>
      <c r="D111" s="285">
        <f>SUM(D108:D110)</f>
        <v>5680</v>
      </c>
      <c r="E111" s="245">
        <f>SUM(E108:E110)</f>
        <v>9000</v>
      </c>
      <c r="F111" s="245"/>
      <c r="G111" s="285">
        <f>SUM(G108:G110)</f>
        <v>0</v>
      </c>
      <c r="H111" s="245">
        <f>SUM(H108:H110)</f>
        <v>0</v>
      </c>
    </row>
    <row r="112" spans="1:9" ht="13.5" thickBot="1" x14ac:dyDescent="0.25">
      <c r="A112" s="246" t="s">
        <v>391</v>
      </c>
      <c r="B112" s="247"/>
      <c r="C112" s="248"/>
      <c r="D112" s="265">
        <f>D111</f>
        <v>5680</v>
      </c>
      <c r="E112" s="265">
        <f>E111</f>
        <v>9000</v>
      </c>
      <c r="F112" s="245"/>
      <c r="G112" s="245"/>
      <c r="H112" s="285"/>
      <c r="I112" s="245"/>
    </row>
    <row r="113" spans="1:11" x14ac:dyDescent="0.2">
      <c r="A113" s="246" t="s">
        <v>627</v>
      </c>
      <c r="B113" s="247"/>
      <c r="C113" s="248"/>
      <c r="D113" s="265"/>
      <c r="E113" s="265"/>
      <c r="F113" s="245"/>
      <c r="G113" s="245"/>
      <c r="H113" s="285"/>
      <c r="I113" s="245"/>
    </row>
    <row r="114" spans="1:11" ht="13.5" thickBot="1" x14ac:dyDescent="0.25">
      <c r="A114" s="258" t="s">
        <v>628</v>
      </c>
      <c r="B114" s="259"/>
      <c r="C114" s="260"/>
      <c r="D114" s="266">
        <f>G111/D111</f>
        <v>0</v>
      </c>
      <c r="E114" s="266">
        <f>H111/E111</f>
        <v>0</v>
      </c>
      <c r="F114" s="245"/>
      <c r="G114" s="245"/>
      <c r="H114" s="285"/>
      <c r="I114" s="245"/>
    </row>
    <row r="115" spans="1:11" x14ac:dyDescent="0.2">
      <c r="A115" s="245"/>
      <c r="B115" s="245"/>
      <c r="C115" s="245"/>
      <c r="D115" s="245"/>
      <c r="E115" s="245"/>
      <c r="F115" s="245"/>
      <c r="H115" s="245"/>
    </row>
    <row r="116" spans="1:11" ht="25.5" x14ac:dyDescent="0.2">
      <c r="A116" s="245"/>
      <c r="B116" s="245"/>
      <c r="C116" s="245"/>
      <c r="D116" s="245" t="s">
        <v>621</v>
      </c>
      <c r="E116" s="245" t="s">
        <v>622</v>
      </c>
      <c r="F116" s="262" t="s">
        <v>629</v>
      </c>
      <c r="G116" s="262" t="str">
        <f>D116</f>
        <v>leer</v>
      </c>
      <c r="H116" s="245" t="str">
        <f>E116</f>
        <v>zul</v>
      </c>
    </row>
    <row r="117" spans="1:11" ht="13.5" thickBot="1" x14ac:dyDescent="0.25">
      <c r="A117" s="245"/>
      <c r="B117" s="245"/>
      <c r="C117" s="245"/>
      <c r="D117" s="245" t="s">
        <v>13</v>
      </c>
      <c r="E117" s="245" t="s">
        <v>13</v>
      </c>
      <c r="F117" s="245" t="s">
        <v>28</v>
      </c>
      <c r="H117" s="245"/>
    </row>
    <row r="118" spans="1:11" ht="13.5" thickBot="1" x14ac:dyDescent="0.25">
      <c r="A118" s="246" t="s">
        <v>630</v>
      </c>
      <c r="B118" s="247"/>
      <c r="C118" s="248"/>
      <c r="D118" s="248">
        <v>10195</v>
      </c>
      <c r="E118" s="248">
        <f>Eingabewerte!D45</f>
        <v>13000</v>
      </c>
      <c r="F118" s="248">
        <v>0</v>
      </c>
      <c r="G118" s="263">
        <f>D118*F118</f>
        <v>0</v>
      </c>
      <c r="H118" s="263">
        <f>E118*F118</f>
        <v>0</v>
      </c>
      <c r="K118">
        <v>11500</v>
      </c>
    </row>
    <row r="119" spans="1:11" x14ac:dyDescent="0.2">
      <c r="A119" s="252" t="s">
        <v>631</v>
      </c>
      <c r="B119" s="253"/>
      <c r="C119" s="254"/>
      <c r="D119" s="254">
        <v>6830</v>
      </c>
      <c r="E119" s="248">
        <f>Eingabewerte!D46</f>
        <v>7500</v>
      </c>
      <c r="F119" s="254">
        <f>Eingabewerte!D47</f>
        <v>1370</v>
      </c>
      <c r="G119" s="264">
        <f>D119*F119</f>
        <v>9357100</v>
      </c>
      <c r="H119" s="264">
        <f>E119*F119</f>
        <v>10275000</v>
      </c>
      <c r="K119">
        <v>7500</v>
      </c>
    </row>
    <row r="120" spans="1:11" x14ac:dyDescent="0.2">
      <c r="A120" s="252" t="s">
        <v>632</v>
      </c>
      <c r="B120" s="255"/>
      <c r="C120" s="256"/>
      <c r="D120" s="256"/>
      <c r="E120" s="256"/>
      <c r="F120" s="256"/>
      <c r="G120" s="264">
        <f>D120*F120</f>
        <v>0</v>
      </c>
      <c r="H120" s="264">
        <f>E120*F120</f>
        <v>0</v>
      </c>
    </row>
    <row r="121" spans="1:11" ht="13.5" thickBot="1" x14ac:dyDescent="0.25">
      <c r="A121" s="258" t="s">
        <v>633</v>
      </c>
      <c r="B121" s="259"/>
      <c r="C121" s="260"/>
      <c r="D121" s="260"/>
      <c r="E121" s="260"/>
      <c r="F121" s="260"/>
      <c r="G121" s="261">
        <f>D121*F121</f>
        <v>0</v>
      </c>
      <c r="H121" s="261">
        <f>E121*F121</f>
        <v>0</v>
      </c>
    </row>
    <row r="122" spans="1:11" ht="13.5" thickBot="1" x14ac:dyDescent="0.25">
      <c r="A122" s="245"/>
      <c r="B122" s="245"/>
      <c r="C122" s="245"/>
      <c r="D122" s="285">
        <f>SUM(D118:D121)</f>
        <v>17025</v>
      </c>
      <c r="E122" s="245">
        <f>SUM(E118:E121)</f>
        <v>20500</v>
      </c>
      <c r="F122" s="245"/>
      <c r="G122" s="285">
        <f>SUM(G118:G121)</f>
        <v>9357100</v>
      </c>
      <c r="H122" s="245">
        <f>SUM(H118:H121)</f>
        <v>10275000</v>
      </c>
    </row>
    <row r="123" spans="1:11" ht="13.5" thickBot="1" x14ac:dyDescent="0.25">
      <c r="A123" s="246" t="s">
        <v>802</v>
      </c>
      <c r="B123" s="247"/>
      <c r="C123" s="248"/>
      <c r="D123" s="265">
        <f>D122</f>
        <v>17025</v>
      </c>
      <c r="E123" s="265">
        <f>E122</f>
        <v>20500</v>
      </c>
      <c r="F123" s="245"/>
      <c r="G123" s="245"/>
      <c r="H123" s="285"/>
      <c r="I123" s="245"/>
    </row>
    <row r="124" spans="1:11" x14ac:dyDescent="0.2">
      <c r="A124" s="246" t="s">
        <v>634</v>
      </c>
      <c r="B124" s="247"/>
      <c r="C124" s="248"/>
      <c r="D124" s="265"/>
      <c r="E124" s="265"/>
      <c r="F124" s="245"/>
      <c r="G124" s="245"/>
      <c r="H124" s="285"/>
      <c r="I124" s="245"/>
    </row>
    <row r="125" spans="1:11" ht="13.5" thickBot="1" x14ac:dyDescent="0.25">
      <c r="A125" s="258" t="s">
        <v>635</v>
      </c>
      <c r="B125" s="259"/>
      <c r="C125" s="260"/>
      <c r="D125" s="267">
        <f>G122/D122</f>
        <v>549.60939794419971</v>
      </c>
      <c r="E125" s="267">
        <f>H122/E122</f>
        <v>501.21951219512198</v>
      </c>
      <c r="F125" s="245"/>
      <c r="G125" s="245"/>
      <c r="H125" s="285"/>
      <c r="I125" s="245"/>
    </row>
    <row r="126" spans="1:11" ht="13.5" thickBot="1" x14ac:dyDescent="0.25">
      <c r="A126" s="245"/>
      <c r="B126" s="245"/>
      <c r="C126" s="245"/>
      <c r="D126" s="245"/>
      <c r="E126" s="245"/>
      <c r="F126" s="245"/>
      <c r="H126" s="245"/>
    </row>
    <row r="127" spans="1:11" x14ac:dyDescent="0.2">
      <c r="A127" s="246" t="s">
        <v>636</v>
      </c>
      <c r="B127" s="247"/>
      <c r="C127" s="248"/>
      <c r="D127" s="263">
        <f>E112+D123</f>
        <v>26025</v>
      </c>
      <c r="E127" s="263">
        <f>E112+E123</f>
        <v>29500</v>
      </c>
      <c r="F127" s="245" t="s">
        <v>13</v>
      </c>
      <c r="G127" s="245"/>
      <c r="H127" s="285"/>
      <c r="I127" s="245"/>
    </row>
    <row r="128" spans="1:11" x14ac:dyDescent="0.2">
      <c r="A128" s="311" t="s">
        <v>637</v>
      </c>
      <c r="B128" s="312"/>
      <c r="C128" s="313"/>
      <c r="D128" s="310">
        <f>(D112*(D101-D102-D114)+D123*(-D102-D125))/D127</f>
        <v>3239.981748318924</v>
      </c>
      <c r="E128" s="310">
        <f>(E112*(D101-D102-E114)+E123*(-D102-E125))/E127</f>
        <v>4063.1355932203392</v>
      </c>
      <c r="F128" s="245" t="s">
        <v>28</v>
      </c>
      <c r="G128" s="245"/>
      <c r="H128" s="285"/>
      <c r="I128" s="245"/>
    </row>
    <row r="129" spans="1:9" x14ac:dyDescent="0.2">
      <c r="A129" s="252" t="s">
        <v>638</v>
      </c>
      <c r="B129" s="255"/>
      <c r="C129" s="256"/>
      <c r="D129" s="264">
        <f>D101-D114+D125</f>
        <v>5749.6093979441994</v>
      </c>
      <c r="E129" s="264">
        <f>D101-E114+E125</f>
        <v>5701.2195121951218</v>
      </c>
      <c r="F129" s="245" t="s">
        <v>28</v>
      </c>
      <c r="G129" s="245"/>
      <c r="H129" s="285"/>
      <c r="I129" s="245"/>
    </row>
    <row r="130" spans="1:9" ht="13.5" thickBot="1" x14ac:dyDescent="0.25">
      <c r="A130" s="258" t="s">
        <v>639</v>
      </c>
      <c r="B130" s="259"/>
      <c r="C130" s="260"/>
      <c r="D130" s="261">
        <f>D102+D125</f>
        <v>-2275.3906020558002</v>
      </c>
      <c r="E130" s="261">
        <f>D102+E125</f>
        <v>-2323.7804878048782</v>
      </c>
      <c r="F130" s="245" t="s">
        <v>28</v>
      </c>
      <c r="G130" s="245"/>
      <c r="H130" s="285"/>
      <c r="I130" s="245"/>
    </row>
  </sheetData>
  <sheetProtection algorithmName="SHA-512" hashValue="3WJznyIsVug9dUYQCvyWKpfd/Z5tAeHdzSTjBrsS0r096zOSnZM2rxsadtncGCC4Pe0NEq8kmo4eCHwX3SO/Dg==" saltValue="jVQkw3VpuFIlsxl+AtiWMQ==" spinCount="100000" sheet="1" objects="1" scenarios="1" selectLockedCells="1" selectUnlockedCells="1"/>
  <phoneticPr fontId="51" type="noConversion"/>
  <pageMargins left="0.7" right="0.7" top="0.78740157499999996" bottom="0.78740157499999996"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
  <dimension ref="A1:AL70"/>
  <sheetViews>
    <sheetView topLeftCell="A49" workbookViewId="0"/>
  </sheetViews>
  <sheetFormatPr baseColWidth="10" defaultColWidth="11.42578125" defaultRowHeight="12.75" x14ac:dyDescent="0.2"/>
  <cols>
    <col min="1" max="1" width="8.7109375" style="285" customWidth="1"/>
    <col min="2" max="4" width="8.7109375" style="1" customWidth="1"/>
    <col min="5" max="8" width="8.7109375" style="285" customWidth="1"/>
    <col min="9" max="16384" width="11.42578125" style="285"/>
  </cols>
  <sheetData>
    <row r="1" spans="1:38" ht="18" x14ac:dyDescent="0.25">
      <c r="A1" s="4" t="s">
        <v>135</v>
      </c>
      <c r="F1" s="794" t="str">
        <f>Geraetedaten!B1</f>
        <v>P570</v>
      </c>
      <c r="G1" s="794"/>
    </row>
    <row r="2" spans="1:38" ht="14.1" customHeight="1" x14ac:dyDescent="0.2"/>
    <row r="3" spans="1:38" ht="14.1" customHeight="1" x14ac:dyDescent="0.2">
      <c r="A3" s="795" t="s">
        <v>157</v>
      </c>
      <c r="B3" s="795"/>
      <c r="C3" s="795"/>
      <c r="D3" s="796">
        <f>Eingabewerte!D4</f>
        <v>11570035</v>
      </c>
      <c r="E3" s="796"/>
      <c r="F3" s="796"/>
    </row>
    <row r="4" spans="1:38" ht="14.1" customHeight="1" x14ac:dyDescent="0.2"/>
    <row r="5" spans="1:38" ht="14.1" customHeight="1" x14ac:dyDescent="0.2">
      <c r="A5" s="795" t="s">
        <v>158</v>
      </c>
      <c r="B5" s="795"/>
      <c r="C5" s="795"/>
      <c r="D5" s="796" t="str">
        <f>Eingabewerte!D5</f>
        <v>Sonder</v>
      </c>
      <c r="E5" s="796"/>
      <c r="F5" s="796"/>
      <c r="T5" s="76"/>
      <c r="U5" s="76"/>
      <c r="V5" s="76"/>
      <c r="W5" s="76"/>
      <c r="X5" s="76"/>
      <c r="Y5" s="76"/>
      <c r="Z5" s="76"/>
      <c r="AA5" s="76"/>
      <c r="AB5" s="76"/>
      <c r="AC5" s="76"/>
      <c r="AD5" s="76"/>
      <c r="AE5" s="76"/>
      <c r="AF5" s="76"/>
      <c r="AG5" s="76"/>
      <c r="AH5" s="76"/>
      <c r="AI5" s="76"/>
      <c r="AJ5" s="76"/>
      <c r="AK5" s="76"/>
      <c r="AL5" s="76"/>
    </row>
    <row r="6" spans="1:38" ht="14.1" customHeight="1" x14ac:dyDescent="0.2">
      <c r="A6" s="795" t="s">
        <v>83</v>
      </c>
      <c r="B6" s="795"/>
      <c r="C6" s="795"/>
      <c r="D6" s="57">
        <f>Geraetedaten!B7</f>
        <v>5701.2195121951218</v>
      </c>
      <c r="E6" s="285" t="s">
        <v>28</v>
      </c>
      <c r="T6" s="76"/>
      <c r="U6" s="76"/>
      <c r="V6" s="76"/>
      <c r="W6" s="76"/>
      <c r="X6" s="76"/>
      <c r="Y6" s="76"/>
      <c r="Z6" s="76"/>
      <c r="AA6" s="76"/>
      <c r="AB6" s="76"/>
      <c r="AC6" s="76"/>
      <c r="AD6" s="76"/>
      <c r="AE6" s="76"/>
      <c r="AF6" s="76"/>
      <c r="AG6" s="76"/>
      <c r="AH6" s="76"/>
      <c r="AI6" s="76"/>
      <c r="AJ6" s="76"/>
      <c r="AK6" s="76"/>
      <c r="AL6" s="76"/>
    </row>
    <row r="7" spans="1:38" s="3" customFormat="1" ht="14.1" customHeight="1" x14ac:dyDescent="0.2">
      <c r="T7" s="13"/>
      <c r="U7" s="797"/>
      <c r="V7" s="797"/>
      <c r="W7" s="797"/>
      <c r="X7" s="797"/>
      <c r="Y7" s="797"/>
      <c r="Z7" s="797"/>
      <c r="AA7" s="797"/>
      <c r="AB7" s="13"/>
      <c r="AC7" s="13"/>
      <c r="AD7" s="13"/>
      <c r="AE7" s="13"/>
      <c r="AF7" s="13"/>
      <c r="AG7" s="13"/>
      <c r="AH7" s="13"/>
      <c r="AI7" s="13"/>
      <c r="AJ7" s="13"/>
      <c r="AK7" s="13"/>
      <c r="AL7" s="13"/>
    </row>
    <row r="8" spans="1:38" s="3" customFormat="1" ht="14.1" customHeight="1" x14ac:dyDescent="0.2">
      <c r="T8" s="13"/>
      <c r="U8" s="316"/>
      <c r="V8" s="316"/>
      <c r="W8" s="316"/>
      <c r="X8" s="316"/>
      <c r="Y8" s="316"/>
      <c r="Z8" s="316"/>
      <c r="AA8" s="316"/>
      <c r="AB8" s="13"/>
      <c r="AC8" s="13"/>
      <c r="AD8" s="13"/>
      <c r="AE8" s="13"/>
      <c r="AF8" s="13"/>
      <c r="AG8" s="13"/>
      <c r="AH8" s="13"/>
      <c r="AI8" s="13"/>
      <c r="AJ8" s="13"/>
      <c r="AK8" s="13"/>
      <c r="AL8" s="13"/>
    </row>
    <row r="9" spans="1:38" s="3" customFormat="1" ht="20.100000000000001" customHeight="1" x14ac:dyDescent="0.25">
      <c r="A9" s="78" t="s">
        <v>374</v>
      </c>
      <c r="T9" s="13"/>
      <c r="U9" s="316"/>
      <c r="V9" s="316"/>
      <c r="W9" s="316"/>
      <c r="X9" s="316"/>
      <c r="Y9" s="316"/>
      <c r="Z9" s="316"/>
      <c r="AA9" s="316"/>
      <c r="AB9" s="13"/>
      <c r="AC9" s="13"/>
      <c r="AD9" s="13"/>
      <c r="AE9" s="13"/>
      <c r="AF9" s="13"/>
      <c r="AG9" s="13"/>
      <c r="AH9" s="13"/>
      <c r="AI9" s="13"/>
      <c r="AJ9" s="13"/>
      <c r="AK9" s="13"/>
      <c r="AL9" s="13"/>
    </row>
    <row r="10" spans="1:38" ht="14.1" customHeight="1" x14ac:dyDescent="0.2">
      <c r="N10" s="3"/>
      <c r="O10" s="3"/>
      <c r="P10" s="3"/>
      <c r="T10" s="76"/>
      <c r="U10" s="76"/>
      <c r="V10" s="76"/>
      <c r="W10" s="76"/>
      <c r="X10" s="76"/>
      <c r="Y10" s="76"/>
      <c r="Z10" s="76"/>
      <c r="AA10" s="76"/>
      <c r="AB10" s="76"/>
      <c r="AC10" s="76"/>
      <c r="AD10" s="76"/>
      <c r="AE10" s="76"/>
      <c r="AF10" s="76"/>
      <c r="AG10" s="76"/>
      <c r="AH10" s="76"/>
      <c r="AI10" s="76"/>
      <c r="AJ10" s="76"/>
      <c r="AK10" s="76"/>
      <c r="AL10" s="76"/>
    </row>
    <row r="11" spans="1:38" ht="14.1" customHeight="1" x14ac:dyDescent="0.2">
      <c r="A11" s="3"/>
      <c r="B11" s="3"/>
      <c r="C11" s="6" t="s">
        <v>133</v>
      </c>
      <c r="D11" s="3"/>
      <c r="E11" s="6" t="s">
        <v>134</v>
      </c>
      <c r="F11" s="3"/>
      <c r="G11" s="55" t="s">
        <v>140</v>
      </c>
      <c r="H11" s="15"/>
      <c r="N11" s="3"/>
      <c r="O11" s="3"/>
      <c r="P11" s="3"/>
      <c r="T11" s="76"/>
      <c r="U11" s="13"/>
      <c r="V11" s="14"/>
      <c r="W11" s="14"/>
      <c r="X11" s="793"/>
      <c r="Y11" s="793"/>
      <c r="Z11" s="793"/>
      <c r="AA11" s="793"/>
      <c r="AB11" s="13"/>
      <c r="AC11" s="13"/>
      <c r="AD11" s="77"/>
      <c r="AE11" s="76"/>
      <c r="AF11" s="76"/>
      <c r="AG11" s="76"/>
      <c r="AH11" s="76"/>
      <c r="AI11" s="76"/>
      <c r="AJ11" s="76"/>
      <c r="AK11" s="76"/>
      <c r="AL11" s="76"/>
    </row>
    <row r="12" spans="1:38" ht="14.1" customHeight="1" x14ac:dyDescent="0.25">
      <c r="A12" s="285" t="s">
        <v>136</v>
      </c>
      <c r="C12" s="20">
        <f>Geraetedaten!B8</f>
        <v>5000</v>
      </c>
      <c r="D12" s="24" t="s">
        <v>13</v>
      </c>
      <c r="E12" s="20">
        <f>Geraetedaten!B9</f>
        <v>3480</v>
      </c>
      <c r="F12" s="24" t="s">
        <v>13</v>
      </c>
      <c r="G12" s="20">
        <f>Geraetedaten!B10</f>
        <v>8480</v>
      </c>
      <c r="H12" s="24" t="s">
        <v>13</v>
      </c>
      <c r="N12" s="3"/>
      <c r="O12" s="3"/>
      <c r="P12" s="3"/>
      <c r="T12" s="76"/>
      <c r="U12" s="13"/>
      <c r="V12" s="14"/>
      <c r="W12" s="14"/>
      <c r="X12" s="316"/>
      <c r="Y12" s="316"/>
      <c r="Z12" s="316"/>
      <c r="AA12" s="316"/>
      <c r="AB12" s="13"/>
      <c r="AC12" s="13"/>
      <c r="AD12" s="77"/>
      <c r="AE12" s="76"/>
      <c r="AF12" s="76"/>
      <c r="AG12" s="76"/>
      <c r="AH12" s="76"/>
      <c r="AI12" s="76"/>
      <c r="AJ12" s="76"/>
      <c r="AK12" s="76"/>
      <c r="AL12" s="76"/>
    </row>
    <row r="13" spans="1:38" ht="14.1" customHeight="1" x14ac:dyDescent="0.25">
      <c r="A13" s="3" t="s">
        <v>138</v>
      </c>
      <c r="B13" s="24"/>
      <c r="C13" s="20">
        <f>Geraetedaten!B13</f>
        <v>9000</v>
      </c>
      <c r="D13" s="24" t="s">
        <v>13</v>
      </c>
      <c r="E13" s="20">
        <f>Geraetedaten!B14</f>
        <v>20500</v>
      </c>
      <c r="F13" s="24" t="s">
        <v>13</v>
      </c>
      <c r="G13" s="20">
        <f>Geraetedaten!B15</f>
        <v>29500</v>
      </c>
      <c r="H13" s="24" t="s">
        <v>13</v>
      </c>
      <c r="T13" s="76"/>
      <c r="U13" s="13"/>
      <c r="V13" s="14"/>
      <c r="W13" s="14"/>
      <c r="X13" s="13"/>
      <c r="Y13" s="13"/>
      <c r="Z13" s="13"/>
      <c r="AA13" s="13"/>
      <c r="AB13" s="13"/>
      <c r="AC13" s="13"/>
      <c r="AD13" s="76"/>
      <c r="AE13" s="76"/>
      <c r="AF13" s="76"/>
      <c r="AG13" s="76"/>
      <c r="AH13" s="76"/>
      <c r="AI13" s="76"/>
      <c r="AJ13" s="76"/>
      <c r="AK13" s="76"/>
      <c r="AL13" s="76"/>
    </row>
    <row r="14" spans="1:38" ht="14.1" customHeight="1" x14ac:dyDescent="0.25">
      <c r="A14" s="3" t="s">
        <v>137</v>
      </c>
      <c r="B14" s="24"/>
      <c r="C14" s="20">
        <f>(Geraetedaten!B20*(Geraetedaten!B17+Geraetedaten!B21))/Geraetedaten!B7</f>
        <v>7200.0000000000009</v>
      </c>
      <c r="D14" s="24" t="s">
        <v>13</v>
      </c>
      <c r="E14" s="20">
        <f>G14-C14</f>
        <v>18000</v>
      </c>
      <c r="F14" s="24" t="s">
        <v>13</v>
      </c>
      <c r="G14" s="20">
        <f>Geraetedaten!B20</f>
        <v>25200</v>
      </c>
      <c r="H14" s="24" t="s">
        <v>13</v>
      </c>
      <c r="T14" s="76"/>
      <c r="U14" s="13"/>
      <c r="V14" s="14"/>
      <c r="W14" s="14"/>
      <c r="X14" s="13"/>
      <c r="Y14" s="13"/>
      <c r="Z14" s="13"/>
      <c r="AA14" s="13"/>
      <c r="AB14" s="13"/>
      <c r="AC14" s="13"/>
      <c r="AD14" s="76"/>
      <c r="AE14" s="76"/>
      <c r="AF14" s="76"/>
      <c r="AG14" s="76"/>
      <c r="AH14" s="76"/>
      <c r="AI14" s="76"/>
      <c r="AJ14" s="76"/>
      <c r="AK14" s="76"/>
      <c r="AL14" s="76"/>
    </row>
    <row r="15" spans="1:38" ht="14.1" customHeight="1" x14ac:dyDescent="0.25">
      <c r="A15" s="3" t="s">
        <v>139</v>
      </c>
      <c r="B15" s="24"/>
      <c r="C15" s="20">
        <f>C13-C14</f>
        <v>1799.9999999999991</v>
      </c>
      <c r="D15" s="24" t="s">
        <v>13</v>
      </c>
      <c r="E15" s="20">
        <f>E13-E14</f>
        <v>2500</v>
      </c>
      <c r="F15" s="24" t="s">
        <v>13</v>
      </c>
      <c r="G15" s="20">
        <f>G13-G14</f>
        <v>4300</v>
      </c>
      <c r="H15" s="24" t="s">
        <v>13</v>
      </c>
      <c r="T15" s="76"/>
      <c r="U15" s="13"/>
      <c r="V15" s="192"/>
      <c r="W15" s="192"/>
      <c r="X15" s="13"/>
      <c r="Y15" s="13"/>
      <c r="Z15" s="13"/>
      <c r="AA15" s="13"/>
      <c r="AB15" s="13"/>
      <c r="AC15" s="13"/>
      <c r="AD15" s="76"/>
      <c r="AE15" s="13"/>
      <c r="AF15" s="76"/>
      <c r="AG15" s="76"/>
      <c r="AH15" s="76"/>
      <c r="AI15" s="76"/>
      <c r="AJ15" s="76"/>
      <c r="AK15" s="76"/>
      <c r="AL15" s="76"/>
    </row>
    <row r="16" spans="1:38" ht="14.1" customHeight="1" x14ac:dyDescent="0.2">
      <c r="A16" s="3"/>
      <c r="B16" s="24"/>
      <c r="C16" s="24"/>
      <c r="D16" s="24"/>
      <c r="E16" s="3"/>
      <c r="F16" s="3"/>
      <c r="T16" s="76"/>
      <c r="U16" s="13"/>
      <c r="V16" s="14"/>
      <c r="W16" s="14"/>
      <c r="X16" s="13"/>
      <c r="Y16" s="13"/>
      <c r="Z16" s="13"/>
      <c r="AA16" s="13"/>
      <c r="AB16" s="13"/>
      <c r="AC16" s="13"/>
      <c r="AD16" s="13"/>
      <c r="AE16" s="13"/>
      <c r="AF16" s="76"/>
      <c r="AG16" s="76"/>
      <c r="AH16" s="76"/>
      <c r="AI16" s="76"/>
      <c r="AJ16" s="76"/>
      <c r="AK16" s="76"/>
      <c r="AL16" s="76"/>
    </row>
    <row r="17" spans="1:38" ht="14.1" customHeight="1" x14ac:dyDescent="0.25">
      <c r="A17" s="78" t="s">
        <v>375</v>
      </c>
      <c r="B17" s="24"/>
      <c r="C17" s="24"/>
      <c r="D17" s="24"/>
      <c r="E17" s="175" t="s">
        <v>378</v>
      </c>
      <c r="F17" s="3"/>
      <c r="G17" s="180">
        <v>2</v>
      </c>
      <c r="T17" s="76"/>
      <c r="U17" s="13"/>
      <c r="V17" s="14"/>
      <c r="W17" s="14"/>
      <c r="X17" s="13"/>
      <c r="Y17" s="13"/>
      <c r="Z17" s="13"/>
      <c r="AA17" s="13"/>
      <c r="AB17" s="13"/>
      <c r="AC17" s="13"/>
      <c r="AD17" s="13"/>
      <c r="AE17" s="13"/>
      <c r="AF17" s="76"/>
      <c r="AG17" s="76"/>
      <c r="AH17" s="76"/>
      <c r="AI17" s="76"/>
      <c r="AJ17" s="76"/>
      <c r="AK17" s="76"/>
      <c r="AL17" s="76"/>
    </row>
    <row r="18" spans="1:38" ht="14.1" customHeight="1" x14ac:dyDescent="0.2">
      <c r="A18" s="3"/>
      <c r="B18" s="24"/>
      <c r="C18" s="24"/>
      <c r="D18" s="24"/>
      <c r="E18" s="3"/>
      <c r="F18" s="3"/>
      <c r="T18" s="76"/>
      <c r="U18" s="13"/>
      <c r="V18" s="14"/>
      <c r="W18" s="14"/>
      <c r="X18" s="13"/>
      <c r="Y18" s="13"/>
      <c r="Z18" s="13"/>
      <c r="AA18" s="13"/>
      <c r="AB18" s="13"/>
      <c r="AC18" s="13"/>
      <c r="AD18" s="13"/>
      <c r="AE18" s="13"/>
      <c r="AF18" s="76"/>
      <c r="AG18" s="76"/>
      <c r="AH18" s="76"/>
      <c r="AI18" s="76"/>
      <c r="AJ18" s="76"/>
      <c r="AK18" s="76"/>
      <c r="AL18" s="76"/>
    </row>
    <row r="19" spans="1:38" ht="14.1" customHeight="1" x14ac:dyDescent="0.25">
      <c r="A19" s="3" t="s">
        <v>137</v>
      </c>
      <c r="B19" s="24"/>
      <c r="C19" s="20">
        <f>C14+Geraetedaten!S74</f>
        <v>7336.618480106953</v>
      </c>
      <c r="D19" s="24" t="s">
        <v>13</v>
      </c>
      <c r="E19" s="20">
        <f>E14+Geraetedaten!T74</f>
        <v>18198.182519893049</v>
      </c>
      <c r="F19" s="24" t="s">
        <v>13</v>
      </c>
      <c r="G19" s="20">
        <f>G14+Geraetedaten!R74</f>
        <v>25534.800999999999</v>
      </c>
      <c r="H19" s="24" t="s">
        <v>13</v>
      </c>
      <c r="T19" s="76"/>
      <c r="U19" s="13"/>
      <c r="V19" s="14"/>
      <c r="W19" s="14"/>
      <c r="X19" s="13"/>
      <c r="Y19" s="13"/>
      <c r="Z19" s="13"/>
      <c r="AA19" s="13"/>
      <c r="AB19" s="13"/>
      <c r="AC19" s="13"/>
      <c r="AD19" s="13"/>
      <c r="AE19" s="13"/>
      <c r="AF19" s="76"/>
      <c r="AG19" s="76"/>
      <c r="AH19" s="76"/>
      <c r="AI19" s="76"/>
      <c r="AJ19" s="76"/>
      <c r="AK19" s="76"/>
      <c r="AL19" s="76"/>
    </row>
    <row r="20" spans="1:38" ht="14.1" customHeight="1" x14ac:dyDescent="0.25">
      <c r="A20" s="3" t="s">
        <v>139</v>
      </c>
      <c r="B20" s="24"/>
      <c r="C20" s="20">
        <f>C13-C19</f>
        <v>1663.381519893047</v>
      </c>
      <c r="D20" s="24" t="s">
        <v>13</v>
      </c>
      <c r="E20" s="20">
        <f>E13-E19</f>
        <v>2301.8174801069508</v>
      </c>
      <c r="F20" s="24" t="s">
        <v>13</v>
      </c>
      <c r="G20" s="20">
        <f>G13-G19</f>
        <v>3965.1990000000005</v>
      </c>
      <c r="H20" s="24" t="s">
        <v>13</v>
      </c>
      <c r="T20" s="76"/>
      <c r="U20" s="13"/>
      <c r="V20" s="14"/>
      <c r="W20" s="14"/>
      <c r="X20" s="13"/>
      <c r="Y20" s="13"/>
      <c r="Z20" s="13"/>
      <c r="AA20" s="13"/>
      <c r="AB20" s="13"/>
      <c r="AC20" s="13"/>
      <c r="AD20" s="76"/>
      <c r="AE20" s="76"/>
      <c r="AF20" s="76"/>
      <c r="AG20" s="76"/>
      <c r="AH20" s="76"/>
      <c r="AI20" s="76"/>
      <c r="AJ20" s="76"/>
      <c r="AK20" s="76"/>
      <c r="AL20" s="76"/>
    </row>
    <row r="21" spans="1:38" ht="14.1" customHeight="1" x14ac:dyDescent="0.2">
      <c r="T21" s="76"/>
      <c r="U21" s="13"/>
      <c r="V21" s="14"/>
      <c r="W21" s="14"/>
      <c r="X21" s="13"/>
      <c r="Y21" s="13"/>
      <c r="Z21" s="13"/>
      <c r="AA21" s="13"/>
      <c r="AB21" s="13"/>
      <c r="AC21" s="13"/>
      <c r="AD21" s="76"/>
      <c r="AE21" s="76"/>
      <c r="AF21" s="76"/>
      <c r="AG21" s="76"/>
      <c r="AH21" s="76"/>
      <c r="AI21" s="76"/>
      <c r="AJ21" s="76"/>
      <c r="AK21" s="76"/>
      <c r="AL21" s="76"/>
    </row>
    <row r="22" spans="1:38" s="3" customFormat="1" ht="20.100000000000001" customHeight="1" x14ac:dyDescent="0.25">
      <c r="A22" s="78" t="s">
        <v>197</v>
      </c>
      <c r="T22" s="13"/>
      <c r="U22" s="316"/>
      <c r="V22" s="316"/>
      <c r="W22" s="316"/>
      <c r="X22" s="316"/>
      <c r="Y22" s="316"/>
      <c r="Z22" s="316"/>
      <c r="AA22" s="316"/>
      <c r="AB22" s="13"/>
      <c r="AC22" s="13"/>
      <c r="AD22" s="13"/>
      <c r="AE22" s="13"/>
      <c r="AF22" s="13"/>
      <c r="AG22" s="13"/>
      <c r="AH22" s="13"/>
      <c r="AI22" s="13"/>
      <c r="AJ22" s="13"/>
      <c r="AK22" s="13"/>
      <c r="AL22" s="13"/>
    </row>
    <row r="23" spans="1:38" ht="14.1" customHeight="1" x14ac:dyDescent="0.2"/>
    <row r="24" spans="1:38" ht="14.1" customHeight="1" x14ac:dyDescent="0.25">
      <c r="A24" s="76" t="s">
        <v>192</v>
      </c>
      <c r="B24" s="76"/>
      <c r="C24" s="76"/>
      <c r="E24" s="20">
        <f>Geraetedaten!B26</f>
        <v>15634.612436289499</v>
      </c>
      <c r="F24" s="1" t="s">
        <v>13</v>
      </c>
    </row>
    <row r="25" spans="1:38" ht="14.1" customHeight="1" x14ac:dyDescent="0.25">
      <c r="A25" s="76" t="s">
        <v>189</v>
      </c>
      <c r="B25" s="76"/>
      <c r="C25" s="76"/>
      <c r="E25" s="20">
        <f>Geraetedaten!B27</f>
        <v>4238.9881903056585</v>
      </c>
      <c r="F25" s="1" t="s">
        <v>28</v>
      </c>
    </row>
    <row r="26" spans="1:38" ht="14.1" customHeight="1" x14ac:dyDescent="0.2">
      <c r="A26" s="76"/>
      <c r="B26" s="77"/>
      <c r="C26" s="77"/>
      <c r="E26" s="1"/>
    </row>
    <row r="27" spans="1:38" ht="14.1" customHeight="1" x14ac:dyDescent="0.25">
      <c r="A27" s="76" t="s">
        <v>188</v>
      </c>
      <c r="B27" s="76"/>
      <c r="C27" s="76"/>
      <c r="E27" s="20">
        <f>Geraetedaten!B141</f>
        <v>9036.1875637104986</v>
      </c>
      <c r="F27" s="1" t="s">
        <v>13</v>
      </c>
    </row>
    <row r="28" spans="1:38" ht="14.1" customHeight="1" x14ac:dyDescent="0.25">
      <c r="A28" s="76"/>
      <c r="B28" s="76"/>
      <c r="C28" s="76"/>
      <c r="E28" s="75"/>
      <c r="F28" s="1"/>
    </row>
    <row r="29" spans="1:38" ht="14.1" customHeight="1" x14ac:dyDescent="0.25">
      <c r="A29" s="13" t="s">
        <v>193</v>
      </c>
      <c r="B29" s="76"/>
      <c r="C29" s="76"/>
      <c r="E29" s="238">
        <f>Geraetedaten!P133</f>
        <v>0</v>
      </c>
      <c r="F29" s="237" t="s">
        <v>16</v>
      </c>
    </row>
    <row r="30" spans="1:38" ht="14.1" customHeight="1" x14ac:dyDescent="0.25">
      <c r="A30" s="13" t="s">
        <v>194</v>
      </c>
      <c r="B30" s="76"/>
      <c r="C30" s="76"/>
      <c r="E30" s="80">
        <f>Geraetedaten!B134</f>
        <v>1100</v>
      </c>
      <c r="F30" s="1" t="s">
        <v>28</v>
      </c>
    </row>
    <row r="31" spans="1:38" ht="14.1" customHeight="1" x14ac:dyDescent="0.25">
      <c r="A31" s="76"/>
      <c r="B31" s="76"/>
      <c r="C31" s="76"/>
      <c r="E31" s="75"/>
      <c r="F31" s="1"/>
    </row>
    <row r="32" spans="1:38" ht="14.1" customHeight="1" x14ac:dyDescent="0.2">
      <c r="A32" s="76"/>
      <c r="B32" s="77"/>
      <c r="C32" s="77"/>
      <c r="E32" s="1"/>
    </row>
    <row r="33" spans="1:13" ht="14.1" customHeight="1" x14ac:dyDescent="0.2">
      <c r="A33" s="76" t="s">
        <v>191</v>
      </c>
      <c r="B33" s="77"/>
      <c r="C33" s="76"/>
      <c r="E33" s="315">
        <f>(E24+E27)*9.81/100</f>
        <v>2420.2054799999996</v>
      </c>
      <c r="F33" s="1" t="s">
        <v>59</v>
      </c>
      <c r="G33" s="81"/>
      <c r="H33" s="3"/>
      <c r="I33" s="3"/>
    </row>
    <row r="34" spans="1:13" ht="14.1" customHeight="1" x14ac:dyDescent="0.2">
      <c r="A34" s="76" t="s">
        <v>190</v>
      </c>
      <c r="B34" s="77"/>
      <c r="C34" s="76"/>
      <c r="E34" s="315">
        <f>(E24*E25)/(E24+E27)</f>
        <v>2686.3716408643895</v>
      </c>
      <c r="F34" s="1" t="s">
        <v>28</v>
      </c>
      <c r="G34" s="81"/>
      <c r="H34" s="3"/>
      <c r="I34" s="3"/>
    </row>
    <row r="35" spans="1:13" ht="14.1" customHeight="1" x14ac:dyDescent="0.2">
      <c r="A35" s="13" t="s">
        <v>195</v>
      </c>
      <c r="B35" s="77"/>
      <c r="C35" s="76"/>
      <c r="E35" s="318">
        <f>E29*E30/100</f>
        <v>0</v>
      </c>
      <c r="F35" s="1" t="s">
        <v>75</v>
      </c>
    </row>
    <row r="36" spans="1:13" ht="14.1" customHeight="1" x14ac:dyDescent="0.2"/>
    <row r="37" spans="1:13" ht="14.1" customHeight="1" x14ac:dyDescent="0.2">
      <c r="A37" s="1"/>
      <c r="C37" s="285"/>
      <c r="D37" s="285"/>
      <c r="K37" s="285" t="s">
        <v>643</v>
      </c>
      <c r="M37" s="285" t="s">
        <v>644</v>
      </c>
    </row>
    <row r="38" spans="1:13" ht="13.5" thickBot="1" x14ac:dyDescent="0.25">
      <c r="K38" s="285" t="s">
        <v>645</v>
      </c>
      <c r="M38" s="285" t="s">
        <v>646</v>
      </c>
    </row>
    <row r="39" spans="1:13" x14ac:dyDescent="0.2">
      <c r="A39" s="756" t="s">
        <v>118</v>
      </c>
      <c r="B39" s="757"/>
      <c r="C39" s="757"/>
      <c r="D39" s="758"/>
      <c r="E39" s="40">
        <f>Geraetedaten!B23</f>
        <v>16163.8124362895</v>
      </c>
      <c r="F39" s="756" t="s">
        <v>13</v>
      </c>
      <c r="G39" s="757"/>
      <c r="H39" s="758"/>
      <c r="K39" s="273">
        <v>13035</v>
      </c>
      <c r="M39" s="273">
        <f>(M54+M55+M57+M58)/2-M42</f>
        <v>16176.145769622834</v>
      </c>
    </row>
    <row r="40" spans="1:13" ht="13.5" thickBot="1" x14ac:dyDescent="0.25">
      <c r="A40" s="756" t="s">
        <v>126</v>
      </c>
      <c r="B40" s="757"/>
      <c r="C40" s="757"/>
      <c r="D40" s="758"/>
      <c r="E40" s="40">
        <f>Geraetedaten!B24</f>
        <v>4218.3427733171811</v>
      </c>
      <c r="F40" s="756" t="s">
        <v>28</v>
      </c>
      <c r="G40" s="757"/>
      <c r="H40" s="758"/>
      <c r="K40" s="274">
        <v>3664</v>
      </c>
      <c r="M40" s="274">
        <f>(M54*(M45-M46)-M42*(M43-M46))/M39+M46</f>
        <v>4226.3763304960885</v>
      </c>
    </row>
    <row r="41" spans="1:13" x14ac:dyDescent="0.2">
      <c r="A41" s="314"/>
      <c r="B41" s="275"/>
      <c r="C41" s="275"/>
      <c r="D41" s="285"/>
      <c r="E41" s="1"/>
      <c r="K41" s="1"/>
    </row>
    <row r="42" spans="1:13" x14ac:dyDescent="0.2">
      <c r="A42" s="736" t="s">
        <v>142</v>
      </c>
      <c r="B42" s="737"/>
      <c r="C42" s="737"/>
      <c r="D42" s="738"/>
      <c r="E42" s="276">
        <f>Geraetedaten!B141</f>
        <v>9036.1875637104986</v>
      </c>
      <c r="F42" s="736" t="s">
        <v>13</v>
      </c>
      <c r="G42" s="737"/>
      <c r="H42" s="738"/>
      <c r="K42" s="276">
        <f>Geraetedaten!B141</f>
        <v>9036.1875637104986</v>
      </c>
      <c r="M42" s="276">
        <f>Geraetedaten!B141</f>
        <v>9036.1875637104986</v>
      </c>
    </row>
    <row r="43" spans="1:13" x14ac:dyDescent="0.2">
      <c r="A43" s="736" t="s">
        <v>141</v>
      </c>
      <c r="B43" s="737"/>
      <c r="C43" s="737"/>
      <c r="D43" s="738"/>
      <c r="E43" s="276">
        <f>Geraetedaten!B142</f>
        <v>3477.5227029161265</v>
      </c>
      <c r="F43" s="736" t="s">
        <v>28</v>
      </c>
      <c r="G43" s="737"/>
      <c r="H43" s="738"/>
      <c r="K43" s="276">
        <f>Geraetedaten!B142</f>
        <v>3477.5227029161265</v>
      </c>
      <c r="M43" s="276">
        <f>Geraetedaten!B142</f>
        <v>3477.5227029161265</v>
      </c>
    </row>
    <row r="44" spans="1:13" x14ac:dyDescent="0.2">
      <c r="A44" s="314"/>
      <c r="B44" s="275"/>
      <c r="C44" s="275"/>
      <c r="E44" s="1"/>
      <c r="K44" s="1"/>
      <c r="M44" s="1"/>
    </row>
    <row r="45" spans="1:13" x14ac:dyDescent="0.2">
      <c r="A45" s="739" t="s">
        <v>647</v>
      </c>
      <c r="B45" s="740"/>
      <c r="C45" s="740"/>
      <c r="D45" s="741"/>
      <c r="E45" s="181">
        <f>(Geraetedaten!L101+Geraetedaten!L116)/2</f>
        <v>6238</v>
      </c>
      <c r="F45" s="739" t="s">
        <v>28</v>
      </c>
      <c r="G45" s="740"/>
      <c r="H45" s="741"/>
      <c r="K45" s="181">
        <f>(Geraetedaten!L101+Geraetedaten!L116)/2</f>
        <v>6238</v>
      </c>
      <c r="M45" s="181">
        <f>(Geraetedaten!L101+Geraetedaten!L116)/2</f>
        <v>6238</v>
      </c>
    </row>
    <row r="46" spans="1:13" x14ac:dyDescent="0.2">
      <c r="A46" s="739" t="s">
        <v>648</v>
      </c>
      <c r="B46" s="740"/>
      <c r="C46" s="740"/>
      <c r="D46" s="741"/>
      <c r="E46" s="181">
        <f>(Geraetedaten!L106+Geraetedaten!L111)/2</f>
        <v>-987</v>
      </c>
      <c r="F46" s="739" t="s">
        <v>28</v>
      </c>
      <c r="G46" s="740"/>
      <c r="H46" s="741"/>
      <c r="K46" s="181">
        <f>(Geraetedaten!L106+Geraetedaten!L111)/2</f>
        <v>-987</v>
      </c>
      <c r="M46" s="181">
        <f>(Geraetedaten!L106+Geraetedaten!L111)/2</f>
        <v>-987</v>
      </c>
    </row>
    <row r="47" spans="1:13" x14ac:dyDescent="0.2">
      <c r="A47" s="314"/>
      <c r="B47" s="275"/>
      <c r="C47" s="275"/>
      <c r="E47" s="1"/>
      <c r="K47" s="1"/>
      <c r="M47" s="1"/>
    </row>
    <row r="48" spans="1:13" x14ac:dyDescent="0.2">
      <c r="A48" s="739" t="s">
        <v>649</v>
      </c>
      <c r="B48" s="740"/>
      <c r="C48" s="740"/>
      <c r="D48" s="741"/>
      <c r="E48" s="181">
        <f>(Geraetedaten!L112+Geraetedaten!L117)/2</f>
        <v>1058.5</v>
      </c>
      <c r="F48" s="739" t="s">
        <v>28</v>
      </c>
      <c r="G48" s="740"/>
      <c r="H48" s="741"/>
      <c r="K48" s="181">
        <f>(Geraetedaten!L112+Geraetedaten!L117)/2</f>
        <v>1058.5</v>
      </c>
      <c r="M48" s="181">
        <f>(Geraetedaten!L112+Geraetedaten!L117)/2</f>
        <v>1058.5</v>
      </c>
    </row>
    <row r="49" spans="1:13" x14ac:dyDescent="0.2">
      <c r="A49" s="739" t="s">
        <v>650</v>
      </c>
      <c r="B49" s="740"/>
      <c r="C49" s="740"/>
      <c r="D49" s="741"/>
      <c r="E49" s="181">
        <f>(Geraetedaten!L107+Geraetedaten!L102)/2</f>
        <v>-1168.5</v>
      </c>
      <c r="F49" s="739" t="s">
        <v>28</v>
      </c>
      <c r="G49" s="740"/>
      <c r="H49" s="741"/>
      <c r="K49" s="181">
        <f>(Geraetedaten!L107+Geraetedaten!L102)/2</f>
        <v>-1168.5</v>
      </c>
      <c r="M49" s="181">
        <f>(Geraetedaten!L107+Geraetedaten!L102)/2</f>
        <v>-1168.5</v>
      </c>
    </row>
    <row r="50" spans="1:13" x14ac:dyDescent="0.2">
      <c r="E50" s="1"/>
      <c r="K50" s="1"/>
      <c r="M50" s="1"/>
    </row>
    <row r="51" spans="1:13" ht="13.5" thickBot="1" x14ac:dyDescent="0.25">
      <c r="A51" s="752" t="s">
        <v>565</v>
      </c>
      <c r="B51" s="753"/>
      <c r="C51" s="753"/>
      <c r="D51" s="754"/>
      <c r="E51" s="277">
        <f>Geraetedaten!B85</f>
        <v>-44</v>
      </c>
      <c r="F51" s="752" t="s">
        <v>28</v>
      </c>
      <c r="G51" s="753"/>
      <c r="H51" s="754"/>
      <c r="K51" s="278">
        <f>Geraetedaten!B85</f>
        <v>-44</v>
      </c>
      <c r="M51" s="278">
        <f>Geraetedaten!B85</f>
        <v>-44</v>
      </c>
    </row>
    <row r="52" spans="1:13" ht="13.5" thickBot="1" x14ac:dyDescent="0.25">
      <c r="A52" s="752" t="s">
        <v>566</v>
      </c>
      <c r="B52" s="753"/>
      <c r="C52" s="753"/>
      <c r="D52" s="754"/>
      <c r="E52" s="277">
        <f>Geraetedaten!B86</f>
        <v>-33.057238032144035</v>
      </c>
      <c r="F52" s="752" t="s">
        <v>28</v>
      </c>
      <c r="G52" s="753"/>
      <c r="H52" s="754"/>
      <c r="K52" s="279">
        <v>-52</v>
      </c>
      <c r="M52" s="279">
        <f>(M58*(M48-M49)-M42*(M48-M51))/-M39+M48</f>
        <v>-39.736757425687756</v>
      </c>
    </row>
    <row r="53" spans="1:13" ht="13.5" thickBot="1" x14ac:dyDescent="0.25">
      <c r="E53" s="1"/>
      <c r="K53" s="1"/>
    </row>
    <row r="54" spans="1:13" ht="13.5" x14ac:dyDescent="0.25">
      <c r="A54" s="285" t="s">
        <v>651</v>
      </c>
      <c r="E54" s="20">
        <f>(E39*(E40-E46)+E42*(E43-E46))/(E45-E46)</f>
        <v>17229.127858891046</v>
      </c>
      <c r="F54" s="1" t="s">
        <v>13</v>
      </c>
      <c r="K54" s="20">
        <f>(K39*(K40-K46)+K42*(K43-K46))/(K45-K46)</f>
        <v>13974.816543390158</v>
      </c>
      <c r="M54" s="280">
        <f>H67</f>
        <v>17256</v>
      </c>
    </row>
    <row r="55" spans="1:13" ht="14.25" thickBot="1" x14ac:dyDescent="0.3">
      <c r="A55" s="285" t="s">
        <v>652</v>
      </c>
      <c r="E55" s="20">
        <f>E39+E42-E54</f>
        <v>7970.8721411089537</v>
      </c>
      <c r="F55" s="1" t="s">
        <v>13</v>
      </c>
      <c r="K55" s="20">
        <f>K39+K42-K54</f>
        <v>8096.3710203203391</v>
      </c>
      <c r="M55" s="281">
        <f>H68</f>
        <v>7956.333333333333</v>
      </c>
    </row>
    <row r="56" spans="1:13" ht="13.5" thickBot="1" x14ac:dyDescent="0.25">
      <c r="E56" s="1"/>
      <c r="K56" s="1"/>
      <c r="M56" s="1"/>
    </row>
    <row r="57" spans="1:13" ht="13.5" x14ac:dyDescent="0.25">
      <c r="A57" s="285" t="s">
        <v>653</v>
      </c>
      <c r="E57" s="20">
        <f>E39+E42-E58</f>
        <v>12803.896161644987</v>
      </c>
      <c r="F57" s="1" t="s">
        <v>13</v>
      </c>
      <c r="K57" s="20">
        <f>K39+K42-K58</f>
        <v>11097.786446067557</v>
      </c>
      <c r="M57" s="280">
        <f>H69</f>
        <v>12761.666666666666</v>
      </c>
    </row>
    <row r="58" spans="1:13" ht="14.25" thickBot="1" x14ac:dyDescent="0.3">
      <c r="A58" s="285" t="s">
        <v>654</v>
      </c>
      <c r="E58" s="20">
        <f>(E39*(E48-E52)+E42*(E48-E51))/(E48-E49)</f>
        <v>12396.103838355013</v>
      </c>
      <c r="F58" s="1" t="s">
        <v>13</v>
      </c>
      <c r="K58" s="20">
        <f>(K39*(K48-K52)+K42*(K48-K51))/(K48-K49)</f>
        <v>10973.401117642939</v>
      </c>
      <c r="M58" s="281">
        <f>H70</f>
        <v>12450.666666666666</v>
      </c>
    </row>
    <row r="62" spans="1:13" x14ac:dyDescent="0.2">
      <c r="A62" s="285" t="s">
        <v>49</v>
      </c>
      <c r="B62" s="323">
        <v>7705</v>
      </c>
      <c r="C62" s="323">
        <v>7161</v>
      </c>
      <c r="D62" s="323">
        <v>7409</v>
      </c>
      <c r="E62" s="195"/>
      <c r="F62" s="195"/>
      <c r="H62" s="285" t="s">
        <v>800</v>
      </c>
    </row>
    <row r="63" spans="1:13" x14ac:dyDescent="0.2">
      <c r="A63" s="285" t="s">
        <v>46</v>
      </c>
      <c r="B63" s="323">
        <v>9547</v>
      </c>
      <c r="C63" s="323">
        <v>10091</v>
      </c>
      <c r="D63" s="323">
        <v>9855</v>
      </c>
      <c r="E63" s="195"/>
      <c r="F63" s="195"/>
      <c r="H63" s="195">
        <v>3</v>
      </c>
    </row>
    <row r="64" spans="1:13" x14ac:dyDescent="0.2">
      <c r="A64" s="285" t="s">
        <v>48</v>
      </c>
      <c r="B64" s="323">
        <v>5039</v>
      </c>
      <c r="C64" s="323">
        <v>5584</v>
      </c>
      <c r="D64" s="323">
        <v>5387</v>
      </c>
      <c r="E64" s="195"/>
      <c r="F64" s="195"/>
    </row>
    <row r="65" spans="1:8" x14ac:dyDescent="0.2">
      <c r="A65" s="285" t="s">
        <v>47</v>
      </c>
      <c r="B65" s="323">
        <v>2924</v>
      </c>
      <c r="C65" s="323">
        <v>2367</v>
      </c>
      <c r="D65" s="323">
        <v>2568</v>
      </c>
      <c r="E65" s="195"/>
      <c r="F65" s="195"/>
    </row>
    <row r="67" spans="1:8" x14ac:dyDescent="0.2">
      <c r="A67" s="285" t="s">
        <v>214</v>
      </c>
      <c r="B67" s="1">
        <f>B62+B63</f>
        <v>17252</v>
      </c>
      <c r="C67" s="1">
        <f t="shared" ref="C67:F67" si="0">C62+C63</f>
        <v>17252</v>
      </c>
      <c r="D67" s="1">
        <f t="shared" si="0"/>
        <v>17264</v>
      </c>
      <c r="E67" s="1">
        <f t="shared" si="0"/>
        <v>0</v>
      </c>
      <c r="F67" s="1">
        <f t="shared" si="0"/>
        <v>0</v>
      </c>
      <c r="H67" s="1">
        <f>SUM(B67:F67)/$H$63</f>
        <v>17256</v>
      </c>
    </row>
    <row r="68" spans="1:8" x14ac:dyDescent="0.2">
      <c r="A68" s="285" t="s">
        <v>218</v>
      </c>
      <c r="B68" s="1">
        <f>B64+B65</f>
        <v>7963</v>
      </c>
      <c r="C68" s="1">
        <f t="shared" ref="C68:F68" si="1">C64+C65</f>
        <v>7951</v>
      </c>
      <c r="D68" s="1">
        <f t="shared" si="1"/>
        <v>7955</v>
      </c>
      <c r="E68" s="1">
        <f t="shared" si="1"/>
        <v>0</v>
      </c>
      <c r="F68" s="1">
        <f t="shared" si="1"/>
        <v>0</v>
      </c>
      <c r="H68" s="1">
        <f t="shared" ref="H68:H70" si="2">SUM(B68:F68)/$H$63</f>
        <v>7956.333333333333</v>
      </c>
    </row>
    <row r="69" spans="1:8" x14ac:dyDescent="0.2">
      <c r="A69" s="285" t="s">
        <v>216</v>
      </c>
      <c r="B69" s="1">
        <f>B62+B64</f>
        <v>12744</v>
      </c>
      <c r="C69" s="1">
        <f t="shared" ref="C69:F70" si="3">C62+C64</f>
        <v>12745</v>
      </c>
      <c r="D69" s="1">
        <f t="shared" si="3"/>
        <v>12796</v>
      </c>
      <c r="E69" s="1">
        <f t="shared" si="3"/>
        <v>0</v>
      </c>
      <c r="F69" s="1">
        <f t="shared" si="3"/>
        <v>0</v>
      </c>
      <c r="H69" s="1">
        <f t="shared" si="2"/>
        <v>12761.666666666666</v>
      </c>
    </row>
    <row r="70" spans="1:8" x14ac:dyDescent="0.2">
      <c r="A70" s="285" t="s">
        <v>220</v>
      </c>
      <c r="B70" s="1">
        <f>B63+B65</f>
        <v>12471</v>
      </c>
      <c r="C70" s="1">
        <f t="shared" si="3"/>
        <v>12458</v>
      </c>
      <c r="D70" s="1">
        <f t="shared" si="3"/>
        <v>12423</v>
      </c>
      <c r="E70" s="1">
        <f t="shared" si="3"/>
        <v>0</v>
      </c>
      <c r="F70" s="1">
        <f t="shared" si="3"/>
        <v>0</v>
      </c>
      <c r="H70" s="1">
        <f t="shared" si="2"/>
        <v>12450.666666666666</v>
      </c>
    </row>
  </sheetData>
  <sheetProtection selectLockedCells="1"/>
  <mergeCells count="29">
    <mergeCell ref="A52:D52"/>
    <mergeCell ref="F52:H52"/>
    <mergeCell ref="A48:D48"/>
    <mergeCell ref="F48:H48"/>
    <mergeCell ref="A49:D49"/>
    <mergeCell ref="F49:H49"/>
    <mergeCell ref="A51:D51"/>
    <mergeCell ref="F51:H51"/>
    <mergeCell ref="A43:D43"/>
    <mergeCell ref="F43:H43"/>
    <mergeCell ref="A45:D45"/>
    <mergeCell ref="F45:H45"/>
    <mergeCell ref="A46:D46"/>
    <mergeCell ref="F46:H46"/>
    <mergeCell ref="A39:D39"/>
    <mergeCell ref="F39:H39"/>
    <mergeCell ref="A40:D40"/>
    <mergeCell ref="F40:H40"/>
    <mergeCell ref="A42:D42"/>
    <mergeCell ref="F42:H42"/>
    <mergeCell ref="Z11:AA11"/>
    <mergeCell ref="X11:Y11"/>
    <mergeCell ref="F1:G1"/>
    <mergeCell ref="A3:C3"/>
    <mergeCell ref="A5:C5"/>
    <mergeCell ref="A6:C6"/>
    <mergeCell ref="D3:F3"/>
    <mergeCell ref="D5:F5"/>
    <mergeCell ref="U7:AA7"/>
  </mergeCells>
  <phoneticPr fontId="11" type="noConversion"/>
  <pageMargins left="0.75" right="0.75" top="1" bottom="1" header="0.4921259845" footer="0.4921259845"/>
  <pageSetup paperSize="9"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4">
    <tabColor indexed="17"/>
  </sheetPr>
  <dimension ref="A1:AB494"/>
  <sheetViews>
    <sheetView topLeftCell="A244" workbookViewId="0">
      <selection activeCell="H329" sqref="H329"/>
    </sheetView>
  </sheetViews>
  <sheetFormatPr baseColWidth="10" defaultColWidth="11.42578125" defaultRowHeight="13.5" x14ac:dyDescent="0.25"/>
  <cols>
    <col min="1" max="1" width="2.7109375" style="372" customWidth="1"/>
    <col min="2" max="3" width="7.5703125" style="372" customWidth="1"/>
    <col min="4" max="4" width="7.28515625" style="372" customWidth="1"/>
    <col min="5" max="5" width="7.42578125" style="372" customWidth="1"/>
    <col min="6" max="6" width="3.7109375" style="372" customWidth="1"/>
    <col min="7" max="7" width="2.85546875" style="666" customWidth="1"/>
    <col min="8" max="8" width="5.42578125" style="666" customWidth="1"/>
    <col min="9" max="9" width="6" style="372" customWidth="1"/>
    <col min="10" max="10" width="5.140625" style="372" customWidth="1"/>
    <col min="11" max="11" width="4.42578125" style="372" customWidth="1"/>
    <col min="12" max="13" width="5.140625" style="372" customWidth="1"/>
    <col min="14" max="14" width="7.7109375" style="372" customWidth="1"/>
    <col min="15" max="15" width="3.42578125" style="372" customWidth="1"/>
    <col min="16" max="16" width="5.28515625" style="372" customWidth="1"/>
    <col min="17" max="17" width="5.5703125" style="372" customWidth="1"/>
    <col min="18" max="18" width="8.7109375" style="372" customWidth="1"/>
    <col min="19" max="19" width="3.5703125" style="372" customWidth="1"/>
    <col min="20" max="16384" width="11.42578125" style="373"/>
  </cols>
  <sheetData>
    <row r="1" spans="1:19" s="148" customFormat="1" ht="23.25" customHeight="1" x14ac:dyDescent="0.2">
      <c r="A1" s="854" t="s">
        <v>660</v>
      </c>
      <c r="B1" s="855"/>
      <c r="C1" s="855"/>
      <c r="D1" s="856"/>
      <c r="E1" s="865" t="s">
        <v>661</v>
      </c>
      <c r="F1" s="866"/>
      <c r="G1" s="866"/>
      <c r="H1" s="866"/>
      <c r="I1" s="866"/>
      <c r="J1" s="866"/>
      <c r="K1" s="866"/>
      <c r="L1" s="866"/>
      <c r="M1" s="866"/>
      <c r="N1" s="866"/>
      <c r="O1" s="867"/>
      <c r="P1" s="144"/>
      <c r="Q1" s="145"/>
      <c r="R1" s="146"/>
      <c r="S1" s="147"/>
    </row>
    <row r="2" spans="1:19" s="148" customFormat="1" ht="22.5" customHeight="1" x14ac:dyDescent="0.4">
      <c r="A2" s="863" t="s">
        <v>313</v>
      </c>
      <c r="B2" s="864"/>
      <c r="C2" s="857"/>
      <c r="D2" s="858"/>
      <c r="E2" s="868" t="s">
        <v>817</v>
      </c>
      <c r="F2" s="869"/>
      <c r="G2" s="869"/>
      <c r="H2" s="869"/>
      <c r="I2" s="869"/>
      <c r="J2" s="869"/>
      <c r="K2" s="869"/>
      <c r="L2" s="869"/>
      <c r="M2" s="869"/>
      <c r="N2" s="869"/>
      <c r="O2" s="870"/>
      <c r="P2" s="149"/>
      <c r="Q2" s="150"/>
      <c r="R2" s="151"/>
      <c r="S2" s="152"/>
    </row>
    <row r="3" spans="1:19" s="156" customFormat="1" ht="14.1" customHeight="1" thickBot="1" x14ac:dyDescent="0.25">
      <c r="A3" s="861" t="s">
        <v>596</v>
      </c>
      <c r="B3" s="862"/>
      <c r="C3" s="324" t="s">
        <v>798</v>
      </c>
      <c r="D3" s="324"/>
      <c r="E3" s="871" t="s">
        <v>818</v>
      </c>
      <c r="F3" s="872"/>
      <c r="G3" s="872"/>
      <c r="H3" s="872"/>
      <c r="I3" s="872"/>
      <c r="J3" s="872"/>
      <c r="K3" s="872"/>
      <c r="L3" s="872"/>
      <c r="M3" s="872"/>
      <c r="N3" s="872"/>
      <c r="O3" s="873"/>
      <c r="P3" s="153"/>
      <c r="Q3" s="154"/>
      <c r="R3" s="154"/>
      <c r="S3" s="155"/>
    </row>
    <row r="4" spans="1:19" s="330" customFormat="1" ht="5.25" customHeight="1" x14ac:dyDescent="0.25">
      <c r="A4" s="325"/>
      <c r="B4" s="326"/>
      <c r="C4" s="327"/>
      <c r="D4" s="327"/>
      <c r="E4" s="327"/>
      <c r="F4" s="327"/>
      <c r="G4" s="328"/>
      <c r="H4" s="328"/>
      <c r="I4" s="327"/>
      <c r="J4" s="327"/>
      <c r="K4" s="327"/>
      <c r="L4" s="327"/>
      <c r="M4" s="327"/>
      <c r="N4" s="327"/>
      <c r="O4" s="327"/>
      <c r="P4" s="327"/>
      <c r="Q4" s="327"/>
      <c r="R4" s="327"/>
      <c r="S4" s="329"/>
    </row>
    <row r="5" spans="1:19" s="335" customFormat="1" ht="22.5" customHeight="1" x14ac:dyDescent="0.35">
      <c r="A5" s="331"/>
      <c r="B5" s="859" t="str">
        <f>Eingabewerte!D6</f>
        <v>UP-AG</v>
      </c>
      <c r="C5" s="860"/>
      <c r="D5" s="860"/>
      <c r="E5" s="860"/>
      <c r="F5" s="860"/>
      <c r="G5" s="860"/>
      <c r="H5" s="332"/>
      <c r="I5" s="333"/>
      <c r="J5" s="333"/>
      <c r="K5" s="874">
        <f>Eingabewerte!D4</f>
        <v>11570035</v>
      </c>
      <c r="L5" s="874"/>
      <c r="M5" s="874"/>
      <c r="N5" s="874"/>
      <c r="O5" s="874"/>
      <c r="P5" s="874"/>
      <c r="Q5" s="874"/>
      <c r="R5" s="874"/>
      <c r="S5" s="334"/>
    </row>
    <row r="6" spans="1:19" s="342" customFormat="1" ht="12.75" x14ac:dyDescent="0.2">
      <c r="A6" s="336"/>
      <c r="B6" s="337" t="s">
        <v>315</v>
      </c>
      <c r="C6" s="338"/>
      <c r="D6" s="338"/>
      <c r="E6" s="338"/>
      <c r="F6" s="337"/>
      <c r="G6" s="339"/>
      <c r="H6" s="339"/>
      <c r="I6" s="338"/>
      <c r="J6" s="338"/>
      <c r="K6" s="340" t="s">
        <v>316</v>
      </c>
      <c r="L6" s="340"/>
      <c r="M6" s="340"/>
      <c r="N6" s="340"/>
      <c r="O6" s="337"/>
      <c r="P6" s="338"/>
      <c r="Q6" s="337"/>
      <c r="R6" s="338"/>
      <c r="S6" s="341"/>
    </row>
    <row r="7" spans="1:19" s="330" customFormat="1" ht="6" customHeight="1" thickBot="1" x14ac:dyDescent="0.3">
      <c r="A7" s="343"/>
      <c r="B7" s="344"/>
      <c r="C7" s="345"/>
      <c r="D7" s="345"/>
      <c r="E7" s="345"/>
      <c r="F7" s="345"/>
      <c r="G7" s="346"/>
      <c r="H7" s="346"/>
      <c r="I7" s="345"/>
      <c r="J7" s="345"/>
      <c r="K7" s="345"/>
      <c r="L7" s="345"/>
      <c r="M7" s="345"/>
      <c r="N7" s="345"/>
      <c r="O7" s="345"/>
      <c r="P7" s="345"/>
      <c r="Q7" s="345"/>
      <c r="R7" s="345"/>
      <c r="S7" s="347"/>
    </row>
    <row r="8" spans="1:19" s="330" customFormat="1" ht="6" customHeight="1" x14ac:dyDescent="0.25">
      <c r="A8" s="325"/>
      <c r="B8" s="326"/>
      <c r="C8" s="327"/>
      <c r="D8" s="327"/>
      <c r="E8" s="327"/>
      <c r="F8" s="327"/>
      <c r="G8" s="328"/>
      <c r="H8" s="328"/>
      <c r="I8" s="327"/>
      <c r="J8" s="327"/>
      <c r="K8" s="327"/>
      <c r="L8" s="327"/>
      <c r="M8" s="327"/>
      <c r="N8" s="327"/>
      <c r="O8" s="327"/>
      <c r="P8" s="327"/>
      <c r="Q8" s="327"/>
      <c r="R8" s="327"/>
      <c r="S8" s="329"/>
    </row>
    <row r="9" spans="1:19" s="330" customFormat="1" ht="15" customHeight="1" x14ac:dyDescent="0.25">
      <c r="A9" s="348"/>
      <c r="B9" s="349" t="s">
        <v>662</v>
      </c>
      <c r="C9" s="350"/>
      <c r="D9" s="350"/>
      <c r="E9" s="875" t="s">
        <v>325</v>
      </c>
      <c r="F9" s="875"/>
      <c r="G9" s="875" t="s">
        <v>663</v>
      </c>
      <c r="H9" s="875"/>
      <c r="I9" s="875"/>
      <c r="J9" s="351"/>
      <c r="K9" s="349" t="s">
        <v>664</v>
      </c>
      <c r="L9" s="350"/>
      <c r="M9" s="338"/>
      <c r="N9" s="338"/>
      <c r="O9" s="875" t="s">
        <v>325</v>
      </c>
      <c r="P9" s="875"/>
      <c r="Q9" s="846" t="s">
        <v>665</v>
      </c>
      <c r="R9" s="846"/>
      <c r="S9" s="352"/>
    </row>
    <row r="10" spans="1:19" s="330" customFormat="1" ht="15" customHeight="1" x14ac:dyDescent="0.2">
      <c r="A10" s="348"/>
      <c r="B10" s="340"/>
      <c r="C10" s="350"/>
      <c r="D10" s="350"/>
      <c r="E10" s="1009">
        <v>44830</v>
      </c>
      <c r="F10" s="853"/>
      <c r="G10" s="1010" t="s">
        <v>826</v>
      </c>
      <c r="H10" s="1011"/>
      <c r="I10" s="1012"/>
      <c r="J10" s="340"/>
      <c r="K10" s="349" t="s">
        <v>666</v>
      </c>
      <c r="L10" s="350"/>
      <c r="M10" s="350"/>
      <c r="N10" s="350"/>
      <c r="O10" s="850"/>
      <c r="P10" s="851"/>
      <c r="Q10" s="852"/>
      <c r="R10" s="853"/>
      <c r="S10" s="352"/>
    </row>
    <row r="11" spans="1:19" s="330" customFormat="1" ht="6.75" customHeight="1" thickBot="1" x14ac:dyDescent="0.3">
      <c r="A11" s="343"/>
      <c r="B11" s="344"/>
      <c r="C11" s="345"/>
      <c r="D11" s="345"/>
      <c r="E11" s="345"/>
      <c r="F11" s="345"/>
      <c r="G11" s="346"/>
      <c r="H11" s="346"/>
      <c r="I11" s="345"/>
      <c r="J11" s="345"/>
      <c r="K11" s="345"/>
      <c r="L11" s="345"/>
      <c r="M11" s="345"/>
      <c r="N11" s="345"/>
      <c r="O11" s="345"/>
      <c r="P11" s="345"/>
      <c r="Q11" s="345"/>
      <c r="R11" s="345"/>
      <c r="S11" s="347"/>
    </row>
    <row r="12" spans="1:19" s="330" customFormat="1" ht="6.75" customHeight="1" x14ac:dyDescent="0.25">
      <c r="A12" s="325"/>
      <c r="B12" s="326"/>
      <c r="C12" s="327"/>
      <c r="D12" s="327"/>
      <c r="E12" s="327"/>
      <c r="F12" s="327"/>
      <c r="G12" s="328"/>
      <c r="H12" s="328"/>
      <c r="I12" s="327"/>
      <c r="J12" s="327"/>
      <c r="K12" s="327"/>
      <c r="L12" s="327"/>
      <c r="M12" s="327"/>
      <c r="N12" s="327"/>
      <c r="O12" s="327"/>
      <c r="P12" s="327"/>
      <c r="Q12" s="327"/>
      <c r="R12" s="327"/>
      <c r="S12" s="329"/>
    </row>
    <row r="13" spans="1:19" s="330" customFormat="1" ht="15" customHeight="1" x14ac:dyDescent="0.2">
      <c r="A13" s="348"/>
      <c r="B13" s="340" t="s">
        <v>667</v>
      </c>
      <c r="C13" s="350"/>
      <c r="D13" s="350"/>
      <c r="E13" s="350"/>
      <c r="F13" s="350"/>
      <c r="G13" s="353"/>
      <c r="H13" s="353"/>
      <c r="I13" s="350"/>
      <c r="J13" s="350"/>
      <c r="K13" s="350"/>
      <c r="L13" s="350"/>
      <c r="M13" s="350"/>
      <c r="N13" s="350"/>
      <c r="O13" s="350"/>
      <c r="P13" s="338" t="s">
        <v>668</v>
      </c>
      <c r="Q13" s="350"/>
      <c r="R13" s="350"/>
      <c r="S13" s="352"/>
    </row>
    <row r="14" spans="1:19" s="330" customFormat="1" ht="15" customHeight="1" x14ac:dyDescent="0.25">
      <c r="A14" s="348"/>
      <c r="B14" s="351"/>
      <c r="C14" s="350"/>
      <c r="D14" s="350"/>
      <c r="E14" s="338" t="str">
        <f>B28</f>
        <v>Definition der Koordinaten für LMB</v>
      </c>
      <c r="F14" s="350"/>
      <c r="G14" s="353"/>
      <c r="H14" s="353"/>
      <c r="I14" s="350"/>
      <c r="J14" s="350"/>
      <c r="K14" s="350"/>
      <c r="L14" s="350"/>
      <c r="M14" s="350"/>
      <c r="N14" s="350"/>
      <c r="O14" s="350"/>
      <c r="P14" s="338">
        <v>1</v>
      </c>
      <c r="Q14" s="350"/>
      <c r="R14" s="350"/>
      <c r="S14" s="352"/>
    </row>
    <row r="15" spans="1:19" s="330" customFormat="1" ht="15" customHeight="1" x14ac:dyDescent="0.25">
      <c r="A15" s="348"/>
      <c r="B15" s="351"/>
      <c r="C15" s="350"/>
      <c r="D15" s="350"/>
      <c r="E15" s="338" t="str">
        <f>B54</f>
        <v>LMB-Parameter für Standversuch</v>
      </c>
      <c r="F15" s="350"/>
      <c r="G15" s="353"/>
      <c r="H15" s="353"/>
      <c r="I15" s="350"/>
      <c r="J15" s="350"/>
      <c r="K15" s="350"/>
      <c r="L15" s="350"/>
      <c r="M15" s="350"/>
      <c r="N15" s="350"/>
      <c r="O15" s="350"/>
      <c r="P15" s="338">
        <v>2</v>
      </c>
      <c r="Q15" s="350"/>
      <c r="R15" s="350"/>
      <c r="S15" s="352"/>
    </row>
    <row r="16" spans="1:19" s="330" customFormat="1" ht="15" customHeight="1" x14ac:dyDescent="0.25">
      <c r="A16" s="348"/>
      <c r="B16" s="351"/>
      <c r="C16" s="350"/>
      <c r="D16" s="350"/>
      <c r="E16" s="338" t="str">
        <f>B124</f>
        <v>Korrekturwerte der Kippkanten für Standversuch</v>
      </c>
      <c r="F16" s="350"/>
      <c r="G16" s="353"/>
      <c r="H16" s="353"/>
      <c r="I16" s="350"/>
      <c r="J16" s="350"/>
      <c r="K16" s="350"/>
      <c r="L16" s="350"/>
      <c r="M16" s="350"/>
      <c r="N16" s="350"/>
      <c r="O16" s="350"/>
      <c r="P16" s="338">
        <v>3</v>
      </c>
      <c r="Q16" s="350"/>
      <c r="R16" s="350"/>
      <c r="S16" s="352"/>
    </row>
    <row r="17" spans="1:19" s="330" customFormat="1" ht="15" customHeight="1" x14ac:dyDescent="0.25">
      <c r="A17" s="348"/>
      <c r="B17" s="351"/>
      <c r="C17" s="350"/>
      <c r="D17" s="350"/>
      <c r="E17" s="338" t="str">
        <f>B151</f>
        <v>LMB-Druckwerte</v>
      </c>
      <c r="F17" s="350"/>
      <c r="G17" s="353"/>
      <c r="H17" s="353"/>
      <c r="I17" s="350"/>
      <c r="J17" s="350"/>
      <c r="K17" s="350"/>
      <c r="L17" s="350"/>
      <c r="M17" s="350"/>
      <c r="N17" s="350"/>
      <c r="O17" s="350"/>
      <c r="P17" s="338">
        <v>3</v>
      </c>
      <c r="Q17" s="350"/>
      <c r="R17" s="350"/>
      <c r="S17" s="352"/>
    </row>
    <row r="18" spans="1:19" s="330" customFormat="1" ht="15" customHeight="1" x14ac:dyDescent="0.25">
      <c r="A18" s="348"/>
      <c r="B18" s="351"/>
      <c r="C18" s="350"/>
      <c r="D18" s="350"/>
      <c r="E18" s="338" t="str">
        <f>B188</f>
        <v>Stützgeometrie 
 Prüfen</v>
      </c>
      <c r="F18" s="350"/>
      <c r="G18" s="353"/>
      <c r="H18" s="353"/>
      <c r="I18" s="350"/>
      <c r="J18" s="350"/>
      <c r="K18" s="350"/>
      <c r="L18" s="350"/>
      <c r="M18" s="350"/>
      <c r="N18" s="350"/>
      <c r="O18" s="350"/>
      <c r="P18" s="338">
        <v>4</v>
      </c>
      <c r="Q18" s="350"/>
      <c r="R18" s="350"/>
      <c r="S18" s="352"/>
    </row>
    <row r="19" spans="1:19" s="330" customFormat="1" ht="15" customHeight="1" x14ac:dyDescent="0.25">
      <c r="A19" s="348"/>
      <c r="B19" s="351"/>
      <c r="C19" s="350"/>
      <c r="D19" s="350"/>
      <c r="E19" s="338" t="str">
        <f>$B$228</f>
        <v>Eingänge Vario 
 Prüfen</v>
      </c>
      <c r="F19" s="350"/>
      <c r="G19" s="353"/>
      <c r="H19" s="353"/>
      <c r="I19" s="350"/>
      <c r="J19" s="350"/>
      <c r="K19" s="350"/>
      <c r="L19" s="350"/>
      <c r="M19" s="350"/>
      <c r="N19" s="350"/>
      <c r="O19" s="350"/>
      <c r="P19" s="338">
        <v>5</v>
      </c>
      <c r="Q19" s="350"/>
      <c r="R19" s="350"/>
      <c r="S19" s="352"/>
    </row>
    <row r="20" spans="1:19" s="330" customFormat="1" ht="15" customHeight="1" x14ac:dyDescent="0.25">
      <c r="A20" s="348"/>
      <c r="B20" s="351"/>
      <c r="C20" s="350"/>
      <c r="D20" s="350"/>
      <c r="E20" s="338" t="str">
        <f>B240</f>
        <v>Neigungssensor 
 Prüfen</v>
      </c>
      <c r="F20" s="350"/>
      <c r="G20" s="353"/>
      <c r="H20" s="353"/>
      <c r="I20" s="350"/>
      <c r="J20" s="350"/>
      <c r="K20" s="350"/>
      <c r="L20" s="350"/>
      <c r="M20" s="350"/>
      <c r="N20" s="350"/>
      <c r="O20" s="350"/>
      <c r="P20" s="338">
        <v>5</v>
      </c>
      <c r="Q20" s="350"/>
      <c r="R20" s="350"/>
      <c r="S20" s="352"/>
    </row>
    <row r="21" spans="1:19" s="330" customFormat="1" ht="15" customHeight="1" x14ac:dyDescent="0.25">
      <c r="A21" s="348"/>
      <c r="B21" s="351"/>
      <c r="C21" s="350"/>
      <c r="D21" s="350"/>
      <c r="E21" s="338" t="str">
        <f>B249</f>
        <v>Bodendrucktest 
 Prüfen</v>
      </c>
      <c r="F21" s="350"/>
      <c r="G21" s="353"/>
      <c r="H21" s="353"/>
      <c r="I21" s="350"/>
      <c r="J21" s="350"/>
      <c r="K21" s="350"/>
      <c r="L21" s="350"/>
      <c r="M21" s="350"/>
      <c r="N21" s="350"/>
      <c r="O21" s="350"/>
      <c r="P21" s="338">
        <v>5</v>
      </c>
      <c r="Q21" s="350"/>
      <c r="R21" s="350"/>
      <c r="S21" s="352"/>
    </row>
    <row r="22" spans="1:19" s="330" customFormat="1" ht="15" customHeight="1" x14ac:dyDescent="0.25">
      <c r="A22" s="348"/>
      <c r="B22" s="351"/>
      <c r="C22" s="350"/>
      <c r="D22" s="350"/>
      <c r="E22" s="338" t="str">
        <f>B255</f>
        <v>Standversuch</v>
      </c>
      <c r="F22" s="350"/>
      <c r="G22" s="353"/>
      <c r="H22" s="353"/>
      <c r="I22" s="350"/>
      <c r="J22" s="350"/>
      <c r="K22" s="350"/>
      <c r="L22" s="350"/>
      <c r="M22" s="350"/>
      <c r="N22" s="350"/>
      <c r="O22" s="350"/>
      <c r="P22" s="338">
        <v>6</v>
      </c>
      <c r="Q22" s="350"/>
      <c r="R22" s="350"/>
      <c r="S22" s="352"/>
    </row>
    <row r="23" spans="1:19" s="330" customFormat="1" ht="15" customHeight="1" x14ac:dyDescent="0.25">
      <c r="A23" s="348"/>
      <c r="B23" s="351"/>
      <c r="C23" s="350"/>
      <c r="D23" s="350"/>
      <c r="E23" s="338" t="str">
        <f>B391</f>
        <v>Reichweitenkontrolle</v>
      </c>
      <c r="F23" s="350"/>
      <c r="G23" s="353"/>
      <c r="H23" s="353"/>
      <c r="I23" s="350"/>
      <c r="J23" s="350"/>
      <c r="K23" s="350"/>
      <c r="L23" s="350"/>
      <c r="M23" s="350"/>
      <c r="N23" s="350"/>
      <c r="O23" s="350"/>
      <c r="P23" s="338">
        <v>8</v>
      </c>
      <c r="Q23" s="350"/>
      <c r="R23" s="350"/>
      <c r="S23" s="352"/>
    </row>
    <row r="24" spans="1:19" s="330" customFormat="1" ht="15" customHeight="1" x14ac:dyDescent="0.25">
      <c r="A24" s="348"/>
      <c r="B24" s="351"/>
      <c r="C24" s="350"/>
      <c r="D24" s="350"/>
      <c r="E24" s="338" t="s">
        <v>669</v>
      </c>
      <c r="F24" s="350"/>
      <c r="G24" s="353"/>
      <c r="H24" s="353"/>
      <c r="I24" s="350"/>
      <c r="J24" s="350"/>
      <c r="K24" s="350"/>
      <c r="L24" s="350"/>
      <c r="M24" s="350"/>
      <c r="N24" s="350"/>
      <c r="O24" s="350"/>
      <c r="P24" s="338">
        <v>9</v>
      </c>
      <c r="Q24" s="350"/>
      <c r="R24" s="350"/>
      <c r="S24" s="352"/>
    </row>
    <row r="25" spans="1:19" s="330" customFormat="1" ht="15" customHeight="1" x14ac:dyDescent="0.25">
      <c r="A25" s="348"/>
      <c r="B25" s="351"/>
      <c r="C25" s="350"/>
      <c r="D25" s="350"/>
      <c r="E25" s="338"/>
      <c r="F25" s="350"/>
      <c r="G25" s="353"/>
      <c r="H25" s="353"/>
      <c r="I25" s="350"/>
      <c r="J25" s="350"/>
      <c r="K25" s="350"/>
      <c r="L25" s="350"/>
      <c r="M25" s="350"/>
      <c r="N25" s="350"/>
      <c r="O25" s="350"/>
      <c r="P25" s="338"/>
      <c r="Q25" s="350"/>
      <c r="R25" s="350"/>
      <c r="S25" s="352"/>
    </row>
    <row r="26" spans="1:19" s="330" customFormat="1" ht="15" customHeight="1" thickBot="1" x14ac:dyDescent="0.3">
      <c r="A26" s="348"/>
      <c r="B26" s="351"/>
      <c r="C26" s="350"/>
      <c r="D26" s="350"/>
      <c r="E26" s="338"/>
      <c r="F26" s="350"/>
      <c r="G26" s="353"/>
      <c r="H26" s="353"/>
      <c r="I26" s="350"/>
      <c r="J26" s="350"/>
      <c r="K26" s="350"/>
      <c r="L26" s="350"/>
      <c r="M26" s="350"/>
      <c r="N26" s="350"/>
      <c r="O26" s="350"/>
      <c r="P26" s="338"/>
      <c r="Q26" s="350"/>
      <c r="R26" s="350"/>
      <c r="S26" s="352"/>
    </row>
    <row r="27" spans="1:19" s="330" customFormat="1" ht="5.25" customHeight="1" x14ac:dyDescent="0.25">
      <c r="A27" s="325"/>
      <c r="B27" s="326"/>
      <c r="C27" s="327"/>
      <c r="D27" s="327"/>
      <c r="E27" s="354"/>
      <c r="F27" s="327"/>
      <c r="G27" s="328"/>
      <c r="H27" s="328"/>
      <c r="I27" s="327"/>
      <c r="J27" s="327"/>
      <c r="K27" s="327"/>
      <c r="L27" s="327"/>
      <c r="M27" s="327"/>
      <c r="N27" s="327"/>
      <c r="O27" s="327"/>
      <c r="P27" s="354"/>
      <c r="Q27" s="327"/>
      <c r="R27" s="327"/>
      <c r="S27" s="329"/>
    </row>
    <row r="28" spans="1:19" s="330" customFormat="1" ht="15" customHeight="1" x14ac:dyDescent="0.2">
      <c r="A28" s="348"/>
      <c r="B28" s="834" t="s">
        <v>670</v>
      </c>
      <c r="C28" s="835"/>
      <c r="D28" s="836"/>
      <c r="E28" s="338"/>
      <c r="F28" s="350"/>
      <c r="G28" s="353"/>
      <c r="H28" s="353"/>
      <c r="I28" s="350"/>
      <c r="J28" s="350"/>
      <c r="K28" s="350"/>
      <c r="L28" s="349"/>
      <c r="M28" s="350"/>
      <c r="N28" s="350"/>
      <c r="O28" s="350"/>
      <c r="P28" s="338"/>
      <c r="Q28" s="350"/>
      <c r="R28" s="350"/>
      <c r="S28" s="352"/>
    </row>
    <row r="29" spans="1:19" s="330" customFormat="1" ht="15" customHeight="1" x14ac:dyDescent="0.2">
      <c r="A29" s="348"/>
      <c r="B29" s="837"/>
      <c r="C29" s="838"/>
      <c r="D29" s="839"/>
      <c r="E29" s="338"/>
      <c r="F29" s="338" t="s">
        <v>671</v>
      </c>
      <c r="G29" s="353"/>
      <c r="H29" s="353"/>
      <c r="I29" s="350"/>
      <c r="J29" s="350"/>
      <c r="K29" s="350"/>
      <c r="L29" s="350"/>
      <c r="M29" s="350"/>
      <c r="N29" s="350"/>
      <c r="O29" s="350"/>
      <c r="P29" s="338"/>
      <c r="Q29" s="350"/>
      <c r="R29" s="350"/>
      <c r="S29" s="352"/>
    </row>
    <row r="30" spans="1:19" s="330" customFormat="1" ht="15" customHeight="1" x14ac:dyDescent="0.2">
      <c r="A30" s="348"/>
      <c r="B30" s="349"/>
      <c r="C30" s="350"/>
      <c r="D30" s="350"/>
      <c r="E30" s="350"/>
      <c r="F30" s="350"/>
      <c r="G30" s="353"/>
      <c r="H30" s="353"/>
      <c r="I30" s="350"/>
      <c r="J30" s="350"/>
      <c r="K30" s="350"/>
      <c r="L30" s="350"/>
      <c r="M30" s="350"/>
      <c r="N30" s="350"/>
      <c r="O30" s="350"/>
      <c r="P30" s="350"/>
      <c r="Q30" s="350"/>
      <c r="R30" s="350"/>
      <c r="S30" s="352"/>
    </row>
    <row r="31" spans="1:19" s="330" customFormat="1" ht="15" customHeight="1" x14ac:dyDescent="0.25">
      <c r="A31" s="348"/>
      <c r="B31" s="351"/>
      <c r="C31" s="350"/>
      <c r="D31" s="350"/>
      <c r="E31" s="350"/>
      <c r="F31" s="350"/>
      <c r="G31" s="353"/>
      <c r="H31" s="353"/>
      <c r="I31" s="350"/>
      <c r="J31" s="350"/>
      <c r="K31" s="350"/>
      <c r="L31" s="350"/>
      <c r="M31" s="350"/>
      <c r="N31" s="350"/>
      <c r="O31" s="350"/>
      <c r="P31" s="350"/>
      <c r="Q31" s="350"/>
      <c r="R31" s="350"/>
      <c r="S31" s="352"/>
    </row>
    <row r="32" spans="1:19" s="330" customFormat="1" ht="15" customHeight="1" x14ac:dyDescent="0.25">
      <c r="A32" s="348"/>
      <c r="B32" s="351"/>
      <c r="C32" s="350"/>
      <c r="D32" s="350"/>
      <c r="E32" s="350"/>
      <c r="F32" s="350"/>
      <c r="G32" s="353"/>
      <c r="H32" s="353"/>
      <c r="I32" s="350"/>
      <c r="J32" s="350"/>
      <c r="K32" s="350"/>
      <c r="L32" s="350"/>
      <c r="M32" s="350"/>
      <c r="N32" s="350"/>
      <c r="O32" s="350"/>
      <c r="P32" s="350"/>
      <c r="Q32" s="350"/>
      <c r="R32" s="350"/>
      <c r="S32" s="352"/>
    </row>
    <row r="33" spans="1:19" s="330" customFormat="1" ht="15" customHeight="1" x14ac:dyDescent="0.25">
      <c r="A33" s="348"/>
      <c r="B33" s="351"/>
      <c r="C33" s="350"/>
      <c r="D33" s="350"/>
      <c r="E33" s="350"/>
      <c r="F33" s="350"/>
      <c r="G33" s="353"/>
      <c r="H33" s="353"/>
      <c r="I33" s="350"/>
      <c r="J33" s="350"/>
      <c r="K33" s="350"/>
      <c r="L33" s="350"/>
      <c r="M33" s="350"/>
      <c r="N33" s="350"/>
      <c r="O33" s="350"/>
      <c r="P33" s="350"/>
      <c r="Q33" s="350"/>
      <c r="R33" s="350"/>
      <c r="S33" s="352"/>
    </row>
    <row r="34" spans="1:19" s="330" customFormat="1" ht="15" customHeight="1" x14ac:dyDescent="0.25">
      <c r="A34" s="348"/>
      <c r="B34" s="351"/>
      <c r="C34" s="350"/>
      <c r="D34" s="350"/>
      <c r="E34" s="350"/>
      <c r="F34" s="350"/>
      <c r="G34" s="353"/>
      <c r="H34" s="353"/>
      <c r="I34" s="350"/>
      <c r="J34" s="350"/>
      <c r="K34" s="350"/>
      <c r="L34" s="350"/>
      <c r="M34" s="350"/>
      <c r="N34" s="350"/>
      <c r="O34" s="350"/>
      <c r="P34" s="350"/>
      <c r="Q34" s="350"/>
      <c r="R34" s="350"/>
      <c r="S34" s="352"/>
    </row>
    <row r="35" spans="1:19" s="330" customFormat="1" ht="15" customHeight="1" x14ac:dyDescent="0.25">
      <c r="A35" s="348"/>
      <c r="B35" s="351"/>
      <c r="C35" s="350"/>
      <c r="D35" s="350"/>
      <c r="E35" s="350"/>
      <c r="F35" s="350"/>
      <c r="G35" s="353"/>
      <c r="H35" s="353"/>
      <c r="I35" s="350"/>
      <c r="J35" s="350"/>
      <c r="K35" s="350"/>
      <c r="L35" s="350"/>
      <c r="M35" s="350"/>
      <c r="N35" s="350"/>
      <c r="O35" s="350"/>
      <c r="P35" s="350"/>
      <c r="Q35" s="350"/>
      <c r="R35" s="350"/>
      <c r="S35" s="352"/>
    </row>
    <row r="36" spans="1:19" s="330" customFormat="1" ht="15" customHeight="1" x14ac:dyDescent="0.25">
      <c r="A36" s="348"/>
      <c r="B36" s="351"/>
      <c r="C36" s="350"/>
      <c r="D36" s="350"/>
      <c r="E36" s="350"/>
      <c r="F36" s="350"/>
      <c r="G36" s="353"/>
      <c r="H36" s="353"/>
      <c r="I36" s="350"/>
      <c r="J36" s="350"/>
      <c r="K36" s="350"/>
      <c r="L36" s="350"/>
      <c r="M36" s="350"/>
      <c r="N36" s="350"/>
      <c r="O36" s="350"/>
      <c r="P36" s="350"/>
      <c r="Q36" s="350"/>
      <c r="R36" s="350"/>
      <c r="S36" s="352"/>
    </row>
    <row r="37" spans="1:19" s="330" customFormat="1" ht="15" customHeight="1" x14ac:dyDescent="0.25">
      <c r="A37" s="348"/>
      <c r="B37" s="351"/>
      <c r="C37" s="350"/>
      <c r="D37" s="350"/>
      <c r="E37" s="350"/>
      <c r="F37" s="350"/>
      <c r="G37" s="353"/>
      <c r="H37" s="353"/>
      <c r="I37" s="350"/>
      <c r="J37" s="350"/>
      <c r="K37" s="350"/>
      <c r="L37" s="350"/>
      <c r="M37" s="350"/>
      <c r="N37" s="350"/>
      <c r="O37" s="350"/>
      <c r="P37" s="350"/>
      <c r="Q37" s="350"/>
      <c r="R37" s="350"/>
      <c r="S37" s="352"/>
    </row>
    <row r="38" spans="1:19" s="330" customFormat="1" ht="15" customHeight="1" x14ac:dyDescent="0.25">
      <c r="A38" s="348"/>
      <c r="B38" s="351"/>
      <c r="C38" s="350"/>
      <c r="D38" s="350"/>
      <c r="E38" s="350"/>
      <c r="F38" s="350"/>
      <c r="G38" s="353"/>
      <c r="H38" s="353"/>
      <c r="I38" s="350"/>
      <c r="J38" s="350"/>
      <c r="K38" s="350"/>
      <c r="L38" s="350"/>
      <c r="M38" s="350"/>
      <c r="N38" s="350"/>
      <c r="O38" s="350"/>
      <c r="P38" s="350"/>
      <c r="Q38" s="350"/>
      <c r="R38" s="350"/>
      <c r="S38" s="352"/>
    </row>
    <row r="39" spans="1:19" s="330" customFormat="1" ht="15" customHeight="1" x14ac:dyDescent="0.25">
      <c r="A39" s="348"/>
      <c r="B39" s="351"/>
      <c r="C39" s="350"/>
      <c r="D39" s="350"/>
      <c r="E39" s="350"/>
      <c r="F39" s="350"/>
      <c r="G39" s="353"/>
      <c r="H39" s="353"/>
      <c r="I39" s="350"/>
      <c r="J39" s="350"/>
      <c r="K39" s="350"/>
      <c r="L39" s="350"/>
      <c r="M39" s="350"/>
      <c r="N39" s="350"/>
      <c r="O39" s="350"/>
      <c r="P39" s="350"/>
      <c r="Q39" s="350"/>
      <c r="R39" s="350"/>
      <c r="S39" s="352"/>
    </row>
    <row r="40" spans="1:19" s="330" customFormat="1" ht="15" customHeight="1" x14ac:dyDescent="0.25">
      <c r="A40" s="348"/>
      <c r="B40" s="351"/>
      <c r="C40" s="350"/>
      <c r="D40" s="350"/>
      <c r="E40" s="350"/>
      <c r="F40" s="350"/>
      <c r="G40" s="353"/>
      <c r="H40" s="353"/>
      <c r="I40" s="350"/>
      <c r="J40" s="350"/>
      <c r="K40" s="350"/>
      <c r="L40" s="350"/>
      <c r="M40" s="350"/>
      <c r="N40" s="350"/>
      <c r="O40" s="350"/>
      <c r="P40" s="350"/>
      <c r="Q40" s="350"/>
      <c r="R40" s="350"/>
      <c r="S40" s="352"/>
    </row>
    <row r="41" spans="1:19" s="330" customFormat="1" ht="15" customHeight="1" x14ac:dyDescent="0.25">
      <c r="A41" s="348"/>
      <c r="B41" s="351"/>
      <c r="C41" s="350"/>
      <c r="D41" s="350"/>
      <c r="E41" s="350"/>
      <c r="F41" s="350"/>
      <c r="G41" s="353"/>
      <c r="H41" s="353"/>
      <c r="I41" s="350"/>
      <c r="J41" s="350"/>
      <c r="K41" s="350"/>
      <c r="L41" s="350"/>
      <c r="M41" s="350"/>
      <c r="N41" s="350"/>
      <c r="O41" s="350"/>
      <c r="P41" s="350"/>
      <c r="Q41" s="350"/>
      <c r="R41" s="350"/>
      <c r="S41" s="352"/>
    </row>
    <row r="42" spans="1:19" s="330" customFormat="1" ht="15" customHeight="1" x14ac:dyDescent="0.25">
      <c r="A42" s="348"/>
      <c r="B42" s="351"/>
      <c r="C42" s="350"/>
      <c r="D42" s="350"/>
      <c r="E42" s="350"/>
      <c r="F42" s="350"/>
      <c r="G42" s="353"/>
      <c r="H42" s="353"/>
      <c r="I42" s="350"/>
      <c r="J42" s="350"/>
      <c r="K42" s="350"/>
      <c r="L42" s="350"/>
      <c r="M42" s="350"/>
      <c r="N42" s="350"/>
      <c r="O42" s="350"/>
      <c r="P42" s="350"/>
      <c r="Q42" s="350"/>
      <c r="R42" s="350"/>
      <c r="S42" s="352"/>
    </row>
    <row r="43" spans="1:19" s="330" customFormat="1" ht="15" customHeight="1" x14ac:dyDescent="0.25">
      <c r="A43" s="348"/>
      <c r="B43" s="351"/>
      <c r="C43" s="350"/>
      <c r="D43" s="350"/>
      <c r="E43" s="350"/>
      <c r="F43" s="350"/>
      <c r="G43" s="353"/>
      <c r="H43" s="353"/>
      <c r="I43" s="350"/>
      <c r="J43" s="350"/>
      <c r="K43" s="350"/>
      <c r="L43" s="350"/>
      <c r="M43" s="350"/>
      <c r="N43" s="350"/>
      <c r="O43" s="350"/>
      <c r="P43" s="350"/>
      <c r="Q43" s="350"/>
      <c r="R43" s="350"/>
      <c r="S43" s="352"/>
    </row>
    <row r="44" spans="1:19" s="330" customFormat="1" ht="15" customHeight="1" x14ac:dyDescent="0.25">
      <c r="A44" s="348"/>
      <c r="B44" s="351"/>
      <c r="C44" s="350"/>
      <c r="D44" s="350"/>
      <c r="E44" s="350"/>
      <c r="F44" s="350"/>
      <c r="G44" s="353"/>
      <c r="H44" s="353"/>
      <c r="I44" s="350"/>
      <c r="J44" s="350"/>
      <c r="K44" s="350"/>
      <c r="L44" s="350"/>
      <c r="M44" s="350"/>
      <c r="N44" s="350"/>
      <c r="O44" s="350"/>
      <c r="P44" s="350"/>
      <c r="Q44" s="350"/>
      <c r="R44" s="350"/>
      <c r="S44" s="352"/>
    </row>
    <row r="45" spans="1:19" s="330" customFormat="1" ht="15" customHeight="1" x14ac:dyDescent="0.25">
      <c r="A45" s="348"/>
      <c r="B45" s="351"/>
      <c r="C45" s="350"/>
      <c r="D45" s="350"/>
      <c r="E45" s="350"/>
      <c r="F45" s="350"/>
      <c r="G45" s="353"/>
      <c r="H45" s="353"/>
      <c r="I45" s="350"/>
      <c r="J45" s="350"/>
      <c r="K45" s="350"/>
      <c r="L45" s="350"/>
      <c r="M45" s="350"/>
      <c r="N45" s="350"/>
      <c r="O45" s="350"/>
      <c r="P45" s="350"/>
      <c r="Q45" s="350"/>
      <c r="R45" s="350"/>
      <c r="S45" s="352"/>
    </row>
    <row r="46" spans="1:19" s="330" customFormat="1" ht="15" customHeight="1" x14ac:dyDescent="0.25">
      <c r="A46" s="348"/>
      <c r="B46" s="351"/>
      <c r="C46" s="350"/>
      <c r="D46" s="350"/>
      <c r="E46" s="350"/>
      <c r="F46" s="350"/>
      <c r="G46" s="353"/>
      <c r="H46" s="353"/>
      <c r="I46" s="350"/>
      <c r="J46" s="350"/>
      <c r="K46" s="350"/>
      <c r="L46" s="350"/>
      <c r="M46" s="350"/>
      <c r="N46" s="350"/>
      <c r="O46" s="350"/>
      <c r="P46" s="350"/>
      <c r="Q46" s="350"/>
      <c r="R46" s="350"/>
      <c r="S46" s="352"/>
    </row>
    <row r="47" spans="1:19" s="330" customFormat="1" ht="15" customHeight="1" x14ac:dyDescent="0.25">
      <c r="A47" s="348"/>
      <c r="B47" s="351"/>
      <c r="C47" s="350"/>
      <c r="D47" s="350"/>
      <c r="E47" s="350"/>
      <c r="F47" s="350"/>
      <c r="G47" s="353"/>
      <c r="H47" s="353"/>
      <c r="I47" s="350"/>
      <c r="J47" s="350"/>
      <c r="K47" s="350"/>
      <c r="L47" s="350"/>
      <c r="M47" s="350"/>
      <c r="N47" s="350"/>
      <c r="O47" s="350"/>
      <c r="P47" s="350"/>
      <c r="Q47" s="350"/>
      <c r="R47" s="350"/>
      <c r="S47" s="352"/>
    </row>
    <row r="48" spans="1:19" s="330" customFormat="1" ht="15" customHeight="1" x14ac:dyDescent="0.25">
      <c r="A48" s="348"/>
      <c r="B48" s="351"/>
      <c r="C48" s="350"/>
      <c r="D48" s="350"/>
      <c r="E48" s="350"/>
      <c r="F48" s="350"/>
      <c r="G48" s="353"/>
      <c r="H48" s="353"/>
      <c r="I48" s="350"/>
      <c r="J48" s="350"/>
      <c r="K48" s="350"/>
      <c r="L48" s="350"/>
      <c r="M48" s="350"/>
      <c r="N48" s="350"/>
      <c r="O48" s="350"/>
      <c r="P48" s="350"/>
      <c r="Q48" s="350"/>
      <c r="R48" s="350"/>
      <c r="S48" s="352"/>
    </row>
    <row r="49" spans="1:28" s="330" customFormat="1" ht="15" customHeight="1" x14ac:dyDescent="0.25">
      <c r="A49" s="348"/>
      <c r="B49" s="351"/>
      <c r="C49" s="350"/>
      <c r="D49" s="350"/>
      <c r="E49" s="350"/>
      <c r="F49" s="350"/>
      <c r="G49" s="353"/>
      <c r="H49" s="353"/>
      <c r="I49" s="350"/>
      <c r="J49" s="350"/>
      <c r="K49" s="350"/>
      <c r="L49" s="350"/>
      <c r="M49" s="350"/>
      <c r="N49" s="350"/>
      <c r="O49" s="350"/>
      <c r="P49" s="350"/>
      <c r="Q49" s="350"/>
      <c r="R49" s="350"/>
      <c r="S49" s="352"/>
    </row>
    <row r="50" spans="1:28" s="330" customFormat="1" ht="15" customHeight="1" x14ac:dyDescent="0.25">
      <c r="A50" s="348"/>
      <c r="B50" s="351"/>
      <c r="C50" s="350"/>
      <c r="D50" s="350"/>
      <c r="E50" s="350"/>
      <c r="F50" s="350"/>
      <c r="G50" s="353"/>
      <c r="H50" s="353"/>
      <c r="I50" s="350"/>
      <c r="J50" s="350"/>
      <c r="K50" s="350"/>
      <c r="L50" s="350"/>
      <c r="M50" s="350"/>
      <c r="N50" s="350"/>
      <c r="O50" s="350"/>
      <c r="P50" s="350"/>
      <c r="Q50" s="350"/>
      <c r="R50" s="350"/>
      <c r="S50" s="352"/>
    </row>
    <row r="51" spans="1:28" s="330" customFormat="1" ht="15" customHeight="1" x14ac:dyDescent="0.25">
      <c r="A51" s="348"/>
      <c r="B51" s="351"/>
      <c r="C51" s="350"/>
      <c r="D51" s="350"/>
      <c r="E51" s="350"/>
      <c r="F51" s="350"/>
      <c r="G51" s="353"/>
      <c r="H51" s="353"/>
      <c r="I51" s="350"/>
      <c r="J51" s="350"/>
      <c r="K51" s="350"/>
      <c r="L51" s="350"/>
      <c r="M51" s="350"/>
      <c r="N51" s="350"/>
      <c r="O51" s="350"/>
      <c r="P51" s="350"/>
      <c r="Q51" s="350"/>
      <c r="R51" s="350"/>
      <c r="S51" s="352"/>
    </row>
    <row r="52" spans="1:28" s="330" customFormat="1" ht="6.75" customHeight="1" thickBot="1" x14ac:dyDescent="0.3">
      <c r="A52" s="343"/>
      <c r="B52" s="344"/>
      <c r="C52" s="345"/>
      <c r="D52" s="345"/>
      <c r="E52" s="345"/>
      <c r="F52" s="345"/>
      <c r="G52" s="346"/>
      <c r="H52" s="346"/>
      <c r="I52" s="345"/>
      <c r="J52" s="345"/>
      <c r="K52" s="345"/>
      <c r="L52" s="345"/>
      <c r="M52" s="345"/>
      <c r="N52" s="345"/>
      <c r="O52" s="345"/>
      <c r="P52" s="345"/>
      <c r="Q52" s="345"/>
      <c r="R52" s="345"/>
      <c r="S52" s="347"/>
    </row>
    <row r="53" spans="1:28" s="330" customFormat="1" ht="6.75" customHeight="1" x14ac:dyDescent="0.25">
      <c r="A53" s="325"/>
      <c r="B53" s="326"/>
      <c r="C53" s="327"/>
      <c r="D53" s="327"/>
      <c r="E53" s="327"/>
      <c r="F53" s="327"/>
      <c r="G53" s="328"/>
      <c r="H53" s="328"/>
      <c r="I53" s="327"/>
      <c r="J53" s="327"/>
      <c r="K53" s="327"/>
      <c r="L53" s="327"/>
      <c r="M53" s="327"/>
      <c r="N53" s="327"/>
      <c r="O53" s="327"/>
      <c r="P53" s="327"/>
      <c r="Q53" s="327"/>
      <c r="R53" s="327"/>
      <c r="S53" s="329"/>
    </row>
    <row r="54" spans="1:28" s="330" customFormat="1" ht="14.25" customHeight="1" x14ac:dyDescent="0.2">
      <c r="A54" s="348"/>
      <c r="B54" s="834" t="s">
        <v>586</v>
      </c>
      <c r="C54" s="835"/>
      <c r="D54" s="836"/>
      <c r="E54" s="350"/>
      <c r="F54" s="350"/>
      <c r="G54" s="350"/>
      <c r="H54" s="350"/>
      <c r="I54" s="350"/>
      <c r="J54" s="350"/>
      <c r="K54" s="350"/>
      <c r="L54" s="350"/>
      <c r="M54" s="350"/>
      <c r="N54" s="350"/>
      <c r="O54" s="350"/>
      <c r="P54" s="350"/>
      <c r="Q54" s="350"/>
      <c r="R54" s="350"/>
      <c r="S54" s="352"/>
    </row>
    <row r="55" spans="1:28" s="330" customFormat="1" ht="14.25" customHeight="1" x14ac:dyDescent="0.2">
      <c r="A55" s="348"/>
      <c r="B55" s="837"/>
      <c r="C55" s="838"/>
      <c r="D55" s="839"/>
      <c r="E55" s="350"/>
      <c r="F55" s="350"/>
      <c r="G55" s="350"/>
      <c r="H55" s="350"/>
      <c r="I55" s="350"/>
      <c r="J55" s="350"/>
      <c r="K55" s="350"/>
      <c r="L55" s="350"/>
      <c r="M55" s="350"/>
      <c r="N55" s="350"/>
      <c r="O55" s="350"/>
      <c r="P55" s="350"/>
      <c r="Q55" s="350"/>
      <c r="R55" s="350"/>
      <c r="S55" s="352"/>
    </row>
    <row r="56" spans="1:28" s="330" customFormat="1" ht="5.25" customHeight="1" x14ac:dyDescent="0.2">
      <c r="A56" s="348"/>
      <c r="B56" s="350"/>
      <c r="C56" s="350"/>
      <c r="D56" s="350"/>
      <c r="E56" s="350"/>
      <c r="F56" s="350"/>
      <c r="G56" s="350"/>
      <c r="H56" s="350"/>
      <c r="I56" s="350"/>
      <c r="J56" s="350"/>
      <c r="K56" s="350"/>
      <c r="L56" s="350"/>
      <c r="M56" s="350"/>
      <c r="N56" s="350"/>
      <c r="O56" s="350"/>
      <c r="P56" s="350"/>
      <c r="Q56" s="350"/>
      <c r="R56" s="350"/>
      <c r="S56" s="352"/>
    </row>
    <row r="57" spans="1:28" s="330" customFormat="1" ht="14.25" customHeight="1" x14ac:dyDescent="0.2">
      <c r="A57" s="348"/>
      <c r="B57" s="349" t="s">
        <v>672</v>
      </c>
      <c r="C57" s="355"/>
      <c r="D57" s="356"/>
      <c r="E57" s="357"/>
      <c r="F57" s="357"/>
      <c r="G57" s="358"/>
      <c r="H57" s="359"/>
      <c r="I57" s="357"/>
      <c r="J57" s="357"/>
      <c r="K57" s="350"/>
      <c r="L57" s="350"/>
      <c r="M57" s="350"/>
      <c r="N57" s="350"/>
      <c r="O57" s="350"/>
      <c r="P57" s="350"/>
      <c r="Q57" s="350"/>
      <c r="R57" s="350"/>
      <c r="S57" s="352"/>
    </row>
    <row r="58" spans="1:28" s="330" customFormat="1" ht="14.25" customHeight="1" x14ac:dyDescent="0.2">
      <c r="A58" s="348"/>
      <c r="B58" s="360" t="s">
        <v>673</v>
      </c>
      <c r="C58" s="355"/>
      <c r="D58" s="876">
        <v>6988</v>
      </c>
      <c r="E58" s="877"/>
      <c r="F58" s="357"/>
      <c r="G58" s="361" t="s">
        <v>674</v>
      </c>
      <c r="H58" s="359"/>
      <c r="I58" s="357"/>
      <c r="J58" s="357"/>
      <c r="K58" s="350"/>
      <c r="L58" s="350"/>
      <c r="M58" s="350"/>
      <c r="N58" s="350"/>
      <c r="O58" s="350"/>
      <c r="P58" s="350"/>
      <c r="Q58" s="350"/>
      <c r="R58" s="350"/>
      <c r="S58" s="352"/>
    </row>
    <row r="59" spans="1:28" s="330" customFormat="1" ht="3.75" customHeight="1" x14ac:dyDescent="0.2">
      <c r="A59" s="348"/>
      <c r="B59" s="360"/>
      <c r="C59" s="355"/>
      <c r="D59" s="362"/>
      <c r="E59" s="363"/>
      <c r="F59" s="357"/>
      <c r="G59" s="361"/>
      <c r="H59" s="359"/>
      <c r="I59" s="357"/>
      <c r="J59" s="357"/>
      <c r="K59" s="350"/>
      <c r="L59" s="350"/>
      <c r="M59" s="350"/>
      <c r="N59" s="350"/>
      <c r="O59" s="350"/>
      <c r="P59" s="350"/>
      <c r="Q59" s="350"/>
      <c r="R59" s="350"/>
      <c r="S59" s="352"/>
    </row>
    <row r="60" spans="1:28" s="330" customFormat="1" ht="15" customHeight="1" x14ac:dyDescent="0.2">
      <c r="A60" s="348"/>
      <c r="B60" s="360" t="s">
        <v>675</v>
      </c>
      <c r="C60" s="355"/>
      <c r="D60" s="832">
        <v>6038</v>
      </c>
      <c r="E60" s="833"/>
      <c r="F60" s="357"/>
      <c r="G60" s="878" t="s">
        <v>799</v>
      </c>
      <c r="H60" s="878"/>
      <c r="I60" s="878"/>
      <c r="J60" s="878"/>
      <c r="K60" s="878"/>
      <c r="L60" s="878"/>
      <c r="M60" s="878"/>
      <c r="N60" s="878"/>
      <c r="O60" s="878"/>
      <c r="P60" s="878"/>
      <c r="Q60" s="878"/>
      <c r="R60" s="878"/>
      <c r="S60" s="352"/>
    </row>
    <row r="61" spans="1:28" s="330" customFormat="1" ht="6" customHeight="1" x14ac:dyDescent="0.25">
      <c r="A61" s="348"/>
      <c r="B61" s="351"/>
      <c r="C61" s="350"/>
      <c r="D61" s="350"/>
      <c r="E61" s="350"/>
      <c r="F61" s="350"/>
      <c r="G61" s="878"/>
      <c r="H61" s="878"/>
      <c r="I61" s="878"/>
      <c r="J61" s="878"/>
      <c r="K61" s="878"/>
      <c r="L61" s="878"/>
      <c r="M61" s="878"/>
      <c r="N61" s="878"/>
      <c r="O61" s="878"/>
      <c r="P61" s="878"/>
      <c r="Q61" s="878"/>
      <c r="R61" s="878"/>
      <c r="S61" s="352"/>
    </row>
    <row r="62" spans="1:28" s="330" customFormat="1" ht="14.25" customHeight="1" x14ac:dyDescent="0.2">
      <c r="A62" s="348"/>
      <c r="B62" s="360" t="s">
        <v>676</v>
      </c>
      <c r="C62" s="355"/>
      <c r="D62" s="879"/>
      <c r="E62" s="880"/>
      <c r="F62" s="350"/>
      <c r="G62" s="881" t="s">
        <v>677</v>
      </c>
      <c r="H62" s="881"/>
      <c r="I62" s="881"/>
      <c r="J62" s="881"/>
      <c r="K62" s="881"/>
      <c r="L62" s="881"/>
      <c r="M62" s="881"/>
      <c r="N62" s="881"/>
      <c r="O62" s="881"/>
      <c r="P62" s="881"/>
      <c r="Q62" s="881"/>
      <c r="R62" s="881"/>
      <c r="S62" s="352"/>
    </row>
    <row r="63" spans="1:28" s="330" customFormat="1" ht="6.75" customHeight="1" x14ac:dyDescent="0.25">
      <c r="A63" s="364"/>
      <c r="B63" s="365"/>
      <c r="C63" s="366"/>
      <c r="D63" s="366"/>
      <c r="E63" s="366"/>
      <c r="F63" s="366"/>
      <c r="G63" s="367"/>
      <c r="H63" s="367"/>
      <c r="I63" s="366"/>
      <c r="J63" s="366"/>
      <c r="K63" s="366"/>
      <c r="L63" s="366"/>
      <c r="M63" s="366"/>
      <c r="N63" s="366"/>
      <c r="O63" s="366"/>
      <c r="P63" s="366"/>
      <c r="Q63" s="366"/>
      <c r="R63" s="366"/>
      <c r="S63" s="368"/>
    </row>
    <row r="64" spans="1:28" ht="6.75" customHeight="1" x14ac:dyDescent="0.25">
      <c r="A64" s="369"/>
      <c r="B64" s="370"/>
      <c r="C64" s="370"/>
      <c r="D64" s="370"/>
      <c r="E64" s="370"/>
      <c r="F64" s="370"/>
      <c r="G64" s="370"/>
      <c r="H64" s="370"/>
      <c r="I64" s="370"/>
      <c r="J64" s="370"/>
      <c r="K64" s="370"/>
      <c r="L64" s="370"/>
      <c r="M64" s="370"/>
      <c r="N64" s="370"/>
      <c r="O64" s="370"/>
      <c r="P64" s="370"/>
      <c r="Q64" s="370"/>
      <c r="R64" s="370"/>
      <c r="S64" s="371"/>
      <c r="T64" s="372"/>
      <c r="U64" s="372"/>
      <c r="V64" s="372"/>
      <c r="W64" s="372"/>
      <c r="X64" s="372"/>
      <c r="Y64" s="372"/>
      <c r="Z64" s="372"/>
      <c r="AA64" s="372"/>
      <c r="AB64" s="372"/>
    </row>
    <row r="65" spans="1:28" ht="12.75" customHeight="1" x14ac:dyDescent="0.25">
      <c r="A65" s="374"/>
      <c r="B65" s="375"/>
      <c r="C65" s="375"/>
      <c r="D65" s="375"/>
      <c r="E65" s="375"/>
      <c r="F65" s="375"/>
      <c r="G65" s="375"/>
      <c r="H65" s="375"/>
      <c r="I65" s="375"/>
      <c r="J65" s="375"/>
      <c r="K65" s="376" t="s">
        <v>678</v>
      </c>
      <c r="L65" s="377"/>
      <c r="M65" s="376" t="s">
        <v>679</v>
      </c>
      <c r="N65" s="377"/>
      <c r="O65" s="375"/>
      <c r="P65" s="375"/>
      <c r="Q65" s="378" t="s">
        <v>680</v>
      </c>
      <c r="R65" s="375"/>
      <c r="S65" s="379"/>
      <c r="T65" s="372"/>
      <c r="U65" s="372"/>
      <c r="V65" s="372"/>
      <c r="W65" s="372"/>
      <c r="X65" s="372"/>
      <c r="Y65" s="372"/>
      <c r="Z65" s="372"/>
      <c r="AA65" s="372"/>
      <c r="AB65" s="372"/>
    </row>
    <row r="66" spans="1:28" x14ac:dyDescent="0.25">
      <c r="A66" s="380"/>
      <c r="B66" s="375"/>
      <c r="C66" s="375"/>
      <c r="D66" s="375"/>
      <c r="E66" s="375"/>
      <c r="F66" s="375"/>
      <c r="G66" s="375"/>
      <c r="H66" s="375"/>
      <c r="I66" s="375"/>
      <c r="J66" s="375"/>
      <c r="K66" s="882" t="s">
        <v>673</v>
      </c>
      <c r="L66" s="882"/>
      <c r="M66" s="883" t="s">
        <v>675</v>
      </c>
      <c r="N66" s="883"/>
      <c r="O66" s="381"/>
      <c r="P66" s="378"/>
      <c r="Q66" s="381" t="s">
        <v>114</v>
      </c>
      <c r="R66" s="382"/>
      <c r="S66" s="379"/>
      <c r="T66" s="372"/>
      <c r="U66" s="372"/>
      <c r="V66" s="372"/>
      <c r="W66" s="372"/>
      <c r="X66" s="372"/>
      <c r="Y66" s="372"/>
      <c r="Z66" s="372"/>
      <c r="AA66" s="372"/>
      <c r="AB66" s="372"/>
    </row>
    <row r="67" spans="1:28" x14ac:dyDescent="0.25">
      <c r="A67" s="380"/>
      <c r="B67" s="378" t="s">
        <v>392</v>
      </c>
      <c r="C67" s="375"/>
      <c r="D67" s="375"/>
      <c r="E67" s="375"/>
      <c r="F67" s="375"/>
      <c r="G67" s="375"/>
      <c r="H67" s="375"/>
      <c r="I67" s="375"/>
      <c r="J67" s="383" t="s">
        <v>393</v>
      </c>
      <c r="K67" s="847">
        <f>Geraetedaten!L101</f>
        <v>6348</v>
      </c>
      <c r="L67" s="848"/>
      <c r="M67" s="832">
        <f>Geraetedaten!B101</f>
        <v>6128</v>
      </c>
      <c r="N67" s="833"/>
      <c r="O67" s="830"/>
      <c r="P67" s="849"/>
      <c r="Q67" s="814" t="s">
        <v>823</v>
      </c>
      <c r="R67" s="815"/>
      <c r="S67" s="379"/>
      <c r="T67" s="372"/>
      <c r="U67" s="372"/>
      <c r="V67" s="372"/>
      <c r="W67" s="372"/>
      <c r="X67" s="372"/>
      <c r="Y67" s="372"/>
      <c r="Z67" s="372"/>
      <c r="AA67" s="372"/>
      <c r="AB67" s="372"/>
    </row>
    <row r="68" spans="1:28" x14ac:dyDescent="0.25">
      <c r="A68" s="380"/>
      <c r="B68" s="378" t="s">
        <v>394</v>
      </c>
      <c r="C68" s="375"/>
      <c r="D68" s="375"/>
      <c r="E68" s="375"/>
      <c r="F68" s="375"/>
      <c r="G68" s="375"/>
      <c r="H68" s="375"/>
      <c r="I68" s="375"/>
      <c r="J68" s="383" t="s">
        <v>395</v>
      </c>
      <c r="K68" s="847">
        <f>Geraetedaten!L102</f>
        <v>-1172</v>
      </c>
      <c r="L68" s="848"/>
      <c r="M68" s="832">
        <f>Geraetedaten!B102</f>
        <v>-1152</v>
      </c>
      <c r="N68" s="833"/>
      <c r="O68" s="830"/>
      <c r="P68" s="831"/>
      <c r="Q68" s="814"/>
      <c r="R68" s="815"/>
      <c r="S68" s="379"/>
      <c r="T68" s="372"/>
      <c r="U68" s="372">
        <f>ABS(K68)</f>
        <v>1172</v>
      </c>
      <c r="V68" s="372"/>
      <c r="W68" s="372"/>
      <c r="X68" s="372"/>
      <c r="Y68" s="372"/>
      <c r="Z68" s="372"/>
      <c r="AA68" s="372"/>
      <c r="AB68" s="372"/>
    </row>
    <row r="69" spans="1:28" ht="4.5" customHeight="1" x14ac:dyDescent="0.25">
      <c r="A69" s="380"/>
      <c r="B69" s="378"/>
      <c r="C69" s="375"/>
      <c r="D69" s="375"/>
      <c r="E69" s="375"/>
      <c r="F69" s="375"/>
      <c r="G69" s="375"/>
      <c r="H69" s="375"/>
      <c r="I69" s="375"/>
      <c r="J69" s="384"/>
      <c r="K69" s="375"/>
      <c r="L69" s="378"/>
      <c r="M69" s="378"/>
      <c r="N69" s="378"/>
      <c r="O69" s="381"/>
      <c r="P69" s="378"/>
      <c r="Q69" s="378"/>
      <c r="R69" s="378"/>
      <c r="S69" s="379"/>
      <c r="T69" s="372"/>
      <c r="U69" s="372"/>
      <c r="V69" s="372"/>
      <c r="W69" s="372"/>
      <c r="X69" s="372"/>
      <c r="Y69" s="372"/>
      <c r="Z69" s="372"/>
      <c r="AA69" s="372"/>
      <c r="AB69" s="372"/>
    </row>
    <row r="70" spans="1:28" x14ac:dyDescent="0.25">
      <c r="A70" s="380"/>
      <c r="B70" s="378" t="s">
        <v>396</v>
      </c>
      <c r="C70" s="375"/>
      <c r="D70" s="375"/>
      <c r="E70" s="375"/>
      <c r="F70" s="375"/>
      <c r="G70" s="375"/>
      <c r="H70" s="375"/>
      <c r="I70" s="375"/>
      <c r="J70" s="383" t="s">
        <v>397</v>
      </c>
      <c r="K70" s="828">
        <f>Geraetedaten!L103</f>
        <v>6186</v>
      </c>
      <c r="L70" s="829"/>
      <c r="M70" s="819">
        <f>Geraetedaten!B103</f>
        <v>6186</v>
      </c>
      <c r="N70" s="820"/>
      <c r="O70" s="830"/>
      <c r="P70" s="831"/>
      <c r="Q70" s="814"/>
      <c r="R70" s="815"/>
      <c r="S70" s="379"/>
      <c r="T70" s="372"/>
      <c r="U70" s="372"/>
      <c r="V70" s="372"/>
      <c r="W70" s="372"/>
      <c r="X70" s="372"/>
      <c r="Y70" s="372"/>
      <c r="Z70" s="372"/>
      <c r="AA70" s="372"/>
      <c r="AB70" s="372"/>
    </row>
    <row r="71" spans="1:28" x14ac:dyDescent="0.25">
      <c r="A71" s="380"/>
      <c r="B71" s="378" t="s">
        <v>398</v>
      </c>
      <c r="C71" s="375"/>
      <c r="D71" s="375"/>
      <c r="E71" s="375"/>
      <c r="F71" s="375"/>
      <c r="G71" s="375"/>
      <c r="H71" s="375"/>
      <c r="I71" s="375"/>
      <c r="J71" s="383" t="s">
        <v>399</v>
      </c>
      <c r="K71" s="828">
        <f>Geraetedaten!L104</f>
        <v>-4253</v>
      </c>
      <c r="L71" s="829"/>
      <c r="M71" s="819">
        <f>Geraetedaten!B104</f>
        <v>-4228</v>
      </c>
      <c r="N71" s="820"/>
      <c r="O71" s="830"/>
      <c r="P71" s="831"/>
      <c r="Q71" s="814"/>
      <c r="R71" s="815"/>
      <c r="S71" s="379"/>
      <c r="T71" s="372"/>
      <c r="U71" s="372">
        <f>ABS(K71)</f>
        <v>4253</v>
      </c>
      <c r="V71" s="372"/>
      <c r="W71" s="372"/>
      <c r="X71" s="372"/>
      <c r="Y71" s="372"/>
      <c r="Z71" s="372"/>
      <c r="AA71" s="372"/>
      <c r="AB71" s="372"/>
    </row>
    <row r="72" spans="1:28" x14ac:dyDescent="0.25">
      <c r="A72" s="380"/>
      <c r="B72" s="378"/>
      <c r="C72" s="375"/>
      <c r="D72" s="375"/>
      <c r="E72" s="375"/>
      <c r="F72" s="375"/>
      <c r="G72" s="375"/>
      <c r="H72" s="375"/>
      <c r="I72" s="375"/>
      <c r="J72" s="384"/>
      <c r="K72" s="375"/>
      <c r="L72" s="378"/>
      <c r="M72" s="378"/>
      <c r="N72" s="378"/>
      <c r="O72" s="381"/>
      <c r="P72" s="378"/>
      <c r="Q72" s="378"/>
      <c r="R72" s="378"/>
      <c r="S72" s="379"/>
      <c r="T72" s="372"/>
      <c r="U72" s="372"/>
      <c r="X72" s="372"/>
      <c r="Y72" s="372"/>
      <c r="Z72" s="372"/>
      <c r="AA72" s="372"/>
      <c r="AB72" s="372"/>
    </row>
    <row r="73" spans="1:28" x14ac:dyDescent="0.25">
      <c r="A73" s="380"/>
      <c r="B73" s="378" t="s">
        <v>400</v>
      </c>
      <c r="C73" s="375"/>
      <c r="D73" s="375"/>
      <c r="E73" s="375"/>
      <c r="F73" s="375"/>
      <c r="G73" s="375"/>
      <c r="H73" s="375"/>
      <c r="I73" s="375"/>
      <c r="J73" s="383" t="s">
        <v>401</v>
      </c>
      <c r="K73" s="828">
        <f>Geraetedaten!L106</f>
        <v>-819</v>
      </c>
      <c r="L73" s="829"/>
      <c r="M73" s="832">
        <f>Geraetedaten!B106</f>
        <v>-750</v>
      </c>
      <c r="N73" s="833"/>
      <c r="O73" s="830"/>
      <c r="P73" s="831"/>
      <c r="Q73" s="814"/>
      <c r="R73" s="815"/>
      <c r="S73" s="379"/>
      <c r="T73" s="372"/>
      <c r="U73" s="372">
        <f>ABS(K73)</f>
        <v>819</v>
      </c>
      <c r="X73" s="372"/>
      <c r="Y73" s="372"/>
      <c r="Z73" s="372"/>
      <c r="AA73" s="372"/>
      <c r="AB73" s="372"/>
    </row>
    <row r="74" spans="1:28" x14ac:dyDescent="0.25">
      <c r="A74" s="380"/>
      <c r="B74" s="378" t="s">
        <v>402</v>
      </c>
      <c r="C74" s="375"/>
      <c r="D74" s="375"/>
      <c r="E74" s="375"/>
      <c r="F74" s="375"/>
      <c r="G74" s="375"/>
      <c r="H74" s="375"/>
      <c r="I74" s="375"/>
      <c r="J74" s="383" t="s">
        <v>403</v>
      </c>
      <c r="K74" s="828">
        <f>Geraetedaten!L107</f>
        <v>-1165</v>
      </c>
      <c r="L74" s="829"/>
      <c r="M74" s="832">
        <f>Geraetedaten!B107</f>
        <v>-1140</v>
      </c>
      <c r="N74" s="833"/>
      <c r="O74" s="830"/>
      <c r="P74" s="831"/>
      <c r="Q74" s="814"/>
      <c r="R74" s="815"/>
      <c r="S74" s="379"/>
      <c r="T74" s="372"/>
      <c r="U74" s="372">
        <f>ABS(K74)</f>
        <v>1165</v>
      </c>
      <c r="X74" s="372"/>
      <c r="Y74" s="372"/>
      <c r="Z74" s="372"/>
      <c r="AA74" s="372"/>
      <c r="AB74" s="372"/>
    </row>
    <row r="75" spans="1:28" ht="4.5" customHeight="1" x14ac:dyDescent="0.25">
      <c r="A75" s="380"/>
      <c r="B75" s="378"/>
      <c r="C75" s="375"/>
      <c r="D75" s="375"/>
      <c r="E75" s="375"/>
      <c r="F75" s="375"/>
      <c r="G75" s="375"/>
      <c r="H75" s="375"/>
      <c r="I75" s="375"/>
      <c r="J75" s="384"/>
      <c r="K75" s="375"/>
      <c r="L75" s="378"/>
      <c r="M75" s="378"/>
      <c r="N75" s="378"/>
      <c r="O75" s="381"/>
      <c r="P75" s="378"/>
      <c r="Q75" s="378"/>
      <c r="R75" s="378"/>
      <c r="S75" s="379"/>
      <c r="T75" s="372"/>
      <c r="U75" s="372"/>
      <c r="X75" s="372"/>
      <c r="Y75" s="372"/>
      <c r="Z75" s="372"/>
      <c r="AA75" s="372"/>
      <c r="AB75" s="372"/>
    </row>
    <row r="76" spans="1:28" x14ac:dyDescent="0.25">
      <c r="A76" s="380"/>
      <c r="B76" s="378" t="s">
        <v>404</v>
      </c>
      <c r="C76" s="375"/>
      <c r="D76" s="375"/>
      <c r="E76" s="375"/>
      <c r="F76" s="375"/>
      <c r="G76" s="375"/>
      <c r="H76" s="375"/>
      <c r="I76" s="375"/>
      <c r="J76" s="383" t="s">
        <v>405</v>
      </c>
      <c r="K76" s="828">
        <f>Geraetedaten!L108</f>
        <v>-819</v>
      </c>
      <c r="L76" s="829"/>
      <c r="M76" s="819">
        <f>Geraetedaten!B108</f>
        <v>-750</v>
      </c>
      <c r="N76" s="820"/>
      <c r="O76" s="830"/>
      <c r="P76" s="831"/>
      <c r="Q76" s="814"/>
      <c r="R76" s="815"/>
      <c r="S76" s="379"/>
      <c r="T76" s="372"/>
      <c r="U76" s="372">
        <f>ABS(K76)</f>
        <v>819</v>
      </c>
      <c r="X76" s="372"/>
      <c r="Y76" s="372"/>
      <c r="Z76" s="372"/>
      <c r="AA76" s="372"/>
      <c r="AB76" s="372"/>
    </row>
    <row r="77" spans="1:28" x14ac:dyDescent="0.25">
      <c r="A77" s="380"/>
      <c r="B77" s="378" t="s">
        <v>406</v>
      </c>
      <c r="C77" s="375"/>
      <c r="D77" s="375"/>
      <c r="E77" s="375"/>
      <c r="F77" s="375"/>
      <c r="G77" s="375"/>
      <c r="H77" s="375"/>
      <c r="I77" s="375"/>
      <c r="J77" s="383" t="s">
        <v>407</v>
      </c>
      <c r="K77" s="828">
        <f>Geraetedaten!L109</f>
        <v>-4250</v>
      </c>
      <c r="L77" s="829"/>
      <c r="M77" s="819">
        <f>Geraetedaten!B109</f>
        <v>-4225</v>
      </c>
      <c r="N77" s="820"/>
      <c r="O77" s="830"/>
      <c r="P77" s="831"/>
      <c r="Q77" s="814"/>
      <c r="R77" s="815"/>
      <c r="S77" s="379"/>
      <c r="T77" s="372"/>
      <c r="U77" s="372">
        <f>ABS(K77)</f>
        <v>4250</v>
      </c>
      <c r="X77" s="372"/>
      <c r="Y77" s="372"/>
      <c r="Z77" s="372"/>
      <c r="AA77" s="372"/>
      <c r="AB77" s="372"/>
    </row>
    <row r="78" spans="1:28" x14ac:dyDescent="0.25">
      <c r="A78" s="380"/>
      <c r="B78" s="378"/>
      <c r="C78" s="375"/>
      <c r="D78" s="375"/>
      <c r="E78" s="375"/>
      <c r="F78" s="375"/>
      <c r="G78" s="375"/>
      <c r="H78" s="375"/>
      <c r="I78" s="375"/>
      <c r="J78" s="384"/>
      <c r="K78" s="375"/>
      <c r="L78" s="378"/>
      <c r="M78" s="378"/>
      <c r="N78" s="378"/>
      <c r="O78" s="381"/>
      <c r="P78" s="378"/>
      <c r="Q78" s="378"/>
      <c r="R78" s="378"/>
      <c r="S78" s="379"/>
      <c r="T78" s="372"/>
      <c r="U78" s="372"/>
      <c r="X78" s="372"/>
      <c r="Y78" s="372"/>
      <c r="Z78" s="372"/>
      <c r="AA78" s="372"/>
      <c r="AB78" s="372"/>
    </row>
    <row r="79" spans="1:28" x14ac:dyDescent="0.25">
      <c r="A79" s="380"/>
      <c r="B79" s="378" t="s">
        <v>408</v>
      </c>
      <c r="C79" s="375"/>
      <c r="D79" s="375"/>
      <c r="E79" s="375"/>
      <c r="F79" s="375"/>
      <c r="G79" s="375"/>
      <c r="H79" s="375"/>
      <c r="I79" s="375"/>
      <c r="J79" s="383" t="s">
        <v>409</v>
      </c>
      <c r="K79" s="828">
        <f>Geraetedaten!L111</f>
        <v>-1155</v>
      </c>
      <c r="L79" s="829"/>
      <c r="M79" s="832">
        <f>Geraetedaten!B111</f>
        <v>-750</v>
      </c>
      <c r="N79" s="833"/>
      <c r="O79" s="830"/>
      <c r="P79" s="831"/>
      <c r="Q79" s="814"/>
      <c r="R79" s="815"/>
      <c r="S79" s="379"/>
      <c r="T79" s="372"/>
      <c r="U79" s="372">
        <f>ABS(K79)</f>
        <v>1155</v>
      </c>
      <c r="X79" s="372"/>
      <c r="Y79" s="372"/>
      <c r="Z79" s="372"/>
      <c r="AA79" s="372"/>
      <c r="AB79" s="372"/>
    </row>
    <row r="80" spans="1:28" x14ac:dyDescent="0.25">
      <c r="A80" s="380"/>
      <c r="B80" s="378" t="s">
        <v>410</v>
      </c>
      <c r="C80" s="375"/>
      <c r="D80" s="375"/>
      <c r="E80" s="375"/>
      <c r="F80" s="375"/>
      <c r="G80" s="375"/>
      <c r="H80" s="375"/>
      <c r="I80" s="375"/>
      <c r="J80" s="383" t="s">
        <v>411</v>
      </c>
      <c r="K80" s="828">
        <f>Geraetedaten!L112</f>
        <v>1055</v>
      </c>
      <c r="L80" s="829"/>
      <c r="M80" s="832">
        <f>Geraetedaten!B112</f>
        <v>1055</v>
      </c>
      <c r="N80" s="833"/>
      <c r="O80" s="830"/>
      <c r="P80" s="831"/>
      <c r="Q80" s="814"/>
      <c r="R80" s="815"/>
      <c r="S80" s="379"/>
      <c r="T80" s="372"/>
      <c r="U80" s="372"/>
      <c r="X80" s="372"/>
      <c r="Y80" s="372"/>
      <c r="Z80" s="372"/>
      <c r="AA80" s="372"/>
      <c r="AB80" s="372"/>
    </row>
    <row r="81" spans="1:28" ht="4.5" customHeight="1" x14ac:dyDescent="0.25">
      <c r="A81" s="380"/>
      <c r="B81" s="378"/>
      <c r="C81" s="375"/>
      <c r="D81" s="375"/>
      <c r="E81" s="375"/>
      <c r="F81" s="375"/>
      <c r="G81" s="375"/>
      <c r="H81" s="375"/>
      <c r="I81" s="375"/>
      <c r="J81" s="384"/>
      <c r="K81" s="375"/>
      <c r="L81" s="378"/>
      <c r="M81" s="378"/>
      <c r="N81" s="378"/>
      <c r="O81" s="381"/>
      <c r="P81" s="378"/>
      <c r="Q81" s="378"/>
      <c r="R81" s="378"/>
      <c r="S81" s="379"/>
      <c r="T81" s="372"/>
      <c r="U81" s="372"/>
      <c r="X81" s="372"/>
      <c r="Y81" s="372"/>
      <c r="Z81" s="372"/>
      <c r="AA81" s="372"/>
      <c r="AB81" s="372"/>
    </row>
    <row r="82" spans="1:28" x14ac:dyDescent="0.25">
      <c r="A82" s="380"/>
      <c r="B82" s="378" t="s">
        <v>412</v>
      </c>
      <c r="C82" s="375"/>
      <c r="D82" s="375"/>
      <c r="E82" s="375"/>
      <c r="F82" s="375"/>
      <c r="G82" s="375"/>
      <c r="H82" s="375"/>
      <c r="I82" s="375"/>
      <c r="J82" s="383" t="s">
        <v>413</v>
      </c>
      <c r="K82" s="828">
        <f>Geraetedaten!L113</f>
        <v>-1155</v>
      </c>
      <c r="L82" s="829"/>
      <c r="M82" s="819">
        <f>Geraetedaten!B113</f>
        <v>-1075</v>
      </c>
      <c r="N82" s="820"/>
      <c r="O82" s="830"/>
      <c r="P82" s="831"/>
      <c r="Q82" s="814"/>
      <c r="R82" s="815"/>
      <c r="S82" s="379"/>
      <c r="T82" s="372"/>
      <c r="U82" s="372">
        <f>ABS(K82)</f>
        <v>1155</v>
      </c>
      <c r="X82" s="372"/>
      <c r="Y82" s="372"/>
      <c r="Z82" s="372"/>
      <c r="AA82" s="372"/>
      <c r="AB82" s="372"/>
    </row>
    <row r="83" spans="1:28" x14ac:dyDescent="0.25">
      <c r="A83" s="380"/>
      <c r="B83" s="378" t="s">
        <v>414</v>
      </c>
      <c r="C83" s="375"/>
      <c r="D83" s="375"/>
      <c r="E83" s="375"/>
      <c r="F83" s="375"/>
      <c r="G83" s="375"/>
      <c r="H83" s="375"/>
      <c r="I83" s="375"/>
      <c r="J83" s="383" t="s">
        <v>415</v>
      </c>
      <c r="K83" s="828">
        <f>Geraetedaten!L114</f>
        <v>4140</v>
      </c>
      <c r="L83" s="829"/>
      <c r="M83" s="819">
        <f>Geraetedaten!B114</f>
        <v>4140</v>
      </c>
      <c r="N83" s="820"/>
      <c r="O83" s="830"/>
      <c r="P83" s="831"/>
      <c r="Q83" s="814"/>
      <c r="R83" s="815"/>
      <c r="S83" s="379"/>
      <c r="T83" s="372"/>
      <c r="U83" s="372"/>
      <c r="X83" s="372"/>
      <c r="Y83" s="372"/>
      <c r="Z83" s="372"/>
      <c r="AA83" s="372"/>
      <c r="AB83" s="372"/>
    </row>
    <row r="84" spans="1:28" x14ac:dyDescent="0.25">
      <c r="A84" s="380"/>
      <c r="B84" s="378"/>
      <c r="C84" s="375"/>
      <c r="D84" s="375"/>
      <c r="E84" s="375"/>
      <c r="F84" s="375"/>
      <c r="G84" s="375"/>
      <c r="H84" s="375"/>
      <c r="I84" s="375"/>
      <c r="J84" s="384"/>
      <c r="K84" s="375"/>
      <c r="L84" s="378"/>
      <c r="M84" s="378"/>
      <c r="N84" s="378"/>
      <c r="O84" s="381"/>
      <c r="P84" s="378"/>
      <c r="Q84" s="378"/>
      <c r="R84" s="378"/>
      <c r="S84" s="379"/>
      <c r="T84" s="372"/>
      <c r="U84" s="372"/>
      <c r="V84" s="385" t="s">
        <v>612</v>
      </c>
      <c r="W84" s="385">
        <v>0.97</v>
      </c>
    </row>
    <row r="85" spans="1:28" x14ac:dyDescent="0.25">
      <c r="A85" s="380"/>
      <c r="B85" s="378" t="s">
        <v>416</v>
      </c>
      <c r="C85" s="375"/>
      <c r="D85" s="375"/>
      <c r="E85" s="375"/>
      <c r="F85" s="375"/>
      <c r="G85" s="375"/>
      <c r="H85" s="375"/>
      <c r="I85" s="375"/>
      <c r="J85" s="383" t="s">
        <v>417</v>
      </c>
      <c r="K85" s="828">
        <f>Geraetedaten!L116</f>
        <v>6128</v>
      </c>
      <c r="L85" s="829"/>
      <c r="M85" s="832">
        <f>Geraetedaten!B116</f>
        <v>6128</v>
      </c>
      <c r="N85" s="833"/>
      <c r="O85" s="830"/>
      <c r="P85" s="831"/>
      <c r="Q85" s="814"/>
      <c r="R85" s="815"/>
      <c r="S85" s="379"/>
      <c r="T85" s="372"/>
      <c r="U85" s="372"/>
      <c r="V85" s="386" t="s">
        <v>434</v>
      </c>
      <c r="W85" s="385">
        <v>1</v>
      </c>
    </row>
    <row r="86" spans="1:28" x14ac:dyDescent="0.25">
      <c r="A86" s="380"/>
      <c r="B86" s="378" t="s">
        <v>418</v>
      </c>
      <c r="C86" s="375"/>
      <c r="D86" s="375"/>
      <c r="E86" s="375"/>
      <c r="F86" s="375"/>
      <c r="G86" s="375"/>
      <c r="H86" s="375"/>
      <c r="I86" s="375"/>
      <c r="J86" s="383" t="s">
        <v>419</v>
      </c>
      <c r="K86" s="828">
        <f>Geraetedaten!L117</f>
        <v>1062</v>
      </c>
      <c r="L86" s="829"/>
      <c r="M86" s="832">
        <f>Geraetedaten!B117</f>
        <v>1062</v>
      </c>
      <c r="N86" s="833"/>
      <c r="O86" s="830"/>
      <c r="P86" s="831"/>
      <c r="Q86" s="814"/>
      <c r="R86" s="815"/>
      <c r="S86" s="379"/>
      <c r="T86" s="372"/>
      <c r="U86" s="372"/>
      <c r="V86" s="386" t="s">
        <v>613</v>
      </c>
      <c r="W86" s="385">
        <v>0.99</v>
      </c>
    </row>
    <row r="87" spans="1:28" ht="5.25" customHeight="1" x14ac:dyDescent="0.25">
      <c r="A87" s="380"/>
      <c r="B87" s="378"/>
      <c r="C87" s="375"/>
      <c r="D87" s="375"/>
      <c r="E87" s="375"/>
      <c r="F87" s="375"/>
      <c r="G87" s="375"/>
      <c r="H87" s="375"/>
      <c r="I87" s="375"/>
      <c r="J87" s="384"/>
      <c r="K87" s="375"/>
      <c r="L87" s="378"/>
      <c r="M87" s="378"/>
      <c r="N87" s="378"/>
      <c r="O87" s="381"/>
      <c r="P87" s="378"/>
      <c r="Q87" s="378"/>
      <c r="R87" s="378"/>
      <c r="S87" s="379"/>
      <c r="T87" s="372"/>
      <c r="U87" s="372"/>
      <c r="V87" s="386" t="s">
        <v>614</v>
      </c>
      <c r="W87" s="385">
        <v>1.22</v>
      </c>
    </row>
    <row r="88" spans="1:28" x14ac:dyDescent="0.25">
      <c r="A88" s="380"/>
      <c r="B88" s="378" t="s">
        <v>420</v>
      </c>
      <c r="C88" s="375"/>
      <c r="D88" s="375"/>
      <c r="E88" s="375"/>
      <c r="F88" s="375"/>
      <c r="G88" s="375"/>
      <c r="H88" s="375"/>
      <c r="I88" s="375"/>
      <c r="J88" s="383" t="s">
        <v>421</v>
      </c>
      <c r="K88" s="828">
        <f>Geraetedaten!L118</f>
        <v>6290</v>
      </c>
      <c r="L88" s="829"/>
      <c r="M88" s="819">
        <f>Geraetedaten!B118</f>
        <v>6290</v>
      </c>
      <c r="N88" s="820"/>
      <c r="O88" s="830"/>
      <c r="P88" s="831"/>
      <c r="Q88" s="814"/>
      <c r="R88" s="815"/>
      <c r="S88" s="379"/>
      <c r="T88" s="372"/>
      <c r="U88" s="372"/>
      <c r="V88" s="386" t="s">
        <v>640</v>
      </c>
      <c r="W88" s="385">
        <v>1.1000000000000001</v>
      </c>
    </row>
    <row r="89" spans="1:28" x14ac:dyDescent="0.25">
      <c r="A89" s="380"/>
      <c r="B89" s="378" t="s">
        <v>422</v>
      </c>
      <c r="C89" s="375"/>
      <c r="D89" s="375"/>
      <c r="E89" s="375"/>
      <c r="F89" s="375"/>
      <c r="G89" s="375"/>
      <c r="H89" s="375"/>
      <c r="I89" s="375"/>
      <c r="J89" s="383" t="s">
        <v>423</v>
      </c>
      <c r="K89" s="828">
        <f>Geraetedaten!L119</f>
        <v>4143</v>
      </c>
      <c r="L89" s="829"/>
      <c r="M89" s="819">
        <f>Geraetedaten!B119</f>
        <v>4143</v>
      </c>
      <c r="N89" s="820"/>
      <c r="O89" s="830"/>
      <c r="P89" s="831"/>
      <c r="Q89" s="814"/>
      <c r="R89" s="815"/>
      <c r="S89" s="379"/>
      <c r="T89" s="372"/>
      <c r="U89" s="372"/>
      <c r="V89" s="386" t="s">
        <v>612</v>
      </c>
      <c r="W89" s="385">
        <v>0.97</v>
      </c>
    </row>
    <row r="90" spans="1:28" ht="4.5" customHeight="1" x14ac:dyDescent="0.25">
      <c r="A90" s="380"/>
      <c r="B90" s="378"/>
      <c r="C90" s="375"/>
      <c r="D90" s="375"/>
      <c r="E90" s="375"/>
      <c r="F90" s="375"/>
      <c r="G90" s="375"/>
      <c r="H90" s="375"/>
      <c r="I90" s="375"/>
      <c r="J90" s="384"/>
      <c r="K90" s="375"/>
      <c r="L90" s="378"/>
      <c r="M90" s="378"/>
      <c r="N90" s="378"/>
      <c r="O90" s="381"/>
      <c r="P90" s="378"/>
      <c r="Q90" s="378"/>
      <c r="R90" s="378"/>
      <c r="S90" s="379"/>
      <c r="T90" s="372"/>
      <c r="U90" s="372"/>
      <c r="V90" s="386" t="s">
        <v>434</v>
      </c>
      <c r="W90" s="385">
        <v>1</v>
      </c>
      <c r="X90" s="385"/>
      <c r="Y90" s="385"/>
      <c r="Z90" s="385"/>
      <c r="AA90" s="385"/>
      <c r="AB90" s="385"/>
    </row>
    <row r="91" spans="1:28" x14ac:dyDescent="0.25">
      <c r="A91" s="380"/>
      <c r="B91" s="381" t="s">
        <v>641</v>
      </c>
      <c r="C91" s="378"/>
      <c r="D91" s="378"/>
      <c r="E91" s="378"/>
      <c r="F91" s="378"/>
      <c r="G91" s="378"/>
      <c r="H91" s="378"/>
      <c r="I91" s="378"/>
      <c r="J91" s="383" t="s">
        <v>424</v>
      </c>
      <c r="K91" s="387"/>
      <c r="L91" s="387"/>
      <c r="M91" s="819">
        <f>Geraetedaten!P134*10</f>
        <v>0</v>
      </c>
      <c r="N91" s="820"/>
      <c r="O91" s="388"/>
      <c r="P91" s="388"/>
      <c r="Q91" s="388"/>
      <c r="R91" s="378"/>
      <c r="S91" s="379"/>
      <c r="T91" s="372"/>
      <c r="U91" s="372"/>
      <c r="V91" s="386" t="s">
        <v>613</v>
      </c>
      <c r="W91" s="385">
        <v>0.99</v>
      </c>
      <c r="X91" s="385"/>
      <c r="Y91" s="385"/>
      <c r="Z91" s="385"/>
      <c r="AA91" s="385"/>
      <c r="AB91" s="385"/>
    </row>
    <row r="92" spans="1:28" ht="8.25" customHeight="1" x14ac:dyDescent="0.25">
      <c r="A92" s="380"/>
      <c r="B92" s="378"/>
      <c r="C92" s="375"/>
      <c r="D92" s="375"/>
      <c r="E92" s="375"/>
      <c r="F92" s="375"/>
      <c r="G92" s="375"/>
      <c r="H92" s="375"/>
      <c r="I92" s="375"/>
      <c r="J92" s="382"/>
      <c r="K92" s="375"/>
      <c r="L92" s="378"/>
      <c r="M92" s="378"/>
      <c r="N92" s="378"/>
      <c r="O92" s="378"/>
      <c r="P92" s="378"/>
      <c r="Q92" s="378"/>
      <c r="R92" s="378"/>
      <c r="S92" s="379"/>
      <c r="T92" s="372"/>
      <c r="U92" s="372"/>
      <c r="V92" s="386" t="s">
        <v>614</v>
      </c>
      <c r="W92" s="385">
        <v>1.22</v>
      </c>
      <c r="X92" s="385"/>
      <c r="Y92" s="385"/>
      <c r="Z92" s="385"/>
      <c r="AA92" s="385"/>
      <c r="AB92" s="385"/>
    </row>
    <row r="93" spans="1:28" hidden="1" x14ac:dyDescent="0.25">
      <c r="A93" s="380"/>
      <c r="B93" s="378" t="s">
        <v>312</v>
      </c>
      <c r="C93" s="375"/>
      <c r="D93" s="375"/>
      <c r="E93" s="375"/>
      <c r="F93" s="375"/>
      <c r="G93" s="375"/>
      <c r="H93" s="375"/>
      <c r="I93" s="375" t="s">
        <v>425</v>
      </c>
      <c r="J93" s="382"/>
      <c r="K93" s="821" t="e">
        <f>Eingabewerte!#REF!</f>
        <v>#REF!</v>
      </c>
      <c r="L93" s="822"/>
      <c r="M93" s="822"/>
      <c r="N93" s="823"/>
      <c r="O93" s="378"/>
      <c r="P93" s="378"/>
      <c r="Q93" s="378"/>
      <c r="R93" s="378"/>
      <c r="S93" s="379"/>
      <c r="T93" s="372"/>
      <c r="U93" s="372"/>
      <c r="V93" s="386" t="s">
        <v>640</v>
      </c>
      <c r="W93" s="385">
        <v>1.1000000000000001</v>
      </c>
      <c r="X93" s="385"/>
      <c r="Y93" s="385"/>
      <c r="Z93" s="385"/>
      <c r="AA93" s="385"/>
      <c r="AB93" s="385"/>
    </row>
    <row r="94" spans="1:28" hidden="1" x14ac:dyDescent="0.25">
      <c r="A94" s="380"/>
      <c r="B94" s="378" t="s">
        <v>426</v>
      </c>
      <c r="C94" s="375"/>
      <c r="D94" s="375"/>
      <c r="E94" s="375"/>
      <c r="F94" s="375"/>
      <c r="G94" s="375"/>
      <c r="H94" s="375"/>
      <c r="I94" s="375"/>
      <c r="J94" s="382"/>
      <c r="K94" s="885">
        <v>0.95</v>
      </c>
      <c r="L94" s="886"/>
      <c r="M94" s="886"/>
      <c r="N94" s="887"/>
      <c r="O94" s="378"/>
      <c r="P94" s="378"/>
      <c r="Q94" s="378"/>
      <c r="R94" s="378"/>
      <c r="S94" s="379"/>
      <c r="T94" s="372"/>
      <c r="U94" s="372"/>
      <c r="V94" s="386" t="s">
        <v>500</v>
      </c>
      <c r="W94" s="385">
        <v>1</v>
      </c>
      <c r="X94" s="385"/>
      <c r="Y94" s="385"/>
      <c r="Z94" s="385"/>
      <c r="AA94" s="385"/>
      <c r="AB94" s="385"/>
    </row>
    <row r="95" spans="1:28" hidden="1" x14ac:dyDescent="0.25">
      <c r="A95" s="380"/>
      <c r="B95" s="378" t="s">
        <v>427</v>
      </c>
      <c r="C95" s="375"/>
      <c r="D95" s="375"/>
      <c r="E95" s="375"/>
      <c r="F95" s="375"/>
      <c r="G95" s="375"/>
      <c r="H95" s="375"/>
      <c r="I95" s="375"/>
      <c r="J95" s="382"/>
      <c r="K95" s="888" t="e">
        <f>VLOOKUP(Eingabewerte!#REF!,V84:W101,2,0)</f>
        <v>#REF!</v>
      </c>
      <c r="L95" s="889"/>
      <c r="M95" s="889"/>
      <c r="N95" s="890"/>
      <c r="O95" s="378"/>
      <c r="P95" s="378"/>
      <c r="Q95" s="378"/>
      <c r="R95" s="378"/>
      <c r="S95" s="379"/>
      <c r="T95" s="372"/>
      <c r="U95" s="372"/>
      <c r="V95" s="386" t="s">
        <v>508</v>
      </c>
      <c r="W95" s="385">
        <v>0.98</v>
      </c>
      <c r="X95" s="385"/>
      <c r="Y95" s="385"/>
      <c r="Z95" s="385"/>
      <c r="AA95" s="385"/>
      <c r="AB95" s="385"/>
    </row>
    <row r="96" spans="1:28" hidden="1" x14ac:dyDescent="0.25">
      <c r="A96" s="380"/>
      <c r="B96" s="378" t="s">
        <v>428</v>
      </c>
      <c r="C96" s="375"/>
      <c r="D96" s="375"/>
      <c r="E96" s="375"/>
      <c r="F96" s="375"/>
      <c r="G96" s="375"/>
      <c r="H96" s="375"/>
      <c r="I96" s="375"/>
      <c r="J96" s="382"/>
      <c r="K96" s="821">
        <f>Eingabewerte!D22</f>
        <v>405</v>
      </c>
      <c r="L96" s="822"/>
      <c r="M96" s="822"/>
      <c r="N96" s="823"/>
      <c r="O96" s="378"/>
      <c r="P96" s="378"/>
      <c r="Q96" s="378"/>
      <c r="R96" s="378"/>
      <c r="S96" s="379"/>
      <c r="T96" s="372"/>
      <c r="U96" s="372"/>
      <c r="V96" s="386" t="s">
        <v>545</v>
      </c>
      <c r="W96" s="385">
        <v>1</v>
      </c>
      <c r="X96" s="385"/>
      <c r="Y96" s="385"/>
      <c r="Z96" s="385"/>
      <c r="AA96" s="385"/>
      <c r="AB96" s="385"/>
    </row>
    <row r="97" spans="1:28" ht="6" customHeight="1" x14ac:dyDescent="0.25">
      <c r="A97" s="380"/>
      <c r="B97" s="378"/>
      <c r="C97" s="378"/>
      <c r="D97" s="378"/>
      <c r="E97" s="378"/>
      <c r="F97" s="378"/>
      <c r="G97" s="378"/>
      <c r="H97" s="378"/>
      <c r="I97" s="378"/>
      <c r="J97" s="382"/>
      <c r="K97" s="378"/>
      <c r="L97" s="378"/>
      <c r="M97" s="378"/>
      <c r="N97" s="378"/>
      <c r="O97" s="378"/>
      <c r="P97" s="378"/>
      <c r="Q97" s="378"/>
      <c r="R97" s="378"/>
      <c r="S97" s="379"/>
      <c r="T97" s="372"/>
      <c r="U97" s="372"/>
      <c r="V97" s="386" t="s">
        <v>546</v>
      </c>
      <c r="W97" s="385">
        <v>1</v>
      </c>
      <c r="X97" s="385"/>
      <c r="Y97" s="385"/>
      <c r="Z97" s="385"/>
      <c r="AA97" s="385"/>
      <c r="AB97" s="385"/>
    </row>
    <row r="98" spans="1:28" x14ac:dyDescent="0.25">
      <c r="A98" s="380"/>
      <c r="B98" s="378" t="s">
        <v>119</v>
      </c>
      <c r="C98" s="378"/>
      <c r="D98" s="378"/>
      <c r="E98" s="378"/>
      <c r="F98" s="378"/>
      <c r="G98" s="378"/>
      <c r="H98" s="378"/>
      <c r="I98" s="378"/>
      <c r="J98" s="384" t="s">
        <v>486</v>
      </c>
      <c r="K98" s="387"/>
      <c r="L98" s="387"/>
      <c r="M98" s="819">
        <f>Geraetedaten!Z41*9.81/100</f>
        <v>1227.6834799999999</v>
      </c>
      <c r="N98" s="820"/>
      <c r="O98" s="381"/>
      <c r="P98" s="381"/>
      <c r="Q98" s="814"/>
      <c r="R98" s="815"/>
      <c r="S98" s="379"/>
      <c r="T98" s="372"/>
      <c r="U98" s="372"/>
      <c r="V98" s="386" t="s">
        <v>435</v>
      </c>
      <c r="W98" s="385">
        <v>1</v>
      </c>
      <c r="X98" s="385"/>
      <c r="Y98" s="385"/>
      <c r="Z98" s="385"/>
      <c r="AA98" s="385"/>
      <c r="AB98" s="385"/>
    </row>
    <row r="99" spans="1:28" x14ac:dyDescent="0.25">
      <c r="A99" s="380"/>
      <c r="B99" s="381" t="s">
        <v>442</v>
      </c>
      <c r="C99" s="378"/>
      <c r="D99" s="378"/>
      <c r="E99" s="378"/>
      <c r="F99" s="378"/>
      <c r="G99" s="378"/>
      <c r="H99" s="378"/>
      <c r="I99" s="378"/>
      <c r="J99" s="384" t="s">
        <v>487</v>
      </c>
      <c r="K99" s="387"/>
      <c r="L99" s="387"/>
      <c r="M99" s="819">
        <f>Geraetedaten!Z42</f>
        <v>4641.244606905183</v>
      </c>
      <c r="N99" s="820"/>
      <c r="O99" s="381"/>
      <c r="P99" s="381"/>
      <c r="Q99" s="814"/>
      <c r="R99" s="815"/>
      <c r="S99" s="379"/>
      <c r="T99" s="372"/>
      <c r="U99" s="372"/>
      <c r="V99" s="386" t="s">
        <v>507</v>
      </c>
      <c r="W99" s="385">
        <v>1</v>
      </c>
      <c r="X99" s="385"/>
      <c r="Y99" s="385"/>
      <c r="Z99" s="385"/>
      <c r="AA99" s="385"/>
      <c r="AB99" s="385"/>
    </row>
    <row r="100" spans="1:28" x14ac:dyDescent="0.25">
      <c r="A100" s="380"/>
      <c r="B100" s="381" t="s">
        <v>443</v>
      </c>
      <c r="C100" s="378"/>
      <c r="D100" s="378"/>
      <c r="E100" s="378"/>
      <c r="F100" s="378"/>
      <c r="G100" s="378"/>
      <c r="H100" s="378"/>
      <c r="I100" s="378"/>
      <c r="J100" s="384" t="s">
        <v>488</v>
      </c>
      <c r="K100" s="387"/>
      <c r="L100" s="387"/>
      <c r="M100" s="819">
        <f>Geraetedaten!B86</f>
        <v>-33.057238032144035</v>
      </c>
      <c r="N100" s="820"/>
      <c r="O100" s="381"/>
      <c r="P100" s="381"/>
      <c r="Q100" s="814"/>
      <c r="R100" s="815"/>
      <c r="S100" s="379"/>
      <c r="T100" s="372"/>
      <c r="U100" s="372"/>
      <c r="V100" s="385" t="s">
        <v>436</v>
      </c>
      <c r="W100" s="385">
        <v>1</v>
      </c>
      <c r="X100" s="385"/>
      <c r="Y100" s="385"/>
      <c r="Z100" s="385"/>
      <c r="AA100" s="385"/>
      <c r="AB100" s="385"/>
    </row>
    <row r="101" spans="1:28" ht="6" customHeight="1" x14ac:dyDescent="0.25">
      <c r="A101" s="380"/>
      <c r="B101" s="389"/>
      <c r="C101" s="378"/>
      <c r="D101" s="378"/>
      <c r="E101" s="378"/>
      <c r="F101" s="378"/>
      <c r="G101" s="378"/>
      <c r="H101" s="378"/>
      <c r="I101" s="378"/>
      <c r="J101" s="384"/>
      <c r="K101" s="387"/>
      <c r="L101" s="387"/>
      <c r="M101" s="378"/>
      <c r="N101" s="378"/>
      <c r="O101" s="381"/>
      <c r="P101" s="381"/>
      <c r="Q101" s="381"/>
      <c r="R101" s="378"/>
      <c r="S101" s="379"/>
      <c r="T101" s="372"/>
      <c r="U101" s="372"/>
      <c r="V101" s="385" t="s">
        <v>437</v>
      </c>
      <c r="W101" s="385">
        <v>1</v>
      </c>
      <c r="X101" s="385"/>
      <c r="Y101" s="385"/>
      <c r="Z101" s="385"/>
      <c r="AA101" s="385"/>
      <c r="AB101" s="385"/>
    </row>
    <row r="102" spans="1:28" x14ac:dyDescent="0.25">
      <c r="A102" s="380"/>
      <c r="B102" s="381" t="s">
        <v>579</v>
      </c>
      <c r="C102" s="378"/>
      <c r="D102" s="378"/>
      <c r="E102" s="378"/>
      <c r="F102" s="378"/>
      <c r="G102" s="378"/>
      <c r="H102" s="378"/>
      <c r="I102" s="378"/>
      <c r="J102" s="384" t="s">
        <v>489</v>
      </c>
      <c r="K102" s="387"/>
      <c r="L102" s="387"/>
      <c r="M102" s="819">
        <f>Geraetedaten!B141*9.81/100</f>
        <v>886.45</v>
      </c>
      <c r="N102" s="820"/>
      <c r="O102" s="381"/>
      <c r="P102" s="381"/>
      <c r="Q102" s="381"/>
      <c r="R102" s="378"/>
      <c r="S102" s="379"/>
      <c r="T102" s="372"/>
      <c r="U102" s="372"/>
      <c r="V102" s="385"/>
      <c r="W102" s="385"/>
      <c r="X102" s="385"/>
      <c r="Y102" s="385"/>
      <c r="Z102" s="385"/>
      <c r="AA102" s="385"/>
      <c r="AB102" s="385"/>
    </row>
    <row r="103" spans="1:28" x14ac:dyDescent="0.25">
      <c r="A103" s="380"/>
      <c r="B103" s="381" t="s">
        <v>594</v>
      </c>
      <c r="C103" s="378"/>
      <c r="D103" s="378"/>
      <c r="E103" s="378"/>
      <c r="F103" s="378"/>
      <c r="G103" s="378"/>
      <c r="H103" s="378"/>
      <c r="I103" s="378"/>
      <c r="J103" s="384" t="s">
        <v>681</v>
      </c>
      <c r="K103" s="387"/>
      <c r="L103" s="387"/>
      <c r="M103" s="819">
        <v>-92</v>
      </c>
      <c r="N103" s="820"/>
      <c r="O103" s="381"/>
      <c r="P103" s="381"/>
      <c r="Q103" s="381"/>
      <c r="R103" s="390"/>
      <c r="S103" s="391"/>
      <c r="T103" s="372"/>
      <c r="U103" s="372"/>
      <c r="V103" s="385"/>
      <c r="W103" s="385"/>
      <c r="X103" s="385"/>
      <c r="Y103" s="385"/>
      <c r="Z103" s="385"/>
      <c r="AA103" s="385"/>
      <c r="AB103" s="385"/>
    </row>
    <row r="104" spans="1:28" ht="5.25" customHeight="1" x14ac:dyDescent="0.25">
      <c r="A104" s="380"/>
      <c r="B104" s="381"/>
      <c r="C104" s="378"/>
      <c r="D104" s="378"/>
      <c r="E104" s="378"/>
      <c r="F104" s="378"/>
      <c r="G104" s="378"/>
      <c r="H104" s="378"/>
      <c r="I104" s="378"/>
      <c r="J104" s="384"/>
      <c r="K104" s="387"/>
      <c r="L104" s="387"/>
      <c r="M104" s="378"/>
      <c r="N104" s="378"/>
      <c r="O104" s="381"/>
      <c r="P104" s="381"/>
      <c r="Q104" s="381"/>
      <c r="R104" s="390"/>
      <c r="S104" s="391"/>
      <c r="T104" s="372"/>
      <c r="U104" s="372"/>
      <c r="V104" s="385"/>
      <c r="W104" s="385"/>
      <c r="X104" s="385"/>
      <c r="Y104" s="385"/>
      <c r="Z104" s="385"/>
      <c r="AA104" s="385"/>
      <c r="AB104" s="385"/>
    </row>
    <row r="105" spans="1:28" x14ac:dyDescent="0.25">
      <c r="A105" s="380"/>
      <c r="B105" s="381" t="s">
        <v>497</v>
      </c>
      <c r="C105" s="378"/>
      <c r="D105" s="378"/>
      <c r="E105" s="378"/>
      <c r="F105" s="378"/>
      <c r="G105" s="378"/>
      <c r="H105" s="378"/>
      <c r="I105" s="378"/>
      <c r="J105" s="384" t="s">
        <v>682</v>
      </c>
      <c r="K105" s="387"/>
      <c r="L105" s="387"/>
      <c r="M105" s="819">
        <f>Eingabewerte!D12*9.81/100</f>
        <v>662.17499999999995</v>
      </c>
      <c r="N105" s="820"/>
      <c r="O105" s="381"/>
      <c r="P105" s="381"/>
      <c r="Q105" s="884"/>
      <c r="R105" s="884"/>
      <c r="S105" s="379"/>
      <c r="T105" s="372"/>
      <c r="U105" s="372"/>
      <c r="V105" s="385"/>
      <c r="W105" s="385"/>
      <c r="X105" s="385"/>
      <c r="Y105" s="385"/>
      <c r="Z105" s="385"/>
      <c r="AA105" s="385"/>
      <c r="AB105" s="385"/>
    </row>
    <row r="106" spans="1:28" ht="6.75" customHeight="1" x14ac:dyDescent="0.25">
      <c r="A106" s="380"/>
      <c r="B106" s="389"/>
      <c r="C106" s="378"/>
      <c r="D106" s="378"/>
      <c r="E106" s="378"/>
      <c r="F106" s="378"/>
      <c r="G106" s="378"/>
      <c r="H106" s="378"/>
      <c r="I106" s="378"/>
      <c r="J106" s="384"/>
      <c r="K106" s="387"/>
      <c r="L106" s="387"/>
      <c r="M106" s="378"/>
      <c r="N106" s="378"/>
      <c r="O106" s="381"/>
      <c r="P106" s="381"/>
      <c r="Q106" s="884"/>
      <c r="R106" s="884"/>
      <c r="S106" s="379"/>
      <c r="T106" s="372"/>
      <c r="U106" s="372"/>
      <c r="V106" s="385"/>
      <c r="W106" s="385"/>
      <c r="X106" s="385"/>
      <c r="Y106" s="385"/>
      <c r="Z106" s="385"/>
      <c r="AA106" s="385"/>
      <c r="AB106" s="385"/>
    </row>
    <row r="107" spans="1:28" x14ac:dyDescent="0.25">
      <c r="A107" s="380"/>
      <c r="B107" s="381" t="s">
        <v>438</v>
      </c>
      <c r="C107" s="378"/>
      <c r="D107" s="378"/>
      <c r="E107" s="378"/>
      <c r="F107" s="378"/>
      <c r="G107" s="378"/>
      <c r="H107" s="378"/>
      <c r="I107" s="378"/>
      <c r="J107" s="384" t="s">
        <v>490</v>
      </c>
      <c r="K107" s="387"/>
      <c r="L107" s="387"/>
      <c r="M107" s="819">
        <f>Geraetedaten!B35*9.81/100</f>
        <v>76.518000000000001</v>
      </c>
      <c r="N107" s="820"/>
      <c r="O107" s="381"/>
      <c r="P107" s="381"/>
      <c r="Q107" s="884"/>
      <c r="R107" s="884"/>
      <c r="S107" s="379"/>
      <c r="T107" s="372"/>
      <c r="U107" s="372"/>
      <c r="V107" s="385" t="s">
        <v>531</v>
      </c>
      <c r="W107" s="385" t="s">
        <v>532</v>
      </c>
      <c r="X107" s="385"/>
      <c r="Y107" s="386" t="s">
        <v>542</v>
      </c>
      <c r="Z107" s="386" t="s">
        <v>542</v>
      </c>
      <c r="AA107" s="385"/>
      <c r="AB107" s="385"/>
    </row>
    <row r="108" spans="1:28" x14ac:dyDescent="0.25">
      <c r="A108" s="380"/>
      <c r="B108" s="381" t="s">
        <v>494</v>
      </c>
      <c r="C108" s="378"/>
      <c r="D108" s="378"/>
      <c r="E108" s="378"/>
      <c r="F108" s="378"/>
      <c r="G108" s="378"/>
      <c r="H108" s="378"/>
      <c r="I108" s="378"/>
      <c r="J108" s="384" t="s">
        <v>598</v>
      </c>
      <c r="K108" s="387"/>
      <c r="L108" s="387"/>
      <c r="M108" s="819">
        <f>IF(Eingabewerte!$M$49=1,Standversuch!W108,Standversuch!V108)</f>
        <v>0</v>
      </c>
      <c r="N108" s="820"/>
      <c r="O108" s="381"/>
      <c r="P108" s="381"/>
      <c r="Q108" s="381"/>
      <c r="R108" s="378"/>
      <c r="S108" s="379"/>
      <c r="T108" s="372"/>
      <c r="U108" s="372"/>
      <c r="V108" s="392">
        <v>0</v>
      </c>
      <c r="W108" s="392">
        <v>0</v>
      </c>
      <c r="X108" s="385"/>
      <c r="Y108" s="386" t="s">
        <v>543</v>
      </c>
      <c r="Z108" s="386" t="s">
        <v>543</v>
      </c>
      <c r="AA108" s="385"/>
      <c r="AB108" s="385"/>
    </row>
    <row r="109" spans="1:28" x14ac:dyDescent="0.25">
      <c r="A109" s="380"/>
      <c r="B109" s="381" t="s">
        <v>495</v>
      </c>
      <c r="C109" s="378"/>
      <c r="D109" s="378"/>
      <c r="E109" s="378"/>
      <c r="F109" s="378"/>
      <c r="G109" s="378"/>
      <c r="H109" s="378"/>
      <c r="I109" s="378"/>
      <c r="J109" s="384" t="s">
        <v>599</v>
      </c>
      <c r="K109" s="387"/>
      <c r="L109" s="387"/>
      <c r="M109" s="819">
        <f>IF(Eingabewerte!$M$49=1,Standversuch!W109,Standversuch!V109)</f>
        <v>680</v>
      </c>
      <c r="N109" s="820"/>
      <c r="O109" s="381"/>
      <c r="P109" s="381"/>
      <c r="Q109" s="381"/>
      <c r="R109" s="378"/>
      <c r="S109" s="379"/>
      <c r="T109" s="372"/>
      <c r="U109" s="372"/>
      <c r="V109" s="392">
        <v>680</v>
      </c>
      <c r="W109" s="392">
        <v>680</v>
      </c>
      <c r="X109" s="385"/>
      <c r="Y109" s="386" t="s">
        <v>544</v>
      </c>
      <c r="Z109" s="386" t="s">
        <v>544</v>
      </c>
      <c r="AA109" s="385"/>
      <c r="AB109" s="385"/>
    </row>
    <row r="110" spans="1:28" ht="5.25" customHeight="1" x14ac:dyDescent="0.25">
      <c r="A110" s="380"/>
      <c r="B110" s="389"/>
      <c r="C110" s="378"/>
      <c r="D110" s="378"/>
      <c r="E110" s="378"/>
      <c r="F110" s="378"/>
      <c r="G110" s="378"/>
      <c r="H110" s="378"/>
      <c r="I110" s="378"/>
      <c r="J110" s="384"/>
      <c r="K110" s="387"/>
      <c r="L110" s="387"/>
      <c r="M110" s="378"/>
      <c r="N110" s="378"/>
      <c r="O110" s="381"/>
      <c r="P110" s="381"/>
      <c r="Q110" s="381"/>
      <c r="R110" s="378"/>
      <c r="S110" s="379"/>
      <c r="T110" s="372"/>
      <c r="U110" s="372"/>
      <c r="V110" s="385"/>
      <c r="W110" s="385"/>
      <c r="X110" s="385"/>
      <c r="Y110" s="386" t="s">
        <v>45</v>
      </c>
      <c r="Z110" s="386" t="s">
        <v>45</v>
      </c>
      <c r="AA110" s="385"/>
      <c r="AB110" s="385"/>
    </row>
    <row r="111" spans="1:28" x14ac:dyDescent="0.25">
      <c r="A111" s="380"/>
      <c r="B111" s="381" t="s">
        <v>439</v>
      </c>
      <c r="C111" s="378"/>
      <c r="D111" s="378"/>
      <c r="E111" s="378"/>
      <c r="F111" s="378"/>
      <c r="G111" s="378"/>
      <c r="H111" s="378"/>
      <c r="I111" s="378"/>
      <c r="J111" s="384" t="s">
        <v>491</v>
      </c>
      <c r="K111" s="387"/>
      <c r="L111" s="387"/>
      <c r="M111" s="819">
        <f>Geraetedaten!B37*9.81/200</f>
        <v>76.518000000000001</v>
      </c>
      <c r="N111" s="820"/>
      <c r="O111" s="381"/>
      <c r="P111" s="381"/>
      <c r="Q111" s="381"/>
      <c r="R111" s="378"/>
      <c r="S111" s="379"/>
      <c r="T111" s="372"/>
      <c r="U111" s="372"/>
      <c r="V111" s="385"/>
      <c r="W111" s="385"/>
      <c r="X111" s="385"/>
      <c r="Y111" s="386" t="s">
        <v>363</v>
      </c>
      <c r="Z111" s="385" t="str">
        <f>Eingabewerte!D41</f>
        <v>Volvo FMX 430</v>
      </c>
      <c r="AA111" s="385"/>
      <c r="AB111" s="385"/>
    </row>
    <row r="112" spans="1:28" x14ac:dyDescent="0.25">
      <c r="A112" s="380"/>
      <c r="B112" s="381" t="s">
        <v>494</v>
      </c>
      <c r="C112" s="378"/>
      <c r="D112" s="378"/>
      <c r="E112" s="378"/>
      <c r="F112" s="378"/>
      <c r="G112" s="378"/>
      <c r="H112" s="378"/>
      <c r="I112" s="378"/>
      <c r="J112" s="384" t="s">
        <v>600</v>
      </c>
      <c r="K112" s="387"/>
      <c r="L112" s="387"/>
      <c r="M112" s="819">
        <f>IF(Eingabewerte!$M$49=1,Standversuch!W112,Standversuch!V112)</f>
        <v>0</v>
      </c>
      <c r="N112" s="820"/>
      <c r="O112" s="381"/>
      <c r="P112" s="381"/>
      <c r="Q112" s="381"/>
      <c r="R112" s="378"/>
      <c r="S112" s="379"/>
      <c r="T112" s="372"/>
      <c r="U112" s="372"/>
      <c r="V112" s="392">
        <v>0</v>
      </c>
      <c r="W112" s="392">
        <v>0</v>
      </c>
      <c r="X112" s="385"/>
      <c r="Y112" s="385"/>
      <c r="Z112" s="385"/>
      <c r="AA112" s="385"/>
      <c r="AB112" s="385"/>
    </row>
    <row r="113" spans="1:28" x14ac:dyDescent="0.25">
      <c r="A113" s="380"/>
      <c r="B113" s="381" t="s">
        <v>495</v>
      </c>
      <c r="C113" s="378"/>
      <c r="D113" s="378"/>
      <c r="E113" s="378"/>
      <c r="F113" s="378"/>
      <c r="G113" s="378"/>
      <c r="H113" s="378"/>
      <c r="I113" s="378"/>
      <c r="J113" s="384" t="s">
        <v>601</v>
      </c>
      <c r="K113" s="387"/>
      <c r="L113" s="387"/>
      <c r="M113" s="819">
        <f>IF(Eingabewerte!$M$49=1,Standversuch!W113,Standversuch!V113)</f>
        <v>680</v>
      </c>
      <c r="N113" s="820"/>
      <c r="O113" s="381"/>
      <c r="P113" s="381"/>
      <c r="Q113" s="381"/>
      <c r="R113" s="378"/>
      <c r="S113" s="379"/>
      <c r="T113" s="372"/>
      <c r="U113" s="372"/>
      <c r="V113" s="392">
        <v>680</v>
      </c>
      <c r="W113" s="392">
        <v>680</v>
      </c>
      <c r="X113" s="385"/>
      <c r="Y113" s="385"/>
      <c r="Z113" s="385"/>
      <c r="AA113" s="385"/>
      <c r="AB113" s="385"/>
    </row>
    <row r="114" spans="1:28" ht="5.25" customHeight="1" x14ac:dyDescent="0.25">
      <c r="A114" s="380"/>
      <c r="B114" s="389"/>
      <c r="C114" s="378"/>
      <c r="D114" s="378"/>
      <c r="E114" s="378"/>
      <c r="F114" s="378"/>
      <c r="G114" s="378"/>
      <c r="H114" s="378"/>
      <c r="I114" s="378"/>
      <c r="J114" s="384"/>
      <c r="K114" s="387"/>
      <c r="L114" s="387"/>
      <c r="M114" s="378"/>
      <c r="N114" s="378"/>
      <c r="O114" s="381"/>
      <c r="P114" s="381"/>
      <c r="Q114" s="381"/>
      <c r="R114" s="378"/>
      <c r="S114" s="379"/>
      <c r="T114" s="372"/>
      <c r="U114" s="372"/>
      <c r="V114" s="385"/>
      <c r="W114" s="385"/>
      <c r="X114" s="385"/>
      <c r="Y114" s="385"/>
      <c r="Z114" s="385"/>
      <c r="AA114" s="385"/>
      <c r="AB114" s="385"/>
    </row>
    <row r="115" spans="1:28" x14ac:dyDescent="0.25">
      <c r="A115" s="380"/>
      <c r="B115" s="381" t="s">
        <v>441</v>
      </c>
      <c r="C115" s="378"/>
      <c r="D115" s="378"/>
      <c r="E115" s="378"/>
      <c r="F115" s="378"/>
      <c r="G115" s="378"/>
      <c r="H115" s="378"/>
      <c r="I115" s="378"/>
      <c r="J115" s="384" t="s">
        <v>492</v>
      </c>
      <c r="K115" s="387"/>
      <c r="L115" s="387"/>
      <c r="M115" s="819">
        <f>Geraetedaten!B37*9.81/200</f>
        <v>76.518000000000001</v>
      </c>
      <c r="N115" s="820"/>
      <c r="O115" s="381"/>
      <c r="P115" s="381"/>
      <c r="Q115" s="381"/>
      <c r="R115" s="378"/>
      <c r="S115" s="379"/>
      <c r="T115" s="372"/>
      <c r="U115" s="372"/>
      <c r="V115" s="385"/>
      <c r="W115" s="385"/>
      <c r="X115" s="385"/>
      <c r="Y115" s="385"/>
      <c r="Z115" s="385"/>
      <c r="AA115" s="385"/>
      <c r="AB115" s="385"/>
    </row>
    <row r="116" spans="1:28" x14ac:dyDescent="0.25">
      <c r="A116" s="380"/>
      <c r="B116" s="381" t="s">
        <v>494</v>
      </c>
      <c r="C116" s="378"/>
      <c r="D116" s="378"/>
      <c r="E116" s="378"/>
      <c r="F116" s="378"/>
      <c r="G116" s="378"/>
      <c r="H116" s="378"/>
      <c r="I116" s="378"/>
      <c r="J116" s="384" t="s">
        <v>602</v>
      </c>
      <c r="K116" s="387"/>
      <c r="L116" s="387"/>
      <c r="M116" s="819">
        <f>IF(Eingabewerte!$M$49=1,Standversuch!W116,Standversuch!V116)</f>
        <v>0</v>
      </c>
      <c r="N116" s="820"/>
      <c r="O116" s="381"/>
      <c r="P116" s="381"/>
      <c r="Q116" s="381"/>
      <c r="R116" s="378"/>
      <c r="S116" s="379"/>
      <c r="T116" s="372"/>
      <c r="U116" s="372"/>
      <c r="V116" s="392">
        <v>0</v>
      </c>
      <c r="W116" s="392">
        <v>0</v>
      </c>
      <c r="X116" s="385"/>
      <c r="Y116" s="385"/>
      <c r="Z116" s="385"/>
      <c r="AA116" s="385"/>
      <c r="AB116" s="385"/>
    </row>
    <row r="117" spans="1:28" x14ac:dyDescent="0.25">
      <c r="A117" s="380"/>
      <c r="B117" s="381" t="s">
        <v>495</v>
      </c>
      <c r="C117" s="378"/>
      <c r="D117" s="378"/>
      <c r="E117" s="378"/>
      <c r="F117" s="378"/>
      <c r="G117" s="378"/>
      <c r="H117" s="378"/>
      <c r="I117" s="378"/>
      <c r="J117" s="384" t="s">
        <v>603</v>
      </c>
      <c r="K117" s="387"/>
      <c r="L117" s="387"/>
      <c r="M117" s="819">
        <f>IF(Eingabewerte!$M$49=1,Standversuch!W117,Standversuch!V117)</f>
        <v>-680</v>
      </c>
      <c r="N117" s="820"/>
      <c r="O117" s="381"/>
      <c r="P117" s="381"/>
      <c r="Q117" s="381"/>
      <c r="R117" s="378"/>
      <c r="S117" s="379"/>
      <c r="T117" s="372"/>
      <c r="U117" s="372"/>
      <c r="V117" s="392">
        <v>-680</v>
      </c>
      <c r="W117" s="392">
        <v>-680</v>
      </c>
      <c r="X117" s="385"/>
      <c r="Y117" s="385"/>
      <c r="Z117" s="385"/>
      <c r="AA117" s="385"/>
      <c r="AB117" s="385"/>
    </row>
    <row r="118" spans="1:28" ht="6.75" customHeight="1" x14ac:dyDescent="0.25">
      <c r="A118" s="380"/>
      <c r="B118" s="389"/>
      <c r="C118" s="378"/>
      <c r="D118" s="378"/>
      <c r="E118" s="378"/>
      <c r="F118" s="378"/>
      <c r="G118" s="378"/>
      <c r="H118" s="378"/>
      <c r="I118" s="378"/>
      <c r="J118" s="384"/>
      <c r="K118" s="387"/>
      <c r="L118" s="387"/>
      <c r="M118" s="378"/>
      <c r="N118" s="378"/>
      <c r="O118" s="381"/>
      <c r="P118" s="381"/>
      <c r="Q118" s="381"/>
      <c r="R118" s="378"/>
      <c r="S118" s="379"/>
      <c r="T118" s="372"/>
      <c r="U118" s="372"/>
      <c r="V118" s="385"/>
      <c r="W118" s="385"/>
      <c r="X118" s="385"/>
      <c r="Y118" s="385"/>
      <c r="Z118" s="385"/>
      <c r="AA118" s="385"/>
      <c r="AB118" s="385"/>
    </row>
    <row r="119" spans="1:28" x14ac:dyDescent="0.25">
      <c r="A119" s="380"/>
      <c r="B119" s="381" t="s">
        <v>440</v>
      </c>
      <c r="C119" s="378"/>
      <c r="D119" s="378"/>
      <c r="E119" s="378"/>
      <c r="F119" s="378"/>
      <c r="G119" s="378"/>
      <c r="H119" s="378"/>
      <c r="I119" s="378"/>
      <c r="J119" s="384" t="s">
        <v>493</v>
      </c>
      <c r="K119" s="387"/>
      <c r="L119" s="387"/>
      <c r="M119" s="819">
        <f>Geraetedaten!B36*9.81/100</f>
        <v>76.518000000000001</v>
      </c>
      <c r="N119" s="820"/>
      <c r="O119" s="381"/>
      <c r="P119" s="381"/>
      <c r="Q119" s="381"/>
      <c r="R119" s="378"/>
      <c r="S119" s="379"/>
      <c r="T119" s="372"/>
      <c r="U119" s="372"/>
      <c r="V119" s="385"/>
      <c r="W119" s="385"/>
      <c r="X119" s="385"/>
      <c r="Y119" s="385"/>
      <c r="Z119" s="385"/>
      <c r="AA119" s="385"/>
      <c r="AB119" s="385"/>
    </row>
    <row r="120" spans="1:28" x14ac:dyDescent="0.25">
      <c r="A120" s="380"/>
      <c r="B120" s="381" t="s">
        <v>494</v>
      </c>
      <c r="C120" s="378"/>
      <c r="D120" s="378"/>
      <c r="E120" s="378"/>
      <c r="F120" s="378"/>
      <c r="G120" s="378"/>
      <c r="H120" s="378"/>
      <c r="I120" s="378"/>
      <c r="J120" s="384" t="s">
        <v>604</v>
      </c>
      <c r="K120" s="387"/>
      <c r="L120" s="387"/>
      <c r="M120" s="819">
        <f>IF(Eingabewerte!$M$49=1,Standversuch!W120,Standversuch!V120)</f>
        <v>0</v>
      </c>
      <c r="N120" s="820"/>
      <c r="O120" s="381"/>
      <c r="P120" s="381"/>
      <c r="Q120" s="381"/>
      <c r="R120" s="378"/>
      <c r="S120" s="379"/>
      <c r="T120" s="372"/>
      <c r="U120" s="372"/>
      <c r="V120" s="392">
        <v>0</v>
      </c>
      <c r="W120" s="392">
        <v>0</v>
      </c>
      <c r="X120" s="385"/>
      <c r="Y120" s="385"/>
      <c r="Z120" s="385"/>
      <c r="AA120" s="385"/>
      <c r="AB120" s="385"/>
    </row>
    <row r="121" spans="1:28" x14ac:dyDescent="0.25">
      <c r="A121" s="380"/>
      <c r="B121" s="381" t="s">
        <v>495</v>
      </c>
      <c r="C121" s="378"/>
      <c r="D121" s="378"/>
      <c r="E121" s="378"/>
      <c r="F121" s="378"/>
      <c r="G121" s="378"/>
      <c r="H121" s="378"/>
      <c r="I121" s="378"/>
      <c r="J121" s="384" t="s">
        <v>605</v>
      </c>
      <c r="K121" s="387"/>
      <c r="L121" s="387"/>
      <c r="M121" s="819">
        <f>IF(Eingabewerte!$M$49=1,Standversuch!W121,Standversuch!V121)</f>
        <v>-680</v>
      </c>
      <c r="N121" s="820"/>
      <c r="O121" s="381"/>
      <c r="P121" s="381"/>
      <c r="Q121" s="381"/>
      <c r="R121" s="378"/>
      <c r="S121" s="379"/>
      <c r="T121" s="372"/>
      <c r="U121" s="372"/>
      <c r="V121" s="392">
        <v>-680</v>
      </c>
      <c r="W121" s="392">
        <v>-680</v>
      </c>
      <c r="X121" s="385"/>
      <c r="Y121" s="385"/>
      <c r="Z121" s="385"/>
      <c r="AA121" s="385"/>
      <c r="AB121" s="385"/>
    </row>
    <row r="122" spans="1:28" ht="6" customHeight="1" x14ac:dyDescent="0.25">
      <c r="A122" s="393"/>
      <c r="B122" s="394"/>
      <c r="C122" s="394"/>
      <c r="D122" s="394"/>
      <c r="E122" s="394"/>
      <c r="F122" s="394"/>
      <c r="G122" s="395"/>
      <c r="H122" s="395"/>
      <c r="I122" s="394"/>
      <c r="J122" s="394"/>
      <c r="K122" s="394"/>
      <c r="L122" s="394"/>
      <c r="M122" s="394"/>
      <c r="N122" s="394"/>
      <c r="O122" s="394"/>
      <c r="P122" s="394"/>
      <c r="Q122" s="394"/>
      <c r="R122" s="394"/>
      <c r="S122" s="396"/>
    </row>
    <row r="123" spans="1:28" ht="6" customHeight="1" x14ac:dyDescent="0.25">
      <c r="A123" s="397"/>
      <c r="B123" s="398"/>
      <c r="C123" s="398"/>
      <c r="D123" s="398"/>
      <c r="E123" s="398"/>
      <c r="F123" s="398"/>
      <c r="G123" s="399"/>
      <c r="H123" s="399"/>
      <c r="I123" s="399"/>
      <c r="J123" s="399"/>
      <c r="K123" s="398"/>
      <c r="L123" s="398"/>
      <c r="M123" s="398"/>
      <c r="N123" s="398"/>
      <c r="O123" s="398"/>
      <c r="P123" s="398"/>
      <c r="Q123" s="398"/>
      <c r="R123" s="398"/>
      <c r="S123" s="400"/>
    </row>
    <row r="124" spans="1:28" ht="15" customHeight="1" x14ac:dyDescent="0.25">
      <c r="A124" s="401"/>
      <c r="B124" s="834" t="s">
        <v>683</v>
      </c>
      <c r="C124" s="835"/>
      <c r="D124" s="836"/>
      <c r="E124" s="402"/>
      <c r="F124" s="402"/>
      <c r="G124" s="403"/>
      <c r="H124" s="403"/>
      <c r="I124" s="402"/>
      <c r="J124" s="402"/>
      <c r="K124" s="402"/>
      <c r="L124" s="402"/>
      <c r="M124" s="402"/>
      <c r="N124" s="402"/>
      <c r="O124" s="402"/>
      <c r="P124" s="402"/>
      <c r="Q124" s="402"/>
      <c r="R124" s="402"/>
      <c r="S124" s="404"/>
    </row>
    <row r="125" spans="1:28" ht="20.25" customHeight="1" x14ac:dyDescent="0.25">
      <c r="A125" s="401"/>
      <c r="B125" s="837"/>
      <c r="C125" s="838"/>
      <c r="D125" s="839"/>
      <c r="E125" s="402"/>
      <c r="F125" s="381"/>
      <c r="G125" s="402"/>
      <c r="H125" s="403"/>
      <c r="I125" s="402"/>
      <c r="J125" s="402"/>
      <c r="K125" s="402"/>
      <c r="L125" s="402"/>
      <c r="M125" s="381" t="s">
        <v>684</v>
      </c>
      <c r="N125" s="402"/>
      <c r="O125" s="402"/>
      <c r="P125" s="402"/>
      <c r="Q125" s="378" t="s">
        <v>680</v>
      </c>
      <c r="R125" s="402"/>
      <c r="S125" s="404"/>
    </row>
    <row r="126" spans="1:28" ht="15" customHeight="1" x14ac:dyDescent="0.25">
      <c r="A126" s="401"/>
      <c r="B126" s="378"/>
      <c r="C126" s="378"/>
      <c r="D126" s="378"/>
      <c r="E126" s="378"/>
      <c r="F126" s="378"/>
      <c r="G126" s="378"/>
      <c r="H126" s="378"/>
      <c r="I126" s="378"/>
      <c r="J126" s="384" t="s">
        <v>685</v>
      </c>
      <c r="K126" s="378"/>
      <c r="L126" s="378"/>
      <c r="M126" s="819">
        <v>2</v>
      </c>
      <c r="N126" s="820"/>
      <c r="O126" s="378"/>
      <c r="P126" s="378"/>
      <c r="Q126" s="814"/>
      <c r="R126" s="815"/>
      <c r="S126" s="404"/>
    </row>
    <row r="127" spans="1:28" ht="15" customHeight="1" x14ac:dyDescent="0.25">
      <c r="A127" s="401"/>
      <c r="B127" s="378"/>
      <c r="C127" s="378"/>
      <c r="D127" s="378"/>
      <c r="E127" s="378"/>
      <c r="F127" s="378"/>
      <c r="G127" s="378"/>
      <c r="H127" s="378"/>
      <c r="I127" s="378"/>
      <c r="J127" s="384" t="s">
        <v>686</v>
      </c>
      <c r="K127" s="378"/>
      <c r="L127" s="378"/>
      <c r="M127" s="819">
        <v>100</v>
      </c>
      <c r="N127" s="820"/>
      <c r="O127" s="378"/>
      <c r="P127" s="378"/>
      <c r="Q127" s="814"/>
      <c r="R127" s="815"/>
      <c r="S127" s="404"/>
    </row>
    <row r="128" spans="1:28" ht="6" customHeight="1" x14ac:dyDescent="0.25">
      <c r="A128" s="401"/>
      <c r="B128" s="378"/>
      <c r="C128" s="378"/>
      <c r="D128" s="378"/>
      <c r="E128" s="378"/>
      <c r="F128" s="378"/>
      <c r="G128" s="378"/>
      <c r="H128" s="378"/>
      <c r="I128" s="378"/>
      <c r="J128" s="384"/>
      <c r="K128" s="378"/>
      <c r="L128" s="378"/>
      <c r="M128" s="402"/>
      <c r="N128" s="402"/>
      <c r="O128" s="378"/>
      <c r="P128" s="378"/>
      <c r="Q128" s="378"/>
      <c r="R128" s="378"/>
      <c r="S128" s="404"/>
    </row>
    <row r="129" spans="1:19" ht="15" customHeight="1" x14ac:dyDescent="0.25">
      <c r="A129" s="401"/>
      <c r="B129" s="402"/>
      <c r="C129" s="402"/>
      <c r="D129" s="402"/>
      <c r="E129" s="402"/>
      <c r="F129" s="402"/>
      <c r="G129" s="402"/>
      <c r="H129" s="402"/>
      <c r="I129" s="402"/>
      <c r="J129" s="384" t="s">
        <v>687</v>
      </c>
      <c r="K129" s="402"/>
      <c r="L129" s="402"/>
      <c r="M129" s="819">
        <v>70</v>
      </c>
      <c r="N129" s="820"/>
      <c r="O129" s="402"/>
      <c r="P129" s="402"/>
      <c r="Q129" s="814"/>
      <c r="R129" s="815"/>
      <c r="S129" s="404"/>
    </row>
    <row r="130" spans="1:19" ht="15" customHeight="1" x14ac:dyDescent="0.25">
      <c r="A130" s="401"/>
      <c r="B130" s="402"/>
      <c r="C130" s="402"/>
      <c r="D130" s="402"/>
      <c r="E130" s="402"/>
      <c r="F130" s="402"/>
      <c r="G130" s="402"/>
      <c r="H130" s="402"/>
      <c r="I130" s="402"/>
      <c r="J130" s="384" t="s">
        <v>688</v>
      </c>
      <c r="K130" s="402"/>
      <c r="L130" s="402"/>
      <c r="M130" s="819">
        <v>100</v>
      </c>
      <c r="N130" s="820"/>
      <c r="O130" s="402"/>
      <c r="P130" s="402"/>
      <c r="Q130" s="814"/>
      <c r="R130" s="815"/>
      <c r="S130" s="404"/>
    </row>
    <row r="131" spans="1:19" ht="6" customHeight="1" x14ac:dyDescent="0.25">
      <c r="A131" s="401"/>
      <c r="B131" s="402"/>
      <c r="C131" s="402"/>
      <c r="D131" s="402"/>
      <c r="E131" s="402"/>
      <c r="F131" s="402"/>
      <c r="G131" s="402"/>
      <c r="H131" s="402"/>
      <c r="I131" s="402"/>
      <c r="J131" s="405"/>
      <c r="K131" s="402"/>
      <c r="L131" s="402"/>
      <c r="M131" s="402"/>
      <c r="N131" s="402"/>
      <c r="O131" s="402"/>
      <c r="P131" s="402"/>
      <c r="Q131" s="378"/>
      <c r="R131" s="378"/>
      <c r="S131" s="404"/>
    </row>
    <row r="132" spans="1:19" ht="15" customHeight="1" x14ac:dyDescent="0.25">
      <c r="A132" s="401"/>
      <c r="B132" s="402"/>
      <c r="C132" s="402"/>
      <c r="D132" s="402"/>
      <c r="E132" s="402"/>
      <c r="F132" s="402"/>
      <c r="G132" s="402"/>
      <c r="H132" s="402"/>
      <c r="I132" s="402"/>
      <c r="J132" s="384" t="s">
        <v>689</v>
      </c>
      <c r="K132" s="402"/>
      <c r="L132" s="402"/>
      <c r="M132" s="819">
        <v>70</v>
      </c>
      <c r="N132" s="820"/>
      <c r="O132" s="402"/>
      <c r="P132" s="402"/>
      <c r="Q132" s="814"/>
      <c r="R132" s="815"/>
      <c r="S132" s="404"/>
    </row>
    <row r="133" spans="1:19" ht="15" customHeight="1" x14ac:dyDescent="0.25">
      <c r="A133" s="401"/>
      <c r="B133" s="402"/>
      <c r="C133" s="402"/>
      <c r="D133" s="402"/>
      <c r="E133" s="402"/>
      <c r="F133" s="402"/>
      <c r="G133" s="402"/>
      <c r="H133" s="402"/>
      <c r="I133" s="402"/>
      <c r="J133" s="384" t="s">
        <v>690</v>
      </c>
      <c r="K133" s="402"/>
      <c r="L133" s="402"/>
      <c r="M133" s="819">
        <v>100</v>
      </c>
      <c r="N133" s="820"/>
      <c r="O133" s="402"/>
      <c r="P133" s="402"/>
      <c r="Q133" s="814"/>
      <c r="R133" s="815"/>
      <c r="S133" s="404"/>
    </row>
    <row r="134" spans="1:19" ht="6" customHeight="1" x14ac:dyDescent="0.25">
      <c r="A134" s="401"/>
      <c r="B134" s="402"/>
      <c r="C134" s="402"/>
      <c r="D134" s="402"/>
      <c r="E134" s="402"/>
      <c r="F134" s="402"/>
      <c r="G134" s="402"/>
      <c r="H134" s="402"/>
      <c r="I134" s="402"/>
      <c r="J134" s="405"/>
      <c r="K134" s="402"/>
      <c r="L134" s="402"/>
      <c r="M134" s="402"/>
      <c r="N134" s="402"/>
      <c r="O134" s="402"/>
      <c r="P134" s="402"/>
      <c r="Q134" s="378"/>
      <c r="R134" s="378"/>
      <c r="S134" s="404"/>
    </row>
    <row r="135" spans="1:19" ht="15" customHeight="1" x14ac:dyDescent="0.25">
      <c r="A135" s="401"/>
      <c r="B135" s="402"/>
      <c r="C135" s="402"/>
      <c r="D135" s="402"/>
      <c r="E135" s="402"/>
      <c r="F135" s="402"/>
      <c r="G135" s="402"/>
      <c r="H135" s="402"/>
      <c r="I135" s="402"/>
      <c r="J135" s="384" t="s">
        <v>691</v>
      </c>
      <c r="K135" s="402"/>
      <c r="L135" s="402"/>
      <c r="M135" s="819">
        <v>2</v>
      </c>
      <c r="N135" s="820"/>
      <c r="O135" s="402"/>
      <c r="P135" s="402"/>
      <c r="Q135" s="814"/>
      <c r="R135" s="815"/>
      <c r="S135" s="404"/>
    </row>
    <row r="136" spans="1:19" ht="15" customHeight="1" x14ac:dyDescent="0.25">
      <c r="A136" s="401"/>
      <c r="B136" s="402"/>
      <c r="C136" s="402"/>
      <c r="D136" s="402"/>
      <c r="E136" s="402"/>
      <c r="F136" s="402"/>
      <c r="G136" s="402"/>
      <c r="H136" s="402"/>
      <c r="I136" s="402"/>
      <c r="J136" s="384" t="s">
        <v>692</v>
      </c>
      <c r="K136" s="402"/>
      <c r="L136" s="402"/>
      <c r="M136" s="819">
        <v>100</v>
      </c>
      <c r="N136" s="820"/>
      <c r="O136" s="402"/>
      <c r="P136" s="402"/>
      <c r="Q136" s="814"/>
      <c r="R136" s="815"/>
      <c r="S136" s="404"/>
    </row>
    <row r="137" spans="1:19" ht="6" customHeight="1" x14ac:dyDescent="0.25">
      <c r="A137" s="401"/>
      <c r="B137" s="402"/>
      <c r="C137" s="402"/>
      <c r="D137" s="402"/>
      <c r="E137" s="402"/>
      <c r="F137" s="402"/>
      <c r="G137" s="402"/>
      <c r="H137" s="402"/>
      <c r="I137" s="402"/>
      <c r="J137" s="405"/>
      <c r="K137" s="402"/>
      <c r="L137" s="402"/>
      <c r="M137" s="402"/>
      <c r="N137" s="402"/>
      <c r="O137" s="402"/>
      <c r="P137" s="402"/>
      <c r="Q137" s="378"/>
      <c r="R137" s="378"/>
      <c r="S137" s="404"/>
    </row>
    <row r="138" spans="1:19" ht="15" customHeight="1" x14ac:dyDescent="0.25">
      <c r="A138" s="401"/>
      <c r="B138" s="402"/>
      <c r="C138" s="402"/>
      <c r="D138" s="402"/>
      <c r="E138" s="402"/>
      <c r="F138" s="402"/>
      <c r="G138" s="402"/>
      <c r="H138" s="402"/>
      <c r="I138" s="402"/>
      <c r="J138" s="384" t="s">
        <v>693</v>
      </c>
      <c r="K138" s="402"/>
      <c r="L138" s="402"/>
      <c r="M138" s="819">
        <v>2</v>
      </c>
      <c r="N138" s="820"/>
      <c r="O138" s="402"/>
      <c r="P138" s="402"/>
      <c r="Q138" s="814"/>
      <c r="R138" s="815"/>
      <c r="S138" s="404"/>
    </row>
    <row r="139" spans="1:19" ht="15" customHeight="1" x14ac:dyDescent="0.25">
      <c r="A139" s="401"/>
      <c r="B139" s="402"/>
      <c r="C139" s="402"/>
      <c r="D139" s="402"/>
      <c r="E139" s="402"/>
      <c r="F139" s="402"/>
      <c r="G139" s="402"/>
      <c r="H139" s="402"/>
      <c r="I139" s="402"/>
      <c r="J139" s="384" t="s">
        <v>694</v>
      </c>
      <c r="K139" s="402"/>
      <c r="L139" s="402"/>
      <c r="M139" s="819">
        <v>100</v>
      </c>
      <c r="N139" s="820"/>
      <c r="O139" s="402"/>
      <c r="P139" s="402"/>
      <c r="Q139" s="814"/>
      <c r="R139" s="815"/>
      <c r="S139" s="404"/>
    </row>
    <row r="140" spans="1:19" ht="6" customHeight="1" x14ac:dyDescent="0.25">
      <c r="A140" s="401"/>
      <c r="B140" s="402"/>
      <c r="C140" s="402"/>
      <c r="D140" s="402"/>
      <c r="E140" s="402"/>
      <c r="F140" s="402"/>
      <c r="G140" s="402"/>
      <c r="H140" s="402"/>
      <c r="I140" s="402"/>
      <c r="J140" s="384"/>
      <c r="K140" s="402"/>
      <c r="L140" s="402"/>
      <c r="M140" s="402"/>
      <c r="N140" s="402"/>
      <c r="O140" s="402"/>
      <c r="P140" s="402"/>
      <c r="Q140" s="378"/>
      <c r="R140" s="378"/>
      <c r="S140" s="404"/>
    </row>
    <row r="141" spans="1:19" ht="15" customHeight="1" x14ac:dyDescent="0.25">
      <c r="A141" s="401"/>
      <c r="B141" s="402"/>
      <c r="C141" s="402"/>
      <c r="D141" s="402"/>
      <c r="E141" s="402"/>
      <c r="F141" s="402"/>
      <c r="G141" s="402"/>
      <c r="H141" s="402"/>
      <c r="I141" s="402"/>
      <c r="J141" s="384" t="s">
        <v>695</v>
      </c>
      <c r="K141" s="402"/>
      <c r="L141" s="402"/>
      <c r="M141" s="819">
        <v>70</v>
      </c>
      <c r="N141" s="820"/>
      <c r="O141" s="402"/>
      <c r="P141" s="402"/>
      <c r="Q141" s="814"/>
      <c r="R141" s="815"/>
      <c r="S141" s="404"/>
    </row>
    <row r="142" spans="1:19" ht="15" customHeight="1" x14ac:dyDescent="0.25">
      <c r="A142" s="401"/>
      <c r="B142" s="402"/>
      <c r="C142" s="402"/>
      <c r="D142" s="402"/>
      <c r="E142" s="402"/>
      <c r="F142" s="402"/>
      <c r="G142" s="402"/>
      <c r="H142" s="402"/>
      <c r="I142" s="402"/>
      <c r="J142" s="384" t="s">
        <v>696</v>
      </c>
      <c r="K142" s="402"/>
      <c r="L142" s="402"/>
      <c r="M142" s="819">
        <v>100</v>
      </c>
      <c r="N142" s="820"/>
      <c r="O142" s="402"/>
      <c r="P142" s="402"/>
      <c r="Q142" s="814"/>
      <c r="R142" s="815"/>
      <c r="S142" s="404"/>
    </row>
    <row r="143" spans="1:19" ht="6" customHeight="1" x14ac:dyDescent="0.25">
      <c r="A143" s="401"/>
      <c r="B143" s="402"/>
      <c r="C143" s="402"/>
      <c r="D143" s="402"/>
      <c r="E143" s="402"/>
      <c r="F143" s="402"/>
      <c r="G143" s="402"/>
      <c r="H143" s="402"/>
      <c r="I143" s="402"/>
      <c r="J143" s="405"/>
      <c r="K143" s="402"/>
      <c r="L143" s="402"/>
      <c r="M143" s="402"/>
      <c r="N143" s="402"/>
      <c r="O143" s="402"/>
      <c r="P143" s="402"/>
      <c r="Q143" s="402"/>
      <c r="R143" s="402"/>
      <c r="S143" s="404"/>
    </row>
    <row r="144" spans="1:19" ht="15" customHeight="1" x14ac:dyDescent="0.25">
      <c r="A144" s="401"/>
      <c r="B144" s="402"/>
      <c r="C144" s="402"/>
      <c r="D144" s="402"/>
      <c r="E144" s="402"/>
      <c r="F144" s="402"/>
      <c r="G144" s="402"/>
      <c r="H144" s="402"/>
      <c r="I144" s="402"/>
      <c r="J144" s="384" t="s">
        <v>697</v>
      </c>
      <c r="K144" s="402"/>
      <c r="L144" s="402"/>
      <c r="M144" s="819">
        <v>70</v>
      </c>
      <c r="N144" s="820"/>
      <c r="O144" s="402"/>
      <c r="P144" s="402"/>
      <c r="Q144" s="814"/>
      <c r="R144" s="815"/>
      <c r="S144" s="404"/>
    </row>
    <row r="145" spans="1:19" ht="15" customHeight="1" x14ac:dyDescent="0.25">
      <c r="A145" s="401"/>
      <c r="B145" s="402"/>
      <c r="C145" s="402"/>
      <c r="D145" s="402"/>
      <c r="E145" s="402"/>
      <c r="F145" s="402"/>
      <c r="G145" s="402"/>
      <c r="H145" s="402"/>
      <c r="I145" s="402"/>
      <c r="J145" s="384" t="s">
        <v>698</v>
      </c>
      <c r="K145" s="402"/>
      <c r="L145" s="402"/>
      <c r="M145" s="819">
        <v>100</v>
      </c>
      <c r="N145" s="820"/>
      <c r="O145" s="402"/>
      <c r="P145" s="402"/>
      <c r="Q145" s="814"/>
      <c r="R145" s="815"/>
      <c r="S145" s="404"/>
    </row>
    <row r="146" spans="1:19" ht="6" customHeight="1" x14ac:dyDescent="0.25">
      <c r="A146" s="401"/>
      <c r="B146" s="402"/>
      <c r="C146" s="402"/>
      <c r="D146" s="402"/>
      <c r="E146" s="402"/>
      <c r="F146" s="402"/>
      <c r="G146" s="402"/>
      <c r="H146" s="402"/>
      <c r="I146" s="402"/>
      <c r="J146" s="405"/>
      <c r="K146" s="402"/>
      <c r="L146" s="402"/>
      <c r="M146" s="402"/>
      <c r="N146" s="402"/>
      <c r="O146" s="402"/>
      <c r="P146" s="402"/>
      <c r="Q146" s="378"/>
      <c r="R146" s="378"/>
      <c r="S146" s="404"/>
    </row>
    <row r="147" spans="1:19" ht="15" customHeight="1" x14ac:dyDescent="0.25">
      <c r="A147" s="401"/>
      <c r="B147" s="402"/>
      <c r="C147" s="402"/>
      <c r="D147" s="402"/>
      <c r="E147" s="402"/>
      <c r="F147" s="402"/>
      <c r="G147" s="402"/>
      <c r="H147" s="402"/>
      <c r="I147" s="402"/>
      <c r="J147" s="384" t="s">
        <v>699</v>
      </c>
      <c r="K147" s="402"/>
      <c r="L147" s="402"/>
      <c r="M147" s="819">
        <v>2</v>
      </c>
      <c r="N147" s="820"/>
      <c r="O147" s="402"/>
      <c r="P147" s="402"/>
      <c r="Q147" s="814"/>
      <c r="R147" s="815"/>
      <c r="S147" s="404"/>
    </row>
    <row r="148" spans="1:19" ht="15" customHeight="1" x14ac:dyDescent="0.25">
      <c r="A148" s="401"/>
      <c r="B148" s="402"/>
      <c r="C148" s="402"/>
      <c r="D148" s="402"/>
      <c r="E148" s="402"/>
      <c r="F148" s="402"/>
      <c r="G148" s="402"/>
      <c r="H148" s="402"/>
      <c r="I148" s="402"/>
      <c r="J148" s="384" t="s">
        <v>700</v>
      </c>
      <c r="K148" s="402"/>
      <c r="L148" s="402"/>
      <c r="M148" s="819">
        <v>100</v>
      </c>
      <c r="N148" s="820"/>
      <c r="O148" s="402"/>
      <c r="P148" s="402"/>
      <c r="Q148" s="814"/>
      <c r="R148" s="815"/>
      <c r="S148" s="404"/>
    </row>
    <row r="149" spans="1:19" ht="3.75" customHeight="1" x14ac:dyDescent="0.25">
      <c r="A149" s="393"/>
      <c r="B149" s="406"/>
      <c r="C149" s="394"/>
      <c r="D149" s="394"/>
      <c r="E149" s="394"/>
      <c r="F149" s="407"/>
      <c r="G149" s="407"/>
      <c r="H149" s="407"/>
      <c r="I149" s="394"/>
      <c r="J149" s="394"/>
      <c r="K149" s="394"/>
      <c r="L149" s="394"/>
      <c r="M149" s="394"/>
      <c r="N149" s="394"/>
      <c r="O149" s="394"/>
      <c r="P149" s="394"/>
      <c r="Q149" s="394"/>
      <c r="R149" s="394"/>
      <c r="S149" s="396"/>
    </row>
    <row r="150" spans="1:19" ht="4.5" customHeight="1" x14ac:dyDescent="0.25">
      <c r="A150" s="397"/>
      <c r="B150" s="408"/>
      <c r="C150" s="398"/>
      <c r="D150" s="398"/>
      <c r="E150" s="398"/>
      <c r="F150" s="409"/>
      <c r="G150" s="409"/>
      <c r="H150" s="409"/>
      <c r="I150" s="409"/>
      <c r="J150" s="409"/>
      <c r="K150" s="409"/>
      <c r="L150" s="409"/>
      <c r="M150" s="409"/>
      <c r="N150" s="409"/>
      <c r="O150" s="409"/>
      <c r="P150" s="409"/>
      <c r="Q150" s="409"/>
      <c r="R150" s="409"/>
      <c r="S150" s="400"/>
    </row>
    <row r="151" spans="1:19" ht="15" customHeight="1" x14ac:dyDescent="0.25">
      <c r="A151" s="401"/>
      <c r="B151" s="834" t="s">
        <v>701</v>
      </c>
      <c r="C151" s="840"/>
      <c r="D151" s="840"/>
      <c r="E151" s="841"/>
      <c r="F151" s="402"/>
      <c r="G151" s="402"/>
      <c r="H151" s="402"/>
      <c r="I151" s="402"/>
      <c r="J151" s="410"/>
      <c r="K151" s="411"/>
      <c r="L151" s="411"/>
      <c r="M151" s="411"/>
      <c r="N151" s="411"/>
      <c r="O151" s="411"/>
      <c r="P151" s="411"/>
      <c r="Q151" s="411"/>
      <c r="R151" s="411"/>
      <c r="S151" s="404"/>
    </row>
    <row r="152" spans="1:19" ht="15" customHeight="1" x14ac:dyDescent="0.25">
      <c r="A152" s="401"/>
      <c r="B152" s="842"/>
      <c r="C152" s="843"/>
      <c r="D152" s="843"/>
      <c r="E152" s="844"/>
      <c r="F152" s="402"/>
      <c r="G152" s="402"/>
      <c r="H152" s="845" t="s">
        <v>702</v>
      </c>
      <c r="I152" s="845"/>
      <c r="J152" s="845" t="s">
        <v>703</v>
      </c>
      <c r="K152" s="845"/>
      <c r="L152" s="845" t="s">
        <v>704</v>
      </c>
      <c r="M152" s="845"/>
      <c r="N152" s="412" t="s">
        <v>705</v>
      </c>
      <c r="O152" s="411"/>
      <c r="P152" s="411"/>
      <c r="Q152" s="411"/>
      <c r="R152" s="411"/>
      <c r="S152" s="404"/>
    </row>
    <row r="153" spans="1:19" ht="15" customHeight="1" x14ac:dyDescent="0.25">
      <c r="A153" s="413"/>
      <c r="B153" s="377"/>
      <c r="C153" s="377"/>
      <c r="D153" s="377"/>
      <c r="E153" s="377"/>
      <c r="F153" s="410">
        <v>0</v>
      </c>
      <c r="G153" s="411"/>
      <c r="H153" s="824">
        <v>0</v>
      </c>
      <c r="I153" s="825"/>
      <c r="J153" s="824">
        <v>100</v>
      </c>
      <c r="K153" s="825"/>
      <c r="L153" s="824">
        <v>139</v>
      </c>
      <c r="M153" s="825"/>
      <c r="N153" s="824">
        <v>1620</v>
      </c>
      <c r="O153" s="825"/>
      <c r="P153" s="411"/>
      <c r="Q153" s="411"/>
      <c r="R153" s="411"/>
      <c r="S153" s="404"/>
    </row>
    <row r="154" spans="1:19" ht="15" customHeight="1" x14ac:dyDescent="0.25">
      <c r="A154" s="413"/>
      <c r="B154" s="377"/>
      <c r="C154" s="377"/>
      <c r="D154" s="377"/>
      <c r="E154" s="377"/>
      <c r="F154" s="410">
        <v>1</v>
      </c>
      <c r="G154" s="377"/>
      <c r="H154" s="824">
        <v>50</v>
      </c>
      <c r="I154" s="825"/>
      <c r="J154" s="824">
        <v>25</v>
      </c>
      <c r="K154" s="825"/>
      <c r="L154" s="824">
        <v>143</v>
      </c>
      <c r="M154" s="825"/>
      <c r="N154" s="824">
        <v>1540</v>
      </c>
      <c r="O154" s="825"/>
      <c r="P154" s="411"/>
      <c r="Q154" s="411"/>
      <c r="R154" s="411"/>
      <c r="S154" s="404"/>
    </row>
    <row r="155" spans="1:19" ht="6" customHeight="1" x14ac:dyDescent="0.25">
      <c r="A155" s="413"/>
      <c r="B155" s="414"/>
      <c r="C155" s="414"/>
      <c r="D155" s="414"/>
      <c r="E155" s="414"/>
      <c r="F155" s="410"/>
      <c r="G155" s="402"/>
      <c r="H155" s="689"/>
      <c r="I155" s="690"/>
      <c r="J155" s="690"/>
      <c r="K155" s="690"/>
      <c r="L155" s="690"/>
      <c r="M155" s="690"/>
      <c r="N155" s="690"/>
      <c r="O155" s="690"/>
      <c r="P155" s="411"/>
      <c r="Q155" s="411"/>
      <c r="R155" s="411"/>
      <c r="S155" s="404"/>
    </row>
    <row r="156" spans="1:19" ht="15" customHeight="1" x14ac:dyDescent="0.25">
      <c r="A156" s="413"/>
      <c r="B156" s="377"/>
      <c r="C156" s="377"/>
      <c r="D156" s="377"/>
      <c r="E156" s="377"/>
      <c r="F156" s="410">
        <v>2</v>
      </c>
      <c r="G156" s="377"/>
      <c r="H156" s="824">
        <v>100</v>
      </c>
      <c r="I156" s="825"/>
      <c r="J156" s="824">
        <v>25</v>
      </c>
      <c r="K156" s="825"/>
      <c r="L156" s="824">
        <v>139</v>
      </c>
      <c r="M156" s="825"/>
      <c r="N156" s="824">
        <v>1490</v>
      </c>
      <c r="O156" s="825"/>
      <c r="P156" s="411"/>
      <c r="Q156" s="411"/>
      <c r="R156" s="411"/>
      <c r="S156" s="404"/>
    </row>
    <row r="157" spans="1:19" ht="15" customHeight="1" x14ac:dyDescent="0.25">
      <c r="A157" s="413"/>
      <c r="B157" s="377"/>
      <c r="C157" s="377"/>
      <c r="D157" s="377"/>
      <c r="E157" s="377"/>
      <c r="F157" s="410">
        <v>3</v>
      </c>
      <c r="G157" s="377"/>
      <c r="H157" s="824">
        <v>200</v>
      </c>
      <c r="I157" s="825"/>
      <c r="J157" s="824">
        <v>23</v>
      </c>
      <c r="K157" s="825"/>
      <c r="L157" s="824">
        <v>133</v>
      </c>
      <c r="M157" s="825"/>
      <c r="N157" s="824">
        <v>1470</v>
      </c>
      <c r="O157" s="825"/>
      <c r="P157" s="411"/>
      <c r="Q157" s="411"/>
      <c r="R157" s="411"/>
      <c r="S157" s="404"/>
    </row>
    <row r="158" spans="1:19" ht="6" customHeight="1" x14ac:dyDescent="0.25">
      <c r="A158" s="413"/>
      <c r="B158" s="414"/>
      <c r="C158" s="414"/>
      <c r="D158" s="414"/>
      <c r="E158" s="414"/>
      <c r="F158" s="410"/>
      <c r="G158" s="402"/>
      <c r="H158" s="689"/>
      <c r="I158" s="690"/>
      <c r="J158" s="690"/>
      <c r="K158" s="690"/>
      <c r="L158" s="690"/>
      <c r="M158" s="690"/>
      <c r="N158" s="690"/>
      <c r="O158" s="690"/>
      <c r="P158" s="411"/>
      <c r="Q158" s="411"/>
      <c r="R158" s="411"/>
      <c r="S158" s="404"/>
    </row>
    <row r="159" spans="1:19" ht="15" customHeight="1" x14ac:dyDescent="0.25">
      <c r="A159" s="413"/>
      <c r="B159" s="377"/>
      <c r="C159" s="377"/>
      <c r="D159" s="377"/>
      <c r="E159" s="377"/>
      <c r="F159" s="410">
        <v>4</v>
      </c>
      <c r="G159" s="377"/>
      <c r="H159" s="824">
        <v>250</v>
      </c>
      <c r="I159" s="825"/>
      <c r="J159" s="824">
        <v>25</v>
      </c>
      <c r="K159" s="825"/>
      <c r="L159" s="824">
        <v>130</v>
      </c>
      <c r="M159" s="825"/>
      <c r="N159" s="824">
        <v>1460</v>
      </c>
      <c r="O159" s="825"/>
      <c r="P159" s="411"/>
      <c r="Q159" s="411"/>
      <c r="R159" s="411"/>
      <c r="S159" s="404"/>
    </row>
    <row r="160" spans="1:19" ht="15" customHeight="1" x14ac:dyDescent="0.25">
      <c r="A160" s="413"/>
      <c r="B160" s="377"/>
      <c r="C160" s="377"/>
      <c r="D160" s="377"/>
      <c r="E160" s="377"/>
      <c r="F160" s="410">
        <v>5</v>
      </c>
      <c r="G160" s="377"/>
      <c r="H160" s="824">
        <v>300</v>
      </c>
      <c r="I160" s="825"/>
      <c r="J160" s="824">
        <v>44</v>
      </c>
      <c r="K160" s="825"/>
      <c r="L160" s="824">
        <v>126</v>
      </c>
      <c r="M160" s="825"/>
      <c r="N160" s="824">
        <v>1450</v>
      </c>
      <c r="O160" s="825"/>
      <c r="P160" s="411"/>
      <c r="Q160" s="411"/>
      <c r="R160" s="411"/>
      <c r="S160" s="404"/>
    </row>
    <row r="161" spans="1:19" ht="6" customHeight="1" x14ac:dyDescent="0.25">
      <c r="A161" s="413"/>
      <c r="B161" s="414"/>
      <c r="C161" s="414"/>
      <c r="D161" s="414"/>
      <c r="E161" s="414"/>
      <c r="F161" s="410"/>
      <c r="G161" s="402"/>
      <c r="H161" s="689"/>
      <c r="I161" s="690"/>
      <c r="J161" s="690"/>
      <c r="K161" s="690"/>
      <c r="L161" s="690"/>
      <c r="M161" s="690"/>
      <c r="N161" s="690"/>
      <c r="O161" s="690"/>
      <c r="P161" s="411"/>
      <c r="Q161" s="411"/>
      <c r="R161" s="411"/>
      <c r="S161" s="404"/>
    </row>
    <row r="162" spans="1:19" ht="15" customHeight="1" x14ac:dyDescent="0.25">
      <c r="A162" s="413"/>
      <c r="B162" s="377"/>
      <c r="C162" s="377"/>
      <c r="D162" s="377"/>
      <c r="E162" s="377"/>
      <c r="F162" s="410">
        <v>6</v>
      </c>
      <c r="G162" s="377"/>
      <c r="H162" s="824">
        <v>350</v>
      </c>
      <c r="I162" s="825"/>
      <c r="J162" s="824">
        <v>43</v>
      </c>
      <c r="K162" s="825"/>
      <c r="L162" s="824">
        <v>125</v>
      </c>
      <c r="M162" s="825"/>
      <c r="N162" s="824">
        <v>1440</v>
      </c>
      <c r="O162" s="825"/>
      <c r="P162" s="411"/>
      <c r="Q162" s="411"/>
      <c r="R162" s="411"/>
      <c r="S162" s="404"/>
    </row>
    <row r="163" spans="1:19" ht="15" customHeight="1" x14ac:dyDescent="0.25">
      <c r="A163" s="413"/>
      <c r="B163" s="377"/>
      <c r="C163" s="377"/>
      <c r="D163" s="377"/>
      <c r="E163" s="377"/>
      <c r="F163" s="410">
        <v>7</v>
      </c>
      <c r="G163" s="377"/>
      <c r="H163" s="824">
        <v>400</v>
      </c>
      <c r="I163" s="825"/>
      <c r="J163" s="824">
        <v>45</v>
      </c>
      <c r="K163" s="825"/>
      <c r="L163" s="824">
        <v>125</v>
      </c>
      <c r="M163" s="825"/>
      <c r="N163" s="824">
        <v>1430</v>
      </c>
      <c r="O163" s="825"/>
      <c r="P163" s="411"/>
      <c r="Q163" s="411"/>
      <c r="R163" s="411"/>
      <c r="S163" s="404"/>
    </row>
    <row r="164" spans="1:19" ht="6" customHeight="1" x14ac:dyDescent="0.25">
      <c r="A164" s="413"/>
      <c r="B164" s="414"/>
      <c r="C164" s="414"/>
      <c r="D164" s="414"/>
      <c r="E164" s="414"/>
      <c r="F164" s="410"/>
      <c r="G164" s="402"/>
      <c r="H164" s="689"/>
      <c r="I164" s="690"/>
      <c r="J164" s="690"/>
      <c r="K164" s="690"/>
      <c r="L164" s="690"/>
      <c r="M164" s="690"/>
      <c r="N164" s="690"/>
      <c r="O164" s="690"/>
      <c r="P164" s="411"/>
      <c r="Q164" s="411"/>
      <c r="R164" s="411"/>
      <c r="S164" s="404"/>
    </row>
    <row r="165" spans="1:19" ht="15" customHeight="1" x14ac:dyDescent="0.25">
      <c r="A165" s="413"/>
      <c r="B165" s="377"/>
      <c r="C165" s="377"/>
      <c r="D165" s="377"/>
      <c r="E165" s="377"/>
      <c r="F165" s="410">
        <v>8</v>
      </c>
      <c r="G165" s="377"/>
      <c r="H165" s="824">
        <v>450</v>
      </c>
      <c r="I165" s="825"/>
      <c r="J165" s="824">
        <v>52</v>
      </c>
      <c r="K165" s="825"/>
      <c r="L165" s="824">
        <v>125</v>
      </c>
      <c r="M165" s="825"/>
      <c r="N165" s="824">
        <v>1420</v>
      </c>
      <c r="O165" s="825"/>
      <c r="P165" s="411"/>
      <c r="Q165" s="411"/>
      <c r="R165" s="411"/>
      <c r="S165" s="404"/>
    </row>
    <row r="166" spans="1:19" ht="15" customHeight="1" x14ac:dyDescent="0.25">
      <c r="A166" s="413"/>
      <c r="B166" s="377"/>
      <c r="C166" s="377"/>
      <c r="D166" s="377"/>
      <c r="E166" s="377"/>
      <c r="F166" s="410">
        <v>9</v>
      </c>
      <c r="G166" s="377"/>
      <c r="H166" s="824">
        <v>500</v>
      </c>
      <c r="I166" s="825"/>
      <c r="J166" s="824">
        <v>59</v>
      </c>
      <c r="K166" s="825"/>
      <c r="L166" s="824">
        <v>124</v>
      </c>
      <c r="M166" s="825"/>
      <c r="N166" s="824">
        <v>1410</v>
      </c>
      <c r="O166" s="825"/>
      <c r="P166" s="411"/>
      <c r="Q166" s="411"/>
      <c r="R166" s="411"/>
      <c r="S166" s="404"/>
    </row>
    <row r="167" spans="1:19" ht="6" customHeight="1" x14ac:dyDescent="0.25">
      <c r="A167" s="413"/>
      <c r="B167" s="414"/>
      <c r="C167" s="414"/>
      <c r="D167" s="414"/>
      <c r="E167" s="414"/>
      <c r="F167" s="410"/>
      <c r="G167" s="402"/>
      <c r="H167" s="689"/>
      <c r="I167" s="690"/>
      <c r="J167" s="690"/>
      <c r="K167" s="690"/>
      <c r="L167" s="690"/>
      <c r="M167" s="690"/>
      <c r="N167" s="690"/>
      <c r="O167" s="690"/>
      <c r="P167" s="411"/>
      <c r="Q167" s="411"/>
      <c r="R167" s="411"/>
      <c r="S167" s="404"/>
    </row>
    <row r="168" spans="1:19" ht="15" customHeight="1" x14ac:dyDescent="0.25">
      <c r="A168" s="413"/>
      <c r="B168" s="377"/>
      <c r="C168" s="377"/>
      <c r="D168" s="377"/>
      <c r="E168" s="377"/>
      <c r="F168" s="410">
        <v>10</v>
      </c>
      <c r="G168" s="377"/>
      <c r="H168" s="824">
        <v>550</v>
      </c>
      <c r="I168" s="825"/>
      <c r="J168" s="824">
        <v>66</v>
      </c>
      <c r="K168" s="825"/>
      <c r="L168" s="824">
        <v>124</v>
      </c>
      <c r="M168" s="825"/>
      <c r="N168" s="824">
        <v>1400</v>
      </c>
      <c r="O168" s="825"/>
      <c r="P168" s="411"/>
      <c r="Q168" s="411"/>
      <c r="R168" s="411"/>
      <c r="S168" s="404"/>
    </row>
    <row r="169" spans="1:19" ht="15" customHeight="1" x14ac:dyDescent="0.25">
      <c r="A169" s="413"/>
      <c r="B169" s="377"/>
      <c r="C169" s="377"/>
      <c r="D169" s="377"/>
      <c r="E169" s="377"/>
      <c r="F169" s="410">
        <v>11</v>
      </c>
      <c r="G169" s="377"/>
      <c r="H169" s="824">
        <v>600</v>
      </c>
      <c r="I169" s="825"/>
      <c r="J169" s="824">
        <v>71</v>
      </c>
      <c r="K169" s="825"/>
      <c r="L169" s="824">
        <v>123</v>
      </c>
      <c r="M169" s="825"/>
      <c r="N169" s="824">
        <v>1380</v>
      </c>
      <c r="O169" s="825"/>
      <c r="P169" s="411"/>
      <c r="Q169" s="411"/>
      <c r="R169" s="411"/>
      <c r="S169" s="404"/>
    </row>
    <row r="170" spans="1:19" ht="6" customHeight="1" x14ac:dyDescent="0.25">
      <c r="A170" s="413"/>
      <c r="B170" s="414"/>
      <c r="C170" s="414"/>
      <c r="D170" s="414"/>
      <c r="E170" s="414"/>
      <c r="F170" s="410"/>
      <c r="G170" s="402"/>
      <c r="H170" s="689"/>
      <c r="I170" s="690"/>
      <c r="J170" s="690"/>
      <c r="K170" s="690"/>
      <c r="L170" s="690"/>
      <c r="M170" s="690"/>
      <c r="N170" s="690"/>
      <c r="O170" s="690"/>
      <c r="P170" s="411"/>
      <c r="Q170" s="411"/>
      <c r="R170" s="411"/>
      <c r="S170" s="404"/>
    </row>
    <row r="171" spans="1:19" ht="15" customHeight="1" x14ac:dyDescent="0.25">
      <c r="A171" s="413"/>
      <c r="B171" s="377"/>
      <c r="C171" s="377"/>
      <c r="D171" s="377"/>
      <c r="E171" s="377"/>
      <c r="F171" s="410">
        <v>12</v>
      </c>
      <c r="G171" s="377"/>
      <c r="H171" s="824">
        <v>650</v>
      </c>
      <c r="I171" s="825"/>
      <c r="J171" s="824">
        <v>77</v>
      </c>
      <c r="K171" s="825"/>
      <c r="L171" s="824">
        <v>122</v>
      </c>
      <c r="M171" s="825"/>
      <c r="N171" s="824">
        <v>1300</v>
      </c>
      <c r="O171" s="825"/>
      <c r="P171" s="411"/>
      <c r="Q171" s="411"/>
      <c r="R171" s="411"/>
      <c r="S171" s="404"/>
    </row>
    <row r="172" spans="1:19" ht="15" customHeight="1" x14ac:dyDescent="0.25">
      <c r="A172" s="413"/>
      <c r="B172" s="377"/>
      <c r="C172" s="377"/>
      <c r="D172" s="377"/>
      <c r="E172" s="377"/>
      <c r="F172" s="410">
        <v>13</v>
      </c>
      <c r="G172" s="377"/>
      <c r="H172" s="824">
        <v>700</v>
      </c>
      <c r="I172" s="825"/>
      <c r="J172" s="824">
        <v>80</v>
      </c>
      <c r="K172" s="825"/>
      <c r="L172" s="824">
        <v>120</v>
      </c>
      <c r="M172" s="825"/>
      <c r="N172" s="824">
        <v>1220</v>
      </c>
      <c r="O172" s="825"/>
      <c r="P172" s="411"/>
      <c r="Q172" s="411"/>
      <c r="R172" s="411"/>
      <c r="S172" s="404"/>
    </row>
    <row r="173" spans="1:19" ht="6" customHeight="1" x14ac:dyDescent="0.25">
      <c r="A173" s="413"/>
      <c r="B173" s="414"/>
      <c r="C173" s="414"/>
      <c r="D173" s="414"/>
      <c r="E173" s="414"/>
      <c r="F173" s="410"/>
      <c r="G173" s="402"/>
      <c r="H173" s="689"/>
      <c r="I173" s="690"/>
      <c r="J173" s="690"/>
      <c r="K173" s="690"/>
      <c r="L173" s="690"/>
      <c r="M173" s="690"/>
      <c r="N173" s="690"/>
      <c r="O173" s="690"/>
      <c r="P173" s="411"/>
      <c r="Q173" s="411"/>
      <c r="R173" s="411"/>
      <c r="S173" s="404"/>
    </row>
    <row r="174" spans="1:19" ht="15" customHeight="1" x14ac:dyDescent="0.25">
      <c r="A174" s="413"/>
      <c r="B174" s="377"/>
      <c r="C174" s="377"/>
      <c r="D174" s="377"/>
      <c r="E174" s="377"/>
      <c r="F174" s="410">
        <v>14</v>
      </c>
      <c r="G174" s="377"/>
      <c r="H174" s="824">
        <v>750</v>
      </c>
      <c r="I174" s="825"/>
      <c r="J174" s="824">
        <v>84</v>
      </c>
      <c r="K174" s="825"/>
      <c r="L174" s="824">
        <v>114</v>
      </c>
      <c r="M174" s="825"/>
      <c r="N174" s="824">
        <v>1150</v>
      </c>
      <c r="O174" s="825"/>
      <c r="P174" s="411"/>
      <c r="Q174" s="411"/>
      <c r="R174" s="411"/>
      <c r="S174" s="404"/>
    </row>
    <row r="175" spans="1:19" ht="15" customHeight="1" x14ac:dyDescent="0.25">
      <c r="A175" s="413"/>
      <c r="B175" s="377"/>
      <c r="C175" s="377"/>
      <c r="D175" s="377"/>
      <c r="E175" s="377"/>
      <c r="F175" s="410">
        <v>15</v>
      </c>
      <c r="G175" s="377"/>
      <c r="H175" s="824">
        <v>800</v>
      </c>
      <c r="I175" s="825"/>
      <c r="J175" s="824">
        <v>87</v>
      </c>
      <c r="K175" s="825"/>
      <c r="L175" s="824">
        <v>103</v>
      </c>
      <c r="M175" s="825"/>
      <c r="N175" s="824">
        <v>1000</v>
      </c>
      <c r="O175" s="825"/>
      <c r="P175" s="411"/>
      <c r="Q175" s="411"/>
      <c r="R175" s="411"/>
      <c r="S175" s="404"/>
    </row>
    <row r="176" spans="1:19" ht="6" customHeight="1" x14ac:dyDescent="0.25">
      <c r="A176" s="413"/>
      <c r="B176" s="411"/>
      <c r="C176" s="411"/>
      <c r="D176" s="411"/>
      <c r="E176" s="411"/>
      <c r="F176" s="410"/>
      <c r="G176" s="411"/>
      <c r="H176" s="691"/>
      <c r="I176" s="691"/>
      <c r="J176" s="691"/>
      <c r="K176" s="691"/>
      <c r="L176" s="691"/>
      <c r="M176" s="691"/>
      <c r="N176" s="691"/>
      <c r="O176" s="691"/>
      <c r="P176" s="411"/>
      <c r="Q176" s="411"/>
      <c r="R176" s="411"/>
      <c r="S176" s="404"/>
    </row>
    <row r="177" spans="1:19" ht="15" customHeight="1" x14ac:dyDescent="0.25">
      <c r="A177" s="413"/>
      <c r="B177" s="377"/>
      <c r="C177" s="377"/>
      <c r="D177" s="377"/>
      <c r="E177" s="377"/>
      <c r="F177" s="410">
        <v>16</v>
      </c>
      <c r="G177" s="377"/>
      <c r="H177" s="824">
        <v>850</v>
      </c>
      <c r="I177" s="825"/>
      <c r="J177" s="824">
        <v>89</v>
      </c>
      <c r="K177" s="825"/>
      <c r="L177" s="824">
        <v>91</v>
      </c>
      <c r="M177" s="825"/>
      <c r="N177" s="824">
        <v>820</v>
      </c>
      <c r="O177" s="825"/>
      <c r="P177" s="411"/>
      <c r="Q177" s="411"/>
      <c r="R177" s="411"/>
      <c r="S177" s="404"/>
    </row>
    <row r="178" spans="1:19" ht="3" customHeight="1" x14ac:dyDescent="0.25">
      <c r="A178" s="393"/>
      <c r="B178" s="406"/>
      <c r="C178" s="394"/>
      <c r="D178" s="394"/>
      <c r="E178" s="394"/>
      <c r="F178" s="407"/>
      <c r="G178" s="407"/>
      <c r="H178" s="407"/>
      <c r="I178" s="394"/>
      <c r="J178" s="415"/>
      <c r="K178" s="407"/>
      <c r="L178" s="407"/>
      <c r="M178" s="407"/>
      <c r="N178" s="407"/>
      <c r="O178" s="407"/>
      <c r="P178" s="407"/>
      <c r="Q178" s="407"/>
      <c r="R178" s="407"/>
      <c r="S178" s="396"/>
    </row>
    <row r="179" spans="1:19" ht="3" customHeight="1" x14ac:dyDescent="0.25">
      <c r="A179" s="397"/>
      <c r="B179" s="408"/>
      <c r="C179" s="398"/>
      <c r="D179" s="398"/>
      <c r="E179" s="398"/>
      <c r="F179" s="409"/>
      <c r="G179" s="409"/>
      <c r="H179" s="409"/>
      <c r="I179" s="398"/>
      <c r="J179" s="416"/>
      <c r="K179" s="409"/>
      <c r="L179" s="409"/>
      <c r="M179" s="409"/>
      <c r="N179" s="409"/>
      <c r="O179" s="409"/>
      <c r="P179" s="409"/>
      <c r="Q179" s="409"/>
      <c r="R179" s="409"/>
      <c r="S179" s="400"/>
    </row>
    <row r="180" spans="1:19" ht="14.25" customHeight="1" x14ac:dyDescent="0.25">
      <c r="A180" s="401" t="s">
        <v>706</v>
      </c>
      <c r="B180" s="402"/>
      <c r="C180" s="417" t="s">
        <v>707</v>
      </c>
      <c r="D180" s="402"/>
      <c r="E180" s="402"/>
      <c r="F180" s="402"/>
      <c r="G180" s="403"/>
      <c r="H180" s="403"/>
      <c r="I180" s="402"/>
      <c r="J180" s="402"/>
      <c r="K180" s="402"/>
      <c r="L180" s="402"/>
      <c r="M180" s="402"/>
      <c r="N180" s="402"/>
      <c r="O180" s="402"/>
      <c r="P180" s="402"/>
      <c r="Q180" s="402"/>
      <c r="R180" s="402"/>
      <c r="S180" s="404"/>
    </row>
    <row r="181" spans="1:19" ht="14.25" customHeight="1" x14ac:dyDescent="0.25">
      <c r="A181" s="401"/>
      <c r="B181" s="402"/>
      <c r="C181" s="402"/>
      <c r="D181" s="402"/>
      <c r="E181" s="402"/>
      <c r="F181" s="417" t="s">
        <v>708</v>
      </c>
      <c r="G181" s="402"/>
      <c r="H181" s="402"/>
      <c r="I181" s="402"/>
      <c r="J181" s="402"/>
      <c r="K181" s="402"/>
      <c r="L181" s="402"/>
      <c r="M181" s="402"/>
      <c r="N181" s="402"/>
      <c r="O181" s="402"/>
      <c r="P181" s="402"/>
      <c r="Q181" s="402"/>
      <c r="R181" s="402"/>
      <c r="S181" s="404"/>
    </row>
    <row r="182" spans="1:19" ht="14.25" customHeight="1" x14ac:dyDescent="0.25">
      <c r="A182" s="401"/>
      <c r="B182" s="402"/>
      <c r="C182" s="402"/>
      <c r="D182" s="402"/>
      <c r="E182" s="402"/>
      <c r="F182" s="417" t="s">
        <v>709</v>
      </c>
      <c r="G182" s="402"/>
      <c r="H182" s="402"/>
      <c r="I182" s="402"/>
      <c r="J182" s="402"/>
      <c r="K182" s="402"/>
      <c r="L182" s="402"/>
      <c r="M182" s="402"/>
      <c r="N182" s="402"/>
      <c r="O182" s="402"/>
      <c r="P182" s="402"/>
      <c r="Q182" s="402"/>
      <c r="R182" s="402"/>
      <c r="S182" s="404"/>
    </row>
    <row r="183" spans="1:19" ht="15" customHeight="1" x14ac:dyDescent="0.25">
      <c r="A183" s="401"/>
      <c r="B183" s="402"/>
      <c r="C183" s="417" t="s">
        <v>710</v>
      </c>
      <c r="D183" s="402"/>
      <c r="E183" s="402"/>
      <c r="F183" s="402"/>
      <c r="G183" s="402"/>
      <c r="H183" s="403"/>
      <c r="I183" s="403"/>
      <c r="J183" s="403"/>
      <c r="K183" s="402"/>
      <c r="L183" s="417" t="s">
        <v>711</v>
      </c>
      <c r="M183" s="417"/>
      <c r="N183" s="402"/>
      <c r="O183" s="402"/>
      <c r="P183" s="402"/>
      <c r="Q183" s="402"/>
      <c r="R183" s="402"/>
      <c r="S183" s="404"/>
    </row>
    <row r="184" spans="1:19" ht="15" customHeight="1" x14ac:dyDescent="0.25">
      <c r="A184" s="401"/>
      <c r="B184" s="402"/>
      <c r="C184" s="418" t="s">
        <v>325</v>
      </c>
      <c r="D184" s="418"/>
      <c r="E184" s="418" t="s">
        <v>326</v>
      </c>
      <c r="F184" s="418"/>
      <c r="G184" s="402"/>
      <c r="H184" s="403"/>
      <c r="I184" s="403"/>
      <c r="J184" s="403"/>
      <c r="K184" s="402"/>
      <c r="L184" s="418" t="s">
        <v>325</v>
      </c>
      <c r="M184" s="418"/>
      <c r="N184" s="418"/>
      <c r="O184" s="419" t="s">
        <v>326</v>
      </c>
      <c r="P184" s="420"/>
      <c r="Q184" s="402"/>
      <c r="R184" s="402"/>
      <c r="S184" s="404"/>
    </row>
    <row r="185" spans="1:19" ht="16.5" customHeight="1" x14ac:dyDescent="0.25">
      <c r="A185" s="401"/>
      <c r="B185" s="402"/>
      <c r="C185" s="891"/>
      <c r="D185" s="893"/>
      <c r="E185" s="900"/>
      <c r="F185" s="901"/>
      <c r="G185" s="402"/>
      <c r="H185" s="403"/>
      <c r="I185" s="403"/>
      <c r="J185" s="403"/>
      <c r="K185" s="402"/>
      <c r="L185" s="891" t="str">
        <f>IF(C185="","",C185)</f>
        <v/>
      </c>
      <c r="M185" s="892"/>
      <c r="N185" s="893"/>
      <c r="O185" s="891" t="str">
        <f>IF(E185="","",E185)</f>
        <v/>
      </c>
      <c r="P185" s="892"/>
      <c r="Q185" s="893"/>
      <c r="R185" s="402"/>
      <c r="S185" s="404"/>
    </row>
    <row r="186" spans="1:19" ht="6" customHeight="1" thickBot="1" x14ac:dyDescent="0.3">
      <c r="A186" s="421"/>
      <c r="B186" s="422"/>
      <c r="C186" s="422"/>
      <c r="D186" s="422"/>
      <c r="E186" s="422"/>
      <c r="F186" s="422"/>
      <c r="G186" s="423"/>
      <c r="H186" s="423"/>
      <c r="I186" s="422"/>
      <c r="J186" s="422"/>
      <c r="K186" s="422"/>
      <c r="L186" s="422"/>
      <c r="M186" s="422"/>
      <c r="N186" s="422"/>
      <c r="O186" s="422"/>
      <c r="P186" s="422"/>
      <c r="Q186" s="422"/>
      <c r="R186" s="422"/>
      <c r="S186" s="424"/>
    </row>
    <row r="187" spans="1:19" ht="6" customHeight="1" x14ac:dyDescent="0.25">
      <c r="A187" s="401"/>
      <c r="B187" s="402"/>
      <c r="C187" s="402"/>
      <c r="D187" s="402"/>
      <c r="E187" s="402"/>
      <c r="F187" s="402"/>
      <c r="G187" s="403"/>
      <c r="H187" s="403"/>
      <c r="I187" s="402"/>
      <c r="J187" s="402"/>
      <c r="K187" s="402"/>
      <c r="L187" s="402"/>
      <c r="M187" s="402"/>
      <c r="N187" s="402"/>
      <c r="O187" s="402"/>
      <c r="P187" s="402"/>
      <c r="Q187" s="402"/>
      <c r="R187" s="402"/>
      <c r="S187" s="404"/>
    </row>
    <row r="188" spans="1:19" ht="15" customHeight="1" x14ac:dyDescent="0.25">
      <c r="A188" s="401"/>
      <c r="B188" s="834" t="s">
        <v>712</v>
      </c>
      <c r="C188" s="835"/>
      <c r="D188" s="836"/>
      <c r="E188" s="402"/>
      <c r="F188" s="417" t="s">
        <v>713</v>
      </c>
      <c r="G188" s="403"/>
      <c r="H188" s="403"/>
      <c r="I188" s="402"/>
      <c r="J188" s="402"/>
      <c r="K188" s="402"/>
      <c r="L188" s="402"/>
      <c r="M188" s="402"/>
      <c r="N188" s="402"/>
      <c r="O188" s="402"/>
      <c r="P188" s="402"/>
      <c r="Q188" s="402"/>
      <c r="R188" s="402"/>
      <c r="S188" s="404"/>
    </row>
    <row r="189" spans="1:19" ht="15" customHeight="1" x14ac:dyDescent="0.25">
      <c r="A189" s="401"/>
      <c r="B189" s="837"/>
      <c r="C189" s="838"/>
      <c r="D189" s="839"/>
      <c r="E189" s="402"/>
      <c r="F189" s="402"/>
      <c r="G189" s="403"/>
      <c r="H189" s="403"/>
      <c r="I189" s="402"/>
      <c r="J189" s="402"/>
      <c r="K189" s="402"/>
      <c r="L189" s="402"/>
      <c r="M189" s="402"/>
      <c r="N189" s="402"/>
      <c r="O189" s="402"/>
      <c r="P189" s="402"/>
      <c r="Q189" s="402"/>
      <c r="R189" s="402"/>
      <c r="S189" s="404"/>
    </row>
    <row r="190" spans="1:19" ht="15" customHeight="1" x14ac:dyDescent="0.25">
      <c r="A190" s="401"/>
      <c r="B190" s="402"/>
      <c r="C190" s="402"/>
      <c r="D190" s="402"/>
      <c r="E190" s="402"/>
      <c r="F190" s="417" t="s">
        <v>714</v>
      </c>
      <c r="G190" s="403"/>
      <c r="H190" s="403"/>
      <c r="I190" s="402"/>
      <c r="J190" s="402"/>
      <c r="K190" s="402"/>
      <c r="L190" s="402"/>
      <c r="M190" s="402"/>
      <c r="N190" s="402"/>
      <c r="O190" s="402"/>
      <c r="P190" s="402"/>
      <c r="Q190" s="402"/>
      <c r="R190" s="402"/>
      <c r="S190" s="404"/>
    </row>
    <row r="191" spans="1:19" ht="15" customHeight="1" x14ac:dyDescent="0.25">
      <c r="A191" s="401"/>
      <c r="B191" s="402"/>
      <c r="C191" s="402"/>
      <c r="D191" s="402"/>
      <c r="E191" s="402"/>
      <c r="F191" s="425" t="s">
        <v>715</v>
      </c>
      <c r="G191" s="403"/>
      <c r="H191" s="403"/>
      <c r="I191" s="402"/>
      <c r="J191" s="402"/>
      <c r="K191" s="402"/>
      <c r="L191" s="402"/>
      <c r="M191" s="402"/>
      <c r="N191" s="402"/>
      <c r="O191" s="402"/>
      <c r="P191" s="402"/>
      <c r="Q191" s="402"/>
      <c r="R191" s="402"/>
      <c r="S191" s="404"/>
    </row>
    <row r="192" spans="1:19" ht="15" customHeight="1" x14ac:dyDescent="0.25">
      <c r="A192" s="401"/>
      <c r="B192" s="385"/>
      <c r="C192" s="402"/>
      <c r="D192" s="402"/>
      <c r="E192" s="402"/>
      <c r="F192" s="417" t="s">
        <v>716</v>
      </c>
      <c r="G192" s="403"/>
      <c r="H192" s="403"/>
      <c r="I192" s="402"/>
      <c r="J192" s="402"/>
      <c r="K192" s="402"/>
      <c r="L192" s="402"/>
      <c r="M192" s="402"/>
      <c r="N192" s="402"/>
      <c r="O192" s="402"/>
      <c r="P192" s="402"/>
      <c r="Q192" s="402"/>
      <c r="R192" s="402"/>
      <c r="S192" s="404"/>
    </row>
    <row r="193" spans="1:19" ht="15" customHeight="1" x14ac:dyDescent="0.25">
      <c r="A193" s="401"/>
      <c r="B193" s="402"/>
      <c r="C193" s="402"/>
      <c r="D193" s="402"/>
      <c r="E193" s="402"/>
      <c r="F193" s="417" t="s">
        <v>717</v>
      </c>
      <c r="G193" s="403"/>
      <c r="H193" s="403"/>
      <c r="I193" s="402"/>
      <c r="J193" s="402"/>
      <c r="K193" s="402"/>
      <c r="L193" s="402"/>
      <c r="M193" s="402"/>
      <c r="N193" s="402"/>
      <c r="O193" s="402"/>
      <c r="P193" s="402"/>
      <c r="Q193" s="402"/>
      <c r="R193" s="402"/>
      <c r="S193" s="404"/>
    </row>
    <row r="194" spans="1:19" ht="15" customHeight="1" x14ac:dyDescent="0.25">
      <c r="A194" s="401"/>
      <c r="B194" s="402"/>
      <c r="C194" s="402"/>
      <c r="D194" s="402"/>
      <c r="E194" s="402"/>
      <c r="F194" s="417" t="s">
        <v>718</v>
      </c>
      <c r="G194" s="403"/>
      <c r="H194" s="403"/>
      <c r="I194" s="402"/>
      <c r="J194" s="402"/>
      <c r="K194" s="402"/>
      <c r="L194" s="402"/>
      <c r="M194" s="402"/>
      <c r="N194" s="402"/>
      <c r="O194" s="402"/>
      <c r="P194" s="402"/>
      <c r="Q194" s="402"/>
      <c r="R194" s="402"/>
      <c r="S194" s="404"/>
    </row>
    <row r="195" spans="1:19" ht="15" customHeight="1" x14ac:dyDescent="0.25">
      <c r="A195" s="401"/>
      <c r="B195" s="402"/>
      <c r="C195" s="402"/>
      <c r="D195" s="402"/>
      <c r="E195" s="402"/>
      <c r="F195" s="417" t="s">
        <v>719</v>
      </c>
      <c r="G195" s="403"/>
      <c r="H195" s="403"/>
      <c r="I195" s="402"/>
      <c r="J195" s="402"/>
      <c r="K195" s="402"/>
      <c r="L195" s="402"/>
      <c r="M195" s="402"/>
      <c r="N195" s="402"/>
      <c r="O195" s="402"/>
      <c r="P195" s="402"/>
      <c r="Q195" s="402"/>
      <c r="R195" s="402"/>
      <c r="S195" s="404"/>
    </row>
    <row r="196" spans="1:19" ht="15" customHeight="1" x14ac:dyDescent="0.25">
      <c r="A196" s="401"/>
      <c r="B196" s="402"/>
      <c r="C196" s="402"/>
      <c r="D196" s="402"/>
      <c r="E196" s="402"/>
      <c r="F196" s="402"/>
      <c r="G196" s="403"/>
      <c r="H196" s="403"/>
      <c r="I196" s="402"/>
      <c r="J196" s="402"/>
      <c r="K196" s="402"/>
      <c r="L196" s="402"/>
      <c r="M196" s="402"/>
      <c r="N196" s="402"/>
      <c r="O196" s="402"/>
      <c r="P196" s="402"/>
      <c r="Q196" s="402"/>
      <c r="R196" s="402"/>
      <c r="S196" s="404"/>
    </row>
    <row r="197" spans="1:19" ht="15" customHeight="1" x14ac:dyDescent="0.25">
      <c r="A197" s="401"/>
      <c r="B197" s="402"/>
      <c r="C197" s="402"/>
      <c r="D197" s="402"/>
      <c r="E197" s="402"/>
      <c r="F197" s="402"/>
      <c r="G197" s="385"/>
      <c r="H197" s="403"/>
      <c r="I197" s="402"/>
      <c r="J197" s="402"/>
      <c r="K197" s="402"/>
      <c r="L197" s="402"/>
      <c r="M197" s="402"/>
      <c r="N197" s="402"/>
      <c r="O197" s="402"/>
      <c r="P197" s="402"/>
      <c r="Q197" s="402"/>
      <c r="R197" s="402"/>
      <c r="S197" s="404"/>
    </row>
    <row r="198" spans="1:19" ht="15" customHeight="1" x14ac:dyDescent="0.25">
      <c r="A198" s="401"/>
      <c r="B198" s="402"/>
      <c r="C198" s="402"/>
      <c r="D198" s="402"/>
      <c r="E198" s="402"/>
      <c r="F198" s="402"/>
      <c r="G198" s="403"/>
      <c r="H198" s="403"/>
      <c r="I198" s="402"/>
      <c r="J198" s="402"/>
      <c r="K198" s="402"/>
      <c r="L198" s="402"/>
      <c r="M198" s="402"/>
      <c r="N198" s="402"/>
      <c r="O198" s="402"/>
      <c r="P198" s="402"/>
      <c r="Q198" s="402"/>
      <c r="R198" s="402"/>
      <c r="S198" s="404"/>
    </row>
    <row r="199" spans="1:19" ht="15" customHeight="1" x14ac:dyDescent="0.25">
      <c r="A199" s="401"/>
      <c r="B199" s="402"/>
      <c r="C199" s="402"/>
      <c r="D199" s="402"/>
      <c r="E199" s="402"/>
      <c r="F199" s="402"/>
      <c r="G199" s="403"/>
      <c r="H199" s="403"/>
      <c r="I199" s="402"/>
      <c r="J199" s="402"/>
      <c r="K199" s="402"/>
      <c r="L199" s="402"/>
      <c r="M199" s="402"/>
      <c r="N199" s="402"/>
      <c r="O199" s="402"/>
      <c r="P199" s="402"/>
      <c r="Q199" s="402"/>
      <c r="R199" s="402"/>
      <c r="S199" s="404"/>
    </row>
    <row r="200" spans="1:19" ht="15" customHeight="1" x14ac:dyDescent="0.25">
      <c r="A200" s="401"/>
      <c r="B200" s="402"/>
      <c r="C200" s="402"/>
      <c r="D200" s="402"/>
      <c r="E200" s="402"/>
      <c r="F200" s="402"/>
      <c r="G200" s="403"/>
      <c r="H200" s="403"/>
      <c r="I200" s="402"/>
      <c r="J200" s="402"/>
      <c r="K200" s="402"/>
      <c r="L200" s="402"/>
      <c r="M200" s="402"/>
      <c r="N200" s="402"/>
      <c r="O200" s="402"/>
      <c r="P200" s="402"/>
      <c r="Q200" s="402"/>
      <c r="R200" s="402"/>
      <c r="S200" s="404"/>
    </row>
    <row r="201" spans="1:19" ht="15" customHeight="1" x14ac:dyDescent="0.25">
      <c r="A201" s="401"/>
      <c r="B201" s="402"/>
      <c r="C201" s="402"/>
      <c r="D201" s="402"/>
      <c r="E201" s="402"/>
      <c r="F201" s="402"/>
      <c r="G201" s="403"/>
      <c r="H201" s="403"/>
      <c r="I201" s="402"/>
      <c r="J201" s="402"/>
      <c r="K201" s="402"/>
      <c r="L201" s="402"/>
      <c r="M201" s="402"/>
      <c r="N201" s="402"/>
      <c r="O201" s="402"/>
      <c r="P201" s="402"/>
      <c r="Q201" s="402"/>
      <c r="R201" s="402"/>
      <c r="S201" s="404"/>
    </row>
    <row r="202" spans="1:19" ht="15" customHeight="1" x14ac:dyDescent="0.25">
      <c r="A202" s="401"/>
      <c r="B202" s="402"/>
      <c r="C202" s="402"/>
      <c r="D202" s="402"/>
      <c r="E202" s="402"/>
      <c r="F202" s="402"/>
      <c r="G202" s="403"/>
      <c r="H202" s="403"/>
      <c r="I202" s="402"/>
      <c r="J202" s="402"/>
      <c r="K202" s="402"/>
      <c r="L202" s="402"/>
      <c r="M202" s="402"/>
      <c r="N202" s="402"/>
      <c r="O202" s="402"/>
      <c r="P202" s="402"/>
      <c r="Q202" s="402"/>
      <c r="R202" s="402"/>
      <c r="S202" s="404"/>
    </row>
    <row r="203" spans="1:19" ht="19.5" customHeight="1" x14ac:dyDescent="0.25">
      <c r="A203" s="401"/>
      <c r="B203" s="402"/>
      <c r="C203" s="402"/>
      <c r="D203" s="402"/>
      <c r="E203" s="402"/>
      <c r="F203" s="417"/>
      <c r="G203" s="426"/>
      <c r="H203" s="403"/>
      <c r="I203" s="402"/>
      <c r="J203" s="427"/>
      <c r="K203" s="402"/>
      <c r="L203" s="402"/>
      <c r="M203" s="402"/>
      <c r="N203" s="402"/>
      <c r="O203" s="402"/>
      <c r="P203" s="402"/>
      <c r="Q203" s="402"/>
      <c r="R203" s="402"/>
      <c r="S203" s="404"/>
    </row>
    <row r="204" spans="1:19" ht="12" customHeight="1" x14ac:dyDescent="0.25">
      <c r="A204" s="401"/>
      <c r="B204" s="402"/>
      <c r="C204" s="402"/>
      <c r="D204" s="402"/>
      <c r="E204" s="402"/>
      <c r="F204" s="402"/>
      <c r="G204" s="428" t="s">
        <v>526</v>
      </c>
      <c r="H204" s="403"/>
      <c r="I204" s="402"/>
      <c r="J204" s="427" t="s">
        <v>720</v>
      </c>
      <c r="K204" s="402"/>
      <c r="L204" s="402"/>
      <c r="M204" s="402"/>
      <c r="N204" s="402"/>
      <c r="O204" s="402"/>
      <c r="P204" s="402"/>
      <c r="Q204" s="402"/>
      <c r="R204" s="402"/>
      <c r="S204" s="404"/>
    </row>
    <row r="205" spans="1:19" ht="12" customHeight="1" x14ac:dyDescent="0.25">
      <c r="A205" s="401"/>
      <c r="B205" s="429"/>
      <c r="C205" s="429"/>
      <c r="D205" s="429"/>
      <c r="E205" s="402"/>
      <c r="F205" s="402"/>
      <c r="G205" s="403"/>
      <c r="H205" s="403"/>
      <c r="I205" s="402"/>
      <c r="J205" s="402"/>
      <c r="K205" s="402"/>
      <c r="L205" s="402"/>
      <c r="M205" s="402"/>
      <c r="N205" s="402"/>
      <c r="O205" s="402"/>
      <c r="P205" s="402"/>
      <c r="Q205" s="402"/>
      <c r="R205" s="402"/>
      <c r="S205" s="404"/>
    </row>
    <row r="206" spans="1:19" ht="19.5" customHeight="1" x14ac:dyDescent="0.25">
      <c r="A206" s="401"/>
      <c r="B206" s="402"/>
      <c r="C206" s="429"/>
      <c r="D206" s="402"/>
      <c r="E206" s="402"/>
      <c r="F206" s="402"/>
      <c r="G206" s="403"/>
      <c r="H206" s="403"/>
      <c r="I206" s="402"/>
      <c r="J206" s="402"/>
      <c r="K206" s="402"/>
      <c r="L206" s="402"/>
      <c r="M206" s="402"/>
      <c r="N206" s="402"/>
      <c r="O206" s="402"/>
      <c r="P206" s="402"/>
      <c r="Q206" s="402"/>
      <c r="R206" s="402"/>
      <c r="S206" s="404"/>
    </row>
    <row r="207" spans="1:19" ht="19.5" customHeight="1" x14ac:dyDescent="0.25">
      <c r="A207" s="401"/>
      <c r="B207" s="402"/>
      <c r="C207" s="402"/>
      <c r="D207" s="402"/>
      <c r="E207" s="402" t="s">
        <v>721</v>
      </c>
      <c r="F207" s="402"/>
      <c r="G207" s="403"/>
      <c r="H207" s="403"/>
      <c r="I207" s="402"/>
      <c r="J207" s="402"/>
      <c r="K207" s="402"/>
      <c r="L207" s="402"/>
      <c r="M207" s="402"/>
      <c r="N207" s="402"/>
      <c r="O207" s="402"/>
      <c r="P207" s="402"/>
      <c r="Q207" s="402"/>
      <c r="R207" s="402"/>
      <c r="S207" s="404"/>
    </row>
    <row r="208" spans="1:19" ht="19.5" customHeight="1" x14ac:dyDescent="0.25">
      <c r="A208" s="401"/>
      <c r="B208" s="402"/>
      <c r="C208" s="402"/>
      <c r="D208" s="402"/>
      <c r="E208" s="402"/>
      <c r="F208" s="402"/>
      <c r="G208" s="403"/>
      <c r="H208" s="403"/>
      <c r="I208" s="402"/>
      <c r="J208" s="402"/>
      <c r="K208" s="402"/>
      <c r="L208" s="402"/>
      <c r="M208" s="402"/>
      <c r="N208" s="402"/>
      <c r="O208" s="402"/>
      <c r="P208" s="402"/>
      <c r="Q208" s="402"/>
      <c r="R208" s="402"/>
      <c r="S208" s="404"/>
    </row>
    <row r="209" spans="1:24" ht="19.5" customHeight="1" x14ac:dyDescent="0.25">
      <c r="A209" s="401"/>
      <c r="B209" s="402"/>
      <c r="C209" s="402"/>
      <c r="D209" s="402"/>
      <c r="E209" s="402"/>
      <c r="F209" s="402"/>
      <c r="G209" s="403"/>
      <c r="H209" s="403"/>
      <c r="I209" s="402"/>
      <c r="J209" s="402"/>
      <c r="K209" s="402"/>
      <c r="L209" s="402"/>
      <c r="M209" s="402"/>
      <c r="N209" s="402"/>
      <c r="O209" s="402"/>
      <c r="P209" s="402"/>
      <c r="Q209" s="402"/>
      <c r="R209" s="402"/>
      <c r="S209" s="404"/>
    </row>
    <row r="210" spans="1:24" ht="19.5" customHeight="1" x14ac:dyDescent="0.25">
      <c r="A210" s="401"/>
      <c r="B210" s="402"/>
      <c r="C210" s="402"/>
      <c r="D210" s="402"/>
      <c r="E210" s="402"/>
      <c r="F210" s="402"/>
      <c r="G210" s="403"/>
      <c r="H210" s="403"/>
      <c r="I210" s="402"/>
      <c r="J210" s="402"/>
      <c r="K210" s="402"/>
      <c r="L210" s="402"/>
      <c r="M210" s="402"/>
      <c r="N210" s="402"/>
      <c r="O210" s="402"/>
      <c r="P210" s="402"/>
      <c r="Q210" s="402"/>
      <c r="R210" s="402"/>
      <c r="S210" s="404"/>
    </row>
    <row r="211" spans="1:24" ht="19.5" customHeight="1" x14ac:dyDescent="0.25">
      <c r="A211" s="401"/>
      <c r="B211" s="402"/>
      <c r="C211" s="402"/>
      <c r="D211" s="402"/>
      <c r="E211" s="430" t="s">
        <v>722</v>
      </c>
      <c r="F211" s="402"/>
      <c r="G211" s="403"/>
      <c r="H211" s="403"/>
      <c r="I211" s="402"/>
      <c r="J211" s="402"/>
      <c r="K211" s="402"/>
      <c r="L211" s="402"/>
      <c r="M211" s="402"/>
      <c r="N211" s="402"/>
      <c r="O211" s="402"/>
      <c r="P211" s="402"/>
      <c r="Q211" s="402"/>
      <c r="R211" s="402"/>
      <c r="S211" s="404"/>
      <c r="W211" s="431">
        <f>SQRT((K71-K77)^2+(K70-K76)^2)</f>
        <v>7005.0006423982577</v>
      </c>
    </row>
    <row r="212" spans="1:24" ht="19.5" customHeight="1" x14ac:dyDescent="0.25">
      <c r="A212" s="401"/>
      <c r="B212" s="402"/>
      <c r="C212" s="402"/>
      <c r="D212" s="402"/>
      <c r="E212" s="402"/>
      <c r="F212" s="402"/>
      <c r="G212" s="403"/>
      <c r="H212" s="403"/>
      <c r="I212" s="402"/>
      <c r="J212" s="402"/>
      <c r="K212" s="402"/>
      <c r="L212" s="402"/>
      <c r="M212" s="402"/>
      <c r="N212" s="402"/>
      <c r="O212" s="402"/>
      <c r="P212" s="402"/>
      <c r="Q212" s="402"/>
      <c r="R212" s="402"/>
      <c r="S212" s="404"/>
      <c r="W212" s="431">
        <f>SQRT((K68-K74)^2+(K67-K73)^2)</f>
        <v>7167.0034184448386</v>
      </c>
    </row>
    <row r="213" spans="1:24" ht="19.5" customHeight="1" x14ac:dyDescent="0.25">
      <c r="A213" s="432" t="s">
        <v>723</v>
      </c>
      <c r="B213" s="402"/>
      <c r="C213" s="402"/>
      <c r="D213" s="402"/>
      <c r="E213" s="402"/>
      <c r="F213" s="402"/>
      <c r="G213" s="403"/>
      <c r="H213" s="403"/>
      <c r="I213" s="402"/>
      <c r="J213" s="402"/>
      <c r="K213" s="402"/>
      <c r="L213" s="402"/>
      <c r="M213" s="402"/>
      <c r="N213" s="402"/>
      <c r="O213" s="402"/>
      <c r="P213" s="402"/>
      <c r="Q213" s="402"/>
      <c r="R213" s="402"/>
      <c r="S213" s="433" t="s">
        <v>724</v>
      </c>
    </row>
    <row r="214" spans="1:24" ht="19.5" customHeight="1" x14ac:dyDescent="0.25">
      <c r="A214" s="401"/>
      <c r="B214" s="402"/>
      <c r="C214" s="402"/>
      <c r="D214" s="402"/>
      <c r="E214" s="402"/>
      <c r="F214" s="402"/>
      <c r="G214" s="403"/>
      <c r="H214" s="403"/>
      <c r="I214" s="402"/>
      <c r="J214" s="402"/>
      <c r="K214" s="402"/>
      <c r="L214" s="402"/>
      <c r="M214" s="402"/>
      <c r="N214" s="402"/>
      <c r="O214" s="402"/>
      <c r="P214" s="402"/>
      <c r="Q214" s="402"/>
      <c r="R214" s="402"/>
      <c r="S214" s="404"/>
      <c r="V214" s="431">
        <f>SQRT((K83-K77)^2+(K76-K82)^2)</f>
        <v>8396.7253140733374</v>
      </c>
      <c r="X214" s="431">
        <f>SQRT((K89-K71)^2+(K88-K70)^2)</f>
        <v>8396.6440915403819</v>
      </c>
    </row>
    <row r="215" spans="1:24" ht="19.5" customHeight="1" x14ac:dyDescent="0.25">
      <c r="A215" s="401"/>
      <c r="B215" s="402"/>
      <c r="C215" s="402"/>
      <c r="D215" s="402"/>
      <c r="E215" s="402"/>
      <c r="F215" s="402"/>
      <c r="G215" s="403"/>
      <c r="H215" s="403"/>
      <c r="I215" s="402"/>
      <c r="J215" s="402"/>
      <c r="K215" s="402"/>
      <c r="L215" s="402"/>
      <c r="M215" s="402"/>
      <c r="N215" s="402"/>
      <c r="O215" s="402"/>
      <c r="P215" s="402"/>
      <c r="Q215" s="402"/>
      <c r="R215" s="402"/>
      <c r="S215" s="404"/>
      <c r="V215" s="431">
        <f>SQRT((K80-K74)^2+(K73-K79)^2)</f>
        <v>2245.2830556524495</v>
      </c>
      <c r="X215" s="431">
        <f>SQRT((K86-K68)^2+(K85-K67)^2)</f>
        <v>2244.8064504540253</v>
      </c>
    </row>
    <row r="216" spans="1:24" ht="19.5" customHeight="1" x14ac:dyDescent="0.25">
      <c r="A216" s="401"/>
      <c r="B216" s="402"/>
      <c r="C216" s="402"/>
      <c r="D216" s="402"/>
      <c r="E216" s="402"/>
      <c r="F216" s="402"/>
      <c r="G216" s="403"/>
      <c r="H216" s="403"/>
      <c r="I216" s="402"/>
      <c r="J216" s="402"/>
      <c r="K216" s="402"/>
      <c r="L216" s="402"/>
      <c r="M216" s="402"/>
      <c r="N216" s="402"/>
      <c r="O216" s="402"/>
      <c r="P216" s="402"/>
      <c r="Q216" s="402"/>
      <c r="R216" s="402"/>
      <c r="S216" s="404"/>
    </row>
    <row r="217" spans="1:24" ht="19.5" customHeight="1" x14ac:dyDescent="0.25">
      <c r="A217" s="401"/>
      <c r="B217" s="402"/>
      <c r="C217" s="402"/>
      <c r="D217" s="402"/>
      <c r="E217" s="402"/>
      <c r="F217" s="402"/>
      <c r="G217" s="403"/>
      <c r="H217" s="403"/>
      <c r="I217" s="402"/>
      <c r="J217" s="402"/>
      <c r="K217" s="402"/>
      <c r="L217" s="402"/>
      <c r="M217" s="402"/>
      <c r="N217" s="402"/>
      <c r="O217" s="402"/>
      <c r="P217" s="402"/>
      <c r="Q217" s="402"/>
      <c r="R217" s="402"/>
      <c r="S217" s="404"/>
      <c r="W217" s="431">
        <f>SQRT((K80-K86)^2+(K79-K85)^2)</f>
        <v>7283.0033639975754</v>
      </c>
    </row>
    <row r="218" spans="1:24" ht="19.5" customHeight="1" x14ac:dyDescent="0.25">
      <c r="A218" s="401"/>
      <c r="B218" s="402"/>
      <c r="C218" s="402"/>
      <c r="D218" s="402"/>
      <c r="E218" s="402"/>
      <c r="F218" s="402"/>
      <c r="G218" s="403"/>
      <c r="H218" s="403"/>
      <c r="I218" s="402"/>
      <c r="J218" s="402"/>
      <c r="K218" s="402"/>
      <c r="L218" s="402"/>
      <c r="M218" s="402"/>
      <c r="N218" s="402"/>
      <c r="O218" s="402"/>
      <c r="P218" s="402"/>
      <c r="Q218" s="402"/>
      <c r="R218" s="402"/>
      <c r="S218" s="404"/>
      <c r="W218" s="431">
        <f>SQRT((K83-K89)^2+(K82-K88)^2)</f>
        <v>7445.0006044324809</v>
      </c>
    </row>
    <row r="219" spans="1:24" ht="19.5" customHeight="1" x14ac:dyDescent="0.25">
      <c r="A219" s="401"/>
      <c r="B219" s="402"/>
      <c r="C219" s="402"/>
      <c r="D219" s="402"/>
      <c r="E219" s="402"/>
      <c r="F219" s="402"/>
      <c r="G219" s="403"/>
      <c r="H219" s="403"/>
      <c r="I219" s="402"/>
      <c r="J219" s="402"/>
      <c r="K219" s="402"/>
      <c r="L219" s="402"/>
      <c r="M219" s="402"/>
      <c r="N219" s="402"/>
      <c r="O219" s="402"/>
      <c r="P219" s="402"/>
      <c r="Q219" s="402"/>
      <c r="R219" s="402"/>
      <c r="S219" s="404"/>
    </row>
    <row r="220" spans="1:24" ht="19.5" customHeight="1" x14ac:dyDescent="0.25">
      <c r="A220" s="401"/>
      <c r="B220" s="402"/>
      <c r="C220" s="402"/>
      <c r="D220" s="402"/>
      <c r="E220" s="402"/>
      <c r="F220" s="402"/>
      <c r="G220" s="403"/>
      <c r="H220" s="403"/>
      <c r="I220" s="402"/>
      <c r="J220" s="402"/>
      <c r="K220" s="402"/>
      <c r="L220" s="402"/>
      <c r="M220" s="402"/>
      <c r="N220" s="402"/>
      <c r="O220" s="402"/>
      <c r="P220" s="402"/>
      <c r="Q220" s="402"/>
      <c r="R220" s="402"/>
      <c r="S220" s="404"/>
    </row>
    <row r="221" spans="1:24" ht="19.5" customHeight="1" x14ac:dyDescent="0.25">
      <c r="A221" s="401"/>
      <c r="B221" s="402"/>
      <c r="C221" s="402"/>
      <c r="D221" s="402"/>
      <c r="E221" s="402"/>
      <c r="F221" s="402"/>
      <c r="G221" s="403"/>
      <c r="H221" s="403"/>
      <c r="I221" s="402"/>
      <c r="J221" s="402"/>
      <c r="K221" s="402"/>
      <c r="L221" s="402"/>
      <c r="M221" s="402"/>
      <c r="N221" s="402"/>
      <c r="O221" s="402"/>
      <c r="P221" s="402"/>
      <c r="Q221" s="402"/>
      <c r="R221" s="402"/>
      <c r="S221" s="404"/>
    </row>
    <row r="222" spans="1:24" ht="19.5" customHeight="1" x14ac:dyDescent="0.25">
      <c r="A222" s="401"/>
      <c r="B222" s="402"/>
      <c r="C222" s="402"/>
      <c r="D222" s="402"/>
      <c r="E222" s="402"/>
      <c r="F222" s="402"/>
      <c r="G222" s="428" t="s">
        <v>529</v>
      </c>
      <c r="H222" s="426"/>
      <c r="I222" s="402"/>
      <c r="J222" s="402"/>
      <c r="K222" s="402"/>
      <c r="L222" s="402"/>
      <c r="M222" s="387"/>
      <c r="N222" s="417" t="s">
        <v>725</v>
      </c>
      <c r="O222" s="402"/>
      <c r="P222" s="402"/>
      <c r="Q222" s="402"/>
      <c r="R222" s="402"/>
      <c r="S222" s="404"/>
    </row>
    <row r="223" spans="1:24" ht="9" customHeight="1" x14ac:dyDescent="0.25">
      <c r="A223" s="401"/>
      <c r="B223" s="402"/>
      <c r="C223" s="402"/>
      <c r="D223" s="402"/>
      <c r="E223" s="402"/>
      <c r="F223" s="402"/>
      <c r="G223" s="428"/>
      <c r="H223" s="426"/>
      <c r="I223" s="402"/>
      <c r="J223" s="402"/>
      <c r="K223" s="402"/>
      <c r="L223" s="402"/>
      <c r="M223" s="402"/>
      <c r="N223" s="402"/>
      <c r="O223" s="402"/>
      <c r="P223" s="402"/>
      <c r="Q223" s="402"/>
      <c r="R223" s="402"/>
      <c r="S223" s="404"/>
    </row>
    <row r="224" spans="1:24" ht="12.75" customHeight="1" x14ac:dyDescent="0.25">
      <c r="A224" s="401"/>
      <c r="B224" s="402"/>
      <c r="C224" s="402"/>
      <c r="D224" s="402"/>
      <c r="E224" s="402"/>
      <c r="F224" s="402"/>
      <c r="G224" s="428"/>
      <c r="H224" s="426"/>
      <c r="I224" s="402"/>
      <c r="J224" s="402"/>
      <c r="K224" s="402"/>
      <c r="L224" s="402"/>
      <c r="M224" s="387"/>
      <c r="N224" s="418" t="s">
        <v>325</v>
      </c>
      <c r="O224" s="418"/>
      <c r="P224" s="419" t="s">
        <v>326</v>
      </c>
      <c r="Q224" s="420"/>
      <c r="R224" s="402"/>
      <c r="S224" s="404"/>
    </row>
    <row r="225" spans="1:20" ht="19.5" customHeight="1" x14ac:dyDescent="0.25">
      <c r="A225" s="401"/>
      <c r="B225" s="402"/>
      <c r="C225" s="402"/>
      <c r="D225" s="402"/>
      <c r="E225" s="402"/>
      <c r="F225" s="402"/>
      <c r="G225" s="428"/>
      <c r="H225" s="426"/>
      <c r="I225" s="402"/>
      <c r="J225" s="402"/>
      <c r="K225" s="402"/>
      <c r="L225" s="402"/>
      <c r="M225" s="387"/>
      <c r="N225" s="897"/>
      <c r="O225" s="899"/>
      <c r="P225" s="897"/>
      <c r="Q225" s="898"/>
      <c r="R225" s="899"/>
      <c r="S225" s="404"/>
    </row>
    <row r="226" spans="1:20" ht="8.25" customHeight="1" thickBot="1" x14ac:dyDescent="0.3">
      <c r="A226" s="421"/>
      <c r="B226" s="422"/>
      <c r="C226" s="422"/>
      <c r="D226" s="422"/>
      <c r="E226" s="422"/>
      <c r="F226" s="422"/>
      <c r="G226" s="423"/>
      <c r="H226" s="423"/>
      <c r="I226" s="422"/>
      <c r="J226" s="422"/>
      <c r="K226" s="422"/>
      <c r="L226" s="422"/>
      <c r="M226" s="422"/>
      <c r="N226" s="422"/>
      <c r="O226" s="422"/>
      <c r="P226" s="422"/>
      <c r="Q226" s="422"/>
      <c r="R226" s="422"/>
      <c r="S226" s="424"/>
    </row>
    <row r="227" spans="1:20" s="372" customFormat="1" ht="6" customHeight="1" x14ac:dyDescent="0.2">
      <c r="A227" s="434"/>
      <c r="B227" s="435"/>
      <c r="C227" s="435"/>
      <c r="D227" s="435"/>
      <c r="E227" s="436"/>
      <c r="F227" s="435"/>
      <c r="G227" s="437"/>
      <c r="H227" s="437"/>
      <c r="I227" s="435"/>
      <c r="J227" s="435"/>
      <c r="K227" s="435"/>
      <c r="L227" s="435"/>
      <c r="M227" s="435"/>
      <c r="N227" s="435"/>
      <c r="O227" s="435"/>
      <c r="P227" s="435"/>
      <c r="Q227" s="435"/>
      <c r="R227" s="435"/>
      <c r="S227" s="438"/>
      <c r="T227" s="439"/>
    </row>
    <row r="228" spans="1:20" s="372" customFormat="1" ht="22.5" customHeight="1" x14ac:dyDescent="0.2">
      <c r="A228" s="440"/>
      <c r="B228" s="834" t="s">
        <v>726</v>
      </c>
      <c r="C228" s="835"/>
      <c r="D228" s="836"/>
      <c r="E228" s="441"/>
      <c r="F228" s="442" t="s">
        <v>463</v>
      </c>
      <c r="G228" s="441"/>
      <c r="H228" s="441"/>
      <c r="I228" s="441"/>
      <c r="J228" s="441"/>
      <c r="K228" s="441"/>
      <c r="L228" s="441"/>
      <c r="M228" s="441"/>
      <c r="N228" s="441"/>
      <c r="O228" s="441"/>
      <c r="P228" s="441"/>
      <c r="Q228" s="441"/>
      <c r="R228" s="441"/>
      <c r="S228" s="443"/>
      <c r="T228" s="439"/>
    </row>
    <row r="229" spans="1:20" s="372" customFormat="1" ht="8.25" customHeight="1" x14ac:dyDescent="0.2">
      <c r="A229" s="440"/>
      <c r="B229" s="837"/>
      <c r="C229" s="838"/>
      <c r="D229" s="839"/>
      <c r="E229" s="441"/>
      <c r="F229" s="442"/>
      <c r="G229" s="441"/>
      <c r="H229" s="441"/>
      <c r="I229" s="441"/>
      <c r="J229" s="441"/>
      <c r="K229" s="441"/>
      <c r="L229" s="441"/>
      <c r="M229" s="441"/>
      <c r="N229" s="441"/>
      <c r="O229" s="441"/>
      <c r="P229" s="441"/>
      <c r="Q229" s="441"/>
      <c r="R229" s="441"/>
      <c r="S229" s="443"/>
      <c r="T229" s="439"/>
    </row>
    <row r="230" spans="1:20" s="372" customFormat="1" ht="12.75" customHeight="1" x14ac:dyDescent="0.2">
      <c r="A230" s="440"/>
      <c r="B230" s="444"/>
      <c r="C230" s="445"/>
      <c r="D230" s="445"/>
      <c r="E230" s="441"/>
      <c r="F230" s="446"/>
      <c r="G230" s="447" t="s">
        <v>454</v>
      </c>
      <c r="H230" s="447"/>
      <c r="I230" s="441"/>
      <c r="J230" s="441"/>
      <c r="K230" s="441"/>
      <c r="L230" s="441"/>
      <c r="M230" s="441"/>
      <c r="N230" s="441"/>
      <c r="O230" s="894" t="s">
        <v>727</v>
      </c>
      <c r="P230" s="895"/>
      <c r="Q230" s="895"/>
      <c r="R230" s="896"/>
      <c r="S230" s="443"/>
      <c r="T230" s="439"/>
    </row>
    <row r="231" spans="1:20" s="372" customFormat="1" ht="12.75" customHeight="1" x14ac:dyDescent="0.2">
      <c r="A231" s="440"/>
      <c r="B231" s="444"/>
      <c r="C231" s="445"/>
      <c r="D231" s="445"/>
      <c r="E231" s="441"/>
      <c r="F231" s="447"/>
      <c r="G231" s="447" t="s">
        <v>453</v>
      </c>
      <c r="H231" s="447"/>
      <c r="I231" s="447"/>
      <c r="J231" s="447"/>
      <c r="K231" s="447"/>
      <c r="L231" s="447"/>
      <c r="M231" s="447"/>
      <c r="N231" s="447"/>
      <c r="O231" s="447"/>
      <c r="P231" s="447"/>
      <c r="Q231" s="447"/>
      <c r="R231" s="447"/>
      <c r="S231" s="448"/>
      <c r="T231" s="439"/>
    </row>
    <row r="232" spans="1:20" s="372" customFormat="1" ht="3" customHeight="1" x14ac:dyDescent="0.2">
      <c r="A232" s="440"/>
      <c r="B232" s="444"/>
      <c r="C232" s="445"/>
      <c r="D232" s="445"/>
      <c r="E232" s="441"/>
      <c r="F232" s="447"/>
      <c r="G232" s="447"/>
      <c r="H232" s="447"/>
      <c r="I232" s="449"/>
      <c r="J232" s="449"/>
      <c r="K232" s="449"/>
      <c r="L232" s="449"/>
      <c r="M232" s="449"/>
      <c r="N232" s="449"/>
      <c r="O232" s="449"/>
      <c r="P232" s="449"/>
      <c r="Q232" s="449"/>
      <c r="R232" s="447"/>
      <c r="S232" s="448"/>
      <c r="T232" s="439"/>
    </row>
    <row r="233" spans="1:20" s="372" customFormat="1" ht="12.75" customHeight="1" x14ac:dyDescent="0.2">
      <c r="A233" s="440"/>
      <c r="B233" s="444"/>
      <c r="C233" s="445"/>
      <c r="D233" s="445"/>
      <c r="E233" s="441"/>
      <c r="F233" s="447"/>
      <c r="G233" s="826" t="s">
        <v>455</v>
      </c>
      <c r="H233" s="826"/>
      <c r="I233" s="826" t="s">
        <v>464</v>
      </c>
      <c r="J233" s="826"/>
      <c r="K233" s="450" t="s">
        <v>461</v>
      </c>
      <c r="L233" s="826" t="s">
        <v>465</v>
      </c>
      <c r="M233" s="826"/>
      <c r="N233" s="827" t="s">
        <v>466</v>
      </c>
      <c r="O233" s="827"/>
      <c r="P233" s="451" t="s">
        <v>456</v>
      </c>
      <c r="Q233" s="826" t="s">
        <v>326</v>
      </c>
      <c r="R233" s="826"/>
      <c r="S233" s="448"/>
      <c r="T233" s="439"/>
    </row>
    <row r="234" spans="1:20" s="372" customFormat="1" ht="18.75" customHeight="1" x14ac:dyDescent="0.2">
      <c r="A234" s="440"/>
      <c r="B234" s="452" t="s">
        <v>200</v>
      </c>
      <c r="C234" s="453"/>
      <c r="D234" s="453"/>
      <c r="E234" s="454" t="s">
        <v>457</v>
      </c>
      <c r="F234" s="447"/>
      <c r="G234" s="902">
        <f>Geraetedaten!B101</f>
        <v>6128</v>
      </c>
      <c r="H234" s="903"/>
      <c r="I234" s="902">
        <f>Geraetedaten!B102</f>
        <v>-1152</v>
      </c>
      <c r="J234" s="904"/>
      <c r="K234" s="668"/>
      <c r="L234" s="902">
        <f>Geraetedaten!B103</f>
        <v>6186</v>
      </c>
      <c r="M234" s="904"/>
      <c r="N234" s="902">
        <f>Geraetedaten!B104</f>
        <v>-4228</v>
      </c>
      <c r="O234" s="904"/>
      <c r="P234" s="669"/>
      <c r="Q234" s="905"/>
      <c r="R234" s="906"/>
      <c r="S234" s="448"/>
      <c r="T234" s="439"/>
    </row>
    <row r="235" spans="1:20" s="372" customFormat="1" ht="18.75" customHeight="1" x14ac:dyDescent="0.2">
      <c r="A235" s="440"/>
      <c r="B235" s="452" t="s">
        <v>451</v>
      </c>
      <c r="C235" s="453"/>
      <c r="D235" s="453"/>
      <c r="E235" s="454" t="s">
        <v>458</v>
      </c>
      <c r="F235" s="447"/>
      <c r="G235" s="902">
        <f>Geraetedaten!B106</f>
        <v>-750</v>
      </c>
      <c r="H235" s="903"/>
      <c r="I235" s="902">
        <f>Geraetedaten!B107</f>
        <v>-1140</v>
      </c>
      <c r="J235" s="904"/>
      <c r="K235" s="668"/>
      <c r="L235" s="902">
        <f>Geraetedaten!B108</f>
        <v>-750</v>
      </c>
      <c r="M235" s="904"/>
      <c r="N235" s="902">
        <f>Geraetedaten!B109</f>
        <v>-4225</v>
      </c>
      <c r="O235" s="904"/>
      <c r="P235" s="669"/>
      <c r="Q235" s="798" t="str">
        <f t="shared" ref="Q235:Q237" si="0">IF(Q234="","",Q234)</f>
        <v/>
      </c>
      <c r="R235" s="799"/>
      <c r="S235" s="448"/>
      <c r="T235" s="439"/>
    </row>
    <row r="236" spans="1:20" s="372" customFormat="1" ht="18.75" customHeight="1" x14ac:dyDescent="0.2">
      <c r="A236" s="440"/>
      <c r="B236" s="452" t="s">
        <v>201</v>
      </c>
      <c r="C236" s="453"/>
      <c r="D236" s="453"/>
      <c r="E236" s="454" t="s">
        <v>459</v>
      </c>
      <c r="F236" s="455"/>
      <c r="G236" s="902">
        <f>Geraetedaten!B116</f>
        <v>6128</v>
      </c>
      <c r="H236" s="903"/>
      <c r="I236" s="902">
        <f>Geraetedaten!B117</f>
        <v>1062</v>
      </c>
      <c r="J236" s="904"/>
      <c r="K236" s="668"/>
      <c r="L236" s="902">
        <f>Geraetedaten!B118</f>
        <v>6290</v>
      </c>
      <c r="M236" s="904"/>
      <c r="N236" s="902">
        <f>Geraetedaten!B119</f>
        <v>4143</v>
      </c>
      <c r="O236" s="904"/>
      <c r="P236" s="670"/>
      <c r="Q236" s="798" t="str">
        <f t="shared" si="0"/>
        <v/>
      </c>
      <c r="R236" s="799"/>
      <c r="S236" s="456"/>
      <c r="T236" s="439"/>
    </row>
    <row r="237" spans="1:20" s="372" customFormat="1" ht="18.75" customHeight="1" x14ac:dyDescent="0.2">
      <c r="A237" s="440"/>
      <c r="B237" s="452" t="s">
        <v>452</v>
      </c>
      <c r="C237" s="453"/>
      <c r="D237" s="453"/>
      <c r="E237" s="454" t="s">
        <v>460</v>
      </c>
      <c r="F237" s="450"/>
      <c r="G237" s="902">
        <f>Geraetedaten!B111</f>
        <v>-750</v>
      </c>
      <c r="H237" s="903"/>
      <c r="I237" s="907">
        <f>Geraetedaten!B112</f>
        <v>1055</v>
      </c>
      <c r="J237" s="908"/>
      <c r="K237" s="668"/>
      <c r="L237" s="907">
        <f>Geraetedaten!B113</f>
        <v>-1075</v>
      </c>
      <c r="M237" s="908"/>
      <c r="N237" s="907">
        <f>Geraetedaten!B114</f>
        <v>4140</v>
      </c>
      <c r="O237" s="908"/>
      <c r="P237" s="670"/>
      <c r="Q237" s="798" t="str">
        <f t="shared" si="0"/>
        <v/>
      </c>
      <c r="R237" s="799"/>
      <c r="S237" s="456"/>
      <c r="T237" s="439"/>
    </row>
    <row r="238" spans="1:20" s="372" customFormat="1" ht="6" customHeight="1" thickBot="1" x14ac:dyDescent="0.25">
      <c r="A238" s="457"/>
      <c r="B238" s="357"/>
      <c r="C238" s="357"/>
      <c r="D238" s="357"/>
      <c r="E238" s="458"/>
      <c r="F238" s="909"/>
      <c r="G238" s="909"/>
      <c r="H238" s="450"/>
      <c r="I238" s="459"/>
      <c r="J238" s="459"/>
      <c r="K238" s="190"/>
      <c r="L238" s="190"/>
      <c r="M238" s="190"/>
      <c r="N238" s="190"/>
      <c r="O238" s="190"/>
      <c r="P238" s="190"/>
      <c r="Q238" s="190"/>
      <c r="R238" s="459"/>
      <c r="S238" s="460"/>
      <c r="T238" s="439"/>
    </row>
    <row r="239" spans="1:20" s="372" customFormat="1" ht="6" customHeight="1" x14ac:dyDescent="0.2">
      <c r="A239" s="434"/>
      <c r="B239" s="435"/>
      <c r="C239" s="435"/>
      <c r="D239" s="435"/>
      <c r="E239" s="436"/>
      <c r="F239" s="435"/>
      <c r="G239" s="437"/>
      <c r="H239" s="437"/>
      <c r="I239" s="435"/>
      <c r="J239" s="435"/>
      <c r="K239" s="435"/>
      <c r="L239" s="435"/>
      <c r="M239" s="435"/>
      <c r="N239" s="435"/>
      <c r="O239" s="435"/>
      <c r="P239" s="435"/>
      <c r="Q239" s="435"/>
      <c r="R239" s="435"/>
      <c r="S239" s="438"/>
      <c r="T239" s="439"/>
    </row>
    <row r="240" spans="1:20" s="372" customFormat="1" ht="15.75" customHeight="1" x14ac:dyDescent="0.2">
      <c r="A240" s="440"/>
      <c r="B240" s="834" t="s">
        <v>728</v>
      </c>
      <c r="C240" s="835"/>
      <c r="D240" s="836"/>
      <c r="E240" s="441"/>
      <c r="F240" s="442" t="s">
        <v>470</v>
      </c>
      <c r="G240" s="441"/>
      <c r="H240" s="441"/>
      <c r="I240" s="441"/>
      <c r="J240" s="441"/>
      <c r="K240" s="441"/>
      <c r="L240" s="441"/>
      <c r="M240" s="441"/>
      <c r="N240" s="441"/>
      <c r="O240" s="441"/>
      <c r="P240" s="441"/>
      <c r="Q240" s="441"/>
      <c r="R240" s="441"/>
      <c r="S240" s="443"/>
      <c r="T240" s="439"/>
    </row>
    <row r="241" spans="1:20" s="372" customFormat="1" ht="15" customHeight="1" x14ac:dyDescent="0.2">
      <c r="A241" s="440"/>
      <c r="B241" s="837"/>
      <c r="C241" s="838"/>
      <c r="D241" s="839"/>
      <c r="E241" s="441"/>
      <c r="F241" s="461" t="s">
        <v>467</v>
      </c>
      <c r="G241" s="441"/>
      <c r="H241" s="441"/>
      <c r="I241" s="441"/>
      <c r="J241" s="441"/>
      <c r="K241" s="441"/>
      <c r="L241" s="441"/>
      <c r="M241" s="441"/>
      <c r="N241" s="441"/>
      <c r="O241" s="894" t="s">
        <v>729</v>
      </c>
      <c r="P241" s="895"/>
      <c r="Q241" s="895"/>
      <c r="R241" s="896"/>
      <c r="S241" s="443"/>
      <c r="T241" s="439"/>
    </row>
    <row r="242" spans="1:20" s="372" customFormat="1" ht="12.75" customHeight="1" x14ac:dyDescent="0.2">
      <c r="A242" s="440"/>
      <c r="B242" s="429"/>
      <c r="C242" s="462"/>
      <c r="D242" s="462"/>
      <c r="E242" s="441"/>
      <c r="F242" s="461" t="s">
        <v>462</v>
      </c>
      <c r="G242" s="441"/>
      <c r="H242" s="441"/>
      <c r="I242" s="441"/>
      <c r="J242" s="441"/>
      <c r="K242" s="441"/>
      <c r="L242" s="441"/>
      <c r="M242" s="441"/>
      <c r="N242" s="441"/>
      <c r="O242" s="441"/>
      <c r="P242" s="441"/>
      <c r="Q242" s="441"/>
      <c r="R242" s="441"/>
      <c r="S242" s="443"/>
      <c r="T242" s="439"/>
    </row>
    <row r="243" spans="1:20" s="372" customFormat="1" ht="3" customHeight="1" x14ac:dyDescent="0.2">
      <c r="A243" s="440"/>
      <c r="B243" s="441"/>
      <c r="C243" s="441"/>
      <c r="D243" s="441"/>
      <c r="E243" s="450"/>
      <c r="F243" s="450"/>
      <c r="G243" s="441"/>
      <c r="H243" s="441"/>
      <c r="I243" s="441"/>
      <c r="J243" s="441"/>
      <c r="K243" s="450"/>
      <c r="L243" s="450"/>
      <c r="M243" s="450"/>
      <c r="N243" s="450"/>
      <c r="O243" s="450"/>
      <c r="P243" s="450"/>
      <c r="Q243" s="450"/>
      <c r="R243" s="450"/>
      <c r="S243" s="443"/>
      <c r="T243" s="439"/>
    </row>
    <row r="244" spans="1:20" s="372" customFormat="1" ht="10.5" customHeight="1" x14ac:dyDescent="0.2">
      <c r="A244" s="440"/>
      <c r="B244" s="463"/>
      <c r="C244" s="441"/>
      <c r="D244" s="441"/>
      <c r="E244" s="450"/>
      <c r="F244" s="450"/>
      <c r="G244" s="450"/>
      <c r="H244" s="816" t="s">
        <v>468</v>
      </c>
      <c r="I244" s="816"/>
      <c r="J244" s="816"/>
      <c r="K244" s="817" t="s">
        <v>469</v>
      </c>
      <c r="L244" s="817"/>
      <c r="M244" s="817"/>
      <c r="N244" s="464"/>
      <c r="O244" s="465" t="s">
        <v>325</v>
      </c>
      <c r="P244" s="465"/>
      <c r="Q244" s="465" t="s">
        <v>326</v>
      </c>
      <c r="R244" s="465"/>
      <c r="S244" s="443"/>
      <c r="T244" s="439"/>
    </row>
    <row r="245" spans="1:20" s="372" customFormat="1" ht="18.75" customHeight="1" x14ac:dyDescent="0.2">
      <c r="A245" s="457"/>
      <c r="B245" s="452" t="s">
        <v>471</v>
      </c>
      <c r="C245" s="453"/>
      <c r="D245" s="453"/>
      <c r="E245" s="454"/>
      <c r="F245" s="454"/>
      <c r="G245" s="454"/>
      <c r="H245" s="798"/>
      <c r="I245" s="800"/>
      <c r="J245" s="799"/>
      <c r="K245" s="798"/>
      <c r="L245" s="800"/>
      <c r="M245" s="799"/>
      <c r="N245" s="801"/>
      <c r="O245" s="800"/>
      <c r="P245" s="799"/>
      <c r="Q245" s="798"/>
      <c r="R245" s="799"/>
      <c r="S245" s="443"/>
      <c r="T245" s="439"/>
    </row>
    <row r="246" spans="1:20" s="372" customFormat="1" ht="18.75" customHeight="1" x14ac:dyDescent="0.2">
      <c r="A246" s="457"/>
      <c r="B246" s="452" t="s">
        <v>472</v>
      </c>
      <c r="C246" s="453"/>
      <c r="D246" s="453"/>
      <c r="E246" s="454"/>
      <c r="F246" s="454"/>
      <c r="G246" s="454"/>
      <c r="H246" s="798"/>
      <c r="I246" s="800"/>
      <c r="J246" s="799"/>
      <c r="K246" s="798"/>
      <c r="L246" s="800"/>
      <c r="M246" s="799"/>
      <c r="N246" s="798" t="str">
        <f>IF(N245="","",N245)</f>
        <v/>
      </c>
      <c r="O246" s="800"/>
      <c r="P246" s="799"/>
      <c r="Q246" s="798" t="str">
        <f>IF(Q245="","",Q245)</f>
        <v/>
      </c>
      <c r="R246" s="799"/>
      <c r="S246" s="443"/>
      <c r="T246" s="439"/>
    </row>
    <row r="247" spans="1:20" s="372" customFormat="1" ht="6" customHeight="1" thickBot="1" x14ac:dyDescent="0.25">
      <c r="A247" s="466"/>
      <c r="B247" s="357"/>
      <c r="C247" s="357"/>
      <c r="D247" s="357"/>
      <c r="E247" s="458"/>
      <c r="F247" s="357"/>
      <c r="G247" s="359"/>
      <c r="H247" s="359"/>
      <c r="I247" s="357"/>
      <c r="J247" s="357"/>
      <c r="K247" s="357"/>
      <c r="L247" s="357"/>
      <c r="M247" s="357"/>
      <c r="N247" s="357"/>
      <c r="O247" s="357"/>
      <c r="P247" s="357"/>
      <c r="Q247" s="357"/>
      <c r="R247" s="357"/>
      <c r="S247" s="467"/>
      <c r="T247" s="439"/>
    </row>
    <row r="248" spans="1:20" s="372" customFormat="1" ht="6" customHeight="1" x14ac:dyDescent="0.2">
      <c r="A248" s="468"/>
      <c r="B248" s="469"/>
      <c r="C248" s="469"/>
      <c r="D248" s="469"/>
      <c r="E248" s="470"/>
      <c r="F248" s="469"/>
      <c r="G248" s="469"/>
      <c r="H248" s="469"/>
      <c r="I248" s="469"/>
      <c r="J248" s="469"/>
      <c r="K248" s="469"/>
      <c r="L248" s="469"/>
      <c r="M248" s="469"/>
      <c r="N248" s="469"/>
      <c r="O248" s="469"/>
      <c r="P248" s="469"/>
      <c r="Q248" s="469"/>
      <c r="R248" s="469"/>
      <c r="S248" s="471"/>
      <c r="T248" s="439"/>
    </row>
    <row r="249" spans="1:20" s="372" customFormat="1" ht="21.75" customHeight="1" x14ac:dyDescent="0.2">
      <c r="A249" s="472"/>
      <c r="B249" s="910" t="s">
        <v>730</v>
      </c>
      <c r="C249" s="911"/>
      <c r="D249" s="912"/>
      <c r="E249" s="473"/>
      <c r="F249" s="474" t="s">
        <v>473</v>
      </c>
      <c r="G249" s="473"/>
      <c r="H249" s="473"/>
      <c r="I249" s="473"/>
      <c r="J249" s="473"/>
      <c r="K249" s="473"/>
      <c r="L249" s="473"/>
      <c r="M249" s="473"/>
      <c r="N249" s="473"/>
      <c r="O249" s="473"/>
      <c r="P249" s="473"/>
      <c r="Q249" s="473"/>
      <c r="R249" s="473"/>
      <c r="S249" s="475"/>
      <c r="T249" s="439"/>
    </row>
    <row r="250" spans="1:20" s="372" customFormat="1" ht="9" customHeight="1" x14ac:dyDescent="0.2">
      <c r="A250" s="472"/>
      <c r="B250" s="913"/>
      <c r="C250" s="914"/>
      <c r="D250" s="915"/>
      <c r="E250" s="476"/>
      <c r="F250" s="476"/>
      <c r="G250" s="473"/>
      <c r="H250" s="473"/>
      <c r="I250" s="476"/>
      <c r="J250" s="476"/>
      <c r="K250" s="476"/>
      <c r="L250" s="476"/>
      <c r="M250" s="476"/>
      <c r="N250" s="476"/>
      <c r="O250" s="476"/>
      <c r="P250" s="476"/>
      <c r="Q250" s="476"/>
      <c r="R250" s="476"/>
      <c r="S250" s="475"/>
      <c r="T250" s="439"/>
    </row>
    <row r="251" spans="1:20" s="372" customFormat="1" ht="12.75" customHeight="1" x14ac:dyDescent="0.2">
      <c r="A251" s="472"/>
      <c r="B251" s="306"/>
      <c r="C251" s="473"/>
      <c r="D251" s="473"/>
      <c r="E251" s="476"/>
      <c r="F251" s="476"/>
      <c r="G251" s="473"/>
      <c r="H251" s="473"/>
      <c r="I251" s="476"/>
      <c r="J251" s="476"/>
      <c r="K251" s="476"/>
      <c r="L251" s="476"/>
      <c r="M251" s="476"/>
      <c r="N251" s="476"/>
      <c r="O251" s="916" t="s">
        <v>325</v>
      </c>
      <c r="P251" s="916"/>
      <c r="Q251" s="916" t="s">
        <v>326</v>
      </c>
      <c r="R251" s="916"/>
      <c r="S251" s="475"/>
      <c r="T251" s="439"/>
    </row>
    <row r="252" spans="1:20" s="372" customFormat="1" ht="12.75" customHeight="1" x14ac:dyDescent="0.2">
      <c r="A252" s="477"/>
      <c r="B252" s="305" t="s">
        <v>474</v>
      </c>
      <c r="C252" s="478"/>
      <c r="D252" s="478"/>
      <c r="E252" s="479"/>
      <c r="F252" s="480"/>
      <c r="G252" s="478"/>
      <c r="H252" s="478"/>
      <c r="I252" s="478"/>
      <c r="J252" s="478"/>
      <c r="K252" s="478"/>
      <c r="L252" s="478"/>
      <c r="M252" s="478"/>
      <c r="N252" s="478"/>
      <c r="O252" s="917"/>
      <c r="P252" s="918"/>
      <c r="Q252" s="919"/>
      <c r="R252" s="920"/>
      <c r="S252" s="481"/>
      <c r="T252" s="439"/>
    </row>
    <row r="253" spans="1:20" s="372" customFormat="1" ht="4.5" customHeight="1" thickBot="1" x14ac:dyDescent="0.25">
      <c r="A253" s="482"/>
      <c r="B253" s="483"/>
      <c r="C253" s="483"/>
      <c r="D253" s="483"/>
      <c r="E253" s="483"/>
      <c r="F253" s="483"/>
      <c r="G253" s="483"/>
      <c r="H253" s="483"/>
      <c r="I253" s="483"/>
      <c r="J253" s="483"/>
      <c r="K253" s="483"/>
      <c r="L253" s="483"/>
      <c r="M253" s="483"/>
      <c r="N253" s="483"/>
      <c r="O253" s="483"/>
      <c r="P253" s="483"/>
      <c r="Q253" s="483"/>
      <c r="R253" s="483"/>
      <c r="S253" s="484"/>
      <c r="T253" s="439"/>
    </row>
    <row r="254" spans="1:20" s="372" customFormat="1" ht="6.75" customHeight="1" x14ac:dyDescent="0.2">
      <c r="A254" s="466"/>
      <c r="B254" s="357"/>
      <c r="C254" s="357"/>
      <c r="D254" s="357"/>
      <c r="E254" s="458"/>
      <c r="F254" s="357"/>
      <c r="G254" s="359"/>
      <c r="H254" s="359"/>
      <c r="I254" s="357"/>
      <c r="J254" s="357"/>
      <c r="K254" s="357"/>
      <c r="L254" s="357"/>
      <c r="M254" s="357"/>
      <c r="N254" s="357"/>
      <c r="O254" s="357"/>
      <c r="P254" s="357"/>
      <c r="Q254" s="357"/>
      <c r="R254" s="357"/>
      <c r="S254" s="467"/>
      <c r="T254" s="439"/>
    </row>
    <row r="255" spans="1:20" s="372" customFormat="1" ht="28.5" customHeight="1" x14ac:dyDescent="0.25">
      <c r="A255" s="466"/>
      <c r="B255" s="921" t="s">
        <v>314</v>
      </c>
      <c r="C255" s="806"/>
      <c r="D255" s="922"/>
      <c r="E255" s="485"/>
      <c r="F255" s="923" t="s">
        <v>731</v>
      </c>
      <c r="G255" s="923"/>
      <c r="H255" s="923"/>
      <c r="I255" s="923"/>
      <c r="J255" s="923"/>
      <c r="K255" s="923"/>
      <c r="L255" s="923"/>
      <c r="M255" s="923"/>
      <c r="N255" s="923"/>
      <c r="O255" s="923"/>
      <c r="P255" s="923"/>
      <c r="Q255" s="923"/>
      <c r="R255" s="923"/>
      <c r="S255" s="924"/>
      <c r="T255" s="439"/>
    </row>
    <row r="256" spans="1:20" s="372" customFormat="1" ht="6" customHeight="1" x14ac:dyDescent="0.2">
      <c r="A256" s="466"/>
      <c r="B256" s="486"/>
      <c r="C256" s="355"/>
      <c r="D256" s="355"/>
      <c r="E256" s="357"/>
      <c r="F256" s="360"/>
      <c r="G256" s="359"/>
      <c r="H256" s="359"/>
      <c r="I256" s="357"/>
      <c r="J256" s="357"/>
      <c r="K256" s="357"/>
      <c r="L256" s="357"/>
      <c r="M256" s="357"/>
      <c r="N256" s="357"/>
      <c r="O256" s="357"/>
      <c r="P256" s="357"/>
      <c r="Q256" s="357"/>
      <c r="R256" s="357"/>
      <c r="S256" s="467"/>
      <c r="T256" s="439"/>
    </row>
    <row r="257" spans="1:20" s="372" customFormat="1" ht="12.75" customHeight="1" x14ac:dyDescent="0.2">
      <c r="A257" s="466"/>
      <c r="B257" s="360" t="s">
        <v>732</v>
      </c>
      <c r="C257" s="355"/>
      <c r="D257" s="355"/>
      <c r="E257" s="357"/>
      <c r="F257" s="357"/>
      <c r="G257" s="359"/>
      <c r="H257" s="359"/>
      <c r="I257" s="357"/>
      <c r="J257" s="357"/>
      <c r="K257" s="357"/>
      <c r="L257" s="357"/>
      <c r="M257" s="357"/>
      <c r="N257" s="357"/>
      <c r="O257" s="357"/>
      <c r="P257" s="357"/>
      <c r="Q257" s="357"/>
      <c r="R257" s="357"/>
      <c r="S257" s="467"/>
      <c r="T257" s="439"/>
    </row>
    <row r="258" spans="1:20" s="372" customFormat="1" ht="12.75" customHeight="1" x14ac:dyDescent="0.2">
      <c r="A258" s="466"/>
      <c r="B258" s="360" t="s">
        <v>589</v>
      </c>
      <c r="C258" s="487"/>
      <c r="D258" s="356" t="s">
        <v>590</v>
      </c>
      <c r="E258" s="357"/>
      <c r="F258" s="357"/>
      <c r="G258" s="359"/>
      <c r="H258" s="359"/>
      <c r="I258" s="357"/>
      <c r="J258" s="357"/>
      <c r="K258" s="357"/>
      <c r="L258" s="357"/>
      <c r="M258" s="357"/>
      <c r="N258" s="357"/>
      <c r="O258" s="357"/>
      <c r="P258" s="357"/>
      <c r="Q258" s="357"/>
      <c r="R258" s="357"/>
      <c r="S258" s="467"/>
      <c r="T258" s="439"/>
    </row>
    <row r="259" spans="1:20" s="372" customFormat="1" ht="12.75" customHeight="1" x14ac:dyDescent="0.2">
      <c r="A259" s="466"/>
      <c r="B259" s="360" t="s">
        <v>591</v>
      </c>
      <c r="C259" s="355"/>
      <c r="D259" s="356" t="s">
        <v>733</v>
      </c>
      <c r="E259" s="357"/>
      <c r="F259" s="357"/>
      <c r="G259" s="359"/>
      <c r="H259" s="359"/>
      <c r="I259" s="357"/>
      <c r="J259" s="357"/>
      <c r="K259" s="357"/>
      <c r="L259" s="357"/>
      <c r="M259" s="357"/>
      <c r="N259" s="357"/>
      <c r="O259" s="357"/>
      <c r="P259" s="357"/>
      <c r="Q259" s="357"/>
      <c r="R259" s="357"/>
      <c r="S259" s="467"/>
      <c r="T259" s="439"/>
    </row>
    <row r="260" spans="1:20" s="372" customFormat="1" ht="12.75" customHeight="1" x14ac:dyDescent="0.2">
      <c r="A260" s="466"/>
      <c r="B260" s="360" t="s">
        <v>588</v>
      </c>
      <c r="C260" s="355"/>
      <c r="D260" s="356" t="s">
        <v>734</v>
      </c>
      <c r="E260" s="357"/>
      <c r="F260" s="357"/>
      <c r="G260" s="359"/>
      <c r="H260" s="359"/>
      <c r="I260" s="357"/>
      <c r="J260" s="357"/>
      <c r="K260" s="357"/>
      <c r="L260" s="357"/>
      <c r="M260" s="357"/>
      <c r="N260" s="357"/>
      <c r="O260" s="357"/>
      <c r="P260" s="357"/>
      <c r="Q260" s="357"/>
      <c r="R260" s="357"/>
      <c r="S260" s="467"/>
      <c r="T260" s="439"/>
    </row>
    <row r="261" spans="1:20" s="372" customFormat="1" ht="12.75" customHeight="1" x14ac:dyDescent="0.2">
      <c r="A261" s="466"/>
      <c r="B261" s="360" t="s">
        <v>592</v>
      </c>
      <c r="C261" s="355"/>
      <c r="D261" s="356" t="s">
        <v>735</v>
      </c>
      <c r="E261" s="357"/>
      <c r="F261" s="357"/>
      <c r="G261" s="359"/>
      <c r="H261" s="359"/>
      <c r="I261" s="357"/>
      <c r="J261" s="357"/>
      <c r="K261" s="357"/>
      <c r="L261" s="357"/>
      <c r="M261" s="357"/>
      <c r="N261" s="357"/>
      <c r="O261" s="357"/>
      <c r="P261" s="357"/>
      <c r="Q261" s="357"/>
      <c r="R261" s="357"/>
      <c r="S261" s="467"/>
      <c r="T261" s="439"/>
    </row>
    <row r="262" spans="1:20" s="372" customFormat="1" ht="12.75" customHeight="1" x14ac:dyDescent="0.2">
      <c r="A262" s="466"/>
      <c r="B262" s="360" t="s">
        <v>736</v>
      </c>
      <c r="C262" s="355"/>
      <c r="D262" s="356" t="s">
        <v>593</v>
      </c>
      <c r="E262" s="357"/>
      <c r="F262" s="357"/>
      <c r="G262" s="359"/>
      <c r="H262" s="359"/>
      <c r="I262" s="357"/>
      <c r="J262" s="357"/>
      <c r="K262" s="357"/>
      <c r="L262" s="357"/>
      <c r="M262" s="357"/>
      <c r="N262" s="357"/>
      <c r="O262" s="357"/>
      <c r="P262" s="357"/>
      <c r="Q262" s="357"/>
      <c r="R262" s="357"/>
      <c r="S262" s="467"/>
      <c r="T262" s="439"/>
    </row>
    <row r="263" spans="1:20" s="372" customFormat="1" ht="3.75" customHeight="1" x14ac:dyDescent="0.2">
      <c r="A263" s="466"/>
      <c r="B263" s="360"/>
      <c r="C263" s="355"/>
      <c r="D263" s="356"/>
      <c r="E263" s="357"/>
      <c r="F263" s="357"/>
      <c r="G263" s="359"/>
      <c r="H263" s="359"/>
      <c r="I263" s="357"/>
      <c r="J263" s="357"/>
      <c r="K263" s="357"/>
      <c r="L263" s="357"/>
      <c r="M263" s="357"/>
      <c r="N263" s="357"/>
      <c r="O263" s="357"/>
      <c r="P263" s="357"/>
      <c r="Q263" s="357"/>
      <c r="R263" s="357"/>
      <c r="S263" s="467"/>
      <c r="T263" s="439"/>
    </row>
    <row r="264" spans="1:20" s="372" customFormat="1" ht="12.75" customHeight="1" x14ac:dyDescent="0.2">
      <c r="A264" s="466"/>
      <c r="B264" s="349" t="s">
        <v>672</v>
      </c>
      <c r="C264" s="355"/>
      <c r="D264" s="356"/>
      <c r="E264" s="357"/>
      <c r="F264" s="357"/>
      <c r="G264" s="358"/>
      <c r="H264" s="359"/>
      <c r="I264" s="357"/>
      <c r="J264" s="357"/>
      <c r="K264" s="357"/>
      <c r="L264" s="357"/>
      <c r="M264" s="357"/>
      <c r="N264" s="357"/>
      <c r="O264" s="357"/>
      <c r="P264" s="357"/>
      <c r="Q264" s="357"/>
      <c r="R264" s="357"/>
      <c r="S264" s="467"/>
      <c r="T264" s="439"/>
    </row>
    <row r="265" spans="1:20" s="372" customFormat="1" ht="15.75" customHeight="1" x14ac:dyDescent="0.2">
      <c r="A265" s="466"/>
      <c r="B265" s="360" t="s">
        <v>737</v>
      </c>
      <c r="C265" s="355"/>
      <c r="D265" s="925">
        <v>1</v>
      </c>
      <c r="E265" s="880"/>
      <c r="F265" s="357"/>
      <c r="G265" s="361" t="s">
        <v>738</v>
      </c>
      <c r="H265" s="359"/>
      <c r="I265" s="357"/>
      <c r="J265" s="357"/>
      <c r="K265" s="357"/>
      <c r="L265" s="357"/>
      <c r="M265" s="357"/>
      <c r="N265" s="357"/>
      <c r="O265" s="357"/>
      <c r="P265" s="357"/>
      <c r="Q265" s="357"/>
      <c r="R265" s="357"/>
      <c r="S265" s="467"/>
      <c r="T265" s="439"/>
    </row>
    <row r="266" spans="1:20" s="372" customFormat="1" ht="1.5" customHeight="1" x14ac:dyDescent="0.2">
      <c r="A266" s="466"/>
      <c r="B266" s="360"/>
      <c r="C266" s="355"/>
      <c r="D266" s="356"/>
      <c r="E266" s="357"/>
      <c r="F266" s="357"/>
      <c r="G266" s="361"/>
      <c r="H266" s="359"/>
      <c r="I266" s="357"/>
      <c r="J266" s="357"/>
      <c r="K266" s="357"/>
      <c r="L266" s="357"/>
      <c r="M266" s="357"/>
      <c r="N266" s="357"/>
      <c r="O266" s="357"/>
      <c r="P266" s="357"/>
      <c r="Q266" s="357"/>
      <c r="R266" s="357"/>
      <c r="S266" s="467"/>
      <c r="T266" s="439"/>
    </row>
    <row r="267" spans="1:20" s="372" customFormat="1" ht="15.75" customHeight="1" x14ac:dyDescent="0.2">
      <c r="A267" s="466"/>
      <c r="B267" s="360" t="s">
        <v>583</v>
      </c>
      <c r="C267" s="355"/>
      <c r="D267" s="926" t="s">
        <v>739</v>
      </c>
      <c r="E267" s="927"/>
      <c r="F267" s="357"/>
      <c r="G267" s="361" t="s">
        <v>740</v>
      </c>
      <c r="H267" s="488"/>
      <c r="I267" s="488"/>
      <c r="J267" s="488"/>
      <c r="K267" s="488"/>
      <c r="L267" s="488"/>
      <c r="M267" s="488"/>
      <c r="N267" s="488"/>
      <c r="O267" s="488"/>
      <c r="P267" s="488"/>
      <c r="Q267" s="488"/>
      <c r="R267" s="488"/>
      <c r="S267" s="489"/>
      <c r="T267" s="439"/>
    </row>
    <row r="268" spans="1:20" s="372" customFormat="1" ht="1.5" customHeight="1" x14ac:dyDescent="0.2">
      <c r="A268" s="466"/>
      <c r="B268" s="360"/>
      <c r="C268" s="355"/>
      <c r="D268" s="356"/>
      <c r="E268" s="357"/>
      <c r="F268" s="357"/>
      <c r="G268" s="361"/>
      <c r="H268" s="359"/>
      <c r="I268" s="357"/>
      <c r="J268" s="357"/>
      <c r="K268" s="357"/>
      <c r="L268" s="357"/>
      <c r="M268" s="357"/>
      <c r="N268" s="357"/>
      <c r="O268" s="357"/>
      <c r="P268" s="357"/>
      <c r="Q268" s="357"/>
      <c r="R268" s="357"/>
      <c r="S268" s="467"/>
      <c r="T268" s="439"/>
    </row>
    <row r="269" spans="1:20" s="372" customFormat="1" ht="15.75" customHeight="1" x14ac:dyDescent="0.2">
      <c r="A269" s="466"/>
      <c r="B269" s="360" t="s">
        <v>333</v>
      </c>
      <c r="C269" s="355"/>
      <c r="D269" s="879">
        <v>180</v>
      </c>
      <c r="E269" s="880"/>
      <c r="F269" s="357"/>
      <c r="G269" s="361" t="s">
        <v>741</v>
      </c>
      <c r="H269" s="359"/>
      <c r="I269" s="357"/>
      <c r="J269" s="357"/>
      <c r="K269" s="357"/>
      <c r="L269" s="357"/>
      <c r="M269" s="357"/>
      <c r="N269" s="357"/>
      <c r="O269" s="357"/>
      <c r="P269" s="357"/>
      <c r="Q269" s="357"/>
      <c r="R269" s="357"/>
      <c r="S269" s="467"/>
      <c r="T269" s="439"/>
    </row>
    <row r="270" spans="1:20" s="372" customFormat="1" ht="1.5" customHeight="1" x14ac:dyDescent="0.2">
      <c r="A270" s="466"/>
      <c r="B270" s="360"/>
      <c r="C270" s="355"/>
      <c r="D270" s="356"/>
      <c r="E270" s="357"/>
      <c r="F270" s="357"/>
      <c r="G270" s="928" t="s">
        <v>742</v>
      </c>
      <c r="H270" s="928"/>
      <c r="I270" s="928"/>
      <c r="J270" s="928"/>
      <c r="K270" s="928"/>
      <c r="L270" s="928"/>
      <c r="M270" s="928"/>
      <c r="N270" s="928"/>
      <c r="O270" s="928"/>
      <c r="P270" s="928"/>
      <c r="Q270" s="928"/>
      <c r="R270" s="928"/>
      <c r="S270" s="929"/>
      <c r="T270" s="439"/>
    </row>
    <row r="271" spans="1:20" s="372" customFormat="1" ht="15.75" customHeight="1" x14ac:dyDescent="0.2">
      <c r="A271" s="466"/>
      <c r="B271" s="360" t="s">
        <v>333</v>
      </c>
      <c r="C271" s="355"/>
      <c r="D271" s="930">
        <v>29</v>
      </c>
      <c r="E271" s="931"/>
      <c r="F271" s="357"/>
      <c r="G271" s="928"/>
      <c r="H271" s="928"/>
      <c r="I271" s="928"/>
      <c r="J271" s="928"/>
      <c r="K271" s="928"/>
      <c r="L271" s="928"/>
      <c r="M271" s="928"/>
      <c r="N271" s="928"/>
      <c r="O271" s="928"/>
      <c r="P271" s="928"/>
      <c r="Q271" s="928"/>
      <c r="R271" s="928"/>
      <c r="S271" s="929"/>
      <c r="T271" s="439"/>
    </row>
    <row r="272" spans="1:20" s="372" customFormat="1" ht="14.25" customHeight="1" x14ac:dyDescent="0.2">
      <c r="A272" s="466"/>
      <c r="B272" s="360"/>
      <c r="C272" s="355"/>
      <c r="D272" s="356"/>
      <c r="E272" s="357"/>
      <c r="F272" s="357"/>
      <c r="G272" s="928"/>
      <c r="H272" s="928"/>
      <c r="I272" s="928"/>
      <c r="J272" s="928"/>
      <c r="K272" s="928"/>
      <c r="L272" s="928"/>
      <c r="M272" s="928"/>
      <c r="N272" s="928"/>
      <c r="O272" s="928"/>
      <c r="P272" s="928"/>
      <c r="Q272" s="928"/>
      <c r="R272" s="928"/>
      <c r="S272" s="929"/>
      <c r="T272" s="439"/>
    </row>
    <row r="273" spans="1:20" s="372" customFormat="1" ht="1.5" customHeight="1" x14ac:dyDescent="0.2">
      <c r="A273" s="466"/>
      <c r="B273" s="360"/>
      <c r="C273" s="355"/>
      <c r="D273" s="356"/>
      <c r="E273" s="357"/>
      <c r="F273" s="357"/>
      <c r="G273" s="490"/>
      <c r="H273" s="490"/>
      <c r="I273" s="490"/>
      <c r="J273" s="490"/>
      <c r="K273" s="490"/>
      <c r="L273" s="490"/>
      <c r="M273" s="490"/>
      <c r="N273" s="490"/>
      <c r="O273" s="490"/>
      <c r="P273" s="490"/>
      <c r="Q273" s="490"/>
      <c r="R273" s="490"/>
      <c r="S273" s="491"/>
      <c r="T273" s="439"/>
    </row>
    <row r="274" spans="1:20" s="372" customFormat="1" ht="15.75" customHeight="1" x14ac:dyDescent="0.2">
      <c r="A274" s="466"/>
      <c r="B274" s="360" t="s">
        <v>333</v>
      </c>
      <c r="C274" s="355"/>
      <c r="D274" s="932">
        <v>17</v>
      </c>
      <c r="E274" s="933"/>
      <c r="F274" s="357"/>
      <c r="G274" s="928" t="s">
        <v>743</v>
      </c>
      <c r="H274" s="928"/>
      <c r="I274" s="928"/>
      <c r="J274" s="928"/>
      <c r="K274" s="928"/>
      <c r="L274" s="928"/>
      <c r="M274" s="928"/>
      <c r="N274" s="928"/>
      <c r="O274" s="928"/>
      <c r="P274" s="928"/>
      <c r="Q274" s="928"/>
      <c r="R274" s="928"/>
      <c r="S274" s="929"/>
      <c r="T274" s="439"/>
    </row>
    <row r="275" spans="1:20" s="372" customFormat="1" ht="24.75" customHeight="1" x14ac:dyDescent="0.2">
      <c r="A275" s="466"/>
      <c r="B275" s="360"/>
      <c r="C275" s="355"/>
      <c r="D275" s="356"/>
      <c r="E275" s="357"/>
      <c r="F275" s="357"/>
      <c r="G275" s="928"/>
      <c r="H275" s="928"/>
      <c r="I275" s="928"/>
      <c r="J275" s="928"/>
      <c r="K275" s="928"/>
      <c r="L275" s="928"/>
      <c r="M275" s="928"/>
      <c r="N275" s="928"/>
      <c r="O275" s="928"/>
      <c r="P275" s="928"/>
      <c r="Q275" s="928"/>
      <c r="R275" s="928"/>
      <c r="S275" s="929"/>
      <c r="T275" s="439"/>
    </row>
    <row r="276" spans="1:20" s="372" customFormat="1" ht="4.5" customHeight="1" x14ac:dyDescent="0.2">
      <c r="A276" s="466"/>
      <c r="B276" s="360"/>
      <c r="C276" s="355"/>
      <c r="D276" s="356"/>
      <c r="E276" s="357"/>
      <c r="F276" s="357"/>
      <c r="G276" s="928"/>
      <c r="H276" s="928"/>
      <c r="I276" s="928"/>
      <c r="J276" s="928"/>
      <c r="K276" s="928"/>
      <c r="L276" s="928"/>
      <c r="M276" s="928"/>
      <c r="N276" s="928"/>
      <c r="O276" s="928"/>
      <c r="P276" s="928"/>
      <c r="Q276" s="928"/>
      <c r="R276" s="928"/>
      <c r="S276" s="929"/>
      <c r="T276" s="439"/>
    </row>
    <row r="277" spans="1:20" s="372" customFormat="1" ht="15.75" customHeight="1" x14ac:dyDescent="0.25">
      <c r="A277" s="466"/>
      <c r="B277" s="360" t="s">
        <v>744</v>
      </c>
      <c r="C277" s="355"/>
      <c r="D277" s="934">
        <v>2731</v>
      </c>
      <c r="E277" s="935"/>
      <c r="F277" s="357"/>
      <c r="G277" s="928" t="s">
        <v>745</v>
      </c>
      <c r="H277" s="936"/>
      <c r="I277" s="936"/>
      <c r="J277" s="936"/>
      <c r="K277" s="936"/>
      <c r="L277" s="936"/>
      <c r="M277" s="936"/>
      <c r="N277" s="936"/>
      <c r="O277" s="936"/>
      <c r="P277" s="936"/>
      <c r="Q277" s="936"/>
      <c r="R277" s="936"/>
      <c r="S277" s="937"/>
      <c r="T277" s="439"/>
    </row>
    <row r="278" spans="1:20" s="372" customFormat="1" ht="6" customHeight="1" x14ac:dyDescent="0.2">
      <c r="A278" s="466"/>
      <c r="B278" s="360"/>
      <c r="C278" s="355"/>
      <c r="D278" s="355"/>
      <c r="E278" s="357"/>
      <c r="F278" s="357"/>
      <c r="G278" s="936"/>
      <c r="H278" s="936"/>
      <c r="I278" s="936"/>
      <c r="J278" s="936"/>
      <c r="K278" s="936"/>
      <c r="L278" s="936"/>
      <c r="M278" s="936"/>
      <c r="N278" s="936"/>
      <c r="O278" s="936"/>
      <c r="P278" s="936"/>
      <c r="Q278" s="936"/>
      <c r="R278" s="936"/>
      <c r="S278" s="937"/>
      <c r="T278" s="439"/>
    </row>
    <row r="279" spans="1:20" s="372" customFormat="1" ht="2.25" customHeight="1" x14ac:dyDescent="0.2">
      <c r="A279" s="466"/>
      <c r="B279" s="360"/>
      <c r="C279" s="355"/>
      <c r="D279" s="355"/>
      <c r="E279" s="357"/>
      <c r="F279" s="357"/>
      <c r="G279" s="492"/>
      <c r="H279" s="492"/>
      <c r="I279" s="492"/>
      <c r="J279" s="492"/>
      <c r="K279" s="492"/>
      <c r="L279" s="492"/>
      <c r="M279" s="492"/>
      <c r="N279" s="492"/>
      <c r="O279" s="492"/>
      <c r="P279" s="492"/>
      <c r="Q279" s="492"/>
      <c r="R279" s="492"/>
      <c r="S279" s="493"/>
      <c r="T279" s="439"/>
    </row>
    <row r="280" spans="1:20" s="372" customFormat="1" ht="15.75" customHeight="1" x14ac:dyDescent="0.25">
      <c r="A280" s="466"/>
      <c r="B280" s="360" t="s">
        <v>676</v>
      </c>
      <c r="C280" s="355"/>
      <c r="D280" s="934"/>
      <c r="E280" s="935"/>
      <c r="F280" s="357"/>
      <c r="G280" s="928" t="s">
        <v>746</v>
      </c>
      <c r="H280" s="936"/>
      <c r="I280" s="936"/>
      <c r="J280" s="936"/>
      <c r="K280" s="936"/>
      <c r="L280" s="936"/>
      <c r="M280" s="936"/>
      <c r="N280" s="936"/>
      <c r="O280" s="936"/>
      <c r="P280" s="936"/>
      <c r="Q280" s="936"/>
      <c r="R280" s="936"/>
      <c r="S280" s="937"/>
      <c r="T280" s="439"/>
    </row>
    <row r="281" spans="1:20" s="372" customFormat="1" ht="15.75" customHeight="1" x14ac:dyDescent="0.2">
      <c r="A281" s="466"/>
      <c r="B281" s="360"/>
      <c r="C281" s="355"/>
      <c r="D281" s="355"/>
      <c r="E281" s="357"/>
      <c r="F281" s="357"/>
      <c r="G281" s="936"/>
      <c r="H281" s="936"/>
      <c r="I281" s="936"/>
      <c r="J281" s="936"/>
      <c r="K281" s="936"/>
      <c r="L281" s="936"/>
      <c r="M281" s="936"/>
      <c r="N281" s="936"/>
      <c r="O281" s="936"/>
      <c r="P281" s="936"/>
      <c r="Q281" s="936"/>
      <c r="R281" s="936"/>
      <c r="S281" s="937"/>
      <c r="T281" s="439"/>
    </row>
    <row r="282" spans="1:20" s="372" customFormat="1" ht="18.75" customHeight="1" x14ac:dyDescent="0.2">
      <c r="A282" s="466"/>
      <c r="B282" s="360"/>
      <c r="C282" s="355"/>
      <c r="D282" s="355"/>
      <c r="E282" s="357"/>
      <c r="F282" s="357"/>
      <c r="G282" s="936"/>
      <c r="H282" s="936"/>
      <c r="I282" s="936"/>
      <c r="J282" s="936"/>
      <c r="K282" s="936"/>
      <c r="L282" s="936"/>
      <c r="M282" s="936"/>
      <c r="N282" s="936"/>
      <c r="O282" s="936"/>
      <c r="P282" s="936"/>
      <c r="Q282" s="936"/>
      <c r="R282" s="936"/>
      <c r="S282" s="937"/>
      <c r="T282" s="439"/>
    </row>
    <row r="283" spans="1:20" s="372" customFormat="1" ht="12.75" customHeight="1" x14ac:dyDescent="0.2">
      <c r="A283" s="466"/>
      <c r="B283" s="360" t="s">
        <v>317</v>
      </c>
      <c r="C283" s="355"/>
      <c r="D283" s="355"/>
      <c r="E283" s="357"/>
      <c r="F283" s="357"/>
      <c r="G283" s="359"/>
      <c r="H283" s="359"/>
      <c r="I283" s="357"/>
      <c r="J283" s="357"/>
      <c r="K283" s="357"/>
      <c r="L283" s="357"/>
      <c r="M283" s="357"/>
      <c r="N283" s="357"/>
      <c r="O283" s="357"/>
      <c r="P283" s="357"/>
      <c r="Q283" s="357"/>
      <c r="R283" s="357"/>
      <c r="S283" s="467"/>
      <c r="T283" s="439"/>
    </row>
    <row r="284" spans="1:20" s="372" customFormat="1" ht="12.75" customHeight="1" x14ac:dyDescent="0.2">
      <c r="A284" s="466"/>
      <c r="B284" s="360" t="s">
        <v>318</v>
      </c>
      <c r="C284" s="355"/>
      <c r="D284" s="355"/>
      <c r="E284" s="357"/>
      <c r="F284" s="357"/>
      <c r="G284" s="359"/>
      <c r="H284" s="359"/>
      <c r="I284" s="357"/>
      <c r="J284" s="357"/>
      <c r="K284" s="357"/>
      <c r="L284" s="357"/>
      <c r="M284" s="357"/>
      <c r="N284" s="357"/>
      <c r="O284" s="357"/>
      <c r="P284" s="357"/>
      <c r="Q284" s="357"/>
      <c r="R284" s="357"/>
      <c r="S284" s="467"/>
      <c r="T284" s="439"/>
    </row>
    <row r="285" spans="1:20" s="372" customFormat="1" ht="12.75" customHeight="1" x14ac:dyDescent="0.2">
      <c r="A285" s="466"/>
      <c r="B285" s="360" t="s">
        <v>747</v>
      </c>
      <c r="C285" s="355"/>
      <c r="D285" s="355"/>
      <c r="E285" s="357"/>
      <c r="F285" s="357"/>
      <c r="G285" s="359"/>
      <c r="H285" s="359"/>
      <c r="I285" s="357"/>
      <c r="J285" s="357"/>
      <c r="K285" s="357"/>
      <c r="L285" s="357"/>
      <c r="M285" s="357"/>
      <c r="N285" s="357"/>
      <c r="O285" s="357"/>
      <c r="P285" s="357"/>
      <c r="Q285" s="357"/>
      <c r="R285" s="357"/>
      <c r="S285" s="467"/>
      <c r="T285" s="439"/>
    </row>
    <row r="286" spans="1:20" s="372" customFormat="1" ht="12.75" customHeight="1" x14ac:dyDescent="0.2">
      <c r="A286" s="466"/>
      <c r="B286" s="360" t="s">
        <v>748</v>
      </c>
      <c r="C286" s="355"/>
      <c r="D286" s="355"/>
      <c r="E286" s="357"/>
      <c r="F286" s="357"/>
      <c r="G286" s="359"/>
      <c r="H286" s="359"/>
      <c r="I286" s="357"/>
      <c r="J286" s="357"/>
      <c r="K286" s="357"/>
      <c r="L286" s="357"/>
      <c r="M286" s="357"/>
      <c r="N286" s="357"/>
      <c r="O286" s="357"/>
      <c r="P286" s="357"/>
      <c r="Q286" s="357"/>
      <c r="R286" s="357"/>
      <c r="S286" s="467"/>
      <c r="T286" s="439"/>
    </row>
    <row r="287" spans="1:20" s="372" customFormat="1" ht="2.25" customHeight="1" x14ac:dyDescent="0.2">
      <c r="A287" s="466"/>
      <c r="B287" s="355"/>
      <c r="C287" s="355"/>
      <c r="D287" s="355"/>
      <c r="E287" s="357"/>
      <c r="F287" s="357"/>
      <c r="G287" s="359"/>
      <c r="H287" s="359"/>
      <c r="I287" s="357"/>
      <c r="J287" s="357"/>
      <c r="K287" s="357"/>
      <c r="L287" s="357"/>
      <c r="M287" s="357"/>
      <c r="N287" s="357"/>
      <c r="O287" s="357"/>
      <c r="P287" s="357"/>
      <c r="Q287" s="357"/>
      <c r="R287" s="357"/>
      <c r="S287" s="467"/>
      <c r="T287" s="439"/>
    </row>
    <row r="288" spans="1:20" s="372" customFormat="1" ht="15" customHeight="1" x14ac:dyDescent="0.25">
      <c r="A288" s="466"/>
      <c r="B288" s="494" t="s">
        <v>584</v>
      </c>
      <c r="C288" s="355"/>
      <c r="D288" s="355"/>
      <c r="E288" s="357"/>
      <c r="F288" s="357"/>
      <c r="G288" s="359"/>
      <c r="H288" s="359"/>
      <c r="I288" s="357"/>
      <c r="J288" s="357"/>
      <c r="K288" s="357"/>
      <c r="L288" s="357"/>
      <c r="M288" s="357"/>
      <c r="N288" s="357"/>
      <c r="O288" s="357"/>
      <c r="P288" s="357"/>
      <c r="Q288" s="357"/>
      <c r="R288" s="357"/>
      <c r="S288" s="467"/>
      <c r="T288" s="439"/>
    </row>
    <row r="289" spans="1:20" s="372" customFormat="1" ht="12.75" customHeight="1" x14ac:dyDescent="0.25">
      <c r="A289" s="466"/>
      <c r="B289" s="494" t="s">
        <v>585</v>
      </c>
      <c r="C289" s="355"/>
      <c r="D289" s="355"/>
      <c r="E289" s="357"/>
      <c r="F289" s="357"/>
      <c r="G289" s="359"/>
      <c r="H289" s="359"/>
      <c r="I289" s="357"/>
      <c r="J289" s="357"/>
      <c r="K289" s="357"/>
      <c r="L289" s="357"/>
      <c r="M289" s="357"/>
      <c r="N289" s="357"/>
      <c r="O289" s="357"/>
      <c r="P289" s="357"/>
      <c r="Q289" s="357"/>
      <c r="R289" s="357"/>
      <c r="S289" s="467"/>
      <c r="T289" s="439"/>
    </row>
    <row r="290" spans="1:20" s="372" customFormat="1" ht="12.75" customHeight="1" x14ac:dyDescent="0.25">
      <c r="A290" s="466"/>
      <c r="B290" s="494" t="s">
        <v>749</v>
      </c>
      <c r="C290" s="355"/>
      <c r="D290" s="355"/>
      <c r="E290" s="357"/>
      <c r="F290" s="357"/>
      <c r="G290" s="359"/>
      <c r="H290" s="359"/>
      <c r="I290" s="357"/>
      <c r="J290" s="357"/>
      <c r="K290" s="357"/>
      <c r="L290" s="357"/>
      <c r="M290" s="357"/>
      <c r="N290" s="357"/>
      <c r="O290" s="357"/>
      <c r="P290" s="357"/>
      <c r="Q290" s="357"/>
      <c r="R290" s="357"/>
      <c r="S290" s="467"/>
      <c r="T290" s="439"/>
    </row>
    <row r="291" spans="1:20" s="372" customFormat="1" ht="2.25" customHeight="1" x14ac:dyDescent="0.25">
      <c r="A291" s="466"/>
      <c r="B291" s="494"/>
      <c r="C291" s="355"/>
      <c r="D291" s="355"/>
      <c r="E291" s="357"/>
      <c r="F291" s="357"/>
      <c r="G291" s="359"/>
      <c r="H291" s="359"/>
      <c r="I291" s="357"/>
      <c r="J291" s="357"/>
      <c r="K291" s="357"/>
      <c r="L291" s="357"/>
      <c r="M291" s="357"/>
      <c r="N291" s="357"/>
      <c r="O291" s="357"/>
      <c r="P291" s="357"/>
      <c r="Q291" s="357"/>
      <c r="R291" s="357"/>
      <c r="S291" s="467"/>
      <c r="T291" s="439"/>
    </row>
    <row r="292" spans="1:20" s="372" customFormat="1" ht="12" customHeight="1" x14ac:dyDescent="0.2">
      <c r="A292" s="466"/>
      <c r="B292" s="495" t="s">
        <v>750</v>
      </c>
      <c r="C292" s="355"/>
      <c r="D292" s="355"/>
      <c r="E292" s="357"/>
      <c r="F292" s="357"/>
      <c r="G292" s="359"/>
      <c r="H292" s="359"/>
      <c r="I292" s="357"/>
      <c r="J292" s="357"/>
      <c r="K292" s="357"/>
      <c r="L292" s="357"/>
      <c r="M292" s="357"/>
      <c r="N292" s="357"/>
      <c r="O292" s="357"/>
      <c r="P292" s="357"/>
      <c r="Q292" s="357"/>
      <c r="R292" s="357"/>
      <c r="S292" s="467"/>
      <c r="T292" s="439"/>
    </row>
    <row r="293" spans="1:20" s="372" customFormat="1" ht="12" customHeight="1" x14ac:dyDescent="0.2">
      <c r="A293" s="466"/>
      <c r="B293" s="495" t="s">
        <v>512</v>
      </c>
      <c r="C293" s="355"/>
      <c r="D293" s="355"/>
      <c r="E293" s="357"/>
      <c r="F293" s="357"/>
      <c r="G293" s="359"/>
      <c r="H293" s="359"/>
      <c r="I293" s="357"/>
      <c r="J293" s="357"/>
      <c r="K293" s="357"/>
      <c r="L293" s="357"/>
      <c r="M293" s="357"/>
      <c r="N293" s="357"/>
      <c r="O293" s="357"/>
      <c r="P293" s="357"/>
      <c r="Q293" s="357"/>
      <c r="R293" s="357"/>
      <c r="S293" s="467"/>
      <c r="T293" s="439"/>
    </row>
    <row r="294" spans="1:20" s="372" customFormat="1" ht="3.75" customHeight="1" thickBot="1" x14ac:dyDescent="0.25">
      <c r="A294" s="496"/>
      <c r="B294" s="497"/>
      <c r="C294" s="498"/>
      <c r="D294" s="498"/>
      <c r="E294" s="157"/>
      <c r="F294" s="157"/>
      <c r="G294" s="499"/>
      <c r="H294" s="499"/>
      <c r="I294" s="157"/>
      <c r="J294" s="157"/>
      <c r="K294" s="157"/>
      <c r="L294" s="157"/>
      <c r="M294" s="157"/>
      <c r="N294" s="157"/>
      <c r="O294" s="157"/>
      <c r="P294" s="157"/>
      <c r="Q294" s="157"/>
      <c r="R294" s="157"/>
      <c r="S294" s="159"/>
      <c r="T294" s="439"/>
    </row>
    <row r="295" spans="1:20" s="372" customFormat="1" ht="4.5" customHeight="1" x14ac:dyDescent="0.2">
      <c r="A295" s="434"/>
      <c r="B295" s="500" t="s">
        <v>319</v>
      </c>
      <c r="C295" s="500" t="s">
        <v>319</v>
      </c>
      <c r="D295" s="501"/>
      <c r="E295" s="435"/>
      <c r="F295" s="435"/>
      <c r="G295" s="437"/>
      <c r="H295" s="437"/>
      <c r="I295" s="435"/>
      <c r="J295" s="435"/>
      <c r="K295" s="435"/>
      <c r="L295" s="435"/>
      <c r="M295" s="435"/>
      <c r="N295" s="435"/>
      <c r="O295" s="435"/>
      <c r="P295" s="435"/>
      <c r="Q295" s="435"/>
      <c r="R295" s="435"/>
      <c r="S295" s="438"/>
      <c r="T295" s="439"/>
    </row>
    <row r="296" spans="1:20" s="372" customFormat="1" ht="19.5" customHeight="1" x14ac:dyDescent="0.25">
      <c r="A296" s="466"/>
      <c r="B296" s="338" t="s">
        <v>320</v>
      </c>
      <c r="C296" s="357"/>
      <c r="D296" s="357"/>
      <c r="E296" s="357"/>
      <c r="F296" s="938">
        <v>0</v>
      </c>
      <c r="G296" s="939"/>
      <c r="H296" s="502"/>
      <c r="I296" s="338" t="s">
        <v>321</v>
      </c>
      <c r="J296" s="338"/>
      <c r="K296" s="357"/>
      <c r="L296" s="357"/>
      <c r="M296" s="357"/>
      <c r="N296" s="357"/>
      <c r="O296" s="357"/>
      <c r="P296" s="357"/>
      <c r="Q296" s="357"/>
      <c r="R296" s="357"/>
      <c r="S296" s="467"/>
      <c r="T296" s="503"/>
    </row>
    <row r="297" spans="1:20" s="372" customFormat="1" ht="5.25" customHeight="1" x14ac:dyDescent="0.2">
      <c r="A297" s="466"/>
      <c r="B297" s="504"/>
      <c r="C297" s="505"/>
      <c r="D297" s="505"/>
      <c r="E297" s="357"/>
      <c r="F297" s="360"/>
      <c r="G297" s="359"/>
      <c r="H297" s="359"/>
      <c r="I297" s="357"/>
      <c r="J297" s="357"/>
      <c r="K297" s="357"/>
      <c r="L297" s="357"/>
      <c r="M297" s="357"/>
      <c r="N297" s="357"/>
      <c r="O297" s="357"/>
      <c r="P297" s="357"/>
      <c r="Q297" s="357"/>
      <c r="R297" s="357"/>
      <c r="S297" s="467"/>
      <c r="T297" s="503"/>
    </row>
    <row r="298" spans="1:20" s="372" customFormat="1" ht="16.5" customHeight="1" x14ac:dyDescent="0.2">
      <c r="A298" s="466"/>
      <c r="B298" s="506" t="s">
        <v>322</v>
      </c>
      <c r="C298" s="357"/>
      <c r="D298" s="357"/>
      <c r="E298" s="940" t="s">
        <v>323</v>
      </c>
      <c r="F298" s="940"/>
      <c r="G298" s="359"/>
      <c r="H298" s="359"/>
      <c r="I298" s="507"/>
      <c r="J298" s="818" t="s">
        <v>324</v>
      </c>
      <c r="K298" s="818"/>
      <c r="L298" s="818"/>
      <c r="M298" s="508"/>
      <c r="N298" s="508" t="s">
        <v>325</v>
      </c>
      <c r="O298" s="508"/>
      <c r="P298" s="508"/>
      <c r="Q298" s="818" t="s">
        <v>326</v>
      </c>
      <c r="R298" s="818"/>
      <c r="S298" s="467"/>
    </row>
    <row r="299" spans="1:20" s="372" customFormat="1" ht="4.5" customHeight="1" x14ac:dyDescent="0.2">
      <c r="A299" s="466"/>
      <c r="B299" s="504"/>
      <c r="C299" s="355"/>
      <c r="D299" s="355"/>
      <c r="E299" s="357"/>
      <c r="F299" s="360"/>
      <c r="G299" s="359"/>
      <c r="H299" s="359"/>
      <c r="I299" s="357"/>
      <c r="J299" s="357"/>
      <c r="K299" s="357"/>
      <c r="L299" s="357"/>
      <c r="M299" s="357"/>
      <c r="N299" s="357"/>
      <c r="O299" s="357"/>
      <c r="P299" s="357"/>
      <c r="Q299" s="357"/>
      <c r="R299" s="357"/>
      <c r="S299" s="467"/>
      <c r="T299" s="503"/>
    </row>
    <row r="300" spans="1:20" s="372" customFormat="1" ht="17.25" customHeight="1" x14ac:dyDescent="0.25">
      <c r="A300" s="509"/>
      <c r="B300" s="510" t="s">
        <v>327</v>
      </c>
      <c r="C300" s="511"/>
      <c r="D300" s="511"/>
      <c r="E300" s="941">
        <v>100</v>
      </c>
      <c r="F300" s="922"/>
      <c r="G300" s="512" t="s">
        <v>328</v>
      </c>
      <c r="H300" s="512"/>
      <c r="I300" s="357"/>
      <c r="J300" s="942"/>
      <c r="K300" s="943"/>
      <c r="L300" s="944"/>
      <c r="M300" s="945"/>
      <c r="N300" s="945"/>
      <c r="O300" s="945"/>
      <c r="P300" s="946"/>
      <c r="Q300" s="947"/>
      <c r="R300" s="948"/>
      <c r="S300" s="513"/>
      <c r="T300" s="514"/>
    </row>
    <row r="301" spans="1:20" s="372" customFormat="1" ht="6.75" customHeight="1" thickBot="1" x14ac:dyDescent="0.25">
      <c r="A301" s="496"/>
      <c r="B301" s="515"/>
      <c r="C301" s="498"/>
      <c r="D301" s="498"/>
      <c r="E301" s="516"/>
      <c r="F301" s="516"/>
      <c r="G301" s="516"/>
      <c r="H301" s="516"/>
      <c r="I301" s="516"/>
      <c r="J301" s="516"/>
      <c r="K301" s="516"/>
      <c r="L301" s="516"/>
      <c r="M301" s="516"/>
      <c r="N301" s="516"/>
      <c r="O301" s="516"/>
      <c r="P301" s="516"/>
      <c r="Q301" s="516"/>
      <c r="R301" s="516"/>
      <c r="S301" s="159"/>
      <c r="T301" s="503"/>
    </row>
    <row r="302" spans="1:20" s="520" customFormat="1" ht="17.45" customHeight="1" x14ac:dyDescent="0.2">
      <c r="A302" s="517"/>
      <c r="B302" s="949" t="s">
        <v>475</v>
      </c>
      <c r="C302" s="949"/>
      <c r="D302" s="949"/>
      <c r="E302" s="949"/>
      <c r="F302" s="949"/>
      <c r="G302" s="949"/>
      <c r="H302" s="949"/>
      <c r="I302" s="949"/>
      <c r="J302" s="949"/>
      <c r="K302" s="949"/>
      <c r="L302" s="949"/>
      <c r="M302" s="949"/>
      <c r="N302" s="949"/>
      <c r="O302" s="949"/>
      <c r="P302" s="949"/>
      <c r="Q302" s="949"/>
      <c r="R302" s="949"/>
      <c r="S302" s="518"/>
      <c r="T302" s="519"/>
    </row>
    <row r="303" spans="1:20" s="372" customFormat="1" ht="4.5" customHeight="1" x14ac:dyDescent="0.2">
      <c r="A303" s="466"/>
      <c r="B303" s="504"/>
      <c r="C303" s="355"/>
      <c r="D303" s="355"/>
      <c r="E303" s="357"/>
      <c r="F303" s="360"/>
      <c r="G303" s="359"/>
      <c r="H303" s="359"/>
      <c r="I303" s="357"/>
      <c r="J303" s="357"/>
      <c r="K303" s="357"/>
      <c r="L303" s="357"/>
      <c r="M303" s="357"/>
      <c r="N303" s="357"/>
      <c r="O303" s="357"/>
      <c r="P303" s="357"/>
      <c r="Q303" s="357"/>
      <c r="R303" s="357"/>
      <c r="S303" s="467"/>
      <c r="T303" s="503"/>
    </row>
    <row r="304" spans="1:20" s="528" customFormat="1" ht="17.25" customHeight="1" x14ac:dyDescent="0.2">
      <c r="A304" s="521"/>
      <c r="B304" s="522"/>
      <c r="C304" s="523" t="s">
        <v>329</v>
      </c>
      <c r="D304" s="524">
        <v>1</v>
      </c>
      <c r="E304" s="338"/>
      <c r="F304" s="525"/>
      <c r="G304" s="523" t="s">
        <v>330</v>
      </c>
      <c r="H304" s="808">
        <v>1</v>
      </c>
      <c r="I304" s="809"/>
      <c r="J304" s="526"/>
      <c r="K304" s="523"/>
      <c r="L304" s="525"/>
      <c r="M304" s="523" t="s">
        <v>331</v>
      </c>
      <c r="N304" s="524">
        <v>1</v>
      </c>
      <c r="O304" s="357"/>
      <c r="P304" s="525"/>
      <c r="Q304" s="523" t="s">
        <v>332</v>
      </c>
      <c r="R304" s="524">
        <v>1</v>
      </c>
      <c r="S304" s="527"/>
      <c r="T304" s="519"/>
    </row>
    <row r="305" spans="1:22" s="530" customFormat="1" ht="4.5" customHeight="1" x14ac:dyDescent="0.2">
      <c r="A305" s="336"/>
      <c r="B305" s="504"/>
      <c r="C305" s="529"/>
      <c r="D305" s="529"/>
      <c r="E305" s="338"/>
      <c r="F305" s="338"/>
      <c r="G305" s="339"/>
      <c r="H305" s="339"/>
      <c r="I305" s="338"/>
      <c r="J305" s="338"/>
      <c r="K305" s="338"/>
      <c r="L305" s="338"/>
      <c r="M305" s="338"/>
      <c r="N305" s="338"/>
      <c r="O305" s="338"/>
      <c r="P305" s="338"/>
      <c r="Q305" s="338"/>
      <c r="R305" s="338"/>
      <c r="S305" s="341"/>
      <c r="T305" s="503"/>
    </row>
    <row r="306" spans="1:22" s="372" customFormat="1" ht="12.75" x14ac:dyDescent="0.2">
      <c r="A306" s="466"/>
      <c r="B306" s="522" t="s">
        <v>347</v>
      </c>
      <c r="C306" s="357"/>
      <c r="D306" s="357"/>
      <c r="E306" s="818" t="s">
        <v>583</v>
      </c>
      <c r="F306" s="818"/>
      <c r="G306" s="359"/>
      <c r="H306" s="818" t="s">
        <v>333</v>
      </c>
      <c r="I306" s="818"/>
      <c r="J306" s="818" t="s">
        <v>809</v>
      </c>
      <c r="K306" s="818"/>
      <c r="L306" s="818"/>
      <c r="M306" s="818" t="s">
        <v>334</v>
      </c>
      <c r="N306" s="818"/>
      <c r="O306" s="818" t="s">
        <v>751</v>
      </c>
      <c r="P306" s="818"/>
      <c r="Q306" s="818" t="s">
        <v>326</v>
      </c>
      <c r="R306" s="818"/>
      <c r="S306" s="467"/>
      <c r="T306" s="503"/>
    </row>
    <row r="307" spans="1:22" s="372" customFormat="1" ht="10.5" customHeight="1" x14ac:dyDescent="0.2">
      <c r="A307" s="466"/>
      <c r="B307" s="338"/>
      <c r="C307" s="355"/>
      <c r="D307" s="355"/>
      <c r="E307" s="357"/>
      <c r="F307" s="360"/>
      <c r="G307" s="359"/>
      <c r="H307" s="531" t="s">
        <v>501</v>
      </c>
      <c r="I307" s="531" t="s">
        <v>502</v>
      </c>
      <c r="J307" s="531" t="s">
        <v>587</v>
      </c>
      <c r="K307" s="813" t="s">
        <v>502</v>
      </c>
      <c r="L307" s="813"/>
      <c r="M307" s="813" t="s">
        <v>112</v>
      </c>
      <c r="N307" s="813"/>
      <c r="O307" s="357"/>
      <c r="P307" s="357"/>
      <c r="Q307" s="357"/>
      <c r="R307" s="357"/>
      <c r="S307" s="467"/>
      <c r="T307" s="503"/>
    </row>
    <row r="308" spans="1:22" s="514" customFormat="1" ht="17.25" customHeight="1" x14ac:dyDescent="0.2">
      <c r="A308" s="509"/>
      <c r="B308" s="532" t="s">
        <v>444</v>
      </c>
      <c r="C308" s="511"/>
      <c r="D308" s="511"/>
      <c r="E308" s="950">
        <f>VLOOKUP(U308,Reichweite_BREIT!$A$39:$P$400,16)</f>
        <v>240.67753438932345</v>
      </c>
      <c r="F308" s="951"/>
      <c r="G308" s="533"/>
      <c r="H308" s="534">
        <v>180</v>
      </c>
      <c r="I308" s="671"/>
      <c r="J308" s="677">
        <f>VLOOKUP(U308,Reichweite_BREIT!$A$39:$P$400,14)</f>
        <v>228.05115120085745</v>
      </c>
      <c r="K308" s="952"/>
      <c r="L308" s="953"/>
      <c r="M308" s="952"/>
      <c r="N308" s="953"/>
      <c r="O308" s="952"/>
      <c r="P308" s="953"/>
      <c r="Q308" s="947"/>
      <c r="R308" s="954"/>
      <c r="S308" s="513"/>
      <c r="T308" s="537"/>
      <c r="U308" s="538">
        <f>H308</f>
        <v>180</v>
      </c>
      <c r="V308" s="538">
        <f>IF(W308&lt;=180,ABS($H308+180-360),ABS($H308-180-360))</f>
        <v>0</v>
      </c>
    </row>
    <row r="309" spans="1:22" s="372" customFormat="1" ht="4.5" customHeight="1" x14ac:dyDescent="0.25">
      <c r="A309" s="466"/>
      <c r="B309" s="539"/>
      <c r="C309" s="357"/>
      <c r="D309" s="357"/>
      <c r="E309" s="458"/>
      <c r="F309" s="357"/>
      <c r="G309" s="533"/>
      <c r="H309" s="533"/>
      <c r="I309" s="540"/>
      <c r="J309" s="678"/>
      <c r="K309" s="541"/>
      <c r="L309" s="542"/>
      <c r="M309" s="542"/>
      <c r="N309" s="543"/>
      <c r="O309" s="544"/>
      <c r="P309" s="544"/>
      <c r="Q309" s="805"/>
      <c r="R309" s="806"/>
      <c r="S309" s="467"/>
      <c r="T309" s="503"/>
      <c r="U309" s="538"/>
      <c r="V309" s="538"/>
    </row>
    <row r="310" spans="1:22" s="372" customFormat="1" ht="17.25" customHeight="1" x14ac:dyDescent="0.25">
      <c r="A310" s="466"/>
      <c r="B310" s="532" t="s">
        <v>445</v>
      </c>
      <c r="C310" s="511"/>
      <c r="D310" s="511"/>
      <c r="E310" s="950">
        <f>VLOOKUP(U310,Reichweite_BREIT!$A$39:$P$400,16)</f>
        <v>221.37545739103155</v>
      </c>
      <c r="F310" s="955"/>
      <c r="G310" s="533"/>
      <c r="H310" s="534">
        <v>90</v>
      </c>
      <c r="I310" s="671"/>
      <c r="J310" s="677">
        <f>VLOOKUP(U310,Reichweite_BREIT!$A$39:$P$400,14)</f>
        <v>364.94792093159964</v>
      </c>
      <c r="K310" s="952"/>
      <c r="L310" s="953"/>
      <c r="M310" s="952"/>
      <c r="N310" s="953"/>
      <c r="O310" s="952"/>
      <c r="P310" s="953"/>
      <c r="Q310" s="956" t="str">
        <f>IF(Q308="","",Q308)</f>
        <v/>
      </c>
      <c r="R310" s="957"/>
      <c r="S310" s="513"/>
      <c r="T310" s="503"/>
      <c r="U310" s="538">
        <f>H310</f>
        <v>90</v>
      </c>
      <c r="V310" s="538">
        <f>IF(W310&lt;=180,ABS($I310+180-360),ABS($I310-180-360))</f>
        <v>180</v>
      </c>
    </row>
    <row r="311" spans="1:22" s="372" customFormat="1" ht="4.5" customHeight="1" x14ac:dyDescent="0.2">
      <c r="A311" s="466"/>
      <c r="B311" s="539"/>
      <c r="C311" s="357"/>
      <c r="D311" s="357"/>
      <c r="E311" s="458"/>
      <c r="F311" s="357"/>
      <c r="G311" s="533"/>
      <c r="H311" s="533"/>
      <c r="I311" s="540"/>
      <c r="J311" s="678"/>
      <c r="K311" s="541"/>
      <c r="L311" s="542"/>
      <c r="M311" s="542"/>
      <c r="N311" s="543"/>
      <c r="O311" s="807"/>
      <c r="P311" s="807"/>
      <c r="Q311" s="545"/>
      <c r="R311" s="357"/>
      <c r="S311" s="467"/>
      <c r="T311" s="503"/>
      <c r="U311" s="538"/>
      <c r="V311" s="538"/>
    </row>
    <row r="312" spans="1:22" s="372" customFormat="1" ht="17.25" customHeight="1" x14ac:dyDescent="0.25">
      <c r="A312" s="466"/>
      <c r="B312" s="532" t="s">
        <v>448</v>
      </c>
      <c r="C312" s="511"/>
      <c r="D312" s="511"/>
      <c r="E312" s="950">
        <f>VLOOKUP(U312,Reichweite_BREIT!$A$39:$P$400,16)</f>
        <v>173.10635581071747</v>
      </c>
      <c r="F312" s="955"/>
      <c r="G312" s="533"/>
      <c r="H312" s="692">
        <v>32</v>
      </c>
      <c r="I312" s="671"/>
      <c r="J312" s="677">
        <f>VLOOKUP(U312,Reichweite_BREIT!$A$39:$P$400,14)</f>
        <v>400</v>
      </c>
      <c r="K312" s="952"/>
      <c r="L312" s="953"/>
      <c r="M312" s="952"/>
      <c r="N312" s="953"/>
      <c r="O312" s="952"/>
      <c r="P312" s="953"/>
      <c r="Q312" s="956" t="str">
        <f>IF(Q310="","",Q310)</f>
        <v/>
      </c>
      <c r="R312" s="957"/>
      <c r="S312" s="513"/>
      <c r="T312" s="503"/>
      <c r="U312" s="538">
        <f>H312</f>
        <v>32</v>
      </c>
      <c r="V312" s="538">
        <f>IF(W312&lt;=180,ABS($I312+180-360),ABS($I312-180-360))</f>
        <v>180</v>
      </c>
    </row>
    <row r="313" spans="1:22" s="372" customFormat="1" ht="4.5" customHeight="1" x14ac:dyDescent="0.2">
      <c r="A313" s="466"/>
      <c r="B313" s="539"/>
      <c r="C313" s="357"/>
      <c r="D313" s="357"/>
      <c r="E313" s="458"/>
      <c r="F313" s="357"/>
      <c r="G313" s="533"/>
      <c r="H313" s="533"/>
      <c r="I313" s="540"/>
      <c r="J313" s="678"/>
      <c r="K313" s="541"/>
      <c r="L313" s="542"/>
      <c r="M313" s="542"/>
      <c r="N313" s="543"/>
      <c r="O313" s="807"/>
      <c r="P313" s="807"/>
      <c r="Q313" s="545"/>
      <c r="R313" s="357"/>
      <c r="S313" s="467"/>
      <c r="T313" s="503"/>
      <c r="U313" s="538"/>
      <c r="V313" s="538"/>
    </row>
    <row r="314" spans="1:22" s="514" customFormat="1" ht="17.25" customHeight="1" x14ac:dyDescent="0.25">
      <c r="A314" s="509"/>
      <c r="B314" s="532" t="s">
        <v>447</v>
      </c>
      <c r="C314" s="511"/>
      <c r="D314" s="511"/>
      <c r="E314" s="950">
        <f>VLOOKUP(U314,Reichweite_BREIT!$A$39:$P$400,16)</f>
        <v>156.35419969321862</v>
      </c>
      <c r="F314" s="955"/>
      <c r="G314" s="533"/>
      <c r="H314" s="534">
        <v>0</v>
      </c>
      <c r="I314" s="671"/>
      <c r="J314" s="677">
        <f>VLOOKUP(U314,Reichweite_BREIT!$A$39:$P$400,14)</f>
        <v>260.22973021580691</v>
      </c>
      <c r="K314" s="952"/>
      <c r="L314" s="953"/>
      <c r="M314" s="952"/>
      <c r="N314" s="953"/>
      <c r="O314" s="952"/>
      <c r="P314" s="953"/>
      <c r="Q314" s="956" t="str">
        <f>IF(Q312="","",Q312)</f>
        <v/>
      </c>
      <c r="R314" s="957"/>
      <c r="S314" s="513"/>
      <c r="T314" s="537"/>
      <c r="U314" s="538">
        <f>H314</f>
        <v>0</v>
      </c>
      <c r="V314" s="538">
        <f>IF(W314&lt;=180,ABS($I314+180-360),ABS($I314-180-360))</f>
        <v>180</v>
      </c>
    </row>
    <row r="315" spans="1:22" s="514" customFormat="1" ht="2.25" customHeight="1" x14ac:dyDescent="0.25">
      <c r="A315" s="509"/>
      <c r="B315" s="532"/>
      <c r="C315" s="511"/>
      <c r="D315" s="511"/>
      <c r="E315" s="547"/>
      <c r="F315" s="548"/>
      <c r="G315" s="533"/>
      <c r="H315" s="533"/>
      <c r="I315" s="549"/>
      <c r="J315" s="679"/>
      <c r="K315" s="541"/>
      <c r="L315" s="549"/>
      <c r="M315" s="549"/>
      <c r="N315" s="543"/>
      <c r="O315" s="807"/>
      <c r="P315" s="807"/>
      <c r="Q315" s="550"/>
      <c r="R315" s="548"/>
      <c r="S315" s="513"/>
      <c r="T315" s="537"/>
      <c r="U315" s="538">
        <f>H315</f>
        <v>0</v>
      </c>
      <c r="V315" s="538"/>
    </row>
    <row r="316" spans="1:22" s="514" customFormat="1" ht="2.25" customHeight="1" x14ac:dyDescent="0.25">
      <c r="A316" s="551"/>
      <c r="B316" s="552"/>
      <c r="C316" s="553"/>
      <c r="D316" s="553"/>
      <c r="E316" s="554"/>
      <c r="F316" s="555"/>
      <c r="G316" s="556"/>
      <c r="H316" s="556"/>
      <c r="I316" s="557"/>
      <c r="J316" s="680"/>
      <c r="K316" s="541"/>
      <c r="L316" s="557"/>
      <c r="M316" s="557"/>
      <c r="N316" s="543"/>
      <c r="O316" s="807"/>
      <c r="P316" s="807"/>
      <c r="Q316" s="558"/>
      <c r="R316" s="559"/>
      <c r="S316" s="552"/>
      <c r="T316" s="537"/>
      <c r="U316" s="538"/>
      <c r="V316" s="538"/>
    </row>
    <row r="317" spans="1:22" s="514" customFormat="1" ht="17.25" customHeight="1" x14ac:dyDescent="0.25">
      <c r="A317" s="509"/>
      <c r="B317" s="532" t="s">
        <v>446</v>
      </c>
      <c r="C317" s="511"/>
      <c r="D317" s="511"/>
      <c r="E317" s="950">
        <f>VLOOKUP(U317,Reichweite_BREIT!$A$39:$P$400,16)</f>
        <v>221.44467749982809</v>
      </c>
      <c r="F317" s="955"/>
      <c r="G317" s="533"/>
      <c r="H317" s="534">
        <v>270</v>
      </c>
      <c r="I317" s="671"/>
      <c r="J317" s="677">
        <f>VLOOKUP(U317,Reichweite_BREIT!$A$39:$P$400,14)</f>
        <v>374.3629690065714</v>
      </c>
      <c r="K317" s="952"/>
      <c r="L317" s="953"/>
      <c r="M317" s="952"/>
      <c r="N317" s="953"/>
      <c r="O317" s="952"/>
      <c r="P317" s="953"/>
      <c r="Q317" s="947"/>
      <c r="R317" s="954"/>
      <c r="S317" s="513"/>
      <c r="T317" s="537"/>
      <c r="U317" s="538">
        <f>H317</f>
        <v>270</v>
      </c>
      <c r="V317" s="538">
        <f>IF(W317&lt;=180,ABS($I317+180-360),ABS($I317-180-360))</f>
        <v>180</v>
      </c>
    </row>
    <row r="318" spans="1:22" s="514" customFormat="1" ht="4.5" customHeight="1" x14ac:dyDescent="0.2">
      <c r="A318" s="509"/>
      <c r="B318" s="532"/>
      <c r="C318" s="511"/>
      <c r="D318" s="533"/>
      <c r="E318" s="533"/>
      <c r="F318" s="533"/>
      <c r="G318" s="533"/>
      <c r="H318" s="533"/>
      <c r="I318" s="540"/>
      <c r="J318" s="678"/>
      <c r="K318" s="541"/>
      <c r="L318" s="542"/>
      <c r="M318" s="542"/>
      <c r="N318" s="543"/>
      <c r="O318" s="807"/>
      <c r="P318" s="807"/>
      <c r="Q318" s="545"/>
      <c r="R318" s="357"/>
      <c r="S318" s="513"/>
      <c r="T318" s="537"/>
      <c r="U318" s="538"/>
      <c r="V318" s="538"/>
    </row>
    <row r="319" spans="1:22" s="514" customFormat="1" ht="18.75" customHeight="1" x14ac:dyDescent="0.25">
      <c r="A319" s="509"/>
      <c r="B319" s="532" t="s">
        <v>595</v>
      </c>
      <c r="C319" s="511"/>
      <c r="D319" s="511"/>
      <c r="E319" s="950">
        <f>VLOOKUP(U319,Reichweite_BREIT!$A$39:$P$400,16)</f>
        <v>266.13020083940529</v>
      </c>
      <c r="F319" s="955"/>
      <c r="G319" s="533"/>
      <c r="H319" s="692">
        <v>219</v>
      </c>
      <c r="I319" s="671"/>
      <c r="J319" s="677">
        <f>VLOOKUP(U319,Reichweite_BREIT!$A$39:$P$400,14)</f>
        <v>400</v>
      </c>
      <c r="K319" s="952"/>
      <c r="L319" s="953"/>
      <c r="M319" s="952"/>
      <c r="N319" s="953"/>
      <c r="O319" s="952"/>
      <c r="P319" s="953"/>
      <c r="Q319" s="956" t="str">
        <f>IF(Q317="","",Q317)</f>
        <v/>
      </c>
      <c r="R319" s="957"/>
      <c r="S319" s="513"/>
      <c r="T319" s="537"/>
      <c r="U319" s="538">
        <f>H319</f>
        <v>219</v>
      </c>
      <c r="V319" s="538"/>
    </row>
    <row r="320" spans="1:22" s="514" customFormat="1" ht="4.5" customHeight="1" x14ac:dyDescent="0.25">
      <c r="A320" s="509"/>
      <c r="B320" s="532"/>
      <c r="C320" s="511"/>
      <c r="D320" s="533"/>
      <c r="E320" s="533"/>
      <c r="F320" s="533"/>
      <c r="G320" s="533"/>
      <c r="H320" s="533"/>
      <c r="I320" s="541"/>
      <c r="J320" s="673"/>
      <c r="K320" s="541"/>
      <c r="L320" s="560"/>
      <c r="M320" s="560"/>
      <c r="N320" s="543"/>
      <c r="O320" s="807"/>
      <c r="P320" s="807"/>
      <c r="Q320" s="558"/>
      <c r="R320" s="502"/>
      <c r="S320" s="513"/>
      <c r="T320" s="537"/>
      <c r="U320" s="538"/>
      <c r="V320" s="538"/>
    </row>
    <row r="321" spans="1:22" s="514" customFormat="1" ht="17.25" customHeight="1" x14ac:dyDescent="0.25">
      <c r="A321" s="509"/>
      <c r="B321" s="532" t="s">
        <v>752</v>
      </c>
      <c r="C321" s="511"/>
      <c r="D321" s="511"/>
      <c r="E321" s="950">
        <f>VLOOKUP(U321,Reichweite_BREIT!$A$39:$P$400,16)</f>
        <v>172.65141849631408</v>
      </c>
      <c r="F321" s="955"/>
      <c r="G321" s="533"/>
      <c r="H321" s="692">
        <v>326</v>
      </c>
      <c r="I321" s="672"/>
      <c r="J321" s="677">
        <f>VLOOKUP(U321,Reichweite_BREIT!$A$39:$P$400,14)</f>
        <v>400</v>
      </c>
      <c r="K321" s="952"/>
      <c r="L321" s="953"/>
      <c r="M321" s="952"/>
      <c r="N321" s="953"/>
      <c r="O321" s="952"/>
      <c r="P321" s="953"/>
      <c r="Q321" s="956" t="str">
        <f>IF(Q319="","",Q319)</f>
        <v/>
      </c>
      <c r="R321" s="957"/>
      <c r="S321" s="513"/>
      <c r="T321" s="537"/>
      <c r="U321" s="538">
        <f>H321</f>
        <v>326</v>
      </c>
      <c r="V321" s="538"/>
    </row>
    <row r="322" spans="1:22" s="372" customFormat="1" ht="4.5" customHeight="1" thickBot="1" x14ac:dyDescent="0.25">
      <c r="A322" s="496"/>
      <c r="B322" s="562"/>
      <c r="C322" s="157"/>
      <c r="D322" s="157"/>
      <c r="E322" s="158"/>
      <c r="F322" s="157"/>
      <c r="G322" s="563"/>
      <c r="H322" s="563"/>
      <c r="I322" s="157"/>
      <c r="J322" s="157"/>
      <c r="K322" s="157"/>
      <c r="L322" s="157"/>
      <c r="M322" s="157"/>
      <c r="N322" s="157"/>
      <c r="O322" s="157"/>
      <c r="P322" s="157"/>
      <c r="Q322" s="157"/>
      <c r="R322" s="157"/>
      <c r="S322" s="159"/>
      <c r="T322" s="503"/>
      <c r="U322" s="538"/>
      <c r="V322" s="564"/>
    </row>
    <row r="323" spans="1:22" s="520" customFormat="1" ht="17.45" customHeight="1" x14ac:dyDescent="0.2">
      <c r="A323" s="517"/>
      <c r="B323" s="565" t="s">
        <v>476</v>
      </c>
      <c r="C323" s="566"/>
      <c r="D323" s="566"/>
      <c r="E323" s="567"/>
      <c r="F323" s="568"/>
      <c r="G323" s="569"/>
      <c r="H323" s="569"/>
      <c r="I323" s="567"/>
      <c r="J323" s="567"/>
      <c r="K323" s="567"/>
      <c r="L323" s="567"/>
      <c r="M323" s="567"/>
      <c r="N323" s="567"/>
      <c r="O323" s="567"/>
      <c r="P323" s="567"/>
      <c r="Q323" s="567"/>
      <c r="R323" s="567"/>
      <c r="S323" s="518"/>
      <c r="T323" s="519"/>
      <c r="U323" s="538"/>
      <c r="V323" s="570"/>
    </row>
    <row r="324" spans="1:22" s="372" customFormat="1" ht="4.5" customHeight="1" x14ac:dyDescent="0.2">
      <c r="A324" s="466"/>
      <c r="B324" s="504"/>
      <c r="C324" s="355"/>
      <c r="D324" s="355"/>
      <c r="E324" s="357"/>
      <c r="F324" s="360"/>
      <c r="G324" s="359"/>
      <c r="H324" s="359"/>
      <c r="I324" s="357"/>
      <c r="J324" s="357"/>
      <c r="K324" s="357"/>
      <c r="L324" s="357"/>
      <c r="M324" s="357"/>
      <c r="N324" s="357"/>
      <c r="O324" s="567"/>
      <c r="P324" s="357"/>
      <c r="Q324" s="357"/>
      <c r="R324" s="357"/>
      <c r="S324" s="467"/>
      <c r="T324" s="503"/>
      <c r="U324" s="538"/>
      <c r="V324" s="564"/>
    </row>
    <row r="325" spans="1:22" s="528" customFormat="1" ht="17.25" customHeight="1" x14ac:dyDescent="0.2">
      <c r="A325" s="521"/>
      <c r="B325" s="522"/>
      <c r="C325" s="523" t="s">
        <v>329</v>
      </c>
      <c r="D325" s="524">
        <v>0</v>
      </c>
      <c r="E325" s="338"/>
      <c r="F325" s="525"/>
      <c r="G325" s="523" t="s">
        <v>330</v>
      </c>
      <c r="H325" s="808">
        <v>0</v>
      </c>
      <c r="I325" s="809"/>
      <c r="J325" s="526"/>
      <c r="K325" s="523"/>
      <c r="L325" s="525"/>
      <c r="M325" s="523" t="s">
        <v>331</v>
      </c>
      <c r="N325" s="524">
        <v>0</v>
      </c>
      <c r="O325" s="567"/>
      <c r="P325" s="525"/>
      <c r="Q325" s="523" t="s">
        <v>332</v>
      </c>
      <c r="R325" s="524">
        <v>0</v>
      </c>
      <c r="S325" s="527"/>
      <c r="T325" s="519"/>
      <c r="U325" s="538"/>
      <c r="V325" s="571"/>
    </row>
    <row r="326" spans="1:22" s="530" customFormat="1" ht="4.5" customHeight="1" x14ac:dyDescent="0.2">
      <c r="A326" s="336"/>
      <c r="B326" s="504"/>
      <c r="C326" s="529"/>
      <c r="D326" s="529"/>
      <c r="E326" s="338"/>
      <c r="F326" s="338"/>
      <c r="G326" s="339"/>
      <c r="H326" s="339"/>
      <c r="I326" s="338"/>
      <c r="J326" s="338"/>
      <c r="K326" s="338"/>
      <c r="L326" s="338"/>
      <c r="M326" s="338"/>
      <c r="N326" s="338"/>
      <c r="O326" s="338"/>
      <c r="P326" s="338"/>
      <c r="Q326" s="338"/>
      <c r="R326" s="338"/>
      <c r="S326" s="341"/>
      <c r="T326" s="503"/>
      <c r="U326" s="538"/>
      <c r="V326" s="572"/>
    </row>
    <row r="327" spans="1:22" s="372" customFormat="1" ht="12.75" x14ac:dyDescent="0.2">
      <c r="A327" s="466"/>
      <c r="B327" s="522" t="s">
        <v>347</v>
      </c>
      <c r="C327" s="357"/>
      <c r="D327" s="357"/>
      <c r="E327" s="818" t="s">
        <v>583</v>
      </c>
      <c r="F327" s="818"/>
      <c r="G327" s="359"/>
      <c r="H327" s="818" t="s">
        <v>333</v>
      </c>
      <c r="I327" s="818"/>
      <c r="J327" s="818" t="s">
        <v>809</v>
      </c>
      <c r="K327" s="818"/>
      <c r="L327" s="818"/>
      <c r="M327" s="818" t="s">
        <v>334</v>
      </c>
      <c r="N327" s="818"/>
      <c r="O327" s="818" t="s">
        <v>751</v>
      </c>
      <c r="P327" s="818"/>
      <c r="Q327" s="818" t="s">
        <v>326</v>
      </c>
      <c r="R327" s="818"/>
      <c r="S327" s="467"/>
      <c r="T327" s="503"/>
      <c r="U327" s="538"/>
      <c r="V327" s="564"/>
    </row>
    <row r="328" spans="1:22" s="372" customFormat="1" ht="9" customHeight="1" x14ac:dyDescent="0.2">
      <c r="A328" s="466"/>
      <c r="B328" s="338"/>
      <c r="C328" s="355"/>
      <c r="D328" s="355"/>
      <c r="E328" s="357"/>
      <c r="F328" s="360"/>
      <c r="G328" s="359"/>
      <c r="H328" s="531" t="s">
        <v>501</v>
      </c>
      <c r="I328" s="531" t="s">
        <v>502</v>
      </c>
      <c r="J328" s="531" t="s">
        <v>587</v>
      </c>
      <c r="K328" s="813" t="s">
        <v>502</v>
      </c>
      <c r="L328" s="813"/>
      <c r="M328" s="813" t="s">
        <v>112</v>
      </c>
      <c r="N328" s="813"/>
      <c r="O328" s="357"/>
      <c r="P328" s="357"/>
      <c r="Q328" s="357"/>
      <c r="R328" s="357"/>
      <c r="S328" s="467"/>
      <c r="T328" s="503"/>
      <c r="U328" s="538"/>
      <c r="V328" s="564"/>
    </row>
    <row r="329" spans="1:22" s="514" customFormat="1" ht="17.25" customHeight="1" x14ac:dyDescent="0.25">
      <c r="A329" s="509"/>
      <c r="B329" s="532" t="s">
        <v>819</v>
      </c>
      <c r="C329" s="511"/>
      <c r="D329" s="511"/>
      <c r="E329" s="950">
        <f>VLOOKUP(U329,Reichweite_SCHMAL!$A$39:$P$400,16)</f>
        <v>210.08466483484017</v>
      </c>
      <c r="F329" s="955"/>
      <c r="G329" s="533"/>
      <c r="H329" s="693">
        <v>17</v>
      </c>
      <c r="I329" s="671"/>
      <c r="J329" s="674">
        <f>VLOOKUP(U329,Reichweite_SCHMAL!$A$39:$P$400,14)</f>
        <v>269.17760499142503</v>
      </c>
      <c r="K329" s="952"/>
      <c r="L329" s="953"/>
      <c r="M329" s="952"/>
      <c r="N329" s="953"/>
      <c r="O329" s="952"/>
      <c r="P329" s="953"/>
      <c r="Q329" s="897"/>
      <c r="R329" s="899"/>
      <c r="S329" s="513"/>
      <c r="T329" s="537"/>
      <c r="U329" s="538">
        <f>H329</f>
        <v>17</v>
      </c>
      <c r="V329" s="538">
        <f>IF(W329&lt;=180,ABS($I329+180-360),ABS($I329-180-360))</f>
        <v>180</v>
      </c>
    </row>
    <row r="330" spans="1:22" s="514" customFormat="1" ht="4.5" hidden="1" customHeight="1" x14ac:dyDescent="0.2">
      <c r="A330" s="509"/>
      <c r="B330" s="532"/>
      <c r="C330" s="511"/>
      <c r="D330" s="511"/>
      <c r="E330" s="458"/>
      <c r="F330" s="357"/>
      <c r="G330" s="533"/>
      <c r="H330" s="533"/>
      <c r="I330" s="573"/>
      <c r="J330" s="573"/>
      <c r="K330" s="574"/>
      <c r="L330" s="575"/>
      <c r="M330" s="575"/>
      <c r="N330" s="576"/>
      <c r="O330" s="810"/>
      <c r="P330" s="811"/>
      <c r="Q330" s="573"/>
      <c r="R330" s="573"/>
      <c r="S330" s="513"/>
      <c r="T330" s="537"/>
      <c r="U330" s="538">
        <f>H330</f>
        <v>0</v>
      </c>
      <c r="V330" s="538"/>
    </row>
    <row r="331" spans="1:22" s="372" customFormat="1" ht="17.25" hidden="1" customHeight="1" x14ac:dyDescent="0.25">
      <c r="A331" s="466"/>
      <c r="B331" s="532" t="s">
        <v>335</v>
      </c>
      <c r="C331" s="511"/>
      <c r="D331" s="511"/>
      <c r="E331" s="950">
        <f>VLOOKUP(U331,Reichweite_SCHMAL!$A$39:$P$400,16)</f>
        <v>153.15557745488999</v>
      </c>
      <c r="F331" s="955"/>
      <c r="G331" s="533"/>
      <c r="H331" s="533"/>
      <c r="I331" s="578">
        <v>90</v>
      </c>
      <c r="J331" s="578"/>
      <c r="K331" s="574"/>
      <c r="L331" s="536">
        <f>VLOOKUP(U331,Reichweite_SCHMAL!$A$39:$P$400,14)</f>
        <v>236.95808949021585</v>
      </c>
      <c r="M331" s="536"/>
      <c r="N331" s="576"/>
      <c r="O331" s="810"/>
      <c r="P331" s="811"/>
      <c r="Q331" s="958"/>
      <c r="R331" s="959"/>
      <c r="S331" s="467"/>
      <c r="T331" s="503"/>
      <c r="U331" s="538">
        <f>H331</f>
        <v>0</v>
      </c>
      <c r="V331" s="538">
        <f>IF(W331&lt;=180,ABS($I331+180-360),ABS($I331-180-360))</f>
        <v>90</v>
      </c>
    </row>
    <row r="332" spans="1:22" s="372" customFormat="1" ht="4.5" customHeight="1" x14ac:dyDescent="0.2">
      <c r="A332" s="466"/>
      <c r="B332" s="539"/>
      <c r="C332" s="357"/>
      <c r="D332" s="357"/>
      <c r="E332" s="458"/>
      <c r="F332" s="357"/>
      <c r="G332" s="533"/>
      <c r="H332" s="533"/>
      <c r="I332" s="579"/>
      <c r="J332" s="675"/>
      <c r="K332" s="541"/>
      <c r="L332" s="542"/>
      <c r="M332" s="542"/>
      <c r="N332" s="543"/>
      <c r="O332" s="807"/>
      <c r="P332" s="807"/>
      <c r="Q332" s="684"/>
      <c r="R332" s="685"/>
      <c r="S332" s="467"/>
      <c r="T332" s="503"/>
      <c r="U332" s="538"/>
      <c r="V332" s="538"/>
    </row>
    <row r="333" spans="1:22" s="372" customFormat="1" ht="17.25" customHeight="1" x14ac:dyDescent="0.25">
      <c r="A333" s="466"/>
      <c r="B333" s="532" t="s">
        <v>820</v>
      </c>
      <c r="C333" s="511"/>
      <c r="D333" s="511"/>
      <c r="E333" s="950">
        <f>VLOOKUP(U333,Reichweite_SCHMAL!$A$39:$P$400,16)</f>
        <v>210.08466483484017</v>
      </c>
      <c r="F333" s="955"/>
      <c r="G333" s="533"/>
      <c r="H333" s="693">
        <v>17</v>
      </c>
      <c r="I333" s="672"/>
      <c r="J333" s="674">
        <f>VLOOKUP(U333,Reichweite_SCHMAL!$A$39:$P$400,14)</f>
        <v>269.17760499142503</v>
      </c>
      <c r="K333" s="952"/>
      <c r="L333" s="953"/>
      <c r="M333" s="952"/>
      <c r="N333" s="953"/>
      <c r="O333" s="952"/>
      <c r="P333" s="953"/>
      <c r="Q333" s="897" t="str">
        <f>IF(Q329="","",Q329)</f>
        <v/>
      </c>
      <c r="R333" s="899"/>
      <c r="S333" s="467"/>
      <c r="T333" s="503"/>
      <c r="U333" s="538">
        <f>H333</f>
        <v>17</v>
      </c>
      <c r="V333" s="538"/>
    </row>
    <row r="334" spans="1:22" s="372" customFormat="1" ht="4.5" customHeight="1" x14ac:dyDescent="0.2">
      <c r="A334" s="466"/>
      <c r="B334" s="539"/>
      <c r="C334" s="357"/>
      <c r="D334" s="357"/>
      <c r="E334" s="458"/>
      <c r="F334" s="357"/>
      <c r="G334" s="533"/>
      <c r="H334" s="533"/>
      <c r="I334" s="588"/>
      <c r="J334" s="675"/>
      <c r="K334" s="541"/>
      <c r="L334" s="542"/>
      <c r="M334" s="542"/>
      <c r="N334" s="543"/>
      <c r="O334" s="812"/>
      <c r="P334" s="812"/>
      <c r="Q334" s="684"/>
      <c r="R334" s="685"/>
      <c r="S334" s="467"/>
      <c r="T334" s="503"/>
      <c r="U334" s="538"/>
      <c r="V334" s="538"/>
    </row>
    <row r="335" spans="1:22" s="514" customFormat="1" ht="18" customHeight="1" x14ac:dyDescent="0.25">
      <c r="A335" s="509"/>
      <c r="B335" s="532" t="s">
        <v>821</v>
      </c>
      <c r="C335" s="511"/>
      <c r="D335" s="511"/>
      <c r="E335" s="950">
        <f>VLOOKUP(U335,Reichweite_SCHMAL!$A$39:$P$400,16)</f>
        <v>247.09979970723532</v>
      </c>
      <c r="F335" s="951"/>
      <c r="G335" s="533"/>
      <c r="H335" s="692">
        <v>163</v>
      </c>
      <c r="I335" s="561"/>
      <c r="J335" s="674">
        <f>VLOOKUP(U335,Reichweite_SCHMAL!$A$39:$P$400,14)</f>
        <v>224.29476951685831</v>
      </c>
      <c r="K335" s="960"/>
      <c r="L335" s="961"/>
      <c r="M335" s="934"/>
      <c r="N335" s="935"/>
      <c r="O335" s="810"/>
      <c r="P335" s="811"/>
      <c r="Q335" s="958"/>
      <c r="R335" s="959"/>
      <c r="S335" s="513"/>
      <c r="T335" s="537"/>
      <c r="U335" s="538">
        <f>H335</f>
        <v>163</v>
      </c>
      <c r="V335" s="538">
        <f>IF(W335&lt;=180,ABS($I335+180-360),ABS($I335-180-360))</f>
        <v>180</v>
      </c>
    </row>
    <row r="336" spans="1:22" s="372" customFormat="1" ht="4.5" hidden="1" customHeight="1" x14ac:dyDescent="0.2">
      <c r="A336" s="580"/>
      <c r="B336" s="581"/>
      <c r="C336" s="582"/>
      <c r="D336" s="582"/>
      <c r="E336" s="583"/>
      <c r="F336" s="582"/>
      <c r="G336" s="584"/>
      <c r="H336" s="584"/>
      <c r="I336" s="579"/>
      <c r="J336" s="675"/>
      <c r="K336" s="541"/>
      <c r="L336" s="542"/>
      <c r="M336" s="542"/>
      <c r="N336" s="543"/>
      <c r="O336" s="812"/>
      <c r="P336" s="812"/>
      <c r="Q336" s="684"/>
      <c r="R336" s="684"/>
      <c r="S336" s="585"/>
      <c r="T336" s="503"/>
      <c r="U336" s="538"/>
      <c r="V336" s="538"/>
    </row>
    <row r="337" spans="1:22" s="514" customFormat="1" ht="17.25" hidden="1" customHeight="1" x14ac:dyDescent="0.25">
      <c r="A337" s="509"/>
      <c r="B337" s="532" t="s">
        <v>449</v>
      </c>
      <c r="C337" s="511"/>
      <c r="D337" s="511"/>
      <c r="E337" s="962">
        <f>VLOOKUP(U337,Reichweite_SCHMAL!$A$39:$P$400,16)</f>
        <v>153.15557745488999</v>
      </c>
      <c r="F337" s="963"/>
      <c r="G337" s="533"/>
      <c r="H337" s="533"/>
      <c r="I337" s="586">
        <v>0</v>
      </c>
      <c r="J337" s="586"/>
      <c r="K337" s="541"/>
      <c r="L337" s="587">
        <f>VLOOKUP(U337,Reichweite_SCHMAL!$A$39:$P$400,14)</f>
        <v>236.95808949021585</v>
      </c>
      <c r="M337" s="587"/>
      <c r="N337" s="543"/>
      <c r="O337" s="812"/>
      <c r="P337" s="812"/>
      <c r="Q337" s="964"/>
      <c r="R337" s="965"/>
      <c r="S337" s="513"/>
      <c r="T337" s="537"/>
      <c r="U337" s="538"/>
      <c r="V337" s="538">
        <f>IF(W337&lt;=180,ABS($I337+180-360),ABS($I337-180-360))</f>
        <v>180</v>
      </c>
    </row>
    <row r="338" spans="1:22" s="372" customFormat="1" ht="5.25" customHeight="1" x14ac:dyDescent="0.2">
      <c r="A338" s="580"/>
      <c r="B338" s="581"/>
      <c r="C338" s="582"/>
      <c r="D338" s="582"/>
      <c r="E338" s="583"/>
      <c r="F338" s="582"/>
      <c r="G338" s="584"/>
      <c r="H338" s="584"/>
      <c r="I338" s="588"/>
      <c r="J338" s="676"/>
      <c r="K338" s="541"/>
      <c r="L338" s="531"/>
      <c r="M338" s="531"/>
      <c r="N338" s="543"/>
      <c r="O338" s="812"/>
      <c r="P338" s="812"/>
      <c r="Q338" s="686"/>
      <c r="R338" s="686"/>
      <c r="S338" s="585"/>
      <c r="T338" s="503"/>
      <c r="U338" s="538"/>
      <c r="V338" s="538"/>
    </row>
    <row r="339" spans="1:22" s="372" customFormat="1" ht="4.5" customHeight="1" x14ac:dyDescent="0.2">
      <c r="A339" s="466"/>
      <c r="B339" s="539"/>
      <c r="C339" s="357"/>
      <c r="D339" s="357"/>
      <c r="E339" s="458"/>
      <c r="F339" s="357"/>
      <c r="G339" s="533"/>
      <c r="H339" s="533"/>
      <c r="I339" s="588"/>
      <c r="J339" s="676"/>
      <c r="K339" s="541"/>
      <c r="L339" s="531"/>
      <c r="M339" s="531"/>
      <c r="N339" s="543"/>
      <c r="O339" s="812"/>
      <c r="P339" s="812"/>
      <c r="Q339" s="686"/>
      <c r="R339" s="686"/>
      <c r="S339" s="467"/>
      <c r="T339" s="503"/>
      <c r="U339" s="538"/>
      <c r="V339" s="538"/>
    </row>
    <row r="340" spans="1:22" s="514" customFormat="1" ht="17.25" customHeight="1" x14ac:dyDescent="0.25">
      <c r="A340" s="509"/>
      <c r="B340" s="532" t="s">
        <v>450</v>
      </c>
      <c r="C340" s="511"/>
      <c r="D340" s="511"/>
      <c r="E340" s="950">
        <f>VLOOKUP(U340,Reichweite_SCHMAL!$A$39:$P$400,16)</f>
        <v>207.52061523274898</v>
      </c>
      <c r="F340" s="955"/>
      <c r="G340" s="533"/>
      <c r="H340" s="692">
        <v>342</v>
      </c>
      <c r="I340" s="671"/>
      <c r="J340" s="674">
        <f>VLOOKUP(U340,Reichweite_SCHMAL!$A$39:$P$400,14)</f>
        <v>260.8754256138796</v>
      </c>
      <c r="K340" s="952"/>
      <c r="L340" s="953"/>
      <c r="M340" s="952"/>
      <c r="N340" s="953"/>
      <c r="O340" s="952"/>
      <c r="P340" s="953"/>
      <c r="Q340" s="897" t="str">
        <f>IF(Q333="","",Q333)</f>
        <v/>
      </c>
      <c r="R340" s="899"/>
      <c r="S340" s="513"/>
      <c r="T340" s="537"/>
      <c r="U340" s="538">
        <f>H340</f>
        <v>342</v>
      </c>
      <c r="V340" s="538">
        <f>IF(W340&lt;=180,ABS($I340+180-360),ABS($I340-180-360))</f>
        <v>180</v>
      </c>
    </row>
    <row r="341" spans="1:22" s="372" customFormat="1" ht="4.5" customHeight="1" x14ac:dyDescent="0.2">
      <c r="A341" s="466"/>
      <c r="B341" s="539"/>
      <c r="C341" s="357"/>
      <c r="D341" s="357"/>
      <c r="E341" s="458"/>
      <c r="F341" s="357"/>
      <c r="G341" s="533"/>
      <c r="H341" s="533"/>
      <c r="I341" s="579"/>
      <c r="J341" s="675"/>
      <c r="K341" s="541"/>
      <c r="L341" s="542"/>
      <c r="M341" s="542"/>
      <c r="N341" s="543"/>
      <c r="O341" s="807"/>
      <c r="P341" s="807"/>
      <c r="Q341" s="684"/>
      <c r="R341" s="685"/>
      <c r="S341" s="467"/>
      <c r="T341" s="503"/>
      <c r="U341" s="538"/>
      <c r="V341" s="538"/>
    </row>
    <row r="342" spans="1:22" s="514" customFormat="1" ht="17.25" hidden="1" customHeight="1" x14ac:dyDescent="0.25">
      <c r="A342" s="509"/>
      <c r="B342" s="532" t="s">
        <v>753</v>
      </c>
      <c r="C342" s="511"/>
      <c r="D342" s="511"/>
      <c r="E342" s="950">
        <f>VLOOKUP(U342,Reichweite_SCHMAL!$A$39:$P$400,16)</f>
        <v>246.42026293243507</v>
      </c>
      <c r="F342" s="955"/>
      <c r="G342" s="533"/>
      <c r="H342" s="546">
        <v>164</v>
      </c>
      <c r="I342" s="535"/>
      <c r="J342" s="674">
        <f>VLOOKUP(U342,Reichweite_SCHMAL!$A$39:$P$400,14)</f>
        <v>220.57519641310273</v>
      </c>
      <c r="K342" s="960"/>
      <c r="L342" s="961"/>
      <c r="M342" s="934"/>
      <c r="N342" s="935"/>
      <c r="O342" s="810"/>
      <c r="P342" s="811"/>
      <c r="Q342" s="958"/>
      <c r="R342" s="959"/>
      <c r="S342" s="513"/>
      <c r="T342" s="537"/>
      <c r="U342" s="538">
        <f>H342</f>
        <v>164</v>
      </c>
      <c r="V342" s="538">
        <f>IF(W342&lt;=180,ABS($I342+180-360),ABS($I342-180-360))</f>
        <v>180</v>
      </c>
    </row>
    <row r="343" spans="1:22" s="372" customFormat="1" ht="4.5" hidden="1" customHeight="1" x14ac:dyDescent="0.2">
      <c r="A343" s="466"/>
      <c r="B343" s="539"/>
      <c r="C343" s="357"/>
      <c r="D343" s="357"/>
      <c r="E343" s="458"/>
      <c r="F343" s="357"/>
      <c r="G343" s="533"/>
      <c r="H343" s="533"/>
      <c r="I343" s="579"/>
      <c r="J343" s="675"/>
      <c r="K343" s="541"/>
      <c r="L343" s="542"/>
      <c r="M343" s="542"/>
      <c r="N343" s="543"/>
      <c r="O343" s="807"/>
      <c r="P343" s="807"/>
      <c r="Q343" s="684"/>
      <c r="R343" s="685"/>
      <c r="S343" s="467"/>
      <c r="T343" s="503"/>
      <c r="U343" s="538"/>
      <c r="V343" s="538"/>
    </row>
    <row r="344" spans="1:22" s="514" customFormat="1" ht="17.25" customHeight="1" x14ac:dyDescent="0.25">
      <c r="A344" s="509"/>
      <c r="B344" s="532" t="s">
        <v>754</v>
      </c>
      <c r="C344" s="511"/>
      <c r="D344" s="511"/>
      <c r="E344" s="950">
        <f>VLOOKUP(U344,Reichweite_SCHMAL!$A$39:$P$400,16)</f>
        <v>247.80048549651039</v>
      </c>
      <c r="F344" s="955"/>
      <c r="G344" s="533"/>
      <c r="H344" s="692">
        <v>198</v>
      </c>
      <c r="I344" s="672"/>
      <c r="J344" s="677">
        <f>VLOOKUP(U344,Reichweite_SCHMAL!$A$39:$P$400,14)</f>
        <v>228.28177791587203</v>
      </c>
      <c r="K344" s="952"/>
      <c r="L344" s="953"/>
      <c r="M344" s="952"/>
      <c r="N344" s="953"/>
      <c r="O344" s="952"/>
      <c r="P344" s="953"/>
      <c r="Q344" s="897" t="str">
        <f>IF(Q340="","",Q340)</f>
        <v/>
      </c>
      <c r="R344" s="899"/>
      <c r="S344" s="513"/>
      <c r="T344" s="537"/>
      <c r="U344" s="538">
        <f>H344</f>
        <v>198</v>
      </c>
      <c r="V344" s="538">
        <f>IF(W344&lt;=180,ABS($I344+180-360),ABS($I344-180-360))</f>
        <v>180</v>
      </c>
    </row>
    <row r="345" spans="1:22" s="372" customFormat="1" ht="4.5" customHeight="1" thickBot="1" x14ac:dyDescent="0.3">
      <c r="A345" s="496"/>
      <c r="B345" s="562"/>
      <c r="C345" s="157"/>
      <c r="D345" s="157"/>
      <c r="E345" s="158"/>
      <c r="F345" s="157"/>
      <c r="G345" s="499"/>
      <c r="H345" s="499"/>
      <c r="I345" s="589"/>
      <c r="J345" s="589"/>
      <c r="K345" s="589"/>
      <c r="L345" s="357"/>
      <c r="M345" s="357"/>
      <c r="N345" s="589"/>
      <c r="O345" s="157"/>
      <c r="P345" s="157"/>
      <c r="Q345" s="157"/>
      <c r="R345" s="157"/>
      <c r="S345" s="159"/>
      <c r="T345" s="503"/>
      <c r="U345" s="538"/>
      <c r="V345" s="564"/>
    </row>
    <row r="346" spans="1:22" s="520" customFormat="1" ht="17.45" customHeight="1" x14ac:dyDescent="0.2">
      <c r="A346" s="517"/>
      <c r="B346" s="590" t="s">
        <v>477</v>
      </c>
      <c r="C346" s="566"/>
      <c r="D346" s="566"/>
      <c r="E346" s="567"/>
      <c r="F346" s="568"/>
      <c r="G346" s="569"/>
      <c r="H346" s="569"/>
      <c r="I346" s="591"/>
      <c r="J346" s="591"/>
      <c r="K346" s="591"/>
      <c r="L346" s="591"/>
      <c r="M346" s="591"/>
      <c r="N346" s="591"/>
      <c r="O346" s="569"/>
      <c r="P346" s="569"/>
      <c r="Q346" s="569"/>
      <c r="R346" s="569"/>
      <c r="S346" s="467"/>
      <c r="T346" s="503"/>
      <c r="U346" s="538"/>
      <c r="V346" s="570"/>
    </row>
    <row r="347" spans="1:22" s="372" customFormat="1" ht="4.5" customHeight="1" x14ac:dyDescent="0.2">
      <c r="A347" s="466"/>
      <c r="B347" s="504"/>
      <c r="C347" s="355"/>
      <c r="D347" s="355"/>
      <c r="E347" s="357"/>
      <c r="F347" s="360"/>
      <c r="G347" s="359"/>
      <c r="H347" s="359"/>
      <c r="I347" s="357"/>
      <c r="J347" s="357"/>
      <c r="K347" s="357"/>
      <c r="L347" s="357"/>
      <c r="M347" s="357"/>
      <c r="N347" s="357"/>
      <c r="O347" s="357"/>
      <c r="P347" s="357"/>
      <c r="Q347" s="357"/>
      <c r="R347" s="357"/>
      <c r="S347" s="467"/>
      <c r="T347" s="503"/>
      <c r="U347" s="538"/>
      <c r="V347" s="564"/>
    </row>
    <row r="348" spans="1:22" s="528" customFormat="1" ht="17.25" customHeight="1" x14ac:dyDescent="0.2">
      <c r="A348" s="521"/>
      <c r="B348" s="522"/>
      <c r="C348" s="523" t="s">
        <v>329</v>
      </c>
      <c r="D348" s="524">
        <v>1</v>
      </c>
      <c r="E348" s="338"/>
      <c r="F348" s="525"/>
      <c r="G348" s="523" t="s">
        <v>330</v>
      </c>
      <c r="H348" s="808">
        <v>0</v>
      </c>
      <c r="I348" s="809"/>
      <c r="J348" s="526"/>
      <c r="K348" s="523"/>
      <c r="L348" s="525"/>
      <c r="M348" s="523" t="s">
        <v>331</v>
      </c>
      <c r="N348" s="524">
        <v>0</v>
      </c>
      <c r="O348" s="357"/>
      <c r="P348" s="525"/>
      <c r="Q348" s="523" t="s">
        <v>332</v>
      </c>
      <c r="R348" s="524">
        <v>1</v>
      </c>
      <c r="S348" s="527"/>
      <c r="T348" s="519"/>
      <c r="U348" s="538"/>
      <c r="V348" s="571"/>
    </row>
    <row r="349" spans="1:22" s="530" customFormat="1" ht="4.5" customHeight="1" x14ac:dyDescent="0.2">
      <c r="A349" s="336"/>
      <c r="B349" s="504"/>
      <c r="C349" s="529"/>
      <c r="D349" s="529"/>
      <c r="E349" s="338"/>
      <c r="F349" s="338"/>
      <c r="G349" s="339"/>
      <c r="H349" s="339"/>
      <c r="I349" s="338"/>
      <c r="J349" s="338"/>
      <c r="K349" s="338"/>
      <c r="L349" s="338"/>
      <c r="M349" s="338"/>
      <c r="N349" s="338"/>
      <c r="O349" s="338"/>
      <c r="P349" s="338"/>
      <c r="Q349" s="338"/>
      <c r="R349" s="338"/>
      <c r="S349" s="341"/>
      <c r="T349" s="503"/>
      <c r="U349" s="538"/>
      <c r="V349" s="572"/>
    </row>
    <row r="350" spans="1:22" s="372" customFormat="1" ht="12.75" x14ac:dyDescent="0.2">
      <c r="A350" s="466"/>
      <c r="B350" s="522" t="s">
        <v>347</v>
      </c>
      <c r="C350" s="357"/>
      <c r="D350" s="357"/>
      <c r="E350" s="818" t="s">
        <v>583</v>
      </c>
      <c r="F350" s="818"/>
      <c r="G350" s="359"/>
      <c r="H350" s="818" t="s">
        <v>333</v>
      </c>
      <c r="I350" s="818"/>
      <c r="J350" s="818" t="s">
        <v>809</v>
      </c>
      <c r="K350" s="818"/>
      <c r="L350" s="818"/>
      <c r="M350" s="818" t="s">
        <v>334</v>
      </c>
      <c r="N350" s="818"/>
      <c r="O350" s="818" t="s">
        <v>751</v>
      </c>
      <c r="P350" s="818"/>
      <c r="Q350" s="818" t="s">
        <v>326</v>
      </c>
      <c r="R350" s="818"/>
      <c r="S350" s="467"/>
      <c r="T350" s="503"/>
      <c r="U350" s="538"/>
      <c r="V350" s="564"/>
    </row>
    <row r="351" spans="1:22" s="372" customFormat="1" ht="8.25" customHeight="1" x14ac:dyDescent="0.2">
      <c r="A351" s="466"/>
      <c r="B351" s="338"/>
      <c r="C351" s="355"/>
      <c r="D351" s="355"/>
      <c r="E351" s="357"/>
      <c r="F351" s="360"/>
      <c r="G351" s="359"/>
      <c r="H351" s="531" t="s">
        <v>501</v>
      </c>
      <c r="I351" s="531" t="s">
        <v>502</v>
      </c>
      <c r="J351" s="531" t="s">
        <v>587</v>
      </c>
      <c r="K351" s="813" t="s">
        <v>502</v>
      </c>
      <c r="L351" s="813"/>
      <c r="M351" s="813" t="s">
        <v>112</v>
      </c>
      <c r="N351" s="813"/>
      <c r="O351" s="357"/>
      <c r="P351" s="357"/>
      <c r="Q351" s="357"/>
      <c r="R351" s="357"/>
      <c r="S351" s="467"/>
      <c r="T351" s="503"/>
      <c r="U351" s="538"/>
      <c r="V351" s="564"/>
    </row>
    <row r="352" spans="1:22" s="514" customFormat="1" ht="18.75" customHeight="1" x14ac:dyDescent="0.25">
      <c r="A352" s="509"/>
      <c r="B352" s="532" t="s">
        <v>336</v>
      </c>
      <c r="C352" s="511"/>
      <c r="D352" s="511"/>
      <c r="E352" s="950">
        <f>VLOOKUP(U352,Reichweite_BRSC!$A$39:$P$400,16)</f>
        <v>195.89939398595351</v>
      </c>
      <c r="F352" s="955"/>
      <c r="G352" s="533"/>
      <c r="H352" s="692">
        <v>124</v>
      </c>
      <c r="I352" s="672"/>
      <c r="J352" s="677">
        <f>VLOOKUP(U352,Reichweite_BRSC!$A$39:$P$400,14)</f>
        <v>400</v>
      </c>
      <c r="K352" s="952"/>
      <c r="L352" s="953"/>
      <c r="M352" s="952"/>
      <c r="N352" s="953"/>
      <c r="O352" s="952"/>
      <c r="P352" s="953"/>
      <c r="Q352" s="947"/>
      <c r="R352" s="954"/>
      <c r="S352" s="513"/>
      <c r="T352" s="537"/>
      <c r="U352" s="538">
        <f>H352</f>
        <v>124</v>
      </c>
      <c r="V352" s="538">
        <f>IF(W352&lt;=180,ABS($I352+180-360),ABS($I352-180-360))</f>
        <v>180</v>
      </c>
    </row>
    <row r="353" spans="1:22" s="372" customFormat="1" ht="4.5" customHeight="1" x14ac:dyDescent="0.2">
      <c r="A353" s="466"/>
      <c r="B353" s="539"/>
      <c r="C353" s="357"/>
      <c r="D353" s="357"/>
      <c r="E353" s="458"/>
      <c r="F353" s="357"/>
      <c r="G353" s="533"/>
      <c r="H353" s="533"/>
      <c r="I353" s="579"/>
      <c r="J353" s="675"/>
      <c r="K353" s="541"/>
      <c r="L353" s="542"/>
      <c r="M353" s="542"/>
      <c r="N353" s="543"/>
      <c r="O353" s="807"/>
      <c r="P353" s="807"/>
      <c r="Q353" s="545"/>
      <c r="R353" s="357"/>
      <c r="S353" s="467"/>
      <c r="T353" s="503"/>
      <c r="U353" s="538"/>
      <c r="V353" s="538"/>
    </row>
    <row r="354" spans="1:22" s="372" customFormat="1" ht="17.25" customHeight="1" x14ac:dyDescent="0.25">
      <c r="A354" s="466"/>
      <c r="B354" s="532" t="s">
        <v>337</v>
      </c>
      <c r="C354" s="511"/>
      <c r="D354" s="357"/>
      <c r="E354" s="950">
        <f>VLOOKUP(U354,Reichweite_BRSC!$A$39:$P$400,16)</f>
        <v>173.88275496040524</v>
      </c>
      <c r="F354" s="955"/>
      <c r="G354" s="533"/>
      <c r="H354" s="694">
        <v>100</v>
      </c>
      <c r="I354" s="672"/>
      <c r="J354" s="677">
        <f>VLOOKUP(U354,Reichweite_BRSC!$A$39:$P$400,14)</f>
        <v>87.895098397141794</v>
      </c>
      <c r="K354" s="952"/>
      <c r="L354" s="953"/>
      <c r="M354" s="952"/>
      <c r="N354" s="953"/>
      <c r="O354" s="952"/>
      <c r="P354" s="953"/>
      <c r="Q354" s="956" t="str">
        <f>IF(Q352="","",Q352)</f>
        <v/>
      </c>
      <c r="R354" s="957"/>
      <c r="S354" s="467"/>
      <c r="T354" s="503"/>
      <c r="U354" s="538">
        <f t="shared" ref="U354:U360" si="1">H354</f>
        <v>100</v>
      </c>
      <c r="V354" s="538">
        <f>IF(W354&lt;=180,ABS($I354+180-360),ABS($I354-180-360))</f>
        <v>180</v>
      </c>
    </row>
    <row r="355" spans="1:22" s="372" customFormat="1" ht="4.5" customHeight="1" x14ac:dyDescent="0.2">
      <c r="A355" s="466"/>
      <c r="B355" s="539"/>
      <c r="C355" s="511"/>
      <c r="D355" s="357"/>
      <c r="E355" s="458"/>
      <c r="F355" s="357"/>
      <c r="G355" s="533"/>
      <c r="H355" s="533"/>
      <c r="I355" s="533"/>
      <c r="J355" s="533"/>
      <c r="K355" s="533"/>
      <c r="L355" s="533"/>
      <c r="M355" s="533"/>
      <c r="N355" s="533"/>
      <c r="O355" s="810"/>
      <c r="P355" s="811"/>
      <c r="Q355" s="577"/>
      <c r="R355" s="577"/>
      <c r="S355" s="467"/>
      <c r="T355" s="503"/>
      <c r="U355" s="538">
        <f t="shared" si="1"/>
        <v>0</v>
      </c>
      <c r="V355" s="538"/>
    </row>
    <row r="356" spans="1:22" s="514" customFormat="1" ht="17.25" customHeight="1" x14ac:dyDescent="0.25">
      <c r="A356" s="509"/>
      <c r="B356" s="532" t="s">
        <v>338</v>
      </c>
      <c r="C356" s="511"/>
      <c r="D356" s="511"/>
      <c r="E356" s="950">
        <f>VLOOKUP(U356,Reichweite_BRSC!$A$39:$P$400,16)</f>
        <v>182.38645838084716</v>
      </c>
      <c r="F356" s="955"/>
      <c r="G356" s="533"/>
      <c r="H356" s="692">
        <v>17</v>
      </c>
      <c r="I356" s="672"/>
      <c r="J356" s="677">
        <f>VLOOKUP(U356,Reichweite_BRSC!$A$39:$P$400,14)</f>
        <v>269.45893936627112</v>
      </c>
      <c r="K356" s="952"/>
      <c r="L356" s="953"/>
      <c r="M356" s="952"/>
      <c r="N356" s="953"/>
      <c r="O356" s="952"/>
      <c r="P356" s="953"/>
      <c r="Q356" s="956" t="str">
        <f>IF(Q354="","",Q354)</f>
        <v/>
      </c>
      <c r="R356" s="957"/>
      <c r="S356" s="513"/>
      <c r="T356" s="537"/>
      <c r="U356" s="538">
        <f t="shared" si="1"/>
        <v>17</v>
      </c>
      <c r="V356" s="538">
        <f>IF(W356&lt;=180,ABS($I356+180-360),ABS($I356-180-360))</f>
        <v>180</v>
      </c>
    </row>
    <row r="357" spans="1:22" s="372" customFormat="1" ht="3" hidden="1" customHeight="1" x14ac:dyDescent="0.2">
      <c r="A357" s="466"/>
      <c r="B357" s="539"/>
      <c r="C357" s="357"/>
      <c r="D357" s="357"/>
      <c r="E357" s="458"/>
      <c r="F357" s="357"/>
      <c r="G357" s="533"/>
      <c r="H357" s="533"/>
      <c r="I357" s="592"/>
      <c r="J357" s="681"/>
      <c r="K357" s="574"/>
      <c r="L357" s="593"/>
      <c r="M357" s="593"/>
      <c r="N357" s="576"/>
      <c r="O357" s="810"/>
      <c r="P357" s="811"/>
      <c r="Q357" s="357"/>
      <c r="R357" s="357"/>
      <c r="S357" s="467"/>
      <c r="T357" s="503"/>
      <c r="U357" s="538">
        <f t="shared" si="1"/>
        <v>0</v>
      </c>
      <c r="V357" s="538"/>
    </row>
    <row r="358" spans="1:22" s="372" customFormat="1" ht="14.25" hidden="1" customHeight="1" x14ac:dyDescent="0.25">
      <c r="A358" s="466"/>
      <c r="B358" s="532" t="s">
        <v>755</v>
      </c>
      <c r="C358" s="511"/>
      <c r="D358" s="511"/>
      <c r="E358" s="950">
        <f>VLOOKUP(U358,Reichweite_BRSC!$A$39:$P$400,16)</f>
        <v>153.51081308086148</v>
      </c>
      <c r="F358" s="955"/>
      <c r="G358" s="533"/>
      <c r="H358" s="533"/>
      <c r="I358" s="594">
        <v>64</v>
      </c>
      <c r="J358" s="594"/>
      <c r="K358" s="574"/>
      <c r="L358" s="536">
        <f>VLOOKUP(U358,Reichweite_BRSC!$A$39:$P$400,14)</f>
        <v>239.46193503886298</v>
      </c>
      <c r="M358" s="536"/>
      <c r="N358" s="576"/>
      <c r="O358" s="810"/>
      <c r="P358" s="811"/>
      <c r="Q358" s="966"/>
      <c r="R358" s="922"/>
      <c r="S358" s="467"/>
      <c r="T358" s="503"/>
      <c r="U358" s="538">
        <f t="shared" si="1"/>
        <v>0</v>
      </c>
      <c r="V358" s="538">
        <f>IF(W358&lt;=180,ABS($I358+180-360),ABS($I358-180-360))</f>
        <v>116</v>
      </c>
    </row>
    <row r="359" spans="1:22" s="372" customFormat="1" ht="4.5" hidden="1" customHeight="1" x14ac:dyDescent="0.2">
      <c r="A359" s="466"/>
      <c r="B359" s="539"/>
      <c r="C359" s="511"/>
      <c r="D359" s="357"/>
      <c r="E359" s="458"/>
      <c r="F359" s="357"/>
      <c r="G359" s="533"/>
      <c r="H359" s="533"/>
      <c r="I359" s="573"/>
      <c r="J359" s="573"/>
      <c r="K359" s="574"/>
      <c r="L359" s="575"/>
      <c r="M359" s="575"/>
      <c r="N359" s="576"/>
      <c r="O359" s="810"/>
      <c r="P359" s="811"/>
      <c r="Q359" s="577"/>
      <c r="R359" s="577"/>
      <c r="S359" s="467"/>
      <c r="T359" s="503"/>
      <c r="U359" s="538">
        <f t="shared" si="1"/>
        <v>0</v>
      </c>
      <c r="V359" s="538"/>
    </row>
    <row r="360" spans="1:22" s="514" customFormat="1" ht="17.25" hidden="1" customHeight="1" x14ac:dyDescent="0.25">
      <c r="A360" s="509"/>
      <c r="B360" s="532" t="s">
        <v>339</v>
      </c>
      <c r="C360" s="511"/>
      <c r="D360" s="511"/>
      <c r="E360" s="950">
        <f>VLOOKUP(U360,Reichweite_BRSC!$A$39:$P$400,16)</f>
        <v>153.51081308086148</v>
      </c>
      <c r="F360" s="955"/>
      <c r="G360" s="533"/>
      <c r="H360" s="533"/>
      <c r="I360" s="578">
        <v>342</v>
      </c>
      <c r="J360" s="578"/>
      <c r="K360" s="574"/>
      <c r="L360" s="536">
        <f>VLOOKUP(U360,Reichweite_BRSC!$A$39:$P$400,14)</f>
        <v>239.46193503886298</v>
      </c>
      <c r="M360" s="536"/>
      <c r="N360" s="576"/>
      <c r="O360" s="810"/>
      <c r="P360" s="811"/>
      <c r="Q360" s="966"/>
      <c r="R360" s="922"/>
      <c r="S360" s="513"/>
      <c r="T360" s="537"/>
      <c r="U360" s="538">
        <f t="shared" si="1"/>
        <v>0</v>
      </c>
      <c r="V360" s="538">
        <f>IF(W360&lt;=180,ABS($I360+180-360),ABS($I360-180-360))</f>
        <v>162</v>
      </c>
    </row>
    <row r="361" spans="1:22" s="372" customFormat="1" ht="2.25" customHeight="1" x14ac:dyDescent="0.2">
      <c r="A361" s="580"/>
      <c r="B361" s="581"/>
      <c r="C361" s="582"/>
      <c r="D361" s="582"/>
      <c r="E361" s="583"/>
      <c r="F361" s="582"/>
      <c r="G361" s="584"/>
      <c r="H361" s="584"/>
      <c r="I361" s="579"/>
      <c r="J361" s="675"/>
      <c r="K361" s="541"/>
      <c r="L361" s="542"/>
      <c r="M361" s="542"/>
      <c r="N361" s="543"/>
      <c r="O361" s="807"/>
      <c r="P361" s="807"/>
      <c r="Q361" s="545"/>
      <c r="R361" s="582"/>
      <c r="S361" s="585"/>
      <c r="T361" s="503"/>
      <c r="U361" s="538"/>
      <c r="V361" s="538"/>
    </row>
    <row r="362" spans="1:22" s="372" customFormat="1" ht="2.25" customHeight="1" x14ac:dyDescent="0.2">
      <c r="A362" s="466"/>
      <c r="B362" s="539"/>
      <c r="C362" s="357"/>
      <c r="D362" s="357"/>
      <c r="E362" s="458"/>
      <c r="F362" s="357"/>
      <c r="G362" s="533"/>
      <c r="H362" s="533"/>
      <c r="I362" s="588"/>
      <c r="J362" s="676"/>
      <c r="K362" s="541"/>
      <c r="L362" s="531"/>
      <c r="M362" s="531"/>
      <c r="N362" s="543"/>
      <c r="O362" s="807"/>
      <c r="P362" s="807"/>
      <c r="Q362" s="582"/>
      <c r="R362" s="357"/>
      <c r="S362" s="467"/>
      <c r="T362" s="503"/>
      <c r="U362" s="538"/>
      <c r="V362" s="538"/>
    </row>
    <row r="363" spans="1:22" s="372" customFormat="1" ht="18" customHeight="1" x14ac:dyDescent="0.25">
      <c r="A363" s="466"/>
      <c r="B363" s="532" t="s">
        <v>756</v>
      </c>
      <c r="C363" s="511"/>
      <c r="D363" s="511"/>
      <c r="E363" s="950">
        <f>VLOOKUP(U363,Reichweite_BRSC!$A$39:$P$400,16)</f>
        <v>250.81675752925469</v>
      </c>
      <c r="F363" s="955"/>
      <c r="G363" s="533"/>
      <c r="H363" s="692">
        <v>303</v>
      </c>
      <c r="I363" s="672"/>
      <c r="J363" s="677">
        <f>VLOOKUP(U363,Reichweite_BRSC!$A$39:$P$400,14)</f>
        <v>400</v>
      </c>
      <c r="K363" s="952"/>
      <c r="L363" s="953"/>
      <c r="M363" s="952"/>
      <c r="N363" s="953"/>
      <c r="O363" s="952"/>
      <c r="P363" s="953"/>
      <c r="Q363" s="947"/>
      <c r="R363" s="954"/>
      <c r="S363" s="467"/>
      <c r="T363" s="503"/>
      <c r="U363" s="538">
        <f>H363</f>
        <v>303</v>
      </c>
      <c r="V363" s="538">
        <f>IF(W363&lt;=180,ABS($I363+180-360),ABS($I363-180-360))</f>
        <v>180</v>
      </c>
    </row>
    <row r="364" spans="1:22" s="372" customFormat="1" ht="4.5" customHeight="1" x14ac:dyDescent="0.2">
      <c r="A364" s="466"/>
      <c r="B364" s="539"/>
      <c r="C364" s="357"/>
      <c r="D364" s="357"/>
      <c r="E364" s="458"/>
      <c r="F364" s="357"/>
      <c r="G364" s="533"/>
      <c r="H364" s="533"/>
      <c r="I364" s="545"/>
      <c r="J364" s="682"/>
      <c r="K364" s="541"/>
      <c r="L364" s="545"/>
      <c r="M364" s="545"/>
      <c r="N364" s="543"/>
      <c r="O364" s="807"/>
      <c r="P364" s="807"/>
      <c r="Q364" s="545"/>
      <c r="R364" s="357"/>
      <c r="S364" s="467"/>
      <c r="T364" s="503"/>
      <c r="U364" s="538"/>
      <c r="V364" s="564"/>
    </row>
    <row r="365" spans="1:22" s="372" customFormat="1" ht="18" customHeight="1" x14ac:dyDescent="0.25">
      <c r="A365" s="466"/>
      <c r="B365" s="532" t="s">
        <v>803</v>
      </c>
      <c r="C365" s="511"/>
      <c r="D365" s="511"/>
      <c r="E365" s="950">
        <f>VLOOKUP(U365,Reichweite_BRSC!$A$39:$P$400,16)</f>
        <v>210.82082793075401</v>
      </c>
      <c r="F365" s="955"/>
      <c r="G365" s="533"/>
      <c r="H365" s="694">
        <v>226</v>
      </c>
      <c r="I365" s="672"/>
      <c r="J365" s="677">
        <f>VLOOKUP(U365,Reichweite_BRSC!$A$39:$P$400,14)</f>
        <v>20.941567879095345</v>
      </c>
      <c r="K365" s="952"/>
      <c r="L365" s="953"/>
      <c r="M365" s="952"/>
      <c r="N365" s="953"/>
      <c r="O365" s="952"/>
      <c r="P365" s="953"/>
      <c r="Q365" s="956" t="str">
        <f>IF(Q363="","",Q363)</f>
        <v/>
      </c>
      <c r="R365" s="957"/>
      <c r="S365" s="467"/>
      <c r="T365" s="503"/>
      <c r="U365" s="538">
        <f>H365</f>
        <v>226</v>
      </c>
      <c r="V365" s="538">
        <f>IF(W365&lt;=180,ABS($I365+180-360),ABS($I365-180-360))</f>
        <v>180</v>
      </c>
    </row>
    <row r="366" spans="1:22" s="372" customFormat="1" ht="4.5" customHeight="1" x14ac:dyDescent="0.2">
      <c r="A366" s="466"/>
      <c r="B366" s="539"/>
      <c r="C366" s="357"/>
      <c r="D366" s="357"/>
      <c r="E366" s="458"/>
      <c r="F366" s="357"/>
      <c r="G366" s="533"/>
      <c r="H366" s="533"/>
      <c r="I366" s="545"/>
      <c r="J366" s="682"/>
      <c r="K366" s="541"/>
      <c r="L366" s="545"/>
      <c r="M366" s="545"/>
      <c r="N366" s="543"/>
      <c r="O366" s="807"/>
      <c r="P366" s="807"/>
      <c r="Q366" s="545"/>
      <c r="R366" s="357"/>
      <c r="S366" s="467"/>
      <c r="T366" s="503"/>
      <c r="U366" s="538"/>
      <c r="V366" s="564"/>
    </row>
    <row r="367" spans="1:22" s="372" customFormat="1" ht="17.25" customHeight="1" x14ac:dyDescent="0.25">
      <c r="A367" s="466"/>
      <c r="B367" s="532" t="s">
        <v>804</v>
      </c>
      <c r="C367" s="511"/>
      <c r="D367" s="511"/>
      <c r="E367" s="950">
        <f>VLOOKUP(U367,Reichweite_BRSC!$A$39:$P$400,16)</f>
        <v>247.04195959356423</v>
      </c>
      <c r="F367" s="955"/>
      <c r="G367" s="533"/>
      <c r="H367" s="692">
        <v>198</v>
      </c>
      <c r="I367" s="672"/>
      <c r="J367" s="677">
        <f>VLOOKUP(U367,Reichweite_BRSC!$A$39:$P$400,14)</f>
        <v>228.76155263213408</v>
      </c>
      <c r="K367" s="952"/>
      <c r="L367" s="953"/>
      <c r="M367" s="952"/>
      <c r="N367" s="953"/>
      <c r="O367" s="952"/>
      <c r="P367" s="953"/>
      <c r="Q367" s="956" t="str">
        <f>IF(Q365="","",Q365)</f>
        <v/>
      </c>
      <c r="R367" s="957"/>
      <c r="S367" s="467"/>
      <c r="T367" s="503"/>
      <c r="U367" s="538">
        <f>H367</f>
        <v>198</v>
      </c>
      <c r="V367" s="564"/>
    </row>
    <row r="368" spans="1:22" s="372" customFormat="1" ht="4.5" customHeight="1" thickBot="1" x14ac:dyDescent="0.25">
      <c r="A368" s="496"/>
      <c r="B368" s="562"/>
      <c r="C368" s="157"/>
      <c r="D368" s="157"/>
      <c r="E368" s="158"/>
      <c r="F368" s="157"/>
      <c r="G368" s="595"/>
      <c r="H368" s="595"/>
      <c r="I368" s="157"/>
      <c r="J368" s="157"/>
      <c r="K368" s="157"/>
      <c r="L368" s="157"/>
      <c r="M368" s="157"/>
      <c r="N368" s="157"/>
      <c r="O368" s="157"/>
      <c r="P368" s="157"/>
      <c r="Q368" s="157"/>
      <c r="R368" s="157"/>
      <c r="S368" s="159"/>
      <c r="T368" s="503"/>
      <c r="U368" s="538"/>
      <c r="V368" s="564"/>
    </row>
    <row r="369" spans="1:22" s="372" customFormat="1" ht="17.25" customHeight="1" x14ac:dyDescent="0.2">
      <c r="A369" s="517"/>
      <c r="B369" s="565" t="s">
        <v>478</v>
      </c>
      <c r="C369" s="566"/>
      <c r="D369" s="566"/>
      <c r="E369" s="567"/>
      <c r="F369" s="568"/>
      <c r="G369" s="569"/>
      <c r="H369" s="569"/>
      <c r="I369" s="567"/>
      <c r="J369" s="567"/>
      <c r="K369" s="567"/>
      <c r="L369" s="567"/>
      <c r="M369" s="567"/>
      <c r="N369" s="567"/>
      <c r="O369" s="567"/>
      <c r="P369" s="567"/>
      <c r="Q369" s="567"/>
      <c r="R369" s="567"/>
      <c r="S369" s="518"/>
      <c r="T369" s="503"/>
      <c r="U369" s="538"/>
      <c r="V369" s="564"/>
    </row>
    <row r="370" spans="1:22" s="372" customFormat="1" ht="4.5" customHeight="1" x14ac:dyDescent="0.2">
      <c r="A370" s="466"/>
      <c r="B370" s="504"/>
      <c r="C370" s="355"/>
      <c r="D370" s="355"/>
      <c r="E370" s="357"/>
      <c r="F370" s="360"/>
      <c r="G370" s="359"/>
      <c r="H370" s="359"/>
      <c r="I370" s="357"/>
      <c r="J370" s="357"/>
      <c r="K370" s="357"/>
      <c r="L370" s="357"/>
      <c r="M370" s="357"/>
      <c r="N370" s="357"/>
      <c r="O370" s="357"/>
      <c r="P370" s="357"/>
      <c r="Q370" s="357"/>
      <c r="R370" s="357"/>
      <c r="S370" s="467"/>
      <c r="T370" s="503"/>
      <c r="U370" s="538"/>
      <c r="V370" s="564"/>
    </row>
    <row r="371" spans="1:22" s="372" customFormat="1" ht="17.25" customHeight="1" x14ac:dyDescent="0.2">
      <c r="A371" s="521"/>
      <c r="B371" s="522"/>
      <c r="C371" s="523" t="s">
        <v>329</v>
      </c>
      <c r="D371" s="524">
        <v>0.5</v>
      </c>
      <c r="E371" s="338"/>
      <c r="F371" s="525"/>
      <c r="G371" s="523" t="s">
        <v>330</v>
      </c>
      <c r="H371" s="808">
        <v>0.5</v>
      </c>
      <c r="I371" s="809"/>
      <c r="J371" s="526"/>
      <c r="K371" s="523"/>
      <c r="L371" s="525"/>
      <c r="M371" s="523" t="s">
        <v>331</v>
      </c>
      <c r="N371" s="524">
        <v>0.5</v>
      </c>
      <c r="O371" s="357"/>
      <c r="P371" s="525"/>
      <c r="Q371" s="523" t="s">
        <v>332</v>
      </c>
      <c r="R371" s="524">
        <v>0.5</v>
      </c>
      <c r="S371" s="527"/>
      <c r="T371" s="503"/>
      <c r="U371" s="538"/>
      <c r="V371" s="564"/>
    </row>
    <row r="372" spans="1:22" s="372" customFormat="1" ht="4.5" customHeight="1" x14ac:dyDescent="0.2">
      <c r="A372" s="336"/>
      <c r="B372" s="504"/>
      <c r="C372" s="529"/>
      <c r="D372" s="529"/>
      <c r="E372" s="338"/>
      <c r="F372" s="338"/>
      <c r="G372" s="339"/>
      <c r="H372" s="339"/>
      <c r="I372" s="338"/>
      <c r="J372" s="338"/>
      <c r="K372" s="338"/>
      <c r="L372" s="338"/>
      <c r="M372" s="338"/>
      <c r="N372" s="338"/>
      <c r="O372" s="338"/>
      <c r="P372" s="338"/>
      <c r="Q372" s="338"/>
      <c r="R372" s="338"/>
      <c r="S372" s="341"/>
      <c r="T372" s="503"/>
      <c r="U372" s="538"/>
      <c r="V372" s="564"/>
    </row>
    <row r="373" spans="1:22" s="372" customFormat="1" ht="17.25" customHeight="1" x14ac:dyDescent="0.2">
      <c r="A373" s="466"/>
      <c r="B373" s="522" t="s">
        <v>347</v>
      </c>
      <c r="C373" s="357"/>
      <c r="D373" s="357"/>
      <c r="E373" s="818" t="s">
        <v>583</v>
      </c>
      <c r="F373" s="818"/>
      <c r="G373" s="359"/>
      <c r="H373" s="818" t="s">
        <v>333</v>
      </c>
      <c r="I373" s="818"/>
      <c r="J373" s="818" t="s">
        <v>809</v>
      </c>
      <c r="K373" s="818"/>
      <c r="L373" s="818"/>
      <c r="M373" s="818" t="s">
        <v>334</v>
      </c>
      <c r="N373" s="818"/>
      <c r="O373" s="818" t="s">
        <v>751</v>
      </c>
      <c r="P373" s="818"/>
      <c r="Q373" s="818" t="s">
        <v>326</v>
      </c>
      <c r="R373" s="818"/>
      <c r="S373" s="467"/>
      <c r="T373" s="503"/>
      <c r="U373" s="538"/>
      <c r="V373" s="564"/>
    </row>
    <row r="374" spans="1:22" s="372" customFormat="1" ht="9" customHeight="1" x14ac:dyDescent="0.2">
      <c r="A374" s="466"/>
      <c r="B374" s="338"/>
      <c r="C374" s="355"/>
      <c r="D374" s="355"/>
      <c r="E374" s="357"/>
      <c r="F374" s="360"/>
      <c r="G374" s="359"/>
      <c r="H374" s="531" t="s">
        <v>501</v>
      </c>
      <c r="I374" s="531" t="s">
        <v>502</v>
      </c>
      <c r="J374" s="531" t="s">
        <v>587</v>
      </c>
      <c r="K374" s="813" t="s">
        <v>502</v>
      </c>
      <c r="L374" s="813"/>
      <c r="M374" s="813" t="s">
        <v>112</v>
      </c>
      <c r="N374" s="813"/>
      <c r="O374" s="357"/>
      <c r="P374" s="357"/>
      <c r="Q374" s="357"/>
      <c r="R374" s="357"/>
      <c r="S374" s="467"/>
      <c r="T374" s="503"/>
      <c r="U374" s="538"/>
      <c r="V374" s="564"/>
    </row>
    <row r="375" spans="1:22" s="372" customFormat="1" ht="17.25" customHeight="1" x14ac:dyDescent="0.25">
      <c r="A375" s="509"/>
      <c r="B375" s="532" t="s">
        <v>479</v>
      </c>
      <c r="C375" s="511"/>
      <c r="D375" s="511"/>
      <c r="E375" s="950">
        <f>VLOOKUP(U375,'Reichweite_50%'!$A$39:$P$400,16)</f>
        <v>266.67427200306219</v>
      </c>
      <c r="F375" s="955"/>
      <c r="G375" s="533"/>
      <c r="H375" s="692">
        <v>144</v>
      </c>
      <c r="I375" s="672"/>
      <c r="J375" s="677">
        <f>VLOOKUP(U375,'Reichweite_50%'!$A$39:$P$400,14)</f>
        <v>398.8862812239023</v>
      </c>
      <c r="K375" s="952"/>
      <c r="L375" s="953"/>
      <c r="M375" s="952"/>
      <c r="N375" s="953"/>
      <c r="O375" s="952"/>
      <c r="P375" s="953"/>
      <c r="Q375" s="947"/>
      <c r="R375" s="954"/>
      <c r="S375" s="513"/>
      <c r="T375" s="503"/>
      <c r="U375" s="538">
        <f t="shared" ref="U375:U388" si="2">H375</f>
        <v>144</v>
      </c>
      <c r="V375" s="564"/>
    </row>
    <row r="376" spans="1:22" s="372" customFormat="1" ht="4.5" customHeight="1" x14ac:dyDescent="0.2">
      <c r="A376" s="509"/>
      <c r="B376" s="532"/>
      <c r="C376" s="511"/>
      <c r="D376" s="511"/>
      <c r="E376" s="458"/>
      <c r="F376" s="357"/>
      <c r="G376" s="533"/>
      <c r="H376" s="533"/>
      <c r="I376" s="596"/>
      <c r="J376" s="596"/>
      <c r="K376" s="541"/>
      <c r="L376" s="597"/>
      <c r="M376" s="597"/>
      <c r="N376" s="543"/>
      <c r="O376" s="807"/>
      <c r="P376" s="807"/>
      <c r="Q376" s="558"/>
      <c r="R376" s="577"/>
      <c r="S376" s="513"/>
      <c r="T376" s="503"/>
      <c r="U376" s="538"/>
      <c r="V376" s="564"/>
    </row>
    <row r="377" spans="1:22" s="372" customFormat="1" ht="21" customHeight="1" x14ac:dyDescent="0.25">
      <c r="A377" s="466"/>
      <c r="B377" s="532" t="s">
        <v>480</v>
      </c>
      <c r="C377" s="511"/>
      <c r="D377" s="511"/>
      <c r="E377" s="950">
        <f>VLOOKUP(U377,'Reichweite_50%'!$A$39:$P$400,16)</f>
        <v>190.87361353792838</v>
      </c>
      <c r="F377" s="955"/>
      <c r="G377" s="533"/>
      <c r="H377" s="534">
        <v>90</v>
      </c>
      <c r="I377" s="672"/>
      <c r="J377" s="677">
        <f>VLOOKUP(U377,'Reichweite_50%'!$A$39:$P$400,14)</f>
        <v>39.640738518263426</v>
      </c>
      <c r="K377" s="952"/>
      <c r="L377" s="953"/>
      <c r="M377" s="952"/>
      <c r="N377" s="953"/>
      <c r="O377" s="952"/>
      <c r="P377" s="953"/>
      <c r="Q377" s="956" t="str">
        <f>IF(Q375="","",Q375)</f>
        <v/>
      </c>
      <c r="R377" s="957"/>
      <c r="S377" s="467"/>
      <c r="T377" s="503"/>
      <c r="U377" s="538">
        <f t="shared" si="2"/>
        <v>90</v>
      </c>
      <c r="V377" s="564"/>
    </row>
    <row r="378" spans="1:22" s="372" customFormat="1" ht="4.5" customHeight="1" x14ac:dyDescent="0.2">
      <c r="A378" s="466"/>
      <c r="B378" s="539"/>
      <c r="C378" s="357"/>
      <c r="D378" s="357"/>
      <c r="E378" s="458"/>
      <c r="F378" s="357"/>
      <c r="G378" s="533"/>
      <c r="H378" s="533"/>
      <c r="I378" s="579"/>
      <c r="J378" s="675"/>
      <c r="K378" s="541"/>
      <c r="L378" s="542"/>
      <c r="M378" s="542"/>
      <c r="N378" s="543"/>
      <c r="O378" s="807"/>
      <c r="P378" s="807"/>
      <c r="Q378" s="545"/>
      <c r="R378" s="357"/>
      <c r="S378" s="467"/>
      <c r="T378" s="503"/>
      <c r="U378" s="538"/>
      <c r="V378" s="564"/>
    </row>
    <row r="379" spans="1:22" s="372" customFormat="1" ht="17.25" customHeight="1" x14ac:dyDescent="0.25">
      <c r="A379" s="509"/>
      <c r="B379" s="532" t="s">
        <v>481</v>
      </c>
      <c r="C379" s="511"/>
      <c r="D379" s="511"/>
      <c r="E379" s="950">
        <f>VLOOKUP(U379,'Reichweite_50%'!$A$39:$P$400,16)</f>
        <v>221.54449835060436</v>
      </c>
      <c r="F379" s="955"/>
      <c r="G379" s="533"/>
      <c r="H379" s="692">
        <v>36</v>
      </c>
      <c r="I379" s="672"/>
      <c r="J379" s="677">
        <f>VLOOKUP(U379,'Reichweite_50%'!$A$39:$P$400,14)</f>
        <v>400</v>
      </c>
      <c r="K379" s="952"/>
      <c r="L379" s="953"/>
      <c r="M379" s="952"/>
      <c r="N379" s="953"/>
      <c r="O379" s="952"/>
      <c r="P379" s="953"/>
      <c r="Q379" s="956" t="str">
        <f>IF(Q377="","",Q377)</f>
        <v/>
      </c>
      <c r="R379" s="957"/>
      <c r="S379" s="513"/>
      <c r="T379" s="503"/>
      <c r="U379" s="538">
        <f t="shared" si="2"/>
        <v>36</v>
      </c>
      <c r="V379" s="564"/>
    </row>
    <row r="380" spans="1:22" s="372" customFormat="1" ht="4.5" customHeight="1" x14ac:dyDescent="0.2">
      <c r="A380" s="466"/>
      <c r="B380" s="539"/>
      <c r="C380" s="357"/>
      <c r="D380" s="357"/>
      <c r="E380" s="458"/>
      <c r="F380" s="357"/>
      <c r="G380" s="533"/>
      <c r="H380" s="533"/>
      <c r="I380" s="579"/>
      <c r="J380" s="675"/>
      <c r="K380" s="541"/>
      <c r="L380" s="542"/>
      <c r="M380" s="542"/>
      <c r="N380" s="543"/>
      <c r="O380" s="807"/>
      <c r="P380" s="807"/>
      <c r="Q380" s="545"/>
      <c r="R380" s="357"/>
      <c r="S380" s="467"/>
      <c r="T380" s="503"/>
      <c r="U380" s="538"/>
      <c r="V380" s="564"/>
    </row>
    <row r="381" spans="1:22" s="372" customFormat="1" ht="17.25" customHeight="1" x14ac:dyDescent="0.25">
      <c r="A381" s="509"/>
      <c r="B381" s="532" t="s">
        <v>482</v>
      </c>
      <c r="C381" s="511"/>
      <c r="D381" s="511"/>
      <c r="E381" s="950">
        <f>VLOOKUP(U381,'Reichweite_50%'!$A$39:$P$400,16)</f>
        <v>154.7720478487619</v>
      </c>
      <c r="F381" s="955"/>
      <c r="G381" s="533"/>
      <c r="H381" s="534">
        <v>0</v>
      </c>
      <c r="I381" s="672"/>
      <c r="J381" s="677">
        <f>VLOOKUP(U381,'Reichweite_50%'!$A$39:$P$400,14)</f>
        <v>248.61352950664531</v>
      </c>
      <c r="K381" s="952"/>
      <c r="L381" s="953"/>
      <c r="M381" s="952"/>
      <c r="N381" s="953"/>
      <c r="O381" s="952"/>
      <c r="P381" s="953"/>
      <c r="Q381" s="956" t="str">
        <f>IF(Q379="","",Q379)</f>
        <v/>
      </c>
      <c r="R381" s="957"/>
      <c r="S381" s="513"/>
      <c r="T381" s="503"/>
      <c r="U381" s="538">
        <f t="shared" si="2"/>
        <v>0</v>
      </c>
      <c r="V381" s="564"/>
    </row>
    <row r="382" spans="1:22" s="372" customFormat="1" ht="2.25" customHeight="1" x14ac:dyDescent="0.2">
      <c r="A382" s="580"/>
      <c r="B382" s="581"/>
      <c r="C382" s="582"/>
      <c r="D382" s="582"/>
      <c r="E382" s="583"/>
      <c r="F382" s="582"/>
      <c r="G382" s="584"/>
      <c r="H382" s="584"/>
      <c r="I382" s="579"/>
      <c r="J382" s="675"/>
      <c r="K382" s="541"/>
      <c r="L382" s="542"/>
      <c r="M382" s="542"/>
      <c r="N382" s="543"/>
      <c r="O382" s="807"/>
      <c r="P382" s="807"/>
      <c r="Q382" s="545"/>
      <c r="R382" s="582"/>
      <c r="S382" s="585"/>
      <c r="T382" s="503"/>
      <c r="U382" s="538"/>
      <c r="V382" s="564"/>
    </row>
    <row r="383" spans="1:22" s="372" customFormat="1" ht="2.25" customHeight="1" x14ac:dyDescent="0.2">
      <c r="A383" s="466"/>
      <c r="B383" s="539"/>
      <c r="C383" s="357"/>
      <c r="D383" s="357"/>
      <c r="E383" s="458"/>
      <c r="F383" s="357"/>
      <c r="G383" s="533"/>
      <c r="H383" s="533"/>
      <c r="I383" s="579"/>
      <c r="J383" s="675"/>
      <c r="K383" s="541"/>
      <c r="L383" s="542"/>
      <c r="M383" s="542"/>
      <c r="N383" s="543"/>
      <c r="O383" s="807"/>
      <c r="P383" s="807"/>
      <c r="Q383" s="545"/>
      <c r="R383" s="357"/>
      <c r="S383" s="467"/>
      <c r="T383" s="503"/>
      <c r="U383" s="538"/>
      <c r="V383" s="564"/>
    </row>
    <row r="384" spans="1:22" s="372" customFormat="1" ht="17.25" customHeight="1" x14ac:dyDescent="0.25">
      <c r="A384" s="509"/>
      <c r="B384" s="532" t="s">
        <v>483</v>
      </c>
      <c r="C384" s="511"/>
      <c r="D384" s="511"/>
      <c r="E384" s="950">
        <f>VLOOKUP(U384,'Reichweite_50%'!$A$39:$P$400,16)</f>
        <v>221.11005261034788</v>
      </c>
      <c r="F384" s="955"/>
      <c r="G384" s="533"/>
      <c r="H384" s="692">
        <v>323</v>
      </c>
      <c r="I384" s="672"/>
      <c r="J384" s="677">
        <f>VLOOKUP(U384,'Reichweite_50%'!$A$39:$P$400,14)</f>
        <v>400</v>
      </c>
      <c r="K384" s="952"/>
      <c r="L384" s="953"/>
      <c r="M384" s="952"/>
      <c r="N384" s="953"/>
      <c r="O384" s="952"/>
      <c r="P384" s="953"/>
      <c r="Q384" s="947"/>
      <c r="R384" s="954"/>
      <c r="S384" s="513"/>
      <c r="T384" s="503"/>
      <c r="U384" s="538">
        <f t="shared" si="2"/>
        <v>323</v>
      </c>
      <c r="V384" s="564"/>
    </row>
    <row r="385" spans="1:22" s="372" customFormat="1" ht="4.5" customHeight="1" x14ac:dyDescent="0.2">
      <c r="A385" s="466"/>
      <c r="B385" s="539"/>
      <c r="C385" s="357"/>
      <c r="D385" s="357"/>
      <c r="E385" s="458"/>
      <c r="F385" s="357"/>
      <c r="G385" s="533"/>
      <c r="H385" s="533"/>
      <c r="I385" s="579"/>
      <c r="J385" s="675"/>
      <c r="K385" s="541"/>
      <c r="L385" s="542"/>
      <c r="M385" s="542"/>
      <c r="N385" s="543"/>
      <c r="O385" s="807"/>
      <c r="P385" s="807"/>
      <c r="Q385" s="545"/>
      <c r="R385" s="357"/>
      <c r="S385" s="467"/>
      <c r="T385" s="503"/>
      <c r="U385" s="538"/>
      <c r="V385" s="564"/>
    </row>
    <row r="386" spans="1:22" s="372" customFormat="1" ht="17.25" customHeight="1" x14ac:dyDescent="0.25">
      <c r="A386" s="509"/>
      <c r="B386" s="532" t="s">
        <v>484</v>
      </c>
      <c r="C386" s="511"/>
      <c r="D386" s="511"/>
      <c r="E386" s="950">
        <f>VLOOKUP(U386,'Reichweite_50%'!$A$39:$P$400,16)</f>
        <v>191.2680226877234</v>
      </c>
      <c r="F386" s="955"/>
      <c r="G386" s="533"/>
      <c r="H386" s="534">
        <v>270</v>
      </c>
      <c r="I386" s="672"/>
      <c r="J386" s="677">
        <f>VLOOKUP(U386,'Reichweite_50%'!$A$39:$P$400,14)</f>
        <v>49.312086550268866</v>
      </c>
      <c r="K386" s="952"/>
      <c r="L386" s="953"/>
      <c r="M386" s="952"/>
      <c r="N386" s="953"/>
      <c r="O386" s="952"/>
      <c r="P386" s="953"/>
      <c r="Q386" s="956" t="str">
        <f>IF(Q384="","",Q384)</f>
        <v/>
      </c>
      <c r="R386" s="957"/>
      <c r="S386" s="513"/>
      <c r="U386" s="538">
        <f t="shared" si="2"/>
        <v>270</v>
      </c>
      <c r="V386" s="564"/>
    </row>
    <row r="387" spans="1:22" s="372" customFormat="1" ht="3.75" customHeight="1" x14ac:dyDescent="0.2">
      <c r="A387" s="466"/>
      <c r="B387" s="539"/>
      <c r="C387" s="357"/>
      <c r="D387" s="357"/>
      <c r="E387" s="458"/>
      <c r="F387" s="357"/>
      <c r="G387" s="533"/>
      <c r="H387" s="533"/>
      <c r="I387" s="579"/>
      <c r="J387" s="675"/>
      <c r="K387" s="541"/>
      <c r="L387" s="542"/>
      <c r="M387" s="542"/>
      <c r="N387" s="543"/>
      <c r="O387" s="807"/>
      <c r="P387" s="807"/>
      <c r="Q387" s="545"/>
      <c r="R387" s="357"/>
      <c r="S387" s="467"/>
      <c r="U387" s="538"/>
      <c r="V387" s="564"/>
    </row>
    <row r="388" spans="1:22" s="372" customFormat="1" ht="17.25" customHeight="1" x14ac:dyDescent="0.25">
      <c r="A388" s="509"/>
      <c r="B388" s="532" t="s">
        <v>485</v>
      </c>
      <c r="C388" s="511"/>
      <c r="D388" s="511"/>
      <c r="E388" s="950">
        <f>VLOOKUP(U388,'Reichweite_50%'!$A$39:$P$400,16)</f>
        <v>265.45646572641311</v>
      </c>
      <c r="F388" s="955"/>
      <c r="G388" s="533"/>
      <c r="H388" s="692">
        <v>218</v>
      </c>
      <c r="I388" s="672"/>
      <c r="J388" s="677">
        <f>VLOOKUP(U388,'Reichweite_50%'!$A$39:$P$400,14)</f>
        <v>380.67189085515258</v>
      </c>
      <c r="K388" s="952"/>
      <c r="L388" s="953"/>
      <c r="M388" s="952"/>
      <c r="N388" s="953"/>
      <c r="O388" s="952"/>
      <c r="P388" s="953"/>
      <c r="Q388" s="956" t="str">
        <f>IF(Q386="","",Q386)</f>
        <v/>
      </c>
      <c r="R388" s="957"/>
      <c r="S388" s="513"/>
      <c r="U388" s="538">
        <f t="shared" si="2"/>
        <v>218</v>
      </c>
      <c r="V388" s="564"/>
    </row>
    <row r="389" spans="1:22" s="372" customFormat="1" ht="3.75" customHeight="1" thickBot="1" x14ac:dyDescent="0.25">
      <c r="A389" s="496"/>
      <c r="B389" s="157"/>
      <c r="C389" s="157"/>
      <c r="D389" s="157"/>
      <c r="E389" s="158"/>
      <c r="F389" s="157"/>
      <c r="G389" s="157"/>
      <c r="H389" s="157"/>
      <c r="I389" s="157"/>
      <c r="J389" s="157"/>
      <c r="K389" s="157"/>
      <c r="L389" s="157"/>
      <c r="M389" s="157"/>
      <c r="N389" s="157"/>
      <c r="O389" s="157"/>
      <c r="P389" s="157"/>
      <c r="Q389" s="157"/>
      <c r="R389" s="157"/>
      <c r="S389" s="159"/>
    </row>
    <row r="390" spans="1:22" s="606" customFormat="1" ht="6" customHeight="1" x14ac:dyDescent="0.2">
      <c r="A390" s="598"/>
      <c r="B390" s="599"/>
      <c r="C390" s="600"/>
      <c r="D390" s="600"/>
      <c r="E390" s="601"/>
      <c r="F390" s="601"/>
      <c r="G390" s="602"/>
      <c r="H390" s="602"/>
      <c r="I390" s="603"/>
      <c r="J390" s="603"/>
      <c r="K390" s="603"/>
      <c r="L390" s="603"/>
      <c r="M390" s="603"/>
      <c r="N390" s="603"/>
      <c r="O390" s="601"/>
      <c r="P390" s="601"/>
      <c r="Q390" s="604"/>
      <c r="R390" s="604"/>
      <c r="S390" s="605"/>
      <c r="T390" s="372"/>
    </row>
    <row r="391" spans="1:22" s="606" customFormat="1" ht="21.75" customHeight="1" x14ac:dyDescent="0.25">
      <c r="A391" s="598"/>
      <c r="B391" s="921" t="s">
        <v>340</v>
      </c>
      <c r="C391" s="806"/>
      <c r="D391" s="922"/>
      <c r="E391" s="601"/>
      <c r="F391" s="601"/>
      <c r="G391" s="602"/>
      <c r="H391" s="602"/>
      <c r="I391" s="603"/>
      <c r="J391" s="603"/>
      <c r="K391" s="603"/>
      <c r="L391" s="603"/>
      <c r="M391" s="603"/>
      <c r="N391" s="603"/>
      <c r="O391" s="601"/>
      <c r="P391" s="601"/>
      <c r="Q391" s="604"/>
      <c r="R391" s="604"/>
      <c r="S391" s="605"/>
      <c r="T391" s="372"/>
    </row>
    <row r="392" spans="1:22" s="606" customFormat="1" ht="5.25" customHeight="1" x14ac:dyDescent="0.2">
      <c r="A392" s="598"/>
      <c r="B392" s="599"/>
      <c r="C392" s="600"/>
      <c r="D392" s="600"/>
      <c r="E392" s="601"/>
      <c r="F392" s="601"/>
      <c r="G392" s="602"/>
      <c r="H392" s="602"/>
      <c r="I392" s="603"/>
      <c r="J392" s="603"/>
      <c r="K392" s="603"/>
      <c r="L392" s="603"/>
      <c r="M392" s="603"/>
      <c r="N392" s="603"/>
      <c r="O392" s="601"/>
      <c r="P392" s="601"/>
      <c r="Q392" s="604"/>
      <c r="R392" s="604"/>
      <c r="S392" s="605"/>
      <c r="T392" s="372"/>
    </row>
    <row r="393" spans="1:22" s="156" customFormat="1" ht="15" customHeight="1" x14ac:dyDescent="0.2">
      <c r="A393" s="607"/>
      <c r="B393" s="608" t="s">
        <v>757</v>
      </c>
      <c r="C393" s="609"/>
      <c r="D393" s="609"/>
      <c r="E393" s="160"/>
      <c r="F393" s="160"/>
      <c r="G393" s="164"/>
      <c r="H393" s="164"/>
      <c r="I393" s="160"/>
      <c r="J393" s="160"/>
      <c r="K393" s="160"/>
      <c r="L393" s="160"/>
      <c r="M393" s="160"/>
      <c r="N393" s="160"/>
      <c r="O393" s="160"/>
      <c r="P393" s="161"/>
      <c r="Q393" s="162"/>
      <c r="R393" s="162"/>
      <c r="S393" s="163"/>
      <c r="T393" s="372"/>
    </row>
    <row r="394" spans="1:22" s="372" customFormat="1" ht="15" customHeight="1" x14ac:dyDescent="0.2">
      <c r="A394" s="610"/>
      <c r="B394" s="610"/>
      <c r="C394" s="608" t="s">
        <v>758</v>
      </c>
      <c r="D394" s="610"/>
      <c r="E394" s="610"/>
      <c r="F394" s="610"/>
      <c r="G394" s="610"/>
      <c r="H394" s="610"/>
      <c r="I394" s="610"/>
      <c r="J394" s="610"/>
      <c r="K394" s="610"/>
      <c r="L394" s="610"/>
      <c r="M394" s="610"/>
      <c r="N394" s="610"/>
      <c r="O394" s="610"/>
      <c r="P394" s="610"/>
      <c r="Q394" s="610"/>
      <c r="R394" s="610"/>
      <c r="S394" s="467"/>
    </row>
    <row r="395" spans="1:22" s="372" customFormat="1" ht="15" customHeight="1" x14ac:dyDescent="0.2">
      <c r="A395" s="466"/>
      <c r="B395" s="357"/>
      <c r="C395" s="608" t="s">
        <v>759</v>
      </c>
      <c r="D395" s="357"/>
      <c r="E395" s="357"/>
      <c r="F395" s="357"/>
      <c r="G395" s="359"/>
      <c r="H395" s="359"/>
      <c r="I395" s="357"/>
      <c r="J395" s="357"/>
      <c r="K395" s="357"/>
      <c r="L395" s="357"/>
      <c r="M395" s="357"/>
      <c r="N395" s="357"/>
      <c r="O395" s="357"/>
      <c r="P395" s="357"/>
      <c r="Q395" s="357"/>
      <c r="R395" s="357"/>
      <c r="S395" s="467"/>
    </row>
    <row r="396" spans="1:22" s="372" customFormat="1" ht="12.75" customHeight="1" x14ac:dyDescent="0.2">
      <c r="A396" s="466"/>
      <c r="B396" s="360" t="s">
        <v>760</v>
      </c>
      <c r="C396" s="357"/>
      <c r="D396" s="357"/>
      <c r="E396" s="357"/>
      <c r="F396" s="357"/>
      <c r="G396" s="359"/>
      <c r="H396" s="359"/>
      <c r="I396" s="357"/>
      <c r="J396" s="357"/>
      <c r="K396" s="357"/>
      <c r="L396" s="357"/>
      <c r="M396" s="357"/>
      <c r="N396" s="357"/>
      <c r="O396" s="357"/>
      <c r="P396" s="357"/>
      <c r="Q396" s="357"/>
      <c r="R396" s="357"/>
      <c r="S396" s="467"/>
    </row>
    <row r="397" spans="1:22" s="372" customFormat="1" ht="12.75" customHeight="1" x14ac:dyDescent="0.2">
      <c r="A397" s="466"/>
      <c r="B397" s="360" t="s">
        <v>761</v>
      </c>
      <c r="C397" s="357"/>
      <c r="D397" s="357"/>
      <c r="E397" s="357"/>
      <c r="F397" s="357"/>
      <c r="G397" s="359"/>
      <c r="H397" s="359"/>
      <c r="I397" s="357"/>
      <c r="J397" s="357"/>
      <c r="K397" s="357"/>
      <c r="L397" s="357"/>
      <c r="M397" s="357"/>
      <c r="N397" s="357"/>
      <c r="O397" s="357"/>
      <c r="P397" s="357"/>
      <c r="Q397" s="357"/>
      <c r="R397" s="357"/>
      <c r="S397" s="467"/>
    </row>
    <row r="398" spans="1:22" s="372" customFormat="1" ht="4.5" customHeight="1" x14ac:dyDescent="0.2">
      <c r="A398" s="466"/>
      <c r="B398" s="360"/>
      <c r="C398" s="357"/>
      <c r="D398" s="357"/>
      <c r="E398" s="357"/>
      <c r="F398" s="357"/>
      <c r="G398" s="359"/>
      <c r="H398" s="359"/>
      <c r="I398" s="357"/>
      <c r="J398" s="357"/>
      <c r="K398" s="357"/>
      <c r="L398" s="357"/>
      <c r="M398" s="357"/>
      <c r="N398" s="357"/>
      <c r="O398" s="357"/>
      <c r="P398" s="357"/>
      <c r="Q398" s="357"/>
      <c r="R398" s="357"/>
      <c r="S398" s="467"/>
    </row>
    <row r="399" spans="1:22" s="372" customFormat="1" ht="15" customHeight="1" x14ac:dyDescent="0.2">
      <c r="A399" s="466"/>
      <c r="B399" s="360"/>
      <c r="C399" s="466"/>
      <c r="D399" s="610"/>
      <c r="E399" s="357"/>
      <c r="F399" s="357"/>
      <c r="G399" s="357"/>
      <c r="H399" s="357"/>
      <c r="I399" s="611" t="s">
        <v>509</v>
      </c>
      <c r="J399" s="611"/>
      <c r="K399" s="611"/>
      <c r="L399" s="967" t="s">
        <v>762</v>
      </c>
      <c r="M399" s="968"/>
      <c r="N399" s="968"/>
      <c r="O399" s="967" t="s">
        <v>763</v>
      </c>
      <c r="P399" s="968"/>
      <c r="Q399" s="969"/>
      <c r="R399" s="356"/>
      <c r="S399" s="467"/>
    </row>
    <row r="400" spans="1:22" s="372" customFormat="1" ht="15.75" customHeight="1" x14ac:dyDescent="0.2">
      <c r="A400" s="466"/>
      <c r="B400" s="357"/>
      <c r="C400" s="357"/>
      <c r="D400" s="357"/>
      <c r="E400" s="357"/>
      <c r="F400" s="357"/>
      <c r="G400" s="357"/>
      <c r="H400" s="357"/>
      <c r="I400" s="611" t="s">
        <v>510</v>
      </c>
      <c r="J400" s="611"/>
      <c r="K400" s="611"/>
      <c r="L400" s="802"/>
      <c r="M400" s="803"/>
      <c r="N400" s="804"/>
      <c r="O400" s="802"/>
      <c r="P400" s="803"/>
      <c r="Q400" s="804"/>
      <c r="R400" s="612"/>
      <c r="S400" s="467"/>
    </row>
    <row r="401" spans="1:19" s="372" customFormat="1" ht="4.5" customHeight="1" x14ac:dyDescent="0.2">
      <c r="A401" s="466"/>
      <c r="B401" s="357"/>
      <c r="C401" s="357"/>
      <c r="D401" s="357"/>
      <c r="E401" s="613"/>
      <c r="F401" s="357"/>
      <c r="G401" s="359"/>
      <c r="H401" s="359"/>
      <c r="I401" s="357"/>
      <c r="J401" s="357"/>
      <c r="K401" s="357"/>
      <c r="L401" s="357"/>
      <c r="M401" s="357"/>
      <c r="N401" s="357"/>
      <c r="O401" s="357"/>
      <c r="P401" s="357"/>
      <c r="Q401" s="357"/>
      <c r="R401" s="357"/>
      <c r="S401" s="467"/>
    </row>
    <row r="402" spans="1:19" s="372" customFormat="1" ht="12.75" x14ac:dyDescent="0.2">
      <c r="A402" s="466"/>
      <c r="B402" s="506" t="s">
        <v>346</v>
      </c>
      <c r="C402" s="357"/>
      <c r="D402" s="357"/>
      <c r="E402" s="818" t="s">
        <v>323</v>
      </c>
      <c r="F402" s="818"/>
      <c r="G402" s="818" t="s">
        <v>333</v>
      </c>
      <c r="H402" s="818"/>
      <c r="I402" s="818" t="s">
        <v>809</v>
      </c>
      <c r="J402" s="818"/>
      <c r="K402" s="818"/>
      <c r="L402" s="818" t="s">
        <v>764</v>
      </c>
      <c r="M402" s="818"/>
      <c r="N402" s="818"/>
      <c r="O402" s="818" t="s">
        <v>325</v>
      </c>
      <c r="P402" s="818"/>
      <c r="Q402" s="818" t="s">
        <v>326</v>
      </c>
      <c r="R402" s="818"/>
      <c r="S402" s="467"/>
    </row>
    <row r="403" spans="1:19" s="372" customFormat="1" ht="4.5" customHeight="1" x14ac:dyDescent="0.2">
      <c r="A403" s="466"/>
      <c r="B403" s="506"/>
      <c r="C403" s="614"/>
      <c r="D403" s="357"/>
      <c r="E403" s="615"/>
      <c r="F403" s="615"/>
      <c r="G403" s="359"/>
      <c r="H403" s="359"/>
      <c r="I403" s="615"/>
      <c r="J403" s="615"/>
      <c r="K403" s="615"/>
      <c r="L403" s="615"/>
      <c r="M403" s="615"/>
      <c r="N403" s="615"/>
      <c r="O403" s="615"/>
      <c r="P403" s="615"/>
      <c r="Q403" s="615"/>
      <c r="R403" s="615"/>
      <c r="S403" s="467"/>
    </row>
    <row r="404" spans="1:19" s="514" customFormat="1" ht="18.75" customHeight="1" x14ac:dyDescent="0.25">
      <c r="A404" s="509"/>
      <c r="B404" s="511" t="s">
        <v>341</v>
      </c>
      <c r="C404" s="511"/>
      <c r="D404" s="616"/>
      <c r="E404" s="970">
        <f>ROUNDDOWN(VLOOKUP(S404,Reichweite_BREIT!$A$39:$U$400,19),1)-1</f>
        <v>39</v>
      </c>
      <c r="F404" s="922"/>
      <c r="G404" s="879">
        <v>90</v>
      </c>
      <c r="H404" s="880"/>
      <c r="I404" s="971"/>
      <c r="J404" s="972"/>
      <c r="K404" s="973"/>
      <c r="L404" s="971"/>
      <c r="M404" s="972"/>
      <c r="N404" s="973"/>
      <c r="O404" s="974"/>
      <c r="P404" s="975"/>
      <c r="Q404" s="976"/>
      <c r="R404" s="977"/>
      <c r="S404" s="617">
        <f>IF(G404&lt;=180,ABS(G404+180-360),ABS(G404-180-360))</f>
        <v>90</v>
      </c>
    </row>
    <row r="405" spans="1:19" s="372" customFormat="1" ht="4.5" customHeight="1" x14ac:dyDescent="0.2">
      <c r="A405" s="466"/>
      <c r="B405" s="357"/>
      <c r="C405" s="357"/>
      <c r="D405" s="618"/>
      <c r="E405" s="458"/>
      <c r="F405" s="357"/>
      <c r="G405" s="403"/>
      <c r="H405" s="403"/>
      <c r="I405" s="357"/>
      <c r="J405" s="357"/>
      <c r="K405" s="357"/>
      <c r="L405" s="357"/>
      <c r="M405" s="357"/>
      <c r="N405" s="357"/>
      <c r="O405" s="357"/>
      <c r="P405" s="357"/>
      <c r="Q405" s="357"/>
      <c r="R405" s="357"/>
      <c r="S405" s="619"/>
    </row>
    <row r="406" spans="1:19" s="514" customFormat="1" ht="18.75" customHeight="1" x14ac:dyDescent="0.2">
      <c r="A406" s="509"/>
      <c r="B406" s="511" t="s">
        <v>342</v>
      </c>
      <c r="C406" s="511"/>
      <c r="D406" s="620"/>
      <c r="E406" s="970">
        <f>ROUNDDOWN(VLOOKUP(S406,Reichweite_BREIT!$A$39:$U$400,18),1)-1</f>
        <v>35.9</v>
      </c>
      <c r="F406" s="978"/>
      <c r="G406" s="879">
        <v>0</v>
      </c>
      <c r="H406" s="880"/>
      <c r="I406" s="971"/>
      <c r="J406" s="972"/>
      <c r="K406" s="973"/>
      <c r="L406" s="971"/>
      <c r="M406" s="972"/>
      <c r="N406" s="973"/>
      <c r="O406" s="917" t="str">
        <f>IF(O404="","",O404)</f>
        <v/>
      </c>
      <c r="P406" s="918"/>
      <c r="Q406" s="956" t="str">
        <f>IF(Q404="","",Q404)</f>
        <v/>
      </c>
      <c r="R406" s="957"/>
      <c r="S406" s="617">
        <f>IF(G406&lt;=180,ABS(G406),ABS(G406-180-360))</f>
        <v>0</v>
      </c>
    </row>
    <row r="407" spans="1:19" s="372" customFormat="1" ht="12.75" hidden="1" customHeight="1" x14ac:dyDescent="0.2">
      <c r="A407" s="466"/>
      <c r="B407" s="506"/>
      <c r="C407" s="614" t="s">
        <v>343</v>
      </c>
      <c r="D407" s="618"/>
      <c r="E407" s="615"/>
      <c r="F407" s="615"/>
      <c r="G407" s="403"/>
      <c r="H407" s="403"/>
      <c r="I407" s="615"/>
      <c r="J407" s="615"/>
      <c r="K407" s="615"/>
      <c r="L407" s="508"/>
      <c r="M407" s="508"/>
      <c r="N407" s="508"/>
      <c r="O407" s="615"/>
      <c r="P407" s="615"/>
      <c r="Q407" s="615"/>
      <c r="R407" s="615"/>
      <c r="S407" s="619"/>
    </row>
    <row r="408" spans="1:19" s="514" customFormat="1" ht="18.75" hidden="1" customHeight="1" x14ac:dyDescent="0.2">
      <c r="A408" s="509"/>
      <c r="B408" s="511" t="s">
        <v>342</v>
      </c>
      <c r="C408" s="511"/>
      <c r="D408" s="621"/>
      <c r="E408" s="622"/>
      <c r="F408" s="623"/>
      <c r="G408" s="624"/>
      <c r="H408" s="624"/>
      <c r="I408" s="625"/>
      <c r="J408" s="511"/>
      <c r="K408" s="626"/>
      <c r="L408" s="559"/>
      <c r="M408" s="559"/>
      <c r="N408" s="559"/>
      <c r="O408" s="627"/>
      <c r="P408" s="628"/>
      <c r="Q408" s="627"/>
      <c r="R408" s="628"/>
      <c r="S408" s="629"/>
    </row>
    <row r="409" spans="1:19" s="372" customFormat="1" ht="4.5" hidden="1" customHeight="1" x14ac:dyDescent="0.2">
      <c r="A409" s="466"/>
      <c r="B409" s="357"/>
      <c r="C409" s="357"/>
      <c r="D409" s="618"/>
      <c r="E409" s="458"/>
      <c r="F409" s="357"/>
      <c r="G409" s="403"/>
      <c r="H409" s="403"/>
      <c r="I409" s="357"/>
      <c r="J409" s="357"/>
      <c r="K409" s="357"/>
      <c r="L409" s="357"/>
      <c r="M409" s="357"/>
      <c r="N409" s="357"/>
      <c r="O409" s="357"/>
      <c r="P409" s="357"/>
      <c r="Q409" s="357"/>
      <c r="R409" s="357"/>
      <c r="S409" s="619"/>
    </row>
    <row r="410" spans="1:19" s="514" customFormat="1" ht="18.75" hidden="1" customHeight="1" x14ac:dyDescent="0.2">
      <c r="A410" s="509"/>
      <c r="B410" s="511" t="s">
        <v>344</v>
      </c>
      <c r="C410" s="511"/>
      <c r="D410" s="621"/>
      <c r="E410" s="622"/>
      <c r="F410" s="623"/>
      <c r="G410" s="624"/>
      <c r="H410" s="624"/>
      <c r="I410" s="625"/>
      <c r="J410" s="511"/>
      <c r="K410" s="626"/>
      <c r="L410" s="559"/>
      <c r="M410" s="559"/>
      <c r="N410" s="559"/>
      <c r="O410" s="627"/>
      <c r="P410" s="628"/>
      <c r="Q410" s="627"/>
      <c r="R410" s="628"/>
      <c r="S410" s="629"/>
    </row>
    <row r="411" spans="1:19" s="372" customFormat="1" ht="4.5" customHeight="1" x14ac:dyDescent="0.2">
      <c r="A411" s="466"/>
      <c r="B411" s="357"/>
      <c r="C411" s="357"/>
      <c r="D411" s="618"/>
      <c r="E411" s="458"/>
      <c r="F411" s="357"/>
      <c r="G411" s="403"/>
      <c r="H411" s="403"/>
      <c r="I411" s="357"/>
      <c r="J411" s="357"/>
      <c r="K411" s="357"/>
      <c r="L411" s="357"/>
      <c r="M411" s="357"/>
      <c r="N411" s="357"/>
      <c r="O411" s="357"/>
      <c r="P411" s="357"/>
      <c r="Q411" s="357"/>
      <c r="R411" s="357"/>
      <c r="S411" s="619"/>
    </row>
    <row r="412" spans="1:19" s="514" customFormat="1" ht="18.75" customHeight="1" x14ac:dyDescent="0.25">
      <c r="A412" s="509"/>
      <c r="B412" s="511" t="s">
        <v>345</v>
      </c>
      <c r="C412" s="511"/>
      <c r="D412" s="620"/>
      <c r="E412" s="970">
        <f>ABS(ROUNDDOWN(VLOOKUP(S412,Reichweite_BREIT!$A$39:$U$400,19),1))-1</f>
        <v>39.299999999999997</v>
      </c>
      <c r="F412" s="922"/>
      <c r="G412" s="879">
        <v>270</v>
      </c>
      <c r="H412" s="880"/>
      <c r="I412" s="971"/>
      <c r="J412" s="972"/>
      <c r="K412" s="973"/>
      <c r="L412" s="971"/>
      <c r="M412" s="972"/>
      <c r="N412" s="973"/>
      <c r="O412" s="917" t="str">
        <f>IF(O406="","",O406)</f>
        <v/>
      </c>
      <c r="P412" s="918"/>
      <c r="Q412" s="956" t="str">
        <f>IF(Q406="","",Q406)</f>
        <v/>
      </c>
      <c r="R412" s="957"/>
      <c r="S412" s="617">
        <f>IF(G412&lt;=180,ABS(G412+180-360),ABS(G412-180-360))</f>
        <v>270</v>
      </c>
    </row>
    <row r="413" spans="1:19" s="372" customFormat="1" ht="4.5" customHeight="1" x14ac:dyDescent="0.2">
      <c r="A413" s="466"/>
      <c r="B413" s="357"/>
      <c r="C413" s="357"/>
      <c r="D413" s="618"/>
      <c r="E413" s="458"/>
      <c r="F413" s="357"/>
      <c r="G413" s="403"/>
      <c r="H413" s="403"/>
      <c r="I413" s="357"/>
      <c r="J413" s="357"/>
      <c r="K413" s="357"/>
      <c r="L413" s="357"/>
      <c r="M413" s="357"/>
      <c r="N413" s="357"/>
      <c r="O413" s="357"/>
      <c r="P413" s="357"/>
      <c r="Q413" s="357"/>
      <c r="R413" s="357"/>
      <c r="S413" s="619"/>
    </row>
    <row r="414" spans="1:19" s="514" customFormat="1" ht="18.75" customHeight="1" x14ac:dyDescent="0.2">
      <c r="A414" s="630"/>
      <c r="B414" s="511" t="s">
        <v>344</v>
      </c>
      <c r="C414" s="631"/>
      <c r="D414" s="620"/>
      <c r="E414" s="970">
        <f>ABS(ROUNDDOWN(VLOOKUP(S414,Reichweite_BREIT!$A$39:$U$400,20),1))-1</f>
        <v>-1</v>
      </c>
      <c r="F414" s="978"/>
      <c r="G414" s="879">
        <v>180</v>
      </c>
      <c r="H414" s="880"/>
      <c r="I414" s="971"/>
      <c r="J414" s="972"/>
      <c r="K414" s="973"/>
      <c r="L414" s="971"/>
      <c r="M414" s="972"/>
      <c r="N414" s="973"/>
      <c r="O414" s="917" t="str">
        <f>IF(O412="","",O412)</f>
        <v/>
      </c>
      <c r="P414" s="918"/>
      <c r="Q414" s="956" t="str">
        <f>IF(Q412="","",Q412)</f>
        <v/>
      </c>
      <c r="R414" s="957"/>
      <c r="S414" s="617">
        <f>IF(G414&lt;=180,ABS(G414),ABS(G414-180-360))</f>
        <v>180</v>
      </c>
    </row>
    <row r="415" spans="1:19" s="372" customFormat="1" ht="6" customHeight="1" x14ac:dyDescent="0.2">
      <c r="A415" s="466"/>
      <c r="B415" s="357"/>
      <c r="C415" s="357"/>
      <c r="D415" s="618"/>
      <c r="E415" s="357"/>
      <c r="F415" s="357"/>
      <c r="G415" s="403"/>
      <c r="H415" s="403"/>
      <c r="I415" s="357"/>
      <c r="J415" s="357"/>
      <c r="K415" s="357"/>
      <c r="L415" s="357"/>
      <c r="M415" s="357"/>
      <c r="N415" s="357"/>
      <c r="O415" s="357"/>
      <c r="P415" s="357"/>
      <c r="Q415" s="357"/>
      <c r="R415" s="357"/>
      <c r="S415" s="619"/>
    </row>
    <row r="416" spans="1:19" s="372" customFormat="1" ht="12.75" customHeight="1" x14ac:dyDescent="0.2">
      <c r="A416" s="466"/>
      <c r="B416" s="360" t="s">
        <v>765</v>
      </c>
      <c r="C416" s="357"/>
      <c r="D416" s="618"/>
      <c r="E416" s="357"/>
      <c r="F416" s="357"/>
      <c r="G416" s="403"/>
      <c r="H416" s="403"/>
      <c r="I416" s="357"/>
      <c r="J416" s="357"/>
      <c r="K416" s="357"/>
      <c r="L416" s="357"/>
      <c r="M416" s="357"/>
      <c r="N416" s="357"/>
      <c r="O416" s="357"/>
      <c r="P416" s="357"/>
      <c r="Q416" s="357"/>
      <c r="R416" s="357"/>
      <c r="S416" s="619"/>
    </row>
    <row r="417" spans="1:23" s="372" customFormat="1" ht="12.75" customHeight="1" x14ac:dyDescent="0.2">
      <c r="A417" s="466"/>
      <c r="B417" s="360" t="s">
        <v>766</v>
      </c>
      <c r="C417" s="357"/>
      <c r="D417" s="618"/>
      <c r="E417" s="357"/>
      <c r="F417" s="357"/>
      <c r="G417" s="403"/>
      <c r="H417" s="403"/>
      <c r="I417" s="357"/>
      <c r="J417" s="357"/>
      <c r="K417" s="357"/>
      <c r="L417" s="357"/>
      <c r="M417" s="357"/>
      <c r="N417" s="357"/>
      <c r="O417" s="357"/>
      <c r="P417" s="357"/>
      <c r="Q417" s="357"/>
      <c r="R417" s="357"/>
      <c r="S417" s="619"/>
    </row>
    <row r="418" spans="1:23" s="372" customFormat="1" ht="4.5" customHeight="1" x14ac:dyDescent="0.2">
      <c r="A418" s="466"/>
      <c r="B418" s="357"/>
      <c r="C418" s="357"/>
      <c r="D418" s="618"/>
      <c r="E418" s="613"/>
      <c r="F418" s="357"/>
      <c r="G418" s="403"/>
      <c r="H418" s="403"/>
      <c r="I418" s="357"/>
      <c r="J418" s="357"/>
      <c r="K418" s="357"/>
      <c r="L418" s="357"/>
      <c r="M418" s="357"/>
      <c r="N418" s="357"/>
      <c r="O418" s="357"/>
      <c r="P418" s="357"/>
      <c r="Q418" s="357"/>
      <c r="R418" s="357"/>
      <c r="S418" s="619"/>
    </row>
    <row r="419" spans="1:23" s="372" customFormat="1" ht="12.75" x14ac:dyDescent="0.2">
      <c r="A419" s="466"/>
      <c r="B419" s="506" t="s">
        <v>347</v>
      </c>
      <c r="C419" s="357"/>
      <c r="D419" s="618"/>
      <c r="E419" s="940"/>
      <c r="F419" s="940"/>
      <c r="G419" s="818" t="s">
        <v>333</v>
      </c>
      <c r="H419" s="818"/>
      <c r="I419" s="818" t="s">
        <v>809</v>
      </c>
      <c r="J419" s="818"/>
      <c r="K419" s="818"/>
      <c r="L419" s="818" t="s">
        <v>324</v>
      </c>
      <c r="M419" s="818"/>
      <c r="N419" s="818"/>
      <c r="O419" s="818" t="s">
        <v>325</v>
      </c>
      <c r="P419" s="818"/>
      <c r="Q419" s="818" t="s">
        <v>326</v>
      </c>
      <c r="R419" s="818"/>
      <c r="S419" s="619"/>
    </row>
    <row r="420" spans="1:23" s="372" customFormat="1" ht="4.5" customHeight="1" x14ac:dyDescent="0.2">
      <c r="A420" s="466"/>
      <c r="B420" s="506"/>
      <c r="C420" s="614"/>
      <c r="D420" s="618"/>
      <c r="E420" s="615"/>
      <c r="F420" s="615"/>
      <c r="G420" s="403"/>
      <c r="H420" s="403"/>
      <c r="I420" s="615"/>
      <c r="J420" s="615"/>
      <c r="K420" s="615"/>
      <c r="L420" s="615"/>
      <c r="M420" s="615"/>
      <c r="N420" s="615"/>
      <c r="O420" s="615"/>
      <c r="P420" s="615"/>
      <c r="Q420" s="615"/>
      <c r="R420" s="615"/>
      <c r="S420" s="619"/>
    </row>
    <row r="421" spans="1:23" s="514" customFormat="1" ht="18.75" customHeight="1" x14ac:dyDescent="0.25">
      <c r="A421" s="509"/>
      <c r="B421" s="511" t="s">
        <v>341</v>
      </c>
      <c r="C421" s="511"/>
      <c r="D421" s="620"/>
      <c r="E421" s="979">
        <f>ROUNDDOWN(VLOOKUP(S421,Reichweite_SCHMAL!$A$39:$T$400,19),1)</f>
        <v>20.7</v>
      </c>
      <c r="F421" s="980"/>
      <c r="G421" s="879">
        <v>90</v>
      </c>
      <c r="H421" s="880"/>
      <c r="I421" s="971"/>
      <c r="J421" s="972"/>
      <c r="K421" s="973"/>
      <c r="L421" s="971"/>
      <c r="M421" s="972"/>
      <c r="N421" s="973"/>
      <c r="O421" s="974"/>
      <c r="P421" s="975"/>
      <c r="Q421" s="976"/>
      <c r="R421" s="977"/>
      <c r="S421" s="617">
        <f>IF(G421&lt;=180,ABS(G421+180-360),ABS(G421-180-360))</f>
        <v>90</v>
      </c>
    </row>
    <row r="422" spans="1:23" s="372" customFormat="1" ht="4.5" customHeight="1" x14ac:dyDescent="0.2">
      <c r="A422" s="466"/>
      <c r="B422" s="357"/>
      <c r="C422" s="357"/>
      <c r="D422" s="618"/>
      <c r="E422" s="458"/>
      <c r="F422" s="357"/>
      <c r="G422" s="403"/>
      <c r="H422" s="403"/>
      <c r="I422" s="357"/>
      <c r="J422" s="357"/>
      <c r="K422" s="357"/>
      <c r="L422" s="357"/>
      <c r="M422" s="357"/>
      <c r="N422" s="357"/>
      <c r="O422" s="357"/>
      <c r="P422" s="357"/>
      <c r="Q422" s="357"/>
      <c r="R422" s="357"/>
      <c r="S422" s="619"/>
    </row>
    <row r="423" spans="1:23" s="514" customFormat="1" ht="18.75" customHeight="1" x14ac:dyDescent="0.25">
      <c r="A423" s="509"/>
      <c r="B423" s="511" t="s">
        <v>342</v>
      </c>
      <c r="C423" s="511"/>
      <c r="D423" s="620"/>
      <c r="E423" s="970">
        <f>ROUNDDOWN(VLOOKUP(S423,Reichweite_SCHMAL!$A$39:$T$400,20),1)-1</f>
        <v>35.200000000000003</v>
      </c>
      <c r="F423" s="981"/>
      <c r="G423" s="879">
        <v>0</v>
      </c>
      <c r="H423" s="880"/>
      <c r="I423" s="971"/>
      <c r="J423" s="972"/>
      <c r="K423" s="973"/>
      <c r="L423" s="971"/>
      <c r="M423" s="972"/>
      <c r="N423" s="973"/>
      <c r="O423" s="974"/>
      <c r="P423" s="975"/>
      <c r="Q423" s="976"/>
      <c r="R423" s="977"/>
      <c r="S423" s="617">
        <f>IF(G423&lt;=180,G423,ABS(G423-180-360))</f>
        <v>0</v>
      </c>
    </row>
    <row r="424" spans="1:23" s="372" customFormat="1" ht="12.75" hidden="1" customHeight="1" x14ac:dyDescent="0.2">
      <c r="A424" s="466"/>
      <c r="B424" s="506"/>
      <c r="C424" s="614" t="s">
        <v>343</v>
      </c>
      <c r="D424" s="618"/>
      <c r="E424" s="615"/>
      <c r="F424" s="615"/>
      <c r="G424" s="403"/>
      <c r="H424" s="403"/>
      <c r="I424" s="615"/>
      <c r="J424" s="615"/>
      <c r="K424" s="615"/>
      <c r="L424" s="615"/>
      <c r="M424" s="615"/>
      <c r="N424" s="615"/>
      <c r="O424" s="615"/>
      <c r="P424" s="615"/>
      <c r="Q424" s="615"/>
      <c r="R424" s="615"/>
      <c r="S424" s="619"/>
    </row>
    <row r="425" spans="1:23" s="514" customFormat="1" ht="18.75" hidden="1" customHeight="1" x14ac:dyDescent="0.2">
      <c r="A425" s="509"/>
      <c r="B425" s="511" t="s">
        <v>342</v>
      </c>
      <c r="C425" s="511"/>
      <c r="D425" s="621"/>
      <c r="E425" s="622"/>
      <c r="F425" s="623"/>
      <c r="G425" s="624"/>
      <c r="H425" s="624"/>
      <c r="I425" s="625"/>
      <c r="J425" s="511"/>
      <c r="K425" s="626"/>
      <c r="L425" s="559"/>
      <c r="M425" s="559"/>
      <c r="N425" s="559"/>
      <c r="O425" s="627"/>
      <c r="P425" s="628"/>
      <c r="Q425" s="627"/>
      <c r="R425" s="628"/>
      <c r="S425" s="629"/>
    </row>
    <row r="426" spans="1:23" s="372" customFormat="1" ht="4.5" hidden="1" customHeight="1" x14ac:dyDescent="0.2">
      <c r="A426" s="466"/>
      <c r="B426" s="357"/>
      <c r="C426" s="357"/>
      <c r="D426" s="618"/>
      <c r="E426" s="458"/>
      <c r="F426" s="357"/>
      <c r="G426" s="403"/>
      <c r="H426" s="403"/>
      <c r="I426" s="357"/>
      <c r="J426" s="357"/>
      <c r="K426" s="357"/>
      <c r="L426" s="357"/>
      <c r="M426" s="357"/>
      <c r="N426" s="357"/>
      <c r="O426" s="357"/>
      <c r="P426" s="357"/>
      <c r="Q426" s="357"/>
      <c r="R426" s="357"/>
      <c r="S426" s="619"/>
    </row>
    <row r="427" spans="1:23" s="514" customFormat="1" ht="18.75" hidden="1" customHeight="1" x14ac:dyDescent="0.2">
      <c r="A427" s="509"/>
      <c r="B427" s="511" t="s">
        <v>344</v>
      </c>
      <c r="C427" s="511"/>
      <c r="D427" s="621"/>
      <c r="E427" s="622"/>
      <c r="F427" s="623"/>
      <c r="G427" s="624"/>
      <c r="H427" s="624"/>
      <c r="I427" s="625"/>
      <c r="J427" s="511"/>
      <c r="K427" s="626"/>
      <c r="L427" s="559"/>
      <c r="M427" s="559"/>
      <c r="N427" s="559"/>
      <c r="O427" s="627"/>
      <c r="P427" s="628"/>
      <c r="Q427" s="627"/>
      <c r="R427" s="628"/>
      <c r="S427" s="629"/>
    </row>
    <row r="428" spans="1:23" s="372" customFormat="1" ht="4.5" customHeight="1" x14ac:dyDescent="0.2">
      <c r="A428" s="466"/>
      <c r="B428" s="357"/>
      <c r="C428" s="357"/>
      <c r="D428" s="618"/>
      <c r="E428" s="458"/>
      <c r="F428" s="357"/>
      <c r="G428" s="403"/>
      <c r="H428" s="403"/>
      <c r="I428" s="357"/>
      <c r="J428" s="357"/>
      <c r="K428" s="357"/>
      <c r="L428" s="357"/>
      <c r="M428" s="357"/>
      <c r="N428" s="357"/>
      <c r="O428" s="357"/>
      <c r="P428" s="357"/>
      <c r="Q428" s="357"/>
      <c r="R428" s="357"/>
      <c r="S428" s="619"/>
    </row>
    <row r="429" spans="1:23" s="514" customFormat="1" ht="18.75" customHeight="1" x14ac:dyDescent="0.25">
      <c r="A429" s="509"/>
      <c r="B429" s="511" t="s">
        <v>345</v>
      </c>
      <c r="C429" s="511"/>
      <c r="D429" s="620"/>
      <c r="E429" s="979">
        <f>ABS(ROUNDDOWN(VLOOKUP(S429,Reichweite_SCHMAL!$A$39:$T$400,19),1))</f>
        <v>20.9</v>
      </c>
      <c r="F429" s="980"/>
      <c r="G429" s="879">
        <v>270</v>
      </c>
      <c r="H429" s="880"/>
      <c r="I429" s="971"/>
      <c r="J429" s="972"/>
      <c r="K429" s="973"/>
      <c r="L429" s="971"/>
      <c r="M429" s="972"/>
      <c r="N429" s="973"/>
      <c r="O429" s="974"/>
      <c r="P429" s="975"/>
      <c r="Q429" s="976"/>
      <c r="R429" s="977"/>
      <c r="S429" s="617">
        <f>IF(G429&lt;=180,ABS(G429+180-360),ABS(G429-180-360))</f>
        <v>270</v>
      </c>
    </row>
    <row r="430" spans="1:23" s="372" customFormat="1" ht="4.5" customHeight="1" x14ac:dyDescent="0.2">
      <c r="A430" s="466"/>
      <c r="B430" s="357"/>
      <c r="C430" s="357"/>
      <c r="D430" s="618"/>
      <c r="E430" s="458"/>
      <c r="F430" s="357"/>
      <c r="G430" s="403"/>
      <c r="H430" s="403"/>
      <c r="I430" s="357"/>
      <c r="J430" s="357"/>
      <c r="K430" s="357"/>
      <c r="L430" s="357"/>
      <c r="M430" s="357"/>
      <c r="N430" s="357"/>
      <c r="O430" s="357"/>
      <c r="P430" s="357"/>
      <c r="Q430" s="357"/>
      <c r="R430" s="357"/>
      <c r="S430" s="619"/>
    </row>
    <row r="431" spans="1:23" s="514" customFormat="1" ht="18.75" customHeight="1" x14ac:dyDescent="0.25">
      <c r="A431" s="630"/>
      <c r="B431" s="511" t="s">
        <v>344</v>
      </c>
      <c r="C431" s="631"/>
      <c r="D431" s="620"/>
      <c r="E431" s="970">
        <f>ABS(ROUNDDOWN(VLOOKUP(S431,Reichweite_SCHMAL!$A$39:$T$400,20),1))-1</f>
        <v>33.9</v>
      </c>
      <c r="F431" s="981"/>
      <c r="G431" s="879">
        <v>180</v>
      </c>
      <c r="H431" s="880"/>
      <c r="I431" s="971"/>
      <c r="J431" s="972"/>
      <c r="K431" s="973"/>
      <c r="L431" s="971"/>
      <c r="M431" s="972"/>
      <c r="N431" s="973"/>
      <c r="O431" s="974"/>
      <c r="P431" s="975"/>
      <c r="Q431" s="976"/>
      <c r="R431" s="977"/>
      <c r="S431" s="617">
        <f>IF(G431&lt;=180,G431,ABS(G431-180-360))</f>
        <v>180</v>
      </c>
      <c r="V431" s="372"/>
      <c r="W431" s="372"/>
    </row>
    <row r="432" spans="1:23" s="372" customFormat="1" ht="4.5" customHeight="1" thickBot="1" x14ac:dyDescent="0.25">
      <c r="A432" s="496"/>
      <c r="B432" s="632"/>
      <c r="C432" s="498"/>
      <c r="D432" s="498"/>
      <c r="E432" s="158"/>
      <c r="F432" s="633"/>
      <c r="G432" s="499"/>
      <c r="H432" s="499"/>
      <c r="I432" s="157"/>
      <c r="J432" s="157"/>
      <c r="K432" s="157"/>
      <c r="L432" s="157"/>
      <c r="M432" s="157"/>
      <c r="N432" s="157"/>
      <c r="O432" s="157"/>
      <c r="P432" s="157"/>
      <c r="Q432" s="157"/>
      <c r="R432" s="157"/>
      <c r="S432" s="159"/>
      <c r="V432" s="514"/>
      <c r="W432" s="514"/>
    </row>
    <row r="433" spans="1:23" x14ac:dyDescent="0.25">
      <c r="A433" s="634"/>
      <c r="B433" s="635" t="s">
        <v>767</v>
      </c>
      <c r="C433" s="636"/>
      <c r="D433" s="636"/>
      <c r="E433" s="637"/>
      <c r="F433" s="638"/>
      <c r="G433" s="637"/>
      <c r="H433" s="637"/>
      <c r="I433" s="637"/>
      <c r="J433" s="637"/>
      <c r="K433" s="637"/>
      <c r="L433" s="637" t="s">
        <v>768</v>
      </c>
      <c r="M433" s="637"/>
      <c r="N433" s="637"/>
      <c r="O433" s="637"/>
      <c r="P433" s="637"/>
      <c r="Q433" s="637"/>
      <c r="R433" s="637"/>
      <c r="S433" s="639"/>
      <c r="V433" s="372"/>
      <c r="W433" s="372"/>
    </row>
    <row r="434" spans="1:23" ht="14.25" customHeight="1" x14ac:dyDescent="0.25">
      <c r="A434" s="472"/>
      <c r="B434" s="640" t="s">
        <v>769</v>
      </c>
      <c r="C434" s="641"/>
      <c r="D434" s="641"/>
      <c r="E434" s="473"/>
      <c r="F434" s="474"/>
      <c r="G434" s="473"/>
      <c r="H434" s="473"/>
      <c r="I434" s="473"/>
      <c r="J434" s="473"/>
      <c r="K434" s="473"/>
      <c r="L434" s="473"/>
      <c r="M434" s="473"/>
      <c r="N434" s="473"/>
      <c r="O434" s="473"/>
      <c r="P434" s="473"/>
      <c r="Q434" s="473"/>
      <c r="R434" s="473"/>
      <c r="S434" s="475"/>
    </row>
    <row r="435" spans="1:23" ht="4.5" customHeight="1" x14ac:dyDescent="0.25">
      <c r="A435" s="472"/>
      <c r="B435" s="473"/>
      <c r="C435" s="473"/>
      <c r="D435" s="473"/>
      <c r="E435" s="642"/>
      <c r="F435" s="473"/>
      <c r="G435" s="473"/>
      <c r="H435" s="473"/>
      <c r="I435" s="473"/>
      <c r="J435" s="473"/>
      <c r="K435" s="473"/>
      <c r="L435" s="473"/>
      <c r="M435" s="473"/>
      <c r="N435" s="473"/>
      <c r="O435" s="473"/>
      <c r="P435" s="473"/>
      <c r="Q435" s="473"/>
      <c r="R435" s="473"/>
      <c r="S435" s="475"/>
    </row>
    <row r="436" spans="1:23" x14ac:dyDescent="0.25">
      <c r="A436" s="472"/>
      <c r="B436" s="306" t="s">
        <v>347</v>
      </c>
      <c r="C436" s="473"/>
      <c r="D436" s="473"/>
      <c r="E436" s="982"/>
      <c r="F436" s="982"/>
      <c r="G436" s="818" t="s">
        <v>333</v>
      </c>
      <c r="H436" s="818"/>
      <c r="I436" s="818" t="s">
        <v>809</v>
      </c>
      <c r="J436" s="818"/>
      <c r="K436" s="818"/>
      <c r="L436" s="818" t="s">
        <v>764</v>
      </c>
      <c r="M436" s="818"/>
      <c r="N436" s="818"/>
      <c r="O436" s="983" t="s">
        <v>325</v>
      </c>
      <c r="P436" s="983"/>
      <c r="Q436" s="983" t="s">
        <v>326</v>
      </c>
      <c r="R436" s="983"/>
      <c r="S436" s="475"/>
    </row>
    <row r="437" spans="1:23" ht="3.75" customHeight="1" x14ac:dyDescent="0.25">
      <c r="A437" s="472"/>
      <c r="B437" s="306"/>
      <c r="C437" s="419"/>
      <c r="D437" s="473"/>
      <c r="E437" s="476"/>
      <c r="F437" s="476"/>
      <c r="G437" s="615"/>
      <c r="H437" s="615"/>
      <c r="I437" s="476"/>
      <c r="J437" s="476"/>
      <c r="K437" s="476"/>
      <c r="L437" s="476"/>
      <c r="M437" s="476"/>
      <c r="N437" s="476"/>
      <c r="O437" s="476"/>
      <c r="P437" s="476"/>
      <c r="Q437" s="476"/>
      <c r="R437" s="476"/>
      <c r="S437" s="475"/>
    </row>
    <row r="438" spans="1:23" ht="19.5" customHeight="1" x14ac:dyDescent="0.25">
      <c r="A438" s="477"/>
      <c r="B438" s="478" t="s">
        <v>341</v>
      </c>
      <c r="C438" s="478"/>
      <c r="D438" s="478"/>
      <c r="E438" s="970" t="s">
        <v>822</v>
      </c>
      <c r="F438" s="922"/>
      <c r="G438" s="971"/>
      <c r="H438" s="973"/>
      <c r="I438" s="971"/>
      <c r="J438" s="972"/>
      <c r="K438" s="973"/>
      <c r="L438" s="971"/>
      <c r="M438" s="972"/>
      <c r="N438" s="973"/>
      <c r="O438" s="974"/>
      <c r="P438" s="975"/>
      <c r="Q438" s="976"/>
      <c r="R438" s="977"/>
      <c r="S438" s="481"/>
    </row>
    <row r="439" spans="1:23" ht="4.5" customHeight="1" thickBot="1" x14ac:dyDescent="0.3">
      <c r="A439" s="643"/>
      <c r="B439" s="644"/>
      <c r="C439" s="644"/>
      <c r="D439" s="644"/>
      <c r="E439" s="644"/>
      <c r="F439" s="644"/>
      <c r="G439" s="644"/>
      <c r="H439" s="644"/>
      <c r="I439" s="644"/>
      <c r="J439" s="644"/>
      <c r="K439" s="644"/>
      <c r="L439" s="644"/>
      <c r="M439" s="644"/>
      <c r="N439" s="644"/>
      <c r="O439" s="645"/>
      <c r="P439" s="645"/>
      <c r="Q439" s="646"/>
      <c r="R439" s="646"/>
      <c r="S439" s="647"/>
    </row>
    <row r="440" spans="1:23" ht="7.5" customHeight="1" x14ac:dyDescent="0.25">
      <c r="A440" s="648"/>
      <c r="B440" s="649"/>
      <c r="C440" s="649"/>
      <c r="D440" s="649"/>
      <c r="E440" s="649"/>
      <c r="F440" s="649"/>
      <c r="G440" s="649"/>
      <c r="H440" s="649"/>
      <c r="I440" s="649"/>
      <c r="J440" s="649"/>
      <c r="K440" s="649"/>
      <c r="L440" s="649"/>
      <c r="M440" s="649"/>
      <c r="N440" s="649"/>
      <c r="O440" s="649"/>
      <c r="P440" s="649"/>
      <c r="Q440" s="649"/>
      <c r="R440" s="649"/>
      <c r="S440" s="650"/>
    </row>
    <row r="441" spans="1:23" ht="21.75" customHeight="1" x14ac:dyDescent="0.25">
      <c r="A441" s="286"/>
      <c r="B441" s="984"/>
      <c r="C441" s="984"/>
      <c r="D441" s="984"/>
      <c r="E441" s="984"/>
      <c r="F441" s="984"/>
      <c r="G441" s="651"/>
      <c r="H441" s="651"/>
      <c r="I441" s="651"/>
      <c r="J441" s="651"/>
      <c r="K441" s="651"/>
      <c r="L441" s="651"/>
      <c r="M441" s="651"/>
      <c r="N441" s="287"/>
      <c r="O441" s="651"/>
      <c r="P441" s="651"/>
      <c r="Q441" s="651"/>
      <c r="R441" s="651"/>
      <c r="S441" s="652"/>
    </row>
    <row r="442" spans="1:23" ht="19.5" customHeight="1" x14ac:dyDescent="0.25">
      <c r="A442" s="653"/>
      <c r="B442" s="654"/>
      <c r="C442" s="654"/>
      <c r="D442" s="654"/>
      <c r="E442" s="654"/>
      <c r="F442" s="654"/>
      <c r="G442" s="654"/>
      <c r="H442" s="654"/>
      <c r="I442" s="654"/>
      <c r="J442" s="654"/>
      <c r="K442" s="654"/>
      <c r="L442" s="654"/>
      <c r="M442" s="654"/>
      <c r="N442" s="654"/>
      <c r="O442" s="654"/>
      <c r="P442" s="654"/>
      <c r="Q442" s="654"/>
      <c r="R442" s="654"/>
      <c r="S442" s="655"/>
    </row>
    <row r="443" spans="1:23" ht="19.5" customHeight="1" x14ac:dyDescent="0.25">
      <c r="A443" s="288"/>
      <c r="B443" s="289"/>
      <c r="C443" s="290"/>
      <c r="D443" s="290"/>
      <c r="E443" s="290"/>
      <c r="F443" s="290"/>
      <c r="G443" s="290"/>
      <c r="H443" s="290"/>
      <c r="I443" s="290"/>
      <c r="J443" s="290"/>
      <c r="K443" s="290"/>
      <c r="L443" s="290"/>
      <c r="M443" s="290"/>
      <c r="N443" s="290"/>
      <c r="O443" s="290"/>
      <c r="P443" s="290"/>
      <c r="Q443" s="290"/>
      <c r="R443" s="290"/>
      <c r="S443" s="291"/>
    </row>
    <row r="444" spans="1:23" ht="13.5" customHeight="1" x14ac:dyDescent="0.25">
      <c r="A444" s="288"/>
      <c r="B444" s="360"/>
      <c r="C444" s="290"/>
      <c r="D444" s="290"/>
      <c r="E444" s="290"/>
      <c r="F444" s="290"/>
      <c r="G444" s="290"/>
      <c r="H444" s="290"/>
      <c r="I444" s="290"/>
      <c r="J444" s="290"/>
      <c r="K444" s="290"/>
      <c r="L444" s="290"/>
      <c r="M444" s="290"/>
      <c r="N444" s="290"/>
      <c r="O444" s="290"/>
      <c r="P444" s="290"/>
      <c r="Q444" s="290"/>
      <c r="R444" s="290"/>
      <c r="S444" s="291"/>
    </row>
    <row r="445" spans="1:23" ht="19.5" customHeight="1" x14ac:dyDescent="0.25">
      <c r="A445" s="288"/>
      <c r="B445" s="360"/>
      <c r="C445" s="290"/>
      <c r="D445" s="290"/>
      <c r="E445" s="290"/>
      <c r="F445" s="290"/>
      <c r="G445" s="290"/>
      <c r="H445" s="290"/>
      <c r="I445" s="290"/>
      <c r="J445" s="290"/>
      <c r="K445" s="290"/>
      <c r="L445" s="290"/>
      <c r="M445" s="290"/>
      <c r="N445" s="290"/>
      <c r="O445" s="290"/>
      <c r="P445" s="290"/>
      <c r="Q445" s="290"/>
      <c r="R445" s="290"/>
      <c r="S445" s="291"/>
    </row>
    <row r="446" spans="1:23" ht="19.5" customHeight="1" x14ac:dyDescent="0.25">
      <c r="A446" s="288"/>
      <c r="B446" s="360"/>
      <c r="C446" s="290"/>
      <c r="D446" s="290"/>
      <c r="E446" s="290"/>
      <c r="F446" s="290"/>
      <c r="G446" s="290"/>
      <c r="H446" s="290"/>
      <c r="I446" s="290"/>
      <c r="J446" s="290"/>
      <c r="K446" s="290"/>
      <c r="L446" s="290"/>
      <c r="M446" s="290"/>
      <c r="N446" s="290"/>
      <c r="O446" s="290"/>
      <c r="P446" s="290"/>
      <c r="Q446" s="290"/>
      <c r="R446" s="290"/>
      <c r="S446" s="291"/>
    </row>
    <row r="447" spans="1:23" ht="19.5" customHeight="1" x14ac:dyDescent="0.25">
      <c r="A447" s="288"/>
      <c r="B447" s="360"/>
      <c r="C447" s="290"/>
      <c r="D447" s="290"/>
      <c r="E447" s="290"/>
      <c r="F447" s="290"/>
      <c r="G447" s="290"/>
      <c r="H447" s="290"/>
      <c r="I447" s="290"/>
      <c r="J447" s="290"/>
      <c r="K447" s="290"/>
      <c r="L447" s="290"/>
      <c r="M447" s="290"/>
      <c r="N447" s="290"/>
      <c r="O447" s="290"/>
      <c r="P447" s="290"/>
      <c r="Q447" s="290"/>
      <c r="R447" s="290"/>
      <c r="S447" s="291"/>
    </row>
    <row r="448" spans="1:23" ht="19.5" customHeight="1" x14ac:dyDescent="0.25">
      <c r="A448" s="288"/>
      <c r="B448" s="360"/>
      <c r="C448" s="290"/>
      <c r="D448" s="290"/>
      <c r="E448" s="290"/>
      <c r="F448" s="290"/>
      <c r="G448" s="290"/>
      <c r="H448" s="290"/>
      <c r="I448" s="290"/>
      <c r="J448" s="290"/>
      <c r="K448" s="290"/>
      <c r="L448" s="290"/>
      <c r="M448" s="290"/>
      <c r="N448" s="290"/>
      <c r="O448" s="290"/>
      <c r="P448" s="290"/>
      <c r="Q448" s="290"/>
      <c r="R448" s="290"/>
      <c r="S448" s="291"/>
    </row>
    <row r="449" spans="1:19" ht="17.25" customHeight="1" x14ac:dyDescent="0.25">
      <c r="A449" s="288"/>
      <c r="B449" s="360"/>
      <c r="C449" s="290"/>
      <c r="D449" s="290"/>
      <c r="E449" s="290"/>
      <c r="F449" s="290"/>
      <c r="G449" s="290"/>
      <c r="H449" s="290"/>
      <c r="I449" s="290"/>
      <c r="J449" s="290"/>
      <c r="K449" s="290"/>
      <c r="L449" s="290"/>
      <c r="M449" s="290"/>
      <c r="N449" s="290"/>
      <c r="O449" s="290"/>
      <c r="P449" s="290"/>
      <c r="Q449" s="290"/>
      <c r="R449" s="290"/>
      <c r="S449" s="291"/>
    </row>
    <row r="450" spans="1:19" ht="19.5" customHeight="1" x14ac:dyDescent="0.25">
      <c r="A450" s="288"/>
      <c r="B450" s="360"/>
      <c r="C450" s="290"/>
      <c r="D450" s="290"/>
      <c r="E450" s="290"/>
      <c r="F450" s="290"/>
      <c r="G450" s="290"/>
      <c r="H450" s="290"/>
      <c r="I450" s="290"/>
      <c r="J450" s="290"/>
      <c r="K450" s="290"/>
      <c r="L450" s="290"/>
      <c r="M450" s="290"/>
      <c r="N450" s="290"/>
      <c r="O450" s="290"/>
      <c r="P450" s="290"/>
      <c r="Q450" s="290"/>
      <c r="R450" s="290"/>
      <c r="S450" s="291"/>
    </row>
    <row r="451" spans="1:19" ht="19.5" customHeight="1" x14ac:dyDescent="0.25">
      <c r="A451" s="288"/>
      <c r="B451" s="360"/>
      <c r="C451" s="290"/>
      <c r="D451" s="290"/>
      <c r="E451" s="290"/>
      <c r="F451" s="290"/>
      <c r="G451" s="290"/>
      <c r="H451" s="290"/>
      <c r="I451" s="290"/>
      <c r="J451" s="290"/>
      <c r="K451" s="290"/>
      <c r="L451" s="290"/>
      <c r="M451" s="290"/>
      <c r="N451" s="290"/>
      <c r="O451" s="290"/>
      <c r="P451" s="290"/>
      <c r="Q451" s="290"/>
      <c r="R451" s="290"/>
      <c r="S451" s="291"/>
    </row>
    <row r="452" spans="1:19" ht="19.5" customHeight="1" x14ac:dyDescent="0.25">
      <c r="A452" s="288"/>
      <c r="B452" s="360"/>
      <c r="C452" s="290"/>
      <c r="D452" s="290"/>
      <c r="E452" s="290"/>
      <c r="F452" s="290"/>
      <c r="G452" s="290"/>
      <c r="H452" s="290"/>
      <c r="I452" s="290"/>
      <c r="J452" s="290"/>
      <c r="K452" s="290"/>
      <c r="L452" s="290"/>
      <c r="M452" s="290"/>
      <c r="N452" s="290"/>
      <c r="O452" s="290"/>
      <c r="P452" s="290"/>
      <c r="Q452" s="290"/>
      <c r="R452" s="290"/>
      <c r="S452" s="291"/>
    </row>
    <row r="453" spans="1:19" ht="19.5" customHeight="1" x14ac:dyDescent="0.25">
      <c r="A453" s="288"/>
      <c r="B453" s="360"/>
      <c r="C453" s="290"/>
      <c r="D453" s="290"/>
      <c r="E453" s="290"/>
      <c r="F453" s="290"/>
      <c r="G453" s="290"/>
      <c r="H453" s="290"/>
      <c r="I453" s="290"/>
      <c r="J453" s="290"/>
      <c r="K453" s="290"/>
      <c r="L453" s="290"/>
      <c r="M453" s="290"/>
      <c r="N453" s="290"/>
      <c r="O453" s="290"/>
      <c r="P453" s="290"/>
      <c r="Q453" s="290"/>
      <c r="R453" s="290"/>
      <c r="S453" s="291"/>
    </row>
    <row r="454" spans="1:19" ht="13.5" customHeight="1" x14ac:dyDescent="0.25">
      <c r="A454" s="288"/>
      <c r="B454" s="360"/>
      <c r="C454" s="290"/>
      <c r="D454" s="290"/>
      <c r="E454" s="290"/>
      <c r="F454" s="290"/>
      <c r="G454" s="290"/>
      <c r="H454" s="290"/>
      <c r="I454" s="290"/>
      <c r="J454" s="290"/>
      <c r="K454" s="290"/>
      <c r="L454" s="290"/>
      <c r="M454" s="290"/>
      <c r="N454" s="290"/>
      <c r="O454" s="290"/>
      <c r="P454" s="290"/>
      <c r="Q454" s="290"/>
      <c r="R454" s="290"/>
      <c r="S454" s="291"/>
    </row>
    <row r="455" spans="1:19" ht="13.5" customHeight="1" x14ac:dyDescent="0.25">
      <c r="A455" s="288"/>
      <c r="B455" s="290"/>
      <c r="C455" s="290"/>
      <c r="D455" s="290"/>
      <c r="E455" s="290"/>
      <c r="F455" s="290"/>
      <c r="G455" s="290"/>
      <c r="H455" s="290"/>
      <c r="I455" s="290"/>
      <c r="J455" s="290"/>
      <c r="K455" s="290"/>
      <c r="L455" s="290"/>
      <c r="M455" s="290"/>
      <c r="N455" s="290"/>
      <c r="O455" s="290"/>
      <c r="P455" s="290"/>
      <c r="Q455" s="290"/>
      <c r="R455" s="290"/>
      <c r="S455" s="291"/>
    </row>
    <row r="456" spans="1:19" ht="14.25" customHeight="1" x14ac:dyDescent="0.25">
      <c r="A456" s="288"/>
      <c r="B456" s="290"/>
      <c r="C456" s="290"/>
      <c r="D456" s="290"/>
      <c r="E456" s="290"/>
      <c r="F456" s="290"/>
      <c r="G456" s="290"/>
      <c r="H456" s="290"/>
      <c r="I456" s="290"/>
      <c r="J456" s="290"/>
      <c r="K456" s="290"/>
      <c r="L456" s="290"/>
      <c r="M456" s="290"/>
      <c r="N456" s="290"/>
      <c r="O456" s="290"/>
      <c r="P456" s="290"/>
      <c r="Q456" s="290"/>
      <c r="R456" s="290"/>
      <c r="S456" s="291"/>
    </row>
    <row r="457" spans="1:19" ht="19.5" customHeight="1" x14ac:dyDescent="0.25">
      <c r="A457" s="288"/>
      <c r="B457" s="290"/>
      <c r="C457" s="290"/>
      <c r="D457" s="290"/>
      <c r="E457" s="290"/>
      <c r="F457" s="290"/>
      <c r="G457" s="290"/>
      <c r="H457" s="290"/>
      <c r="I457" s="290"/>
      <c r="J457" s="290"/>
      <c r="K457" s="290"/>
      <c r="L457" s="290"/>
      <c r="M457" s="290"/>
      <c r="N457" s="290"/>
      <c r="O457" s="290"/>
      <c r="P457" s="290"/>
      <c r="Q457" s="290"/>
      <c r="R457" s="290"/>
      <c r="S457" s="291"/>
    </row>
    <row r="458" spans="1:19" ht="12" customHeight="1" x14ac:dyDescent="0.25">
      <c r="A458" s="288"/>
      <c r="B458" s="290"/>
      <c r="C458" s="290"/>
      <c r="D458" s="290"/>
      <c r="E458" s="290"/>
      <c r="F458" s="290"/>
      <c r="G458" s="290"/>
      <c r="H458" s="290"/>
      <c r="I458" s="290"/>
      <c r="J458" s="290"/>
      <c r="K458" s="290"/>
      <c r="L458" s="290"/>
      <c r="M458" s="290"/>
      <c r="N458" s="290"/>
      <c r="O458" s="290"/>
      <c r="P458" s="290"/>
      <c r="Q458" s="290"/>
      <c r="R458" s="290"/>
      <c r="S458" s="291"/>
    </row>
    <row r="459" spans="1:19" ht="13.5" customHeight="1" x14ac:dyDescent="0.25">
      <c r="A459" s="288"/>
      <c r="B459" s="290"/>
      <c r="C459" s="290"/>
      <c r="D459" s="290"/>
      <c r="E459" s="290"/>
      <c r="F459" s="290"/>
      <c r="G459" s="290"/>
      <c r="H459" s="290"/>
      <c r="I459" s="290"/>
      <c r="J459" s="290"/>
      <c r="K459" s="290"/>
      <c r="L459" s="290"/>
      <c r="M459" s="290"/>
      <c r="N459" s="290"/>
      <c r="O459" s="290"/>
      <c r="P459" s="290"/>
      <c r="Q459" s="290"/>
      <c r="R459" s="290"/>
      <c r="S459" s="291"/>
    </row>
    <row r="460" spans="1:19" ht="11.25" customHeight="1" x14ac:dyDescent="0.25">
      <c r="A460" s="288"/>
      <c r="B460" s="290"/>
      <c r="C460" s="290"/>
      <c r="D460" s="290"/>
      <c r="E460" s="290"/>
      <c r="F460" s="290"/>
      <c r="G460" s="290"/>
      <c r="H460" s="290"/>
      <c r="I460" s="290"/>
      <c r="J460" s="290"/>
      <c r="K460" s="290"/>
      <c r="L460" s="290"/>
      <c r="M460" s="290"/>
      <c r="N460" s="290"/>
      <c r="O460" s="290"/>
      <c r="P460" s="290"/>
      <c r="Q460" s="290"/>
      <c r="R460" s="290"/>
      <c r="S460" s="291"/>
    </row>
    <row r="461" spans="1:19" ht="15.75" customHeight="1" x14ac:dyDescent="0.25">
      <c r="A461" s="288"/>
      <c r="B461" s="290"/>
      <c r="C461" s="290"/>
      <c r="D461" s="290"/>
      <c r="E461" s="290"/>
      <c r="F461" s="290"/>
      <c r="G461" s="290"/>
      <c r="H461" s="290"/>
      <c r="I461" s="290"/>
      <c r="J461" s="290"/>
      <c r="K461" s="290"/>
      <c r="L461" s="290"/>
      <c r="M461" s="290"/>
      <c r="N461" s="290"/>
      <c r="O461" s="290"/>
      <c r="P461" s="290"/>
      <c r="Q461" s="290"/>
      <c r="R461" s="290"/>
      <c r="S461" s="291"/>
    </row>
    <row r="462" spans="1:19" ht="19.5" customHeight="1" x14ac:dyDescent="0.25">
      <c r="A462" s="292"/>
      <c r="B462" s="293"/>
      <c r="C462" s="985" t="s">
        <v>770</v>
      </c>
      <c r="D462" s="986"/>
      <c r="E462" s="987"/>
      <c r="F462" s="991" t="s">
        <v>771</v>
      </c>
      <c r="G462" s="991"/>
      <c r="H462" s="991"/>
      <c r="I462" s="991"/>
      <c r="J462" s="991"/>
      <c r="K462" s="992" t="s">
        <v>772</v>
      </c>
      <c r="L462" s="993"/>
      <c r="M462" s="994"/>
      <c r="N462" s="294" t="s">
        <v>773</v>
      </c>
      <c r="O462" s="992" t="s">
        <v>325</v>
      </c>
      <c r="P462" s="994"/>
      <c r="Q462" s="995" t="s">
        <v>326</v>
      </c>
      <c r="R462" s="996"/>
      <c r="S462" s="291"/>
    </row>
    <row r="463" spans="1:19" ht="19.5" customHeight="1" x14ac:dyDescent="0.25">
      <c r="A463" s="292"/>
      <c r="B463" s="295"/>
      <c r="C463" s="988"/>
      <c r="D463" s="989"/>
      <c r="E463" s="990"/>
      <c r="F463" s="296"/>
      <c r="G463" s="297"/>
      <c r="H463" s="298"/>
      <c r="I463" s="296"/>
      <c r="J463" s="298"/>
      <c r="K463" s="997" t="s">
        <v>774</v>
      </c>
      <c r="L463" s="998"/>
      <c r="M463" s="998"/>
      <c r="N463" s="299"/>
      <c r="O463" s="992"/>
      <c r="P463" s="994"/>
      <c r="Q463" s="995"/>
      <c r="R463" s="996"/>
      <c r="S463" s="291"/>
    </row>
    <row r="464" spans="1:19" ht="19.5" customHeight="1" x14ac:dyDescent="0.25">
      <c r="A464" s="292"/>
      <c r="B464" s="317">
        <v>1</v>
      </c>
      <c r="C464" s="300" t="s">
        <v>775</v>
      </c>
      <c r="D464" s="301"/>
      <c r="E464" s="301"/>
      <c r="F464" s="999" t="s">
        <v>333</v>
      </c>
      <c r="G464" s="1000"/>
      <c r="H464" s="1001"/>
      <c r="I464" s="997" t="s">
        <v>776</v>
      </c>
      <c r="J464" s="1002"/>
      <c r="K464" s="1003"/>
      <c r="L464" s="1004"/>
      <c r="M464" s="1004"/>
      <c r="N464" s="683"/>
      <c r="O464" s="917"/>
      <c r="P464" s="1005"/>
      <c r="Q464" s="1006"/>
      <c r="R464" s="1007"/>
      <c r="S464" s="291"/>
    </row>
    <row r="465" spans="1:19" ht="19.5" customHeight="1" x14ac:dyDescent="0.25">
      <c r="A465" s="292"/>
      <c r="B465" s="317">
        <v>2</v>
      </c>
      <c r="C465" s="300" t="s">
        <v>777</v>
      </c>
      <c r="D465" s="301"/>
      <c r="E465" s="301"/>
      <c r="F465" s="999" t="s">
        <v>333</v>
      </c>
      <c r="G465" s="1000"/>
      <c r="H465" s="1001"/>
      <c r="I465" s="997" t="s">
        <v>778</v>
      </c>
      <c r="J465" s="1002"/>
      <c r="K465" s="1003"/>
      <c r="L465" s="1004"/>
      <c r="M465" s="1004"/>
      <c r="N465" s="683"/>
      <c r="O465" s="917" t="str">
        <f>IF(O464="","",O464)</f>
        <v/>
      </c>
      <c r="P465" s="918"/>
      <c r="Q465" s="1006"/>
      <c r="R465" s="1007"/>
      <c r="S465" s="291"/>
    </row>
    <row r="466" spans="1:19" ht="19.5" customHeight="1" x14ac:dyDescent="0.25">
      <c r="A466" s="292"/>
      <c r="B466" s="317">
        <v>3</v>
      </c>
      <c r="C466" s="300" t="s">
        <v>779</v>
      </c>
      <c r="D466" s="301"/>
      <c r="E466" s="301"/>
      <c r="F466" s="999" t="s">
        <v>744</v>
      </c>
      <c r="G466" s="1000"/>
      <c r="H466" s="1001"/>
      <c r="I466" s="1008" t="s">
        <v>780</v>
      </c>
      <c r="J466" s="1002"/>
      <c r="K466" s="1003"/>
      <c r="L466" s="1004"/>
      <c r="M466" s="1004"/>
      <c r="N466" s="683"/>
      <c r="O466" s="917" t="str">
        <f t="shared" ref="O466:O475" si="3">O465</f>
        <v/>
      </c>
      <c r="P466" s="918"/>
      <c r="Q466" s="1006"/>
      <c r="R466" s="1007"/>
      <c r="S466" s="291"/>
    </row>
    <row r="467" spans="1:19" ht="19.5" customHeight="1" x14ac:dyDescent="0.25">
      <c r="A467" s="292"/>
      <c r="B467" s="317">
        <v>4</v>
      </c>
      <c r="C467" s="300" t="s">
        <v>781</v>
      </c>
      <c r="D467" s="301"/>
      <c r="E467" s="301"/>
      <c r="F467" s="999" t="s">
        <v>744</v>
      </c>
      <c r="G467" s="1000"/>
      <c r="H467" s="1001"/>
      <c r="I467" s="1008" t="s">
        <v>782</v>
      </c>
      <c r="J467" s="1002"/>
      <c r="K467" s="1003"/>
      <c r="L467" s="1004"/>
      <c r="M467" s="1004"/>
      <c r="N467" s="683"/>
      <c r="O467" s="917" t="str">
        <f t="shared" si="3"/>
        <v/>
      </c>
      <c r="P467" s="918"/>
      <c r="Q467" s="1006"/>
      <c r="R467" s="1007"/>
      <c r="S467" s="291"/>
    </row>
    <row r="468" spans="1:19" ht="19.5" customHeight="1" x14ac:dyDescent="0.25">
      <c r="A468" s="292"/>
      <c r="B468" s="317">
        <v>5</v>
      </c>
      <c r="C468" s="300" t="s">
        <v>783</v>
      </c>
      <c r="D468" s="301"/>
      <c r="E468" s="301"/>
      <c r="F468" s="999" t="s">
        <v>333</v>
      </c>
      <c r="G468" s="1000"/>
      <c r="H468" s="1001"/>
      <c r="I468" s="997" t="s">
        <v>784</v>
      </c>
      <c r="J468" s="1002"/>
      <c r="K468" s="1003"/>
      <c r="L468" s="1004"/>
      <c r="M468" s="1004"/>
      <c r="N468" s="683"/>
      <c r="O468" s="917" t="str">
        <f t="shared" si="3"/>
        <v/>
      </c>
      <c r="P468" s="918"/>
      <c r="Q468" s="1006"/>
      <c r="R468" s="1007"/>
      <c r="S468" s="291"/>
    </row>
    <row r="469" spans="1:19" ht="19.5" customHeight="1" x14ac:dyDescent="0.25">
      <c r="A469" s="292"/>
      <c r="B469" s="317">
        <v>6</v>
      </c>
      <c r="C469" s="300" t="s">
        <v>785</v>
      </c>
      <c r="D469" s="301"/>
      <c r="E469" s="301"/>
      <c r="F469" s="999" t="s">
        <v>333</v>
      </c>
      <c r="G469" s="1000"/>
      <c r="H469" s="1001"/>
      <c r="I469" s="997" t="s">
        <v>778</v>
      </c>
      <c r="J469" s="1002"/>
      <c r="K469" s="1003"/>
      <c r="L469" s="1004"/>
      <c r="M469" s="1004"/>
      <c r="N469" s="683"/>
      <c r="O469" s="917" t="str">
        <f t="shared" si="3"/>
        <v/>
      </c>
      <c r="P469" s="918"/>
      <c r="Q469" s="1006"/>
      <c r="R469" s="1007"/>
      <c r="S469" s="291"/>
    </row>
    <row r="470" spans="1:19" ht="19.5" customHeight="1" x14ac:dyDescent="0.25">
      <c r="A470" s="292"/>
      <c r="B470" s="317">
        <v>7</v>
      </c>
      <c r="C470" s="300" t="s">
        <v>786</v>
      </c>
      <c r="D470" s="301"/>
      <c r="E470" s="301"/>
      <c r="F470" s="999" t="s">
        <v>744</v>
      </c>
      <c r="G470" s="1000"/>
      <c r="H470" s="1001"/>
      <c r="I470" s="1008" t="s">
        <v>780</v>
      </c>
      <c r="J470" s="1002"/>
      <c r="K470" s="1003"/>
      <c r="L470" s="1004"/>
      <c r="M470" s="1004"/>
      <c r="N470" s="683"/>
      <c r="O470" s="917" t="str">
        <f t="shared" si="3"/>
        <v/>
      </c>
      <c r="P470" s="918"/>
      <c r="Q470" s="1006"/>
      <c r="R470" s="1007"/>
      <c r="S470" s="291"/>
    </row>
    <row r="471" spans="1:19" ht="19.5" customHeight="1" x14ac:dyDescent="0.25">
      <c r="A471" s="292"/>
      <c r="B471" s="317">
        <v>8</v>
      </c>
      <c r="C471" s="300" t="s">
        <v>787</v>
      </c>
      <c r="D471" s="301"/>
      <c r="E471" s="301"/>
      <c r="F471" s="999" t="s">
        <v>744</v>
      </c>
      <c r="G471" s="1000"/>
      <c r="H471" s="1001"/>
      <c r="I471" s="1008" t="s">
        <v>782</v>
      </c>
      <c r="J471" s="1002"/>
      <c r="K471" s="1003"/>
      <c r="L471" s="1004"/>
      <c r="M471" s="1004"/>
      <c r="N471" s="683"/>
      <c r="O471" s="917" t="str">
        <f t="shared" si="3"/>
        <v/>
      </c>
      <c r="P471" s="918"/>
      <c r="Q471" s="1006"/>
      <c r="R471" s="1007"/>
      <c r="S471" s="291"/>
    </row>
    <row r="472" spans="1:19" ht="19.5" customHeight="1" x14ac:dyDescent="0.25">
      <c r="A472" s="292"/>
      <c r="B472" s="317">
        <v>11</v>
      </c>
      <c r="C472" s="300" t="s">
        <v>788</v>
      </c>
      <c r="D472" s="301"/>
      <c r="E472" s="301"/>
      <c r="F472" s="999" t="s">
        <v>333</v>
      </c>
      <c r="G472" s="1000"/>
      <c r="H472" s="1001"/>
      <c r="I472" s="1008" t="s">
        <v>789</v>
      </c>
      <c r="J472" s="1002"/>
      <c r="K472" s="1003"/>
      <c r="L472" s="1004"/>
      <c r="M472" s="1004"/>
      <c r="N472" s="683"/>
      <c r="O472" s="917" t="str">
        <f t="shared" si="3"/>
        <v/>
      </c>
      <c r="P472" s="918"/>
      <c r="Q472" s="1006"/>
      <c r="R472" s="1007"/>
      <c r="S472" s="291"/>
    </row>
    <row r="473" spans="1:19" ht="19.5" customHeight="1" x14ac:dyDescent="0.25">
      <c r="A473" s="292"/>
      <c r="B473" s="317">
        <v>12</v>
      </c>
      <c r="C473" s="300" t="s">
        <v>790</v>
      </c>
      <c r="D473" s="301"/>
      <c r="E473" s="301"/>
      <c r="F473" s="999" t="s">
        <v>333</v>
      </c>
      <c r="G473" s="1000"/>
      <c r="H473" s="1001"/>
      <c r="I473" s="1008" t="s">
        <v>791</v>
      </c>
      <c r="J473" s="1002"/>
      <c r="K473" s="1003"/>
      <c r="L473" s="1004"/>
      <c r="M473" s="1004"/>
      <c r="N473" s="683"/>
      <c r="O473" s="917" t="str">
        <f t="shared" si="3"/>
        <v/>
      </c>
      <c r="P473" s="918"/>
      <c r="Q473" s="1006"/>
      <c r="R473" s="1007"/>
      <c r="S473" s="291"/>
    </row>
    <row r="474" spans="1:19" ht="19.5" customHeight="1" x14ac:dyDescent="0.25">
      <c r="A474" s="292"/>
      <c r="B474" s="317">
        <v>13</v>
      </c>
      <c r="C474" s="300" t="s">
        <v>792</v>
      </c>
      <c r="D474" s="301"/>
      <c r="E474" s="301"/>
      <c r="F474" s="999" t="s">
        <v>333</v>
      </c>
      <c r="G474" s="1000"/>
      <c r="H474" s="1001"/>
      <c r="I474" s="1008" t="s">
        <v>789</v>
      </c>
      <c r="J474" s="1002"/>
      <c r="K474" s="1003"/>
      <c r="L474" s="1004"/>
      <c r="M474" s="1004"/>
      <c r="N474" s="683"/>
      <c r="O474" s="917" t="str">
        <f t="shared" si="3"/>
        <v/>
      </c>
      <c r="P474" s="918"/>
      <c r="Q474" s="1006"/>
      <c r="R474" s="1007"/>
      <c r="S474" s="291"/>
    </row>
    <row r="475" spans="1:19" ht="19.5" customHeight="1" x14ac:dyDescent="0.25">
      <c r="A475" s="292"/>
      <c r="B475" s="317">
        <v>14</v>
      </c>
      <c r="C475" s="300" t="s">
        <v>793</v>
      </c>
      <c r="D475" s="301"/>
      <c r="E475" s="301"/>
      <c r="F475" s="999" t="s">
        <v>333</v>
      </c>
      <c r="G475" s="1000"/>
      <c r="H475" s="1001"/>
      <c r="I475" s="1008" t="s">
        <v>791</v>
      </c>
      <c r="J475" s="1002"/>
      <c r="K475" s="1003"/>
      <c r="L475" s="1004"/>
      <c r="M475" s="1004"/>
      <c r="N475" s="683"/>
      <c r="O475" s="917" t="str">
        <f t="shared" si="3"/>
        <v/>
      </c>
      <c r="P475" s="918"/>
      <c r="Q475" s="1006"/>
      <c r="R475" s="1007"/>
      <c r="S475" s="291"/>
    </row>
    <row r="476" spans="1:19" ht="12.75" customHeight="1" x14ac:dyDescent="0.25">
      <c r="A476" s="292"/>
      <c r="B476" s="302"/>
      <c r="C476" s="289"/>
      <c r="D476" s="289"/>
      <c r="E476" s="289"/>
      <c r="F476" s="303"/>
      <c r="G476" s="303"/>
      <c r="H476" s="303"/>
      <c r="I476" s="303"/>
      <c r="J476" s="303"/>
      <c r="K476" s="303"/>
      <c r="L476" s="303"/>
      <c r="M476" s="303"/>
      <c r="N476" s="303"/>
      <c r="O476" s="303"/>
      <c r="P476" s="304"/>
      <c r="Q476" s="305"/>
      <c r="R476" s="305"/>
      <c r="S476" s="291"/>
    </row>
    <row r="477" spans="1:19" ht="19.5" customHeight="1" x14ac:dyDescent="0.25">
      <c r="A477" s="288"/>
      <c r="B477" s="306"/>
      <c r="C477" s="306"/>
      <c r="D477" s="306"/>
      <c r="E477" s="306"/>
      <c r="F477" s="290"/>
      <c r="G477" s="290"/>
      <c r="H477" s="290"/>
      <c r="I477" s="290"/>
      <c r="J477" s="290"/>
      <c r="K477" s="290"/>
      <c r="L477" s="290"/>
      <c r="M477" s="290"/>
      <c r="N477" s="290"/>
      <c r="O477" s="290"/>
      <c r="P477" s="290"/>
      <c r="Q477" s="290"/>
      <c r="R477" s="290"/>
      <c r="S477" s="291"/>
    </row>
    <row r="478" spans="1:19" ht="12.75" customHeight="1" x14ac:dyDescent="0.25">
      <c r="A478" s="288"/>
      <c r="B478" s="306"/>
      <c r="C478" s="306"/>
      <c r="D478" s="306"/>
      <c r="E478" s="306"/>
      <c r="F478" s="290"/>
      <c r="G478" s="290"/>
      <c r="H478" s="290"/>
      <c r="I478" s="290"/>
      <c r="J478" s="290"/>
      <c r="K478" s="290"/>
      <c r="L478" s="290"/>
      <c r="M478" s="290"/>
      <c r="N478" s="290"/>
      <c r="O478" s="290"/>
      <c r="P478" s="290"/>
      <c r="Q478" s="290"/>
      <c r="R478" s="290"/>
      <c r="S478" s="291"/>
    </row>
    <row r="479" spans="1:19" ht="13.5" customHeight="1" x14ac:dyDescent="0.25">
      <c r="A479" s="307"/>
      <c r="B479" s="308"/>
      <c r="C479" s="308"/>
      <c r="D479" s="308"/>
      <c r="E479" s="308"/>
      <c r="F479" s="308"/>
      <c r="G479" s="308"/>
      <c r="H479" s="308"/>
      <c r="I479" s="308"/>
      <c r="J479" s="308"/>
      <c r="K479" s="308"/>
      <c r="L479" s="308"/>
      <c r="M479" s="308"/>
      <c r="N479" s="308"/>
      <c r="O479" s="308"/>
      <c r="P479" s="308"/>
      <c r="Q479" s="308"/>
      <c r="R479" s="308"/>
      <c r="S479" s="309"/>
    </row>
    <row r="480" spans="1:19" ht="5.25" customHeight="1" x14ac:dyDescent="0.25">
      <c r="A480" s="288"/>
      <c r="B480" s="290"/>
      <c r="C480" s="290"/>
      <c r="D480" s="290"/>
      <c r="E480" s="290"/>
      <c r="F480" s="290"/>
      <c r="G480" s="290"/>
      <c r="H480" s="290"/>
      <c r="I480" s="290"/>
      <c r="J480" s="290"/>
      <c r="K480" s="290"/>
      <c r="L480" s="290"/>
      <c r="M480" s="290"/>
      <c r="N480" s="290"/>
      <c r="O480" s="290"/>
      <c r="P480" s="290"/>
      <c r="Q480" s="290"/>
      <c r="R480" s="290"/>
      <c r="S480" s="291"/>
    </row>
    <row r="481" spans="1:19" ht="13.5" customHeight="1" x14ac:dyDescent="0.25">
      <c r="A481" s="288"/>
      <c r="B481" s="656" t="s">
        <v>794</v>
      </c>
      <c r="C481" s="290"/>
      <c r="D481" s="290"/>
      <c r="E481" s="290"/>
      <c r="F481" s="290"/>
      <c r="G481" s="290"/>
      <c r="H481" s="290"/>
      <c r="I481" s="290"/>
      <c r="J481" s="290"/>
      <c r="K481" s="290"/>
      <c r="L481" s="290"/>
      <c r="M481" s="290"/>
      <c r="N481" s="290"/>
      <c r="O481" s="290"/>
      <c r="P481" s="290"/>
      <c r="Q481" s="290"/>
      <c r="R481" s="290"/>
      <c r="S481" s="291"/>
    </row>
    <row r="482" spans="1:19" ht="11.25" customHeight="1" x14ac:dyDescent="0.25">
      <c r="A482" s="477"/>
      <c r="B482" s="656" t="s">
        <v>795</v>
      </c>
      <c r="C482" s="478"/>
      <c r="D482" s="478"/>
      <c r="E482" s="478"/>
      <c r="F482" s="478"/>
      <c r="G482" s="478"/>
      <c r="H482" s="478"/>
      <c r="I482" s="478"/>
      <c r="J482" s="478"/>
      <c r="K482" s="350"/>
      <c r="L482" s="350"/>
      <c r="M482" s="338"/>
      <c r="N482" s="338"/>
      <c r="O482" s="507"/>
      <c r="P482" s="507"/>
      <c r="Q482" s="508"/>
      <c r="R482" s="508"/>
      <c r="S482" s="481"/>
    </row>
    <row r="483" spans="1:19" ht="11.25" customHeight="1" x14ac:dyDescent="0.25">
      <c r="A483" s="477"/>
      <c r="B483" s="478" t="s">
        <v>796</v>
      </c>
      <c r="C483" s="478"/>
      <c r="D483" s="478"/>
      <c r="E483" s="478"/>
      <c r="F483" s="478"/>
      <c r="G483" s="478"/>
      <c r="H483" s="478"/>
      <c r="I483" s="478"/>
      <c r="J483" s="478"/>
      <c r="K483" s="350"/>
      <c r="L483" s="350"/>
      <c r="M483" s="338"/>
      <c r="N483" s="338"/>
      <c r="O483" s="507"/>
      <c r="P483" s="507"/>
      <c r="Q483" s="508"/>
      <c r="R483" s="508"/>
      <c r="S483" s="481"/>
    </row>
    <row r="484" spans="1:19" ht="9" customHeight="1" x14ac:dyDescent="0.25">
      <c r="A484" s="477"/>
      <c r="B484" s="656"/>
      <c r="C484" s="478"/>
      <c r="D484" s="478"/>
      <c r="E484" s="478"/>
      <c r="F484" s="478"/>
      <c r="G484" s="478"/>
      <c r="H484" s="478"/>
      <c r="I484" s="478"/>
      <c r="J484" s="478"/>
      <c r="K484" s="350"/>
      <c r="L484" s="350"/>
      <c r="M484" s="338"/>
      <c r="N484" s="338"/>
      <c r="O484" s="507"/>
      <c r="P484" s="507"/>
      <c r="Q484" s="508"/>
      <c r="R484" s="508"/>
      <c r="S484" s="481"/>
    </row>
    <row r="485" spans="1:19" ht="21" customHeight="1" x14ac:dyDescent="0.25">
      <c r="A485" s="477"/>
      <c r="B485" s="657"/>
      <c r="C485" s="1013"/>
      <c r="D485" s="1013"/>
      <c r="E485" s="478"/>
      <c r="F485" s="657" t="s">
        <v>797</v>
      </c>
      <c r="G485" s="478"/>
      <c r="H485" s="478"/>
      <c r="I485" s="1014"/>
      <c r="J485" s="1015"/>
      <c r="K485" s="1015"/>
      <c r="L485" s="1015"/>
      <c r="M485" s="1015"/>
      <c r="N485" s="1015"/>
      <c r="O485" s="1015"/>
      <c r="P485" s="1015"/>
      <c r="Q485" s="1016"/>
      <c r="R485" s="478"/>
      <c r="S485" s="481"/>
    </row>
    <row r="486" spans="1:19" ht="20.25" customHeight="1" x14ac:dyDescent="0.25">
      <c r="A486" s="477"/>
      <c r="B486" s="657"/>
      <c r="C486" s="658"/>
      <c r="D486" s="658"/>
      <c r="E486" s="478"/>
      <c r="F486" s="657"/>
      <c r="G486" s="478"/>
      <c r="H486" s="658"/>
      <c r="I486" s="1017"/>
      <c r="J486" s="1018"/>
      <c r="K486" s="1018"/>
      <c r="L486" s="1018"/>
      <c r="M486" s="1018"/>
      <c r="N486" s="1018"/>
      <c r="O486" s="1018"/>
      <c r="P486" s="1018"/>
      <c r="Q486" s="1019"/>
      <c r="R486" s="659"/>
      <c r="S486" s="481"/>
    </row>
    <row r="487" spans="1:19" ht="11.25" customHeight="1" thickBot="1" x14ac:dyDescent="0.3">
      <c r="A487" s="482"/>
      <c r="B487" s="660"/>
      <c r="C487" s="661"/>
      <c r="D487" s="661"/>
      <c r="E487" s="662"/>
      <c r="F487" s="663"/>
      <c r="G487" s="483"/>
      <c r="H487" s="483"/>
      <c r="I487" s="483"/>
      <c r="J487" s="483"/>
      <c r="K487" s="483"/>
      <c r="L487" s="483"/>
      <c r="M487" s="483"/>
      <c r="N487" s="483"/>
      <c r="O487" s="483"/>
      <c r="P487" s="483"/>
      <c r="Q487" s="483"/>
      <c r="R487" s="483"/>
      <c r="S487" s="484"/>
    </row>
    <row r="488" spans="1:19" x14ac:dyDescent="0.25">
      <c r="A488" s="664"/>
      <c r="B488" s="664"/>
      <c r="C488" s="664"/>
      <c r="D488" s="664"/>
      <c r="E488" s="664"/>
      <c r="F488" s="664"/>
      <c r="G488" s="665"/>
      <c r="H488" s="665"/>
      <c r="I488" s="664"/>
      <c r="J488" s="664"/>
      <c r="K488" s="664"/>
      <c r="L488" s="664"/>
      <c r="M488" s="664"/>
      <c r="N488" s="664"/>
      <c r="O488" s="664"/>
      <c r="P488" s="664"/>
      <c r="Q488" s="664"/>
      <c r="R488" s="664"/>
      <c r="S488" s="664"/>
    </row>
    <row r="494" spans="1:19" x14ac:dyDescent="0.25">
      <c r="L494" s="667">
        <f>Standversuch!M98+Standversuch!M102+Standversuch!M107+Standversuch!M111+Standversuch!M115+Standversuch!M119-10</f>
        <v>2410.2054800000001</v>
      </c>
      <c r="M494" s="667"/>
    </row>
  </sheetData>
  <sheetProtection algorithmName="SHA-512" hashValue="y1akUvVEVL8AjxStm6gM2uKsOEppQeLVKv5ouyoGCX0JAZyLnAToVH0kbRf6Rv4m/OImkx+q4b/5hk9oEPBuBw==" saltValue="FRdMyvS3M9QS7hQf/2yVHw==" spinCount="100000" sheet="1" selectLockedCells="1"/>
  <mergeCells count="652">
    <mergeCell ref="E10:F10"/>
    <mergeCell ref="G10:I10"/>
    <mergeCell ref="C485:D485"/>
    <mergeCell ref="I485:Q486"/>
    <mergeCell ref="F474:H474"/>
    <mergeCell ref="I474:J474"/>
    <mergeCell ref="K474:M474"/>
    <mergeCell ref="O474:P474"/>
    <mergeCell ref="Q474:R474"/>
    <mergeCell ref="F475:H475"/>
    <mergeCell ref="I475:J475"/>
    <mergeCell ref="K475:M475"/>
    <mergeCell ref="O475:P475"/>
    <mergeCell ref="Q475:R475"/>
    <mergeCell ref="F472:H472"/>
    <mergeCell ref="I472:J472"/>
    <mergeCell ref="K472:M472"/>
    <mergeCell ref="O472:P472"/>
    <mergeCell ref="Q472:R472"/>
    <mergeCell ref="F473:H473"/>
    <mergeCell ref="I473:J473"/>
    <mergeCell ref="K473:M473"/>
    <mergeCell ref="O473:P473"/>
    <mergeCell ref="Q473:R473"/>
    <mergeCell ref="F470:H470"/>
    <mergeCell ref="I470:J470"/>
    <mergeCell ref="K470:M470"/>
    <mergeCell ref="O470:P470"/>
    <mergeCell ref="Q470:R470"/>
    <mergeCell ref="F471:H471"/>
    <mergeCell ref="I471:J471"/>
    <mergeCell ref="K471:M471"/>
    <mergeCell ref="O471:P471"/>
    <mergeCell ref="Q471:R471"/>
    <mergeCell ref="F468:H468"/>
    <mergeCell ref="I468:J468"/>
    <mergeCell ref="K468:M468"/>
    <mergeCell ref="O468:P468"/>
    <mergeCell ref="Q468:R468"/>
    <mergeCell ref="F469:H469"/>
    <mergeCell ref="I469:J469"/>
    <mergeCell ref="K469:M469"/>
    <mergeCell ref="O469:P469"/>
    <mergeCell ref="Q469:R469"/>
    <mergeCell ref="F466:H466"/>
    <mergeCell ref="I466:J466"/>
    <mergeCell ref="K466:M466"/>
    <mergeCell ref="O466:P466"/>
    <mergeCell ref="Q466:R466"/>
    <mergeCell ref="F467:H467"/>
    <mergeCell ref="I467:J467"/>
    <mergeCell ref="K467:M467"/>
    <mergeCell ref="O467:P467"/>
    <mergeCell ref="Q467:R467"/>
    <mergeCell ref="F464:H464"/>
    <mergeCell ref="I464:J464"/>
    <mergeCell ref="K464:M464"/>
    <mergeCell ref="O464:P464"/>
    <mergeCell ref="Q464:R464"/>
    <mergeCell ref="F465:H465"/>
    <mergeCell ref="I465:J465"/>
    <mergeCell ref="K465:M465"/>
    <mergeCell ref="O465:P465"/>
    <mergeCell ref="Q465:R465"/>
    <mergeCell ref="E438:F438"/>
    <mergeCell ref="G438:H438"/>
    <mergeCell ref="I438:K438"/>
    <mergeCell ref="O438:P438"/>
    <mergeCell ref="Q438:R438"/>
    <mergeCell ref="L438:N438"/>
    <mergeCell ref="B441:F441"/>
    <mergeCell ref="C462:E463"/>
    <mergeCell ref="F462:J462"/>
    <mergeCell ref="K462:M462"/>
    <mergeCell ref="O462:P462"/>
    <mergeCell ref="Q462:R462"/>
    <mergeCell ref="K463:M463"/>
    <mergeCell ref="O463:P463"/>
    <mergeCell ref="Q463:R463"/>
    <mergeCell ref="E431:F431"/>
    <mergeCell ref="G431:H431"/>
    <mergeCell ref="I431:K431"/>
    <mergeCell ref="L431:N431"/>
    <mergeCell ref="O431:P431"/>
    <mergeCell ref="Q431:R431"/>
    <mergeCell ref="E436:F436"/>
    <mergeCell ref="G436:H436"/>
    <mergeCell ref="I436:K436"/>
    <mergeCell ref="L436:N436"/>
    <mergeCell ref="O436:P436"/>
    <mergeCell ref="Q436:R436"/>
    <mergeCell ref="E423:F423"/>
    <mergeCell ref="G423:H423"/>
    <mergeCell ref="I423:K423"/>
    <mergeCell ref="L423:N423"/>
    <mergeCell ref="O423:P423"/>
    <mergeCell ref="Q423:R423"/>
    <mergeCell ref="E429:F429"/>
    <mergeCell ref="G429:H429"/>
    <mergeCell ref="I429:K429"/>
    <mergeCell ref="L429:N429"/>
    <mergeCell ref="O429:P429"/>
    <mergeCell ref="Q429:R429"/>
    <mergeCell ref="E419:F419"/>
    <mergeCell ref="G419:H419"/>
    <mergeCell ref="I419:K419"/>
    <mergeCell ref="L419:N419"/>
    <mergeCell ref="O419:P419"/>
    <mergeCell ref="Q419:R419"/>
    <mergeCell ref="E421:F421"/>
    <mergeCell ref="G421:H421"/>
    <mergeCell ref="I421:K421"/>
    <mergeCell ref="L421:N421"/>
    <mergeCell ref="O421:P421"/>
    <mergeCell ref="Q421:R421"/>
    <mergeCell ref="E412:F412"/>
    <mergeCell ref="G412:H412"/>
    <mergeCell ref="I412:K412"/>
    <mergeCell ref="L412:N412"/>
    <mergeCell ref="O412:P412"/>
    <mergeCell ref="Q412:R412"/>
    <mergeCell ref="E414:F414"/>
    <mergeCell ref="G414:H414"/>
    <mergeCell ref="I414:K414"/>
    <mergeCell ref="L414:N414"/>
    <mergeCell ref="O414:P414"/>
    <mergeCell ref="Q414:R414"/>
    <mergeCell ref="E404:F404"/>
    <mergeCell ref="G404:H404"/>
    <mergeCell ref="I404:K404"/>
    <mergeCell ref="L404:N404"/>
    <mergeCell ref="O404:P404"/>
    <mergeCell ref="Q404:R404"/>
    <mergeCell ref="E406:F406"/>
    <mergeCell ref="G406:H406"/>
    <mergeCell ref="I406:K406"/>
    <mergeCell ref="L406:N406"/>
    <mergeCell ref="O406:P406"/>
    <mergeCell ref="Q406:R406"/>
    <mergeCell ref="B391:D391"/>
    <mergeCell ref="L399:N399"/>
    <mergeCell ref="O399:Q399"/>
    <mergeCell ref="O400:Q400"/>
    <mergeCell ref="E402:F402"/>
    <mergeCell ref="G402:H402"/>
    <mergeCell ref="I402:K402"/>
    <mergeCell ref="L402:N402"/>
    <mergeCell ref="O402:P402"/>
    <mergeCell ref="Q402:R402"/>
    <mergeCell ref="O385:P385"/>
    <mergeCell ref="E386:F386"/>
    <mergeCell ref="K386:L386"/>
    <mergeCell ref="M386:N386"/>
    <mergeCell ref="O386:P386"/>
    <mergeCell ref="Q386:R386"/>
    <mergeCell ref="O387:P387"/>
    <mergeCell ref="E388:F388"/>
    <mergeCell ref="K388:L388"/>
    <mergeCell ref="M388:N388"/>
    <mergeCell ref="O388:P388"/>
    <mergeCell ref="Q388:R388"/>
    <mergeCell ref="O380:P380"/>
    <mergeCell ref="E381:F381"/>
    <mergeCell ref="K381:L381"/>
    <mergeCell ref="M381:N381"/>
    <mergeCell ref="O381:P381"/>
    <mergeCell ref="Q381:R381"/>
    <mergeCell ref="O382:P382"/>
    <mergeCell ref="O383:P383"/>
    <mergeCell ref="E384:F384"/>
    <mergeCell ref="K384:L384"/>
    <mergeCell ref="M384:N384"/>
    <mergeCell ref="O384:P384"/>
    <mergeCell ref="Q384:R384"/>
    <mergeCell ref="K374:L374"/>
    <mergeCell ref="M374:N374"/>
    <mergeCell ref="E375:F375"/>
    <mergeCell ref="K375:L375"/>
    <mergeCell ref="M375:N375"/>
    <mergeCell ref="O375:P375"/>
    <mergeCell ref="Q375:R375"/>
    <mergeCell ref="E367:F367"/>
    <mergeCell ref="K367:L367"/>
    <mergeCell ref="M367:N367"/>
    <mergeCell ref="O367:P367"/>
    <mergeCell ref="Q367:R367"/>
    <mergeCell ref="E377:F377"/>
    <mergeCell ref="K377:L377"/>
    <mergeCell ref="M377:N377"/>
    <mergeCell ref="O377:P377"/>
    <mergeCell ref="Q377:R377"/>
    <mergeCell ref="O378:P378"/>
    <mergeCell ref="E379:F379"/>
    <mergeCell ref="K379:L379"/>
    <mergeCell ref="M379:N379"/>
    <mergeCell ref="O379:P379"/>
    <mergeCell ref="Q379:R379"/>
    <mergeCell ref="H371:I371"/>
    <mergeCell ref="E373:F373"/>
    <mergeCell ref="H373:I373"/>
    <mergeCell ref="J373:L373"/>
    <mergeCell ref="M373:N373"/>
    <mergeCell ref="O373:P373"/>
    <mergeCell ref="Q373:R373"/>
    <mergeCell ref="Q365:R365"/>
    <mergeCell ref="O366:P366"/>
    <mergeCell ref="E365:F365"/>
    <mergeCell ref="K365:L365"/>
    <mergeCell ref="M365:N365"/>
    <mergeCell ref="O365:P365"/>
    <mergeCell ref="E356:F356"/>
    <mergeCell ref="K356:L356"/>
    <mergeCell ref="M356:N356"/>
    <mergeCell ref="O356:P356"/>
    <mergeCell ref="Q356:R356"/>
    <mergeCell ref="O357:P357"/>
    <mergeCell ref="E358:F358"/>
    <mergeCell ref="O358:P358"/>
    <mergeCell ref="Q358:R358"/>
    <mergeCell ref="E360:F360"/>
    <mergeCell ref="O360:P360"/>
    <mergeCell ref="Q360:R360"/>
    <mergeCell ref="O361:P361"/>
    <mergeCell ref="O362:P362"/>
    <mergeCell ref="E363:F363"/>
    <mergeCell ref="K363:L363"/>
    <mergeCell ref="M363:N363"/>
    <mergeCell ref="O363:P363"/>
    <mergeCell ref="Q363:R363"/>
    <mergeCell ref="E352:F352"/>
    <mergeCell ref="K352:L352"/>
    <mergeCell ref="M352:N352"/>
    <mergeCell ref="O352:P352"/>
    <mergeCell ref="Q352:R352"/>
    <mergeCell ref="O353:P353"/>
    <mergeCell ref="E354:F354"/>
    <mergeCell ref="O354:P354"/>
    <mergeCell ref="Q354:R354"/>
    <mergeCell ref="K354:L354"/>
    <mergeCell ref="M354:N354"/>
    <mergeCell ref="E344:F344"/>
    <mergeCell ref="K344:L344"/>
    <mergeCell ref="M344:N344"/>
    <mergeCell ref="O344:P344"/>
    <mergeCell ref="Q344:R344"/>
    <mergeCell ref="H348:I348"/>
    <mergeCell ref="E350:F350"/>
    <mergeCell ref="H350:I350"/>
    <mergeCell ref="J350:L350"/>
    <mergeCell ref="M350:N350"/>
    <mergeCell ref="O350:P350"/>
    <mergeCell ref="Q350:R350"/>
    <mergeCell ref="E340:F340"/>
    <mergeCell ref="K340:L340"/>
    <mergeCell ref="M340:N340"/>
    <mergeCell ref="O340:P340"/>
    <mergeCell ref="Q340:R340"/>
    <mergeCell ref="O341:P341"/>
    <mergeCell ref="E342:F342"/>
    <mergeCell ref="K342:L342"/>
    <mergeCell ref="M342:N342"/>
    <mergeCell ref="O342:P342"/>
    <mergeCell ref="Q342:R342"/>
    <mergeCell ref="E335:F335"/>
    <mergeCell ref="K335:L335"/>
    <mergeCell ref="M335:N335"/>
    <mergeCell ref="O335:P335"/>
    <mergeCell ref="Q335:R335"/>
    <mergeCell ref="O336:P336"/>
    <mergeCell ref="E337:F337"/>
    <mergeCell ref="O337:P337"/>
    <mergeCell ref="Q337:R337"/>
    <mergeCell ref="E331:F331"/>
    <mergeCell ref="O331:P331"/>
    <mergeCell ref="Q331:R331"/>
    <mergeCell ref="O332:P332"/>
    <mergeCell ref="E333:F333"/>
    <mergeCell ref="K333:L333"/>
    <mergeCell ref="M333:N333"/>
    <mergeCell ref="O333:P333"/>
    <mergeCell ref="Q333:R333"/>
    <mergeCell ref="E327:F327"/>
    <mergeCell ref="H327:I327"/>
    <mergeCell ref="M327:N327"/>
    <mergeCell ref="O327:P327"/>
    <mergeCell ref="Q327:R327"/>
    <mergeCell ref="K328:L328"/>
    <mergeCell ref="M328:N328"/>
    <mergeCell ref="E329:F329"/>
    <mergeCell ref="K329:L329"/>
    <mergeCell ref="M329:N329"/>
    <mergeCell ref="O329:P329"/>
    <mergeCell ref="Q329:R329"/>
    <mergeCell ref="E319:F319"/>
    <mergeCell ref="K319:L319"/>
    <mergeCell ref="M319:N319"/>
    <mergeCell ref="O319:P319"/>
    <mergeCell ref="Q319:R319"/>
    <mergeCell ref="O320:P320"/>
    <mergeCell ref="E321:F321"/>
    <mergeCell ref="K321:L321"/>
    <mergeCell ref="M321:N321"/>
    <mergeCell ref="O321:P321"/>
    <mergeCell ref="Q321:R321"/>
    <mergeCell ref="E314:F314"/>
    <mergeCell ref="K314:L314"/>
    <mergeCell ref="M314:N314"/>
    <mergeCell ref="O314:P314"/>
    <mergeCell ref="Q314:R314"/>
    <mergeCell ref="O315:P315"/>
    <mergeCell ref="O316:P316"/>
    <mergeCell ref="E317:F317"/>
    <mergeCell ref="K317:L317"/>
    <mergeCell ref="M317:N317"/>
    <mergeCell ref="O317:P317"/>
    <mergeCell ref="Q317:R317"/>
    <mergeCell ref="E310:F310"/>
    <mergeCell ref="K310:L310"/>
    <mergeCell ref="M310:N310"/>
    <mergeCell ref="O310:P310"/>
    <mergeCell ref="Q310:R310"/>
    <mergeCell ref="O311:P311"/>
    <mergeCell ref="E312:F312"/>
    <mergeCell ref="K312:L312"/>
    <mergeCell ref="M312:N312"/>
    <mergeCell ref="O312:P312"/>
    <mergeCell ref="Q312:R312"/>
    <mergeCell ref="E306:F306"/>
    <mergeCell ref="H306:I306"/>
    <mergeCell ref="J306:L306"/>
    <mergeCell ref="M306:N306"/>
    <mergeCell ref="O306:P306"/>
    <mergeCell ref="Q306:R306"/>
    <mergeCell ref="K307:L307"/>
    <mergeCell ref="M307:N307"/>
    <mergeCell ref="E308:F308"/>
    <mergeCell ref="K308:L308"/>
    <mergeCell ref="M308:N308"/>
    <mergeCell ref="O308:P308"/>
    <mergeCell ref="Q308:R308"/>
    <mergeCell ref="F296:G296"/>
    <mergeCell ref="E298:F298"/>
    <mergeCell ref="Q298:R298"/>
    <mergeCell ref="E300:F300"/>
    <mergeCell ref="J300:L300"/>
    <mergeCell ref="M300:P300"/>
    <mergeCell ref="Q300:R300"/>
    <mergeCell ref="B302:R302"/>
    <mergeCell ref="H304:I304"/>
    <mergeCell ref="D269:E269"/>
    <mergeCell ref="G270:S272"/>
    <mergeCell ref="D271:E271"/>
    <mergeCell ref="D274:E274"/>
    <mergeCell ref="G274:S276"/>
    <mergeCell ref="D277:E277"/>
    <mergeCell ref="G277:S278"/>
    <mergeCell ref="D280:E280"/>
    <mergeCell ref="G280:S282"/>
    <mergeCell ref="B249:D250"/>
    <mergeCell ref="O251:P251"/>
    <mergeCell ref="Q251:R251"/>
    <mergeCell ref="O252:P252"/>
    <mergeCell ref="Q252:R252"/>
    <mergeCell ref="B255:D255"/>
    <mergeCell ref="F255:S255"/>
    <mergeCell ref="D265:E265"/>
    <mergeCell ref="D267:E267"/>
    <mergeCell ref="Q236:R236"/>
    <mergeCell ref="G237:H237"/>
    <mergeCell ref="I237:J237"/>
    <mergeCell ref="L237:M237"/>
    <mergeCell ref="N237:O237"/>
    <mergeCell ref="Q237:R237"/>
    <mergeCell ref="F238:G238"/>
    <mergeCell ref="B240:D241"/>
    <mergeCell ref="O241:R241"/>
    <mergeCell ref="L236:M236"/>
    <mergeCell ref="N236:O236"/>
    <mergeCell ref="G236:H236"/>
    <mergeCell ref="I236:J236"/>
    <mergeCell ref="Q233:R233"/>
    <mergeCell ref="G234:H234"/>
    <mergeCell ref="I234:J234"/>
    <mergeCell ref="L234:M234"/>
    <mergeCell ref="N234:O234"/>
    <mergeCell ref="Q234:R234"/>
    <mergeCell ref="G235:H235"/>
    <mergeCell ref="I235:J235"/>
    <mergeCell ref="L235:M235"/>
    <mergeCell ref="N235:O235"/>
    <mergeCell ref="Q235:R235"/>
    <mergeCell ref="G233:H233"/>
    <mergeCell ref="I233:J233"/>
    <mergeCell ref="N175:O175"/>
    <mergeCell ref="H177:I177"/>
    <mergeCell ref="J177:K177"/>
    <mergeCell ref="L177:M177"/>
    <mergeCell ref="N177:O177"/>
    <mergeCell ref="O185:Q185"/>
    <mergeCell ref="B188:D189"/>
    <mergeCell ref="B228:D229"/>
    <mergeCell ref="O230:R230"/>
    <mergeCell ref="H175:I175"/>
    <mergeCell ref="J175:K175"/>
    <mergeCell ref="L175:M175"/>
    <mergeCell ref="P225:R225"/>
    <mergeCell ref="N225:O225"/>
    <mergeCell ref="L185:N185"/>
    <mergeCell ref="E185:F185"/>
    <mergeCell ref="C185:D185"/>
    <mergeCell ref="N171:O171"/>
    <mergeCell ref="H172:I172"/>
    <mergeCell ref="J172:K172"/>
    <mergeCell ref="L172:M172"/>
    <mergeCell ref="N172:O172"/>
    <mergeCell ref="H174:I174"/>
    <mergeCell ref="J174:K174"/>
    <mergeCell ref="L174:M174"/>
    <mergeCell ref="N174:O174"/>
    <mergeCell ref="H171:I171"/>
    <mergeCell ref="J171:K171"/>
    <mergeCell ref="L171:M171"/>
    <mergeCell ref="H166:I166"/>
    <mergeCell ref="J166:K166"/>
    <mergeCell ref="L166:M166"/>
    <mergeCell ref="N166:O166"/>
    <mergeCell ref="H168:I168"/>
    <mergeCell ref="J168:K168"/>
    <mergeCell ref="L168:M168"/>
    <mergeCell ref="N168:O168"/>
    <mergeCell ref="H169:I169"/>
    <mergeCell ref="J169:K169"/>
    <mergeCell ref="L169:M169"/>
    <mergeCell ref="N169:O169"/>
    <mergeCell ref="H162:I162"/>
    <mergeCell ref="J162:K162"/>
    <mergeCell ref="L162:M162"/>
    <mergeCell ref="N162:O162"/>
    <mergeCell ref="H163:I163"/>
    <mergeCell ref="J163:K163"/>
    <mergeCell ref="L163:M163"/>
    <mergeCell ref="N163:O163"/>
    <mergeCell ref="H165:I165"/>
    <mergeCell ref="J165:K165"/>
    <mergeCell ref="L165:M165"/>
    <mergeCell ref="N165:O165"/>
    <mergeCell ref="L157:M157"/>
    <mergeCell ref="N157:O157"/>
    <mergeCell ref="H159:I159"/>
    <mergeCell ref="J159:K159"/>
    <mergeCell ref="L159:M159"/>
    <mergeCell ref="N159:O159"/>
    <mergeCell ref="H160:I160"/>
    <mergeCell ref="J160:K160"/>
    <mergeCell ref="L160:M160"/>
    <mergeCell ref="N160:O160"/>
    <mergeCell ref="H157:I157"/>
    <mergeCell ref="J154:K154"/>
    <mergeCell ref="L154:M154"/>
    <mergeCell ref="N154:O154"/>
    <mergeCell ref="M141:N141"/>
    <mergeCell ref="M117:N117"/>
    <mergeCell ref="M111:N111"/>
    <mergeCell ref="M119:N119"/>
    <mergeCell ref="L152:M152"/>
    <mergeCell ref="L153:M153"/>
    <mergeCell ref="M136:N136"/>
    <mergeCell ref="M120:N120"/>
    <mergeCell ref="Q105:R107"/>
    <mergeCell ref="M85:N85"/>
    <mergeCell ref="M103:N103"/>
    <mergeCell ref="M105:N105"/>
    <mergeCell ref="O89:P89"/>
    <mergeCell ref="M86:N86"/>
    <mergeCell ref="O86:P86"/>
    <mergeCell ref="M88:N88"/>
    <mergeCell ref="O88:P88"/>
    <mergeCell ref="M91:N91"/>
    <mergeCell ref="K93:N93"/>
    <mergeCell ref="K94:N94"/>
    <mergeCell ref="K95:N95"/>
    <mergeCell ref="K86:L86"/>
    <mergeCell ref="K88:L88"/>
    <mergeCell ref="K89:L89"/>
    <mergeCell ref="K85:L85"/>
    <mergeCell ref="M89:N89"/>
    <mergeCell ref="O85:P85"/>
    <mergeCell ref="Q99:R99"/>
    <mergeCell ref="Q100:R100"/>
    <mergeCell ref="B28:D29"/>
    <mergeCell ref="A1:D1"/>
    <mergeCell ref="C2:D2"/>
    <mergeCell ref="B5:G5"/>
    <mergeCell ref="A3:B3"/>
    <mergeCell ref="A2:B2"/>
    <mergeCell ref="K70:L70"/>
    <mergeCell ref="M70:N70"/>
    <mergeCell ref="E1:O1"/>
    <mergeCell ref="E2:O2"/>
    <mergeCell ref="E3:O3"/>
    <mergeCell ref="K5:R5"/>
    <mergeCell ref="E9:F9"/>
    <mergeCell ref="G9:I9"/>
    <mergeCell ref="O9:P9"/>
    <mergeCell ref="O70:P70"/>
    <mergeCell ref="B54:D55"/>
    <mergeCell ref="D58:E58"/>
    <mergeCell ref="D60:E60"/>
    <mergeCell ref="G60:R61"/>
    <mergeCell ref="D62:E62"/>
    <mergeCell ref="G62:R62"/>
    <mergeCell ref="K66:L66"/>
    <mergeCell ref="M66:N66"/>
    <mergeCell ref="Q9:R9"/>
    <mergeCell ref="K71:L71"/>
    <mergeCell ref="M71:N71"/>
    <mergeCell ref="O71:P71"/>
    <mergeCell ref="M77:N77"/>
    <mergeCell ref="M73:N73"/>
    <mergeCell ref="O76:P76"/>
    <mergeCell ref="O73:P73"/>
    <mergeCell ref="K68:L68"/>
    <mergeCell ref="M68:N68"/>
    <mergeCell ref="O68:P68"/>
    <mergeCell ref="O77:P77"/>
    <mergeCell ref="K74:L74"/>
    <mergeCell ref="M74:N74"/>
    <mergeCell ref="O74:P74"/>
    <mergeCell ref="K73:L73"/>
    <mergeCell ref="K76:L76"/>
    <mergeCell ref="M76:N76"/>
    <mergeCell ref="K77:L77"/>
    <mergeCell ref="K67:L67"/>
    <mergeCell ref="M67:N67"/>
    <mergeCell ref="O67:P67"/>
    <mergeCell ref="O10:P10"/>
    <mergeCell ref="Q10:R10"/>
    <mergeCell ref="K83:L83"/>
    <mergeCell ref="O83:P83"/>
    <mergeCell ref="M80:N80"/>
    <mergeCell ref="M82:N82"/>
    <mergeCell ref="M83:N83"/>
    <mergeCell ref="O79:P79"/>
    <mergeCell ref="B124:D125"/>
    <mergeCell ref="B151:E152"/>
    <mergeCell ref="H152:I152"/>
    <mergeCell ref="J152:K152"/>
    <mergeCell ref="K79:L79"/>
    <mergeCell ref="K80:L80"/>
    <mergeCell ref="O80:P80"/>
    <mergeCell ref="M79:N79"/>
    <mergeCell ref="K82:L82"/>
    <mergeCell ref="O82:P82"/>
    <mergeCell ref="H153:I153"/>
    <mergeCell ref="J153:K153"/>
    <mergeCell ref="M107:N107"/>
    <mergeCell ref="M144:N144"/>
    <mergeCell ref="M129:N129"/>
    <mergeCell ref="M135:N135"/>
    <mergeCell ref="M145:N145"/>
    <mergeCell ref="M147:N147"/>
    <mergeCell ref="M133:N133"/>
    <mergeCell ref="M126:N126"/>
    <mergeCell ref="M132:N132"/>
    <mergeCell ref="M138:N138"/>
    <mergeCell ref="M139:N139"/>
    <mergeCell ref="M112:N112"/>
    <mergeCell ref="M113:N113"/>
    <mergeCell ref="M115:N115"/>
    <mergeCell ref="M109:N109"/>
    <mergeCell ref="N153:O153"/>
    <mergeCell ref="H244:J244"/>
    <mergeCell ref="K244:M244"/>
    <mergeCell ref="J327:L327"/>
    <mergeCell ref="J298:L298"/>
    <mergeCell ref="M127:N127"/>
    <mergeCell ref="M98:N98"/>
    <mergeCell ref="M142:N142"/>
    <mergeCell ref="M130:N130"/>
    <mergeCell ref="K96:N96"/>
    <mergeCell ref="H156:I156"/>
    <mergeCell ref="J156:K156"/>
    <mergeCell ref="L156:M156"/>
    <mergeCell ref="N156:O156"/>
    <mergeCell ref="J157:K157"/>
    <mergeCell ref="M99:N99"/>
    <mergeCell ref="L233:M233"/>
    <mergeCell ref="N233:O233"/>
    <mergeCell ref="M100:N100"/>
    <mergeCell ref="M148:N148"/>
    <mergeCell ref="M102:N102"/>
    <mergeCell ref="M108:N108"/>
    <mergeCell ref="M121:N121"/>
    <mergeCell ref="M116:N116"/>
    <mergeCell ref="H154:I154"/>
    <mergeCell ref="Q127:R127"/>
    <mergeCell ref="Q126:R126"/>
    <mergeCell ref="Q129:R129"/>
    <mergeCell ref="Q130:R130"/>
    <mergeCell ref="Q132:R132"/>
    <mergeCell ref="Q133:R133"/>
    <mergeCell ref="Q135:R135"/>
    <mergeCell ref="Q136:R136"/>
    <mergeCell ref="Q138:R138"/>
    <mergeCell ref="Q139:R139"/>
    <mergeCell ref="Q141:R141"/>
    <mergeCell ref="Q142:R142"/>
    <mergeCell ref="Q144:R144"/>
    <mergeCell ref="Q145:R145"/>
    <mergeCell ref="Q147:R147"/>
    <mergeCell ref="Q148:R148"/>
    <mergeCell ref="Q67:R67"/>
    <mergeCell ref="Q68:R68"/>
    <mergeCell ref="Q70:R70"/>
    <mergeCell ref="Q71:R71"/>
    <mergeCell ref="Q73:R73"/>
    <mergeCell ref="Q74:R74"/>
    <mergeCell ref="Q76:R76"/>
    <mergeCell ref="Q77:R77"/>
    <mergeCell ref="Q79:R79"/>
    <mergeCell ref="Q80:R80"/>
    <mergeCell ref="Q82:R82"/>
    <mergeCell ref="Q83:R83"/>
    <mergeCell ref="Q85:R85"/>
    <mergeCell ref="Q86:R86"/>
    <mergeCell ref="Q88:R88"/>
    <mergeCell ref="Q89:R89"/>
    <mergeCell ref="Q98:R98"/>
    <mergeCell ref="Q246:R246"/>
    <mergeCell ref="Q245:R245"/>
    <mergeCell ref="N246:P246"/>
    <mergeCell ref="N245:P245"/>
    <mergeCell ref="K246:M246"/>
    <mergeCell ref="K245:M245"/>
    <mergeCell ref="H246:J246"/>
    <mergeCell ref="H245:J245"/>
    <mergeCell ref="L400:N400"/>
    <mergeCell ref="Q309:R309"/>
    <mergeCell ref="O313:P313"/>
    <mergeCell ref="O318:P318"/>
    <mergeCell ref="H325:I325"/>
    <mergeCell ref="O330:P330"/>
    <mergeCell ref="O334:P334"/>
    <mergeCell ref="O338:P338"/>
    <mergeCell ref="O339:P339"/>
    <mergeCell ref="O343:P343"/>
    <mergeCell ref="K351:L351"/>
    <mergeCell ref="M351:N351"/>
    <mergeCell ref="O355:P355"/>
    <mergeCell ref="O359:P359"/>
    <mergeCell ref="O364:P364"/>
    <mergeCell ref="O376:P376"/>
  </mergeCells>
  <phoneticPr fontId="19" type="noConversion"/>
  <printOptions horizontalCentered="1"/>
  <pageMargins left="0.39370078740157483" right="0.39370078740157483" top="0.39370078740157483" bottom="0.39370078740157483" header="0.82677165354330717" footer="0"/>
  <pageSetup paperSize="9" scale="89" fitToHeight="5" orientation="portrait" r:id="rId1"/>
  <headerFooter alignWithMargins="0">
    <oddHeader>&amp;L              &amp;P von &amp;N</oddHeader>
  </headerFooter>
  <rowBreaks count="8" manualBreakCount="8">
    <brk id="52" max="18" man="1"/>
    <brk id="122" max="18" man="1"/>
    <brk id="186" max="18" man="1"/>
    <brk id="226" max="18" man="1"/>
    <brk id="253" max="18" man="1"/>
    <brk id="322" max="18" man="1"/>
    <brk id="389" max="18" man="1"/>
    <brk id="439" max="18" man="1"/>
  </rowBreak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11"/>
  <dimension ref="A1:BB1340"/>
  <sheetViews>
    <sheetView topLeftCell="A34" workbookViewId="0">
      <selection activeCell="K48" activeCellId="1" sqref="J48 K48"/>
    </sheetView>
  </sheetViews>
  <sheetFormatPr baseColWidth="10" defaultColWidth="11.42578125" defaultRowHeight="12.75" x14ac:dyDescent="0.2"/>
  <cols>
    <col min="1" max="1" width="8.7109375" customWidth="1"/>
    <col min="2" max="4" width="8.7109375" style="1" customWidth="1"/>
    <col min="5" max="8" width="8.7109375" customWidth="1"/>
    <col min="17" max="17" width="11.42578125" style="285"/>
    <col min="22" max="22" width="11.42578125" customWidth="1"/>
    <col min="23" max="37" width="11.28515625" customWidth="1"/>
    <col min="38" max="38" width="3.7109375" customWidth="1"/>
    <col min="39" max="42" width="11.28515625" customWidth="1"/>
    <col min="43" max="43" width="2.85546875" style="6" customWidth="1"/>
    <col min="44" max="46" width="11.28515625" style="6" customWidth="1"/>
    <col min="47" max="47" width="11.7109375" customWidth="1"/>
    <col min="49" max="49" width="3.42578125" customWidth="1"/>
    <col min="50" max="50" width="12.5703125" style="18" bestFit="1" customWidth="1"/>
    <col min="51" max="51" width="11.28515625" style="18" bestFit="1" customWidth="1"/>
    <col min="52" max="52" width="11.28515625" bestFit="1" customWidth="1"/>
    <col min="53" max="54" width="9.5703125" bestFit="1" customWidth="1"/>
  </cols>
  <sheetData>
    <row r="1" spans="1:54" ht="18" x14ac:dyDescent="0.25">
      <c r="A1" s="4" t="s">
        <v>135</v>
      </c>
      <c r="F1" s="794" t="str">
        <f>Geraetedaten!B1</f>
        <v>P570</v>
      </c>
      <c r="G1" s="794"/>
    </row>
    <row r="2" spans="1:54" x14ac:dyDescent="0.2">
      <c r="AO2" s="108" t="s">
        <v>205</v>
      </c>
      <c r="AP2" s="109"/>
      <c r="AQ2" s="110"/>
      <c r="AR2" s="110"/>
      <c r="AS2" s="110"/>
      <c r="AT2" s="111"/>
    </row>
    <row r="3" spans="1:54" x14ac:dyDescent="0.2">
      <c r="A3" s="795" t="s">
        <v>157</v>
      </c>
      <c r="B3" s="795"/>
      <c r="C3" s="795"/>
      <c r="D3" s="796">
        <f>Eingabewerte!D4</f>
        <v>11570035</v>
      </c>
      <c r="E3" s="796"/>
      <c r="F3" s="796"/>
      <c r="AO3" s="112"/>
      <c r="AP3" s="113"/>
      <c r="AQ3" s="114"/>
      <c r="AR3" s="114"/>
      <c r="AS3" s="114"/>
      <c r="AT3" s="115"/>
    </row>
    <row r="4" spans="1:54" x14ac:dyDescent="0.2">
      <c r="AO4" s="116" t="s">
        <v>206</v>
      </c>
      <c r="AP4" s="113" t="s">
        <v>207</v>
      </c>
      <c r="AQ4" s="114"/>
      <c r="AR4" s="114"/>
      <c r="AS4" s="114"/>
      <c r="AT4" s="115"/>
    </row>
    <row r="5" spans="1:54" x14ac:dyDescent="0.2">
      <c r="A5" s="795" t="s">
        <v>581</v>
      </c>
      <c r="B5" s="795"/>
      <c r="C5" s="795"/>
      <c r="D5" s="796" t="str">
        <f>Eingabewerte!D5</f>
        <v>Sonder</v>
      </c>
      <c r="E5" s="796"/>
      <c r="F5" s="796"/>
      <c r="AO5" s="116" t="s">
        <v>208</v>
      </c>
      <c r="AP5" s="113" t="s">
        <v>209</v>
      </c>
      <c r="AQ5" s="114"/>
      <c r="AR5" s="114"/>
      <c r="AS5" s="114"/>
      <c r="AT5" s="115"/>
    </row>
    <row r="6" spans="1:54" x14ac:dyDescent="0.2">
      <c r="A6" s="795" t="s">
        <v>83</v>
      </c>
      <c r="B6" s="795"/>
      <c r="C6" s="795"/>
      <c r="D6" s="57">
        <f>Geraetedaten!B7</f>
        <v>5701.2195121951218</v>
      </c>
      <c r="E6" t="s">
        <v>28</v>
      </c>
      <c r="R6" s="76"/>
      <c r="S6" s="76"/>
      <c r="T6" s="76"/>
      <c r="AO6" s="116" t="s">
        <v>210</v>
      </c>
      <c r="AP6" s="113" t="s">
        <v>211</v>
      </c>
      <c r="AQ6" s="114"/>
      <c r="AR6" s="114"/>
      <c r="AS6" s="114"/>
      <c r="AT6" s="115"/>
    </row>
    <row r="7" spans="1:54" s="3" customFormat="1" x14ac:dyDescent="0.2">
      <c r="R7" s="13"/>
      <c r="S7" s="13"/>
      <c r="T7" s="13"/>
      <c r="W7" s="1053" t="s">
        <v>180</v>
      </c>
      <c r="X7" s="1054"/>
      <c r="Y7" s="1054"/>
      <c r="Z7" s="1054"/>
      <c r="AA7" s="1054"/>
      <c r="AB7" s="1054"/>
      <c r="AC7" s="1055"/>
      <c r="AO7" s="116" t="s">
        <v>212</v>
      </c>
      <c r="AP7" s="113" t="s">
        <v>213</v>
      </c>
      <c r="AQ7" s="114"/>
      <c r="AR7" s="114"/>
      <c r="AS7" s="114"/>
      <c r="AT7" s="115"/>
      <c r="AX7" s="206"/>
      <c r="AY7" s="206"/>
    </row>
    <row r="8" spans="1:54" x14ac:dyDescent="0.2">
      <c r="A8" s="13"/>
      <c r="B8" s="14"/>
      <c r="C8" s="6" t="s">
        <v>133</v>
      </c>
      <c r="D8" s="3"/>
      <c r="E8" s="6" t="s">
        <v>134</v>
      </c>
      <c r="F8" s="3"/>
      <c r="G8" s="55" t="s">
        <v>140</v>
      </c>
      <c r="H8" s="24"/>
      <c r="N8" s="3"/>
      <c r="O8" s="3"/>
      <c r="P8" s="3"/>
      <c r="Q8" s="3"/>
      <c r="R8" s="13"/>
      <c r="S8" s="76"/>
      <c r="T8" s="76"/>
      <c r="AO8" s="116"/>
      <c r="AP8" s="113"/>
      <c r="AQ8" s="114"/>
      <c r="AR8" s="114"/>
      <c r="AS8" s="114"/>
      <c r="AT8" s="115"/>
    </row>
    <row r="9" spans="1:54" ht="13.5" x14ac:dyDescent="0.25">
      <c r="A9" s="3" t="s">
        <v>137</v>
      </c>
      <c r="B9" s="24"/>
      <c r="C9" s="20">
        <f>(Geraetedaten!B20*(Geraetedaten!B17+Geraetedaten!B21))/Geraetedaten!B7</f>
        <v>7200.0000000000009</v>
      </c>
      <c r="D9" s="24" t="s">
        <v>13</v>
      </c>
      <c r="E9" s="20">
        <f>G9-C9</f>
        <v>18000</v>
      </c>
      <c r="F9" s="24" t="s">
        <v>13</v>
      </c>
      <c r="G9" s="20">
        <f>Geraetedaten!B20</f>
        <v>25200</v>
      </c>
      <c r="H9" s="24" t="s">
        <v>13</v>
      </c>
      <c r="N9" s="3"/>
      <c r="O9" s="3"/>
      <c r="P9" s="3"/>
      <c r="Q9" s="3"/>
      <c r="R9" s="13"/>
      <c r="S9" s="76"/>
      <c r="T9" s="76"/>
      <c r="X9" s="1"/>
      <c r="Y9" s="1"/>
      <c r="Z9" s="1056" t="s">
        <v>0</v>
      </c>
      <c r="AA9" s="1057"/>
      <c r="AB9" s="1056" t="s">
        <v>45</v>
      </c>
      <c r="AC9" s="1057"/>
      <c r="AE9" t="s">
        <v>2</v>
      </c>
      <c r="AF9" s="1">
        <f>Geraetedaten!B154*10</f>
        <v>980.18000000000006</v>
      </c>
      <c r="AG9" t="s">
        <v>59</v>
      </c>
      <c r="AH9" t="s">
        <v>174</v>
      </c>
      <c r="AO9" s="116" t="s">
        <v>214</v>
      </c>
      <c r="AP9" s="113" t="s">
        <v>215</v>
      </c>
      <c r="AQ9" s="114"/>
      <c r="AR9" s="114"/>
      <c r="AS9" s="114"/>
      <c r="AT9" s="115"/>
    </row>
    <row r="10" spans="1:54" x14ac:dyDescent="0.2">
      <c r="N10" s="3"/>
      <c r="O10" s="3"/>
      <c r="P10" s="3"/>
      <c r="Q10" s="3"/>
      <c r="R10" s="13"/>
      <c r="S10" s="76"/>
      <c r="T10" s="76"/>
      <c r="X10" s="7" t="s">
        <v>56</v>
      </c>
      <c r="Y10" s="7" t="s">
        <v>57</v>
      </c>
      <c r="Z10" s="8" t="s">
        <v>6</v>
      </c>
      <c r="AA10" s="9" t="s">
        <v>5</v>
      </c>
      <c r="AB10" s="8" t="s">
        <v>6</v>
      </c>
      <c r="AC10" s="9" t="s">
        <v>5</v>
      </c>
      <c r="AE10" t="s">
        <v>3</v>
      </c>
      <c r="AF10" s="1">
        <f>Geraetedaten!B26*9.81/100</f>
        <v>1533.7554799999998</v>
      </c>
      <c r="AG10" t="s">
        <v>59</v>
      </c>
      <c r="AH10" t="s">
        <v>60</v>
      </c>
      <c r="AO10" s="116" t="s">
        <v>216</v>
      </c>
      <c r="AP10" s="113" t="s">
        <v>217</v>
      </c>
      <c r="AQ10" s="114"/>
      <c r="AR10" s="114"/>
      <c r="AS10" s="114"/>
      <c r="AT10" s="115"/>
    </row>
    <row r="11" spans="1:54" x14ac:dyDescent="0.2">
      <c r="D11" s="6"/>
      <c r="N11" s="3"/>
      <c r="O11" s="3"/>
      <c r="P11" s="3"/>
      <c r="Q11" s="3"/>
      <c r="R11" s="13"/>
      <c r="S11" s="76"/>
      <c r="T11" s="76"/>
      <c r="W11" s="10" t="s">
        <v>46</v>
      </c>
      <c r="X11" s="11">
        <f>(AA11+A16*(Z11-AA11))</f>
        <v>-4228</v>
      </c>
      <c r="Y11" s="11">
        <f>AC11+A16*(AB11-AC11)</f>
        <v>6186</v>
      </c>
      <c r="Z11" s="12">
        <f>Geraetedaten!B104</f>
        <v>-4228</v>
      </c>
      <c r="AA11" s="12">
        <f>Geraetedaten!B102</f>
        <v>-1152</v>
      </c>
      <c r="AB11" s="12">
        <f>Geraetedaten!B103</f>
        <v>6186</v>
      </c>
      <c r="AC11" s="12">
        <f>Geraetedaten!B101</f>
        <v>6128</v>
      </c>
      <c r="AE11" t="s">
        <v>307</v>
      </c>
      <c r="AF11" s="24">
        <f>Geraetedaten!B27</f>
        <v>4238.9881903056585</v>
      </c>
      <c r="AG11" t="s">
        <v>28</v>
      </c>
      <c r="AH11" t="s">
        <v>310</v>
      </c>
      <c r="AO11" s="116" t="s">
        <v>218</v>
      </c>
      <c r="AP11" s="113" t="s">
        <v>219</v>
      </c>
      <c r="AQ11" s="114"/>
      <c r="AR11" s="114"/>
      <c r="AS11" s="114"/>
      <c r="AT11" s="115"/>
    </row>
    <row r="12" spans="1:54" ht="13.5" x14ac:dyDescent="0.25">
      <c r="A12" s="13"/>
      <c r="B12" s="14"/>
      <c r="C12" s="75"/>
      <c r="D12" s="79"/>
      <c r="E12" s="75"/>
      <c r="F12" s="14"/>
      <c r="G12" s="75"/>
      <c r="H12" s="14"/>
      <c r="W12" s="10" t="s">
        <v>47</v>
      </c>
      <c r="X12" s="11">
        <f>(AA12+A28*(Z12-AA12))</f>
        <v>-4225</v>
      </c>
      <c r="Y12" s="11">
        <f>AC12+A28*(AB12-AC12)</f>
        <v>-750</v>
      </c>
      <c r="Z12" s="12">
        <f>Geraetedaten!B109</f>
        <v>-4225</v>
      </c>
      <c r="AA12" s="12">
        <f>Geraetedaten!B107</f>
        <v>-1140</v>
      </c>
      <c r="AB12" s="12">
        <f>Geraetedaten!B108</f>
        <v>-750</v>
      </c>
      <c r="AC12" s="12">
        <f>Geraetedaten!B106</f>
        <v>-750</v>
      </c>
      <c r="AE12" t="s">
        <v>308</v>
      </c>
      <c r="AF12" s="1">
        <f>Geraetedaten!B86</f>
        <v>-33.057238032144035</v>
      </c>
      <c r="AG12" t="s">
        <v>28</v>
      </c>
      <c r="AH12" t="s">
        <v>309</v>
      </c>
      <c r="AO12" s="116" t="s">
        <v>220</v>
      </c>
      <c r="AP12" s="113" t="s">
        <v>221</v>
      </c>
      <c r="AQ12" s="114"/>
      <c r="AR12" s="114"/>
      <c r="AS12" s="114"/>
      <c r="AT12" s="115"/>
    </row>
    <row r="13" spans="1:54" ht="13.5" x14ac:dyDescent="0.25">
      <c r="A13" s="13"/>
      <c r="B13" s="14"/>
      <c r="C13" s="75"/>
      <c r="D13" s="14"/>
      <c r="E13" s="75"/>
      <c r="F13" s="14"/>
      <c r="G13" s="75"/>
      <c r="H13" s="14"/>
      <c r="W13" s="10" t="s">
        <v>48</v>
      </c>
      <c r="X13" s="11">
        <f>(AA13+G28*(Z13-AA13))</f>
        <v>4140</v>
      </c>
      <c r="Y13" s="11">
        <f>AC13+G28*(AB13-AC13)</f>
        <v>-1075</v>
      </c>
      <c r="Z13" s="12">
        <f>Geraetedaten!B114</f>
        <v>4140</v>
      </c>
      <c r="AA13" s="12">
        <f>Geraetedaten!B112</f>
        <v>1055</v>
      </c>
      <c r="AB13" s="12">
        <f>Geraetedaten!B113</f>
        <v>-1075</v>
      </c>
      <c r="AC13" s="12">
        <f>Geraetedaten!B111</f>
        <v>-750</v>
      </c>
      <c r="AE13" t="s">
        <v>4</v>
      </c>
      <c r="AF13">
        <v>1</v>
      </c>
      <c r="AH13" t="s">
        <v>175</v>
      </c>
      <c r="AO13" s="116"/>
      <c r="AP13" s="113"/>
      <c r="AQ13" s="114"/>
      <c r="AR13" s="114"/>
      <c r="AS13" s="114"/>
      <c r="AT13" s="115"/>
    </row>
    <row r="14" spans="1:54" x14ac:dyDescent="0.2">
      <c r="A14" s="3"/>
      <c r="B14" s="24"/>
      <c r="C14" s="24"/>
      <c r="D14" s="24"/>
      <c r="E14" s="3"/>
      <c r="F14" s="3"/>
      <c r="W14" s="10" t="s">
        <v>49</v>
      </c>
      <c r="X14" s="11">
        <f>(AA14+G16*(Z14-AA14))</f>
        <v>4143</v>
      </c>
      <c r="Y14" s="11">
        <f>AC14+G16*(AB14-AC14)</f>
        <v>6290</v>
      </c>
      <c r="Z14" s="12">
        <f>Geraetedaten!B119</f>
        <v>4143</v>
      </c>
      <c r="AA14" s="12">
        <f>Geraetedaten!B117</f>
        <v>1062</v>
      </c>
      <c r="AB14" s="12">
        <f>Geraetedaten!B118</f>
        <v>6290</v>
      </c>
      <c r="AC14" s="12">
        <f>Geraetedaten!B116</f>
        <v>6128</v>
      </c>
      <c r="AE14" t="s">
        <v>55</v>
      </c>
      <c r="AF14">
        <f>PI()/180</f>
        <v>1.7453292519943295E-2</v>
      </c>
      <c r="AG14" s="3"/>
      <c r="AH14" t="s">
        <v>176</v>
      </c>
      <c r="AO14" s="116" t="s">
        <v>222</v>
      </c>
      <c r="AP14" s="113" t="s">
        <v>223</v>
      </c>
      <c r="AQ14" s="114"/>
      <c r="AR14" s="114"/>
      <c r="AS14" s="114"/>
      <c r="AT14" s="115"/>
    </row>
    <row r="15" spans="1:54" x14ac:dyDescent="0.2">
      <c r="A15" s="5" t="s">
        <v>46</v>
      </c>
      <c r="G15" s="6" t="s">
        <v>49</v>
      </c>
      <c r="W15" s="13"/>
      <c r="X15" s="14">
        <f>X11</f>
        <v>-4228</v>
      </c>
      <c r="Y15" s="14">
        <f>Y11</f>
        <v>6186</v>
      </c>
      <c r="Z15" s="13"/>
      <c r="AA15" s="13"/>
      <c r="AB15" s="13"/>
      <c r="AC15" s="13"/>
      <c r="AE15" s="3" t="s">
        <v>164</v>
      </c>
      <c r="AF15" s="3">
        <f>Geraetedaten!B174</f>
        <v>400</v>
      </c>
      <c r="AG15" s="3" t="s">
        <v>14</v>
      </c>
      <c r="AH15" t="s">
        <v>177</v>
      </c>
      <c r="AO15" s="116" t="s">
        <v>224</v>
      </c>
      <c r="AP15" s="113" t="s">
        <v>225</v>
      </c>
      <c r="AQ15" s="114"/>
      <c r="AR15" s="114"/>
      <c r="AS15" s="114"/>
      <c r="AT15" s="115"/>
    </row>
    <row r="16" spans="1:54" x14ac:dyDescent="0.2">
      <c r="A16" s="56">
        <v>1</v>
      </c>
      <c r="G16" s="56">
        <v>1</v>
      </c>
      <c r="AE16" s="3" t="s">
        <v>70</v>
      </c>
      <c r="AF16">
        <f>Geraetedaten!B90/10000*Geraetedaten!B94*Geraetedaten!B91/1000/100</f>
        <v>29.946840000000002</v>
      </c>
      <c r="AG16" t="s">
        <v>75</v>
      </c>
      <c r="AH16" t="s">
        <v>178</v>
      </c>
      <c r="AO16" s="116" t="s">
        <v>226</v>
      </c>
      <c r="AP16" s="113" t="s">
        <v>227</v>
      </c>
      <c r="AQ16" s="114"/>
      <c r="AR16" s="114"/>
      <c r="AS16" s="114"/>
      <c r="AT16" s="115"/>
      <c r="AZ16" s="201"/>
      <c r="BA16" s="201"/>
      <c r="BB16" s="201"/>
    </row>
    <row r="17" spans="1:54" x14ac:dyDescent="0.2">
      <c r="AE17" s="3" t="s">
        <v>71</v>
      </c>
      <c r="AF17">
        <f>Geraetedaten!B92/10000*Geraetedaten!B94*Geraetedaten!B93/1000/100</f>
        <v>63.548099999999998</v>
      </c>
      <c r="AG17" t="s">
        <v>75</v>
      </c>
      <c r="AH17" t="s">
        <v>179</v>
      </c>
      <c r="AO17" s="116" t="s">
        <v>228</v>
      </c>
      <c r="AP17" s="113" t="s">
        <v>229</v>
      </c>
      <c r="AQ17" s="114"/>
      <c r="AR17" s="114"/>
      <c r="AS17" s="114"/>
      <c r="AT17" s="115"/>
      <c r="AZ17" s="201"/>
      <c r="BA17" s="201"/>
      <c r="BB17" s="201"/>
    </row>
    <row r="18" spans="1:54" x14ac:dyDescent="0.2">
      <c r="C18"/>
      <c r="D18"/>
      <c r="W18" s="1047" t="s">
        <v>247</v>
      </c>
      <c r="X18" s="1048"/>
      <c r="Y18" s="1048"/>
      <c r="Z18" s="1048"/>
      <c r="AA18" s="123"/>
      <c r="AB18" s="124"/>
      <c r="AE18" s="3"/>
      <c r="AF18" s="3"/>
      <c r="AG18" s="3"/>
      <c r="AO18" s="116"/>
      <c r="AP18" s="113"/>
      <c r="AQ18" s="114"/>
      <c r="AR18" s="114"/>
      <c r="AS18" s="114"/>
      <c r="AT18" s="115"/>
      <c r="AZ18" s="201"/>
      <c r="BA18" s="201"/>
      <c r="BB18" s="201"/>
    </row>
    <row r="19" spans="1:54" x14ac:dyDescent="0.2">
      <c r="C19"/>
      <c r="D19"/>
      <c r="W19" s="107" t="s">
        <v>280</v>
      </c>
      <c r="X19" s="105" t="str">
        <f>Geraetedaten!B122</f>
        <v>Nein</v>
      </c>
      <c r="Y19" s="76"/>
      <c r="Z19" s="76"/>
      <c r="AA19" s="76"/>
      <c r="AB19" s="101"/>
      <c r="AE19" s="3"/>
      <c r="AG19" s="3"/>
      <c r="AO19" s="116" t="s">
        <v>230</v>
      </c>
      <c r="AP19" s="113" t="s">
        <v>231</v>
      </c>
      <c r="AQ19" s="114"/>
      <c r="AR19" s="114"/>
      <c r="AS19" s="114"/>
      <c r="AT19" s="115"/>
      <c r="AZ19" s="201"/>
      <c r="BA19" s="201"/>
      <c r="BB19" s="201"/>
    </row>
    <row r="20" spans="1:54" x14ac:dyDescent="0.2">
      <c r="C20"/>
      <c r="D20"/>
      <c r="W20" s="140" t="s">
        <v>248</v>
      </c>
      <c r="X20" s="117">
        <f>IF($X$19="Ja",Geraetedaten!B123,0)</f>
        <v>0</v>
      </c>
      <c r="Y20" s="118" t="s">
        <v>28</v>
      </c>
      <c r="Z20" s="140" t="s">
        <v>302</v>
      </c>
      <c r="AA20" s="117">
        <f>IF($X$19="Ja",Geraetedaten!B127,0)</f>
        <v>0</v>
      </c>
      <c r="AB20" s="118" t="s">
        <v>28</v>
      </c>
      <c r="AE20" s="3"/>
      <c r="AG20" s="3"/>
      <c r="AO20" s="116" t="s">
        <v>232</v>
      </c>
      <c r="AP20" s="113" t="s">
        <v>233</v>
      </c>
      <c r="AQ20" s="114"/>
      <c r="AR20" s="114"/>
      <c r="AS20" s="114"/>
      <c r="AT20" s="115"/>
      <c r="AZ20" s="201"/>
      <c r="BA20" s="201"/>
      <c r="BB20" s="201"/>
    </row>
    <row r="21" spans="1:54" x14ac:dyDescent="0.2">
      <c r="A21" s="6" t="s">
        <v>196</v>
      </c>
      <c r="C21"/>
      <c r="D21"/>
      <c r="G21" s="6" t="s">
        <v>196</v>
      </c>
      <c r="W21" s="140" t="s">
        <v>261</v>
      </c>
      <c r="X21" s="117">
        <f>IF($X$19="Ja",Geraetedaten!B124,0)</f>
        <v>0</v>
      </c>
      <c r="Y21" s="118" t="s">
        <v>28</v>
      </c>
      <c r="Z21" s="140" t="s">
        <v>303</v>
      </c>
      <c r="AA21" s="117">
        <f>IF($X$19="Ja",Geraetedaten!B128,0)</f>
        <v>0</v>
      </c>
      <c r="AB21" s="118" t="s">
        <v>28</v>
      </c>
      <c r="AE21" s="3"/>
      <c r="AF21" s="18"/>
      <c r="AG21" s="3"/>
      <c r="AO21" s="116"/>
      <c r="AP21" s="113"/>
      <c r="AQ21" s="114"/>
      <c r="AR21" s="114"/>
      <c r="AS21" s="114"/>
      <c r="AT21" s="115"/>
      <c r="AZ21" s="201"/>
      <c r="BA21" s="201"/>
      <c r="BB21" s="201"/>
    </row>
    <row r="22" spans="1:54" x14ac:dyDescent="0.2">
      <c r="A22" s="17">
        <f>180+g_L</f>
        <v>269.9752180899913</v>
      </c>
      <c r="C22"/>
      <c r="D22"/>
      <c r="G22" s="17">
        <f>g_R</f>
        <v>90.02333840176955</v>
      </c>
      <c r="W22" s="140" t="s">
        <v>20</v>
      </c>
      <c r="X22" s="117">
        <f>IF($X$19="Ja",Geraetedaten!B125,0)</f>
        <v>0</v>
      </c>
      <c r="Y22" s="118" t="s">
        <v>13</v>
      </c>
      <c r="Z22" s="142" t="s">
        <v>301</v>
      </c>
      <c r="AA22" s="117">
        <f>IF($X$19="Ja",X22*9.81/100,0)</f>
        <v>0</v>
      </c>
      <c r="AB22" s="118" t="s">
        <v>59</v>
      </c>
      <c r="AG22" s="3"/>
      <c r="AO22" s="116" t="s">
        <v>50</v>
      </c>
      <c r="AP22" s="113" t="s">
        <v>234</v>
      </c>
      <c r="AQ22" s="114"/>
      <c r="AR22" s="114"/>
      <c r="AS22" s="114"/>
      <c r="AT22" s="115"/>
    </row>
    <row r="23" spans="1:54" x14ac:dyDescent="0.2">
      <c r="A23" s="1"/>
      <c r="C23"/>
      <c r="D23"/>
      <c r="W23" s="141" t="s">
        <v>305</v>
      </c>
      <c r="X23" s="117">
        <f>IF($X$19="Ja",Geraetedaten!B126,0)</f>
        <v>0</v>
      </c>
      <c r="Y23" s="118" t="s">
        <v>28</v>
      </c>
      <c r="Z23" s="141" t="s">
        <v>304</v>
      </c>
      <c r="AA23" s="117">
        <f>IF($X$19="Ja",Geraetedaten!B129,0)</f>
        <v>0</v>
      </c>
      <c r="AB23" s="118" t="s">
        <v>28</v>
      </c>
      <c r="AC23" s="3"/>
      <c r="AG23" s="3"/>
      <c r="AO23" s="112"/>
      <c r="AP23" s="113"/>
      <c r="AQ23" s="114"/>
      <c r="AR23" s="114"/>
      <c r="AS23" s="114"/>
      <c r="AT23" s="115"/>
    </row>
    <row r="24" spans="1:54" ht="12.75" customHeight="1" x14ac:dyDescent="0.2">
      <c r="A24" s="1"/>
      <c r="C24"/>
      <c r="D24"/>
      <c r="W24" s="125" t="s">
        <v>285</v>
      </c>
      <c r="AG24" s="3"/>
      <c r="AN24" s="101"/>
      <c r="AO24" s="1043" t="s">
        <v>306</v>
      </c>
      <c r="AP24" s="1044"/>
      <c r="AQ24" s="1044"/>
      <c r="AR24" s="1044"/>
      <c r="AS24" s="1044"/>
      <c r="AT24" s="115"/>
    </row>
    <row r="25" spans="1:54" x14ac:dyDescent="0.2">
      <c r="A25" s="1"/>
      <c r="C25"/>
      <c r="D25"/>
      <c r="AH25" s="18"/>
      <c r="AN25" s="101"/>
      <c r="AO25" s="1045"/>
      <c r="AP25" s="1046"/>
      <c r="AQ25" s="1046"/>
      <c r="AR25" s="1046"/>
      <c r="AS25" s="1046"/>
      <c r="AT25" s="143"/>
      <c r="AU25" s="107"/>
    </row>
    <row r="26" spans="1:54" x14ac:dyDescent="0.2">
      <c r="A26" s="1"/>
      <c r="C26"/>
      <c r="D26"/>
      <c r="V26" s="76"/>
      <c r="W26" s="76"/>
      <c r="X26" s="76"/>
      <c r="Y26" s="76"/>
      <c r="Z26" s="76"/>
      <c r="AA26" s="76"/>
      <c r="AB26" s="76"/>
      <c r="AC26" s="76"/>
      <c r="AD26" s="76"/>
      <c r="AE26" s="76"/>
      <c r="AF26" s="76"/>
      <c r="AG26" s="76"/>
      <c r="AH26" s="18"/>
      <c r="AI26" s="76"/>
      <c r="AJ26" s="76"/>
      <c r="AK26" s="76"/>
      <c r="AL26" s="76"/>
      <c r="AM26" s="76"/>
      <c r="AN26" s="76"/>
      <c r="AO26" s="76"/>
      <c r="AT26"/>
    </row>
    <row r="27" spans="1:54" ht="13.5" thickBot="1" x14ac:dyDescent="0.25">
      <c r="A27" s="5" t="s">
        <v>47</v>
      </c>
      <c r="C27"/>
      <c r="D27"/>
      <c r="G27" s="6" t="s">
        <v>48</v>
      </c>
      <c r="U27" s="76"/>
      <c r="V27" s="139"/>
      <c r="W27" s="139"/>
      <c r="X27" s="139"/>
      <c r="Y27" s="139"/>
      <c r="Z27" s="139"/>
      <c r="AA27" s="139"/>
      <c r="AB27" s="139"/>
      <c r="AC27" s="139"/>
      <c r="AD27" s="139"/>
      <c r="AE27" s="139"/>
      <c r="AF27" s="139"/>
      <c r="AG27" s="139"/>
      <c r="AH27" s="139"/>
      <c r="AI27" s="139"/>
      <c r="AJ27" s="139"/>
      <c r="AK27" s="139"/>
      <c r="AL27" s="13"/>
      <c r="AM27" s="6"/>
      <c r="AN27" s="6"/>
      <c r="AO27" s="6"/>
      <c r="AP27" s="6"/>
      <c r="AQ27"/>
      <c r="AR27"/>
      <c r="AS27"/>
      <c r="AT27"/>
    </row>
    <row r="28" spans="1:54" x14ac:dyDescent="0.2">
      <c r="A28" s="56">
        <v>1</v>
      </c>
      <c r="C28"/>
      <c r="D28"/>
      <c r="G28" s="56">
        <v>1</v>
      </c>
      <c r="U28" s="134"/>
      <c r="V28" s="1026" t="s">
        <v>249</v>
      </c>
      <c r="W28" s="1027"/>
      <c r="X28" s="1027" t="s">
        <v>250</v>
      </c>
      <c r="Y28" s="1042"/>
      <c r="Z28" s="1026" t="s">
        <v>241</v>
      </c>
      <c r="AA28" s="1027"/>
      <c r="AB28" s="1027" t="s">
        <v>242</v>
      </c>
      <c r="AC28" s="1042"/>
      <c r="AD28" s="1026" t="s">
        <v>238</v>
      </c>
      <c r="AE28" s="1027"/>
      <c r="AF28" s="1027" t="s">
        <v>239</v>
      </c>
      <c r="AG28" s="1042"/>
      <c r="AH28" s="1026" t="s">
        <v>235</v>
      </c>
      <c r="AI28" s="1027"/>
      <c r="AJ28" s="1027" t="s">
        <v>236</v>
      </c>
      <c r="AK28" s="1042"/>
      <c r="AM28" s="6"/>
      <c r="AN28" s="6"/>
      <c r="AO28" s="6"/>
      <c r="AP28" s="6"/>
      <c r="AQ28"/>
      <c r="AR28"/>
      <c r="AS28"/>
      <c r="AT28"/>
    </row>
    <row r="29" spans="1:54" x14ac:dyDescent="0.2">
      <c r="C29"/>
      <c r="D29"/>
      <c r="U29" s="134"/>
      <c r="V29" s="1038">
        <f>IF(HL_Z-VL_Z=0,0,DEGREES(ATAN((HL_X-VL_X)/(HL_Z-VL_Z))))</f>
        <v>-89.975218089991287</v>
      </c>
      <c r="W29" s="1039"/>
      <c r="X29" s="1040">
        <f>IF(V29&lt;0,ABS(V29),IF(V29=0,90,180-V29))</f>
        <v>89.975218089991287</v>
      </c>
      <c r="Y29" s="1041"/>
      <c r="Z29" s="1038">
        <f>IF(HR_X-HL_X=0,90,DEGREES(ATAN((HR_Z-HL_Z)/(HR_X-HL_X))))</f>
        <v>-87.775042767410824</v>
      </c>
      <c r="AA29" s="1039"/>
      <c r="AB29" s="1040">
        <f>IF(Z29&lt;0,180+Z29,Z29)</f>
        <v>92.224957232589176</v>
      </c>
      <c r="AC29" s="1041"/>
      <c r="AD29" s="1038">
        <f>IF(VR_Z-HR_Z=0,0,DEGREES(ATAN((VR_X-HR_X)/(VR_Z-HR_Z))))</f>
        <v>89.97666159823045</v>
      </c>
      <c r="AE29" s="1039"/>
      <c r="AF29" s="1040">
        <f>IF(AD29&lt;0,ABS(AD29),IF(AD29=0,90,180-AD29))</f>
        <v>90.02333840176955</v>
      </c>
      <c r="AG29" s="1041"/>
      <c r="AH29" s="1038">
        <f>IF(VL_X-VR_X=0,90,DEGREES(ATAN((VL_Z-VR_Z)/(VL_X-VR_X))))</f>
        <v>89.288202781542367</v>
      </c>
      <c r="AI29" s="1039"/>
      <c r="AJ29" s="1040">
        <f>IF(AH29&lt;0,180+AH29,AH29)</f>
        <v>89.288202781542367</v>
      </c>
      <c r="AK29" s="1041"/>
      <c r="AM29" s="6"/>
      <c r="AN29" s="6"/>
      <c r="AO29" s="6"/>
      <c r="AP29" s="6"/>
      <c r="AQ29"/>
      <c r="AR29"/>
      <c r="AS29"/>
      <c r="AT29"/>
    </row>
    <row r="30" spans="1:54" x14ac:dyDescent="0.2">
      <c r="C30"/>
      <c r="D30"/>
      <c r="U30" s="134"/>
      <c r="V30" s="99"/>
      <c r="W30" s="99"/>
      <c r="X30" s="99"/>
      <c r="Y30" s="132"/>
      <c r="Z30" s="99"/>
      <c r="AA30" s="99"/>
      <c r="AB30" s="99"/>
      <c r="AC30" s="130"/>
      <c r="AD30" s="133"/>
      <c r="AE30" s="99"/>
      <c r="AF30" s="99"/>
      <c r="AG30" s="132"/>
      <c r="AH30" s="99"/>
      <c r="AI30" s="99"/>
      <c r="AJ30" s="99"/>
      <c r="AK30" s="132"/>
      <c r="AM30" s="6"/>
      <c r="AN30" s="6"/>
      <c r="AO30" s="6"/>
      <c r="AP30" s="6"/>
      <c r="AQ30"/>
      <c r="AR30"/>
      <c r="AS30"/>
      <c r="AT30"/>
    </row>
    <row r="31" spans="1:54" x14ac:dyDescent="0.2">
      <c r="C31"/>
      <c r="D31" s="6"/>
      <c r="Q31" s="285">
        <f>Geraetedaten!$B$174</f>
        <v>400</v>
      </c>
      <c r="U31" s="134"/>
      <c r="V31" s="1049" t="s">
        <v>251</v>
      </c>
      <c r="W31" s="1050"/>
      <c r="X31" s="1050" t="s">
        <v>252</v>
      </c>
      <c r="Y31" s="1051"/>
      <c r="Z31" s="1049" t="s">
        <v>243</v>
      </c>
      <c r="AA31" s="1050"/>
      <c r="AB31" s="1050" t="s">
        <v>269</v>
      </c>
      <c r="AC31" s="1051"/>
      <c r="AD31" s="1049" t="s">
        <v>240</v>
      </c>
      <c r="AE31" s="1050"/>
      <c r="AF31" s="1050" t="s">
        <v>268</v>
      </c>
      <c r="AG31" s="1051"/>
      <c r="AH31" s="1049" t="s">
        <v>237</v>
      </c>
      <c r="AI31" s="1050"/>
      <c r="AJ31" s="1050" t="s">
        <v>270</v>
      </c>
      <c r="AK31" s="1051"/>
      <c r="AM31" s="6"/>
      <c r="AN31" s="6"/>
      <c r="AO31" s="6"/>
      <c r="AP31" s="6"/>
      <c r="AQ31"/>
      <c r="AR31"/>
      <c r="AS31"/>
      <c r="AT31"/>
    </row>
    <row r="32" spans="1:54" x14ac:dyDescent="0.2">
      <c r="A32" s="1"/>
      <c r="C32"/>
      <c r="D32" s="79"/>
      <c r="Q32" s="285">
        <f>Geraetedaten!$B$162</f>
        <v>29.2</v>
      </c>
      <c r="U32" s="134"/>
      <c r="V32" s="1038">
        <f>(SIN(RADIANS(X29)))*(((VL_Z-HL_Z)/(VL_X-HL_X))*(HL_X)-HL_Z)</f>
        <v>4225.3239992296285</v>
      </c>
      <c r="W32" s="1039"/>
      <c r="X32" s="1039">
        <f>SIN(RADIANS(X29))*(((VL_Z-HL_Z)/(VL_X-HL_X))*(-SPG_X+HL_X)-HL_Z+SPG_Z)</f>
        <v>4194.100236518786</v>
      </c>
      <c r="Y32" s="1052"/>
      <c r="Z32" s="1038">
        <f>(SIN(RADIANS(AB29)))*(((HL_X-HR_X)/(HL_Z-HR_Z))*(HR_Z)-HR_X)</f>
        <v>913.46204712425447</v>
      </c>
      <c r="AA32" s="1039"/>
      <c r="AB32" s="1039">
        <f>SIN(RADIANS(AB29))*(((HL_X-HR_X)/(HL_Z-HR_Z))*(-SPG_Z+HR_Z)-HR_X+SPG_X)</f>
        <v>5147.9710825642915</v>
      </c>
      <c r="AC32" s="1052"/>
      <c r="AD32" s="1038">
        <f>(SIN(RADIANS(AF29)))*(((HR_Z-VR_Z)/(HR_X-VR_X))*(-VR_X)+VR_Z)</f>
        <v>4140.4375383844126</v>
      </c>
      <c r="AE32" s="1039"/>
      <c r="AF32" s="1039">
        <f>SIN(RADIANS(AF29))*(((HR_Z-VR_Z)/(HR_X-VR_X))*(SPG_X-VR_X)+VR_Z-SPG_Z)</f>
        <v>4175.2214489648286</v>
      </c>
      <c r="AG32" s="1052"/>
      <c r="AH32" s="1038">
        <f>(SIN(RADIANS(AJ29)))*(((VR_X-VL_X)/(VR_Z-VL_Z))*(-VL_Z)+VL_X)</f>
        <v>6238.0466047659793</v>
      </c>
      <c r="AI32" s="1039"/>
      <c r="AJ32" s="1039">
        <f>SIN(RADIANS(AJ29))*(((VR_X-VL_X)/(VR_Z-VL_Z))*(SPG_Z-VL_Z)+VL_X-SPG_X)</f>
        <v>1998.9748582616764</v>
      </c>
      <c r="AK32" s="1052"/>
      <c r="AM32" s="6"/>
      <c r="AN32" s="6"/>
      <c r="AO32" s="6"/>
      <c r="AP32" s="6"/>
      <c r="AQ32"/>
      <c r="AR32"/>
      <c r="AS32"/>
      <c r="AT32"/>
    </row>
    <row r="33" spans="1:54" x14ac:dyDescent="0.2">
      <c r="A33" s="1"/>
      <c r="C33"/>
      <c r="D33"/>
      <c r="Q33" s="285">
        <f>Geraetedaten!$B$175</f>
        <v>41.1</v>
      </c>
      <c r="U33" s="134"/>
      <c r="V33" s="99"/>
      <c r="W33" s="99"/>
      <c r="X33" s="99"/>
      <c r="Y33" s="130"/>
      <c r="Z33" s="99"/>
      <c r="AA33" s="99"/>
      <c r="AB33" s="99"/>
      <c r="AC33" s="130"/>
      <c r="AD33" s="99"/>
      <c r="AE33" s="99"/>
      <c r="AF33" s="99"/>
      <c r="AG33" s="130"/>
      <c r="AH33" s="99"/>
      <c r="AI33" s="99"/>
      <c r="AJ33" s="99"/>
      <c r="AK33" s="138"/>
      <c r="AM33" s="6"/>
      <c r="AN33" s="6"/>
      <c r="AO33" s="6"/>
      <c r="AP33" s="6"/>
      <c r="AQ33"/>
      <c r="AR33"/>
      <c r="AS33"/>
      <c r="AT33"/>
      <c r="BA33" s="207"/>
      <c r="BB33" s="65"/>
    </row>
    <row r="34" spans="1:54" s="65" customFormat="1" ht="15" customHeight="1" thickBot="1" x14ac:dyDescent="0.3">
      <c r="A34" s="1020" t="s">
        <v>159</v>
      </c>
      <c r="B34" s="1020"/>
      <c r="D34" s="66"/>
      <c r="E34" s="66"/>
      <c r="F34" s="66"/>
      <c r="G34" s="66"/>
      <c r="H34"/>
      <c r="I34" s="66"/>
      <c r="J34" s="126"/>
      <c r="P34" s="20">
        <f>MAX(P39:P400)</f>
        <v>266.13020083940529</v>
      </c>
      <c r="Q34" s="697"/>
      <c r="R34" s="127"/>
      <c r="U34" s="135"/>
      <c r="V34" s="100"/>
      <c r="W34" s="100"/>
      <c r="X34" s="100"/>
      <c r="Y34" s="131"/>
      <c r="Z34" s="100"/>
      <c r="AA34" s="100"/>
      <c r="AB34" s="100"/>
      <c r="AC34" s="131"/>
      <c r="AD34" s="100"/>
      <c r="AE34" s="100"/>
      <c r="AF34" s="100"/>
      <c r="AG34" s="131"/>
      <c r="AH34" s="100"/>
      <c r="AI34" s="100"/>
      <c r="AJ34" s="100"/>
      <c r="AK34" s="131"/>
      <c r="AM34" s="94"/>
      <c r="AN34" s="94"/>
      <c r="AO34" s="94"/>
      <c r="AP34" s="94"/>
      <c r="BA34" s="207"/>
    </row>
    <row r="35" spans="1:54" s="65" customFormat="1" ht="15" customHeight="1" thickBot="1" x14ac:dyDescent="0.25">
      <c r="A35" s="1031" t="s">
        <v>173</v>
      </c>
      <c r="B35" s="1032"/>
      <c r="C35" s="1021" t="s">
        <v>183</v>
      </c>
      <c r="D35" s="1033" t="s">
        <v>182</v>
      </c>
      <c r="E35" s="1033"/>
      <c r="F35" s="1033"/>
      <c r="G35" s="1033"/>
      <c r="H35" s="1033"/>
      <c r="I35" s="1035" t="s">
        <v>277</v>
      </c>
      <c r="J35" s="1037" t="s">
        <v>161</v>
      </c>
      <c r="K35" s="1037"/>
      <c r="L35" s="1037"/>
      <c r="M35" s="1037"/>
      <c r="N35" s="1021" t="s">
        <v>184</v>
      </c>
      <c r="O35" s="1021" t="s">
        <v>185</v>
      </c>
      <c r="P35" s="1021" t="s">
        <v>186</v>
      </c>
      <c r="Q35" s="698"/>
      <c r="R35" s="1023" t="s">
        <v>166</v>
      </c>
      <c r="S35" s="1024"/>
      <c r="T35" s="1024"/>
      <c r="U35" s="1025"/>
      <c r="V35" s="1028" t="s">
        <v>51</v>
      </c>
      <c r="W35" s="1029"/>
      <c r="X35" s="1029"/>
      <c r="Y35" s="1030"/>
      <c r="Z35" s="1028" t="s">
        <v>52</v>
      </c>
      <c r="AA35" s="1029"/>
      <c r="AB35" s="1029"/>
      <c r="AC35" s="1030"/>
      <c r="AD35" s="1028" t="s">
        <v>53</v>
      </c>
      <c r="AE35" s="1029"/>
      <c r="AF35" s="1029"/>
      <c r="AG35" s="1030"/>
      <c r="AH35" s="1028" t="s">
        <v>54</v>
      </c>
      <c r="AI35" s="1029"/>
      <c r="AJ35" s="1029"/>
      <c r="AK35" s="1030"/>
      <c r="AL35" s="69"/>
      <c r="AM35" s="1028" t="s">
        <v>274</v>
      </c>
      <c r="AN35" s="1029"/>
      <c r="AO35" s="1029"/>
      <c r="AP35" s="1030"/>
      <c r="AQ35" s="70"/>
      <c r="AR35" s="1028" t="s">
        <v>287</v>
      </c>
      <c r="AS35" s="1029"/>
      <c r="AT35" s="1029"/>
      <c r="AU35" s="1029"/>
      <c r="AV35" s="1030"/>
      <c r="AX35" s="207" t="s">
        <v>516</v>
      </c>
      <c r="AY35" s="207"/>
      <c r="AZ35" s="207"/>
    </row>
    <row r="36" spans="1:54" s="65" customFormat="1" ht="15" customHeight="1" x14ac:dyDescent="0.2">
      <c r="A36" s="71" t="s">
        <v>50</v>
      </c>
      <c r="B36" s="72" t="s">
        <v>1</v>
      </c>
      <c r="C36" s="1034"/>
      <c r="D36" s="73" t="s">
        <v>167</v>
      </c>
      <c r="E36" s="74" t="s">
        <v>168</v>
      </c>
      <c r="F36" s="74" t="s">
        <v>169</v>
      </c>
      <c r="G36" s="74" t="s">
        <v>170</v>
      </c>
      <c r="H36" s="72" t="s">
        <v>61</v>
      </c>
      <c r="I36" s="1036"/>
      <c r="J36" s="67" t="s">
        <v>162</v>
      </c>
      <c r="K36" s="71" t="s">
        <v>163</v>
      </c>
      <c r="L36" s="71" t="s">
        <v>171</v>
      </c>
      <c r="M36" s="68" t="s">
        <v>172</v>
      </c>
      <c r="N36" s="1022"/>
      <c r="O36" s="1022"/>
      <c r="P36" s="1022"/>
      <c r="Q36" s="696"/>
      <c r="R36" s="71" t="s">
        <v>278</v>
      </c>
      <c r="S36" s="67" t="s">
        <v>181</v>
      </c>
      <c r="T36" s="71" t="s">
        <v>165</v>
      </c>
      <c r="U36" s="89" t="s">
        <v>58</v>
      </c>
      <c r="V36" s="92" t="s">
        <v>273</v>
      </c>
      <c r="W36" s="91" t="s">
        <v>256</v>
      </c>
      <c r="X36" s="91" t="s">
        <v>257</v>
      </c>
      <c r="Y36" s="93" t="s">
        <v>266</v>
      </c>
      <c r="Z36" s="92" t="s">
        <v>272</v>
      </c>
      <c r="AA36" s="91" t="s">
        <v>255</v>
      </c>
      <c r="AB36" s="91" t="s">
        <v>258</v>
      </c>
      <c r="AC36" s="93" t="s">
        <v>265</v>
      </c>
      <c r="AD36" s="92" t="s">
        <v>271</v>
      </c>
      <c r="AE36" s="91" t="s">
        <v>253</v>
      </c>
      <c r="AF36" s="91" t="s">
        <v>259</v>
      </c>
      <c r="AG36" s="93" t="s">
        <v>264</v>
      </c>
      <c r="AH36" s="92" t="s">
        <v>267</v>
      </c>
      <c r="AI36" s="91" t="s">
        <v>254</v>
      </c>
      <c r="AJ36" s="91" t="s">
        <v>260</v>
      </c>
      <c r="AK36" s="136" t="s">
        <v>262</v>
      </c>
      <c r="AM36" s="94" t="s">
        <v>244</v>
      </c>
      <c r="AN36" s="94" t="s">
        <v>245</v>
      </c>
      <c r="AO36" s="94" t="s">
        <v>246</v>
      </c>
      <c r="AP36" s="94" t="s">
        <v>263</v>
      </c>
      <c r="AR36" s="94" t="s">
        <v>297</v>
      </c>
      <c r="AS36" s="94" t="s">
        <v>298</v>
      </c>
      <c r="AT36" s="94" t="s">
        <v>288</v>
      </c>
      <c r="AU36" s="94" t="s">
        <v>289</v>
      </c>
      <c r="AV36" s="94" t="s">
        <v>296</v>
      </c>
      <c r="AX36" s="208" t="s">
        <v>518</v>
      </c>
      <c r="AY36" s="207"/>
      <c r="AZ36" s="208" t="s">
        <v>517</v>
      </c>
      <c r="BA36" s="207" t="s">
        <v>78</v>
      </c>
    </row>
    <row r="37" spans="1:54" s="3" customFormat="1" ht="13.5" x14ac:dyDescent="0.25">
      <c r="A37" s="59" t="s">
        <v>76</v>
      </c>
      <c r="B37" s="60"/>
      <c r="C37" s="63"/>
      <c r="D37" s="60"/>
      <c r="E37" s="60"/>
      <c r="F37" s="60"/>
      <c r="G37" s="60"/>
      <c r="H37" s="60"/>
      <c r="I37" s="64"/>
      <c r="J37" s="22"/>
      <c r="K37" s="22"/>
      <c r="L37" s="22"/>
      <c r="M37" s="22"/>
      <c r="N37" s="62"/>
      <c r="O37" s="62"/>
      <c r="P37" s="62"/>
      <c r="Q37" s="62"/>
      <c r="R37" s="62"/>
      <c r="S37" s="61"/>
      <c r="T37" s="61">
        <f>Geraetedaten!B175</f>
        <v>41.1</v>
      </c>
      <c r="U37" s="87">
        <f>Geraetedaten!B175</f>
        <v>41.1</v>
      </c>
      <c r="V37" s="119" t="s">
        <v>75</v>
      </c>
      <c r="W37" s="120" t="s">
        <v>28</v>
      </c>
      <c r="X37" s="120" t="s">
        <v>28</v>
      </c>
      <c r="Y37" s="128" t="s">
        <v>28</v>
      </c>
      <c r="Z37" s="129" t="s">
        <v>75</v>
      </c>
      <c r="AA37" s="120" t="s">
        <v>28</v>
      </c>
      <c r="AB37" s="120" t="s">
        <v>28</v>
      </c>
      <c r="AC37" s="128" t="s">
        <v>28</v>
      </c>
      <c r="AD37" s="129" t="s">
        <v>75</v>
      </c>
      <c r="AE37" s="120" t="s">
        <v>28</v>
      </c>
      <c r="AF37" s="120" t="s">
        <v>28</v>
      </c>
      <c r="AG37" s="128" t="s">
        <v>28</v>
      </c>
      <c r="AH37" s="129" t="s">
        <v>75</v>
      </c>
      <c r="AI37" s="120" t="s">
        <v>28</v>
      </c>
      <c r="AJ37" s="120" t="s">
        <v>28</v>
      </c>
      <c r="AK37" s="137" t="s">
        <v>28</v>
      </c>
      <c r="AL37" s="121"/>
      <c r="AM37" s="122" t="s">
        <v>28</v>
      </c>
      <c r="AN37" s="122" t="s">
        <v>28</v>
      </c>
      <c r="AO37" s="122" t="s">
        <v>28</v>
      </c>
      <c r="AP37" s="122" t="s">
        <v>28</v>
      </c>
      <c r="AQ37" s="121"/>
      <c r="AR37" s="122" t="s">
        <v>299</v>
      </c>
      <c r="AS37" s="122" t="s">
        <v>299</v>
      </c>
      <c r="AT37" s="122" t="s">
        <v>300</v>
      </c>
      <c r="AU37" s="122" t="s">
        <v>300</v>
      </c>
      <c r="AV37" s="122" t="s">
        <v>75</v>
      </c>
      <c r="AX37" s="206" t="s">
        <v>15</v>
      </c>
      <c r="AY37" s="206" t="s">
        <v>15</v>
      </c>
      <c r="AZ37" s="206" t="s">
        <v>15</v>
      </c>
      <c r="BA37" s="206" t="s">
        <v>15</v>
      </c>
    </row>
    <row r="38" spans="1:54" s="3" customFormat="1" ht="13.5" x14ac:dyDescent="0.25">
      <c r="A38" s="59" t="s">
        <v>76</v>
      </c>
      <c r="B38" s="60"/>
      <c r="C38" s="22"/>
      <c r="D38" s="60"/>
      <c r="E38" s="60"/>
      <c r="F38" s="60"/>
      <c r="G38" s="60"/>
      <c r="H38" s="60"/>
      <c r="I38" s="60"/>
      <c r="J38" s="22"/>
      <c r="K38" s="22"/>
      <c r="L38" s="22"/>
      <c r="M38" s="22"/>
      <c r="N38" s="61"/>
      <c r="O38" s="61"/>
      <c r="P38" s="22"/>
      <c r="Q38" s="22"/>
      <c r="R38" s="22"/>
      <c r="S38" s="61"/>
      <c r="T38" s="61">
        <f>Geraetedaten!B175</f>
        <v>41.1</v>
      </c>
      <c r="U38" s="87">
        <f>Geraetedaten!B175*(-1)</f>
        <v>-41.1</v>
      </c>
      <c r="V38" s="86"/>
      <c r="W38" s="85"/>
      <c r="X38" s="85"/>
      <c r="Y38" s="90"/>
      <c r="Z38" s="86"/>
      <c r="AA38" s="85"/>
      <c r="AB38" s="85"/>
      <c r="AC38" s="90"/>
      <c r="AD38" s="86"/>
      <c r="AE38" s="85"/>
      <c r="AF38" s="85"/>
      <c r="AG38" s="90"/>
      <c r="AH38" s="86"/>
      <c r="AI38" s="85"/>
      <c r="AJ38" s="85"/>
      <c r="AK38" s="90"/>
      <c r="AM38" s="55"/>
      <c r="AN38" s="55"/>
      <c r="AO38" s="55"/>
      <c r="AP38" s="55"/>
      <c r="AX38" s="206"/>
      <c r="AY38" s="206"/>
    </row>
    <row r="39" spans="1:54" ht="13.5" x14ac:dyDescent="0.25">
      <c r="A39" s="16">
        <v>0</v>
      </c>
      <c r="B39" s="16">
        <f t="shared" ref="B39:B70" si="0">360-A39+90</f>
        <v>450</v>
      </c>
      <c r="C39" s="19">
        <f t="shared" ref="C39:C70" si="1">$AF$16*ABS(COS(RADIANS(A39)))+$AF$17*ABS(SIN(RADIANS(A39)))+AV39</f>
        <v>29.946840000000002</v>
      </c>
      <c r="D39" s="17">
        <f>IF(ISNUMBER(V39),V39-C39,"unendlich")</f>
        <v>-24447819.148940001</v>
      </c>
      <c r="E39" s="17">
        <f t="shared" ref="E39:E70" si="2">IF(ISNUMBER(Z39),Z39-C39,"unendlich")</f>
        <v>-8827.6655200000005</v>
      </c>
      <c r="F39" s="17">
        <f t="shared" ref="F39:F70" si="3">IF(ISNUMBER(AD39),AD39-C39,"unendlich")</f>
        <v>-25684592.759509999</v>
      </c>
      <c r="G39" s="17">
        <f t="shared" ref="G39:G70" si="4">IF(ISNUMBER(AH39),AH39-C39,"unendlich")</f>
        <v>9151.1088</v>
      </c>
      <c r="H39" s="17">
        <f>SMALL(($V39,$Z39,$AD39,$AH39),COUNTIF(D39:G39,"&lt;0")+1)-C39</f>
        <v>9151.1088</v>
      </c>
      <c r="I39" s="17">
        <f t="shared" ref="I39:I70" si="5">IF(H39+C39=V39,X39,IF(H39+C39=Z39,AB39,IF(H39+C39=AD39,AF39,IF(H39+C39=AH39,AJ39,"???"))))</f>
        <v>6238.528013379525</v>
      </c>
      <c r="J39" s="20">
        <f>(Geraetedaten!$B$152+(Geraetedaten!$B$153*(Geraetedaten!$B$18+d_y_Sw)/1000))*10</f>
        <v>6051.0442000000003</v>
      </c>
      <c r="K39" s="20">
        <f>(Geraetedaten!$B$165+(Geraetedaten!$B$166*(Geraetedaten!$B$18+d_y_Sw)/1000))*10</f>
        <v>10816.164000000001</v>
      </c>
      <c r="L39" s="20">
        <f>(Geraetedaten!$B$158+(Geraetedaten!$B$159*(Geraetedaten!$B$18+d_y_Sw)/1000)-(Geraetedaten!$B$160*I39/1000))*10</f>
        <v>144.06534077887926</v>
      </c>
      <c r="M39" s="20">
        <f>(Geraetedaten!$B$171+(Geraetedaten!$B$172*(Geraetedaten!$B$18+d_y_Sw)/1000)-(Geraetedaten!$B$173*I39/1000))*10</f>
        <v>600.47097468402899</v>
      </c>
      <c r="N39" s="20">
        <f>IF((H39-J39)/(K39-J39)*(Geraetedaten!$B$174-Geraetedaten!$B$161)&lt;Geraetedaten!$B$174,(H39-J39)/(K39-J39)*(Geraetedaten!$B$174-Geraetedaten!$B$161),Geraetedaten!$B$174)</f>
        <v>260.22973021580691</v>
      </c>
      <c r="O39" s="20">
        <f>N39/Geraetedaten!$B$174*(M39-L39)+L39+C39</f>
        <v>470.93796822915789</v>
      </c>
      <c r="P39" s="20">
        <f>O39*100/9.81/(R39-(I39/1000))</f>
        <v>156.35419969321862</v>
      </c>
      <c r="Q39" s="21">
        <f>(N39-0)/(400-0)*(41.1-29.2)+29.2</f>
        <v>36.94183447392026</v>
      </c>
      <c r="R39" s="21">
        <f>(N39-Geraetedaten!$B$161)/(Geraetedaten!$B$174-Geraetedaten!$B$161)*(Geraetedaten!$B$175-Geraetedaten!$B$162)+Geraetedaten!$B$162</f>
        <v>36.94183447392026</v>
      </c>
      <c r="S39" s="21">
        <f>SQRT((r_K_D/1000)^2+R39^2-(2*(r_K_D/1000)*R39*COS(RADIANS(2*A39))))</f>
        <v>36.94183447392026</v>
      </c>
      <c r="T39" s="21">
        <f>S39*SIN(A39*Const_2)</f>
        <v>0</v>
      </c>
      <c r="U39" s="88">
        <f>S39*COS(A39*Const_2)</f>
        <v>36.94183447392026</v>
      </c>
      <c r="V39" s="86">
        <f t="shared" ref="V39:V70" si="6">ROUND((F_S*r_Su_L-F_G*W39+F_SSw*Y39)/(SIN(RADIANS(270+g_L-A39)))/1000,5)</f>
        <v>-24447789.202100001</v>
      </c>
      <c r="W39" s="85">
        <f t="shared" ref="W39:W70" si="7">(SIN(RADIANS(g_L)))*(((VL_Z-HL_Z)/(VL_X-HL_X))*(-HL_X+AN39)+HL_Z-AM39)</f>
        <v>-4225.3239992296285</v>
      </c>
      <c r="X39" s="85">
        <f t="shared" ref="X39:X70" si="8">W39/(SIN(RADIANS(180-g_L-(90-$A39))))</f>
        <v>-9768949.9999998026</v>
      </c>
      <c r="Y39" s="90">
        <f t="shared" ref="Y39:Y70" si="9">SIN(RADIANS(g_L))*(((VL_Z-HL_Z)/(VL_X-HL_X))*(-AP39+HL_X)-HL_Z+AO39)</f>
        <v>4225.3239992296285</v>
      </c>
      <c r="Z39" s="86">
        <f t="shared" ref="Z39:Z70" si="10">ROUND((F_S*r_Su_H-F_G*AA39+F_SSw*AC39)/(SIN(RADIANS(180+g_H-A39)))/1000,5)</f>
        <v>-8797.7186799999999</v>
      </c>
      <c r="AA39" s="85">
        <f t="shared" ref="AA39:AA70" si="11">(SIN(RADIANS(g_H)))*(((HL_X-HR_X)/(HL_Z-HR_Z))*(-HR_Z+AM39)+HR_X-AN39)</f>
        <v>-913.46204712425447</v>
      </c>
      <c r="AB39" s="85">
        <f t="shared" ref="AB39:AB70" si="12">AA39/(SIN(RADIANS(g_H-$A39)))</f>
        <v>-914.15122534369402</v>
      </c>
      <c r="AC39" s="90">
        <f t="shared" ref="AC39:AC70" si="13">SIN(RADIANS(g_H))*(((HL_X-HR_X)/(HL_Z-HR_Z))*(-AO39+HR_Z)-HR_X+AP39)</f>
        <v>913.46204712425447</v>
      </c>
      <c r="AD39" s="86">
        <f t="shared" ref="AD39:AD70" si="14">ROUND((F_S*r_Su_R+F_G*AE39+F_SSw*AG39)/(SIN(RADIANS(90+g_R-A39)))/1000,5)</f>
        <v>-25684562.81267</v>
      </c>
      <c r="AE39" s="85">
        <f t="shared" ref="AE39:AE70" si="15">(SIN(RADIANS(g_R)))*(((HR_Z-VR_Z)/(HR_X-VR_X))*(-VR_X+AN39)+VR_Z-AM39)</f>
        <v>4140.4375383844126</v>
      </c>
      <c r="AF39" s="85">
        <f t="shared" ref="AF39:AF70" si="16">AE39/(SIN(RADIANS(180-g_R-(90-$A39))))</f>
        <v>-10164775.000002058</v>
      </c>
      <c r="AG39" s="90">
        <f t="shared" ref="AG39:AG70" si="17">(SIN(RADIANS(g_R)))*(((HR_Z-VR_Z)/(HR_X-VR_X))*(-VR_X+AP39)+VR_Z-AO39)</f>
        <v>4140.4375383844126</v>
      </c>
      <c r="AH39" s="86">
        <f>ROUND((F_S*r_Su_V+F_G*AI39+F_SSw*AK39)/(SIN(RADIANS(g_V-A39)))/1000,5)</f>
        <v>9181.0556400000005</v>
      </c>
      <c r="AI39" s="85">
        <f t="shared" ref="AI39:AI70" si="18">(SIN(RADIANS(g_V)))*(((VR_X-VL_X)/(VR_Z-VL_Z))*(AM39-VL_Z)+VL_X-AN39)</f>
        <v>6238.0466047659793</v>
      </c>
      <c r="AJ39" s="85">
        <f t="shared" ref="AJ39:AJ70" si="19">AI39/(SIN(RADIANS(g_V-$A39)))</f>
        <v>6238.528013379525</v>
      </c>
      <c r="AK39" s="90">
        <f t="shared" ref="AK39:AK70" si="20">(SIN(RADIANS(g_V)))*(((VR_X-VL_X)/(VR_Z-VL_Z))*(-VL_Z+AO39)+VL_X-AP39)</f>
        <v>6238.0466047659793</v>
      </c>
      <c r="AM39" s="95">
        <f t="shared" ref="AM39:AM102" si="21">SIN(RADIANS(A39))*r_K_D</f>
        <v>0</v>
      </c>
      <c r="AN39" s="95">
        <f t="shared" ref="AN39:AN102" si="22">COS(RADIANS(A39-180))*r_K_D</f>
        <v>0</v>
      </c>
      <c r="AO39" s="95">
        <f t="shared" ref="AO39:AO102" si="23">SIN(RADIANS(A39))*r_K_SSw</f>
        <v>0</v>
      </c>
      <c r="AP39" s="95">
        <f t="shared" ref="AP39:AP102" si="24">-COS(RADIANS(A39))*r_K_SSw</f>
        <v>0</v>
      </c>
      <c r="AQ39"/>
      <c r="AR39" s="95">
        <f t="shared" ref="AR39:AR70" si="25">MAX(d_y_Sw*(r_K_D*ABS(COS(RADIANS($A39)))+_r1_Sw+_r2_Sw), 2*_r1_Sw*d_y_Sw)/1000000</f>
        <v>0</v>
      </c>
      <c r="AS39" s="95">
        <f t="shared" ref="AS39:AS70" si="26">MAX(d_y_Sw*(r_K_D*ABS(SIN(RADIANS($A39)))+_r1_Sw+_r2_Sw), 2*_r1_Sw*d_y_Sw)/1000000</f>
        <v>0</v>
      </c>
      <c r="AT39" s="95">
        <f>Geraetedaten!$B$94*ABS(SIN(RADIANS($A39)))</f>
        <v>0</v>
      </c>
      <c r="AU39" s="95">
        <f>Geraetedaten!$B$94*ABS(COS(RADIANS($A39)))</f>
        <v>154</v>
      </c>
      <c r="AV39" s="95">
        <f>((h_Aw_Sw+Geraetedaten!$B$18)/1000)*(AR39*AT39+AS39*AU39)/100</f>
        <v>0</v>
      </c>
      <c r="AX39" s="18">
        <f>(IF($X$19="ja",1,0))*Geraetedaten!$D$142*COS(RADIANS(2*A39))*(Geraetedaten!$B$154*r_K_D+r_K_SSw*F_SSw/10)/1000+Geraetedaten!$B$152</f>
        <v>594.79999999999995</v>
      </c>
      <c r="AY39" s="18">
        <f>(IF($X$19="ja",1,0))*Geraetedaten!$D$142*COS(RADIANS(2*A39))*(Geraetedaten!$B$157*r_K_D+r_K_SSw*F_SSw/10)/1000+Geraetedaten!$B$155</f>
        <v>537.4</v>
      </c>
      <c r="AZ39">
        <f>(IF($X$19="ja",1,0))*Geraetedaten!$D$142*COS(RADIANS(2*A39))*(Geraetedaten!$B$167*r_K_D+r_K_SSw*F_SSw/10)/1000+Geraetedaten!$B$165</f>
        <v>1066.7</v>
      </c>
      <c r="BA39">
        <f>(IF($X$19="ja",1,0))*Geraetedaten!$D$142*COS(RADIANS(2*A39))*(Geraetedaten!$B$170*r_K_D+r_K_SSw*F_SSw/10)/1000+Geraetedaten!$B$168</f>
        <v>963.8</v>
      </c>
    </row>
    <row r="40" spans="1:54" ht="13.5" x14ac:dyDescent="0.25">
      <c r="A40" s="16">
        <v>1</v>
      </c>
      <c r="B40" s="16">
        <f t="shared" si="0"/>
        <v>449</v>
      </c>
      <c r="C40" s="19">
        <f t="shared" si="1"/>
        <v>31.051346220734363</v>
      </c>
      <c r="D40" s="17">
        <f t="shared" ref="D40:D103" si="27">IF(ISNUMBER(V40),V40-C40,"unendlich")</f>
        <v>-591274.11599622073</v>
      </c>
      <c r="E40" s="17">
        <f t="shared" si="2"/>
        <v>-8824.1469562207349</v>
      </c>
      <c r="F40" s="17">
        <f t="shared" si="3"/>
        <v>613759.49891377927</v>
      </c>
      <c r="G40" s="17">
        <f t="shared" si="4"/>
        <v>9153.3945537792661</v>
      </c>
      <c r="H40" s="17">
        <f t="shared" ref="H40:H103" si="28">SMALL(D40:G40,COUNTIF(D40:G40,"&lt;0")+1)</f>
        <v>9153.3945537792661</v>
      </c>
      <c r="I40" s="17">
        <f t="shared" si="5"/>
        <v>6240.8316967169512</v>
      </c>
      <c r="J40" s="20">
        <f>(Geraetedaten!$B$152+(Geraetedaten!$B$153*(Geraetedaten!$B$18+d_y_Sw)/1000))*10</f>
        <v>6051.0442000000003</v>
      </c>
      <c r="K40" s="20">
        <f>(Geraetedaten!$B$165+(Geraetedaten!$B$166*(Geraetedaten!$B$18+d_y_Sw)/1000))*10</f>
        <v>10816.164000000001</v>
      </c>
      <c r="L40" s="20">
        <f>(Geraetedaten!$B$158+(Geraetedaten!$B$159*(Geraetedaten!$B$18+d_y_Sw)/1000)-(Geraetedaten!$B$160*I40/1000))*10</f>
        <v>143.89641167974582</v>
      </c>
      <c r="M40" s="20">
        <f>(Geraetedaten!$B$171+(Geraetedaten!$B$172*(Geraetedaten!$B$18+d_y_Sw)/1000)-(Geraetedaten!$B$173*I40/1000))*10</f>
        <v>600.29948849639095</v>
      </c>
      <c r="N40" s="20">
        <f>IF((H40-J40)/(K40-J40)*(Geraetedaten!$B$174-Geraetedaten!$B$161)&lt;Geraetedaten!$B$174,(H40-J40)/(K40-J40)*(Geraetedaten!$B$174-Geraetedaten!$B$161),Geraetedaten!$B$174)</f>
        <v>260.42160398815287</v>
      </c>
      <c r="O40" s="20">
        <f>N40/Geraetedaten!$B$174*(M40-L40)+L40+C40</f>
        <v>472.09081122477738</v>
      </c>
      <c r="P40" s="20">
        <f t="shared" ref="P40:P103" si="29">O40*100/9.81/(R40-(I40/1000))</f>
        <v>156.71957242930034</v>
      </c>
      <c r="Q40" s="20"/>
      <c r="R40" s="21">
        <f>(N40-Geraetedaten!$B$161)/(Geraetedaten!$B$174-Geraetedaten!$B$161)*(Geraetedaten!$B$175-Geraetedaten!$B$162)+Geraetedaten!$B$162</f>
        <v>36.947542718647547</v>
      </c>
      <c r="S40" s="21">
        <f t="shared" ref="S40:S70" si="30">SQRT((r_K_D/1000)^2+R40^2-(2*(r_K_D/1000)*R40*COS(RADIANS(2*A40))))</f>
        <v>36.947542718647547</v>
      </c>
      <c r="T40" s="21">
        <f t="shared" ref="T40:T70" si="31">S40*SIN(A40*Const_2)</f>
        <v>0.644823532384732</v>
      </c>
      <c r="U40" s="88">
        <f t="shared" ref="U40:U70" si="32">S40*COS(A40*Const_2)</f>
        <v>36.941915428932056</v>
      </c>
      <c r="V40" s="86">
        <f t="shared" si="6"/>
        <v>-591243.06464999996</v>
      </c>
      <c r="W40" s="85">
        <f t="shared" si="7"/>
        <v>-4225.3239992296285</v>
      </c>
      <c r="X40" s="85">
        <f t="shared" si="8"/>
        <v>-236251.37997995078</v>
      </c>
      <c r="Y40" s="90">
        <f t="shared" si="9"/>
        <v>4225.3239992296285</v>
      </c>
      <c r="Z40" s="86">
        <f t="shared" si="10"/>
        <v>-8793.0956100000003</v>
      </c>
      <c r="AA40" s="85">
        <f t="shared" si="11"/>
        <v>-913.46204712425447</v>
      </c>
      <c r="AB40" s="85">
        <f t="shared" si="12"/>
        <v>-913.67085160770614</v>
      </c>
      <c r="AC40" s="90">
        <f t="shared" si="13"/>
        <v>913.46204712425447</v>
      </c>
      <c r="AD40" s="86">
        <f t="shared" si="14"/>
        <v>613790.55026000005</v>
      </c>
      <c r="AE40" s="85">
        <f t="shared" si="15"/>
        <v>4140.4375383844126</v>
      </c>
      <c r="AF40" s="85">
        <f t="shared" si="16"/>
        <v>242910.22144569896</v>
      </c>
      <c r="AG40" s="90">
        <f t="shared" si="17"/>
        <v>4140.4375383844126</v>
      </c>
      <c r="AH40" s="86">
        <f t="shared" ref="AH40:AH70" si="33">ROUND((F_S*r_Su_V+F_G*AI40+F_SSw*AK40)/(SIN(RADIANS(g_V-A40)))/1000,5)</f>
        <v>9184.4459000000006</v>
      </c>
      <c r="AI40" s="85">
        <f t="shared" si="18"/>
        <v>6238.0466047659793</v>
      </c>
      <c r="AJ40" s="85">
        <f t="shared" si="19"/>
        <v>6240.8316967169512</v>
      </c>
      <c r="AK40" s="90">
        <f t="shared" si="20"/>
        <v>6238.0466047659793</v>
      </c>
      <c r="AM40" s="95">
        <f t="shared" si="21"/>
        <v>0</v>
      </c>
      <c r="AN40" s="95">
        <f t="shared" si="22"/>
        <v>0</v>
      </c>
      <c r="AO40" s="95">
        <f t="shared" si="23"/>
        <v>0</v>
      </c>
      <c r="AP40" s="95">
        <f t="shared" si="24"/>
        <v>0</v>
      </c>
      <c r="AQ40"/>
      <c r="AR40" s="95">
        <f t="shared" si="25"/>
        <v>0</v>
      </c>
      <c r="AS40" s="95">
        <f t="shared" si="26"/>
        <v>0</v>
      </c>
      <c r="AT40" s="95">
        <f>Geraetedaten!$B$94*ABS(SIN(RADIANS($A40)))</f>
        <v>2.6876705913416608</v>
      </c>
      <c r="AU40" s="95">
        <f>Geraetedaten!$B$94*ABS(COS(RADIANS($A40)))</f>
        <v>153.97654505408426</v>
      </c>
      <c r="AV40" s="95">
        <f>((h_Aw_Sw+Geraetedaten!$B$18)/1000)*(AR40*AT40+AS40*AU40)/100</f>
        <v>0</v>
      </c>
      <c r="AX40" s="18">
        <f>(IF($X$19="ja",1,0))*Geraetedaten!$D$142*COS(RADIANS(2*A40))*(Geraetedaten!$B$154*r_K_D+r_K_SSw*F_SSw/10)/1000+Geraetedaten!$B$152</f>
        <v>594.79999999999995</v>
      </c>
      <c r="AY40" s="18">
        <f>(IF($X$19="ja",1,0))*Geraetedaten!$D$142*COS(RADIANS(2*A40))*(Geraetedaten!$B$157*r_K_D+r_K_SSw*F_SSw/10)/1000+Geraetedaten!$B$155</f>
        <v>537.4</v>
      </c>
      <c r="AZ40" s="201"/>
    </row>
    <row r="41" spans="1:54" ht="13.5" x14ac:dyDescent="0.25">
      <c r="A41" s="16">
        <v>2</v>
      </c>
      <c r="B41" s="16">
        <f t="shared" si="0"/>
        <v>448</v>
      </c>
      <c r="C41" s="19">
        <f t="shared" si="1"/>
        <v>32.146393900608743</v>
      </c>
      <c r="D41" s="17">
        <f t="shared" si="27"/>
        <v>-299318.21468390065</v>
      </c>
      <c r="E41" s="17">
        <f t="shared" si="2"/>
        <v>-8823.3002439006086</v>
      </c>
      <c r="F41" s="17">
        <f t="shared" si="3"/>
        <v>303285.10060609935</v>
      </c>
      <c r="G41" s="17">
        <f t="shared" si="4"/>
        <v>9158.4928660993919</v>
      </c>
      <c r="H41" s="17">
        <f t="shared" si="28"/>
        <v>9158.4928660993919</v>
      </c>
      <c r="I41" s="17">
        <f t="shared" si="5"/>
        <v>6245.040084454964</v>
      </c>
      <c r="J41" s="20">
        <f>(Geraetedaten!$B$152+(Geraetedaten!$B$153*(Geraetedaten!$B$18+d_y_Sw)/1000))*10</f>
        <v>6051.0442000000003</v>
      </c>
      <c r="K41" s="20">
        <f>(Geraetedaten!$B$165+(Geraetedaten!$B$166*(Geraetedaten!$B$18+d_y_Sw)/1000))*10</f>
        <v>10816.164000000001</v>
      </c>
      <c r="L41" s="20">
        <f>(Geraetedaten!$B$158+(Geraetedaten!$B$159*(Geraetedaten!$B$18+d_y_Sw)/1000)-(Geraetedaten!$B$160*I41/1000))*10</f>
        <v>143.58781060691734</v>
      </c>
      <c r="M41" s="20">
        <f>(Geraetedaten!$B$171+(Geraetedaten!$B$172*(Geraetedaten!$B$18+d_y_Sw)/1000)-(Geraetedaten!$B$173*I41/1000))*10</f>
        <v>599.98621611317321</v>
      </c>
      <c r="N41" s="20">
        <f>IF((H41-J41)/(K41-J41)*(Geraetedaten!$B$174-Geraetedaten!$B$161)&lt;Geraetedaten!$B$174,(H41-J41)/(K41-J41)*(Geraetedaten!$B$174-Geraetedaten!$B$161),Geraetedaten!$B$174)</f>
        <v>260.8495732761549</v>
      </c>
      <c r="O41" s="20">
        <f>N41/Geraetedaten!$B$174*(M41-L41)+L41+C41</f>
        <v>473.36252780808695</v>
      </c>
      <c r="P41" s="20">
        <f t="shared" si="29"/>
        <v>157.09813510368869</v>
      </c>
      <c r="Q41" s="20"/>
      <c r="R41" s="21">
        <f>(N41-Geraetedaten!$B$161)/(Geraetedaten!$B$174-Geraetedaten!$B$161)*(Geraetedaten!$B$175-Geraetedaten!$B$162)+Geraetedaten!$B$162</f>
        <v>36.960274804965607</v>
      </c>
      <c r="S41" s="21">
        <f t="shared" si="30"/>
        <v>36.960274804965607</v>
      </c>
      <c r="T41" s="21">
        <f t="shared" si="31"/>
        <v>1.2898949886794269</v>
      </c>
      <c r="U41" s="88">
        <f t="shared" si="32"/>
        <v>36.937759604187626</v>
      </c>
      <c r="V41" s="86">
        <f t="shared" si="6"/>
        <v>-299286.06829000002</v>
      </c>
      <c r="W41" s="85">
        <f t="shared" si="7"/>
        <v>-4225.3239992296285</v>
      </c>
      <c r="X41" s="85">
        <f t="shared" si="8"/>
        <v>-119589.98061833189</v>
      </c>
      <c r="Y41" s="90">
        <f t="shared" si="9"/>
        <v>4225.3239992296285</v>
      </c>
      <c r="Z41" s="86">
        <f t="shared" si="10"/>
        <v>-8791.1538500000006</v>
      </c>
      <c r="AA41" s="85">
        <f t="shared" si="11"/>
        <v>-913.46204712425447</v>
      </c>
      <c r="AB41" s="85">
        <f t="shared" si="12"/>
        <v>-913.4690878586008</v>
      </c>
      <c r="AC41" s="90">
        <f t="shared" si="13"/>
        <v>913.46204712425447</v>
      </c>
      <c r="AD41" s="86">
        <f t="shared" si="14"/>
        <v>303317.24699999997</v>
      </c>
      <c r="AE41" s="85">
        <f t="shared" si="15"/>
        <v>4140.4375383844126</v>
      </c>
      <c r="AF41" s="85">
        <f t="shared" si="16"/>
        <v>120039.09086818974</v>
      </c>
      <c r="AG41" s="90">
        <f t="shared" si="17"/>
        <v>4140.4375383844126</v>
      </c>
      <c r="AH41" s="86">
        <f t="shared" si="33"/>
        <v>9190.6392599999999</v>
      </c>
      <c r="AI41" s="85">
        <f t="shared" si="18"/>
        <v>6238.0466047659793</v>
      </c>
      <c r="AJ41" s="85">
        <f t="shared" si="19"/>
        <v>6245.040084454964</v>
      </c>
      <c r="AK41" s="90">
        <f t="shared" si="20"/>
        <v>6238.0466047659793</v>
      </c>
      <c r="AM41" s="95">
        <f t="shared" si="21"/>
        <v>0</v>
      </c>
      <c r="AN41" s="95">
        <f t="shared" si="22"/>
        <v>0</v>
      </c>
      <c r="AO41" s="95">
        <f t="shared" si="23"/>
        <v>0</v>
      </c>
      <c r="AP41" s="95">
        <f t="shared" si="24"/>
        <v>0</v>
      </c>
      <c r="AQ41"/>
      <c r="AR41" s="95">
        <f t="shared" si="25"/>
        <v>0</v>
      </c>
      <c r="AS41" s="95">
        <f t="shared" si="26"/>
        <v>0</v>
      </c>
      <c r="AT41" s="95">
        <f>Geraetedaten!$B$94*ABS(SIN(RADIANS($A41)))</f>
        <v>5.3745224921851493</v>
      </c>
      <c r="AU41" s="95">
        <f>Geraetedaten!$B$94*ABS(COS(RADIANS($A41)))</f>
        <v>153.90618736094075</v>
      </c>
      <c r="AV41" s="95">
        <f>((h_Aw_Sw+Geraetedaten!$B$18)/1000)*(AR41*AT41+AS41*AU41)/100</f>
        <v>0</v>
      </c>
      <c r="AX41" s="18">
        <f>(IF($X$19="ja",1,0))*Geraetedaten!$D$142*COS(RADIANS(2*A41))*(Geraetedaten!$B$154*r_K_D+r_K_SSw*F_SSw/10)/1000+Geraetedaten!$B$152</f>
        <v>594.79999999999995</v>
      </c>
      <c r="AY41" s="18">
        <f>(IF($X$19="ja",1,0))*Geraetedaten!$D$142*COS(RADIANS(2*A41))*(Geraetedaten!$B$157*r_K_D+r_K_SSw*F_SSw/10)/1000+Geraetedaten!$B$155</f>
        <v>537.4</v>
      </c>
      <c r="AZ41" s="201"/>
    </row>
    <row r="42" spans="1:54" ht="13.5" x14ac:dyDescent="0.25">
      <c r="A42" s="16">
        <v>3</v>
      </c>
      <c r="B42" s="16">
        <f t="shared" si="0"/>
        <v>447</v>
      </c>
      <c r="C42" s="19">
        <f t="shared" si="1"/>
        <v>33.231649477491885</v>
      </c>
      <c r="D42" s="17">
        <f t="shared" si="27"/>
        <v>-200425.99705947749</v>
      </c>
      <c r="E42" s="17">
        <f t="shared" si="2"/>
        <v>-8825.1220994774922</v>
      </c>
      <c r="F42" s="17">
        <f t="shared" si="3"/>
        <v>201436.21593052251</v>
      </c>
      <c r="G42" s="17">
        <f t="shared" si="4"/>
        <v>9166.4135205225084</v>
      </c>
      <c r="H42" s="17">
        <f t="shared" si="28"/>
        <v>9166.4135205225084</v>
      </c>
      <c r="I42" s="17">
        <f t="shared" si="5"/>
        <v>6251.1596003916256</v>
      </c>
      <c r="J42" s="20">
        <f>(Geraetedaten!$B$152+(Geraetedaten!$B$153*(Geraetedaten!$B$18+d_y_Sw)/1000))*10</f>
        <v>6051.0442000000003</v>
      </c>
      <c r="K42" s="20">
        <f>(Geraetedaten!$B$165+(Geraetedaten!$B$166*(Geraetedaten!$B$18+d_y_Sw)/1000))*10</f>
        <v>10816.164000000001</v>
      </c>
      <c r="L42" s="20">
        <f>(Geraetedaten!$B$158+(Geraetedaten!$B$159*(Geraetedaten!$B$18+d_y_Sw)/1000)-(Geraetedaten!$B$160*I42/1000))*10</f>
        <v>143.13906650328192</v>
      </c>
      <c r="M42" s="20">
        <f>(Geraetedaten!$B$171+(Geraetedaten!$B$172*(Geraetedaten!$B$18+d_y_Sw)/1000)-(Geraetedaten!$B$173*I42/1000))*10</f>
        <v>599.53067934684816</v>
      </c>
      <c r="N42" s="20">
        <f>IF((H42-J42)/(K42-J42)*(Geraetedaten!$B$174-Geraetedaten!$B$161)&lt;Geraetedaten!$B$174,(H42-J42)/(K42-J42)*(Geraetedaten!$B$174-Geraetedaten!$B$161),Geraetedaten!$B$174)</f>
        <v>261.51445934454853</v>
      </c>
      <c r="O42" s="20">
        <f>N42/Geraetedaten!$B$174*(M42-L42)+L42+C42</f>
        <v>474.75323068620315</v>
      </c>
      <c r="P42" s="20">
        <f t="shared" si="29"/>
        <v>157.48963263621144</v>
      </c>
      <c r="Q42" s="20"/>
      <c r="R42" s="21">
        <f>(N42-Geraetedaten!$B$161)/(Geraetedaten!$B$174-Geraetedaten!$B$161)*(Geraetedaten!$B$175-Geraetedaten!$B$162)+Geraetedaten!$B$162</f>
        <v>36.980055165500318</v>
      </c>
      <c r="S42" s="21">
        <f t="shared" si="30"/>
        <v>36.980055165500318</v>
      </c>
      <c r="T42" s="21">
        <f t="shared" si="31"/>
        <v>1.9353865490032738</v>
      </c>
      <c r="U42" s="88">
        <f t="shared" si="32"/>
        <v>36.929375285122056</v>
      </c>
      <c r="V42" s="86">
        <f t="shared" si="6"/>
        <v>-200392.76540999999</v>
      </c>
      <c r="W42" s="85">
        <f t="shared" si="7"/>
        <v>-4225.3239992296285</v>
      </c>
      <c r="X42" s="85">
        <f t="shared" si="8"/>
        <v>-80073.780473090665</v>
      </c>
      <c r="Y42" s="90">
        <f t="shared" si="9"/>
        <v>4225.3239992296285</v>
      </c>
      <c r="Z42" s="86">
        <f t="shared" si="10"/>
        <v>-8791.8904500000008</v>
      </c>
      <c r="AA42" s="85">
        <f t="shared" si="11"/>
        <v>-913.46204712425447</v>
      </c>
      <c r="AB42" s="85">
        <f t="shared" si="12"/>
        <v>-913.54562661021282</v>
      </c>
      <c r="AC42" s="90">
        <f t="shared" si="13"/>
        <v>913.46204712425447</v>
      </c>
      <c r="AD42" s="86">
        <f t="shared" si="14"/>
        <v>201469.44758000001</v>
      </c>
      <c r="AE42" s="85">
        <f t="shared" si="15"/>
        <v>4140.4375383844126</v>
      </c>
      <c r="AF42" s="85">
        <f t="shared" si="16"/>
        <v>79732.39096799196</v>
      </c>
      <c r="AG42" s="90">
        <f t="shared" si="17"/>
        <v>4140.4375383844126</v>
      </c>
      <c r="AH42" s="86">
        <f t="shared" si="33"/>
        <v>9199.6451699999998</v>
      </c>
      <c r="AI42" s="85">
        <f t="shared" si="18"/>
        <v>6238.0466047659793</v>
      </c>
      <c r="AJ42" s="85">
        <f t="shared" si="19"/>
        <v>6251.1596003916256</v>
      </c>
      <c r="AK42" s="90">
        <f t="shared" si="20"/>
        <v>6238.0466047659793</v>
      </c>
      <c r="AM42" s="95">
        <f t="shared" si="21"/>
        <v>0</v>
      </c>
      <c r="AN42" s="95">
        <f t="shared" si="22"/>
        <v>0</v>
      </c>
      <c r="AO42" s="95">
        <f t="shared" si="23"/>
        <v>0</v>
      </c>
      <c r="AP42" s="95">
        <f t="shared" si="24"/>
        <v>0</v>
      </c>
      <c r="AQ42"/>
      <c r="AR42" s="95">
        <f t="shared" si="25"/>
        <v>0</v>
      </c>
      <c r="AS42" s="95">
        <f t="shared" si="26"/>
        <v>0</v>
      </c>
      <c r="AT42" s="95">
        <f>Geraetedaten!$B$94*ABS(SIN(RADIANS($A42)))</f>
        <v>8.0597372614133498</v>
      </c>
      <c r="AU42" s="95">
        <f>Geraetedaten!$B$94*ABS(COS(RADIANS($A42)))</f>
        <v>153.78894835220436</v>
      </c>
      <c r="AV42" s="95">
        <f>((h_Aw_Sw+Geraetedaten!$B$18)/1000)*(AR42*AT42+AS42*AU42)/100</f>
        <v>0</v>
      </c>
      <c r="AX42" s="18">
        <f>(IF($X$19="ja",1,0))*Geraetedaten!$D$142*COS(RADIANS(2*A42))*(Geraetedaten!$B$154*r_K_D+r_K_SSw*F_SSw/10)/1000+Geraetedaten!$B$152</f>
        <v>594.79999999999995</v>
      </c>
      <c r="AY42" s="18">
        <f>(IF($X$19="ja",1,0))*Geraetedaten!$D$142*COS(RADIANS(2*A42))*(Geraetedaten!$B$157*r_K_D+r_K_SSw*F_SSw/10)/1000+Geraetedaten!$B$155</f>
        <v>537.4</v>
      </c>
      <c r="AZ42" s="201"/>
    </row>
    <row r="43" spans="1:54" ht="13.5" x14ac:dyDescent="0.25">
      <c r="A43" s="16">
        <v>4</v>
      </c>
      <c r="B43" s="16">
        <f t="shared" si="0"/>
        <v>446</v>
      </c>
      <c r="C43" s="19">
        <f t="shared" si="1"/>
        <v>34.306782372021964</v>
      </c>
      <c r="D43" s="17">
        <f t="shared" si="27"/>
        <v>-150691.27679237202</v>
      </c>
      <c r="E43" s="17">
        <f t="shared" si="2"/>
        <v>-8829.6133223720208</v>
      </c>
      <c r="F43" s="17">
        <f t="shared" si="3"/>
        <v>150825.44080762798</v>
      </c>
      <c r="G43" s="17">
        <f t="shared" si="4"/>
        <v>9177.1706176279786</v>
      </c>
      <c r="H43" s="17">
        <f t="shared" si="28"/>
        <v>9177.1706176279786</v>
      </c>
      <c r="I43" s="17">
        <f t="shared" si="5"/>
        <v>6259.1996040778213</v>
      </c>
      <c r="J43" s="20">
        <f>(Geraetedaten!$B$152+(Geraetedaten!$B$153*(Geraetedaten!$B$18+d_y_Sw)/1000))*10</f>
        <v>6051.0442000000003</v>
      </c>
      <c r="K43" s="20">
        <f>(Geraetedaten!$B$165+(Geraetedaten!$B$166*(Geraetedaten!$B$18+d_y_Sw)/1000))*10</f>
        <v>10816.164000000001</v>
      </c>
      <c r="L43" s="20">
        <f>(Geraetedaten!$B$158+(Geraetedaten!$B$159*(Geraetedaten!$B$18+d_y_Sw)/1000)-(Geraetedaten!$B$160*I43/1000))*10</f>
        <v>142.54949303297315</v>
      </c>
      <c r="M43" s="20">
        <f>(Geraetedaten!$B$171+(Geraetedaten!$B$172*(Geraetedaten!$B$18+d_y_Sw)/1000)-(Geraetedaten!$B$173*I43/1000))*10</f>
        <v>598.93218147244784</v>
      </c>
      <c r="N43" s="20">
        <f>IF((H43-J43)/(K43-J43)*(Geraetedaten!$B$174-Geraetedaten!$B$161)&lt;Geraetedaten!$B$174,(H43-J43)/(K43-J43)*(Geraetedaten!$B$174-Geraetedaten!$B$161),Geraetedaten!$B$174)</f>
        <v>262.41744584284976</v>
      </c>
      <c r="O43" s="20">
        <f>N43/Geraetedaten!$B$174*(M43-L43)+L43+C43</f>
        <v>476.26322397294518</v>
      </c>
      <c r="P43" s="20">
        <f t="shared" si="29"/>
        <v>157.89381961676639</v>
      </c>
      <c r="Q43" s="20"/>
      <c r="R43" s="21">
        <f>(N43-Geraetedaten!$B$161)/(Geraetedaten!$B$174-Geraetedaten!$B$161)*(Geraetedaten!$B$175-Geraetedaten!$B$162)+Geraetedaten!$B$162</f>
        <v>37.006919013824778</v>
      </c>
      <c r="S43" s="21">
        <f t="shared" si="30"/>
        <v>37.006919013824778</v>
      </c>
      <c r="T43" s="21">
        <f t="shared" si="31"/>
        <v>2.5814721745388396</v>
      </c>
      <c r="U43" s="88">
        <f t="shared" si="32"/>
        <v>36.916772019068347</v>
      </c>
      <c r="V43" s="86">
        <f t="shared" si="6"/>
        <v>-150656.97000999999</v>
      </c>
      <c r="W43" s="85">
        <f t="shared" si="7"/>
        <v>-4225.3239992296285</v>
      </c>
      <c r="X43" s="85">
        <f t="shared" si="8"/>
        <v>-60200.143047278085</v>
      </c>
      <c r="Y43" s="90">
        <f t="shared" si="9"/>
        <v>4225.3239992296285</v>
      </c>
      <c r="Z43" s="86">
        <f t="shared" si="10"/>
        <v>-8795.3065399999996</v>
      </c>
      <c r="AA43" s="85">
        <f t="shared" si="11"/>
        <v>-913.46204712425447</v>
      </c>
      <c r="AB43" s="85">
        <f t="shared" si="12"/>
        <v>-913.90058448772731</v>
      </c>
      <c r="AC43" s="90">
        <f t="shared" si="13"/>
        <v>913.46204712425447</v>
      </c>
      <c r="AD43" s="86">
        <f t="shared" si="14"/>
        <v>150859.74759000001</v>
      </c>
      <c r="AE43" s="85">
        <f t="shared" si="15"/>
        <v>4140.4375383844126</v>
      </c>
      <c r="AF43" s="85">
        <f t="shared" si="16"/>
        <v>59703.386893949079</v>
      </c>
      <c r="AG43" s="90">
        <f t="shared" si="17"/>
        <v>4140.4375383844126</v>
      </c>
      <c r="AH43" s="86">
        <f t="shared" si="33"/>
        <v>9211.4773999999998</v>
      </c>
      <c r="AI43" s="85">
        <f t="shared" si="18"/>
        <v>6238.0466047659793</v>
      </c>
      <c r="AJ43" s="85">
        <f t="shared" si="19"/>
        <v>6259.1996040778213</v>
      </c>
      <c r="AK43" s="90">
        <f t="shared" si="20"/>
        <v>6238.0466047659793</v>
      </c>
      <c r="AM43" s="95">
        <f t="shared" si="21"/>
        <v>0</v>
      </c>
      <c r="AN43" s="95">
        <f t="shared" si="22"/>
        <v>0</v>
      </c>
      <c r="AO43" s="95">
        <f t="shared" si="23"/>
        <v>0</v>
      </c>
      <c r="AP43" s="95">
        <f t="shared" si="24"/>
        <v>0</v>
      </c>
      <c r="AQ43"/>
      <c r="AR43" s="95">
        <f t="shared" si="25"/>
        <v>0</v>
      </c>
      <c r="AS43" s="95">
        <f t="shared" si="26"/>
        <v>0</v>
      </c>
      <c r="AT43" s="95">
        <f>Geraetedaten!$B$94*ABS(SIN(RADIANS($A43)))</f>
        <v>10.742496956595296</v>
      </c>
      <c r="AU43" s="95">
        <f>Geraetedaten!$B$94*ABS(COS(RADIANS($A43)))</f>
        <v>153.62486374001293</v>
      </c>
      <c r="AV43" s="95">
        <f>((h_Aw_Sw+Geraetedaten!$B$18)/1000)*(AR43*AT43+AS43*AU43)/100</f>
        <v>0</v>
      </c>
      <c r="AX43" s="18">
        <f>(IF($X$19="ja",1,0))*Geraetedaten!$D$142*COS(RADIANS(2*A43))*(Geraetedaten!$B$154*r_K_D+r_K_SSw*F_SSw/10)/1000+Geraetedaten!$B$152</f>
        <v>594.79999999999995</v>
      </c>
      <c r="AY43" s="18">
        <f>(IF($X$19="ja",1,0))*Geraetedaten!$D$142*COS(RADIANS(2*A43))*(Geraetedaten!$B$157*r_K_D+r_K_SSw*F_SSw/10)/1000+Geraetedaten!$B$155</f>
        <v>537.4</v>
      </c>
      <c r="AZ43" s="201"/>
    </row>
    <row r="44" spans="1:54" ht="13.5" x14ac:dyDescent="0.25">
      <c r="A44" s="16">
        <v>5</v>
      </c>
      <c r="B44" s="16">
        <f t="shared" si="0"/>
        <v>445</v>
      </c>
      <c r="C44" s="19">
        <f t="shared" si="1"/>
        <v>35.371465088304269</v>
      </c>
      <c r="D44" s="17">
        <f t="shared" si="27"/>
        <v>-120765.0325650883</v>
      </c>
      <c r="E44" s="17">
        <f t="shared" si="2"/>
        <v>-8836.7787750883053</v>
      </c>
      <c r="F44" s="17">
        <f t="shared" si="3"/>
        <v>120565.7632949117</v>
      </c>
      <c r="G44" s="17">
        <f t="shared" si="4"/>
        <v>9190.7826449116947</v>
      </c>
      <c r="H44" s="17">
        <f t="shared" si="28"/>
        <v>9190.7826449116947</v>
      </c>
      <c r="I44" s="17">
        <f t="shared" si="5"/>
        <v>6269.1724258266349</v>
      </c>
      <c r="J44" s="20">
        <f>(Geraetedaten!$B$152+(Geraetedaten!$B$153*(Geraetedaten!$B$18+d_y_Sw)/1000))*10</f>
        <v>6051.0442000000003</v>
      </c>
      <c r="K44" s="20">
        <f>(Geraetedaten!$B$165+(Geraetedaten!$B$166*(Geraetedaten!$B$18+d_y_Sw)/1000))*10</f>
        <v>10816.164000000001</v>
      </c>
      <c r="L44" s="20">
        <f>(Geraetedaten!$B$158+(Geraetedaten!$B$159*(Geraetedaten!$B$18+d_y_Sw)/1000)-(Geraetedaten!$B$160*I44/1000))*10</f>
        <v>141.81818601413269</v>
      </c>
      <c r="M44" s="20">
        <f>(Geraetedaten!$B$171+(Geraetedaten!$B$172*(Geraetedaten!$B$18+d_y_Sw)/1000)-(Geraetedaten!$B$173*I44/1000))*10</f>
        <v>598.18980462146612</v>
      </c>
      <c r="N44" s="20">
        <f>IF((H44-J44)/(K44-J44)*(Geraetedaten!$B$174-Geraetedaten!$B$161)&lt;Geraetedaten!$B$174,(H44-J44)/(K44-J44)*(Geraetedaten!$B$174-Geraetedaten!$B$161),Geraetedaten!$B$174)</f>
        <v>263.56008467293469</v>
      </c>
      <c r="O44" s="20">
        <f>N44/Geraetedaten!$B$174*(M44-L44)+L44+C44</f>
        <v>477.89300720861957</v>
      </c>
      <c r="P44" s="20">
        <f t="shared" si="29"/>
        <v>158.31046070183226</v>
      </c>
      <c r="Q44" s="20"/>
      <c r="R44" s="21">
        <f>(N44-Geraetedaten!$B$161)/(Geraetedaten!$B$174-Geraetedaten!$B$161)*(Geraetedaten!$B$175-Geraetedaten!$B$162)+Geraetedaten!$B$162</f>
        <v>37.040912519019805</v>
      </c>
      <c r="S44" s="21">
        <f t="shared" si="30"/>
        <v>37.040912519019805</v>
      </c>
      <c r="T44" s="21">
        <f t="shared" si="31"/>
        <v>3.2283282426462008</v>
      </c>
      <c r="U44" s="88">
        <f t="shared" si="32"/>
        <v>36.899960663927693</v>
      </c>
      <c r="V44" s="86">
        <f t="shared" si="6"/>
        <v>-120729.6611</v>
      </c>
      <c r="W44" s="85">
        <f t="shared" si="7"/>
        <v>-4225.3239992296285</v>
      </c>
      <c r="X44" s="85">
        <f t="shared" si="8"/>
        <v>-48241.663612897442</v>
      </c>
      <c r="Y44" s="90">
        <f t="shared" si="9"/>
        <v>4225.3239992296285</v>
      </c>
      <c r="Z44" s="86">
        <f t="shared" si="10"/>
        <v>-8801.4073100000005</v>
      </c>
      <c r="AA44" s="85">
        <f t="shared" si="11"/>
        <v>-913.46204712425447</v>
      </c>
      <c r="AB44" s="85">
        <f t="shared" si="12"/>
        <v>-914.53450266153834</v>
      </c>
      <c r="AC44" s="90">
        <f t="shared" si="13"/>
        <v>913.46204712425447</v>
      </c>
      <c r="AD44" s="86">
        <f t="shared" si="14"/>
        <v>120601.13476</v>
      </c>
      <c r="AE44" s="85">
        <f t="shared" si="15"/>
        <v>4140.4375383844126</v>
      </c>
      <c r="AF44" s="85">
        <f t="shared" si="16"/>
        <v>47728.412140057961</v>
      </c>
      <c r="AG44" s="90">
        <f t="shared" si="17"/>
        <v>4140.4375383844126</v>
      </c>
      <c r="AH44" s="86">
        <f t="shared" si="33"/>
        <v>9226.1541099999995</v>
      </c>
      <c r="AI44" s="85">
        <f t="shared" si="18"/>
        <v>6238.0466047659793</v>
      </c>
      <c r="AJ44" s="85">
        <f t="shared" si="19"/>
        <v>6269.1724258266349</v>
      </c>
      <c r="AK44" s="90">
        <f t="shared" si="20"/>
        <v>6238.0466047659793</v>
      </c>
      <c r="AM44" s="95">
        <f t="shared" si="21"/>
        <v>0</v>
      </c>
      <c r="AN44" s="95">
        <f t="shared" si="22"/>
        <v>0</v>
      </c>
      <c r="AO44" s="95">
        <f t="shared" si="23"/>
        <v>0</v>
      </c>
      <c r="AP44" s="95">
        <f t="shared" si="24"/>
        <v>0</v>
      </c>
      <c r="AQ44"/>
      <c r="AR44" s="95">
        <f t="shared" si="25"/>
        <v>0</v>
      </c>
      <c r="AS44" s="95">
        <f t="shared" si="26"/>
        <v>0</v>
      </c>
      <c r="AT44" s="95">
        <f>Geraetedaten!$B$94*ABS(SIN(RADIANS($A44)))</f>
        <v>13.421984383139357</v>
      </c>
      <c r="AU44" s="95">
        <f>Geraetedaten!$B$94*ABS(COS(RADIANS($A44)))</f>
        <v>153.4139835061288</v>
      </c>
      <c r="AV44" s="95">
        <f>((h_Aw_Sw+Geraetedaten!$B$18)/1000)*(AR44*AT44+AS44*AU44)/100</f>
        <v>0</v>
      </c>
      <c r="AX44" s="18">
        <f>(IF($X$19="ja",1,0))*Geraetedaten!$D$142*COS(RADIANS(2*A44))*(Geraetedaten!$B$154*r_K_D+r_K_SSw*F_SSw/10)/1000+Geraetedaten!$B$152</f>
        <v>594.79999999999995</v>
      </c>
      <c r="AY44" s="18">
        <f>(IF($X$19="ja",1,0))*Geraetedaten!$D$142*COS(RADIANS(2*A44))*(Geraetedaten!$B$157*r_K_D+r_K_SSw*F_SSw/10)/1000+Geraetedaten!$B$155</f>
        <v>537.4</v>
      </c>
      <c r="AZ44" s="201"/>
    </row>
    <row r="45" spans="1:54" ht="13.5" x14ac:dyDescent="0.25">
      <c r="A45" s="16">
        <v>6</v>
      </c>
      <c r="B45" s="16">
        <f t="shared" si="0"/>
        <v>444</v>
      </c>
      <c r="C45" s="19">
        <f t="shared" si="1"/>
        <v>36.425373313669596</v>
      </c>
      <c r="D45" s="17">
        <f t="shared" si="27"/>
        <v>-100783.77998331367</v>
      </c>
      <c r="E45" s="17">
        <f t="shared" si="2"/>
        <v>-8846.6274733136706</v>
      </c>
      <c r="F45" s="17">
        <f t="shared" si="3"/>
        <v>100441.92492668633</v>
      </c>
      <c r="G45" s="17">
        <f t="shared" si="4"/>
        <v>9207.2724966863298</v>
      </c>
      <c r="H45" s="17">
        <f t="shared" si="28"/>
        <v>9207.2724966863298</v>
      </c>
      <c r="I45" s="17">
        <f t="shared" si="5"/>
        <v>6281.0934130176402</v>
      </c>
      <c r="J45" s="20">
        <f>(Geraetedaten!$B$152+(Geraetedaten!$B$153*(Geraetedaten!$B$18+d_y_Sw)/1000))*10</f>
        <v>6051.0442000000003</v>
      </c>
      <c r="K45" s="20">
        <f>(Geraetedaten!$B$165+(Geraetedaten!$B$166*(Geraetedaten!$B$18+d_y_Sw)/1000))*10</f>
        <v>10816.164000000001</v>
      </c>
      <c r="L45" s="20">
        <f>(Geraetedaten!$B$158+(Geraetedaten!$B$159*(Geraetedaten!$B$18+d_y_Sw)/1000)-(Geraetedaten!$B$160*I45/1000))*10</f>
        <v>140.94402002341633</v>
      </c>
      <c r="M45" s="20">
        <f>(Geraetedaten!$B$171+(Geraetedaten!$B$172*(Geraetedaten!$B$18+d_y_Sw)/1000)-(Geraetedaten!$B$173*I45/1000))*10</f>
        <v>597.30240633496771</v>
      </c>
      <c r="N45" s="20">
        <f>IF((H45-J45)/(K45-J45)*(Geraetedaten!$B$174-Geraetedaten!$B$161)&lt;Geraetedaten!$B$174,(H45-J45)/(K45-J45)*(Geraetedaten!$B$174-Geraetedaten!$B$161),Geraetedaten!$B$174)</f>
        <v>264.94429765953242</v>
      </c>
      <c r="O45" s="20">
        <f>N45/Geraetedaten!$B$174*(M45-L45)+L45+C45</f>
        <v>479.64327369296478</v>
      </c>
      <c r="P45" s="20">
        <f t="shared" si="29"/>
        <v>158.73932974852443</v>
      </c>
      <c r="Q45" s="20"/>
      <c r="R45" s="21">
        <f>(N45-Geraetedaten!$B$161)/(Geraetedaten!$B$174-Geraetedaten!$B$161)*(Geraetedaten!$B$175-Geraetedaten!$B$162)+Geraetedaten!$B$162</f>
        <v>37.082092855371087</v>
      </c>
      <c r="S45" s="21">
        <f t="shared" si="30"/>
        <v>37.082092855371087</v>
      </c>
      <c r="T45" s="21">
        <f t="shared" si="31"/>
        <v>3.876134180920372</v>
      </c>
      <c r="U45" s="88">
        <f t="shared" si="32"/>
        <v>36.87895327074596</v>
      </c>
      <c r="V45" s="86">
        <f t="shared" si="6"/>
        <v>-100747.35460999999</v>
      </c>
      <c r="W45" s="85">
        <f t="shared" si="7"/>
        <v>-4225.3239992296285</v>
      </c>
      <c r="X45" s="85">
        <f t="shared" si="8"/>
        <v>-40257.049898752688</v>
      </c>
      <c r="Y45" s="90">
        <f t="shared" si="9"/>
        <v>4225.3239992296285</v>
      </c>
      <c r="Z45" s="86">
        <f t="shared" si="10"/>
        <v>-8810.2021000000004</v>
      </c>
      <c r="AA45" s="85">
        <f t="shared" si="11"/>
        <v>-913.46204712425447</v>
      </c>
      <c r="AB45" s="85">
        <f t="shared" si="12"/>
        <v>-915.44834886213278</v>
      </c>
      <c r="AC45" s="90">
        <f t="shared" si="13"/>
        <v>913.46204712425447</v>
      </c>
      <c r="AD45" s="86">
        <f t="shared" si="14"/>
        <v>100478.35030000001</v>
      </c>
      <c r="AE45" s="85">
        <f t="shared" si="15"/>
        <v>4140.4375383844126</v>
      </c>
      <c r="AF45" s="85">
        <f t="shared" si="16"/>
        <v>39764.734585377919</v>
      </c>
      <c r="AG45" s="90">
        <f t="shared" si="17"/>
        <v>4140.4375383844126</v>
      </c>
      <c r="AH45" s="86">
        <f t="shared" si="33"/>
        <v>9243.69787</v>
      </c>
      <c r="AI45" s="85">
        <f t="shared" si="18"/>
        <v>6238.0466047659793</v>
      </c>
      <c r="AJ45" s="85">
        <f t="shared" si="19"/>
        <v>6281.0934130176402</v>
      </c>
      <c r="AK45" s="90">
        <f t="shared" si="20"/>
        <v>6238.0466047659793</v>
      </c>
      <c r="AM45" s="95">
        <f t="shared" si="21"/>
        <v>0</v>
      </c>
      <c r="AN45" s="95">
        <f t="shared" si="22"/>
        <v>0</v>
      </c>
      <c r="AO45" s="95">
        <f t="shared" si="23"/>
        <v>0</v>
      </c>
      <c r="AP45" s="95">
        <f t="shared" si="24"/>
        <v>0</v>
      </c>
      <c r="AQ45"/>
      <c r="AR45" s="95">
        <f t="shared" si="25"/>
        <v>0</v>
      </c>
      <c r="AS45" s="95">
        <f t="shared" si="26"/>
        <v>0</v>
      </c>
      <c r="AT45" s="95">
        <f>Geraetedaten!$B$94*ABS(SIN(RADIANS($A45)))</f>
        <v>16.097383343218635</v>
      </c>
      <c r="AU45" s="95">
        <f>Geraetedaten!$B$94*ABS(COS(RADIANS($A45)))</f>
        <v>153.15637188671408</v>
      </c>
      <c r="AV45" s="95">
        <f>((h_Aw_Sw+Geraetedaten!$B$18)/1000)*(AR45*AT45+AS45*AU45)/100</f>
        <v>0</v>
      </c>
      <c r="AX45" s="18">
        <f>(IF($X$19="ja",1,0))*Geraetedaten!$D$142*COS(RADIANS(2*A45))*(Geraetedaten!$B$154*r_K_D+r_K_SSw*F_SSw/10)/1000+Geraetedaten!$B$152</f>
        <v>594.79999999999995</v>
      </c>
      <c r="AY45" s="18">
        <f>(IF($X$19="ja",1,0))*Geraetedaten!$D$142*COS(RADIANS(2*A45))*(Geraetedaten!$B$157*r_K_D+r_K_SSw*F_SSw/10)/1000+Geraetedaten!$B$155</f>
        <v>537.4</v>
      </c>
      <c r="AZ45" s="201"/>
    </row>
    <row r="46" spans="1:54" ht="13.5" x14ac:dyDescent="0.25">
      <c r="A46" s="16">
        <v>7</v>
      </c>
      <c r="B46" s="16">
        <f t="shared" si="0"/>
        <v>443</v>
      </c>
      <c r="C46" s="19">
        <f t="shared" si="1"/>
        <v>37.468186017463061</v>
      </c>
      <c r="D46" s="17">
        <f t="shared" si="27"/>
        <v>-86500.431496017467</v>
      </c>
      <c r="E46" s="17">
        <f t="shared" si="2"/>
        <v>-8859.1725260174626</v>
      </c>
      <c r="F46" s="17">
        <f t="shared" si="3"/>
        <v>86095.488713982544</v>
      </c>
      <c r="G46" s="17">
        <f t="shared" si="4"/>
        <v>9226.6676139825377</v>
      </c>
      <c r="H46" s="17">
        <f t="shared" si="28"/>
        <v>9226.6676139825377</v>
      </c>
      <c r="I46" s="17">
        <f t="shared" si="5"/>
        <v>6294.9809880209432</v>
      </c>
      <c r="J46" s="20">
        <f>(Geraetedaten!$B$152+(Geraetedaten!$B$153*(Geraetedaten!$B$18+d_y_Sw)/1000))*10</f>
        <v>6051.0442000000003</v>
      </c>
      <c r="K46" s="20">
        <f>(Geraetedaten!$B$165+(Geraetedaten!$B$166*(Geraetedaten!$B$18+d_y_Sw)/1000))*10</f>
        <v>10816.164000000001</v>
      </c>
      <c r="L46" s="20">
        <f>(Geraetedaten!$B$158+(Geraetedaten!$B$159*(Geraetedaten!$B$18+d_y_Sw)/1000)-(Geraetedaten!$B$160*I46/1000))*10</f>
        <v>139.92564414842411</v>
      </c>
      <c r="M46" s="20">
        <f>(Geraetedaten!$B$171+(Geraetedaten!$B$172*(Geraetedaten!$B$18+d_y_Sw)/1000)-(Geraetedaten!$B$173*I46/1000))*10</f>
        <v>596.26861525172183</v>
      </c>
      <c r="N46" s="20">
        <f>IF((H46-J46)/(K46-J46)*(Geraetedaten!$B$174-Geraetedaten!$B$161)&lt;Geraetedaten!$B$174,(H46-J46)/(K46-J46)*(Geraetedaten!$B$174-Geraetedaten!$B$161),Geraetedaten!$B$174)</f>
        <v>266.57238829399728</v>
      </c>
      <c r="O46" s="20">
        <f>N46/Geraetedaten!$B$174*(M46-L46)+L46+C46</f>
        <v>481.51491938634882</v>
      </c>
      <c r="P46" s="20">
        <f t="shared" si="29"/>
        <v>159.18021089261114</v>
      </c>
      <c r="Q46" s="20"/>
      <c r="R46" s="21">
        <f>(N46-Geraetedaten!$B$161)/(Geraetedaten!$B$174-Geraetedaten!$B$161)*(Geraetedaten!$B$175-Geraetedaten!$B$162)+Geraetedaten!$B$162</f>
        <v>37.130528551746423</v>
      </c>
      <c r="S46" s="21">
        <f t="shared" si="30"/>
        <v>37.130528551746423</v>
      </c>
      <c r="T46" s="21">
        <f t="shared" si="31"/>
        <v>4.5250731348874176</v>
      </c>
      <c r="U46" s="88">
        <f t="shared" si="32"/>
        <v>36.853763222444144</v>
      </c>
      <c r="V46" s="86">
        <f t="shared" si="6"/>
        <v>-86462.963310000006</v>
      </c>
      <c r="W46" s="85">
        <f t="shared" si="7"/>
        <v>-4225.3239992296285</v>
      </c>
      <c r="X46" s="85">
        <f t="shared" si="8"/>
        <v>-34549.232998840016</v>
      </c>
      <c r="Y46" s="90">
        <f t="shared" si="9"/>
        <v>4225.3239992296285</v>
      </c>
      <c r="Z46" s="86">
        <f t="shared" si="10"/>
        <v>-8821.7043400000002</v>
      </c>
      <c r="AA46" s="85">
        <f t="shared" si="11"/>
        <v>-913.46204712425447</v>
      </c>
      <c r="AB46" s="85">
        <f t="shared" si="12"/>
        <v>-916.64352098997324</v>
      </c>
      <c r="AC46" s="90">
        <f t="shared" si="13"/>
        <v>913.46204712425447</v>
      </c>
      <c r="AD46" s="86">
        <f t="shared" si="14"/>
        <v>86132.956900000005</v>
      </c>
      <c r="AE46" s="85">
        <f t="shared" si="15"/>
        <v>4140.4375383844126</v>
      </c>
      <c r="AF46" s="85">
        <f t="shared" si="16"/>
        <v>34087.48411983117</v>
      </c>
      <c r="AG46" s="90">
        <f t="shared" si="17"/>
        <v>4140.4375383844126</v>
      </c>
      <c r="AH46" s="86">
        <f t="shared" si="33"/>
        <v>9264.1358</v>
      </c>
      <c r="AI46" s="85">
        <f t="shared" si="18"/>
        <v>6238.0466047659793</v>
      </c>
      <c r="AJ46" s="85">
        <f t="shared" si="19"/>
        <v>6294.9809880209432</v>
      </c>
      <c r="AK46" s="90">
        <f t="shared" si="20"/>
        <v>6238.0466047659793</v>
      </c>
      <c r="AM46" s="95">
        <f t="shared" si="21"/>
        <v>0</v>
      </c>
      <c r="AN46" s="95">
        <f t="shared" si="22"/>
        <v>0</v>
      </c>
      <c r="AO46" s="95">
        <f t="shared" si="23"/>
        <v>0</v>
      </c>
      <c r="AP46" s="95">
        <f t="shared" si="24"/>
        <v>0</v>
      </c>
      <c r="AQ46"/>
      <c r="AR46" s="95">
        <f t="shared" si="25"/>
        <v>0</v>
      </c>
      <c r="AS46" s="95">
        <f t="shared" si="26"/>
        <v>0</v>
      </c>
      <c r="AT46" s="95">
        <f>Geraetedaten!$B$94*ABS(SIN(RADIANS($A46)))</f>
        <v>18.767878884392712</v>
      </c>
      <c r="AU46" s="95">
        <f>Geraetedaten!$B$94*ABS(COS(RADIANS($A46)))</f>
        <v>152.8521073527636</v>
      </c>
      <c r="AV46" s="95">
        <f>((h_Aw_Sw+Geraetedaten!$B$18)/1000)*(AR46*AT46+AS46*AU46)/100</f>
        <v>0</v>
      </c>
      <c r="AX46" s="18">
        <f>(IF($X$19="ja",1,0))*Geraetedaten!$D$142*COS(RADIANS(2*A46))*(Geraetedaten!$B$154*r_K_D+r_K_SSw*F_SSw/10)/1000+Geraetedaten!$B$152</f>
        <v>594.79999999999995</v>
      </c>
      <c r="AY46" s="18">
        <f>(IF($X$19="ja",1,0))*Geraetedaten!$D$142*COS(RADIANS(2*A46))*(Geraetedaten!$B$157*r_K_D+r_K_SSw*F_SSw/10)/1000+Geraetedaten!$B$155</f>
        <v>537.4</v>
      </c>
      <c r="AZ46" s="201"/>
    </row>
    <row r="47" spans="1:54" ht="13.5" x14ac:dyDescent="0.25">
      <c r="A47" s="16">
        <v>8</v>
      </c>
      <c r="B47" s="16">
        <f t="shared" si="0"/>
        <v>442</v>
      </c>
      <c r="C47" s="19">
        <f t="shared" si="1"/>
        <v>38.499585548833146</v>
      </c>
      <c r="D47" s="17">
        <f t="shared" si="27"/>
        <v>-75784.888625548832</v>
      </c>
      <c r="E47" s="17">
        <f t="shared" si="2"/>
        <v>-8874.431265548832</v>
      </c>
      <c r="F47" s="17">
        <f t="shared" si="3"/>
        <v>75353.615664451165</v>
      </c>
      <c r="G47" s="17">
        <f t="shared" si="4"/>
        <v>9249.0000544511677</v>
      </c>
      <c r="H47" s="17">
        <f t="shared" si="28"/>
        <v>9249.0000544511677</v>
      </c>
      <c r="I47" s="17">
        <f t="shared" si="5"/>
        <v>6310.8567181499666</v>
      </c>
      <c r="J47" s="20">
        <f>(Geraetedaten!$B$152+(Geraetedaten!$B$153*(Geraetedaten!$B$18+d_y_Sw)/1000))*10</f>
        <v>6051.0442000000003</v>
      </c>
      <c r="K47" s="20">
        <f>(Geraetedaten!$B$165+(Geraetedaten!$B$166*(Geraetedaten!$B$18+d_y_Sw)/1000))*10</f>
        <v>10816.164000000001</v>
      </c>
      <c r="L47" s="20">
        <f>(Geraetedaten!$B$158+(Geraetedaten!$B$159*(Geraetedaten!$B$18+d_y_Sw)/1000)-(Geraetedaten!$B$160*I47/1000))*10</f>
        <v>138.76147685806279</v>
      </c>
      <c r="M47" s="20">
        <f>(Geraetedaten!$B$171+(Geraetedaten!$B$172*(Geraetedaten!$B$18+d_y_Sw)/1000)-(Geraetedaten!$B$173*I47/1000))*10</f>
        <v>595.08682590091735</v>
      </c>
      <c r="N47" s="20">
        <f>IF((H47-J47)/(K47-J47)*(Geraetedaten!$B$174-Geraetedaten!$B$161)&lt;Geraetedaten!$B$174,(H47-J47)/(K47-J47)*(Geraetedaten!$B$174-Geraetedaten!$B$161),Geraetedaten!$B$174)</f>
        <v>268.44704760213307</v>
      </c>
      <c r="O47" s="20">
        <f>N47/Geraetedaten!$B$174*(M47-L47)+L47+C47</f>
        <v>483.50904414831382</v>
      </c>
      <c r="P47" s="20">
        <f t="shared" si="29"/>
        <v>159.63289796433526</v>
      </c>
      <c r="Q47" s="20"/>
      <c r="R47" s="21">
        <f>(N47-Geraetedaten!$B$161)/(Geraetedaten!$B$174-Geraetedaten!$B$161)*(Geraetedaten!$B$175-Geraetedaten!$B$162)+Geraetedaten!$B$162</f>
        <v>37.186299666163457</v>
      </c>
      <c r="S47" s="21">
        <f t="shared" si="30"/>
        <v>37.186299666163457</v>
      </c>
      <c r="T47" s="21">
        <f t="shared" si="31"/>
        <v>5.1753326377702145</v>
      </c>
      <c r="U47" s="88">
        <f t="shared" si="32"/>
        <v>36.82440515405699</v>
      </c>
      <c r="V47" s="86">
        <f t="shared" si="6"/>
        <v>-75746.389039999995</v>
      </c>
      <c r="W47" s="85">
        <f t="shared" si="7"/>
        <v>-4225.3239992296285</v>
      </c>
      <c r="X47" s="85">
        <f t="shared" si="8"/>
        <v>-30267.059369031467</v>
      </c>
      <c r="Y47" s="90">
        <f t="shared" si="9"/>
        <v>4225.3239992296285</v>
      </c>
      <c r="Z47" s="86">
        <f t="shared" si="10"/>
        <v>-8835.9316799999997</v>
      </c>
      <c r="AA47" s="85">
        <f t="shared" si="11"/>
        <v>-913.46204712425447</v>
      </c>
      <c r="AB47" s="85">
        <f t="shared" si="12"/>
        <v>-918.12185234548565</v>
      </c>
      <c r="AC47" s="90">
        <f t="shared" si="13"/>
        <v>913.46204712425447</v>
      </c>
      <c r="AD47" s="86">
        <f t="shared" si="14"/>
        <v>75392.115250000003</v>
      </c>
      <c r="AE47" s="85">
        <f t="shared" si="15"/>
        <v>4140.4375383844126</v>
      </c>
      <c r="AF47" s="85">
        <f t="shared" si="16"/>
        <v>29836.750342044441</v>
      </c>
      <c r="AG47" s="90">
        <f t="shared" si="17"/>
        <v>4140.4375383844126</v>
      </c>
      <c r="AH47" s="86">
        <f t="shared" si="33"/>
        <v>9287.49964</v>
      </c>
      <c r="AI47" s="85">
        <f t="shared" si="18"/>
        <v>6238.0466047659793</v>
      </c>
      <c r="AJ47" s="85">
        <f t="shared" si="19"/>
        <v>6310.8567181499666</v>
      </c>
      <c r="AK47" s="90">
        <f t="shared" si="20"/>
        <v>6238.0466047659793</v>
      </c>
      <c r="AM47" s="95">
        <f t="shared" si="21"/>
        <v>0</v>
      </c>
      <c r="AN47" s="95">
        <f t="shared" si="22"/>
        <v>0</v>
      </c>
      <c r="AO47" s="95">
        <f t="shared" si="23"/>
        <v>0</v>
      </c>
      <c r="AP47" s="95">
        <f t="shared" si="24"/>
        <v>0</v>
      </c>
      <c r="AQ47"/>
      <c r="AR47" s="95">
        <f t="shared" si="25"/>
        <v>0</v>
      </c>
      <c r="AS47" s="95">
        <f t="shared" si="26"/>
        <v>0</v>
      </c>
      <c r="AT47" s="95">
        <f>Geraetedaten!$B$94*ABS(SIN(RADIANS($A47)))</f>
        <v>21.432657547850077</v>
      </c>
      <c r="AU47" s="95">
        <f>Geraetedaten!$B$94*ABS(COS(RADIANS($A47)))</f>
        <v>152.50128258620182</v>
      </c>
      <c r="AV47" s="95">
        <f>((h_Aw_Sw+Geraetedaten!$B$18)/1000)*(AR47*AT47+AS47*AU47)/100</f>
        <v>0</v>
      </c>
      <c r="AX47" s="18">
        <f>(IF($X$19="ja",1,0))*Geraetedaten!$D$142*COS(RADIANS(2*A47))*(Geraetedaten!$B$154*r_K_D+r_K_SSw*F_SSw/10)/1000+Geraetedaten!$B$152</f>
        <v>594.79999999999995</v>
      </c>
      <c r="AY47" s="18">
        <f>(IF($X$19="ja",1,0))*Geraetedaten!$D$142*COS(RADIANS(2*A47))*(Geraetedaten!$B$157*r_K_D+r_K_SSw*F_SSw/10)/1000+Geraetedaten!$B$155</f>
        <v>537.4</v>
      </c>
      <c r="AZ47" s="201"/>
    </row>
    <row r="48" spans="1:54" ht="13.5" x14ac:dyDescent="0.25">
      <c r="A48" s="16">
        <v>9</v>
      </c>
      <c r="B48" s="16">
        <f t="shared" si="0"/>
        <v>441</v>
      </c>
      <c r="C48" s="19">
        <f t="shared" si="1"/>
        <v>39.519257733491195</v>
      </c>
      <c r="D48" s="17">
        <f t="shared" si="27"/>
        <v>-67451.166517733494</v>
      </c>
      <c r="E48" s="17">
        <f t="shared" si="2"/>
        <v>-8892.4252877334911</v>
      </c>
      <c r="F48" s="17">
        <f t="shared" si="3"/>
        <v>67011.68683226651</v>
      </c>
      <c r="G48" s="17">
        <f t="shared" si="4"/>
        <v>9274.3066122665095</v>
      </c>
      <c r="H48" s="17">
        <f t="shared" si="28"/>
        <v>9274.3066122665095</v>
      </c>
      <c r="I48" s="17">
        <f t="shared" si="5"/>
        <v>6328.745398140828</v>
      </c>
      <c r="J48" s="20">
        <f>(Geraetedaten!$B$152+(Geraetedaten!$B$153*(Geraetedaten!$B$18+d_y_Sw)/1000))*10</f>
        <v>6051.0442000000003</v>
      </c>
      <c r="K48" s="20">
        <f>(Geraetedaten!$B$165+(Geraetedaten!$B$166*(Geraetedaten!$B$18+d_y_Sw)/1000))*10</f>
        <v>10816.164000000001</v>
      </c>
      <c r="L48" s="20">
        <f>(Geraetedaten!$B$158+(Geraetedaten!$B$159*(Geraetedaten!$B$18+d_y_Sw)/1000)-(Geraetedaten!$B$160*I48/1000))*10</f>
        <v>137.44969995433286</v>
      </c>
      <c r="M48" s="20">
        <f>(Geraetedaten!$B$171+(Geraetedaten!$B$172*(Geraetedaten!$B$18+d_y_Sw)/1000)-(Geraetedaten!$B$173*I48/1000))*10</f>
        <v>593.7551925623975</v>
      </c>
      <c r="N48" s="20">
        <f>IF((H48-J48)/(K48-J48)*(Geraetedaten!$B$174-Geraetedaten!$B$161)&lt;Geraetedaten!$B$174,(H48-J48)/(K48-J48)*(Geraetedaten!$B$174-Geraetedaten!$B$161),Geraetedaten!$B$174)</f>
        <v>270.57136420926997</v>
      </c>
      <c r="O48" s="20">
        <f>N48/Geraetedaten!$B$174*(M48-L48)+L48+C48</f>
        <v>485.62695676569155</v>
      </c>
      <c r="P48" s="20">
        <f t="shared" si="29"/>
        <v>160.09719450032506</v>
      </c>
      <c r="Q48" s="20"/>
      <c r="R48" s="21">
        <f>(N48-Geraetedaten!$B$161)/(Geraetedaten!$B$174-Geraetedaten!$B$161)*(Geraetedaten!$B$175-Geraetedaten!$B$162)+Geraetedaten!$B$162</f>
        <v>37.249498085225781</v>
      </c>
      <c r="S48" s="21">
        <f t="shared" si="30"/>
        <v>37.249498085225781</v>
      </c>
      <c r="T48" s="21">
        <f t="shared" si="31"/>
        <v>5.8271053059793996</v>
      </c>
      <c r="U48" s="88">
        <f t="shared" si="32"/>
        <v>36.790894951798414</v>
      </c>
      <c r="V48" s="86">
        <f t="shared" si="6"/>
        <v>-67411.647259999998</v>
      </c>
      <c r="W48" s="85">
        <f t="shared" si="7"/>
        <v>-4225.3239992296285</v>
      </c>
      <c r="X48" s="85">
        <f t="shared" si="8"/>
        <v>-26936.628339183546</v>
      </c>
      <c r="Y48" s="90">
        <f t="shared" si="9"/>
        <v>4225.3239992296285</v>
      </c>
      <c r="Z48" s="86">
        <f t="shared" si="10"/>
        <v>-8852.9060300000001</v>
      </c>
      <c r="AA48" s="85">
        <f t="shared" si="11"/>
        <v>-913.46204712425447</v>
      </c>
      <c r="AB48" s="85">
        <f t="shared" si="12"/>
        <v>-919.88561851566021</v>
      </c>
      <c r="AC48" s="90">
        <f t="shared" si="13"/>
        <v>913.46204712425447</v>
      </c>
      <c r="AD48" s="86">
        <f t="shared" si="14"/>
        <v>67051.206090000007</v>
      </c>
      <c r="AE48" s="85">
        <f t="shared" si="15"/>
        <v>4140.4375383844126</v>
      </c>
      <c r="AF48" s="85">
        <f t="shared" si="16"/>
        <v>26535.8000579953</v>
      </c>
      <c r="AG48" s="90">
        <f t="shared" si="17"/>
        <v>4140.4375383844126</v>
      </c>
      <c r="AH48" s="86">
        <f t="shared" si="33"/>
        <v>9313.8258700000006</v>
      </c>
      <c r="AI48" s="85">
        <f t="shared" si="18"/>
        <v>6238.0466047659793</v>
      </c>
      <c r="AJ48" s="85">
        <f t="shared" si="19"/>
        <v>6328.745398140828</v>
      </c>
      <c r="AK48" s="90">
        <f t="shared" si="20"/>
        <v>6238.0466047659793</v>
      </c>
      <c r="AM48" s="95">
        <f t="shared" si="21"/>
        <v>0</v>
      </c>
      <c r="AN48" s="95">
        <f t="shared" si="22"/>
        <v>0</v>
      </c>
      <c r="AO48" s="95">
        <f t="shared" si="23"/>
        <v>0</v>
      </c>
      <c r="AP48" s="95">
        <f t="shared" si="24"/>
        <v>0</v>
      </c>
      <c r="AQ48"/>
      <c r="AR48" s="95">
        <f t="shared" si="25"/>
        <v>0</v>
      </c>
      <c r="AS48" s="95">
        <f t="shared" si="26"/>
        <v>0</v>
      </c>
      <c r="AT48" s="95">
        <f>Geraetedaten!$B$94*ABS(SIN(RADIANS($A48)))</f>
        <v>24.090907616195555</v>
      </c>
      <c r="AU48" s="95">
        <f>Geraetedaten!$B$94*ABS(COS(RADIANS($A48)))</f>
        <v>152.10400445165121</v>
      </c>
      <c r="AV48" s="95">
        <f>((h_Aw_Sw+Geraetedaten!$B$18)/1000)*(AR48*AT48+AS48*AU48)/100</f>
        <v>0</v>
      </c>
      <c r="AX48" s="18">
        <f>(IF($X$19="ja",1,0))*Geraetedaten!$D$142*COS(RADIANS(2*A48))*(Geraetedaten!$B$154*r_K_D+r_K_SSw*F_SSw/10)/1000+Geraetedaten!$B$152</f>
        <v>594.79999999999995</v>
      </c>
      <c r="AY48" s="18">
        <f>(IF($X$19="ja",1,0))*Geraetedaten!$D$142*COS(RADIANS(2*A48))*(Geraetedaten!$B$157*r_K_D+r_K_SSw*F_SSw/10)/1000+Geraetedaten!$B$155</f>
        <v>537.4</v>
      </c>
      <c r="AZ48" s="201"/>
    </row>
    <row r="49" spans="1:52" ht="13.5" x14ac:dyDescent="0.25">
      <c r="A49" s="16">
        <v>10</v>
      </c>
      <c r="B49" s="16">
        <f t="shared" si="0"/>
        <v>440</v>
      </c>
      <c r="C49" s="19">
        <f t="shared" si="1"/>
        <v>40.52689196941197</v>
      </c>
      <c r="D49" s="17">
        <f t="shared" si="27"/>
        <v>-60786.504091969415</v>
      </c>
      <c r="E49" s="17">
        <f t="shared" si="2"/>
        <v>-8913.1805019694111</v>
      </c>
      <c r="F49" s="17">
        <f t="shared" si="3"/>
        <v>60348.060848030589</v>
      </c>
      <c r="G49" s="17">
        <f t="shared" si="4"/>
        <v>9302.6289980305883</v>
      </c>
      <c r="H49" s="17">
        <f t="shared" si="28"/>
        <v>9302.6289980305883</v>
      </c>
      <c r="I49" s="17">
        <f t="shared" si="5"/>
        <v>6348.6751457507371</v>
      </c>
      <c r="J49" s="20">
        <f>(Geraetedaten!$B$152+(Geraetedaten!$B$153*(Geraetedaten!$B$18+d_y_Sw)/1000))*10</f>
        <v>6051.0442000000003</v>
      </c>
      <c r="K49" s="20">
        <f>(Geraetedaten!$B$165+(Geraetedaten!$B$166*(Geraetedaten!$B$18+d_y_Sw)/1000))*10</f>
        <v>10816.164000000001</v>
      </c>
      <c r="L49" s="20">
        <f>(Geraetedaten!$B$158+(Geraetedaten!$B$159*(Geraetedaten!$B$18+d_y_Sw)/1000)-(Geraetedaten!$B$160*I49/1000))*10</f>
        <v>135.98825156209827</v>
      </c>
      <c r="M49" s="20">
        <f>(Geraetedaten!$B$171+(Geraetedaten!$B$172*(Geraetedaten!$B$18+d_y_Sw)/1000)-(Geraetedaten!$B$173*I49/1000))*10</f>
        <v>592.27162215031603</v>
      </c>
      <c r="N49" s="20">
        <f>IF((H49-J49)/(K49-J49)*(Geraetedaten!$B$174-Geraetedaten!$B$161)&lt;Geraetedaten!$B$174,(H49-J49)/(K49-J49)*(Geraetedaten!$B$174-Geraetedaten!$B$161),Geraetedaten!$B$174)</f>
        <v>272.94883944202934</v>
      </c>
      <c r="O49" s="20">
        <f>N49/Geraetedaten!$B$174*(M49-L49)+L49+C49</f>
        <v>487.8701846783888</v>
      </c>
      <c r="P49" s="20">
        <f t="shared" si="29"/>
        <v>160.57291450776324</v>
      </c>
      <c r="Q49" s="20"/>
      <c r="R49" s="21">
        <f>(N49-Geraetedaten!$B$161)/(Geraetedaten!$B$174-Geraetedaten!$B$161)*(Geraetedaten!$B$175-Geraetedaten!$B$162)+Geraetedaten!$B$162</f>
        <v>37.320227973400371</v>
      </c>
      <c r="S49" s="21">
        <f t="shared" si="30"/>
        <v>37.320227973400371</v>
      </c>
      <c r="T49" s="21">
        <f t="shared" si="31"/>
        <v>6.4805895776953708</v>
      </c>
      <c r="U49" s="88">
        <f t="shared" si="32"/>
        <v>36.753249852387768</v>
      </c>
      <c r="V49" s="86">
        <f t="shared" si="6"/>
        <v>-60745.977200000001</v>
      </c>
      <c r="W49" s="85">
        <f t="shared" si="7"/>
        <v>-4225.3239992296285</v>
      </c>
      <c r="X49" s="85">
        <f t="shared" si="8"/>
        <v>-24273.131980622453</v>
      </c>
      <c r="Y49" s="90">
        <f t="shared" si="9"/>
        <v>4225.3239992296285</v>
      </c>
      <c r="Z49" s="86">
        <f t="shared" si="10"/>
        <v>-8872.6536099999994</v>
      </c>
      <c r="AA49" s="85">
        <f t="shared" si="11"/>
        <v>-913.46204712425447</v>
      </c>
      <c r="AB49" s="85">
        <f t="shared" si="12"/>
        <v>-921.93754596559404</v>
      </c>
      <c r="AC49" s="90">
        <f t="shared" si="13"/>
        <v>913.46204712425447</v>
      </c>
      <c r="AD49" s="86">
        <f t="shared" si="14"/>
        <v>60388.587740000003</v>
      </c>
      <c r="AE49" s="85">
        <f t="shared" si="15"/>
        <v>4140.4375383844126</v>
      </c>
      <c r="AF49" s="85">
        <f t="shared" si="16"/>
        <v>23899.040501710777</v>
      </c>
      <c r="AG49" s="90">
        <f t="shared" si="17"/>
        <v>4140.4375383844126</v>
      </c>
      <c r="AH49" s="86">
        <f t="shared" si="33"/>
        <v>9343.15589</v>
      </c>
      <c r="AI49" s="85">
        <f t="shared" si="18"/>
        <v>6238.0466047659793</v>
      </c>
      <c r="AJ49" s="85">
        <f t="shared" si="19"/>
        <v>6348.6751457507371</v>
      </c>
      <c r="AK49" s="90">
        <f t="shared" si="20"/>
        <v>6238.0466047659793</v>
      </c>
      <c r="AM49" s="95">
        <f t="shared" si="21"/>
        <v>0</v>
      </c>
      <c r="AN49" s="95">
        <f t="shared" si="22"/>
        <v>0</v>
      </c>
      <c r="AO49" s="95">
        <f t="shared" si="23"/>
        <v>0</v>
      </c>
      <c r="AP49" s="95">
        <f t="shared" si="24"/>
        <v>0</v>
      </c>
      <c r="AQ49"/>
      <c r="AR49" s="95">
        <f t="shared" si="25"/>
        <v>0</v>
      </c>
      <c r="AS49" s="95">
        <f t="shared" si="26"/>
        <v>0</v>
      </c>
      <c r="AT49" s="95">
        <f>Geraetedaten!$B$94*ABS(SIN(RADIANS($A49)))</f>
        <v>26.741819360707272</v>
      </c>
      <c r="AU49" s="95">
        <f>Geraetedaten!$B$94*ABS(COS(RADIANS($A49)))</f>
        <v>151.66039396388004</v>
      </c>
      <c r="AV49" s="95">
        <f>((h_Aw_Sw+Geraetedaten!$B$18)/1000)*(AR49*AT49+AS49*AU49)/100</f>
        <v>0</v>
      </c>
      <c r="AX49" s="18">
        <f>(IF($X$19="ja",1,0))*Geraetedaten!$D$142*COS(RADIANS(2*A49))*(Geraetedaten!$B$154*r_K_D+r_K_SSw*F_SSw/10)/1000+Geraetedaten!$B$152</f>
        <v>594.79999999999995</v>
      </c>
      <c r="AY49" s="18">
        <f>(IF($X$19="ja",1,0))*Geraetedaten!$D$142*COS(RADIANS(2*A49))*(Geraetedaten!$B$157*r_K_D+r_K_SSw*F_SSw/10)/1000+Geraetedaten!$B$155</f>
        <v>537.4</v>
      </c>
      <c r="AZ49" s="201"/>
    </row>
    <row r="50" spans="1:52" ht="13.5" x14ac:dyDescent="0.25">
      <c r="A50" s="16">
        <v>11</v>
      </c>
      <c r="B50" s="16">
        <f t="shared" si="0"/>
        <v>439</v>
      </c>
      <c r="C50" s="19">
        <f t="shared" si="1"/>
        <v>41.522181321446048</v>
      </c>
      <c r="D50" s="17">
        <f t="shared" si="27"/>
        <v>-55336.745891321443</v>
      </c>
      <c r="E50" s="17">
        <f t="shared" si="2"/>
        <v>-8936.7273013214472</v>
      </c>
      <c r="F50" s="17">
        <f t="shared" si="3"/>
        <v>54904.071888678554</v>
      </c>
      <c r="G50" s="17">
        <f t="shared" si="4"/>
        <v>9334.0139286785525</v>
      </c>
      <c r="H50" s="17">
        <f t="shared" si="28"/>
        <v>9334.0139286785525</v>
      </c>
      <c r="I50" s="17">
        <f t="shared" si="5"/>
        <v>6370.6775111692878</v>
      </c>
      <c r="J50" s="20">
        <f>(Geraetedaten!$B$152+(Geraetedaten!$B$153*(Geraetedaten!$B$18+d_y_Sw)/1000))*10</f>
        <v>6051.0442000000003</v>
      </c>
      <c r="K50" s="20">
        <f>(Geraetedaten!$B$165+(Geraetedaten!$B$166*(Geraetedaten!$B$18+d_y_Sw)/1000))*10</f>
        <v>10816.164000000001</v>
      </c>
      <c r="L50" s="20">
        <f>(Geraetedaten!$B$158+(Geraetedaten!$B$159*(Geraetedaten!$B$18+d_y_Sw)/1000)-(Geraetedaten!$B$160*I50/1000))*10</f>
        <v>134.374818105956</v>
      </c>
      <c r="M50" s="20">
        <f>(Geraetedaten!$B$171+(Geraetedaten!$B$172*(Geraetedaten!$B$18+d_y_Sw)/1000)-(Geraetedaten!$B$173*I50/1000))*10</f>
        <v>590.633766068559</v>
      </c>
      <c r="N50" s="20">
        <f>IF((H50-J50)/(K50-J50)*(Geraetedaten!$B$174-Geraetedaten!$B$161)&lt;Geraetedaten!$B$174,(H50-J50)/(K50-J50)*(Geraetedaten!$B$174-Geraetedaten!$B$161),Geraetedaten!$B$174)</f>
        <v>275.58339487528116</v>
      </c>
      <c r="O50" s="20">
        <f>N50/Geraetedaten!$B$174*(M50-L50)+L50+C50</f>
        <v>490.240473981798</v>
      </c>
      <c r="P50" s="20">
        <f t="shared" si="29"/>
        <v>161.05988116593511</v>
      </c>
      <c r="Q50" s="20"/>
      <c r="R50" s="21">
        <f>(N50-Geraetedaten!$B$161)/(Geraetedaten!$B$174-Geraetedaten!$B$161)*(Geraetedaten!$B$175-Geraetedaten!$B$162)+Geraetedaten!$B$162</f>
        <v>37.398605997539619</v>
      </c>
      <c r="S50" s="21">
        <f t="shared" si="30"/>
        <v>37.398605997539619</v>
      </c>
      <c r="T50" s="21">
        <f t="shared" si="31"/>
        <v>7.1359904388737583</v>
      </c>
      <c r="U50" s="88">
        <f t="shared" si="32"/>
        <v>36.71148827023373</v>
      </c>
      <c r="V50" s="86">
        <f t="shared" si="6"/>
        <v>-55295.223709999998</v>
      </c>
      <c r="W50" s="85">
        <f t="shared" si="7"/>
        <v>-4225.3239992296285</v>
      </c>
      <c r="X50" s="85">
        <f t="shared" si="8"/>
        <v>-22095.097072372653</v>
      </c>
      <c r="Y50" s="90">
        <f t="shared" si="9"/>
        <v>4225.3239992296285</v>
      </c>
      <c r="Z50" s="86">
        <f t="shared" si="10"/>
        <v>-8895.2051200000005</v>
      </c>
      <c r="AA50" s="85">
        <f t="shared" si="11"/>
        <v>-913.46204712425447</v>
      </c>
      <c r="AB50" s="85">
        <f t="shared" si="12"/>
        <v>-924.28082239566891</v>
      </c>
      <c r="AC50" s="90">
        <f t="shared" si="13"/>
        <v>913.46204712425447</v>
      </c>
      <c r="AD50" s="86">
        <f t="shared" si="14"/>
        <v>54945.594069999999</v>
      </c>
      <c r="AE50" s="85">
        <f t="shared" si="15"/>
        <v>4140.4375383844126</v>
      </c>
      <c r="AF50" s="85">
        <f t="shared" si="16"/>
        <v>21744.952603184731</v>
      </c>
      <c r="AG50" s="90">
        <f t="shared" si="17"/>
        <v>4140.4375383844126</v>
      </c>
      <c r="AH50" s="86">
        <f t="shared" si="33"/>
        <v>9375.5361099999991</v>
      </c>
      <c r="AI50" s="85">
        <f t="shared" si="18"/>
        <v>6238.0466047659793</v>
      </c>
      <c r="AJ50" s="85">
        <f t="shared" si="19"/>
        <v>6370.6775111692878</v>
      </c>
      <c r="AK50" s="90">
        <f t="shared" si="20"/>
        <v>6238.0466047659793</v>
      </c>
      <c r="AM50" s="95">
        <f t="shared" si="21"/>
        <v>0</v>
      </c>
      <c r="AN50" s="95">
        <f t="shared" si="22"/>
        <v>0</v>
      </c>
      <c r="AO50" s="95">
        <f t="shared" si="23"/>
        <v>0</v>
      </c>
      <c r="AP50" s="95">
        <f t="shared" si="24"/>
        <v>0</v>
      </c>
      <c r="AQ50"/>
      <c r="AR50" s="95">
        <f t="shared" si="25"/>
        <v>0</v>
      </c>
      <c r="AS50" s="95">
        <f t="shared" si="26"/>
        <v>0</v>
      </c>
      <c r="AT50" s="95">
        <f>Geraetedaten!$B$94*ABS(SIN(RADIANS($A50)))</f>
        <v>29.3845852879879</v>
      </c>
      <c r="AU50" s="95">
        <f>Geraetedaten!$B$94*ABS(COS(RADIANS($A50)))</f>
        <v>151.17058625094026</v>
      </c>
      <c r="AV50" s="95">
        <f>((h_Aw_Sw+Geraetedaten!$B$18)/1000)*(AR50*AT50+AS50*AU50)/100</f>
        <v>0</v>
      </c>
      <c r="AX50" s="18">
        <f>(IF($X$19="ja",1,0))*Geraetedaten!$D$142*COS(RADIANS(2*A50))*(Geraetedaten!$B$154*r_K_D+r_K_SSw*F_SSw/10)/1000+Geraetedaten!$B$152</f>
        <v>594.79999999999995</v>
      </c>
      <c r="AY50" s="18">
        <f>(IF($X$19="ja",1,0))*Geraetedaten!$D$142*COS(RADIANS(2*A50))*(Geraetedaten!$B$157*r_K_D+r_K_SSw*F_SSw/10)/1000+Geraetedaten!$B$155</f>
        <v>537.4</v>
      </c>
      <c r="AZ50" s="201"/>
    </row>
    <row r="51" spans="1:52" ht="13.5" x14ac:dyDescent="0.25">
      <c r="A51" s="16">
        <v>12</v>
      </c>
      <c r="B51" s="16">
        <f t="shared" si="0"/>
        <v>438</v>
      </c>
      <c r="C51" s="19">
        <f t="shared" si="1"/>
        <v>42.504822614815218</v>
      </c>
      <c r="D51" s="17">
        <f t="shared" si="27"/>
        <v>-50798.811802614815</v>
      </c>
      <c r="E51" s="17">
        <f t="shared" si="2"/>
        <v>-8963.1006026148152</v>
      </c>
      <c r="F51" s="17">
        <f t="shared" si="3"/>
        <v>50374.243057385189</v>
      </c>
      <c r="G51" s="17">
        <f t="shared" si="4"/>
        <v>9368.5133873851846</v>
      </c>
      <c r="H51" s="17">
        <f t="shared" si="28"/>
        <v>9368.5133873851846</v>
      </c>
      <c r="I51" s="17">
        <f t="shared" si="5"/>
        <v>6394.787601046216</v>
      </c>
      <c r="J51" s="20">
        <f>(Geraetedaten!$B$152+(Geraetedaten!$B$153*(Geraetedaten!$B$18+d_y_Sw)/1000))*10</f>
        <v>6051.0442000000003</v>
      </c>
      <c r="K51" s="20">
        <f>(Geraetedaten!$B$165+(Geraetedaten!$B$166*(Geraetedaten!$B$18+d_y_Sw)/1000))*10</f>
        <v>10816.164000000001</v>
      </c>
      <c r="L51" s="20">
        <f>(Geraetedaten!$B$158+(Geraetedaten!$B$159*(Geraetedaten!$B$18+d_y_Sw)/1000)-(Geraetedaten!$B$160*I51/1000))*10</f>
        <v>132.60682521528082</v>
      </c>
      <c r="M51" s="20">
        <f>(Geraetedaten!$B$171+(Geraetedaten!$B$172*(Geraetedaten!$B$18+d_y_Sw)/1000)-(Geraetedaten!$B$173*I51/1000))*10</f>
        <v>588.83901097812054</v>
      </c>
      <c r="N51" s="20">
        <f>IF((H51-J51)/(K51-J51)*(Geraetedaten!$B$174-Geraetedaten!$B$161)&lt;Geraetedaten!$B$174,(H51-J51)/(K51-J51)*(Geraetedaten!$B$174-Geraetedaten!$B$161),Geraetedaten!$B$174)</f>
        <v>278.47939414956022</v>
      </c>
      <c r="O51" s="20">
        <f>N51/Geraetedaten!$B$174*(M51-L51)+L51+C51</f>
        <v>492.73980453700909</v>
      </c>
      <c r="P51" s="20">
        <f t="shared" si="29"/>
        <v>161.55792828780042</v>
      </c>
      <c r="Q51" s="20"/>
      <c r="R51" s="21">
        <f>(N51-Geraetedaten!$B$161)/(Geraetedaten!$B$174-Geraetedaten!$B$161)*(Geraetedaten!$B$175-Geraetedaten!$B$162)+Geraetedaten!$B$162</f>
        <v>37.484761975949418</v>
      </c>
      <c r="S51" s="21">
        <f t="shared" si="30"/>
        <v>37.484761975949418</v>
      </c>
      <c r="T51" s="21">
        <f t="shared" si="31"/>
        <v>7.7935202423208976</v>
      </c>
      <c r="U51" s="88">
        <f t="shared" si="32"/>
        <v>36.665629990852715</v>
      </c>
      <c r="V51" s="86">
        <f t="shared" si="6"/>
        <v>-50756.306980000001</v>
      </c>
      <c r="W51" s="85">
        <f t="shared" si="7"/>
        <v>-4225.3239992296285</v>
      </c>
      <c r="X51" s="85">
        <f t="shared" si="8"/>
        <v>-20281.417715674783</v>
      </c>
      <c r="Y51" s="90">
        <f t="shared" si="9"/>
        <v>4225.3239992296285</v>
      </c>
      <c r="Z51" s="86">
        <f t="shared" si="10"/>
        <v>-8920.5957799999996</v>
      </c>
      <c r="AA51" s="85">
        <f t="shared" si="11"/>
        <v>-913.46204712425447</v>
      </c>
      <c r="AB51" s="85">
        <f t="shared" si="12"/>
        <v>-926.91910893811473</v>
      </c>
      <c r="AC51" s="90">
        <f t="shared" si="13"/>
        <v>913.46204712425447</v>
      </c>
      <c r="AD51" s="86">
        <f t="shared" si="14"/>
        <v>50416.747880000003</v>
      </c>
      <c r="AE51" s="85">
        <f t="shared" si="15"/>
        <v>4140.4375383844126</v>
      </c>
      <c r="AF51" s="85">
        <f t="shared" si="16"/>
        <v>19952.642454807759</v>
      </c>
      <c r="AG51" s="90">
        <f t="shared" si="17"/>
        <v>4140.4375383844126</v>
      </c>
      <c r="AH51" s="86">
        <f t="shared" si="33"/>
        <v>9411.0182100000002</v>
      </c>
      <c r="AI51" s="85">
        <f t="shared" si="18"/>
        <v>6238.0466047659793</v>
      </c>
      <c r="AJ51" s="85">
        <f t="shared" si="19"/>
        <v>6394.787601046216</v>
      </c>
      <c r="AK51" s="90">
        <f t="shared" si="20"/>
        <v>6238.0466047659793</v>
      </c>
      <c r="AM51" s="95">
        <f t="shared" si="21"/>
        <v>0</v>
      </c>
      <c r="AN51" s="95">
        <f t="shared" si="22"/>
        <v>0</v>
      </c>
      <c r="AO51" s="95">
        <f t="shared" si="23"/>
        <v>0</v>
      </c>
      <c r="AP51" s="95">
        <f t="shared" si="24"/>
        <v>0</v>
      </c>
      <c r="AQ51"/>
      <c r="AR51" s="95">
        <f t="shared" si="25"/>
        <v>0</v>
      </c>
      <c r="AS51" s="95">
        <f t="shared" si="26"/>
        <v>0</v>
      </c>
      <c r="AT51" s="95">
        <f>Geraetedaten!$B$94*ABS(SIN(RADIANS($A51)))</f>
        <v>32.018400385934939</v>
      </c>
      <c r="AU51" s="95">
        <f>Geraetedaten!$B$94*ABS(COS(RADIANS($A51)))</f>
        <v>150.63473051300608</v>
      </c>
      <c r="AV51" s="95">
        <f>((h_Aw_Sw+Geraetedaten!$B$18)/1000)*(AR51*AT51+AS51*AU51)/100</f>
        <v>0</v>
      </c>
      <c r="AX51" s="18">
        <f>(IF($X$19="ja",1,0))*Geraetedaten!$D$142*COS(RADIANS(2*A51))*(Geraetedaten!$B$154*r_K_D+r_K_SSw*F_SSw/10)/1000+Geraetedaten!$B$152</f>
        <v>594.79999999999995</v>
      </c>
      <c r="AY51" s="18">
        <f>(IF($X$19="ja",1,0))*Geraetedaten!$D$142*COS(RADIANS(2*A51))*(Geraetedaten!$B$157*r_K_D+r_K_SSw*F_SSw/10)/1000+Geraetedaten!$B$155</f>
        <v>537.4</v>
      </c>
      <c r="AZ51" s="201"/>
    </row>
    <row r="52" spans="1:52" ht="13.5" x14ac:dyDescent="0.25">
      <c r="A52" s="16">
        <v>13</v>
      </c>
      <c r="B52" s="16">
        <f t="shared" si="0"/>
        <v>437</v>
      </c>
      <c r="C52" s="19">
        <f t="shared" si="1"/>
        <v>43.474516527462441</v>
      </c>
      <c r="D52" s="17">
        <f t="shared" si="27"/>
        <v>-46962.701736527466</v>
      </c>
      <c r="E52" s="17">
        <f t="shared" si="2"/>
        <v>-8992.3400365274611</v>
      </c>
      <c r="F52" s="17">
        <f t="shared" si="3"/>
        <v>46547.261573472533</v>
      </c>
      <c r="G52" s="17">
        <f t="shared" si="4"/>
        <v>9406.1847734725379</v>
      </c>
      <c r="H52" s="17">
        <f t="shared" si="28"/>
        <v>9406.1847734725379</v>
      </c>
      <c r="I52" s="17">
        <f t="shared" si="5"/>
        <v>6421.0442180584123</v>
      </c>
      <c r="J52" s="20">
        <f>(Geraetedaten!$B$152+(Geraetedaten!$B$153*(Geraetedaten!$B$18+d_y_Sw)/1000))*10</f>
        <v>6051.0442000000003</v>
      </c>
      <c r="K52" s="20">
        <f>(Geraetedaten!$B$165+(Geraetedaten!$B$166*(Geraetedaten!$B$18+d_y_Sw)/1000))*10</f>
        <v>10816.164000000001</v>
      </c>
      <c r="L52" s="20">
        <f>(Geraetedaten!$B$158+(Geraetedaten!$B$159*(Geraetedaten!$B$18+d_y_Sw)/1000)-(Geraetedaten!$B$160*I52/1000))*10</f>
        <v>130.6814274897765</v>
      </c>
      <c r="M52" s="20">
        <f>(Geraetedaten!$B$171+(Geraetedaten!$B$172*(Geraetedaten!$B$18+d_y_Sw)/1000)-(Geraetedaten!$B$173*I52/1000))*10</f>
        <v>586.8844684077327</v>
      </c>
      <c r="N52" s="20">
        <f>IF((H52-J52)/(K52-J52)*(Geraetedaten!$B$174-Geraetedaten!$B$161)&lt;Geraetedaten!$B$174,(H52-J52)/(K52-J52)*(Geraetedaten!$B$174-Geraetedaten!$B$161),Geraetedaten!$B$174)</f>
        <v>281.64165555481208</v>
      </c>
      <c r="O52" s="20">
        <f>N52/Geraetedaten!$B$174*(M52-L52)+L52+C52</f>
        <v>495.37039330042103</v>
      </c>
      <c r="P52" s="20">
        <f t="shared" si="29"/>
        <v>162.06689930266833</v>
      </c>
      <c r="Q52" s="20"/>
      <c r="R52" s="21">
        <f>(N52-Geraetedaten!$B$161)/(Geraetedaten!$B$174-Geraetedaten!$B$161)*(Geraetedaten!$B$175-Geraetedaten!$B$162)+Geraetedaten!$B$162</f>
        <v>37.578839252755657</v>
      </c>
      <c r="S52" s="21">
        <f t="shared" si="30"/>
        <v>37.578839252755657</v>
      </c>
      <c r="T52" s="21">
        <f t="shared" si="31"/>
        <v>8.4533995109260047</v>
      </c>
      <c r="U52" s="88">
        <f t="shared" si="32"/>
        <v>36.615696037261472</v>
      </c>
      <c r="V52" s="86">
        <f t="shared" si="6"/>
        <v>-46919.227220000001</v>
      </c>
      <c r="W52" s="85">
        <f t="shared" si="7"/>
        <v>-4225.3239992296285</v>
      </c>
      <c r="X52" s="85">
        <f t="shared" si="8"/>
        <v>-18748.181318226627</v>
      </c>
      <c r="Y52" s="90">
        <f t="shared" si="9"/>
        <v>4225.3239992296285</v>
      </c>
      <c r="Z52" s="86">
        <f t="shared" si="10"/>
        <v>-8948.8655199999994</v>
      </c>
      <c r="AA52" s="85">
        <f t="shared" si="11"/>
        <v>-913.46204712425447</v>
      </c>
      <c r="AB52" s="85">
        <f t="shared" si="12"/>
        <v>-929.85655428061705</v>
      </c>
      <c r="AC52" s="90">
        <f t="shared" si="13"/>
        <v>913.46204712425447</v>
      </c>
      <c r="AD52" s="86">
        <f t="shared" si="14"/>
        <v>46590.736089999999</v>
      </c>
      <c r="AE52" s="85">
        <f t="shared" si="15"/>
        <v>4140.4375383844126</v>
      </c>
      <c r="AF52" s="85">
        <f t="shared" si="16"/>
        <v>18438.482013401441</v>
      </c>
      <c r="AG52" s="90">
        <f t="shared" si="17"/>
        <v>4140.4375383844126</v>
      </c>
      <c r="AH52" s="86">
        <f t="shared" si="33"/>
        <v>9449.6592899999996</v>
      </c>
      <c r="AI52" s="85">
        <f t="shared" si="18"/>
        <v>6238.0466047659793</v>
      </c>
      <c r="AJ52" s="85">
        <f t="shared" si="19"/>
        <v>6421.0442180584123</v>
      </c>
      <c r="AK52" s="90">
        <f t="shared" si="20"/>
        <v>6238.0466047659793</v>
      </c>
      <c r="AM52" s="95">
        <f t="shared" si="21"/>
        <v>0</v>
      </c>
      <c r="AN52" s="95">
        <f t="shared" si="22"/>
        <v>0</v>
      </c>
      <c r="AO52" s="95">
        <f t="shared" si="23"/>
        <v>0</v>
      </c>
      <c r="AP52" s="95">
        <f t="shared" si="24"/>
        <v>0</v>
      </c>
      <c r="AQ52"/>
      <c r="AR52" s="95">
        <f t="shared" si="25"/>
        <v>0</v>
      </c>
      <c r="AS52" s="95">
        <f t="shared" si="26"/>
        <v>0</v>
      </c>
      <c r="AT52" s="95">
        <f>Geraetedaten!$B$94*ABS(SIN(RADIANS($A52)))</f>
        <v>34.642462368955208</v>
      </c>
      <c r="AU52" s="95">
        <f>Geraetedaten!$B$94*ABS(COS(RADIANS($A52)))</f>
        <v>150.05298997692623</v>
      </c>
      <c r="AV52" s="95">
        <f>((h_Aw_Sw+Geraetedaten!$B$18)/1000)*(AR52*AT52+AS52*AU52)/100</f>
        <v>0</v>
      </c>
      <c r="AX52" s="18">
        <f>(IF($X$19="ja",1,0))*Geraetedaten!$D$142*COS(RADIANS(2*A52))*(Geraetedaten!$B$154*r_K_D+r_K_SSw*F_SSw/10)/1000+Geraetedaten!$B$152</f>
        <v>594.79999999999995</v>
      </c>
      <c r="AY52" s="18">
        <f>(IF($X$19="ja",1,0))*Geraetedaten!$D$142*COS(RADIANS(2*A52))*(Geraetedaten!$B$157*r_K_D+r_K_SSw*F_SSw/10)/1000+Geraetedaten!$B$155</f>
        <v>537.4</v>
      </c>
      <c r="AZ52" s="201"/>
    </row>
    <row r="53" spans="1:52" ht="13.5" x14ac:dyDescent="0.25">
      <c r="A53" s="16">
        <v>14</v>
      </c>
      <c r="B53" s="16">
        <f t="shared" si="0"/>
        <v>436</v>
      </c>
      <c r="C53" s="19">
        <f t="shared" si="1"/>
        <v>44.43096768122831</v>
      </c>
      <c r="D53" s="17">
        <f t="shared" si="27"/>
        <v>-43678.311557681227</v>
      </c>
      <c r="E53" s="17">
        <f t="shared" si="2"/>
        <v>-9024.490087681228</v>
      </c>
      <c r="F53" s="17">
        <f t="shared" si="3"/>
        <v>43272.292642318775</v>
      </c>
      <c r="G53" s="17">
        <f t="shared" si="4"/>
        <v>9447.0911623187712</v>
      </c>
      <c r="H53" s="17">
        <f t="shared" si="28"/>
        <v>9447.0911623187712</v>
      </c>
      <c r="I53" s="17">
        <f t="shared" si="5"/>
        <v>6449.4900170695018</v>
      </c>
      <c r="J53" s="20">
        <f>(Geraetedaten!$B$152+(Geraetedaten!$B$153*(Geraetedaten!$B$18+d_y_Sw)/1000))*10</f>
        <v>6051.0442000000003</v>
      </c>
      <c r="K53" s="20">
        <f>(Geraetedaten!$B$165+(Geraetedaten!$B$166*(Geraetedaten!$B$18+d_y_Sw)/1000))*10</f>
        <v>10816.164000000001</v>
      </c>
      <c r="L53" s="20">
        <f>(Geraetedaten!$B$158+(Geraetedaten!$B$159*(Geraetedaten!$B$18+d_y_Sw)/1000)-(Geraetedaten!$B$160*I53/1000))*10</f>
        <v>128.59549704829328</v>
      </c>
      <c r="M53" s="20">
        <f>(Geraetedaten!$B$171+(Geraetedaten!$B$172*(Geraetedaten!$B$18+d_y_Sw)/1000)-(Geraetedaten!$B$173*I53/1000))*10</f>
        <v>584.76696312934712</v>
      </c>
      <c r="N53" s="20">
        <f>IF((H53-J53)/(K53-J53)*(Geraetedaten!$B$174-Geraetedaten!$B$161)&lt;Geraetedaten!$B$174,(H53-J53)/(K53-J53)*(Geraetedaten!$B$174-Geraetedaten!$B$161),Geraetedaten!$B$174)</f>
        <v>285.07547384800444</v>
      </c>
      <c r="O53" s="20">
        <f>N53/Geraetedaten!$B$174*(M53-L53)+L53+C53</f>
        <v>498.13470685200986</v>
      </c>
      <c r="P53" s="20">
        <f t="shared" si="29"/>
        <v>162.5866478186642</v>
      </c>
      <c r="Q53" s="20"/>
      <c r="R53" s="21">
        <f>(N53-Geraetedaten!$B$161)/(Geraetedaten!$B$174-Geraetedaten!$B$161)*(Geraetedaten!$B$175-Geraetedaten!$B$162)+Geraetedaten!$B$162</f>
        <v>37.680995346978136</v>
      </c>
      <c r="S53" s="21">
        <f t="shared" si="30"/>
        <v>37.680995346978136</v>
      </c>
      <c r="T53" s="21">
        <f t="shared" si="31"/>
        <v>9.1158578224232105</v>
      </c>
      <c r="U53" s="88">
        <f t="shared" si="32"/>
        <v>36.561708746998598</v>
      </c>
      <c r="V53" s="86">
        <f t="shared" si="6"/>
        <v>-43633.880590000001</v>
      </c>
      <c r="W53" s="85">
        <f t="shared" si="7"/>
        <v>-4225.3239992296285</v>
      </c>
      <c r="X53" s="85">
        <f t="shared" si="8"/>
        <v>-17435.408750826642</v>
      </c>
      <c r="Y53" s="90">
        <f t="shared" si="9"/>
        <v>4225.3239992296285</v>
      </c>
      <c r="Z53" s="86">
        <f t="shared" si="10"/>
        <v>-8980.0591199999999</v>
      </c>
      <c r="AA53" s="85">
        <f t="shared" si="11"/>
        <v>-913.46204712425447</v>
      </c>
      <c r="AB53" s="85">
        <f t="shared" si="12"/>
        <v>-933.09781081955555</v>
      </c>
      <c r="AC53" s="90">
        <f t="shared" si="13"/>
        <v>913.46204712425447</v>
      </c>
      <c r="AD53" s="86">
        <f t="shared" si="14"/>
        <v>43316.723610000001</v>
      </c>
      <c r="AE53" s="85">
        <f t="shared" si="15"/>
        <v>4140.4375383844126</v>
      </c>
      <c r="AF53" s="85">
        <f t="shared" si="16"/>
        <v>17142.777647441882</v>
      </c>
      <c r="AG53" s="90">
        <f t="shared" si="17"/>
        <v>4140.4375383844126</v>
      </c>
      <c r="AH53" s="86">
        <f t="shared" si="33"/>
        <v>9491.5221299999994</v>
      </c>
      <c r="AI53" s="85">
        <f t="shared" si="18"/>
        <v>6238.0466047659793</v>
      </c>
      <c r="AJ53" s="85">
        <f t="shared" si="19"/>
        <v>6449.4900170695018</v>
      </c>
      <c r="AK53" s="90">
        <f t="shared" si="20"/>
        <v>6238.0466047659793</v>
      </c>
      <c r="AM53" s="95">
        <f t="shared" si="21"/>
        <v>0</v>
      </c>
      <c r="AN53" s="95">
        <f t="shared" si="22"/>
        <v>0</v>
      </c>
      <c r="AO53" s="95">
        <f t="shared" si="23"/>
        <v>0</v>
      </c>
      <c r="AP53" s="95">
        <f t="shared" si="24"/>
        <v>0</v>
      </c>
      <c r="AQ53"/>
      <c r="AR53" s="95">
        <f t="shared" si="25"/>
        <v>0</v>
      </c>
      <c r="AS53" s="95">
        <f t="shared" si="26"/>
        <v>0</v>
      </c>
      <c r="AT53" s="95">
        <f>Geraetedaten!$B$94*ABS(SIN(RADIANS($A53)))</f>
        <v>37.255971922348827</v>
      </c>
      <c r="AU53" s="95">
        <f>Geraetedaten!$B$94*ABS(COS(RADIANS($A53)))</f>
        <v>149.42554184650345</v>
      </c>
      <c r="AV53" s="95">
        <f>((h_Aw_Sw+Geraetedaten!$B$18)/1000)*(AR53*AT53+AS53*AU53)/100</f>
        <v>0</v>
      </c>
      <c r="AX53" s="18">
        <f>(IF($X$19="ja",1,0))*Geraetedaten!$D$142*COS(RADIANS(2*A53))*(Geraetedaten!$B$154*r_K_D+r_K_SSw*F_SSw/10)/1000+Geraetedaten!$B$152</f>
        <v>594.79999999999995</v>
      </c>
      <c r="AY53" s="18">
        <f>(IF($X$19="ja",1,0))*Geraetedaten!$D$142*COS(RADIANS(2*A53))*(Geraetedaten!$B$157*r_K_D+r_K_SSw*F_SSw/10)/1000+Geraetedaten!$B$155</f>
        <v>537.4</v>
      </c>
      <c r="AZ53" s="201"/>
    </row>
    <row r="54" spans="1:52" ht="13.5" x14ac:dyDescent="0.25">
      <c r="A54" s="16">
        <v>15</v>
      </c>
      <c r="B54" s="16">
        <f t="shared" si="0"/>
        <v>435</v>
      </c>
      <c r="C54" s="19">
        <f t="shared" si="1"/>
        <v>45.373884731826024</v>
      </c>
      <c r="D54" s="17">
        <f t="shared" si="27"/>
        <v>-40835.500664731822</v>
      </c>
      <c r="E54" s="17">
        <f t="shared" si="2"/>
        <v>-9059.600244731826</v>
      </c>
      <c r="F54" s="17">
        <f t="shared" si="3"/>
        <v>40438.78871526818</v>
      </c>
      <c r="G54" s="17">
        <f t="shared" si="4"/>
        <v>9491.3015352681741</v>
      </c>
      <c r="H54" s="17">
        <f t="shared" si="28"/>
        <v>9491.3015352681741</v>
      </c>
      <c r="I54" s="17">
        <f t="shared" si="5"/>
        <v>6480.1716790787486</v>
      </c>
      <c r="J54" s="20">
        <f>(Geraetedaten!$B$152+(Geraetedaten!$B$153*(Geraetedaten!$B$18+d_y_Sw)/1000))*10</f>
        <v>6051.0442000000003</v>
      </c>
      <c r="K54" s="20">
        <f>(Geraetedaten!$B$165+(Geraetedaten!$B$166*(Geraetedaten!$B$18+d_y_Sw)/1000))*10</f>
        <v>10816.164000000001</v>
      </c>
      <c r="L54" s="20">
        <f>(Geraetedaten!$B$158+(Geraetedaten!$B$159*(Geraetedaten!$B$18+d_y_Sw)/1000)-(Geraetedaten!$B$160*I54/1000))*10</f>
        <v>126.34561077315517</v>
      </c>
      <c r="M54" s="20">
        <f>(Geraetedaten!$B$171+(Geraetedaten!$B$172*(Geraetedaten!$B$18+d_y_Sw)/1000)-(Geraetedaten!$B$173*I54/1000))*10</f>
        <v>582.48302020937876</v>
      </c>
      <c r="N54" s="20">
        <f>IF((H54-J54)/(K54-J54)*(Geraetedaten!$B$174-Geraetedaten!$B$161)&lt;Geraetedaten!$B$174,(H54-J54)/(K54-J54)*(Geraetedaten!$B$174-Geraetedaten!$B$161),Geraetedaten!$B$174)</f>
        <v>288.78663955253955</v>
      </c>
      <c r="O54" s="20">
        <f>N54/Geraetedaten!$B$174*(M54-L54)+L54+C54</f>
        <v>501.03546961820081</v>
      </c>
      <c r="P54" s="20">
        <f t="shared" si="29"/>
        <v>163.11703714031614</v>
      </c>
      <c r="Q54" s="20"/>
      <c r="R54" s="21">
        <f>(N54-Geraetedaten!$B$161)/(Geraetedaten!$B$174-Geraetedaten!$B$161)*(Geraetedaten!$B$175-Geraetedaten!$B$162)+Geraetedaten!$B$162</f>
        <v>37.791402526688053</v>
      </c>
      <c r="S54" s="21">
        <f t="shared" si="30"/>
        <v>37.791402526688053</v>
      </c>
      <c r="T54" s="21">
        <f t="shared" si="31"/>
        <v>9.7811347150423913</v>
      </c>
      <c r="U54" s="88">
        <f t="shared" si="32"/>
        <v>36.503691712213943</v>
      </c>
      <c r="V54" s="86">
        <f t="shared" si="6"/>
        <v>-40790.126779999999</v>
      </c>
      <c r="W54" s="85">
        <f t="shared" si="7"/>
        <v>-4225.3239992296285</v>
      </c>
      <c r="X54" s="85">
        <f t="shared" si="8"/>
        <v>-16299.089693794122</v>
      </c>
      <c r="Y54" s="90">
        <f t="shared" si="9"/>
        <v>4225.3239992296285</v>
      </c>
      <c r="Z54" s="86">
        <f t="shared" si="10"/>
        <v>-9014.2263600000006</v>
      </c>
      <c r="AA54" s="85">
        <f t="shared" si="11"/>
        <v>-913.46204712425447</v>
      </c>
      <c r="AB54" s="85">
        <f t="shared" si="12"/>
        <v>-936.64805296160193</v>
      </c>
      <c r="AC54" s="90">
        <f t="shared" si="13"/>
        <v>913.46204712425447</v>
      </c>
      <c r="AD54" s="86">
        <f t="shared" si="14"/>
        <v>40484.162600000003</v>
      </c>
      <c r="AE54" s="85">
        <f t="shared" si="15"/>
        <v>4140.4375383844126</v>
      </c>
      <c r="AF54" s="85">
        <f t="shared" si="16"/>
        <v>16021.779575998018</v>
      </c>
      <c r="AG54" s="90">
        <f t="shared" si="17"/>
        <v>4140.4375383844126</v>
      </c>
      <c r="AH54" s="86">
        <f t="shared" si="33"/>
        <v>9536.6754199999996</v>
      </c>
      <c r="AI54" s="85">
        <f t="shared" si="18"/>
        <v>6238.0466047659793</v>
      </c>
      <c r="AJ54" s="85">
        <f t="shared" si="19"/>
        <v>6480.1716790787486</v>
      </c>
      <c r="AK54" s="90">
        <f t="shared" si="20"/>
        <v>6238.0466047659793</v>
      </c>
      <c r="AM54" s="95">
        <f t="shared" si="21"/>
        <v>0</v>
      </c>
      <c r="AN54" s="95">
        <f t="shared" si="22"/>
        <v>0</v>
      </c>
      <c r="AO54" s="95">
        <f t="shared" si="23"/>
        <v>0</v>
      </c>
      <c r="AP54" s="95">
        <f t="shared" si="24"/>
        <v>0</v>
      </c>
      <c r="AQ54"/>
      <c r="AR54" s="95">
        <f t="shared" si="25"/>
        <v>0</v>
      </c>
      <c r="AS54" s="95">
        <f t="shared" si="26"/>
        <v>0</v>
      </c>
      <c r="AT54" s="95">
        <f>Geraetedaten!$B$94*ABS(SIN(RADIANS($A54)))</f>
        <v>39.858132945788192</v>
      </c>
      <c r="AU54" s="95">
        <f>Geraetedaten!$B$94*ABS(COS(RADIANS($A54)))</f>
        <v>148.75257724851653</v>
      </c>
      <c r="AV54" s="95">
        <f>((h_Aw_Sw+Geraetedaten!$B$18)/1000)*(AR54*AT54+AS54*AU54)/100</f>
        <v>0</v>
      </c>
      <c r="AX54" s="18">
        <f>(IF($X$19="ja",1,0))*Geraetedaten!$D$142*COS(RADIANS(2*A54))*(Geraetedaten!$B$154*r_K_D+r_K_SSw*F_SSw/10)/1000+Geraetedaten!$B$152</f>
        <v>594.79999999999995</v>
      </c>
      <c r="AY54" s="18">
        <f>(IF($X$19="ja",1,0))*Geraetedaten!$D$142*COS(RADIANS(2*A54))*(Geraetedaten!$B$157*r_K_D+r_K_SSw*F_SSw/10)/1000+Geraetedaten!$B$155</f>
        <v>537.4</v>
      </c>
      <c r="AZ54" s="201"/>
    </row>
    <row r="55" spans="1:52" ht="13.5" x14ac:dyDescent="0.25">
      <c r="A55" s="16">
        <v>16</v>
      </c>
      <c r="B55" s="16">
        <f t="shared" si="0"/>
        <v>434</v>
      </c>
      <c r="C55" s="19">
        <f t="shared" si="1"/>
        <v>46.302980457587736</v>
      </c>
      <c r="D55" s="17">
        <f t="shared" si="27"/>
        <v>-38351.622770457587</v>
      </c>
      <c r="E55" s="17">
        <f t="shared" si="2"/>
        <v>-9097.7252704575876</v>
      </c>
      <c r="F55" s="17">
        <f t="shared" si="3"/>
        <v>37963.881339542415</v>
      </c>
      <c r="G55" s="17">
        <f t="shared" si="4"/>
        <v>9538.8910795424126</v>
      </c>
      <c r="H55" s="17">
        <f t="shared" si="28"/>
        <v>9538.8910795424126</v>
      </c>
      <c r="I55" s="17">
        <f t="shared" si="5"/>
        <v>6513.1401043146188</v>
      </c>
      <c r="J55" s="20">
        <f>(Geraetedaten!$B$152+(Geraetedaten!$B$153*(Geraetedaten!$B$18+d_y_Sw)/1000))*10</f>
        <v>6051.0442000000003</v>
      </c>
      <c r="K55" s="20">
        <f>(Geraetedaten!$B$165+(Geraetedaten!$B$166*(Geraetedaten!$B$18+d_y_Sw)/1000))*10</f>
        <v>10816.164000000001</v>
      </c>
      <c r="L55" s="20">
        <f>(Geraetedaten!$B$158+(Geraetedaten!$B$159*(Geraetedaten!$B$18+d_y_Sw)/1000)-(Geraetedaten!$B$160*I55/1000))*10</f>
        <v>123.92803615060885</v>
      </c>
      <c r="M55" s="20">
        <f>(Geraetedaten!$B$171+(Geraetedaten!$B$172*(Geraetedaten!$B$18+d_y_Sw)/1000)-(Geraetedaten!$B$173*I55/1000))*10</f>
        <v>580.02885063482063</v>
      </c>
      <c r="N55" s="20">
        <f>IF((H55-J55)/(K55-J55)*(Geraetedaten!$B$174-Geraetedaten!$B$161)&lt;Geraetedaten!$B$174,(H55-J55)/(K55-J55)*(Geraetedaten!$B$174-Geraetedaten!$B$161),Geraetedaten!$B$174)</f>
        <v>292.78146413380097</v>
      </c>
      <c r="O55" s="20">
        <f>N55/Geraetedaten!$B$174*(M55-L55)+L55+C55</f>
        <v>504.07567725146328</v>
      </c>
      <c r="P55" s="20">
        <f t="shared" si="29"/>
        <v>163.65794054444666</v>
      </c>
      <c r="Q55" s="20"/>
      <c r="R55" s="21">
        <f>(N55-Geraetedaten!$B$161)/(Geraetedaten!$B$174-Geraetedaten!$B$161)*(Geraetedaten!$B$175-Geraetedaten!$B$162)+Geraetedaten!$B$162</f>
        <v>37.91024855798058</v>
      </c>
      <c r="S55" s="21">
        <f t="shared" si="30"/>
        <v>37.91024855798058</v>
      </c>
      <c r="T55" s="21">
        <f t="shared" si="31"/>
        <v>10.449480670886972</v>
      </c>
      <c r="U55" s="88">
        <f t="shared" si="32"/>
        <v>36.441669822287622</v>
      </c>
      <c r="V55" s="86">
        <f t="shared" si="6"/>
        <v>-38305.319790000001</v>
      </c>
      <c r="W55" s="85">
        <f t="shared" si="7"/>
        <v>-4225.3239992296285</v>
      </c>
      <c r="X55" s="85">
        <f t="shared" si="8"/>
        <v>-15306.200110285745</v>
      </c>
      <c r="Y55" s="90">
        <f t="shared" si="9"/>
        <v>4225.3239992296285</v>
      </c>
      <c r="Z55" s="86">
        <f t="shared" si="10"/>
        <v>-9051.4222900000004</v>
      </c>
      <c r="AA55" s="85">
        <f t="shared" si="11"/>
        <v>-913.46204712425447</v>
      </c>
      <c r="AB55" s="85">
        <f t="shared" si="12"/>
        <v>-940.51299770996377</v>
      </c>
      <c r="AC55" s="90">
        <f t="shared" si="13"/>
        <v>913.46204712425447</v>
      </c>
      <c r="AD55" s="86">
        <f t="shared" si="14"/>
        <v>38010.18432</v>
      </c>
      <c r="AE55" s="85">
        <f t="shared" si="15"/>
        <v>4140.4375383844126</v>
      </c>
      <c r="AF55" s="85">
        <f t="shared" si="16"/>
        <v>15042.692145954792</v>
      </c>
      <c r="AG55" s="90">
        <f t="shared" si="17"/>
        <v>4140.4375383844126</v>
      </c>
      <c r="AH55" s="86">
        <f t="shared" si="33"/>
        <v>9585.1940599999998</v>
      </c>
      <c r="AI55" s="85">
        <f t="shared" si="18"/>
        <v>6238.0466047659793</v>
      </c>
      <c r="AJ55" s="85">
        <f t="shared" si="19"/>
        <v>6513.1401043146188</v>
      </c>
      <c r="AK55" s="90">
        <f t="shared" si="20"/>
        <v>6238.0466047659793</v>
      </c>
      <c r="AM55" s="95">
        <f t="shared" si="21"/>
        <v>0</v>
      </c>
      <c r="AN55" s="95">
        <f t="shared" si="22"/>
        <v>0</v>
      </c>
      <c r="AO55" s="95">
        <f t="shared" si="23"/>
        <v>0</v>
      </c>
      <c r="AP55" s="95">
        <f t="shared" si="24"/>
        <v>0</v>
      </c>
      <c r="AQ55"/>
      <c r="AR55" s="95">
        <f t="shared" si="25"/>
        <v>0</v>
      </c>
      <c r="AS55" s="95">
        <f t="shared" si="26"/>
        <v>0</v>
      </c>
      <c r="AT55" s="95">
        <f>Geraetedaten!$B$94*ABS(SIN(RADIANS($A55)))</f>
        <v>42.448152795817869</v>
      </c>
      <c r="AU55" s="95">
        <f>Geraetedaten!$B$94*ABS(COS(RADIANS($A55)))</f>
        <v>148.03430117450111</v>
      </c>
      <c r="AV55" s="95">
        <f>((h_Aw_Sw+Geraetedaten!$B$18)/1000)*(AR55*AT55+AS55*AU55)/100</f>
        <v>0</v>
      </c>
      <c r="AX55" s="18">
        <f>(IF($X$19="ja",1,0))*Geraetedaten!$D$142*COS(RADIANS(2*A55))*(Geraetedaten!$B$154*r_K_D+r_K_SSw*F_SSw/10)/1000+Geraetedaten!$B$152</f>
        <v>594.79999999999995</v>
      </c>
      <c r="AY55" s="18">
        <f>(IF($X$19="ja",1,0))*Geraetedaten!$D$142*COS(RADIANS(2*A55))*(Geraetedaten!$B$157*r_K_D+r_K_SSw*F_SSw/10)/1000+Geraetedaten!$B$155</f>
        <v>537.4</v>
      </c>
      <c r="AZ55" s="201"/>
    </row>
    <row r="56" spans="1:52" ht="13.5" x14ac:dyDescent="0.25">
      <c r="A56" s="16">
        <v>17</v>
      </c>
      <c r="B56" s="16">
        <f t="shared" si="0"/>
        <v>433</v>
      </c>
      <c r="C56" s="19">
        <f t="shared" si="1"/>
        <v>47.217971846955017</v>
      </c>
      <c r="D56" s="17">
        <f t="shared" si="27"/>
        <v>-36163.451111846953</v>
      </c>
      <c r="E56" s="17">
        <f t="shared" si="2"/>
        <v>-9138.9253118469551</v>
      </c>
      <c r="F56" s="17">
        <f t="shared" si="3"/>
        <v>35784.229088153043</v>
      </c>
      <c r="G56" s="17">
        <f t="shared" si="4"/>
        <v>9589.9415381530453</v>
      </c>
      <c r="H56" s="17">
        <f t="shared" si="28"/>
        <v>9589.9415381530453</v>
      </c>
      <c r="I56" s="17">
        <f t="shared" si="5"/>
        <v>6548.4506260042072</v>
      </c>
      <c r="J56" s="20">
        <f>(Geraetedaten!$B$152+(Geraetedaten!$B$153*(Geraetedaten!$B$18+d_y_Sw)/1000))*10</f>
        <v>6051.0442000000003</v>
      </c>
      <c r="K56" s="20">
        <f>(Geraetedaten!$B$165+(Geraetedaten!$B$166*(Geraetedaten!$B$18+d_y_Sw)/1000))*10</f>
        <v>10816.164000000001</v>
      </c>
      <c r="L56" s="20">
        <f>(Geraetedaten!$B$158+(Geraetedaten!$B$159*(Geraetedaten!$B$18+d_y_Sw)/1000)-(Geraetedaten!$B$160*I56/1000))*10</f>
        <v>121.33871559511135</v>
      </c>
      <c r="M56" s="20">
        <f>(Geraetedaten!$B$171+(Geraetedaten!$B$172*(Geraetedaten!$B$18+d_y_Sw)/1000)-(Geraetedaten!$B$173*I56/1000))*10</f>
        <v>577.40033540024763</v>
      </c>
      <c r="N56" s="20">
        <f>IF((H56-J56)/(K56-J56)*(Geraetedaten!$B$174-Geraetedaten!$B$161)&lt;Geraetedaten!$B$174,(H56-J56)/(K56-J56)*(Geraetedaten!$B$174-Geraetedaten!$B$161),Geraetedaten!$B$174)</f>
        <v>297.06680937197382</v>
      </c>
      <c r="O56" s="20">
        <f>N56/Geraetedaten!$B$174*(M56-L56)+L56+C56</f>
        <v>507.25861312338139</v>
      </c>
      <c r="P56" s="20">
        <f t="shared" si="29"/>
        <v>164.20924188615635</v>
      </c>
      <c r="Q56" s="20"/>
      <c r="R56" s="21">
        <f>(N56-Geraetedaten!$B$161)/(Geraetedaten!$B$174-Geraetedaten!$B$161)*(Geraetedaten!$B$175-Geraetedaten!$B$162)+Geraetedaten!$B$162</f>
        <v>38.03773757881622</v>
      </c>
      <c r="S56" s="21">
        <f t="shared" si="30"/>
        <v>38.03773757881622</v>
      </c>
      <c r="T56" s="21">
        <f t="shared" si="31"/>
        <v>11.121158179714604</v>
      </c>
      <c r="U56" s="88">
        <f t="shared" si="32"/>
        <v>36.37566935269583</v>
      </c>
      <c r="V56" s="86">
        <f t="shared" si="6"/>
        <v>-36116.233139999997</v>
      </c>
      <c r="W56" s="85">
        <f t="shared" si="7"/>
        <v>-4225.3239992296285</v>
      </c>
      <c r="X56" s="85">
        <f t="shared" si="8"/>
        <v>-14431.475699347064</v>
      </c>
      <c r="Y56" s="90">
        <f t="shared" si="9"/>
        <v>4225.3239992296285</v>
      </c>
      <c r="Z56" s="86">
        <f t="shared" si="10"/>
        <v>-9091.7073400000008</v>
      </c>
      <c r="AA56" s="85">
        <f t="shared" si="11"/>
        <v>-913.46204712425447</v>
      </c>
      <c r="AB56" s="85">
        <f t="shared" si="12"/>
        <v>-944.69892769078365</v>
      </c>
      <c r="AC56" s="90">
        <f t="shared" si="13"/>
        <v>913.46204712425447</v>
      </c>
      <c r="AD56" s="86">
        <f t="shared" si="14"/>
        <v>35831.447059999999</v>
      </c>
      <c r="AE56" s="85">
        <f t="shared" si="15"/>
        <v>4140.4375383844126</v>
      </c>
      <c r="AF56" s="85">
        <f t="shared" si="16"/>
        <v>14180.447609566489</v>
      </c>
      <c r="AG56" s="90">
        <f t="shared" si="17"/>
        <v>4140.4375383844126</v>
      </c>
      <c r="AH56" s="86">
        <f t="shared" si="33"/>
        <v>9637.1595099999995</v>
      </c>
      <c r="AI56" s="85">
        <f t="shared" si="18"/>
        <v>6238.0466047659793</v>
      </c>
      <c r="AJ56" s="85">
        <f t="shared" si="19"/>
        <v>6548.4506260042072</v>
      </c>
      <c r="AK56" s="90">
        <f t="shared" si="20"/>
        <v>6238.0466047659793</v>
      </c>
      <c r="AM56" s="95">
        <f t="shared" si="21"/>
        <v>0</v>
      </c>
      <c r="AN56" s="95">
        <f t="shared" si="22"/>
        <v>0</v>
      </c>
      <c r="AO56" s="95">
        <f t="shared" si="23"/>
        <v>0</v>
      </c>
      <c r="AP56" s="95">
        <f t="shared" si="24"/>
        <v>0</v>
      </c>
      <c r="AQ56"/>
      <c r="AR56" s="95">
        <f t="shared" si="25"/>
        <v>0</v>
      </c>
      <c r="AS56" s="95">
        <f t="shared" si="26"/>
        <v>0</v>
      </c>
      <c r="AT56" s="95">
        <f>Geraetedaten!$B$94*ABS(SIN(RADIANS($A56)))</f>
        <v>45.025242527301465</v>
      </c>
      <c r="AU56" s="95">
        <f>Geraetedaten!$B$94*ABS(COS(RADIANS($A56)))</f>
        <v>147.27093241830747</v>
      </c>
      <c r="AV56" s="95">
        <f>((h_Aw_Sw+Geraetedaten!$B$18)/1000)*(AR56*AT56+AS56*AU56)/100</f>
        <v>0</v>
      </c>
      <c r="AX56" s="18">
        <f>(IF($X$19="ja",1,0))*Geraetedaten!$D$142*COS(RADIANS(2*A56))*(Geraetedaten!$B$154*r_K_D+r_K_SSw*F_SSw/10)/1000+Geraetedaten!$B$152</f>
        <v>594.79999999999995</v>
      </c>
      <c r="AY56" s="18">
        <f>(IF($X$19="ja",1,0))*Geraetedaten!$D$142*COS(RADIANS(2*A56))*(Geraetedaten!$B$157*r_K_D+r_K_SSw*F_SSw/10)/1000+Geraetedaten!$B$155</f>
        <v>537.4</v>
      </c>
      <c r="AZ56" s="201"/>
    </row>
    <row r="57" spans="1:52" ht="13.5" x14ac:dyDescent="0.25">
      <c r="A57" s="16">
        <v>18</v>
      </c>
      <c r="B57" s="16">
        <f t="shared" si="0"/>
        <v>432</v>
      </c>
      <c r="C57" s="19">
        <f t="shared" si="1"/>
        <v>48.118580184686948</v>
      </c>
      <c r="D57" s="17">
        <f t="shared" si="27"/>
        <v>-34221.791590184686</v>
      </c>
      <c r="E57" s="17">
        <f t="shared" si="2"/>
        <v>-9183.2662701846875</v>
      </c>
      <c r="F57" s="17">
        <f t="shared" si="3"/>
        <v>33850.586399815315</v>
      </c>
      <c r="G57" s="17">
        <f t="shared" si="4"/>
        <v>9644.5414598153129</v>
      </c>
      <c r="H57" s="17">
        <f t="shared" si="28"/>
        <v>9644.5414598153129</v>
      </c>
      <c r="I57" s="17">
        <f t="shared" si="5"/>
        <v>6586.1632465457205</v>
      </c>
      <c r="J57" s="20">
        <f>(Geraetedaten!$B$152+(Geraetedaten!$B$153*(Geraetedaten!$B$18+d_y_Sw)/1000))*10</f>
        <v>6051.0442000000003</v>
      </c>
      <c r="K57" s="20">
        <f>(Geraetedaten!$B$165+(Geraetedaten!$B$166*(Geraetedaten!$B$18+d_y_Sw)/1000))*10</f>
        <v>10816.164000000001</v>
      </c>
      <c r="L57" s="20">
        <f>(Geraetedaten!$B$158+(Geraetedaten!$B$159*(Geraetedaten!$B$18+d_y_Sw)/1000)-(Geraetedaten!$B$160*I57/1000))*10</f>
        <v>118.57324913080213</v>
      </c>
      <c r="M57" s="20">
        <f>(Geraetedaten!$B$171+(Geraetedaten!$B$172*(Geraetedaten!$B$18+d_y_Sw)/1000)-(Geraetedaten!$B$173*I57/1000))*10</f>
        <v>574.59300792713736</v>
      </c>
      <c r="N57" s="20">
        <f>IF((H57-J57)/(K57-J57)*(Geraetedaten!$B$174-Geraetedaten!$B$161)&lt;Geraetedaten!$B$174,(H57-J57)/(K57-J57)*(Geraetedaten!$B$174-Geraetedaten!$B$161),Geraetedaten!$B$174)</f>
        <v>301.65010834063918</v>
      </c>
      <c r="O57" s="20">
        <f>N57/Geraetedaten!$B$174*(M57-L57)+L57+C57</f>
        <v>510.58785343145576</v>
      </c>
      <c r="P57" s="20">
        <f t="shared" si="29"/>
        <v>164.77083379359328</v>
      </c>
      <c r="Q57" s="20"/>
      <c r="R57" s="21">
        <f>(N57-Geraetedaten!$B$161)/(Geraetedaten!$B$174-Geraetedaten!$B$161)*(Geraetedaten!$B$175-Geraetedaten!$B$162)+Geraetedaten!$B$162</f>
        <v>38.174090723134015</v>
      </c>
      <c r="S57" s="21">
        <f t="shared" si="30"/>
        <v>38.174090723134015</v>
      </c>
      <c r="T57" s="21">
        <f t="shared" si="31"/>
        <v>11.796442778259435</v>
      </c>
      <c r="U57" s="88">
        <f t="shared" si="32"/>
        <v>36.305717735878972</v>
      </c>
      <c r="V57" s="86">
        <f t="shared" si="6"/>
        <v>-34173.673009999999</v>
      </c>
      <c r="W57" s="85">
        <f t="shared" si="7"/>
        <v>-4225.3239992296285</v>
      </c>
      <c r="X57" s="85">
        <f t="shared" si="8"/>
        <v>-13655.259386585907</v>
      </c>
      <c r="Y57" s="90">
        <f t="shared" si="9"/>
        <v>4225.3239992296285</v>
      </c>
      <c r="Z57" s="86">
        <f t="shared" si="10"/>
        <v>-9135.1476899999998</v>
      </c>
      <c r="AA57" s="85">
        <f t="shared" si="11"/>
        <v>-913.46204712425447</v>
      </c>
      <c r="AB57" s="85">
        <f t="shared" si="12"/>
        <v>-949.2127167963406</v>
      </c>
      <c r="AC57" s="90">
        <f t="shared" si="13"/>
        <v>913.46204712425447</v>
      </c>
      <c r="AD57" s="86">
        <f t="shared" si="14"/>
        <v>33898.704980000002</v>
      </c>
      <c r="AE57" s="85">
        <f t="shared" si="15"/>
        <v>4140.4375383844126</v>
      </c>
      <c r="AF57" s="85">
        <f t="shared" si="16"/>
        <v>13415.556706316693</v>
      </c>
      <c r="AG57" s="90">
        <f t="shared" si="17"/>
        <v>4140.4375383844126</v>
      </c>
      <c r="AH57" s="86">
        <f t="shared" si="33"/>
        <v>9692.6600400000007</v>
      </c>
      <c r="AI57" s="85">
        <f t="shared" si="18"/>
        <v>6238.0466047659793</v>
      </c>
      <c r="AJ57" s="85">
        <f t="shared" si="19"/>
        <v>6586.1632465457205</v>
      </c>
      <c r="AK57" s="90">
        <f t="shared" si="20"/>
        <v>6238.0466047659793</v>
      </c>
      <c r="AM57" s="95">
        <f t="shared" si="21"/>
        <v>0</v>
      </c>
      <c r="AN57" s="95">
        <f t="shared" si="22"/>
        <v>0</v>
      </c>
      <c r="AO57" s="95">
        <f t="shared" si="23"/>
        <v>0</v>
      </c>
      <c r="AP57" s="95">
        <f t="shared" si="24"/>
        <v>0</v>
      </c>
      <c r="AQ57"/>
      <c r="AR57" s="95">
        <f t="shared" si="25"/>
        <v>0</v>
      </c>
      <c r="AS57" s="95">
        <f t="shared" si="26"/>
        <v>0</v>
      </c>
      <c r="AT57" s="95">
        <f>Geraetedaten!$B$94*ABS(SIN(RADIANS($A57)))</f>
        <v>47.588617133741899</v>
      </c>
      <c r="AU57" s="95">
        <f>Geraetedaten!$B$94*ABS(COS(RADIANS($A57)))</f>
        <v>146.46270350945363</v>
      </c>
      <c r="AV57" s="95">
        <f>((h_Aw_Sw+Geraetedaten!$B$18)/1000)*(AR57*AT57+AS57*AU57)/100</f>
        <v>0</v>
      </c>
      <c r="AX57" s="18">
        <f>(IF($X$19="ja",1,0))*Geraetedaten!$D$142*COS(RADIANS(2*A57))*(Geraetedaten!$B$154*r_K_D+r_K_SSw*F_SSw/10)/1000+Geraetedaten!$B$152</f>
        <v>594.79999999999995</v>
      </c>
      <c r="AY57" s="18">
        <f>(IF($X$19="ja",1,0))*Geraetedaten!$D$142*COS(RADIANS(2*A57))*(Geraetedaten!$B$157*r_K_D+r_K_SSw*F_SSw/10)/1000+Geraetedaten!$B$155</f>
        <v>537.4</v>
      </c>
      <c r="AZ57" s="201"/>
    </row>
    <row r="58" spans="1:52" ht="13.5" x14ac:dyDescent="0.25">
      <c r="A58" s="16">
        <v>19</v>
      </c>
      <c r="B58" s="16">
        <f t="shared" si="0"/>
        <v>431</v>
      </c>
      <c r="C58" s="19">
        <f t="shared" si="1"/>
        <v>49.004531136759482</v>
      </c>
      <c r="D58" s="17">
        <f t="shared" si="27"/>
        <v>-32487.794791136763</v>
      </c>
      <c r="E58" s="17">
        <f t="shared" si="2"/>
        <v>-9230.8199811367595</v>
      </c>
      <c r="F58" s="17">
        <f t="shared" si="3"/>
        <v>32124.089528863238</v>
      </c>
      <c r="G58" s="17">
        <f t="shared" si="4"/>
        <v>9702.7867088632411</v>
      </c>
      <c r="H58" s="17">
        <f t="shared" si="28"/>
        <v>9702.7867088632411</v>
      </c>
      <c r="I58" s="17">
        <f t="shared" si="5"/>
        <v>6626.3428980302051</v>
      </c>
      <c r="J58" s="20">
        <f>(Geraetedaten!$B$152+(Geraetedaten!$B$153*(Geraetedaten!$B$18+d_y_Sw)/1000))*10</f>
        <v>6051.0442000000003</v>
      </c>
      <c r="K58" s="20">
        <f>(Geraetedaten!$B$165+(Geraetedaten!$B$166*(Geraetedaten!$B$18+d_y_Sw)/1000))*10</f>
        <v>10816.164000000001</v>
      </c>
      <c r="L58" s="20">
        <f>(Geraetedaten!$B$158+(Geraetedaten!$B$159*(Geraetedaten!$B$18+d_y_Sw)/1000)-(Geraetedaten!$B$160*I58/1000))*10</f>
        <v>115.6268752874449</v>
      </c>
      <c r="M58" s="20">
        <f>(Geraetedaten!$B$171+(Geraetedaten!$B$172*(Geraetedaten!$B$18+d_y_Sw)/1000)-(Geraetedaten!$B$173*I58/1000))*10</f>
        <v>571.60203467063229</v>
      </c>
      <c r="N58" s="20">
        <f>IF((H58-J58)/(K58-J58)*(Geraetedaten!$B$174-Geraetedaten!$B$161)&lt;Geraetedaten!$B$174,(H58-J58)/(K58-J58)*(Geraetedaten!$B$174-Geraetedaten!$B$161),Geraetedaten!$B$174)</f>
        <v>306.53940821074343</v>
      </c>
      <c r="O58" s="20">
        <f>N58/Geraetedaten!$B$174*(M58-L58)+L58+C58</f>
        <v>514.06729521450859</v>
      </c>
      <c r="P58" s="20">
        <f t="shared" si="29"/>
        <v>165.34261988503297</v>
      </c>
      <c r="Q58" s="20"/>
      <c r="R58" s="21">
        <f>(N58-Geraetedaten!$B$161)/(Geraetedaten!$B$174-Geraetedaten!$B$161)*(Geraetedaten!$B$175-Geraetedaten!$B$162)+Geraetedaten!$B$162</f>
        <v>38.31954739426962</v>
      </c>
      <c r="S58" s="21">
        <f t="shared" si="30"/>
        <v>38.31954739426962</v>
      </c>
      <c r="T58" s="21">
        <f t="shared" si="31"/>
        <v>12.475624324785908</v>
      </c>
      <c r="U58" s="88">
        <f t="shared" si="32"/>
        <v>36.231843869840326</v>
      </c>
      <c r="V58" s="86">
        <f t="shared" si="6"/>
        <v>-32438.790260000002</v>
      </c>
      <c r="W58" s="85">
        <f t="shared" si="7"/>
        <v>-4225.3239992296285</v>
      </c>
      <c r="X58" s="85">
        <f t="shared" si="8"/>
        <v>-12962.027669853647</v>
      </c>
      <c r="Y58" s="90">
        <f t="shared" si="9"/>
        <v>4225.3239992296285</v>
      </c>
      <c r="Z58" s="86">
        <f t="shared" si="10"/>
        <v>-9181.8154500000001</v>
      </c>
      <c r="AA58" s="85">
        <f t="shared" si="11"/>
        <v>-913.46204712425447</v>
      </c>
      <c r="AB58" s="85">
        <f t="shared" si="12"/>
        <v>-954.0618586450671</v>
      </c>
      <c r="AC58" s="90">
        <f t="shared" si="13"/>
        <v>913.46204712425447</v>
      </c>
      <c r="AD58" s="86">
        <f t="shared" si="14"/>
        <v>32173.094059999999</v>
      </c>
      <c r="AE58" s="85">
        <f t="shared" si="15"/>
        <v>4140.4375383844126</v>
      </c>
      <c r="AF58" s="85">
        <f t="shared" si="16"/>
        <v>12732.63884382264</v>
      </c>
      <c r="AG58" s="90">
        <f t="shared" si="17"/>
        <v>4140.4375383844126</v>
      </c>
      <c r="AH58" s="86">
        <f t="shared" si="33"/>
        <v>9751.7912400000005</v>
      </c>
      <c r="AI58" s="85">
        <f t="shared" si="18"/>
        <v>6238.0466047659793</v>
      </c>
      <c r="AJ58" s="85">
        <f t="shared" si="19"/>
        <v>6626.3428980302051</v>
      </c>
      <c r="AK58" s="90">
        <f t="shared" si="20"/>
        <v>6238.0466047659793</v>
      </c>
      <c r="AM58" s="95">
        <f t="shared" si="21"/>
        <v>0</v>
      </c>
      <c r="AN58" s="95">
        <f t="shared" si="22"/>
        <v>0</v>
      </c>
      <c r="AO58" s="95">
        <f t="shared" si="23"/>
        <v>0</v>
      </c>
      <c r="AP58" s="95">
        <f t="shared" si="24"/>
        <v>0</v>
      </c>
      <c r="AQ58"/>
      <c r="AR58" s="95">
        <f t="shared" si="25"/>
        <v>0</v>
      </c>
      <c r="AS58" s="95">
        <f t="shared" si="26"/>
        <v>0</v>
      </c>
      <c r="AT58" s="95">
        <f>Geraetedaten!$B$94*ABS(SIN(RADIANS($A58)))</f>
        <v>50.137495786402134</v>
      </c>
      <c r="AU58" s="95">
        <f>Geraetedaten!$B$94*ABS(COS(RADIANS($A58)))</f>
        <v>145.60986064229479</v>
      </c>
      <c r="AV58" s="95">
        <f>((h_Aw_Sw+Geraetedaten!$B$18)/1000)*(AR58*AT58+AS58*AU58)/100</f>
        <v>0</v>
      </c>
      <c r="AX58" s="18">
        <f>(IF($X$19="ja",1,0))*Geraetedaten!$D$142*COS(RADIANS(2*A58))*(Geraetedaten!$B$154*r_K_D+r_K_SSw*F_SSw/10)/1000+Geraetedaten!$B$152</f>
        <v>594.79999999999995</v>
      </c>
      <c r="AY58" s="18">
        <f>(IF($X$19="ja",1,0))*Geraetedaten!$D$142*COS(RADIANS(2*A58))*(Geraetedaten!$B$157*r_K_D+r_K_SSw*F_SSw/10)/1000+Geraetedaten!$B$155</f>
        <v>537.4</v>
      </c>
      <c r="AZ58" s="201"/>
    </row>
    <row r="59" spans="1:52" ht="13.5" x14ac:dyDescent="0.25">
      <c r="A59" s="16">
        <v>20</v>
      </c>
      <c r="B59" s="16">
        <f t="shared" si="0"/>
        <v>430</v>
      </c>
      <c r="C59" s="19">
        <f t="shared" si="1"/>
        <v>49.875554833930202</v>
      </c>
      <c r="D59" s="17">
        <f t="shared" si="27"/>
        <v>-30930.37303483393</v>
      </c>
      <c r="E59" s="17">
        <f t="shared" si="2"/>
        <v>-9281.6645448339295</v>
      </c>
      <c r="F59" s="17">
        <f t="shared" si="3"/>
        <v>30573.658145166071</v>
      </c>
      <c r="G59" s="17">
        <f t="shared" si="4"/>
        <v>9764.7807751660694</v>
      </c>
      <c r="H59" s="17">
        <f t="shared" si="28"/>
        <v>9764.7807751660694</v>
      </c>
      <c r="I59" s="17">
        <f t="shared" si="5"/>
        <v>6669.0597293043593</v>
      </c>
      <c r="J59" s="20">
        <f>(Geraetedaten!$B$152+(Geraetedaten!$B$153*(Geraetedaten!$B$18+d_y_Sw)/1000))*10</f>
        <v>6051.0442000000003</v>
      </c>
      <c r="K59" s="20">
        <f>(Geraetedaten!$B$165+(Geraetedaten!$B$166*(Geraetedaten!$B$18+d_y_Sw)/1000))*10</f>
        <v>10816.164000000001</v>
      </c>
      <c r="L59" s="20">
        <f>(Geraetedaten!$B$158+(Geraetedaten!$B$159*(Geraetedaten!$B$18+d_y_Sw)/1000)-(Geraetedaten!$B$160*I59/1000))*10</f>
        <v>112.49445005011118</v>
      </c>
      <c r="M59" s="20">
        <f>(Geraetedaten!$B$171+(Geraetedaten!$B$172*(Geraetedaten!$B$18+d_y_Sw)/1000)-(Geraetedaten!$B$173*I59/1000))*10</f>
        <v>568.42219375058437</v>
      </c>
      <c r="N59" s="20">
        <f>IF((H59-J59)/(K59-J59)*(Geraetedaten!$B$174-Geraetedaten!$B$161)&lt;Geraetedaten!$B$174,(H59-J59)/(K59-J59)*(Geraetedaten!$B$174-Geraetedaten!$B$161),Geraetedaten!$B$174)</f>
        <v>311.74339626601363</v>
      </c>
      <c r="O59" s="20">
        <f>N59/Geraetedaten!$B$174*(M59-L59)+L59+C59</f>
        <v>517.70116306675664</v>
      </c>
      <c r="P59" s="20">
        <f t="shared" si="29"/>
        <v>165.92451266905852</v>
      </c>
      <c r="Q59" s="20"/>
      <c r="R59" s="21">
        <f>(N59-Geraetedaten!$B$161)/(Geraetedaten!$B$174-Geraetedaten!$B$161)*(Geraetedaten!$B$175-Geraetedaten!$B$162)+Geraetedaten!$B$162</f>
        <v>38.474366038913907</v>
      </c>
      <c r="S59" s="21">
        <f t="shared" si="30"/>
        <v>38.474366038913907</v>
      </c>
      <c r="T59" s="21">
        <f t="shared" si="31"/>
        <v>13.159008186993574</v>
      </c>
      <c r="U59" s="88">
        <f t="shared" si="32"/>
        <v>36.154077856183356</v>
      </c>
      <c r="V59" s="86">
        <f t="shared" si="6"/>
        <v>-30880.497480000002</v>
      </c>
      <c r="W59" s="85">
        <f t="shared" si="7"/>
        <v>-4225.3239992296285</v>
      </c>
      <c r="X59" s="85">
        <f t="shared" si="8"/>
        <v>-12339.358514741947</v>
      </c>
      <c r="Y59" s="90">
        <f t="shared" si="9"/>
        <v>4225.3239992296285</v>
      </c>
      <c r="Z59" s="86">
        <f t="shared" si="10"/>
        <v>-9231.7889899999991</v>
      </c>
      <c r="AA59" s="85">
        <f t="shared" si="11"/>
        <v>-913.46204712425447</v>
      </c>
      <c r="AB59" s="85">
        <f t="shared" si="12"/>
        <v>-959.25449808433063</v>
      </c>
      <c r="AC59" s="90">
        <f t="shared" si="13"/>
        <v>913.46204712425447</v>
      </c>
      <c r="AD59" s="86">
        <f t="shared" si="14"/>
        <v>30623.5337</v>
      </c>
      <c r="AE59" s="85">
        <f t="shared" si="15"/>
        <v>4140.4375383844126</v>
      </c>
      <c r="AF59" s="85">
        <f t="shared" si="16"/>
        <v>12119.393740247066</v>
      </c>
      <c r="AG59" s="90">
        <f t="shared" si="17"/>
        <v>4140.4375383844126</v>
      </c>
      <c r="AH59" s="86">
        <f t="shared" si="33"/>
        <v>9814.6563299999998</v>
      </c>
      <c r="AI59" s="85">
        <f t="shared" si="18"/>
        <v>6238.0466047659793</v>
      </c>
      <c r="AJ59" s="85">
        <f t="shared" si="19"/>
        <v>6669.0597293043593</v>
      </c>
      <c r="AK59" s="90">
        <f t="shared" si="20"/>
        <v>6238.0466047659793</v>
      </c>
      <c r="AM59" s="95">
        <f t="shared" si="21"/>
        <v>0</v>
      </c>
      <c r="AN59" s="95">
        <f t="shared" si="22"/>
        <v>0</v>
      </c>
      <c r="AO59" s="95">
        <f t="shared" si="23"/>
        <v>0</v>
      </c>
      <c r="AP59" s="95">
        <f t="shared" si="24"/>
        <v>0</v>
      </c>
      <c r="AQ59"/>
      <c r="AR59" s="95">
        <f t="shared" si="25"/>
        <v>0</v>
      </c>
      <c r="AS59" s="95">
        <f t="shared" si="26"/>
        <v>0</v>
      </c>
      <c r="AT59" s="95">
        <f>Geraetedaten!$B$94*ABS(SIN(RADIANS($A59)))</f>
        <v>52.671102072152983</v>
      </c>
      <c r="AU59" s="95">
        <f>Geraetedaten!$B$94*ABS(COS(RADIANS($A59)))</f>
        <v>144.7126636010299</v>
      </c>
      <c r="AV59" s="95">
        <f>((h_Aw_Sw+Geraetedaten!$B$18)/1000)*(AR59*AT59+AS59*AU59)/100</f>
        <v>0</v>
      </c>
      <c r="AX59" s="18">
        <f>(IF($X$19="ja",1,0))*Geraetedaten!$D$142*COS(RADIANS(2*A59))*(Geraetedaten!$B$154*r_K_D+r_K_SSw*F_SSw/10)/1000+Geraetedaten!$B$152</f>
        <v>594.79999999999995</v>
      </c>
      <c r="AY59" s="18">
        <f>(IF($X$19="ja",1,0))*Geraetedaten!$D$142*COS(RADIANS(2*A59))*(Geraetedaten!$B$157*r_K_D+r_K_SSw*F_SSw/10)/1000+Geraetedaten!$B$155</f>
        <v>537.4</v>
      </c>
      <c r="AZ59" s="201"/>
    </row>
    <row r="60" spans="1:52" ht="13.5" x14ac:dyDescent="0.25">
      <c r="A60" s="16">
        <v>21</v>
      </c>
      <c r="B60" s="16">
        <f t="shared" si="0"/>
        <v>429</v>
      </c>
      <c r="C60" s="19">
        <f t="shared" si="1"/>
        <v>50.73138595394316</v>
      </c>
      <c r="D60" s="17">
        <f t="shared" si="27"/>
        <v>-29524.354565953941</v>
      </c>
      <c r="E60" s="17">
        <f t="shared" si="2"/>
        <v>-9335.8847059539421</v>
      </c>
      <c r="F60" s="17">
        <f t="shared" si="3"/>
        <v>29174.140084046056</v>
      </c>
      <c r="G60" s="17">
        <f t="shared" si="4"/>
        <v>9830.6352940460565</v>
      </c>
      <c r="H60" s="17">
        <f t="shared" si="28"/>
        <v>9830.6352940460565</v>
      </c>
      <c r="I60" s="17">
        <f t="shared" si="5"/>
        <v>6714.3894220425491</v>
      </c>
      <c r="J60" s="20">
        <f>(Geraetedaten!$B$152+(Geraetedaten!$B$153*(Geraetedaten!$B$18+d_y_Sw)/1000))*10</f>
        <v>6051.0442000000003</v>
      </c>
      <c r="K60" s="20">
        <f>(Geraetedaten!$B$165+(Geraetedaten!$B$166*(Geraetedaten!$B$18+d_y_Sw)/1000))*10</f>
        <v>10816.164000000001</v>
      </c>
      <c r="L60" s="20">
        <f>(Geraetedaten!$B$158+(Geraetedaten!$B$159*(Geraetedaten!$B$18+d_y_Sw)/1000)-(Geraetedaten!$B$160*I60/1000))*10</f>
        <v>109.17042368161972</v>
      </c>
      <c r="M60" s="20">
        <f>(Geraetedaten!$B$171+(Geraetedaten!$B$172*(Geraetedaten!$B$18+d_y_Sw)/1000)-(Geraetedaten!$B$173*I60/1000))*10</f>
        <v>565.04785142315347</v>
      </c>
      <c r="N60" s="20">
        <f>IF((H60-J60)/(K60-J60)*(Geraetedaten!$B$174-Geraetedaten!$B$161)&lt;Geraetedaten!$B$174,(H60-J60)/(K60-J60)*(Geraetedaten!$B$174-Geraetedaten!$B$161),Geraetedaten!$B$174)</f>
        <v>317.27144354658662</v>
      </c>
      <c r="O60" s="20">
        <f>N60/Geraetedaten!$B$174*(M60-L60)+L60+C60</f>
        <v>521.49403358521567</v>
      </c>
      <c r="P60" s="20">
        <f t="shared" si="29"/>
        <v>166.51643442789467</v>
      </c>
      <c r="Q60" s="20"/>
      <c r="R60" s="21">
        <f>(N60-Geraetedaten!$B$161)/(Geraetedaten!$B$174-Geraetedaten!$B$161)*(Geraetedaten!$B$175-Geraetedaten!$B$162)+Geraetedaten!$B$162</f>
        <v>38.638825445510953</v>
      </c>
      <c r="S60" s="21">
        <f t="shared" si="30"/>
        <v>38.638825445510953</v>
      </c>
      <c r="T60" s="21">
        <f t="shared" si="31"/>
        <v>13.846916647746534</v>
      </c>
      <c r="U60" s="88">
        <f t="shared" si="32"/>
        <v>36.072451138771044</v>
      </c>
      <c r="V60" s="86">
        <f t="shared" si="6"/>
        <v>-29473.623179999999</v>
      </c>
      <c r="W60" s="85">
        <f t="shared" si="7"/>
        <v>-4225.3239992296285</v>
      </c>
      <c r="X60" s="85">
        <f t="shared" si="8"/>
        <v>-11777.193790124995</v>
      </c>
      <c r="Y60" s="90">
        <f t="shared" si="9"/>
        <v>4225.3239992296285</v>
      </c>
      <c r="Z60" s="86">
        <f t="shared" si="10"/>
        <v>-9285.1533199999994</v>
      </c>
      <c r="AA60" s="85">
        <f t="shared" si="11"/>
        <v>-913.46204712425447</v>
      </c>
      <c r="AB60" s="85">
        <f t="shared" si="12"/>
        <v>-964.79946599081904</v>
      </c>
      <c r="AC60" s="90">
        <f t="shared" si="13"/>
        <v>913.46204712425447</v>
      </c>
      <c r="AD60" s="86">
        <f t="shared" si="14"/>
        <v>29224.871469999998</v>
      </c>
      <c r="AE60" s="85">
        <f t="shared" si="15"/>
        <v>4140.4375383844126</v>
      </c>
      <c r="AF60" s="85">
        <f t="shared" si="16"/>
        <v>11565.867210676621</v>
      </c>
      <c r="AG60" s="90">
        <f t="shared" si="17"/>
        <v>4140.4375383844126</v>
      </c>
      <c r="AH60" s="86">
        <f t="shared" si="33"/>
        <v>9881.3666799999992</v>
      </c>
      <c r="AI60" s="85">
        <f t="shared" si="18"/>
        <v>6238.0466047659793</v>
      </c>
      <c r="AJ60" s="85">
        <f t="shared" si="19"/>
        <v>6714.3894220425491</v>
      </c>
      <c r="AK60" s="90">
        <f t="shared" si="20"/>
        <v>6238.0466047659793</v>
      </c>
      <c r="AM60" s="95">
        <f t="shared" si="21"/>
        <v>0</v>
      </c>
      <c r="AN60" s="95">
        <f t="shared" si="22"/>
        <v>0</v>
      </c>
      <c r="AO60" s="95">
        <f t="shared" si="23"/>
        <v>0</v>
      </c>
      <c r="AP60" s="95">
        <f t="shared" si="24"/>
        <v>0</v>
      </c>
      <c r="AQ60"/>
      <c r="AR60" s="95">
        <f t="shared" si="25"/>
        <v>0</v>
      </c>
      <c r="AS60" s="95">
        <f t="shared" si="26"/>
        <v>0</v>
      </c>
      <c r="AT60" s="95">
        <f>Geraetedaten!$B$94*ABS(SIN(RADIANS($A60)))</f>
        <v>55.18866422997624</v>
      </c>
      <c r="AU60" s="95">
        <f>Geraetedaten!$B$94*ABS(COS(RADIANS($A60)))</f>
        <v>143.77138568056907</v>
      </c>
      <c r="AV60" s="95">
        <f>((h_Aw_Sw+Geraetedaten!$B$18)/1000)*(AR60*AT60+AS60*AU60)/100</f>
        <v>0</v>
      </c>
      <c r="AX60" s="18">
        <f>(IF($X$19="ja",1,0))*Geraetedaten!$D$142*COS(RADIANS(2*A60))*(Geraetedaten!$B$154*r_K_D+r_K_SSw*F_SSw/10)/1000+Geraetedaten!$B$152</f>
        <v>594.79999999999995</v>
      </c>
      <c r="AY60" s="18">
        <f>(IF($X$19="ja",1,0))*Geraetedaten!$D$142*COS(RADIANS(2*A60))*(Geraetedaten!$B$157*r_K_D+r_K_SSw*F_SSw/10)/1000+Geraetedaten!$B$155</f>
        <v>537.4</v>
      </c>
      <c r="AZ60" s="201"/>
    </row>
    <row r="61" spans="1:52" ht="13.5" x14ac:dyDescent="0.25">
      <c r="A61" s="16">
        <v>22</v>
      </c>
      <c r="B61" s="16">
        <f t="shared" si="0"/>
        <v>428</v>
      </c>
      <c r="C61" s="19">
        <f t="shared" si="1"/>
        <v>51.57176380234857</v>
      </c>
      <c r="D61" s="17">
        <f t="shared" si="27"/>
        <v>-28249.14055380235</v>
      </c>
      <c r="E61" s="17">
        <f t="shared" si="2"/>
        <v>-9393.5721538023481</v>
      </c>
      <c r="F61" s="17">
        <f t="shared" si="3"/>
        <v>27904.962596197653</v>
      </c>
      <c r="G61" s="17">
        <f t="shared" si="4"/>
        <v>9900.4705761976511</v>
      </c>
      <c r="H61" s="17">
        <f t="shared" si="28"/>
        <v>9900.4705761976511</v>
      </c>
      <c r="I61" s="17">
        <f t="shared" si="5"/>
        <v>6762.413538607836</v>
      </c>
      <c r="J61" s="20">
        <f>(Geraetedaten!$B$152+(Geraetedaten!$B$153*(Geraetedaten!$B$18+d_y_Sw)/1000))*10</f>
        <v>6051.0442000000003</v>
      </c>
      <c r="K61" s="20">
        <f>(Geraetedaten!$B$165+(Geraetedaten!$B$166*(Geraetedaten!$B$18+d_y_Sw)/1000))*10</f>
        <v>10816.164000000001</v>
      </c>
      <c r="L61" s="20">
        <f>(Geraetedaten!$B$158+(Geraetedaten!$B$159*(Geraetedaten!$B$18+d_y_Sw)/1000)-(Geraetedaten!$B$160*I61/1000))*10</f>
        <v>105.6488152138872</v>
      </c>
      <c r="M61" s="20">
        <f>(Geraetedaten!$B$171+(Geraetedaten!$B$172*(Geraetedaten!$B$18+d_y_Sw)/1000)-(Geraetedaten!$B$173*I61/1000))*10</f>
        <v>561.47293618603351</v>
      </c>
      <c r="N61" s="20">
        <f>IF((H61-J61)/(K61-J61)*(Geraetedaten!$B$174-Geraetedaten!$B$161)&lt;Geraetedaten!$B$174,(H61-J61)/(K61-J61)*(Geraetedaten!$B$174-Geraetedaten!$B$161),Geraetedaten!$B$174)</f>
        <v>323.13364933218679</v>
      </c>
      <c r="O61" s="20">
        <f>N61/Geraetedaten!$B$174*(M61-L61)+L61+C61</f>
        <v>525.45085817465031</v>
      </c>
      <c r="P61" s="20">
        <f t="shared" si="29"/>
        <v>167.11831739856777</v>
      </c>
      <c r="Q61" s="20"/>
      <c r="R61" s="21">
        <f>(N61-Geraetedaten!$B$161)/(Geraetedaten!$B$174-Geraetedaten!$B$161)*(Geraetedaten!$B$175-Geraetedaten!$B$162)+Geraetedaten!$B$162</f>
        <v>38.813226067632556</v>
      </c>
      <c r="S61" s="21">
        <f t="shared" si="30"/>
        <v>38.813226067632556</v>
      </c>
      <c r="T61" s="21">
        <f t="shared" si="31"/>
        <v>14.539690396677507</v>
      </c>
      <c r="U61" s="88">
        <f t="shared" si="32"/>
        <v>35.986996553559663</v>
      </c>
      <c r="V61" s="86">
        <f t="shared" si="6"/>
        <v>-28197.568790000001</v>
      </c>
      <c r="W61" s="85">
        <f t="shared" si="7"/>
        <v>-4225.3239992296285</v>
      </c>
      <c r="X61" s="85">
        <f t="shared" si="8"/>
        <v>-11267.302631926599</v>
      </c>
      <c r="Y61" s="90">
        <f t="shared" si="9"/>
        <v>4225.3239992296285</v>
      </c>
      <c r="Z61" s="86">
        <f t="shared" si="10"/>
        <v>-9342.0003899999992</v>
      </c>
      <c r="AA61" s="85">
        <f t="shared" si="11"/>
        <v>-913.46204712425447</v>
      </c>
      <c r="AB61" s="85">
        <f t="shared" si="12"/>
        <v>-970.70631765567225</v>
      </c>
      <c r="AC61" s="90">
        <f t="shared" si="13"/>
        <v>913.46204712425447</v>
      </c>
      <c r="AD61" s="86">
        <f t="shared" si="14"/>
        <v>27956.534360000001</v>
      </c>
      <c r="AE61" s="85">
        <f t="shared" si="15"/>
        <v>4140.4375383844126</v>
      </c>
      <c r="AF61" s="85">
        <f t="shared" si="16"/>
        <v>11063.917406831326</v>
      </c>
      <c r="AG61" s="90">
        <f t="shared" si="17"/>
        <v>4140.4375383844126</v>
      </c>
      <c r="AH61" s="86">
        <f t="shared" si="33"/>
        <v>9952.04234</v>
      </c>
      <c r="AI61" s="85">
        <f t="shared" si="18"/>
        <v>6238.0466047659793</v>
      </c>
      <c r="AJ61" s="85">
        <f t="shared" si="19"/>
        <v>6762.413538607836</v>
      </c>
      <c r="AK61" s="90">
        <f t="shared" si="20"/>
        <v>6238.0466047659793</v>
      </c>
      <c r="AM61" s="95">
        <f t="shared" si="21"/>
        <v>0</v>
      </c>
      <c r="AN61" s="95">
        <f t="shared" si="22"/>
        <v>0</v>
      </c>
      <c r="AO61" s="95">
        <f t="shared" si="23"/>
        <v>0</v>
      </c>
      <c r="AP61" s="95">
        <f t="shared" si="24"/>
        <v>0</v>
      </c>
      <c r="AQ61"/>
      <c r="AR61" s="95">
        <f t="shared" si="25"/>
        <v>0</v>
      </c>
      <c r="AS61" s="95">
        <f t="shared" si="26"/>
        <v>0</v>
      </c>
      <c r="AT61" s="95">
        <f>Geraetedaten!$B$94*ABS(SIN(RADIANS($A61)))</f>
        <v>57.689415386050449</v>
      </c>
      <c r="AU61" s="95">
        <f>Geraetedaten!$B$94*ABS(COS(RADIANS($A61)))</f>
        <v>142.78631360328527</v>
      </c>
      <c r="AV61" s="95">
        <f>((h_Aw_Sw+Geraetedaten!$B$18)/1000)*(AR61*AT61+AS61*AU61)/100</f>
        <v>0</v>
      </c>
      <c r="AX61" s="18">
        <f>(IF($X$19="ja",1,0))*Geraetedaten!$D$142*COS(RADIANS(2*A61))*(Geraetedaten!$B$154*r_K_D+r_K_SSw*F_SSw/10)/1000+Geraetedaten!$B$152</f>
        <v>594.79999999999995</v>
      </c>
      <c r="AY61" s="18">
        <f>(IF($X$19="ja",1,0))*Geraetedaten!$D$142*COS(RADIANS(2*A61))*(Geraetedaten!$B$157*r_K_D+r_K_SSw*F_SSw/10)/1000+Geraetedaten!$B$155</f>
        <v>537.4</v>
      </c>
      <c r="AZ61" s="201"/>
    </row>
    <row r="62" spans="1:52" ht="13.5" x14ac:dyDescent="0.25">
      <c r="A62" s="16">
        <v>23</v>
      </c>
      <c r="B62" s="16">
        <f t="shared" si="0"/>
        <v>427</v>
      </c>
      <c r="C62" s="19">
        <f t="shared" si="1"/>
        <v>52.396432391912896</v>
      </c>
      <c r="D62" s="17">
        <f t="shared" si="27"/>
        <v>-27087.712062391915</v>
      </c>
      <c r="E62" s="17">
        <f t="shared" si="2"/>
        <v>-9454.8259723919127</v>
      </c>
      <c r="F62" s="17">
        <f t="shared" si="3"/>
        <v>26749.135907608088</v>
      </c>
      <c r="G62" s="17">
        <f t="shared" si="4"/>
        <v>9974.4161276080868</v>
      </c>
      <c r="H62" s="17">
        <f t="shared" si="28"/>
        <v>9974.4161276080868</v>
      </c>
      <c r="I62" s="17">
        <f t="shared" si="5"/>
        <v>6813.2199048343064</v>
      </c>
      <c r="J62" s="20">
        <f>(Geraetedaten!$B$152+(Geraetedaten!$B$153*(Geraetedaten!$B$18+d_y_Sw)/1000))*10</f>
        <v>6051.0442000000003</v>
      </c>
      <c r="K62" s="20">
        <f>(Geraetedaten!$B$165+(Geraetedaten!$B$166*(Geraetedaten!$B$18+d_y_Sw)/1000))*10</f>
        <v>10816.164000000001</v>
      </c>
      <c r="L62" s="20">
        <f>(Geraetedaten!$B$158+(Geraetedaten!$B$159*(Geraetedaten!$B$18+d_y_Sw)/1000)-(Geraetedaten!$B$160*I62/1000))*10</f>
        <v>101.92318437850012</v>
      </c>
      <c r="M62" s="20">
        <f>(Geraetedaten!$B$171+(Geraetedaten!$B$172*(Geraetedaten!$B$18+d_y_Sw)/1000)-(Geraetedaten!$B$173*I62/1000))*10</f>
        <v>557.69091028413504</v>
      </c>
      <c r="N62" s="20">
        <f>IF((H62-J62)/(K62-J62)*(Geraetedaten!$B$174-Geraetedaten!$B$161)&lt;Geraetedaten!$B$174,(H62-J62)/(K62-J62)*(Geraetedaten!$B$174-Geraetedaten!$B$161),Geraetedaten!$B$174)</f>
        <v>329.34088478598886</v>
      </c>
      <c r="O62" s="20">
        <f>N62/Geraetedaten!$B$174*(M62-L62)+L62+C62</f>
        <v>529.57698203706263</v>
      </c>
      <c r="P62" s="20">
        <f t="shared" si="29"/>
        <v>167.73010285018432</v>
      </c>
      <c r="Q62" s="20"/>
      <c r="R62" s="21">
        <f>(N62-Geraetedaten!$B$161)/(Geraetedaten!$B$174-Geraetedaten!$B$161)*(Geraetedaten!$B$175-Geraetedaten!$B$162)+Geraetedaten!$B$162</f>
        <v>38.997891322383168</v>
      </c>
      <c r="S62" s="21">
        <f t="shared" si="30"/>
        <v>38.997891322383168</v>
      </c>
      <c r="T62" s="21">
        <f t="shared" si="31"/>
        <v>15.237690085096832</v>
      </c>
      <c r="U62" s="88">
        <f t="shared" si="32"/>
        <v>35.897748236664512</v>
      </c>
      <c r="V62" s="86">
        <f t="shared" si="6"/>
        <v>-27035.315630000001</v>
      </c>
      <c r="W62" s="85">
        <f t="shared" si="7"/>
        <v>-4225.3239992296285</v>
      </c>
      <c r="X62" s="85">
        <f t="shared" si="8"/>
        <v>-10802.884648880325</v>
      </c>
      <c r="Y62" s="90">
        <f t="shared" si="9"/>
        <v>4225.3239992296285</v>
      </c>
      <c r="Z62" s="86">
        <f t="shared" si="10"/>
        <v>-9402.4295399999992</v>
      </c>
      <c r="AA62" s="85">
        <f t="shared" si="11"/>
        <v>-913.46204712425447</v>
      </c>
      <c r="AB62" s="85">
        <f t="shared" si="12"/>
        <v>-976.98537507774131</v>
      </c>
      <c r="AC62" s="90">
        <f t="shared" si="13"/>
        <v>913.46204712425447</v>
      </c>
      <c r="AD62" s="86">
        <f t="shared" si="14"/>
        <v>26801.532340000002</v>
      </c>
      <c r="AE62" s="85">
        <f t="shared" si="15"/>
        <v>4140.4375383844126</v>
      </c>
      <c r="AF62" s="85">
        <f t="shared" si="16"/>
        <v>10606.820440618969</v>
      </c>
      <c r="AG62" s="90">
        <f t="shared" si="17"/>
        <v>4140.4375383844126</v>
      </c>
      <c r="AH62" s="86">
        <f t="shared" si="33"/>
        <v>10026.81256</v>
      </c>
      <c r="AI62" s="85">
        <f t="shared" si="18"/>
        <v>6238.0466047659793</v>
      </c>
      <c r="AJ62" s="85">
        <f t="shared" si="19"/>
        <v>6813.2199048343064</v>
      </c>
      <c r="AK62" s="90">
        <f t="shared" si="20"/>
        <v>6238.0466047659793</v>
      </c>
      <c r="AM62" s="95">
        <f t="shared" si="21"/>
        <v>0</v>
      </c>
      <c r="AN62" s="95">
        <f t="shared" si="22"/>
        <v>0</v>
      </c>
      <c r="AO62" s="95">
        <f t="shared" si="23"/>
        <v>0</v>
      </c>
      <c r="AP62" s="95">
        <f t="shared" si="24"/>
        <v>0</v>
      </c>
      <c r="AQ62"/>
      <c r="AR62" s="95">
        <f t="shared" si="25"/>
        <v>0</v>
      </c>
      <c r="AS62" s="95">
        <f t="shared" si="26"/>
        <v>0</v>
      </c>
      <c r="AT62" s="95">
        <f>Geraetedaten!$B$94*ABS(SIN(RADIANS($A62)))</f>
        <v>60.172593787348163</v>
      </c>
      <c r="AU62" s="95">
        <f>Geraetedaten!$B$94*ABS(COS(RADIANS($A62)))</f>
        <v>141.75774743167582</v>
      </c>
      <c r="AV62" s="95">
        <f>((h_Aw_Sw+Geraetedaten!$B$18)/1000)*(AR62*AT62+AS62*AU62)/100</f>
        <v>0</v>
      </c>
      <c r="AX62" s="18">
        <f>(IF($X$19="ja",1,0))*Geraetedaten!$D$142*COS(RADIANS(2*A62))*(Geraetedaten!$B$154*r_K_D+r_K_SSw*F_SSw/10)/1000+Geraetedaten!$B$152</f>
        <v>594.79999999999995</v>
      </c>
      <c r="AY62" s="18">
        <f>(IF($X$19="ja",1,0))*Geraetedaten!$D$142*COS(RADIANS(2*A62))*(Geraetedaten!$B$157*r_K_D+r_K_SSw*F_SSw/10)/1000+Geraetedaten!$B$155</f>
        <v>537.4</v>
      </c>
      <c r="AZ62" s="201"/>
    </row>
    <row r="63" spans="1:52" ht="13.5" x14ac:dyDescent="0.25">
      <c r="A63" s="16">
        <v>24</v>
      </c>
      <c r="B63" s="16">
        <f t="shared" si="0"/>
        <v>426</v>
      </c>
      <c r="C63" s="19">
        <f t="shared" si="1"/>
        <v>53.205140520595009</v>
      </c>
      <c r="D63" s="17">
        <f t="shared" si="27"/>
        <v>-26025.885070520595</v>
      </c>
      <c r="E63" s="17">
        <f t="shared" si="2"/>
        <v>-9519.7530805205952</v>
      </c>
      <c r="F63" s="17">
        <f t="shared" si="3"/>
        <v>25692.505969479404</v>
      </c>
      <c r="G63" s="17">
        <f t="shared" si="4"/>
        <v>10052.611269479405</v>
      </c>
      <c r="H63" s="17">
        <f t="shared" si="28"/>
        <v>10052.611269479405</v>
      </c>
      <c r="I63" s="17">
        <f t="shared" si="5"/>
        <v>6866.9030312627847</v>
      </c>
      <c r="J63" s="20">
        <f>(Geraetedaten!$B$152+(Geraetedaten!$B$153*(Geraetedaten!$B$18+d_y_Sw)/1000))*10</f>
        <v>6051.0442000000003</v>
      </c>
      <c r="K63" s="20">
        <f>(Geraetedaten!$B$165+(Geraetedaten!$B$166*(Geraetedaten!$B$18+d_y_Sw)/1000))*10</f>
        <v>10816.164000000001</v>
      </c>
      <c r="L63" s="20">
        <f>(Geraetedaten!$B$158+(Geraetedaten!$B$159*(Geraetedaten!$B$18+d_y_Sw)/1000)-(Geraetedaten!$B$160*I63/1000))*10</f>
        <v>97.986600717499783</v>
      </c>
      <c r="M63" s="20">
        <f>(Geraetedaten!$B$171+(Geraetedaten!$B$172*(Geraetedaten!$B$18+d_y_Sw)/1000)-(Geraetedaten!$B$173*I63/1000))*10</f>
        <v>553.69473835279916</v>
      </c>
      <c r="N63" s="20">
        <f>IF((H63-J63)/(K63-J63)*(Geraetedaten!$B$174-Geraetedaten!$B$161)&lt;Geraetedaten!$B$174,(H63-J63)/(K63-J63)*(Geraetedaten!$B$174-Geraetedaten!$B$161),Geraetedaten!$B$174)</f>
        <v>335.90484499293416</v>
      </c>
      <c r="O63" s="20">
        <f>N63/Geraetedaten!$B$174*(M63-L63)+L63+C63</f>
        <v>533.87816957410462</v>
      </c>
      <c r="P63" s="20">
        <f t="shared" si="29"/>
        <v>168.35174090401972</v>
      </c>
      <c r="Q63" s="20"/>
      <c r="R63" s="21">
        <f>(N63-Geraetedaten!$B$161)/(Geraetedaten!$B$174-Geraetedaten!$B$161)*(Geraetedaten!$B$175-Geraetedaten!$B$162)+Geraetedaten!$B$162</f>
        <v>39.193169138539794</v>
      </c>
      <c r="S63" s="21">
        <f t="shared" si="30"/>
        <v>39.193169138539794</v>
      </c>
      <c r="T63" s="21">
        <f t="shared" si="31"/>
        <v>15.941298046911728</v>
      </c>
      <c r="U63" s="88">
        <f t="shared" si="32"/>
        <v>35.804741637131194</v>
      </c>
      <c r="V63" s="86">
        <f t="shared" si="6"/>
        <v>-25972.679929999998</v>
      </c>
      <c r="W63" s="85">
        <f t="shared" si="7"/>
        <v>-4225.3239992296285</v>
      </c>
      <c r="X63" s="85">
        <f t="shared" si="8"/>
        <v>-10378.272225125751</v>
      </c>
      <c r="Y63" s="90">
        <f t="shared" si="9"/>
        <v>4225.3239992296285</v>
      </c>
      <c r="Z63" s="86">
        <f t="shared" si="10"/>
        <v>-9466.5479400000004</v>
      </c>
      <c r="AA63" s="85">
        <f t="shared" si="11"/>
        <v>-913.46204712425447</v>
      </c>
      <c r="AB63" s="85">
        <f t="shared" si="12"/>
        <v>-983.64777352911403</v>
      </c>
      <c r="AC63" s="90">
        <f t="shared" si="13"/>
        <v>913.46204712425447</v>
      </c>
      <c r="AD63" s="86">
        <f t="shared" si="14"/>
        <v>25745.71111</v>
      </c>
      <c r="AE63" s="85">
        <f t="shared" si="15"/>
        <v>4140.4375383844126</v>
      </c>
      <c r="AF63" s="85">
        <f t="shared" si="16"/>
        <v>10188.974698359476</v>
      </c>
      <c r="AG63" s="90">
        <f t="shared" si="17"/>
        <v>4140.4375383844126</v>
      </c>
      <c r="AH63" s="86">
        <f t="shared" si="33"/>
        <v>10105.816409999999</v>
      </c>
      <c r="AI63" s="85">
        <f t="shared" si="18"/>
        <v>6238.0466047659793</v>
      </c>
      <c r="AJ63" s="85">
        <f t="shared" si="19"/>
        <v>6866.9030312627847</v>
      </c>
      <c r="AK63" s="90">
        <f t="shared" si="20"/>
        <v>6238.0466047659793</v>
      </c>
      <c r="AM63" s="95">
        <f t="shared" si="21"/>
        <v>0</v>
      </c>
      <c r="AN63" s="95">
        <f t="shared" si="22"/>
        <v>0</v>
      </c>
      <c r="AO63" s="95">
        <f t="shared" si="23"/>
        <v>0</v>
      </c>
      <c r="AP63" s="95">
        <f t="shared" si="24"/>
        <v>0</v>
      </c>
      <c r="AQ63"/>
      <c r="AR63" s="95">
        <f t="shared" si="25"/>
        <v>0</v>
      </c>
      <c r="AS63" s="95">
        <f t="shared" si="26"/>
        <v>0</v>
      </c>
      <c r="AT63" s="95">
        <f>Geraetedaten!$B$94*ABS(SIN(RADIANS($A63)))</f>
        <v>62.637443033673229</v>
      </c>
      <c r="AU63" s="95">
        <f>Geraetedaten!$B$94*ABS(COS(RADIANS($A63)))</f>
        <v>140.68600047696054</v>
      </c>
      <c r="AV63" s="95">
        <f>((h_Aw_Sw+Geraetedaten!$B$18)/1000)*(AR63*AT63+AS63*AU63)/100</f>
        <v>0</v>
      </c>
      <c r="AX63" s="18">
        <f>(IF($X$19="ja",1,0))*Geraetedaten!$D$142*COS(RADIANS(2*A63))*(Geraetedaten!$B$154*r_K_D+r_K_SSw*F_SSw/10)/1000+Geraetedaten!$B$152</f>
        <v>594.79999999999995</v>
      </c>
      <c r="AY63" s="18">
        <f>(IF($X$19="ja",1,0))*Geraetedaten!$D$142*COS(RADIANS(2*A63))*(Geraetedaten!$B$157*r_K_D+r_K_SSw*F_SSw/10)/1000+Geraetedaten!$B$155</f>
        <v>537.4</v>
      </c>
      <c r="AZ63" s="201"/>
    </row>
    <row r="64" spans="1:52" ht="13.5" x14ac:dyDescent="0.25">
      <c r="A64" s="16">
        <v>25</v>
      </c>
      <c r="B64" s="16">
        <f t="shared" si="0"/>
        <v>425</v>
      </c>
      <c r="C64" s="19">
        <f t="shared" si="1"/>
        <v>53.997641848064774</v>
      </c>
      <c r="D64" s="17">
        <f t="shared" si="27"/>
        <v>-25051.744041848066</v>
      </c>
      <c r="E64" s="17">
        <f t="shared" si="2"/>
        <v>-9588.4687018480654</v>
      </c>
      <c r="F64" s="17">
        <f t="shared" si="3"/>
        <v>24723.186898151933</v>
      </c>
      <c r="G64" s="17">
        <f t="shared" si="4"/>
        <v>10135.205878151934</v>
      </c>
      <c r="H64" s="17">
        <f t="shared" si="28"/>
        <v>10135.205878151934</v>
      </c>
      <c r="I64" s="17">
        <f t="shared" si="5"/>
        <v>6923.5645768164713</v>
      </c>
      <c r="J64" s="20">
        <f>(Geraetedaten!$B$152+(Geraetedaten!$B$153*(Geraetedaten!$B$18+d_y_Sw)/1000))*10</f>
        <v>6051.0442000000003</v>
      </c>
      <c r="K64" s="20">
        <f>(Geraetedaten!$B$165+(Geraetedaten!$B$166*(Geraetedaten!$B$18+d_y_Sw)/1000))*10</f>
        <v>10816.164000000001</v>
      </c>
      <c r="L64" s="20">
        <f>(Geraetedaten!$B$158+(Geraetedaten!$B$159*(Geraetedaten!$B$18+d_y_Sw)/1000)-(Geraetedaten!$B$160*I64/1000))*10</f>
        <v>93.831609582048046</v>
      </c>
      <c r="M64" s="20">
        <f>(Geraetedaten!$B$171+(Geraetedaten!$B$172*(Geraetedaten!$B$18+d_y_Sw)/1000)-(Geraetedaten!$B$173*I64/1000))*10</f>
        <v>549.47685290178265</v>
      </c>
      <c r="N64" s="20">
        <f>IF((H64-J64)/(K64-J64)*(Geraetedaten!$B$174-Geraetedaten!$B$161)&lt;Geraetedaten!$B$174,(H64-J64)/(K64-J64)*(Geraetedaten!$B$174-Geraetedaten!$B$161),Geraetedaten!$B$174)</f>
        <v>342.83811107136762</v>
      </c>
      <c r="O64" s="20">
        <f>N64/Geraetedaten!$B$174*(M64-L64)+L64+C64</f>
        <v>538.36063777609161</v>
      </c>
      <c r="P64" s="20">
        <f t="shared" si="29"/>
        <v>168.98319129594719</v>
      </c>
      <c r="Q64" s="20"/>
      <c r="R64" s="21">
        <f>(N64-Geraetedaten!$B$161)/(Geraetedaten!$B$174-Geraetedaten!$B$161)*(Geraetedaten!$B$175-Geraetedaten!$B$162)+Geraetedaten!$B$162</f>
        <v>39.399433804373189</v>
      </c>
      <c r="S64" s="21">
        <f t="shared" si="30"/>
        <v>39.399433804373189</v>
      </c>
      <c r="T64" s="21">
        <f t="shared" si="31"/>
        <v>16.650920227971948</v>
      </c>
      <c r="U64" s="88">
        <f t="shared" si="32"/>
        <v>35.708013661738441</v>
      </c>
      <c r="V64" s="86">
        <f t="shared" si="6"/>
        <v>-24997.7464</v>
      </c>
      <c r="W64" s="85">
        <f t="shared" si="7"/>
        <v>-4225.3239992296285</v>
      </c>
      <c r="X64" s="85">
        <f t="shared" si="8"/>
        <v>-9988.7042000232395</v>
      </c>
      <c r="Y64" s="90">
        <f t="shared" si="9"/>
        <v>4225.3239992296285</v>
      </c>
      <c r="Z64" s="86">
        <f t="shared" si="10"/>
        <v>-9534.4710599999999</v>
      </c>
      <c r="AA64" s="85">
        <f t="shared" si="11"/>
        <v>-913.46204712425447</v>
      </c>
      <c r="AB64" s="85">
        <f t="shared" si="12"/>
        <v>-990.70551280304403</v>
      </c>
      <c r="AC64" s="90">
        <f t="shared" si="13"/>
        <v>913.46204712425447</v>
      </c>
      <c r="AD64" s="86">
        <f t="shared" si="14"/>
        <v>24777.184539999998</v>
      </c>
      <c r="AE64" s="85">
        <f t="shared" si="15"/>
        <v>4140.4375383844126</v>
      </c>
      <c r="AF64" s="85">
        <f t="shared" si="16"/>
        <v>9805.6761864892596</v>
      </c>
      <c r="AG64" s="90">
        <f t="shared" si="17"/>
        <v>4140.4375383844126</v>
      </c>
      <c r="AH64" s="86">
        <f t="shared" si="33"/>
        <v>10189.203519999999</v>
      </c>
      <c r="AI64" s="85">
        <f t="shared" si="18"/>
        <v>6238.0466047659793</v>
      </c>
      <c r="AJ64" s="85">
        <f t="shared" si="19"/>
        <v>6923.5645768164713</v>
      </c>
      <c r="AK64" s="90">
        <f t="shared" si="20"/>
        <v>6238.0466047659793</v>
      </c>
      <c r="AM64" s="95">
        <f t="shared" si="21"/>
        <v>0</v>
      </c>
      <c r="AN64" s="95">
        <f t="shared" si="22"/>
        <v>0</v>
      </c>
      <c r="AO64" s="95">
        <f t="shared" si="23"/>
        <v>0</v>
      </c>
      <c r="AP64" s="95">
        <f t="shared" si="24"/>
        <v>0</v>
      </c>
      <c r="AQ64"/>
      <c r="AR64" s="95">
        <f t="shared" si="25"/>
        <v>0</v>
      </c>
      <c r="AS64" s="95">
        <f t="shared" si="26"/>
        <v>0</v>
      </c>
      <c r="AT64" s="95">
        <f>Geraetedaten!$B$94*ABS(SIN(RADIANS($A64)))</f>
        <v>65.083212308067715</v>
      </c>
      <c r="AU64" s="95">
        <f>Geraetedaten!$B$94*ABS(COS(RADIANS($A64)))</f>
        <v>139.57139920364409</v>
      </c>
      <c r="AV64" s="95">
        <f>((h_Aw_Sw+Geraetedaten!$B$18)/1000)*(AR64*AT64+AS64*AU64)/100</f>
        <v>0</v>
      </c>
      <c r="AX64" s="18">
        <f>(IF($X$19="ja",1,0))*Geraetedaten!$D$142*COS(RADIANS(2*A64))*(Geraetedaten!$B$154*r_K_D+r_K_SSw*F_SSw/10)/1000+Geraetedaten!$B$152</f>
        <v>594.79999999999995</v>
      </c>
      <c r="AY64" s="18">
        <f>(IF($X$19="ja",1,0))*Geraetedaten!$D$142*COS(RADIANS(2*A64))*(Geraetedaten!$B$157*r_K_D+r_K_SSw*F_SSw/10)/1000+Geraetedaten!$B$155</f>
        <v>537.4</v>
      </c>
      <c r="AZ64" s="201"/>
    </row>
    <row r="65" spans="1:52" ht="13.5" x14ac:dyDescent="0.25">
      <c r="A65" s="16">
        <v>26</v>
      </c>
      <c r="B65" s="16">
        <f t="shared" si="0"/>
        <v>424</v>
      </c>
      <c r="C65" s="19">
        <f t="shared" si="1"/>
        <v>54.773694970740721</v>
      </c>
      <c r="D65" s="17">
        <f t="shared" si="27"/>
        <v>-24155.20612497074</v>
      </c>
      <c r="E65" s="17">
        <f t="shared" si="2"/>
        <v>-9661.0969549707406</v>
      </c>
      <c r="F65" s="17">
        <f t="shared" si="3"/>
        <v>23831.12435502926</v>
      </c>
      <c r="G65" s="17">
        <f t="shared" si="4"/>
        <v>10222.361065029259</v>
      </c>
      <c r="H65" s="17">
        <f t="shared" si="28"/>
        <v>10222.361065029259</v>
      </c>
      <c r="I65" s="17">
        <f t="shared" si="5"/>
        <v>6983.3138594209286</v>
      </c>
      <c r="J65" s="20">
        <f>(Geraetedaten!$B$152+(Geraetedaten!$B$153*(Geraetedaten!$B$18+d_y_Sw)/1000))*10</f>
        <v>6051.0442000000003</v>
      </c>
      <c r="K65" s="20">
        <f>(Geraetedaten!$B$165+(Geraetedaten!$B$166*(Geraetedaten!$B$18+d_y_Sw)/1000))*10</f>
        <v>10816.164000000001</v>
      </c>
      <c r="L65" s="20">
        <f>(Geraetedaten!$B$158+(Geraetedaten!$B$159*(Geraetedaten!$B$18+d_y_Sw)/1000)-(Geraetedaten!$B$160*I65/1000))*10</f>
        <v>89.450194688663203</v>
      </c>
      <c r="M65" s="20">
        <f>(Geraetedaten!$B$171+(Geraetedaten!$B$172*(Geraetedaten!$B$18+d_y_Sw)/1000)-(Geraetedaten!$B$173*I65/1000))*10</f>
        <v>545.02911630470692</v>
      </c>
      <c r="N65" s="20">
        <f>IF((H65-J65)/(K65-J65)*(Geraetedaten!$B$174-Geraetedaten!$B$161)&lt;Geraetedaten!$B$174,(H65-J65)/(K65-J65)*(Geraetedaten!$B$174-Geraetedaten!$B$161),Geraetedaten!$B$174)</f>
        <v>350.15420724820046</v>
      </c>
      <c r="O65" s="20">
        <f>N65/Geraetedaten!$B$174*(M65-L65)+L65+C65</f>
        <v>543.03108000304348</v>
      </c>
      <c r="P65" s="20">
        <f t="shared" si="29"/>
        <v>169.62442187019332</v>
      </c>
      <c r="Q65" s="20"/>
      <c r="R65" s="21">
        <f>(N65-Geraetedaten!$B$161)/(Geraetedaten!$B$174-Geraetedaten!$B$161)*(Geraetedaten!$B$175-Geraetedaten!$B$162)+Geraetedaten!$B$162</f>
        <v>39.617087665633967</v>
      </c>
      <c r="S65" s="21">
        <f t="shared" si="30"/>
        <v>39.617087665633967</v>
      </c>
      <c r="T65" s="21">
        <f t="shared" si="31"/>
        <v>17.366988152427375</v>
      </c>
      <c r="U65" s="88">
        <f t="shared" si="32"/>
        <v>35.607602525583978</v>
      </c>
      <c r="V65" s="86">
        <f t="shared" si="6"/>
        <v>-24100.432430000001</v>
      </c>
      <c r="W65" s="85">
        <f t="shared" si="7"/>
        <v>-4225.3239992296285</v>
      </c>
      <c r="X65" s="85">
        <f t="shared" si="8"/>
        <v>-9630.1517265623588</v>
      </c>
      <c r="Y65" s="90">
        <f t="shared" si="9"/>
        <v>4225.3239992296285</v>
      </c>
      <c r="Z65" s="86">
        <f t="shared" si="10"/>
        <v>-9606.3232599999992</v>
      </c>
      <c r="AA65" s="85">
        <f t="shared" si="11"/>
        <v>-913.46204712425447</v>
      </c>
      <c r="AB65" s="85">
        <f t="shared" si="12"/>
        <v>-998.17151360644584</v>
      </c>
      <c r="AC65" s="90">
        <f t="shared" si="13"/>
        <v>913.46204712425447</v>
      </c>
      <c r="AD65" s="86">
        <f t="shared" si="14"/>
        <v>23885.89805</v>
      </c>
      <c r="AE65" s="85">
        <f t="shared" si="15"/>
        <v>4140.4375383844126</v>
      </c>
      <c r="AF65" s="85">
        <f t="shared" si="16"/>
        <v>9452.9457677227438</v>
      </c>
      <c r="AG65" s="90">
        <f t="shared" si="17"/>
        <v>4140.4375383844126</v>
      </c>
      <c r="AH65" s="86">
        <f t="shared" si="33"/>
        <v>10277.134760000001</v>
      </c>
      <c r="AI65" s="85">
        <f t="shared" si="18"/>
        <v>6238.0466047659793</v>
      </c>
      <c r="AJ65" s="85">
        <f t="shared" si="19"/>
        <v>6983.3138594209286</v>
      </c>
      <c r="AK65" s="90">
        <f t="shared" si="20"/>
        <v>6238.0466047659793</v>
      </c>
      <c r="AM65" s="95">
        <f t="shared" si="21"/>
        <v>0</v>
      </c>
      <c r="AN65" s="95">
        <f t="shared" si="22"/>
        <v>0</v>
      </c>
      <c r="AO65" s="95">
        <f t="shared" si="23"/>
        <v>0</v>
      </c>
      <c r="AP65" s="95">
        <f t="shared" si="24"/>
        <v>0</v>
      </c>
      <c r="AQ65"/>
      <c r="AR65" s="95">
        <f t="shared" si="25"/>
        <v>0</v>
      </c>
      <c r="AS65" s="95">
        <f t="shared" si="26"/>
        <v>0</v>
      </c>
      <c r="AT65" s="95">
        <f>Geraetedaten!$B$94*ABS(SIN(RADIANS($A65)))</f>
        <v>67.509156605517916</v>
      </c>
      <c r="AU65" s="95">
        <f>Geraetedaten!$B$94*ABS(COS(RADIANS($A65)))</f>
        <v>138.41428313007174</v>
      </c>
      <c r="AV65" s="95">
        <f>((h_Aw_Sw+Geraetedaten!$B$18)/1000)*(AR65*AT65+AS65*AU65)/100</f>
        <v>0</v>
      </c>
      <c r="AX65" s="18">
        <f>(IF($X$19="ja",1,0))*Geraetedaten!$D$142*COS(RADIANS(2*A65))*(Geraetedaten!$B$154*r_K_D+r_K_SSw*F_SSw/10)/1000+Geraetedaten!$B$152</f>
        <v>594.79999999999995</v>
      </c>
      <c r="AY65" s="18">
        <f>(IF($X$19="ja",1,0))*Geraetedaten!$D$142*COS(RADIANS(2*A65))*(Geraetedaten!$B$157*r_K_D+r_K_SSw*F_SSw/10)/1000+Geraetedaten!$B$155</f>
        <v>537.4</v>
      </c>
      <c r="AZ65" s="201"/>
    </row>
    <row r="66" spans="1:52" ht="13.5" x14ac:dyDescent="0.25">
      <c r="A66" s="16">
        <v>27</v>
      </c>
      <c r="B66" s="16">
        <f t="shared" si="0"/>
        <v>423</v>
      </c>
      <c r="C66" s="19">
        <f t="shared" si="1"/>
        <v>55.533063495323873</v>
      </c>
      <c r="D66" s="17">
        <f t="shared" si="27"/>
        <v>-23327.682133495324</v>
      </c>
      <c r="E66" s="17">
        <f t="shared" si="2"/>
        <v>-9737.7714034953242</v>
      </c>
      <c r="F66" s="17">
        <f t="shared" si="3"/>
        <v>23007.756156504674</v>
      </c>
      <c r="G66" s="17">
        <f t="shared" si="4"/>
        <v>10314.250046504676</v>
      </c>
      <c r="H66" s="17">
        <f t="shared" si="28"/>
        <v>10314.250046504676</v>
      </c>
      <c r="I66" s="17">
        <f t="shared" si="5"/>
        <v>7046.2684186645765</v>
      </c>
      <c r="J66" s="20">
        <f>(Geraetedaten!$B$152+(Geraetedaten!$B$153*(Geraetedaten!$B$18+d_y_Sw)/1000))*10</f>
        <v>6051.0442000000003</v>
      </c>
      <c r="K66" s="20">
        <f>(Geraetedaten!$B$165+(Geraetedaten!$B$166*(Geraetedaten!$B$18+d_y_Sw)/1000))*10</f>
        <v>10816.164000000001</v>
      </c>
      <c r="L66" s="20">
        <f>(Geraetedaten!$B$158+(Geraetedaten!$B$159*(Geraetedaten!$B$18+d_y_Sw)/1000)-(Geraetedaten!$B$160*I66/1000))*10</f>
        <v>84.833736859326478</v>
      </c>
      <c r="M66" s="20">
        <f>(Geraetedaten!$B$171+(Geraetedaten!$B$172*(Geraetedaten!$B$18+d_y_Sw)/1000)-(Geraetedaten!$B$173*I66/1000))*10</f>
        <v>540.34277891460977</v>
      </c>
      <c r="N66" s="20">
        <f>IF((H66-J66)/(K66-J66)*(Geraetedaten!$B$174-Geraetedaten!$B$161)&lt;Geraetedaten!$B$174,(H66-J66)/(K66-J66)*(Geraetedaten!$B$174-Geraetedaten!$B$161),Geraetedaten!$B$174)</f>
        <v>357.86767388342895</v>
      </c>
      <c r="O66" s="20">
        <f>N66/Geraetedaten!$B$174*(M66-L66)+L66+C66</f>
        <v>547.89670363763344</v>
      </c>
      <c r="P66" s="20">
        <f t="shared" si="29"/>
        <v>170.27540898022295</v>
      </c>
      <c r="Q66" s="20"/>
      <c r="R66" s="21">
        <f>(N66-Geraetedaten!$B$161)/(Geraetedaten!$B$174-Geraetedaten!$B$161)*(Geraetedaten!$B$175-Geraetedaten!$B$162)+Geraetedaten!$B$162</f>
        <v>39.846563298032009</v>
      </c>
      <c r="S66" s="21">
        <f t="shared" si="30"/>
        <v>39.846563298032009</v>
      </c>
      <c r="T66" s="21">
        <f t="shared" si="31"/>
        <v>18.089961184577035</v>
      </c>
      <c r="U66" s="88">
        <f t="shared" si="32"/>
        <v>35.503547865031287</v>
      </c>
      <c r="V66" s="86">
        <f t="shared" si="6"/>
        <v>-23272.149069999999</v>
      </c>
      <c r="W66" s="85">
        <f t="shared" si="7"/>
        <v>-4225.3239992296285</v>
      </c>
      <c r="X66" s="85">
        <f t="shared" si="8"/>
        <v>-9299.1827930052241</v>
      </c>
      <c r="Y66" s="90">
        <f t="shared" si="9"/>
        <v>4225.3239992296285</v>
      </c>
      <c r="Z66" s="86">
        <f t="shared" si="10"/>
        <v>-9682.2383399999999</v>
      </c>
      <c r="AA66" s="85">
        <f t="shared" si="11"/>
        <v>-913.46204712425447</v>
      </c>
      <c r="AB66" s="85">
        <f t="shared" si="12"/>
        <v>-1006.0596796181311</v>
      </c>
      <c r="AC66" s="90">
        <f t="shared" si="13"/>
        <v>913.46204712425447</v>
      </c>
      <c r="AD66" s="86">
        <f t="shared" si="14"/>
        <v>23063.289219999999</v>
      </c>
      <c r="AE66" s="85">
        <f t="shared" si="15"/>
        <v>4140.4375383844126</v>
      </c>
      <c r="AF66" s="85">
        <f t="shared" si="16"/>
        <v>9127.3948229703274</v>
      </c>
      <c r="AG66" s="90">
        <f t="shared" si="17"/>
        <v>4140.4375383844126</v>
      </c>
      <c r="AH66" s="86">
        <f t="shared" si="33"/>
        <v>10369.78311</v>
      </c>
      <c r="AI66" s="85">
        <f t="shared" si="18"/>
        <v>6238.0466047659793</v>
      </c>
      <c r="AJ66" s="85">
        <f t="shared" si="19"/>
        <v>7046.2684186645765</v>
      </c>
      <c r="AK66" s="90">
        <f t="shared" si="20"/>
        <v>6238.0466047659793</v>
      </c>
      <c r="AM66" s="95">
        <f t="shared" si="21"/>
        <v>0</v>
      </c>
      <c r="AN66" s="95">
        <f t="shared" si="22"/>
        <v>0</v>
      </c>
      <c r="AO66" s="95">
        <f t="shared" si="23"/>
        <v>0</v>
      </c>
      <c r="AP66" s="95">
        <f t="shared" si="24"/>
        <v>0</v>
      </c>
      <c r="AQ66"/>
      <c r="AR66" s="95">
        <f t="shared" si="25"/>
        <v>0</v>
      </c>
      <c r="AS66" s="95">
        <f t="shared" si="26"/>
        <v>0</v>
      </c>
      <c r="AT66" s="95">
        <f>Geraetedaten!$B$94*ABS(SIN(RADIANS($A66)))</f>
        <v>69.914536959890199</v>
      </c>
      <c r="AU66" s="95">
        <f>Geraetedaten!$B$94*ABS(COS(RADIANS($A66)))</f>
        <v>137.21500472500867</v>
      </c>
      <c r="AV66" s="95">
        <f>((h_Aw_Sw+Geraetedaten!$B$18)/1000)*(AR66*AT66+AS66*AU66)/100</f>
        <v>0</v>
      </c>
      <c r="AX66" s="18">
        <f>(IF($X$19="ja",1,0))*Geraetedaten!$D$142*COS(RADIANS(2*A66))*(Geraetedaten!$B$154*r_K_D+r_K_SSw*F_SSw/10)/1000+Geraetedaten!$B$152</f>
        <v>594.79999999999995</v>
      </c>
      <c r="AY66" s="18">
        <f>(IF($X$19="ja",1,0))*Geraetedaten!$D$142*COS(RADIANS(2*A66))*(Geraetedaten!$B$157*r_K_D+r_K_SSw*F_SSw/10)/1000+Geraetedaten!$B$155</f>
        <v>537.4</v>
      </c>
      <c r="AZ66" s="201"/>
    </row>
    <row r="67" spans="1:52" ht="13.5" x14ac:dyDescent="0.25">
      <c r="A67" s="16">
        <v>28</v>
      </c>
      <c r="B67" s="16">
        <f t="shared" si="0"/>
        <v>422</v>
      </c>
      <c r="C67" s="19">
        <f t="shared" si="1"/>
        <v>56.275516110805498</v>
      </c>
      <c r="D67" s="17">
        <f t="shared" si="27"/>
        <v>-22561.810066110807</v>
      </c>
      <c r="E67" s="17">
        <f t="shared" si="2"/>
        <v>-9818.6357461108055</v>
      </c>
      <c r="F67" s="17">
        <f t="shared" si="3"/>
        <v>22245.745573889191</v>
      </c>
      <c r="G67" s="17">
        <f t="shared" si="4"/>
        <v>10411.059043889194</v>
      </c>
      <c r="H67" s="17">
        <f t="shared" si="28"/>
        <v>10411.059043889194</v>
      </c>
      <c r="I67" s="17">
        <f t="shared" si="5"/>
        <v>7112.554636273333</v>
      </c>
      <c r="J67" s="20">
        <f>(Geraetedaten!$B$152+(Geraetedaten!$B$153*(Geraetedaten!$B$18+d_y_Sw)/1000))*10</f>
        <v>6051.0442000000003</v>
      </c>
      <c r="K67" s="20">
        <f>(Geraetedaten!$B$165+(Geraetedaten!$B$166*(Geraetedaten!$B$18+d_y_Sw)/1000))*10</f>
        <v>10816.164000000001</v>
      </c>
      <c r="L67" s="20">
        <f>(Geraetedaten!$B$158+(Geraetedaten!$B$159*(Geraetedaten!$B$18+d_y_Sw)/1000)-(Geraetedaten!$B$160*I67/1000))*10</f>
        <v>79.972968522076329</v>
      </c>
      <c r="M67" s="20">
        <f>(Geraetedaten!$B$171+(Geraetedaten!$B$172*(Geraetedaten!$B$18+d_y_Sw)/1000)-(Geraetedaten!$B$173*I67/1000))*10</f>
        <v>535.4084328758139</v>
      </c>
      <c r="N67" s="20">
        <f>IF((H67-J67)/(K67-J67)*(Geraetedaten!$B$174-Geraetedaten!$B$161)&lt;Geraetedaten!$B$174,(H67-J67)/(K67-J67)*(Geraetedaten!$B$174-Geraetedaten!$B$161),Geraetedaten!$B$174)</f>
        <v>365.99414301308383</v>
      </c>
      <c r="O67" s="20">
        <f>N67/Geraetedaten!$B$174*(M67-L67)+L67+C67</f>
        <v>552.96526581766204</v>
      </c>
      <c r="P67" s="20">
        <f t="shared" si="29"/>
        <v>170.93613688465891</v>
      </c>
      <c r="Q67" s="20"/>
      <c r="R67" s="21">
        <f>(N67-Geraetedaten!$B$161)/(Geraetedaten!$B$174-Geraetedaten!$B$161)*(Geraetedaten!$B$175-Geraetedaten!$B$162)+Geraetedaten!$B$162</f>
        <v>40.088325754639243</v>
      </c>
      <c r="S67" s="21">
        <f t="shared" si="30"/>
        <v>40.088325754639243</v>
      </c>
      <c r="T67" s="21">
        <f t="shared" si="31"/>
        <v>18.82032894150036</v>
      </c>
      <c r="U67" s="88">
        <f t="shared" si="32"/>
        <v>35.395890726803245</v>
      </c>
      <c r="V67" s="86">
        <f t="shared" si="6"/>
        <v>-22505.53455</v>
      </c>
      <c r="W67" s="85">
        <f t="shared" si="7"/>
        <v>-4225.3239992296285</v>
      </c>
      <c r="X67" s="85">
        <f t="shared" si="8"/>
        <v>-8992.8557505237404</v>
      </c>
      <c r="Y67" s="90">
        <f t="shared" si="9"/>
        <v>4225.3239992296285</v>
      </c>
      <c r="Z67" s="86">
        <f t="shared" si="10"/>
        <v>-9762.3602300000002</v>
      </c>
      <c r="AA67" s="85">
        <f t="shared" si="11"/>
        <v>-913.46204712425447</v>
      </c>
      <c r="AB67" s="85">
        <f t="shared" si="12"/>
        <v>-1014.3849658010565</v>
      </c>
      <c r="AC67" s="90">
        <f t="shared" si="13"/>
        <v>913.46204712425447</v>
      </c>
      <c r="AD67" s="86">
        <f t="shared" si="14"/>
        <v>22302.021089999998</v>
      </c>
      <c r="AE67" s="85">
        <f t="shared" si="15"/>
        <v>4140.4375383844126</v>
      </c>
      <c r="AF67" s="85">
        <f t="shared" si="16"/>
        <v>8826.1197245797903</v>
      </c>
      <c r="AG67" s="90">
        <f t="shared" si="17"/>
        <v>4140.4375383844126</v>
      </c>
      <c r="AH67" s="86">
        <f t="shared" si="33"/>
        <v>10467.334559999999</v>
      </c>
      <c r="AI67" s="85">
        <f t="shared" si="18"/>
        <v>6238.0466047659793</v>
      </c>
      <c r="AJ67" s="85">
        <f t="shared" si="19"/>
        <v>7112.554636273333</v>
      </c>
      <c r="AK67" s="90">
        <f t="shared" si="20"/>
        <v>6238.0466047659793</v>
      </c>
      <c r="AM67" s="95">
        <f t="shared" si="21"/>
        <v>0</v>
      </c>
      <c r="AN67" s="95">
        <f t="shared" si="22"/>
        <v>0</v>
      </c>
      <c r="AO67" s="95">
        <f t="shared" si="23"/>
        <v>0</v>
      </c>
      <c r="AP67" s="95">
        <f t="shared" si="24"/>
        <v>0</v>
      </c>
      <c r="AQ67"/>
      <c r="AR67" s="95">
        <f t="shared" si="25"/>
        <v>0</v>
      </c>
      <c r="AS67" s="95">
        <f t="shared" si="26"/>
        <v>0</v>
      </c>
      <c r="AT67" s="95">
        <f>Geraetedaten!$B$94*ABS(SIN(RADIANS($A67)))</f>
        <v>72.298620669027187</v>
      </c>
      <c r="AU67" s="95">
        <f>Geraetedaten!$B$94*ABS(COS(RADIANS($A67)))</f>
        <v>135.97392930027476</v>
      </c>
      <c r="AV67" s="95">
        <f>((h_Aw_Sw+Geraetedaten!$B$18)/1000)*(AR67*AT67+AS67*AU67)/100</f>
        <v>0</v>
      </c>
      <c r="AX67" s="18">
        <f>(IF($X$19="ja",1,0))*Geraetedaten!$D$142*COS(RADIANS(2*A67))*(Geraetedaten!$B$154*r_K_D+r_K_SSw*F_SSw/10)/1000+Geraetedaten!$B$152</f>
        <v>594.79999999999995</v>
      </c>
      <c r="AY67" s="18">
        <f>(IF($X$19="ja",1,0))*Geraetedaten!$D$142*COS(RADIANS(2*A67))*(Geraetedaten!$B$157*r_K_D+r_K_SSw*F_SSw/10)/1000+Geraetedaten!$B$155</f>
        <v>537.4</v>
      </c>
      <c r="AZ67" s="201"/>
    </row>
    <row r="68" spans="1:52" ht="13.5" x14ac:dyDescent="0.25">
      <c r="A68" s="16">
        <v>29</v>
      </c>
      <c r="B68" s="16">
        <f t="shared" si="0"/>
        <v>421</v>
      </c>
      <c r="C68" s="19">
        <f t="shared" si="1"/>
        <v>57.000826658926599</v>
      </c>
      <c r="D68" s="17">
        <f t="shared" si="27"/>
        <v>-21851.24371665893</v>
      </c>
      <c r="E68" s="17">
        <f t="shared" si="2"/>
        <v>-9903.844526658926</v>
      </c>
      <c r="F68" s="17">
        <f t="shared" si="3"/>
        <v>21538.769963341074</v>
      </c>
      <c r="G68" s="17">
        <f t="shared" si="4"/>
        <v>10512.988293341074</v>
      </c>
      <c r="H68" s="17">
        <f t="shared" si="28"/>
        <v>10512.988293341074</v>
      </c>
      <c r="I68" s="17">
        <f t="shared" si="5"/>
        <v>7182.3084209508224</v>
      </c>
      <c r="J68" s="20">
        <f>(Geraetedaten!$B$152+(Geraetedaten!$B$153*(Geraetedaten!$B$18+d_y_Sw)/1000))*10</f>
        <v>6051.0442000000003</v>
      </c>
      <c r="K68" s="20">
        <f>(Geraetedaten!$B$165+(Geraetedaten!$B$166*(Geraetedaten!$B$18+d_y_Sw)/1000))*10</f>
        <v>10816.164000000001</v>
      </c>
      <c r="L68" s="20">
        <f>(Geraetedaten!$B$158+(Geraetedaten!$B$159*(Geraetedaten!$B$18+d_y_Sw)/1000)-(Geraetedaten!$B$160*I68/1000))*10</f>
        <v>74.857923491676033</v>
      </c>
      <c r="M68" s="20">
        <f>(Geraetedaten!$B$171+(Geraetedaten!$B$172*(Geraetedaten!$B$18+d_y_Sw)/1000)-(Geraetedaten!$B$173*I68/1000))*10</f>
        <v>530.21596114442161</v>
      </c>
      <c r="N68" s="20">
        <f>IF((H68-J68)/(K68-J68)*(Geraetedaten!$B$174-Geraetedaten!$B$161)&lt;Geraetedaten!$B$174,(H68-J68)/(K68-J68)*(Geraetedaten!$B$174-Geraetedaten!$B$161),Geraetedaten!$B$174)</f>
        <v>374.55042312607316</v>
      </c>
      <c r="O68" s="20">
        <f>N68/Geraetedaten!$B$174*(M68-L68)+L68+C68</f>
        <v>558.24511434233818</v>
      </c>
      <c r="P68" s="20">
        <f t="shared" si="29"/>
        <v>171.60659734138662</v>
      </c>
      <c r="Q68" s="20"/>
      <c r="R68" s="21">
        <f>(N68-Geraetedaten!$B$161)/(Geraetedaten!$B$174-Geraetedaten!$B$161)*(Geraetedaten!$B$175-Geraetedaten!$B$162)+Geraetedaten!$B$162</f>
        <v>40.342875088000675</v>
      </c>
      <c r="S68" s="21">
        <f t="shared" si="30"/>
        <v>40.342875088000675</v>
      </c>
      <c r="T68" s="21">
        <f t="shared" si="31"/>
        <v>19.558613951059019</v>
      </c>
      <c r="U68" s="88">
        <f t="shared" si="32"/>
        <v>35.284673594628373</v>
      </c>
      <c r="V68" s="86">
        <f t="shared" si="6"/>
        <v>-21794.242890000001</v>
      </c>
      <c r="W68" s="85">
        <f t="shared" si="7"/>
        <v>-4225.3239992296285</v>
      </c>
      <c r="X68" s="85">
        <f t="shared" si="8"/>
        <v>-8708.6348513828434</v>
      </c>
      <c r="Y68" s="90">
        <f t="shared" si="9"/>
        <v>4225.3239992296285</v>
      </c>
      <c r="Z68" s="86">
        <f t="shared" si="10"/>
        <v>-9846.8436999999994</v>
      </c>
      <c r="AA68" s="85">
        <f t="shared" si="11"/>
        <v>-913.46204712425447</v>
      </c>
      <c r="AB68" s="85">
        <f t="shared" si="12"/>
        <v>-1023.1634536333281</v>
      </c>
      <c r="AC68" s="90">
        <f t="shared" si="13"/>
        <v>913.46204712425447</v>
      </c>
      <c r="AD68" s="86">
        <f t="shared" si="14"/>
        <v>21595.770789999999</v>
      </c>
      <c r="AE68" s="85">
        <f t="shared" si="15"/>
        <v>4140.4375383844126</v>
      </c>
      <c r="AF68" s="85">
        <f t="shared" si="16"/>
        <v>8546.6181608629322</v>
      </c>
      <c r="AG68" s="90">
        <f t="shared" si="17"/>
        <v>4140.4375383844126</v>
      </c>
      <c r="AH68" s="86">
        <f t="shared" si="33"/>
        <v>10569.98912</v>
      </c>
      <c r="AI68" s="85">
        <f t="shared" si="18"/>
        <v>6238.0466047659793</v>
      </c>
      <c r="AJ68" s="85">
        <f t="shared" si="19"/>
        <v>7182.3084209508224</v>
      </c>
      <c r="AK68" s="90">
        <f t="shared" si="20"/>
        <v>6238.0466047659793</v>
      </c>
      <c r="AM68" s="95">
        <f t="shared" si="21"/>
        <v>0</v>
      </c>
      <c r="AN68" s="95">
        <f t="shared" si="22"/>
        <v>0</v>
      </c>
      <c r="AO68" s="95">
        <f t="shared" si="23"/>
        <v>0</v>
      </c>
      <c r="AP68" s="95">
        <f t="shared" si="24"/>
        <v>0</v>
      </c>
      <c r="AQ68"/>
      <c r="AR68" s="95">
        <f t="shared" si="25"/>
        <v>0</v>
      </c>
      <c r="AS68" s="95">
        <f t="shared" si="26"/>
        <v>0</v>
      </c>
      <c r="AT68" s="95">
        <f>Geraetedaten!$B$94*ABS(SIN(RADIANS($A68)))</f>
        <v>74.660681517935913</v>
      </c>
      <c r="AU68" s="95">
        <f>Geraetedaten!$B$94*ABS(COS(RADIANS($A68)))</f>
        <v>134.69143489946694</v>
      </c>
      <c r="AV68" s="95">
        <f>((h_Aw_Sw+Geraetedaten!$B$18)/1000)*(AR68*AT68+AS68*AU68)/100</f>
        <v>0</v>
      </c>
      <c r="AX68" s="18">
        <f>(IF($X$19="ja",1,0))*Geraetedaten!$D$142*COS(RADIANS(2*A68))*(Geraetedaten!$B$154*r_K_D+r_K_SSw*F_SSw/10)/1000+Geraetedaten!$B$152</f>
        <v>594.79999999999995</v>
      </c>
      <c r="AY68" s="18">
        <f>(IF($X$19="ja",1,0))*Geraetedaten!$D$142*COS(RADIANS(2*A68))*(Geraetedaten!$B$157*r_K_D+r_K_SSw*F_SSw/10)/1000+Geraetedaten!$B$155</f>
        <v>537.4</v>
      </c>
      <c r="AZ68" s="201"/>
    </row>
    <row r="69" spans="1:52" ht="13.5" x14ac:dyDescent="0.25">
      <c r="A69" s="16">
        <v>30</v>
      </c>
      <c r="B69" s="16">
        <f t="shared" si="0"/>
        <v>420</v>
      </c>
      <c r="C69" s="19">
        <f t="shared" si="1"/>
        <v>57.708774203067975</v>
      </c>
      <c r="D69" s="17">
        <f t="shared" si="27"/>
        <v>-21190.483584203066</v>
      </c>
      <c r="E69" s="17">
        <f t="shared" si="2"/>
        <v>-9993.5639242030666</v>
      </c>
      <c r="F69" s="17">
        <f t="shared" si="3"/>
        <v>20881.351565796933</v>
      </c>
      <c r="G69" s="17">
        <f t="shared" si="4"/>
        <v>10620.253175796934</v>
      </c>
      <c r="H69" s="17">
        <f t="shared" si="28"/>
        <v>10620.253175796934</v>
      </c>
      <c r="I69" s="17">
        <f t="shared" si="5"/>
        <v>7255.6759650305094</v>
      </c>
      <c r="J69" s="20">
        <f>(Geraetedaten!$B$152+(Geraetedaten!$B$153*(Geraetedaten!$B$18+d_y_Sw)/1000))*10</f>
        <v>6051.0442000000003</v>
      </c>
      <c r="K69" s="20">
        <f>(Geraetedaten!$B$165+(Geraetedaten!$B$166*(Geraetedaten!$B$18+d_y_Sw)/1000))*10</f>
        <v>10816.164000000001</v>
      </c>
      <c r="L69" s="20">
        <f>(Geraetedaten!$B$158+(Geraetedaten!$B$159*(Geraetedaten!$B$18+d_y_Sw)/1000)-(Geraetedaten!$B$160*I69/1000))*10</f>
        <v>69.477881484312576</v>
      </c>
      <c r="M69" s="20">
        <f>(Geraetedaten!$B$171+(Geraetedaten!$B$172*(Geraetedaten!$B$18+d_y_Sw)/1000)-(Geraetedaten!$B$173*I69/1000))*10</f>
        <v>524.75448116312964</v>
      </c>
      <c r="N69" s="20">
        <f>IF((H69-J69)/(K69-J69)*(Geraetedaten!$B$174-Geraetedaten!$B$161)&lt;Geraetedaten!$B$174,(H69-J69)/(K69-J69)*(Geraetedaten!$B$174-Geraetedaten!$B$161),Geraetedaten!$B$174)</f>
        <v>383.55459401435678</v>
      </c>
      <c r="O69" s="20">
        <f>N69/Geraetedaten!$B$174*(M69-L69)+L69+C69</f>
        <v>563.74523407249433</v>
      </c>
      <c r="P69" s="20">
        <f t="shared" si="29"/>
        <v>172.28678936009058</v>
      </c>
      <c r="Q69" s="20"/>
      <c r="R69" s="21">
        <f>(N69-Geraetedaten!$B$161)/(Geraetedaten!$B$174-Geraetedaten!$B$161)*(Geraetedaten!$B$175-Geraetedaten!$B$162)+Geraetedaten!$B$162</f>
        <v>40.610749171927111</v>
      </c>
      <c r="S69" s="21">
        <f t="shared" si="30"/>
        <v>40.610749171927111</v>
      </c>
      <c r="T69" s="21">
        <f t="shared" si="31"/>
        <v>20.305374585963552</v>
      </c>
      <c r="U69" s="88">
        <f t="shared" si="32"/>
        <v>35.169940449606734</v>
      </c>
      <c r="V69" s="86">
        <f t="shared" si="6"/>
        <v>-21132.774809999999</v>
      </c>
      <c r="W69" s="85">
        <f t="shared" si="7"/>
        <v>-4225.3239992296285</v>
      </c>
      <c r="X69" s="85">
        <f t="shared" si="8"/>
        <v>-8444.3226661361368</v>
      </c>
      <c r="Y69" s="90">
        <f t="shared" si="9"/>
        <v>4225.3239992296285</v>
      </c>
      <c r="Z69" s="86">
        <f t="shared" si="10"/>
        <v>-9935.8551499999994</v>
      </c>
      <c r="AA69" s="85">
        <f t="shared" si="11"/>
        <v>-913.46204712425447</v>
      </c>
      <c r="AB69" s="85">
        <f t="shared" si="12"/>
        <v>-1032.412434010095</v>
      </c>
      <c r="AC69" s="90">
        <f t="shared" si="13"/>
        <v>913.46204712425447</v>
      </c>
      <c r="AD69" s="86">
        <f t="shared" si="14"/>
        <v>20939.06034</v>
      </c>
      <c r="AE69" s="85">
        <f t="shared" si="15"/>
        <v>4140.4375383844126</v>
      </c>
      <c r="AF69" s="85">
        <f t="shared" si="16"/>
        <v>8286.722209325766</v>
      </c>
      <c r="AG69" s="90">
        <f t="shared" si="17"/>
        <v>4140.4375383844126</v>
      </c>
      <c r="AH69" s="86">
        <f t="shared" si="33"/>
        <v>10677.961950000001</v>
      </c>
      <c r="AI69" s="85">
        <f t="shared" si="18"/>
        <v>6238.0466047659793</v>
      </c>
      <c r="AJ69" s="85">
        <f t="shared" si="19"/>
        <v>7255.6759650305094</v>
      </c>
      <c r="AK69" s="90">
        <f t="shared" si="20"/>
        <v>6238.0466047659793</v>
      </c>
      <c r="AM69" s="95">
        <f t="shared" si="21"/>
        <v>0</v>
      </c>
      <c r="AN69" s="95">
        <f t="shared" si="22"/>
        <v>0</v>
      </c>
      <c r="AO69" s="95">
        <f t="shared" si="23"/>
        <v>0</v>
      </c>
      <c r="AP69" s="95">
        <f t="shared" si="24"/>
        <v>0</v>
      </c>
      <c r="AQ69"/>
      <c r="AR69" s="95">
        <f t="shared" si="25"/>
        <v>0</v>
      </c>
      <c r="AS69" s="95">
        <f t="shared" si="26"/>
        <v>0</v>
      </c>
      <c r="AT69" s="95">
        <f>Geraetedaten!$B$94*ABS(SIN(RADIANS($A69)))</f>
        <v>76.999999999999986</v>
      </c>
      <c r="AU69" s="95">
        <f>Geraetedaten!$B$94*ABS(COS(RADIANS($A69)))</f>
        <v>133.36791218280356</v>
      </c>
      <c r="AV69" s="95">
        <f>((h_Aw_Sw+Geraetedaten!$B$18)/1000)*(AR69*AT69+AS69*AU69)/100</f>
        <v>0</v>
      </c>
      <c r="AX69" s="18">
        <f>(IF($X$19="ja",1,0))*Geraetedaten!$D$142*COS(RADIANS(2*A69))*(Geraetedaten!$B$154*r_K_D+r_K_SSw*F_SSw/10)/1000+Geraetedaten!$B$152</f>
        <v>594.79999999999995</v>
      </c>
      <c r="AY69" s="18">
        <f>(IF($X$19="ja",1,0))*Geraetedaten!$D$142*COS(RADIANS(2*A69))*(Geraetedaten!$B$157*r_K_D+r_K_SSw*F_SSw/10)/1000+Geraetedaten!$B$155</f>
        <v>537.4</v>
      </c>
      <c r="AZ69" s="201"/>
    </row>
    <row r="70" spans="1:52" ht="13.5" x14ac:dyDescent="0.25">
      <c r="A70" s="16">
        <v>31</v>
      </c>
      <c r="B70" s="16">
        <f t="shared" si="0"/>
        <v>419</v>
      </c>
      <c r="C70" s="19">
        <f t="shared" si="1"/>
        <v>58.399143095549661</v>
      </c>
      <c r="D70" s="17">
        <f t="shared" si="27"/>
        <v>-20574.740413095551</v>
      </c>
      <c r="E70" s="17">
        <f t="shared" si="2"/>
        <v>-10087.97265309555</v>
      </c>
      <c r="F70" s="17">
        <f t="shared" si="3"/>
        <v>20268.72125690445</v>
      </c>
      <c r="G70" s="17">
        <f t="shared" si="4"/>
        <v>10733.085406904449</v>
      </c>
      <c r="H70" s="17">
        <f t="shared" si="28"/>
        <v>10733.085406904449</v>
      </c>
      <c r="I70" s="17">
        <f t="shared" si="5"/>
        <v>7332.8145814183663</v>
      </c>
      <c r="J70" s="20">
        <f>(Geraetedaten!$B$152+(Geraetedaten!$B$153*(Geraetedaten!$B$18+d_y_Sw)/1000))*10</f>
        <v>6051.0442000000003</v>
      </c>
      <c r="K70" s="20">
        <f>(Geraetedaten!$B$165+(Geraetedaten!$B$166*(Geraetedaten!$B$18+d_y_Sw)/1000))*10</f>
        <v>10816.164000000001</v>
      </c>
      <c r="L70" s="20">
        <f>(Geraetedaten!$B$158+(Geraetedaten!$B$159*(Geraetedaten!$B$18+d_y_Sw)/1000)-(Geraetedaten!$B$160*I70/1000))*10</f>
        <v>63.821306744591055</v>
      </c>
      <c r="M70" s="20">
        <f>(Geraetedaten!$B$171+(Geraetedaten!$B$172*(Geraetedaten!$B$18+d_y_Sw)/1000)-(Geraetedaten!$B$173*I70/1000))*10</f>
        <v>519.01228255921762</v>
      </c>
      <c r="N70" s="20">
        <f>IF((H70-J70)/(K70-J70)*(Geraetedaten!$B$174-Geraetedaten!$B$161)&lt;Geraetedaten!$B$174,(H70-J70)/(K70-J70)*(Geraetedaten!$B$174-Geraetedaten!$B$161),Geraetedaten!$B$174)</f>
        <v>393.02610665985338</v>
      </c>
      <c r="O70" s="20">
        <f>N70/Geraetedaten!$B$174*(M70-L70)+L70+C70</f>
        <v>569.47529236794617</v>
      </c>
      <c r="P70" s="20">
        <f t="shared" si="29"/>
        <v>172.97671791703121</v>
      </c>
      <c r="Q70" s="20"/>
      <c r="R70" s="21">
        <f>(N70-Geraetedaten!$B$161)/(Geraetedaten!$B$174-Geraetedaten!$B$161)*(Geraetedaten!$B$175-Geraetedaten!$B$162)+Geraetedaten!$B$162</f>
        <v>40.892526673130639</v>
      </c>
      <c r="S70" s="21">
        <f t="shared" si="30"/>
        <v>40.892526673130639</v>
      </c>
      <c r="T70" s="21">
        <f t="shared" si="31"/>
        <v>21.061208215937246</v>
      </c>
      <c r="U70" s="88">
        <f t="shared" si="32"/>
        <v>35.05173670729652</v>
      </c>
      <c r="V70" s="86">
        <f t="shared" si="6"/>
        <v>-20516.341270000001</v>
      </c>
      <c r="W70" s="85">
        <f t="shared" si="7"/>
        <v>-4225.3239992296285</v>
      </c>
      <c r="X70" s="85">
        <f t="shared" si="8"/>
        <v>-8198.0055715106355</v>
      </c>
      <c r="Y70" s="90">
        <f t="shared" si="9"/>
        <v>4225.3239992296285</v>
      </c>
      <c r="Z70" s="86">
        <f t="shared" si="10"/>
        <v>-10029.57351</v>
      </c>
      <c r="AA70" s="85">
        <f t="shared" si="11"/>
        <v>-913.46204712425447</v>
      </c>
      <c r="AB70" s="85">
        <f t="shared" si="12"/>
        <v>-1042.1504986685329</v>
      </c>
      <c r="AC70" s="90">
        <f t="shared" si="13"/>
        <v>913.46204712425447</v>
      </c>
      <c r="AD70" s="86">
        <f t="shared" si="14"/>
        <v>20327.1204</v>
      </c>
      <c r="AE70" s="85">
        <f t="shared" si="15"/>
        <v>4140.4375383844126</v>
      </c>
      <c r="AF70" s="85">
        <f t="shared" si="16"/>
        <v>8044.5443738091708</v>
      </c>
      <c r="AG70" s="90">
        <f t="shared" si="17"/>
        <v>4140.4375383844126</v>
      </c>
      <c r="AH70" s="86">
        <f t="shared" si="33"/>
        <v>10791.484549999999</v>
      </c>
      <c r="AI70" s="85">
        <f t="shared" si="18"/>
        <v>6238.0466047659793</v>
      </c>
      <c r="AJ70" s="85">
        <f t="shared" si="19"/>
        <v>7332.8145814183663</v>
      </c>
      <c r="AK70" s="90">
        <f t="shared" si="20"/>
        <v>6238.0466047659793</v>
      </c>
      <c r="AM70" s="95">
        <f t="shared" si="21"/>
        <v>0</v>
      </c>
      <c r="AN70" s="95">
        <f t="shared" si="22"/>
        <v>0</v>
      </c>
      <c r="AO70" s="95">
        <f t="shared" si="23"/>
        <v>0</v>
      </c>
      <c r="AP70" s="95">
        <f t="shared" si="24"/>
        <v>0</v>
      </c>
      <c r="AQ70"/>
      <c r="AR70" s="95">
        <f t="shared" si="25"/>
        <v>0</v>
      </c>
      <c r="AS70" s="95">
        <f t="shared" si="26"/>
        <v>0</v>
      </c>
      <c r="AT70" s="95">
        <f>Geraetedaten!$B$94*ABS(SIN(RADIANS($A70)))</f>
        <v>79.315863536148342</v>
      </c>
      <c r="AU70" s="95">
        <f>Geraetedaten!$B$94*ABS(COS(RADIANS($A70)))</f>
        <v>132.00376430812531</v>
      </c>
      <c r="AV70" s="95">
        <f>((h_Aw_Sw+Geraetedaten!$B$18)/1000)*(AR70*AT70+AS70*AU70)/100</f>
        <v>0</v>
      </c>
      <c r="AX70" s="18">
        <f>(IF($X$19="ja",1,0))*Geraetedaten!$D$142*COS(RADIANS(2*A70))*(Geraetedaten!$B$154*r_K_D+r_K_SSw*F_SSw/10)/1000+Geraetedaten!$B$152</f>
        <v>594.79999999999995</v>
      </c>
      <c r="AY70" s="18">
        <f>(IF($X$19="ja",1,0))*Geraetedaten!$D$142*COS(RADIANS(2*A70))*(Geraetedaten!$B$157*r_K_D+r_K_SSw*F_SSw/10)/1000+Geraetedaten!$B$155</f>
        <v>537.4</v>
      </c>
      <c r="AZ70" s="201"/>
    </row>
    <row r="71" spans="1:52" ht="13.5" x14ac:dyDescent="0.25">
      <c r="A71" s="16">
        <v>32</v>
      </c>
      <c r="B71" s="16">
        <f t="shared" ref="B71:B102" si="34">360-A71+90</f>
        <v>418</v>
      </c>
      <c r="C71" s="19">
        <f t="shared" ref="C71:C102" si="35">$AF$16*ABS(COS(RADIANS(A71)))+$AF$17*ABS(SIN(RADIANS(A71)))+AV71</f>
        <v>59.071723043319231</v>
      </c>
      <c r="D71" s="17">
        <f t="shared" si="27"/>
        <v>-19999.824353043317</v>
      </c>
      <c r="E71" s="17">
        <f t="shared" ref="E71:E102" si="36">IF(ISNUMBER(Z71),Z71-C71,"unendlich")</f>
        <v>-10187.262913043318</v>
      </c>
      <c r="F71" s="17">
        <f t="shared" ref="F71:F102" si="37">IF(ISNUMBER(AD71),AD71-C71,"unendlich")</f>
        <v>19696.707686956681</v>
      </c>
      <c r="G71" s="17">
        <f t="shared" ref="G71:G102" si="38">IF(ISNUMBER(AH71),AH71-C71,"unendlich")</f>
        <v>10851.734446956681</v>
      </c>
      <c r="H71" s="17">
        <f t="shared" si="28"/>
        <v>10851.734446956681</v>
      </c>
      <c r="I71" s="17">
        <f t="shared" ref="I71:I102" si="39">IF(H71+C71=V71,X71,IF(H71+C71=Z71,AB71,IF(H71+C71=AD71,AF71,IF(H71+C71=AH71,AJ71,"???"))))</f>
        <v>7413.8936304984472</v>
      </c>
      <c r="J71" s="20">
        <f>(Geraetedaten!$B$152+(Geraetedaten!$B$153*(Geraetedaten!$B$18+d_y_Sw)/1000))*10</f>
        <v>6051.0442000000003</v>
      </c>
      <c r="K71" s="20">
        <f>(Geraetedaten!$B$165+(Geraetedaten!$B$166*(Geraetedaten!$B$18+d_y_Sw)/1000))*10</f>
        <v>10816.164000000001</v>
      </c>
      <c r="L71" s="20">
        <f>(Geraetedaten!$B$158+(Geraetedaten!$B$159*(Geraetedaten!$B$18+d_y_Sw)/1000)-(Geraetedaten!$B$160*I71/1000))*10</f>
        <v>57.875780075548775</v>
      </c>
      <c r="M71" s="20">
        <f>(Geraetedaten!$B$171+(Geraetedaten!$B$172*(Geraetedaten!$B$18+d_y_Sw)/1000)-(Geraetedaten!$B$173*I71/1000))*10</f>
        <v>512.97675814569641</v>
      </c>
      <c r="N71" s="20">
        <f>IF((H71-J71)/(K71-J71)*(Geraetedaten!$B$174-Geraetedaten!$B$161)&lt;Geraetedaten!$B$174,(H71-J71)/(K71-J71)*(Geraetedaten!$B$174-Geraetedaten!$B$161),Geraetedaten!$B$174)</f>
        <v>400</v>
      </c>
      <c r="O71" s="20">
        <f>N71/Geraetedaten!$B$174*(M71-L71)+L71+C71</f>
        <v>572.04848118901566</v>
      </c>
      <c r="P71" s="20">
        <f t="shared" si="29"/>
        <v>173.10635581071747</v>
      </c>
      <c r="Q71" s="20"/>
      <c r="R71" s="21">
        <f>(N71-Geraetedaten!$B$161)/(Geraetedaten!$B$174-Geraetedaten!$B$161)*(Geraetedaten!$B$175-Geraetedaten!$B$162)+Geraetedaten!$B$162</f>
        <v>41.1</v>
      </c>
      <c r="S71" s="21">
        <f t="shared" ref="S71:S102" si="40">SQRT((r_K_D/1000)^2+R71^2-(2*(r_K_D/1000)*R71*COS(RADIANS(2*A71))))</f>
        <v>41.1</v>
      </c>
      <c r="T71" s="21">
        <f t="shared" ref="T71:T102" si="41">S71*SIN(A71*Const_2)</f>
        <v>21.779681759984722</v>
      </c>
      <c r="U71" s="88">
        <f t="shared" ref="U71:U102" si="42">S71*COS(A71*Const_2)</f>
        <v>34.85477675202911</v>
      </c>
      <c r="V71" s="86">
        <f t="shared" ref="V71:V102" si="43">ROUND((F_S*r_Su_L-F_G*W71+F_SSw*Y71)/(SIN(RADIANS(270+g_L-A71)))/1000,5)</f>
        <v>-19940.752629999999</v>
      </c>
      <c r="W71" s="85">
        <f t="shared" ref="W71:W102" si="44">(SIN(RADIANS(g_L)))*(((VL_Z-HL_Z)/(VL_X-HL_X))*(-HL_X+AN71)+HL_Z-AM71)</f>
        <v>-4225.3239992296285</v>
      </c>
      <c r="X71" s="85">
        <f t="shared" ref="X71:X102" si="45">W71/(SIN(RADIANS(180-g_L-(90-$A71))))</f>
        <v>-7968.0094520027296</v>
      </c>
      <c r="Y71" s="90">
        <f t="shared" ref="Y71:Y102" si="46">SIN(RADIANS(g_L))*(((VL_Z-HL_Z)/(VL_X-HL_X))*(-AP71+HL_X)-HL_Z+AO71)</f>
        <v>4225.3239992296285</v>
      </c>
      <c r="Z71" s="86">
        <f t="shared" ref="Z71:Z102" si="47">ROUND((F_S*r_Su_H-F_G*AA71+F_SSw*AC71)/(SIN(RADIANS(180+g_H-A71)))/1000,5)</f>
        <v>-10128.19119</v>
      </c>
      <c r="AA71" s="85">
        <f t="shared" ref="AA71:AA102" si="48">(SIN(RADIANS(g_H)))*(((HL_X-HR_X)/(HL_Z-HR_Z))*(-HR_Z+AM71)+HR_X-AN71)</f>
        <v>-913.46204712425447</v>
      </c>
      <c r="AB71" s="85">
        <f t="shared" ref="AB71:AB102" si="49">AA71/(SIN(RADIANS(g_H-$A71)))</f>
        <v>-1052.3976411030212</v>
      </c>
      <c r="AC71" s="90">
        <f t="shared" ref="AC71:AC102" si="50">SIN(RADIANS(g_H))*(((HL_X-HR_X)/(HL_Z-HR_Z))*(-AO71+HR_Z)-HR_X+AP71)</f>
        <v>913.46204712425447</v>
      </c>
      <c r="AD71" s="86">
        <f t="shared" ref="AD71:AD102" si="51">ROUND((F_S*r_Su_R+F_G*AE71+F_SSw*AG71)/(SIN(RADIANS(90+g_R-A71)))/1000,5)</f>
        <v>19755.779409999999</v>
      </c>
      <c r="AE71" s="85">
        <f t="shared" ref="AE71:AE102" si="52">(SIN(RADIANS(g_R)))*(((HR_Z-VR_Z)/(HR_X-VR_X))*(-VR_X+AN71)+VR_Z-AM71)</f>
        <v>4140.4375383844126</v>
      </c>
      <c r="AF71" s="85">
        <f t="shared" ref="AF71:AF102" si="53">AE71/(SIN(RADIANS(180-g_R-(90-$A71))))</f>
        <v>7818.4337476371038</v>
      </c>
      <c r="AG71" s="90">
        <f t="shared" ref="AG71:AG102" si="54">(SIN(RADIANS(g_R)))*(((HR_Z-VR_Z)/(HR_X-VR_X))*(-VR_X+AP71)+VR_Z-AO71)</f>
        <v>4140.4375383844126</v>
      </c>
      <c r="AH71" s="86">
        <f t="shared" ref="AH71:AH102" si="55">ROUND((F_S*r_Su_V+F_G*AI71+F_SSw*AK71)/(SIN(RADIANS(g_V-A71)))/1000,5)</f>
        <v>10910.80617</v>
      </c>
      <c r="AI71" s="85">
        <f t="shared" ref="AI71:AI102" si="56">(SIN(RADIANS(g_V)))*(((VR_X-VL_X)/(VR_Z-VL_Z))*(AM71-VL_Z)+VL_X-AN71)</f>
        <v>6238.0466047659793</v>
      </c>
      <c r="AJ71" s="85">
        <f t="shared" ref="AJ71:AJ102" si="57">AI71/(SIN(RADIANS(g_V-$A71)))</f>
        <v>7413.8936304984472</v>
      </c>
      <c r="AK71" s="90">
        <f t="shared" ref="AK71:AK102" si="58">(SIN(RADIANS(g_V)))*(((VR_X-VL_X)/(VR_Z-VL_Z))*(-VL_Z+AO71)+VL_X-AP71)</f>
        <v>6238.0466047659793</v>
      </c>
      <c r="AM71" s="95">
        <f t="shared" si="21"/>
        <v>0</v>
      </c>
      <c r="AN71" s="95">
        <f t="shared" si="22"/>
        <v>0</v>
      </c>
      <c r="AO71" s="95">
        <f t="shared" si="23"/>
        <v>0</v>
      </c>
      <c r="AP71" s="95">
        <f t="shared" si="24"/>
        <v>0</v>
      </c>
      <c r="AQ71"/>
      <c r="AR71" s="95">
        <f t="shared" ref="AR71:AR102" si="59">MAX(d_y_Sw*(r_K_D*ABS(COS(RADIANS($A71)))+_r1_Sw+_r2_Sw), 2*_r1_Sw*d_y_Sw)/1000000</f>
        <v>0</v>
      </c>
      <c r="AS71" s="95">
        <f t="shared" ref="AS71:AS102" si="60">MAX(d_y_Sw*(r_K_D*ABS(SIN(RADIANS($A71)))+_r1_Sw+_r2_Sw), 2*_r1_Sw*d_y_Sw)/1000000</f>
        <v>0</v>
      </c>
      <c r="AT71" s="95">
        <f>Geraetedaten!$B$94*ABS(SIN(RADIANS($A71)))</f>
        <v>81.607566691913561</v>
      </c>
      <c r="AU71" s="95">
        <f>Geraetedaten!$B$94*ABS(COS(RADIANS($A71)))</f>
        <v>130.59940680808961</v>
      </c>
      <c r="AV71" s="95">
        <f>((h_Aw_Sw+Geraetedaten!$B$18)/1000)*(AR71*AT71+AS71*AU71)/100</f>
        <v>0</v>
      </c>
      <c r="AX71" s="18">
        <f>(IF($X$19="ja",1,0))*Geraetedaten!$D$142*COS(RADIANS(2*A71))*(Geraetedaten!$B$154*r_K_D+r_K_SSw*F_SSw/10)/1000+Geraetedaten!$B$152</f>
        <v>594.79999999999995</v>
      </c>
      <c r="AY71" s="18">
        <f>(IF($X$19="ja",1,0))*Geraetedaten!$D$142*COS(RADIANS(2*A71))*(Geraetedaten!$B$157*r_K_D+r_K_SSw*F_SSw/10)/1000+Geraetedaten!$B$155</f>
        <v>537.4</v>
      </c>
      <c r="AZ71" s="201"/>
    </row>
    <row r="72" spans="1:52" ht="13.5" x14ac:dyDescent="0.25">
      <c r="A72" s="16">
        <v>33</v>
      </c>
      <c r="B72" s="16">
        <f t="shared" si="34"/>
        <v>417</v>
      </c>
      <c r="C72" s="19">
        <f t="shared" si="35"/>
        <v>59.726309172009181</v>
      </c>
      <c r="D72" s="17">
        <f t="shared" si="27"/>
        <v>-19462.054229172008</v>
      </c>
      <c r="E72" s="17">
        <f t="shared" si="36"/>
        <v>-10291.641489172009</v>
      </c>
      <c r="F72" s="17">
        <f t="shared" si="37"/>
        <v>19161.64673082799</v>
      </c>
      <c r="G72" s="17">
        <f t="shared" si="38"/>
        <v>10976.468980827991</v>
      </c>
      <c r="H72" s="17">
        <f t="shared" si="28"/>
        <v>10976.468980827991</v>
      </c>
      <c r="I72" s="17">
        <f t="shared" si="39"/>
        <v>7499.0955480575103</v>
      </c>
      <c r="J72" s="20">
        <f>(Geraetedaten!$B$152+(Geraetedaten!$B$153*(Geraetedaten!$B$18+d_y_Sw)/1000))*10</f>
        <v>6051.0442000000003</v>
      </c>
      <c r="K72" s="20">
        <f>(Geraetedaten!$B$165+(Geraetedaten!$B$166*(Geraetedaten!$B$18+d_y_Sw)/1000))*10</f>
        <v>10816.164000000001</v>
      </c>
      <c r="L72" s="20">
        <f>(Geraetedaten!$B$158+(Geraetedaten!$B$159*(Geraetedaten!$B$18+d_y_Sw)/1000)-(Geraetedaten!$B$160*I72/1000))*10</f>
        <v>51.62792346094264</v>
      </c>
      <c r="M72" s="20">
        <f>(Geraetedaten!$B$171+(Geraetedaten!$B$172*(Geraetedaten!$B$18+d_y_Sw)/1000)-(Geraetedaten!$B$173*I72/1000))*10</f>
        <v>506.63432740259969</v>
      </c>
      <c r="N72" s="20">
        <f>IF((H72-J72)/(K72-J72)*(Geraetedaten!$B$174-Geraetedaten!$B$161)&lt;Geraetedaten!$B$174,(H72-J72)/(K72-J72)*(Geraetedaten!$B$174-Geraetedaten!$B$161),Geraetedaten!$B$174)</f>
        <v>400</v>
      </c>
      <c r="O72" s="20">
        <f>N72/Geraetedaten!$B$174*(M72-L72)+L72+C72</f>
        <v>566.36063657460886</v>
      </c>
      <c r="P72" s="20">
        <f t="shared" si="29"/>
        <v>171.81975133760744</v>
      </c>
      <c r="Q72" s="20"/>
      <c r="R72" s="21">
        <f>(N72-Geraetedaten!$B$161)/(Geraetedaten!$B$174-Geraetedaten!$B$161)*(Geraetedaten!$B$175-Geraetedaten!$B$162)+Geraetedaten!$B$162</f>
        <v>41.1</v>
      </c>
      <c r="S72" s="21">
        <f t="shared" si="40"/>
        <v>41.1</v>
      </c>
      <c r="T72" s="21">
        <f t="shared" si="41"/>
        <v>22.384664339117613</v>
      </c>
      <c r="U72" s="88">
        <f t="shared" si="42"/>
        <v>34.469360342556932</v>
      </c>
      <c r="V72" s="86">
        <f t="shared" si="43"/>
        <v>-19402.32792</v>
      </c>
      <c r="W72" s="85">
        <f t="shared" si="44"/>
        <v>-4225.3239992296285</v>
      </c>
      <c r="X72" s="85">
        <f t="shared" si="45"/>
        <v>-7752.8634502897676</v>
      </c>
      <c r="Y72" s="90">
        <f t="shared" si="46"/>
        <v>4225.3239992296285</v>
      </c>
      <c r="Z72" s="86">
        <f t="shared" si="47"/>
        <v>-10231.91518</v>
      </c>
      <c r="AA72" s="85">
        <f t="shared" si="48"/>
        <v>-913.46204712425447</v>
      </c>
      <c r="AB72" s="85">
        <f t="shared" si="49"/>
        <v>-1063.1753680698414</v>
      </c>
      <c r="AC72" s="90">
        <f t="shared" si="50"/>
        <v>913.46204712425447</v>
      </c>
      <c r="AD72" s="86">
        <f t="shared" si="51"/>
        <v>19221.373039999999</v>
      </c>
      <c r="AE72" s="85">
        <f t="shared" si="52"/>
        <v>4140.4375383844126</v>
      </c>
      <c r="AF72" s="85">
        <f t="shared" si="53"/>
        <v>7606.940153334217</v>
      </c>
      <c r="AG72" s="90">
        <f t="shared" si="54"/>
        <v>4140.4375383844126</v>
      </c>
      <c r="AH72" s="86">
        <f t="shared" si="55"/>
        <v>11036.19529</v>
      </c>
      <c r="AI72" s="85">
        <f t="shared" si="56"/>
        <v>6238.0466047659793</v>
      </c>
      <c r="AJ72" s="85">
        <f t="shared" si="57"/>
        <v>7499.0955480575103</v>
      </c>
      <c r="AK72" s="90">
        <f t="shared" si="58"/>
        <v>6238.0466047659793</v>
      </c>
      <c r="AM72" s="95">
        <f t="shared" si="21"/>
        <v>0</v>
      </c>
      <c r="AN72" s="95">
        <f t="shared" si="22"/>
        <v>0</v>
      </c>
      <c r="AO72" s="95">
        <f t="shared" si="23"/>
        <v>0</v>
      </c>
      <c r="AP72" s="95">
        <f t="shared" si="24"/>
        <v>0</v>
      </c>
      <c r="AQ72"/>
      <c r="AR72" s="95">
        <f t="shared" si="59"/>
        <v>0</v>
      </c>
      <c r="AS72" s="95">
        <f t="shared" si="60"/>
        <v>0</v>
      </c>
      <c r="AT72" s="95">
        <f>Geraetedaten!$B$94*ABS(SIN(RADIANS($A72)))</f>
        <v>83.874411392314173</v>
      </c>
      <c r="AU72" s="95">
        <f>Geraetedaten!$B$94*ABS(COS(RADIANS($A72)))</f>
        <v>129.15526746359529</v>
      </c>
      <c r="AV72" s="95">
        <f>((h_Aw_Sw+Geraetedaten!$B$18)/1000)*(AR72*AT72+AS72*AU72)/100</f>
        <v>0</v>
      </c>
      <c r="AX72" s="18">
        <f>(IF($X$19="ja",1,0))*Geraetedaten!$D$142*COS(RADIANS(2*A72))*(Geraetedaten!$B$154*r_K_D+r_K_SSw*F_SSw/10)/1000+Geraetedaten!$B$152</f>
        <v>594.79999999999995</v>
      </c>
      <c r="AY72" s="18">
        <f>(IF($X$19="ja",1,0))*Geraetedaten!$D$142*COS(RADIANS(2*A72))*(Geraetedaten!$B$157*r_K_D+r_K_SSw*F_SSw/10)/1000+Geraetedaten!$B$155</f>
        <v>537.4</v>
      </c>
      <c r="AZ72" s="201"/>
    </row>
    <row r="73" spans="1:52" ht="13.5" x14ac:dyDescent="0.25">
      <c r="A73" s="16">
        <v>34</v>
      </c>
      <c r="B73" s="16">
        <f t="shared" si="34"/>
        <v>416</v>
      </c>
      <c r="C73" s="19">
        <f t="shared" si="35"/>
        <v>60.362702088343596</v>
      </c>
      <c r="D73" s="17">
        <f t="shared" si="27"/>
        <v>-18958.182822088344</v>
      </c>
      <c r="E73" s="17">
        <f t="shared" si="36"/>
        <v>-10401.330902088343</v>
      </c>
      <c r="F73" s="17">
        <f t="shared" si="37"/>
        <v>18660.306847911655</v>
      </c>
      <c r="G73" s="17">
        <f t="shared" si="38"/>
        <v>11107.578617911657</v>
      </c>
      <c r="H73" s="17">
        <f t="shared" si="28"/>
        <v>11107.578617911657</v>
      </c>
      <c r="I73" s="17">
        <f t="shared" si="39"/>
        <v>7588.6169868933575</v>
      </c>
      <c r="J73" s="20">
        <f>(Geraetedaten!$B$152+(Geraetedaten!$B$153*(Geraetedaten!$B$18+d_y_Sw)/1000))*10</f>
        <v>6051.0442000000003</v>
      </c>
      <c r="K73" s="20">
        <f>(Geraetedaten!$B$165+(Geraetedaten!$B$166*(Geraetedaten!$B$18+d_y_Sw)/1000))*10</f>
        <v>10816.164000000001</v>
      </c>
      <c r="L73" s="20">
        <f>(Geraetedaten!$B$158+(Geraetedaten!$B$159*(Geraetedaten!$B$18+d_y_Sw)/1000)-(Geraetedaten!$B$160*I73/1000))*10</f>
        <v>45.063316351109961</v>
      </c>
      <c r="M73" s="20">
        <f>(Geraetedaten!$B$171+(Geraetedaten!$B$172*(Geraetedaten!$B$18+d_y_Sw)/1000)-(Geraetedaten!$B$173*I73/1000))*10</f>
        <v>499.97035149565926</v>
      </c>
      <c r="N73" s="20">
        <f>IF((H73-J73)/(K73-J73)*(Geraetedaten!$B$174-Geraetedaten!$B$161)&lt;Geraetedaten!$B$174,(H73-J73)/(K73-J73)*(Geraetedaten!$B$174-Geraetedaten!$B$161),Geraetedaten!$B$174)</f>
        <v>400</v>
      </c>
      <c r="O73" s="20">
        <f>N73/Geraetedaten!$B$174*(M73-L73)+L73+C73</f>
        <v>560.33305358400287</v>
      </c>
      <c r="P73" s="20">
        <f t="shared" si="29"/>
        <v>170.44524225482925</v>
      </c>
      <c r="Q73" s="20"/>
      <c r="R73" s="21">
        <f>(N73-Geraetedaten!$B$161)/(Geraetedaten!$B$174-Geraetedaten!$B$161)*(Geraetedaten!$B$175-Geraetedaten!$B$162)+Geraetedaten!$B$162</f>
        <v>41.1</v>
      </c>
      <c r="S73" s="21">
        <f t="shared" si="40"/>
        <v>41.1</v>
      </c>
      <c r="T73" s="21">
        <f t="shared" si="41"/>
        <v>22.982828332647699</v>
      </c>
      <c r="U73" s="88">
        <f t="shared" si="42"/>
        <v>34.073444232012214</v>
      </c>
      <c r="V73" s="86">
        <f t="shared" si="43"/>
        <v>-18897.82012</v>
      </c>
      <c r="W73" s="85">
        <f t="shared" si="44"/>
        <v>-4225.3239992296285</v>
      </c>
      <c r="X73" s="85">
        <f t="shared" si="45"/>
        <v>-7551.2701105793558</v>
      </c>
      <c r="Y73" s="90">
        <f t="shared" si="46"/>
        <v>4225.3239992296285</v>
      </c>
      <c r="Z73" s="86">
        <f t="shared" si="47"/>
        <v>-10340.968199999999</v>
      </c>
      <c r="AA73" s="85">
        <f t="shared" si="48"/>
        <v>-913.46204712425447</v>
      </c>
      <c r="AB73" s="85">
        <f t="shared" si="49"/>
        <v>-1074.5068229332721</v>
      </c>
      <c r="AC73" s="90">
        <f t="shared" si="50"/>
        <v>913.46204712425447</v>
      </c>
      <c r="AD73" s="86">
        <f t="shared" si="51"/>
        <v>18720.669549999999</v>
      </c>
      <c r="AE73" s="85">
        <f t="shared" si="52"/>
        <v>4140.4375383844126</v>
      </c>
      <c r="AF73" s="85">
        <f t="shared" si="53"/>
        <v>7408.7846155736088</v>
      </c>
      <c r="AG73" s="90">
        <f t="shared" si="54"/>
        <v>4140.4375383844126</v>
      </c>
      <c r="AH73" s="86">
        <f t="shared" si="55"/>
        <v>11167.94132</v>
      </c>
      <c r="AI73" s="85">
        <f t="shared" si="56"/>
        <v>6238.0466047659793</v>
      </c>
      <c r="AJ73" s="85">
        <f t="shared" si="57"/>
        <v>7588.6169868933575</v>
      </c>
      <c r="AK73" s="90">
        <f t="shared" si="58"/>
        <v>6238.0466047659793</v>
      </c>
      <c r="AM73" s="95">
        <f t="shared" si="21"/>
        <v>0</v>
      </c>
      <c r="AN73" s="95">
        <f t="shared" si="22"/>
        <v>0</v>
      </c>
      <c r="AO73" s="95">
        <f t="shared" si="23"/>
        <v>0</v>
      </c>
      <c r="AP73" s="95">
        <f t="shared" si="24"/>
        <v>0</v>
      </c>
      <c r="AQ73"/>
      <c r="AR73" s="95">
        <f t="shared" si="59"/>
        <v>0</v>
      </c>
      <c r="AS73" s="95">
        <f t="shared" si="60"/>
        <v>0</v>
      </c>
      <c r="AT73" s="95">
        <f>Geraetedaten!$B$94*ABS(SIN(RADIANS($A73)))</f>
        <v>86.115707134495025</v>
      </c>
      <c r="AU73" s="95">
        <f>Geraetedaten!$B$94*ABS(COS(RADIANS($A73)))</f>
        <v>127.67178617347641</v>
      </c>
      <c r="AV73" s="95">
        <f>((h_Aw_Sw+Geraetedaten!$B$18)/1000)*(AR73*AT73+AS73*AU73)/100</f>
        <v>0</v>
      </c>
      <c r="AX73" s="18">
        <f>(IF($X$19="ja",1,0))*Geraetedaten!$D$142*COS(RADIANS(2*A73))*(Geraetedaten!$B$154*r_K_D+r_K_SSw*F_SSw/10)/1000+Geraetedaten!$B$152</f>
        <v>594.79999999999995</v>
      </c>
      <c r="AY73" s="18">
        <f>(IF($X$19="ja",1,0))*Geraetedaten!$D$142*COS(RADIANS(2*A73))*(Geraetedaten!$B$157*r_K_D+r_K_SSw*F_SSw/10)/1000+Geraetedaten!$B$155</f>
        <v>537.4</v>
      </c>
      <c r="AZ73" s="201"/>
    </row>
    <row r="74" spans="1:52" ht="13.5" x14ac:dyDescent="0.25">
      <c r="A74" s="16">
        <v>35</v>
      </c>
      <c r="B74" s="16">
        <f t="shared" si="34"/>
        <v>415</v>
      </c>
      <c r="C74" s="19">
        <f t="shared" si="35"/>
        <v>60.980707940875263</v>
      </c>
      <c r="D74" s="17">
        <f t="shared" si="27"/>
        <v>-18485.334967940875</v>
      </c>
      <c r="E74" s="17">
        <f t="shared" si="36"/>
        <v>-10516.570757940875</v>
      </c>
      <c r="F74" s="17">
        <f t="shared" si="37"/>
        <v>18189.827272059127</v>
      </c>
      <c r="G74" s="17">
        <f t="shared" si="38"/>
        <v>11245.375752059126</v>
      </c>
      <c r="H74" s="17">
        <f t="shared" si="28"/>
        <v>11245.375752059126</v>
      </c>
      <c r="I74" s="17">
        <f t="shared" si="39"/>
        <v>7682.6700866459505</v>
      </c>
      <c r="J74" s="20">
        <f>(Geraetedaten!$B$152+(Geraetedaten!$B$153*(Geraetedaten!$B$18+d_y_Sw)/1000))*10</f>
        <v>6051.0442000000003</v>
      </c>
      <c r="K74" s="20">
        <f>(Geraetedaten!$B$165+(Geraetedaten!$B$166*(Geraetedaten!$B$18+d_y_Sw)/1000))*10</f>
        <v>10816.164000000001</v>
      </c>
      <c r="L74" s="20">
        <f>(Geraetedaten!$B$158+(Geraetedaten!$B$159*(Geraetedaten!$B$18+d_y_Sw)/1000)-(Geraetedaten!$B$160*I74/1000))*10</f>
        <v>38.166402546252272</v>
      </c>
      <c r="M74" s="20">
        <f>(Geraetedaten!$B$171+(Geraetedaten!$B$172*(Geraetedaten!$B$18+d_y_Sw)/1000)-(Geraetedaten!$B$173*I74/1000))*10</f>
        <v>492.96903875007621</v>
      </c>
      <c r="N74" s="20">
        <f>IF((H74-J74)/(K74-J74)*(Geraetedaten!$B$174-Geraetedaten!$B$161)&lt;Geraetedaten!$B$174,(H74-J74)/(K74-J74)*(Geraetedaten!$B$174-Geraetedaten!$B$161),Geraetedaten!$B$174)</f>
        <v>400</v>
      </c>
      <c r="O74" s="20">
        <f>N74/Geraetedaten!$B$174*(M74-L74)+L74+C74</f>
        <v>553.94974669095143</v>
      </c>
      <c r="P74" s="20">
        <f t="shared" si="29"/>
        <v>168.97778557759003</v>
      </c>
      <c r="Q74" s="20"/>
      <c r="R74" s="21">
        <f>(N74-Geraetedaten!$B$161)/(Geraetedaten!$B$174-Geraetedaten!$B$161)*(Geraetedaten!$B$175-Geraetedaten!$B$162)+Geraetedaten!$B$162</f>
        <v>41.1</v>
      </c>
      <c r="S74" s="21">
        <f t="shared" si="40"/>
        <v>41.1</v>
      </c>
      <c r="T74" s="21">
        <f t="shared" si="41"/>
        <v>23.573991534027993</v>
      </c>
      <c r="U74" s="88">
        <f t="shared" si="42"/>
        <v>33.667149020277563</v>
      </c>
      <c r="V74" s="86">
        <f t="shared" si="43"/>
        <v>-18424.35426</v>
      </c>
      <c r="W74" s="85">
        <f t="shared" si="44"/>
        <v>-4225.3239992296285</v>
      </c>
      <c r="X74" s="85">
        <f t="shared" si="45"/>
        <v>-7362.0806372383986</v>
      </c>
      <c r="Y74" s="90">
        <f t="shared" si="46"/>
        <v>4225.3239992296285</v>
      </c>
      <c r="Z74" s="86">
        <f t="shared" si="47"/>
        <v>-10455.590050000001</v>
      </c>
      <c r="AA74" s="85">
        <f t="shared" si="48"/>
        <v>-913.46204712425447</v>
      </c>
      <c r="AB74" s="85">
        <f t="shared" si="49"/>
        <v>-1086.4169222813814</v>
      </c>
      <c r="AC74" s="90">
        <f t="shared" si="50"/>
        <v>913.46204712425447</v>
      </c>
      <c r="AD74" s="86">
        <f t="shared" si="51"/>
        <v>18250.807980000001</v>
      </c>
      <c r="AE74" s="85">
        <f t="shared" si="52"/>
        <v>4140.4375383844126</v>
      </c>
      <c r="AF74" s="85">
        <f t="shared" si="53"/>
        <v>7222.8348998878791</v>
      </c>
      <c r="AG74" s="90">
        <f t="shared" si="54"/>
        <v>4140.4375383844126</v>
      </c>
      <c r="AH74" s="86">
        <f t="shared" si="55"/>
        <v>11306.356460000001</v>
      </c>
      <c r="AI74" s="85">
        <f t="shared" si="56"/>
        <v>6238.0466047659793</v>
      </c>
      <c r="AJ74" s="85">
        <f t="shared" si="57"/>
        <v>7682.6700866459505</v>
      </c>
      <c r="AK74" s="90">
        <f t="shared" si="58"/>
        <v>6238.0466047659793</v>
      </c>
      <c r="AM74" s="95">
        <f t="shared" si="21"/>
        <v>0</v>
      </c>
      <c r="AN74" s="95">
        <f t="shared" si="22"/>
        <v>0</v>
      </c>
      <c r="AO74" s="95">
        <f t="shared" si="23"/>
        <v>0</v>
      </c>
      <c r="AP74" s="95">
        <f t="shared" si="24"/>
        <v>0</v>
      </c>
      <c r="AQ74"/>
      <c r="AR74" s="95">
        <f t="shared" si="59"/>
        <v>0</v>
      </c>
      <c r="AS74" s="95">
        <f t="shared" si="60"/>
        <v>0</v>
      </c>
      <c r="AT74" s="95">
        <f>Geraetedaten!$B$94*ABS(SIN(RADIANS($A74)))</f>
        <v>88.330771198061086</v>
      </c>
      <c r="AU74" s="95">
        <f>Geraetedaten!$B$94*ABS(COS(RADIANS($A74)))</f>
        <v>126.14941482050473</v>
      </c>
      <c r="AV74" s="95">
        <f>((h_Aw_Sw+Geraetedaten!$B$18)/1000)*(AR74*AT74+AS74*AU74)/100</f>
        <v>0</v>
      </c>
      <c r="AX74" s="18">
        <f>(IF($X$19="ja",1,0))*Geraetedaten!$D$142*COS(RADIANS(2*A74))*(Geraetedaten!$B$154*r_K_D+r_K_SSw*F_SSw/10)/1000+Geraetedaten!$B$152</f>
        <v>594.79999999999995</v>
      </c>
      <c r="AY74" s="18">
        <f>(IF($X$19="ja",1,0))*Geraetedaten!$D$142*COS(RADIANS(2*A74))*(Geraetedaten!$B$157*r_K_D+r_K_SSw*F_SSw/10)/1000+Geraetedaten!$B$155</f>
        <v>537.4</v>
      </c>
      <c r="AZ74" s="201"/>
    </row>
    <row r="75" spans="1:52" ht="13.5" x14ac:dyDescent="0.25">
      <c r="A75" s="16">
        <v>36</v>
      </c>
      <c r="B75" s="16">
        <f t="shared" si="34"/>
        <v>414</v>
      </c>
      <c r="C75" s="19">
        <f t="shared" si="35"/>
        <v>61.580138479034758</v>
      </c>
      <c r="D75" s="17">
        <f t="shared" si="27"/>
        <v>-18040.955918479034</v>
      </c>
      <c r="E75" s="17">
        <f t="shared" si="36"/>
        <v>-10637.619188479035</v>
      </c>
      <c r="F75" s="17">
        <f t="shared" si="37"/>
        <v>17747.666531520965</v>
      </c>
      <c r="G75" s="17">
        <f t="shared" si="38"/>
        <v>11390.197651520964</v>
      </c>
      <c r="H75" s="17">
        <f t="shared" si="28"/>
        <v>11390.197651520964</v>
      </c>
      <c r="I75" s="17">
        <f t="shared" si="39"/>
        <v>7781.4838885808495</v>
      </c>
      <c r="J75" s="20">
        <f>(Geraetedaten!$B$152+(Geraetedaten!$B$153*(Geraetedaten!$B$18+d_y_Sw)/1000))*10</f>
        <v>6051.0442000000003</v>
      </c>
      <c r="K75" s="20">
        <f>(Geraetedaten!$B$165+(Geraetedaten!$B$166*(Geraetedaten!$B$18+d_y_Sw)/1000))*10</f>
        <v>10816.164000000001</v>
      </c>
      <c r="L75" s="20">
        <f>(Geraetedaten!$B$158+(Geraetedaten!$B$159*(Geraetedaten!$B$18+d_y_Sw)/1000)-(Geraetedaten!$B$160*I75/1000))*10</f>
        <v>30.920386450366166</v>
      </c>
      <c r="M75" s="20">
        <f>(Geraetedaten!$B$171+(Geraetedaten!$B$172*(Geraetedaten!$B$18+d_y_Sw)/1000)-(Geraetedaten!$B$173*I75/1000))*10</f>
        <v>485.61333933404234</v>
      </c>
      <c r="N75" s="20">
        <f>IF((H75-J75)/(K75-J75)*(Geraetedaten!$B$174-Geraetedaten!$B$161)&lt;Geraetedaten!$B$174,(H75-J75)/(K75-J75)*(Geraetedaten!$B$174-Geraetedaten!$B$161),Geraetedaten!$B$174)</f>
        <v>400</v>
      </c>
      <c r="O75" s="20">
        <f>N75/Geraetedaten!$B$174*(M75-L75)+L75+C75</f>
        <v>547.19347781307715</v>
      </c>
      <c r="P75" s="20">
        <f t="shared" si="29"/>
        <v>167.41187235462104</v>
      </c>
      <c r="Q75" s="20"/>
      <c r="R75" s="21">
        <f>(N75-Geraetedaten!$B$161)/(Geraetedaten!$B$174-Geraetedaten!$B$161)*(Geraetedaten!$B$175-Geraetedaten!$B$162)+Geraetedaten!$B$162</f>
        <v>41.1</v>
      </c>
      <c r="S75" s="21">
        <f t="shared" si="40"/>
        <v>41.1</v>
      </c>
      <c r="T75" s="21">
        <f t="shared" si="41"/>
        <v>24.157973869220648</v>
      </c>
      <c r="U75" s="88">
        <f t="shared" si="42"/>
        <v>33.250598468810338</v>
      </c>
      <c r="V75" s="86">
        <f t="shared" si="43"/>
        <v>-17979.375779999998</v>
      </c>
      <c r="W75" s="85">
        <f t="shared" si="44"/>
        <v>-4225.3239992296285</v>
      </c>
      <c r="X75" s="85">
        <f t="shared" si="45"/>
        <v>-7184.2742747741413</v>
      </c>
      <c r="Y75" s="90">
        <f t="shared" si="46"/>
        <v>4225.3239992296285</v>
      </c>
      <c r="Z75" s="86">
        <f t="shared" si="47"/>
        <v>-10576.039049999999</v>
      </c>
      <c r="AA75" s="85">
        <f t="shared" si="48"/>
        <v>-913.46204712425447</v>
      </c>
      <c r="AB75" s="85">
        <f t="shared" si="49"/>
        <v>-1098.9325074443852</v>
      </c>
      <c r="AC75" s="90">
        <f t="shared" si="50"/>
        <v>913.46204712425447</v>
      </c>
      <c r="AD75" s="86">
        <f t="shared" si="51"/>
        <v>17809.24667</v>
      </c>
      <c r="AE75" s="85">
        <f t="shared" si="52"/>
        <v>4140.4375383844126</v>
      </c>
      <c r="AF75" s="85">
        <f t="shared" si="53"/>
        <v>7048.0851315202344</v>
      </c>
      <c r="AG75" s="90">
        <f t="shared" si="54"/>
        <v>4140.4375383844126</v>
      </c>
      <c r="AH75" s="86">
        <f t="shared" si="55"/>
        <v>11451.77779</v>
      </c>
      <c r="AI75" s="85">
        <f t="shared" si="56"/>
        <v>6238.0466047659793</v>
      </c>
      <c r="AJ75" s="85">
        <f t="shared" si="57"/>
        <v>7781.4838885808495</v>
      </c>
      <c r="AK75" s="90">
        <f t="shared" si="58"/>
        <v>6238.0466047659793</v>
      </c>
      <c r="AM75" s="95">
        <f t="shared" si="21"/>
        <v>0</v>
      </c>
      <c r="AN75" s="95">
        <f t="shared" si="22"/>
        <v>0</v>
      </c>
      <c r="AO75" s="95">
        <f t="shared" si="23"/>
        <v>0</v>
      </c>
      <c r="AP75" s="95">
        <f t="shared" si="24"/>
        <v>0</v>
      </c>
      <c r="AQ75"/>
      <c r="AR75" s="95">
        <f t="shared" si="59"/>
        <v>0</v>
      </c>
      <c r="AS75" s="95">
        <f t="shared" si="60"/>
        <v>0</v>
      </c>
      <c r="AT75" s="95">
        <f>Geraetedaten!$B$94*ABS(SIN(RADIANS($A75)))</f>
        <v>90.518928853040862</v>
      </c>
      <c r="AU75" s="95">
        <f>Geraetedaten!$B$94*ABS(COS(RADIANS($A75)))</f>
        <v>124.58861713374191</v>
      </c>
      <c r="AV75" s="95">
        <f>((h_Aw_Sw+Geraetedaten!$B$18)/1000)*(AR75*AT75+AS75*AU75)/100</f>
        <v>0</v>
      </c>
      <c r="AX75" s="18">
        <f>(IF($X$19="ja",1,0))*Geraetedaten!$D$142*COS(RADIANS(2*A75))*(Geraetedaten!$B$154*r_K_D+r_K_SSw*F_SSw/10)/1000+Geraetedaten!$B$152</f>
        <v>594.79999999999995</v>
      </c>
      <c r="AY75" s="18">
        <f>(IF($X$19="ja",1,0))*Geraetedaten!$D$142*COS(RADIANS(2*A75))*(Geraetedaten!$B$157*r_K_D+r_K_SSw*F_SSw/10)/1000+Geraetedaten!$B$155</f>
        <v>537.4</v>
      </c>
      <c r="AZ75" s="201"/>
    </row>
    <row r="76" spans="1:52" ht="13.5" x14ac:dyDescent="0.25">
      <c r="A76" s="16">
        <v>37</v>
      </c>
      <c r="B76" s="16">
        <f t="shared" si="34"/>
        <v>413</v>
      </c>
      <c r="C76" s="19">
        <f t="shared" si="35"/>
        <v>62.160811110473347</v>
      </c>
      <c r="D76" s="17">
        <f t="shared" si="27"/>
        <v>-17622.768161110471</v>
      </c>
      <c r="E76" s="17">
        <f t="shared" si="36"/>
        <v>-10764.754461110475</v>
      </c>
      <c r="F76" s="17">
        <f t="shared" si="37"/>
        <v>17331.559278889526</v>
      </c>
      <c r="G76" s="17">
        <f t="shared" si="38"/>
        <v>11542.408758889525</v>
      </c>
      <c r="H76" s="17">
        <f t="shared" si="28"/>
        <v>11542.408758889525</v>
      </c>
      <c r="I76" s="17">
        <f t="shared" si="39"/>
        <v>7885.3059146214646</v>
      </c>
      <c r="J76" s="20">
        <f>(Geraetedaten!$B$152+(Geraetedaten!$B$153*(Geraetedaten!$B$18+d_y_Sw)/1000))*10</f>
        <v>6051.0442000000003</v>
      </c>
      <c r="K76" s="20">
        <f>(Geraetedaten!$B$165+(Geraetedaten!$B$166*(Geraetedaten!$B$18+d_y_Sw)/1000))*10</f>
        <v>10816.164000000001</v>
      </c>
      <c r="L76" s="20">
        <f>(Geraetedaten!$B$158+(Geraetedaten!$B$159*(Geraetedaten!$B$18+d_y_Sw)/1000)-(Geraetedaten!$B$160*I76/1000))*10</f>
        <v>23.307117280807859</v>
      </c>
      <c r="M76" s="20">
        <f>(Geraetedaten!$B$171+(Geraetedaten!$B$172*(Geraetedaten!$B$18+d_y_Sw)/1000)-(Geraetedaten!$B$173*I76/1000))*10</f>
        <v>477.88482771557892</v>
      </c>
      <c r="N76" s="20">
        <f>IF((H76-J76)/(K76-J76)*(Geraetedaten!$B$174-Geraetedaten!$B$161)&lt;Geraetedaten!$B$174,(H76-J76)/(K76-J76)*(Geraetedaten!$B$174-Geraetedaten!$B$161),Geraetedaten!$B$174)</f>
        <v>400</v>
      </c>
      <c r="O76" s="20">
        <f>N76/Geraetedaten!$B$174*(M76-L76)+L76+C76</f>
        <v>540.04563882605225</v>
      </c>
      <c r="P76" s="20">
        <f t="shared" si="29"/>
        <v>165.74147482428012</v>
      </c>
      <c r="Q76" s="20"/>
      <c r="R76" s="21">
        <f>(N76-Geraetedaten!$B$161)/(Geraetedaten!$B$174-Geraetedaten!$B$161)*(Geraetedaten!$B$175-Geraetedaten!$B$162)+Geraetedaten!$B$162</f>
        <v>41.1</v>
      </c>
      <c r="S76" s="21">
        <f t="shared" si="40"/>
        <v>41.1</v>
      </c>
      <c r="T76" s="21">
        <f t="shared" si="41"/>
        <v>24.734597451549185</v>
      </c>
      <c r="U76" s="88">
        <f t="shared" si="42"/>
        <v>32.823919462943735</v>
      </c>
      <c r="V76" s="86">
        <f t="shared" si="43"/>
        <v>-17560.607349999998</v>
      </c>
      <c r="W76" s="85">
        <f t="shared" si="44"/>
        <v>-4225.3239992296285</v>
      </c>
      <c r="X76" s="85">
        <f t="shared" si="45"/>
        <v>-7016.9410300004347</v>
      </c>
      <c r="Y76" s="90">
        <f t="shared" si="46"/>
        <v>4225.3239992296285</v>
      </c>
      <c r="Z76" s="86">
        <f t="shared" si="47"/>
        <v>-10702.593650000001</v>
      </c>
      <c r="AA76" s="85">
        <f t="shared" si="48"/>
        <v>-913.46204712425447</v>
      </c>
      <c r="AB76" s="85">
        <f t="shared" si="49"/>
        <v>-1112.0825127862352</v>
      </c>
      <c r="AC76" s="90">
        <f t="shared" si="50"/>
        <v>913.46204712425447</v>
      </c>
      <c r="AD76" s="86">
        <f t="shared" si="51"/>
        <v>17393.720089999999</v>
      </c>
      <c r="AE76" s="85">
        <f t="shared" si="52"/>
        <v>4140.4375383844126</v>
      </c>
      <c r="AF76" s="85">
        <f t="shared" si="53"/>
        <v>6883.6387220359557</v>
      </c>
      <c r="AG76" s="90">
        <f t="shared" si="54"/>
        <v>4140.4375383844126</v>
      </c>
      <c r="AH76" s="86">
        <f t="shared" si="55"/>
        <v>11604.56957</v>
      </c>
      <c r="AI76" s="85">
        <f t="shared" si="56"/>
        <v>6238.0466047659793</v>
      </c>
      <c r="AJ76" s="85">
        <f t="shared" si="57"/>
        <v>7885.3059146214646</v>
      </c>
      <c r="AK76" s="90">
        <f t="shared" si="58"/>
        <v>6238.0466047659793</v>
      </c>
      <c r="AM76" s="95">
        <f t="shared" si="21"/>
        <v>0</v>
      </c>
      <c r="AN76" s="95">
        <f t="shared" si="22"/>
        <v>0</v>
      </c>
      <c r="AO76" s="95">
        <f t="shared" si="23"/>
        <v>0</v>
      </c>
      <c r="AP76" s="95">
        <f t="shared" si="24"/>
        <v>0</v>
      </c>
      <c r="AQ76"/>
      <c r="AR76" s="95">
        <f t="shared" si="59"/>
        <v>0</v>
      </c>
      <c r="AS76" s="95">
        <f t="shared" si="60"/>
        <v>0</v>
      </c>
      <c r="AT76" s="95">
        <f>Geraetedaten!$B$94*ABS(SIN(RADIANS($A76)))</f>
        <v>92.679513565415434</v>
      </c>
      <c r="AU76" s="95">
        <f>Geraetedaten!$B$94*ABS(COS(RADIANS($A76)))</f>
        <v>122.98986854728309</v>
      </c>
      <c r="AV76" s="95">
        <f>((h_Aw_Sw+Geraetedaten!$B$18)/1000)*(AR76*AT76+AS76*AU76)/100</f>
        <v>0</v>
      </c>
      <c r="AX76" s="18">
        <f>(IF($X$19="ja",1,0))*Geraetedaten!$D$142*COS(RADIANS(2*A76))*(Geraetedaten!$B$154*r_K_D+r_K_SSw*F_SSw/10)/1000+Geraetedaten!$B$152</f>
        <v>594.79999999999995</v>
      </c>
      <c r="AY76" s="18">
        <f>(IF($X$19="ja",1,0))*Geraetedaten!$D$142*COS(RADIANS(2*A76))*(Geraetedaten!$B$157*r_K_D+r_K_SSw*F_SSw/10)/1000+Geraetedaten!$B$155</f>
        <v>537.4</v>
      </c>
      <c r="AZ76" s="201"/>
    </row>
    <row r="77" spans="1:52" ht="13.5" x14ac:dyDescent="0.25">
      <c r="A77" s="16">
        <v>38</v>
      </c>
      <c r="B77" s="16">
        <f t="shared" si="34"/>
        <v>412</v>
      </c>
      <c r="C77" s="19">
        <f t="shared" si="35"/>
        <v>62.722548956682388</v>
      </c>
      <c r="D77" s="17">
        <f t="shared" si="27"/>
        <v>-17228.734928956681</v>
      </c>
      <c r="E77" s="17">
        <f t="shared" si="36"/>
        <v>-10898.276818956683</v>
      </c>
      <c r="F77" s="17">
        <f t="shared" si="37"/>
        <v>16939.480011043321</v>
      </c>
      <c r="G77" s="17">
        <f t="shared" si="38"/>
        <v>11702.403321043317</v>
      </c>
      <c r="H77" s="17">
        <f t="shared" si="28"/>
        <v>11702.403321043317</v>
      </c>
      <c r="I77" s="17">
        <f t="shared" si="39"/>
        <v>7994.4039329434436</v>
      </c>
      <c r="J77" s="20">
        <f>(Geraetedaten!$B$152+(Geraetedaten!$B$153*(Geraetedaten!$B$18+d_y_Sw)/1000))*10</f>
        <v>6051.0442000000003</v>
      </c>
      <c r="K77" s="20">
        <f>(Geraetedaten!$B$165+(Geraetedaten!$B$166*(Geraetedaten!$B$18+d_y_Sw)/1000))*10</f>
        <v>10816.164000000001</v>
      </c>
      <c r="L77" s="20">
        <f>(Geraetedaten!$B$158+(Geraetedaten!$B$159*(Geraetedaten!$B$18+d_y_Sw)/1000)-(Geraetedaten!$B$160*I77/1000))*10</f>
        <v>15.306959597257119</v>
      </c>
      <c r="M77" s="20">
        <f>(Geraetedaten!$B$171+(Geraetedaten!$B$172*(Geraetedaten!$B$18+d_y_Sw)/1000)-(Geraetedaten!$B$173*I77/1000))*10</f>
        <v>469.76357123169089</v>
      </c>
      <c r="N77" s="20">
        <f>IF((H77-J77)/(K77-J77)*(Geraetedaten!$B$174-Geraetedaten!$B$161)&lt;Geraetedaten!$B$174,(H77-J77)/(K77-J77)*(Geraetedaten!$B$174-Geraetedaten!$B$161),Geraetedaten!$B$174)</f>
        <v>400</v>
      </c>
      <c r="O77" s="20">
        <f>N77/Geraetedaten!$B$174*(M77-L77)+L77+C77</f>
        <v>532.48612018837332</v>
      </c>
      <c r="P77" s="20">
        <f t="shared" si="29"/>
        <v>163.95998607677325</v>
      </c>
      <c r="Q77" s="20"/>
      <c r="R77" s="21">
        <f>(N77-Geraetedaten!$B$161)/(Geraetedaten!$B$174-Geraetedaten!$B$161)*(Geraetedaten!$B$175-Geraetedaten!$B$162)+Geraetedaten!$B$162</f>
        <v>41.1</v>
      </c>
      <c r="S77" s="21">
        <f t="shared" si="40"/>
        <v>41.1</v>
      </c>
      <c r="T77" s="21">
        <f t="shared" si="41"/>
        <v>25.303686635884556</v>
      </c>
      <c r="U77" s="88">
        <f t="shared" si="42"/>
        <v>32.387241973236272</v>
      </c>
      <c r="V77" s="86">
        <f t="shared" si="43"/>
        <v>-17166.01238</v>
      </c>
      <c r="W77" s="85">
        <f t="shared" si="44"/>
        <v>-4225.3239992296285</v>
      </c>
      <c r="X77" s="85">
        <f t="shared" si="45"/>
        <v>-6859.2671211522302</v>
      </c>
      <c r="Y77" s="90">
        <f t="shared" si="46"/>
        <v>4225.3239992296285</v>
      </c>
      <c r="Z77" s="86">
        <f t="shared" si="47"/>
        <v>-10835.554270000001</v>
      </c>
      <c r="AA77" s="85">
        <f t="shared" si="48"/>
        <v>-913.46204712425447</v>
      </c>
      <c r="AB77" s="85">
        <f t="shared" si="49"/>
        <v>-1125.898152917285</v>
      </c>
      <c r="AC77" s="90">
        <f t="shared" si="50"/>
        <v>913.46204712425447</v>
      </c>
      <c r="AD77" s="86">
        <f t="shared" si="51"/>
        <v>17002.202560000002</v>
      </c>
      <c r="AE77" s="85">
        <f t="shared" si="52"/>
        <v>4140.4375383844126</v>
      </c>
      <c r="AF77" s="85">
        <f t="shared" si="53"/>
        <v>6728.693994022442</v>
      </c>
      <c r="AG77" s="90">
        <f t="shared" si="54"/>
        <v>4140.4375383844126</v>
      </c>
      <c r="AH77" s="86">
        <f t="shared" si="55"/>
        <v>11765.12587</v>
      </c>
      <c r="AI77" s="85">
        <f t="shared" si="56"/>
        <v>6238.0466047659793</v>
      </c>
      <c r="AJ77" s="85">
        <f t="shared" si="57"/>
        <v>7994.4039329434436</v>
      </c>
      <c r="AK77" s="90">
        <f t="shared" si="58"/>
        <v>6238.0466047659793</v>
      </c>
      <c r="AM77" s="95">
        <f t="shared" si="21"/>
        <v>0</v>
      </c>
      <c r="AN77" s="95">
        <f t="shared" si="22"/>
        <v>0</v>
      </c>
      <c r="AO77" s="95">
        <f t="shared" si="23"/>
        <v>0</v>
      </c>
      <c r="AP77" s="95">
        <f t="shared" si="24"/>
        <v>0</v>
      </c>
      <c r="AQ77"/>
      <c r="AR77" s="95">
        <f t="shared" si="59"/>
        <v>0</v>
      </c>
      <c r="AS77" s="95">
        <f t="shared" si="60"/>
        <v>0</v>
      </c>
      <c r="AT77" s="95">
        <f>Geraetedaten!$B$94*ABS(SIN(RADIANS($A77)))</f>
        <v>94.811867200151383</v>
      </c>
      <c r="AU77" s="95">
        <f>Geraetedaten!$B$94*ABS(COS(RADIANS($A77)))</f>
        <v>121.35365605543517</v>
      </c>
      <c r="AV77" s="95">
        <f>((h_Aw_Sw+Geraetedaten!$B$18)/1000)*(AR77*AT77+AS77*AU77)/100</f>
        <v>0</v>
      </c>
      <c r="AX77" s="18">
        <f>(IF($X$19="ja",1,0))*Geraetedaten!$D$142*COS(RADIANS(2*A77))*(Geraetedaten!$B$154*r_K_D+r_K_SSw*F_SSw/10)/1000+Geraetedaten!$B$152</f>
        <v>594.79999999999995</v>
      </c>
      <c r="AY77" s="18">
        <f>(IF($X$19="ja",1,0))*Geraetedaten!$D$142*COS(RADIANS(2*A77))*(Geraetedaten!$B$157*r_K_D+r_K_SSw*F_SSw/10)/1000+Geraetedaten!$B$155</f>
        <v>537.4</v>
      </c>
      <c r="AZ77" s="201"/>
    </row>
    <row r="78" spans="1:52" ht="13.5" x14ac:dyDescent="0.25">
      <c r="A78" s="16">
        <v>39</v>
      </c>
      <c r="B78" s="16">
        <f t="shared" si="34"/>
        <v>411</v>
      </c>
      <c r="C78" s="19">
        <f t="shared" si="35"/>
        <v>63.265180906872246</v>
      </c>
      <c r="D78" s="17">
        <f t="shared" si="27"/>
        <v>-16857.029460906873</v>
      </c>
      <c r="E78" s="17">
        <f t="shared" si="36"/>
        <v>-11038.510450906871</v>
      </c>
      <c r="F78" s="17">
        <f t="shared" si="37"/>
        <v>16569.612289093126</v>
      </c>
      <c r="G78" s="17">
        <f t="shared" si="38"/>
        <v>11870.608279093129</v>
      </c>
      <c r="H78" s="17">
        <f t="shared" si="28"/>
        <v>11870.608279093129</v>
      </c>
      <c r="I78" s="17">
        <f t="shared" si="39"/>
        <v>8109.0679360007962</v>
      </c>
      <c r="J78" s="20">
        <f>(Geraetedaten!$B$152+(Geraetedaten!$B$153*(Geraetedaten!$B$18+d_y_Sw)/1000))*10</f>
        <v>6051.0442000000003</v>
      </c>
      <c r="K78" s="20">
        <f>(Geraetedaten!$B$165+(Geraetedaten!$B$166*(Geraetedaten!$B$18+d_y_Sw)/1000))*10</f>
        <v>10816.164000000001</v>
      </c>
      <c r="L78" s="20">
        <f>(Geraetedaten!$B$158+(Geraetedaten!$B$159*(Geraetedaten!$B$18+d_y_Sw)/1000)-(Geraetedaten!$B$160*I78/1000))*10</f>
        <v>6.8986482530614524</v>
      </c>
      <c r="M78" s="20">
        <f>(Geraetedaten!$B$171+(Geraetedaten!$B$172*(Geraetedaten!$B$18+d_y_Sw)/1000)-(Geraetedaten!$B$173*I78/1000))*10</f>
        <v>461.22798284410152</v>
      </c>
      <c r="N78" s="20">
        <f>IF((H78-J78)/(K78-J78)*(Geraetedaten!$B$174-Geraetedaten!$B$161)&lt;Geraetedaten!$B$174,(H78-J78)/(K78-J78)*(Geraetedaten!$B$174-Geraetedaten!$B$161),Geraetedaten!$B$174)</f>
        <v>400</v>
      </c>
      <c r="O78" s="20">
        <f>N78/Geraetedaten!$B$174*(M78-L78)+L78+C78</f>
        <v>524.49316375097374</v>
      </c>
      <c r="P78" s="20">
        <f t="shared" si="29"/>
        <v>162.06015096273066</v>
      </c>
      <c r="Q78" s="20"/>
      <c r="R78" s="21">
        <f>(N78-Geraetedaten!$B$161)/(Geraetedaten!$B$174-Geraetedaten!$B$161)*(Geraetedaten!$B$175-Geraetedaten!$B$162)+Geraetedaten!$B$162</f>
        <v>41.1</v>
      </c>
      <c r="S78" s="21">
        <f t="shared" si="40"/>
        <v>41.1</v>
      </c>
      <c r="T78" s="21">
        <f t="shared" si="41"/>
        <v>25.865068072148318</v>
      </c>
      <c r="U78" s="88">
        <f t="shared" si="42"/>
        <v>31.940699015881506</v>
      </c>
      <c r="V78" s="86">
        <f t="shared" si="43"/>
        <v>-16793.764279999999</v>
      </c>
      <c r="W78" s="85">
        <f t="shared" si="44"/>
        <v>-4225.3239992296285</v>
      </c>
      <c r="X78" s="85">
        <f t="shared" si="45"/>
        <v>-6710.5226648352882</v>
      </c>
      <c r="Y78" s="90">
        <f t="shared" si="46"/>
        <v>4225.3239992296285</v>
      </c>
      <c r="Z78" s="86">
        <f t="shared" si="47"/>
        <v>-10975.245269999999</v>
      </c>
      <c r="AA78" s="85">
        <f t="shared" si="48"/>
        <v>-913.46204712425447</v>
      </c>
      <c r="AB78" s="85">
        <f t="shared" si="49"/>
        <v>-1140.4131312998493</v>
      </c>
      <c r="AC78" s="90">
        <f t="shared" si="50"/>
        <v>913.46204712425447</v>
      </c>
      <c r="AD78" s="86">
        <f t="shared" si="51"/>
        <v>16632.877469999999</v>
      </c>
      <c r="AE78" s="85">
        <f t="shared" si="52"/>
        <v>4140.4375383844126</v>
      </c>
      <c r="AF78" s="85">
        <f t="shared" si="53"/>
        <v>6582.5320193432945</v>
      </c>
      <c r="AG78" s="90">
        <f t="shared" si="54"/>
        <v>4140.4375383844126</v>
      </c>
      <c r="AH78" s="86">
        <f t="shared" si="55"/>
        <v>11933.873460000001</v>
      </c>
      <c r="AI78" s="85">
        <f t="shared" si="56"/>
        <v>6238.0466047659793</v>
      </c>
      <c r="AJ78" s="85">
        <f t="shared" si="57"/>
        <v>8109.0679360007962</v>
      </c>
      <c r="AK78" s="90">
        <f t="shared" si="58"/>
        <v>6238.0466047659793</v>
      </c>
      <c r="AM78" s="95">
        <f t="shared" si="21"/>
        <v>0</v>
      </c>
      <c r="AN78" s="95">
        <f t="shared" si="22"/>
        <v>0</v>
      </c>
      <c r="AO78" s="95">
        <f t="shared" si="23"/>
        <v>0</v>
      </c>
      <c r="AP78" s="95">
        <f t="shared" si="24"/>
        <v>0</v>
      </c>
      <c r="AQ78"/>
      <c r="AR78" s="95">
        <f t="shared" si="59"/>
        <v>0</v>
      </c>
      <c r="AS78" s="95">
        <f t="shared" si="60"/>
        <v>0</v>
      </c>
      <c r="AT78" s="95">
        <f>Geraetedaten!$B$94*ABS(SIN(RADIANS($A78)))</f>
        <v>96.915340221674953</v>
      </c>
      <c r="AU78" s="95">
        <f>Geraetedaten!$B$94*ABS(COS(RADIANS($A78)))</f>
        <v>119.68047806437352</v>
      </c>
      <c r="AV78" s="95">
        <f>((h_Aw_Sw+Geraetedaten!$B$18)/1000)*(AR78*AT78+AS78*AU78)/100</f>
        <v>0</v>
      </c>
      <c r="AX78" s="18">
        <f>(IF($X$19="ja",1,0))*Geraetedaten!$D$142*COS(RADIANS(2*A78))*(Geraetedaten!$B$154*r_K_D+r_K_SSw*F_SSw/10)/1000+Geraetedaten!$B$152</f>
        <v>594.79999999999995</v>
      </c>
      <c r="AY78" s="18">
        <f>(IF($X$19="ja",1,0))*Geraetedaten!$D$142*COS(RADIANS(2*A78))*(Geraetedaten!$B$157*r_K_D+r_K_SSw*F_SSw/10)/1000+Geraetedaten!$B$155</f>
        <v>537.4</v>
      </c>
      <c r="AZ78" s="201"/>
    </row>
    <row r="79" spans="1:52" ht="13.5" x14ac:dyDescent="0.25">
      <c r="A79" s="16">
        <v>40</v>
      </c>
      <c r="B79" s="16">
        <f t="shared" si="34"/>
        <v>410</v>
      </c>
      <c r="C79" s="19">
        <f t="shared" si="35"/>
        <v>63.788541670094304</v>
      </c>
      <c r="D79" s="17">
        <f t="shared" si="27"/>
        <v>-16506.008741670095</v>
      </c>
      <c r="E79" s="17">
        <f t="shared" si="36"/>
        <v>-11185.805741670094</v>
      </c>
      <c r="F79" s="17">
        <f t="shared" si="37"/>
        <v>16220.322658329906</v>
      </c>
      <c r="G79" s="17">
        <f t="shared" si="38"/>
        <v>12047.486558329907</v>
      </c>
      <c r="H79" s="17">
        <f t="shared" si="28"/>
        <v>12047.486558329907</v>
      </c>
      <c r="I79" s="17">
        <f t="shared" si="39"/>
        <v>8229.6123610585601</v>
      </c>
      <c r="J79" s="20">
        <f>(Geraetedaten!$B$152+(Geraetedaten!$B$153*(Geraetedaten!$B$18+d_y_Sw)/1000))*10</f>
        <v>6051.0442000000003</v>
      </c>
      <c r="K79" s="20">
        <f>(Geraetedaten!$B$165+(Geraetedaten!$B$166*(Geraetedaten!$B$18+d_y_Sw)/1000))*10</f>
        <v>10816.164000000001</v>
      </c>
      <c r="L79" s="20">
        <f>(Geraetedaten!$B$158+(Geraetedaten!$B$159*(Geraetedaten!$B$18+d_y_Sw)/1000)-(Geraetedaten!$B$160*I79/1000))*10</f>
        <v>-1.9408744364243802</v>
      </c>
      <c r="M79" s="20">
        <f>(Geraetedaten!$B$171+(Geraetedaten!$B$172*(Geraetedaten!$B$18+d_y_Sw)/1000)-(Geraetedaten!$B$173*I79/1000))*10</f>
        <v>452.25465584280158</v>
      </c>
      <c r="N79" s="20">
        <f>IF((H79-J79)/(K79-J79)*(Geraetedaten!$B$174-Geraetedaten!$B$161)&lt;Geraetedaten!$B$174,(H79-J79)/(K79-J79)*(Geraetedaten!$B$174-Geraetedaten!$B$161),Geraetedaten!$B$174)</f>
        <v>400</v>
      </c>
      <c r="O79" s="20">
        <f>N79/Geraetedaten!$B$174*(M79-L79)+L79+C79</f>
        <v>516.04319751289586</v>
      </c>
      <c r="P79" s="20">
        <f t="shared" si="29"/>
        <v>160.03398673973254</v>
      </c>
      <c r="Q79" s="20"/>
      <c r="R79" s="21">
        <f>(N79-Geraetedaten!$B$161)/(Geraetedaten!$B$174-Geraetedaten!$B$161)*(Geraetedaten!$B$175-Geraetedaten!$B$162)+Geraetedaten!$B$162</f>
        <v>41.1</v>
      </c>
      <c r="S79" s="21">
        <f t="shared" si="40"/>
        <v>41.1</v>
      </c>
      <c r="T79" s="21">
        <f t="shared" si="41"/>
        <v>26.418570758116765</v>
      </c>
      <c r="U79" s="88">
        <f t="shared" si="42"/>
        <v>31.484426612189999</v>
      </c>
      <c r="V79" s="86">
        <f t="shared" si="43"/>
        <v>-16442.2202</v>
      </c>
      <c r="W79" s="85">
        <f t="shared" si="44"/>
        <v>-4225.3239992296285</v>
      </c>
      <c r="X79" s="85">
        <f t="shared" si="45"/>
        <v>-6570.0512094617743</v>
      </c>
      <c r="Y79" s="90">
        <f t="shared" si="46"/>
        <v>4225.3239992296285</v>
      </c>
      <c r="Z79" s="86">
        <f t="shared" si="47"/>
        <v>-11122.0172</v>
      </c>
      <c r="AA79" s="85">
        <f t="shared" si="48"/>
        <v>-913.46204712425447</v>
      </c>
      <c r="AB79" s="85">
        <f t="shared" si="49"/>
        <v>-1155.6638730981772</v>
      </c>
      <c r="AC79" s="90">
        <f t="shared" si="50"/>
        <v>913.46204712425447</v>
      </c>
      <c r="AD79" s="86">
        <f t="shared" si="51"/>
        <v>16284.111199999999</v>
      </c>
      <c r="AE79" s="85">
        <f t="shared" si="52"/>
        <v>4140.4375383844126</v>
      </c>
      <c r="AF79" s="85">
        <f t="shared" si="53"/>
        <v>6444.5062833770889</v>
      </c>
      <c r="AG79" s="90">
        <f t="shared" si="54"/>
        <v>4140.4375383844126</v>
      </c>
      <c r="AH79" s="86">
        <f t="shared" si="55"/>
        <v>12111.275100000001</v>
      </c>
      <c r="AI79" s="85">
        <f t="shared" si="56"/>
        <v>6238.0466047659793</v>
      </c>
      <c r="AJ79" s="85">
        <f t="shared" si="57"/>
        <v>8229.6123610585601</v>
      </c>
      <c r="AK79" s="90">
        <f t="shared" si="58"/>
        <v>6238.0466047659793</v>
      </c>
      <c r="AM79" s="95">
        <f t="shared" si="21"/>
        <v>0</v>
      </c>
      <c r="AN79" s="95">
        <f t="shared" si="22"/>
        <v>0</v>
      </c>
      <c r="AO79" s="95">
        <f t="shared" si="23"/>
        <v>0</v>
      </c>
      <c r="AP79" s="95">
        <f t="shared" si="24"/>
        <v>0</v>
      </c>
      <c r="AQ79"/>
      <c r="AR79" s="95">
        <f t="shared" si="59"/>
        <v>0</v>
      </c>
      <c r="AS79" s="95">
        <f t="shared" si="60"/>
        <v>0</v>
      </c>
      <c r="AT79" s="95">
        <f>Geraetedaten!$B$94*ABS(SIN(RADIANS($A79)))</f>
        <v>98.989291891727049</v>
      </c>
      <c r="AU79" s="95">
        <f>Geraetedaten!$B$94*ABS(COS(RADIANS($A79)))</f>
        <v>117.97084424032262</v>
      </c>
      <c r="AV79" s="95">
        <f>((h_Aw_Sw+Geraetedaten!$B$18)/1000)*(AR79*AT79+AS79*AU79)/100</f>
        <v>0</v>
      </c>
      <c r="AX79" s="18">
        <f>(IF($X$19="ja",1,0))*Geraetedaten!$D$142*COS(RADIANS(2*A79))*(Geraetedaten!$B$154*r_K_D+r_K_SSw*F_SSw/10)/1000+Geraetedaten!$B$152</f>
        <v>594.79999999999995</v>
      </c>
      <c r="AY79" s="18">
        <f>(IF($X$19="ja",1,0))*Geraetedaten!$D$142*COS(RADIANS(2*A79))*(Geraetedaten!$B$157*r_K_D+r_K_SSw*F_SSw/10)/1000+Geraetedaten!$B$155</f>
        <v>537.4</v>
      </c>
      <c r="AZ79" s="201"/>
    </row>
    <row r="80" spans="1:52" ht="13.5" x14ac:dyDescent="0.25">
      <c r="A80" s="16">
        <v>41</v>
      </c>
      <c r="B80" s="16">
        <f t="shared" si="34"/>
        <v>409</v>
      </c>
      <c r="C80" s="19">
        <f t="shared" si="35"/>
        <v>64.292471825590184</v>
      </c>
      <c r="D80" s="17">
        <f t="shared" si="27"/>
        <v>-16174.19119182559</v>
      </c>
      <c r="E80" s="17">
        <f t="shared" si="36"/>
        <v>-11340.54177182559</v>
      </c>
      <c r="F80" s="17">
        <f t="shared" si="37"/>
        <v>15890.138328174409</v>
      </c>
      <c r="G80" s="17">
        <f t="shared" si="38"/>
        <v>12233.540698174409</v>
      </c>
      <c r="H80" s="17">
        <f t="shared" si="28"/>
        <v>12233.540698174409</v>
      </c>
      <c r="I80" s="17">
        <f t="shared" si="39"/>
        <v>8356.3785882953543</v>
      </c>
      <c r="J80" s="20">
        <f>(Geraetedaten!$B$152+(Geraetedaten!$B$153*(Geraetedaten!$B$18+d_y_Sw)/1000))*10</f>
        <v>6051.0442000000003</v>
      </c>
      <c r="K80" s="20">
        <f>(Geraetedaten!$B$165+(Geraetedaten!$B$166*(Geraetedaten!$B$18+d_y_Sw)/1000))*10</f>
        <v>10816.164000000001</v>
      </c>
      <c r="L80" s="20">
        <f>(Geraetedaten!$B$158+(Geraetedaten!$B$159*(Geraetedaten!$B$18+d_y_Sw)/1000)-(Geraetedaten!$B$160*I80/1000))*10</f>
        <v>-11.236641879698439</v>
      </c>
      <c r="M80" s="20">
        <f>(Geraetedaten!$B$171+(Geraetedaten!$B$172*(Geraetedaten!$B$18+d_y_Sw)/1000)-(Geraetedaten!$B$173*I80/1000))*10</f>
        <v>442.81817788729455</v>
      </c>
      <c r="N80" s="20">
        <f>IF((H80-J80)/(K80-J80)*(Geraetedaten!$B$174-Geraetedaten!$B$161)&lt;Geraetedaten!$B$174,(H80-J80)/(K80-J80)*(Geraetedaten!$B$174-Geraetedaten!$B$161),Geraetedaten!$B$174)</f>
        <v>400</v>
      </c>
      <c r="O80" s="20">
        <f>N80/Geraetedaten!$B$174*(M80-L80)+L80+C80</f>
        <v>507.11064971288476</v>
      </c>
      <c r="P80" s="20">
        <f t="shared" si="29"/>
        <v>157.87269164316706</v>
      </c>
      <c r="Q80" s="20"/>
      <c r="R80" s="21">
        <f>(N80-Geraetedaten!$B$161)/(Geraetedaten!$B$174-Geraetedaten!$B$161)*(Geraetedaten!$B$175-Geraetedaten!$B$162)+Geraetedaten!$B$162</f>
        <v>41.1</v>
      </c>
      <c r="S80" s="21">
        <f t="shared" si="40"/>
        <v>41.1</v>
      </c>
      <c r="T80" s="21">
        <f t="shared" si="41"/>
        <v>26.964026091509851</v>
      </c>
      <c r="U80" s="88">
        <f t="shared" si="42"/>
        <v>31.01856374715593</v>
      </c>
      <c r="V80" s="86">
        <f t="shared" si="43"/>
        <v>-16109.898719999999</v>
      </c>
      <c r="W80" s="85">
        <f t="shared" si="44"/>
        <v>-4225.3239992296285</v>
      </c>
      <c r="X80" s="85">
        <f t="shared" si="45"/>
        <v>-6437.2608001389453</v>
      </c>
      <c r="Y80" s="90">
        <f t="shared" si="46"/>
        <v>4225.3239992296285</v>
      </c>
      <c r="Z80" s="86">
        <f t="shared" si="47"/>
        <v>-11276.249299999999</v>
      </c>
      <c r="AA80" s="85">
        <f t="shared" si="48"/>
        <v>-913.46204712425447</v>
      </c>
      <c r="AB80" s="85">
        <f t="shared" si="49"/>
        <v>-1171.6897855707114</v>
      </c>
      <c r="AC80" s="90">
        <f t="shared" si="50"/>
        <v>913.46204712425447</v>
      </c>
      <c r="AD80" s="86">
        <f t="shared" si="51"/>
        <v>15954.4308</v>
      </c>
      <c r="AE80" s="85">
        <f t="shared" si="52"/>
        <v>4140.4375383844126</v>
      </c>
      <c r="AF80" s="85">
        <f t="shared" si="53"/>
        <v>6314.0338633395513</v>
      </c>
      <c r="AG80" s="90">
        <f t="shared" si="54"/>
        <v>4140.4375383844126</v>
      </c>
      <c r="AH80" s="86">
        <f t="shared" si="55"/>
        <v>12297.83317</v>
      </c>
      <c r="AI80" s="85">
        <f t="shared" si="56"/>
        <v>6238.0466047659793</v>
      </c>
      <c r="AJ80" s="85">
        <f t="shared" si="57"/>
        <v>8356.3785882953543</v>
      </c>
      <c r="AK80" s="90">
        <f t="shared" si="58"/>
        <v>6238.0466047659793</v>
      </c>
      <c r="AM80" s="95">
        <f t="shared" si="21"/>
        <v>0</v>
      </c>
      <c r="AN80" s="95">
        <f t="shared" si="22"/>
        <v>0</v>
      </c>
      <c r="AO80" s="95">
        <f t="shared" si="23"/>
        <v>0</v>
      </c>
      <c r="AP80" s="95">
        <f t="shared" si="24"/>
        <v>0</v>
      </c>
      <c r="AQ80"/>
      <c r="AR80" s="95">
        <f t="shared" si="59"/>
        <v>0</v>
      </c>
      <c r="AS80" s="95">
        <f t="shared" si="60"/>
        <v>0</v>
      </c>
      <c r="AT80" s="95">
        <f>Geraetedaten!$B$94*ABS(SIN(RADIANS($A80)))</f>
        <v>101.03309046453812</v>
      </c>
      <c r="AU80" s="95">
        <f>Geraetedaten!$B$94*ABS(COS(RADIANS($A80)))</f>
        <v>116.22527535430689</v>
      </c>
      <c r="AV80" s="95">
        <f>((h_Aw_Sw+Geraetedaten!$B$18)/1000)*(AR80*AT80+AS80*AU80)/100</f>
        <v>0</v>
      </c>
      <c r="AX80" s="18">
        <f>(IF($X$19="ja",1,0))*Geraetedaten!$D$142*COS(RADIANS(2*A80))*(Geraetedaten!$B$154*r_K_D+r_K_SSw*F_SSw/10)/1000+Geraetedaten!$B$152</f>
        <v>594.79999999999995</v>
      </c>
      <c r="AY80" s="18">
        <f>(IF($X$19="ja",1,0))*Geraetedaten!$D$142*COS(RADIANS(2*A80))*(Geraetedaten!$B$157*r_K_D+r_K_SSw*F_SSw/10)/1000+Geraetedaten!$B$155</f>
        <v>537.4</v>
      </c>
      <c r="AZ80" s="201"/>
    </row>
    <row r="81" spans="1:52" ht="13.5" x14ac:dyDescent="0.25">
      <c r="A81" s="16">
        <v>42</v>
      </c>
      <c r="B81" s="16">
        <f t="shared" si="34"/>
        <v>408</v>
      </c>
      <c r="C81" s="19">
        <f t="shared" si="35"/>
        <v>64.776817871352804</v>
      </c>
      <c r="D81" s="17">
        <f t="shared" si="27"/>
        <v>-15860.237467871353</v>
      </c>
      <c r="E81" s="17">
        <f t="shared" si="36"/>
        <v>-11503.129167871351</v>
      </c>
      <c r="F81" s="17">
        <f t="shared" si="37"/>
        <v>15577.728102128647</v>
      </c>
      <c r="G81" s="17">
        <f t="shared" si="38"/>
        <v>12429.317072128648</v>
      </c>
      <c r="H81" s="17">
        <f t="shared" si="28"/>
        <v>12429.317072128648</v>
      </c>
      <c r="I81" s="17">
        <f t="shared" si="39"/>
        <v>8489.7377574767033</v>
      </c>
      <c r="J81" s="20">
        <f>(Geraetedaten!$B$152+(Geraetedaten!$B$153*(Geraetedaten!$B$18+d_y_Sw)/1000))*10</f>
        <v>6051.0442000000003</v>
      </c>
      <c r="K81" s="20">
        <f>(Geraetedaten!$B$165+(Geraetedaten!$B$166*(Geraetedaten!$B$18+d_y_Sw)/1000))*10</f>
        <v>10816.164000000001</v>
      </c>
      <c r="L81" s="20">
        <f>(Geraetedaten!$B$158+(Geraetedaten!$B$159*(Geraetedaten!$B$18+d_y_Sw)/1000)-(Geraetedaten!$B$160*I81/1000))*10</f>
        <v>-21.015869755766801</v>
      </c>
      <c r="M81" s="20">
        <f>(Geraetedaten!$B$171+(Geraetedaten!$B$172*(Geraetedaten!$B$18+d_y_Sw)/1000)-(Geraetedaten!$B$173*I81/1000))*10</f>
        <v>432.89092133343496</v>
      </c>
      <c r="N81" s="20">
        <f>IF((H81-J81)/(K81-J81)*(Geraetedaten!$B$174-Geraetedaten!$B$161)&lt;Geraetedaten!$B$174,(H81-J81)/(K81-J81)*(Geraetedaten!$B$174-Geraetedaten!$B$161),Geraetedaten!$B$174)</f>
        <v>400</v>
      </c>
      <c r="O81" s="20">
        <f>N81/Geraetedaten!$B$174*(M81-L81)+L81+C81</f>
        <v>497.66773920478778</v>
      </c>
      <c r="P81" s="20">
        <f t="shared" si="29"/>
        <v>155.56653919137557</v>
      </c>
      <c r="Q81" s="20"/>
      <c r="R81" s="21">
        <f>(N81-Geraetedaten!$B$161)/(Geraetedaten!$B$174-Geraetedaten!$B$161)*(Geraetedaten!$B$175-Geraetedaten!$B$162)+Geraetedaten!$B$162</f>
        <v>41.1</v>
      </c>
      <c r="S81" s="21">
        <f t="shared" si="40"/>
        <v>41.1</v>
      </c>
      <c r="T81" s="21">
        <f t="shared" si="41"/>
        <v>27.501267921349076</v>
      </c>
      <c r="U81" s="88">
        <f t="shared" si="42"/>
        <v>30.543252327120904</v>
      </c>
      <c r="V81" s="86">
        <f t="shared" si="43"/>
        <v>-15795.460650000001</v>
      </c>
      <c r="W81" s="85">
        <f t="shared" si="44"/>
        <v>-4225.3239992296285</v>
      </c>
      <c r="X81" s="85">
        <f t="shared" si="45"/>
        <v>-6311.6163199507491</v>
      </c>
      <c r="Y81" s="90">
        <f t="shared" si="46"/>
        <v>4225.3239992296285</v>
      </c>
      <c r="Z81" s="86">
        <f t="shared" si="47"/>
        <v>-11438.352349999999</v>
      </c>
      <c r="AA81" s="85">
        <f t="shared" si="48"/>
        <v>-913.46204712425447</v>
      </c>
      <c r="AB81" s="85">
        <f t="shared" si="49"/>
        <v>-1188.5335498287714</v>
      </c>
      <c r="AC81" s="90">
        <f t="shared" si="50"/>
        <v>913.46204712425447</v>
      </c>
      <c r="AD81" s="86">
        <f t="shared" si="51"/>
        <v>15642.504919999999</v>
      </c>
      <c r="AE81" s="85">
        <f t="shared" si="52"/>
        <v>4140.4375383844126</v>
      </c>
      <c r="AF81" s="85">
        <f t="shared" si="53"/>
        <v>6190.5878682324374</v>
      </c>
      <c r="AG81" s="90">
        <f t="shared" si="54"/>
        <v>4140.4375383844126</v>
      </c>
      <c r="AH81" s="86">
        <f t="shared" si="55"/>
        <v>12494.09389</v>
      </c>
      <c r="AI81" s="85">
        <f t="shared" si="56"/>
        <v>6238.0466047659793</v>
      </c>
      <c r="AJ81" s="85">
        <f t="shared" si="57"/>
        <v>8489.7377574767033</v>
      </c>
      <c r="AK81" s="90">
        <f t="shared" si="58"/>
        <v>6238.0466047659793</v>
      </c>
      <c r="AM81" s="95">
        <f t="shared" si="21"/>
        <v>0</v>
      </c>
      <c r="AN81" s="95">
        <f t="shared" si="22"/>
        <v>0</v>
      </c>
      <c r="AO81" s="95">
        <f t="shared" si="23"/>
        <v>0</v>
      </c>
      <c r="AP81" s="95">
        <f t="shared" si="24"/>
        <v>0</v>
      </c>
      <c r="AQ81"/>
      <c r="AR81" s="95">
        <f t="shared" si="59"/>
        <v>0</v>
      </c>
      <c r="AS81" s="95">
        <f t="shared" si="60"/>
        <v>0</v>
      </c>
      <c r="AT81" s="95">
        <f>Geraetedaten!$B$94*ABS(SIN(RADIANS($A81)))</f>
        <v>103.04611337926417</v>
      </c>
      <c r="AU81" s="95">
        <f>Geraetedaten!$B$94*ABS(COS(RADIANS($A81)))</f>
        <v>114.44430312351871</v>
      </c>
      <c r="AV81" s="95">
        <f>((h_Aw_Sw+Geraetedaten!$B$18)/1000)*(AR81*AT81+AS81*AU81)/100</f>
        <v>0</v>
      </c>
      <c r="AX81" s="18">
        <f>(IF($X$19="ja",1,0))*Geraetedaten!$D$142*COS(RADIANS(2*A81))*(Geraetedaten!$B$154*r_K_D+r_K_SSw*F_SSw/10)/1000+Geraetedaten!$B$152</f>
        <v>594.79999999999995</v>
      </c>
      <c r="AY81" s="18">
        <f>(IF($X$19="ja",1,0))*Geraetedaten!$D$142*COS(RADIANS(2*A81))*(Geraetedaten!$B$157*r_K_D+r_K_SSw*F_SSw/10)/1000+Geraetedaten!$B$155</f>
        <v>537.4</v>
      </c>
      <c r="AZ81" s="201"/>
    </row>
    <row r="82" spans="1:52" ht="13.5" x14ac:dyDescent="0.25">
      <c r="A82" s="16">
        <v>43</v>
      </c>
      <c r="B82" s="16">
        <f t="shared" si="34"/>
        <v>407</v>
      </c>
      <c r="C82" s="19">
        <f t="shared" si="35"/>
        <v>65.241432270884701</v>
      </c>
      <c r="D82" s="17">
        <f t="shared" si="27"/>
        <v>-15562.933992270884</v>
      </c>
      <c r="E82" s="17">
        <f t="shared" si="36"/>
        <v>-11674.013192270884</v>
      </c>
      <c r="F82" s="17">
        <f t="shared" si="37"/>
        <v>15281.885907729114</v>
      </c>
      <c r="G82" s="17">
        <f t="shared" si="38"/>
        <v>12635.410477729116</v>
      </c>
      <c r="H82" s="17">
        <f t="shared" si="28"/>
        <v>12635.410477729116</v>
      </c>
      <c r="I82" s="17">
        <f t="shared" si="39"/>
        <v>8630.0939512915847</v>
      </c>
      <c r="J82" s="20">
        <f>(Geraetedaten!$B$152+(Geraetedaten!$B$153*(Geraetedaten!$B$18+d_y_Sw)/1000))*10</f>
        <v>6051.0442000000003</v>
      </c>
      <c r="K82" s="20">
        <f>(Geraetedaten!$B$165+(Geraetedaten!$B$166*(Geraetedaten!$B$18+d_y_Sw)/1000))*10</f>
        <v>10816.164000000001</v>
      </c>
      <c r="L82" s="20">
        <f>(Geraetedaten!$B$158+(Geraetedaten!$B$159*(Geraetedaten!$B$18+d_y_Sw)/1000)-(Geraetedaten!$B$160*I82/1000))*10</f>
        <v>-31.308189448212005</v>
      </c>
      <c r="M82" s="20">
        <f>(Geraetedaten!$B$171+(Geraetedaten!$B$172*(Geraetedaten!$B$18+d_y_Sw)/1000)-(Geraetedaten!$B$173*I82/1000))*10</f>
        <v>422.44280626585521</v>
      </c>
      <c r="N82" s="20">
        <f>IF((H82-J82)/(K82-J82)*(Geraetedaten!$B$174-Geraetedaten!$B$161)&lt;Geraetedaten!$B$174,(H82-J82)/(K82-J82)*(Geraetedaten!$B$174-Geraetedaten!$B$161),Geraetedaten!$B$174)</f>
        <v>400</v>
      </c>
      <c r="O82" s="20">
        <f>N82/Geraetedaten!$B$174*(M82-L82)+L82+C82</f>
        <v>487.68423853673994</v>
      </c>
      <c r="P82" s="20">
        <f t="shared" si="29"/>
        <v>153.10475556841243</v>
      </c>
      <c r="Q82" s="20"/>
      <c r="R82" s="21">
        <f>(N82-Geraetedaten!$B$161)/(Geraetedaten!$B$174-Geraetedaten!$B$161)*(Geraetedaten!$B$175-Geraetedaten!$B$162)+Geraetedaten!$B$162</f>
        <v>41.1</v>
      </c>
      <c r="S82" s="21">
        <f t="shared" si="40"/>
        <v>41.1</v>
      </c>
      <c r="T82" s="21">
        <f t="shared" si="41"/>
        <v>28.030132598568688</v>
      </c>
      <c r="U82" s="88">
        <f t="shared" si="42"/>
        <v>30.058637136547908</v>
      </c>
      <c r="V82" s="86">
        <f t="shared" si="43"/>
        <v>-15497.69256</v>
      </c>
      <c r="W82" s="85">
        <f t="shared" si="44"/>
        <v>-4225.3239992296285</v>
      </c>
      <c r="X82" s="85">
        <f t="shared" si="45"/>
        <v>-6192.6328999998204</v>
      </c>
      <c r="Y82" s="90">
        <f t="shared" si="46"/>
        <v>4225.3239992296285</v>
      </c>
      <c r="Z82" s="86">
        <f t="shared" si="47"/>
        <v>-11608.77176</v>
      </c>
      <c r="AA82" s="85">
        <f t="shared" si="48"/>
        <v>-913.46204712425447</v>
      </c>
      <c r="AB82" s="85">
        <f t="shared" si="49"/>
        <v>-1206.2414484082049</v>
      </c>
      <c r="AC82" s="90">
        <f t="shared" si="50"/>
        <v>913.46204712425447</v>
      </c>
      <c r="AD82" s="86">
        <f t="shared" si="51"/>
        <v>15347.127339999999</v>
      </c>
      <c r="AE82" s="85">
        <f t="shared" si="52"/>
        <v>4140.4375383844126</v>
      </c>
      <c r="AF82" s="85">
        <f t="shared" si="53"/>
        <v>6073.690934958463</v>
      </c>
      <c r="AG82" s="90">
        <f t="shared" si="54"/>
        <v>4140.4375383844126</v>
      </c>
      <c r="AH82" s="86">
        <f t="shared" si="55"/>
        <v>12700.65191</v>
      </c>
      <c r="AI82" s="85">
        <f t="shared" si="56"/>
        <v>6238.0466047659793</v>
      </c>
      <c r="AJ82" s="85">
        <f t="shared" si="57"/>
        <v>8630.0939512915847</v>
      </c>
      <c r="AK82" s="90">
        <f t="shared" si="58"/>
        <v>6238.0466047659793</v>
      </c>
      <c r="AM82" s="95">
        <f t="shared" si="21"/>
        <v>0</v>
      </c>
      <c r="AN82" s="95">
        <f t="shared" si="22"/>
        <v>0</v>
      </c>
      <c r="AO82" s="95">
        <f t="shared" si="23"/>
        <v>0</v>
      </c>
      <c r="AP82" s="95">
        <f t="shared" si="24"/>
        <v>0</v>
      </c>
      <c r="AQ82"/>
      <c r="AR82" s="95">
        <f t="shared" si="59"/>
        <v>0</v>
      </c>
      <c r="AS82" s="95">
        <f t="shared" si="60"/>
        <v>0</v>
      </c>
      <c r="AT82" s="95">
        <f>Geraetedaten!$B$94*ABS(SIN(RADIANS($A82)))</f>
        <v>105.02774744962477</v>
      </c>
      <c r="AU82" s="95">
        <f>Geraetedaten!$B$94*ABS(COS(RADIANS($A82)))</f>
        <v>112.62847004935225</v>
      </c>
      <c r="AV82" s="95">
        <f>((h_Aw_Sw+Geraetedaten!$B$18)/1000)*(AR82*AT82+AS82*AU82)/100</f>
        <v>0</v>
      </c>
      <c r="AX82" s="18">
        <f>(IF($X$19="ja",1,0))*Geraetedaten!$D$142*COS(RADIANS(2*A82))*(Geraetedaten!$B$154*r_K_D+r_K_SSw*F_SSw/10)/1000+Geraetedaten!$B$152</f>
        <v>594.79999999999995</v>
      </c>
      <c r="AY82" s="18">
        <f>(IF($X$19="ja",1,0))*Geraetedaten!$D$142*COS(RADIANS(2*A82))*(Geraetedaten!$B$157*r_K_D+r_K_SSw*F_SSw/10)/1000+Geraetedaten!$B$155</f>
        <v>537.4</v>
      </c>
      <c r="AZ82" s="201"/>
    </row>
    <row r="83" spans="1:52" ht="13.5" x14ac:dyDescent="0.25">
      <c r="A83" s="16">
        <v>44</v>
      </c>
      <c r="B83" s="16">
        <f t="shared" si="34"/>
        <v>406</v>
      </c>
      <c r="C83" s="19">
        <f t="shared" si="35"/>
        <v>65.686173498138942</v>
      </c>
      <c r="D83" s="17">
        <f t="shared" si="27"/>
        <v>-15281.178703498139</v>
      </c>
      <c r="E83" s="17">
        <f t="shared" si="36"/>
        <v>-11853.677323498139</v>
      </c>
      <c r="F83" s="17">
        <f t="shared" si="37"/>
        <v>15001.516636501861</v>
      </c>
      <c r="G83" s="17">
        <f t="shared" si="38"/>
        <v>12852.469536501862</v>
      </c>
      <c r="H83" s="17">
        <f t="shared" si="28"/>
        <v>12852.469536501862</v>
      </c>
      <c r="I83" s="17">
        <f t="shared" si="39"/>
        <v>8777.8878019453132</v>
      </c>
      <c r="J83" s="20">
        <f>(Geraetedaten!$B$152+(Geraetedaten!$B$153*(Geraetedaten!$B$18+d_y_Sw)/1000))*10</f>
        <v>6051.0442000000003</v>
      </c>
      <c r="K83" s="20">
        <f>(Geraetedaten!$B$165+(Geraetedaten!$B$166*(Geraetedaten!$B$18+d_y_Sw)/1000))*10</f>
        <v>10816.164000000001</v>
      </c>
      <c r="L83" s="20">
        <f>(Geraetedaten!$B$158+(Geraetedaten!$B$159*(Geraetedaten!$B$18+d_y_Sw)/1000)-(Geraetedaten!$B$160*I83/1000))*10</f>
        <v>-42.145912516649986</v>
      </c>
      <c r="M83" s="20">
        <f>(Geraetedaten!$B$171+(Geraetedaten!$B$172*(Geraetedaten!$B$18+d_y_Sw)/1000)-(Geraetedaten!$B$173*I83/1000))*10</f>
        <v>411.44103202319161</v>
      </c>
      <c r="N83" s="20">
        <f>IF((H83-J83)/(K83-J83)*(Geraetedaten!$B$174-Geraetedaten!$B$161)&lt;Geraetedaten!$B$174,(H83-J83)/(K83-J83)*(Geraetedaten!$B$174-Geraetedaten!$B$161),Geraetedaten!$B$174)</f>
        <v>400</v>
      </c>
      <c r="O83" s="20">
        <f>N83/Geraetedaten!$B$174*(M83-L83)+L83+C83</f>
        <v>477.12720552133055</v>
      </c>
      <c r="P83" s="20">
        <f t="shared" si="29"/>
        <v>150.47537684625519</v>
      </c>
      <c r="Q83" s="20"/>
      <c r="R83" s="21">
        <f>(N83-Geraetedaten!$B$161)/(Geraetedaten!$B$174-Geraetedaten!$B$161)*(Geraetedaten!$B$175-Geraetedaten!$B$162)+Geraetedaten!$B$162</f>
        <v>41.1</v>
      </c>
      <c r="S83" s="21">
        <f t="shared" si="40"/>
        <v>41.1</v>
      </c>
      <c r="T83" s="21">
        <f t="shared" si="41"/>
        <v>28.550459025864789</v>
      </c>
      <c r="U83" s="88">
        <f t="shared" si="42"/>
        <v>29.564865793918564</v>
      </c>
      <c r="V83" s="86">
        <f t="shared" si="43"/>
        <v>-15215.49253</v>
      </c>
      <c r="W83" s="85">
        <f t="shared" si="44"/>
        <v>-4225.3239992296285</v>
      </c>
      <c r="X83" s="85">
        <f t="shared" si="45"/>
        <v>-6079.8702283094344</v>
      </c>
      <c r="Y83" s="90">
        <f t="shared" si="46"/>
        <v>4225.3239992296285</v>
      </c>
      <c r="Z83" s="86">
        <f t="shared" si="47"/>
        <v>-11787.99115</v>
      </c>
      <c r="AA83" s="85">
        <f t="shared" si="48"/>
        <v>-913.46204712425447</v>
      </c>
      <c r="AB83" s="85">
        <f t="shared" si="49"/>
        <v>-1224.8637338390618</v>
      </c>
      <c r="AC83" s="90">
        <f t="shared" si="50"/>
        <v>913.46204712425447</v>
      </c>
      <c r="AD83" s="86">
        <f t="shared" si="51"/>
        <v>15067.202810000001</v>
      </c>
      <c r="AE83" s="85">
        <f t="shared" si="52"/>
        <v>4140.4375383844126</v>
      </c>
      <c r="AF83" s="85">
        <f t="shared" si="53"/>
        <v>5962.9096125198557</v>
      </c>
      <c r="AG83" s="90">
        <f t="shared" si="54"/>
        <v>4140.4375383844126</v>
      </c>
      <c r="AH83" s="86">
        <f t="shared" si="55"/>
        <v>12918.155710000001</v>
      </c>
      <c r="AI83" s="85">
        <f t="shared" si="56"/>
        <v>6238.0466047659793</v>
      </c>
      <c r="AJ83" s="85">
        <f t="shared" si="57"/>
        <v>8777.8878019453132</v>
      </c>
      <c r="AK83" s="90">
        <f t="shared" si="58"/>
        <v>6238.0466047659793</v>
      </c>
      <c r="AM83" s="95">
        <f t="shared" si="21"/>
        <v>0</v>
      </c>
      <c r="AN83" s="95">
        <f t="shared" si="22"/>
        <v>0</v>
      </c>
      <c r="AO83" s="95">
        <f t="shared" si="23"/>
        <v>0</v>
      </c>
      <c r="AP83" s="95">
        <f t="shared" si="24"/>
        <v>0</v>
      </c>
      <c r="AQ83"/>
      <c r="AR83" s="95">
        <f t="shared" si="59"/>
        <v>0</v>
      </c>
      <c r="AS83" s="95">
        <f t="shared" si="60"/>
        <v>0</v>
      </c>
      <c r="AT83" s="95">
        <f>Geraetedaten!$B$94*ABS(SIN(RADIANS($A83)))</f>
        <v>106.97738905068557</v>
      </c>
      <c r="AU83" s="95">
        <f>Geraetedaten!$B$94*ABS(COS(RADIANS($A83)))</f>
        <v>110.77832925215229</v>
      </c>
      <c r="AV83" s="95">
        <f>((h_Aw_Sw+Geraetedaten!$B$18)/1000)*(AR83*AT83+AS83*AU83)/100</f>
        <v>0</v>
      </c>
      <c r="AX83" s="18">
        <f>(IF($X$19="ja",1,0))*Geraetedaten!$D$142*COS(RADIANS(2*A83))*(Geraetedaten!$B$154*r_K_D+r_K_SSw*F_SSw/10)/1000+Geraetedaten!$B$152</f>
        <v>594.79999999999995</v>
      </c>
      <c r="AY83" s="18">
        <f>(IF($X$19="ja",1,0))*Geraetedaten!$D$142*COS(RADIANS(2*A83))*(Geraetedaten!$B$157*r_K_D+r_K_SSw*F_SSw/10)/1000+Geraetedaten!$B$155</f>
        <v>537.4</v>
      </c>
      <c r="AZ83" s="201"/>
    </row>
    <row r="84" spans="1:52" ht="13.5" x14ac:dyDescent="0.25">
      <c r="A84" s="16">
        <v>45</v>
      </c>
      <c r="B84" s="16">
        <f t="shared" si="34"/>
        <v>405</v>
      </c>
      <c r="C84" s="19">
        <f t="shared" si="35"/>
        <v>66.110906080629391</v>
      </c>
      <c r="D84" s="17">
        <f t="shared" si="27"/>
        <v>-15013.96869608063</v>
      </c>
      <c r="E84" s="17">
        <f t="shared" si="36"/>
        <v>-12042.64727608063</v>
      </c>
      <c r="F84" s="17">
        <f t="shared" si="37"/>
        <v>14735.623843919369</v>
      </c>
      <c r="G84" s="17">
        <f t="shared" si="38"/>
        <v>13081.20267391937</v>
      </c>
      <c r="H84" s="17">
        <f t="shared" si="28"/>
        <v>13081.20267391937</v>
      </c>
      <c r="I84" s="17">
        <f t="shared" si="39"/>
        <v>8933.6005878293872</v>
      </c>
      <c r="J84" s="20">
        <f>(Geraetedaten!$B$152+(Geraetedaten!$B$153*(Geraetedaten!$B$18+d_y_Sw)/1000))*10</f>
        <v>6051.0442000000003</v>
      </c>
      <c r="K84" s="20">
        <f>(Geraetedaten!$B$165+(Geraetedaten!$B$166*(Geraetedaten!$B$18+d_y_Sw)/1000))*10</f>
        <v>10816.164000000001</v>
      </c>
      <c r="L84" s="20">
        <f>(Geraetedaten!$B$158+(Geraetedaten!$B$159*(Geraetedaten!$B$18+d_y_Sw)/1000)-(Geraetedaten!$B$160*I84/1000))*10</f>
        <v>-53.564331105528993</v>
      </c>
      <c r="M84" s="20">
        <f>(Geraetedaten!$B$171+(Geraetedaten!$B$172*(Geraetedaten!$B$18+d_y_Sw)/1000)-(Geraetedaten!$B$173*I84/1000))*10</f>
        <v>399.84977224198104</v>
      </c>
      <c r="N84" s="20">
        <f>IF((H84-J84)/(K84-J84)*(Geraetedaten!$B$174-Geraetedaten!$B$161)&lt;Geraetedaten!$B$174,(H84-J84)/(K84-J84)*(Geraetedaten!$B$174-Geraetedaten!$B$161),Geraetedaten!$B$174)</f>
        <v>400</v>
      </c>
      <c r="O84" s="20">
        <f>N84/Geraetedaten!$B$174*(M84-L84)+L84+C84</f>
        <v>465.96067832261042</v>
      </c>
      <c r="P84" s="20">
        <f t="shared" si="29"/>
        <v>147.66508207964426</v>
      </c>
      <c r="Q84" s="20"/>
      <c r="R84" s="21">
        <f>(N84-Geraetedaten!$B$161)/(Geraetedaten!$B$174-Geraetedaten!$B$161)*(Geraetedaten!$B$175-Geraetedaten!$B$162)+Geraetedaten!$B$162</f>
        <v>41.1</v>
      </c>
      <c r="S84" s="21">
        <f t="shared" si="40"/>
        <v>41.1</v>
      </c>
      <c r="T84" s="21">
        <f t="shared" si="41"/>
        <v>29.062088706767103</v>
      </c>
      <c r="U84" s="88">
        <f t="shared" si="42"/>
        <v>29.062088706767106</v>
      </c>
      <c r="V84" s="86">
        <f t="shared" si="43"/>
        <v>-14947.85779</v>
      </c>
      <c r="W84" s="85">
        <f t="shared" si="44"/>
        <v>-4225.3239992296285</v>
      </c>
      <c r="X84" s="85">
        <f t="shared" si="45"/>
        <v>-5972.9276178749014</v>
      </c>
      <c r="Y84" s="90">
        <f t="shared" si="46"/>
        <v>4225.3239992296285</v>
      </c>
      <c r="Z84" s="86">
        <f t="shared" si="47"/>
        <v>-11976.53637</v>
      </c>
      <c r="AA84" s="85">
        <f t="shared" si="48"/>
        <v>-913.46204712425447</v>
      </c>
      <c r="AB84" s="85">
        <f t="shared" si="49"/>
        <v>-1244.455044277533</v>
      </c>
      <c r="AC84" s="90">
        <f t="shared" si="50"/>
        <v>913.46204712425447</v>
      </c>
      <c r="AD84" s="86">
        <f t="shared" si="51"/>
        <v>14801.73475</v>
      </c>
      <c r="AE84" s="85">
        <f t="shared" si="52"/>
        <v>4140.4375383844126</v>
      </c>
      <c r="AF84" s="85">
        <f t="shared" si="53"/>
        <v>5857.8494961169417</v>
      </c>
      <c r="AG84" s="90">
        <f t="shared" si="54"/>
        <v>4140.4375383844126</v>
      </c>
      <c r="AH84" s="86">
        <f t="shared" si="55"/>
        <v>13147.31358</v>
      </c>
      <c r="AI84" s="85">
        <f t="shared" si="56"/>
        <v>6238.0466047659793</v>
      </c>
      <c r="AJ84" s="85">
        <f t="shared" si="57"/>
        <v>8933.6005878293872</v>
      </c>
      <c r="AK84" s="90">
        <f t="shared" si="58"/>
        <v>6238.0466047659793</v>
      </c>
      <c r="AM84" s="95">
        <f t="shared" si="21"/>
        <v>0</v>
      </c>
      <c r="AN84" s="95">
        <f t="shared" si="22"/>
        <v>0</v>
      </c>
      <c r="AO84" s="95">
        <f t="shared" si="23"/>
        <v>0</v>
      </c>
      <c r="AP84" s="95">
        <f t="shared" si="24"/>
        <v>0</v>
      </c>
      <c r="AQ84"/>
      <c r="AR84" s="95">
        <f t="shared" si="59"/>
        <v>0</v>
      </c>
      <c r="AS84" s="95">
        <f t="shared" si="60"/>
        <v>0</v>
      </c>
      <c r="AT84" s="95">
        <f>Geraetedaten!$B$94*ABS(SIN(RADIANS($A84)))</f>
        <v>108.8944443027283</v>
      </c>
      <c r="AU84" s="95">
        <f>Geraetedaten!$B$94*ABS(COS(RADIANS($A84)))</f>
        <v>108.89444430272833</v>
      </c>
      <c r="AV84" s="95">
        <f>((h_Aw_Sw+Geraetedaten!$B$18)/1000)*(AR84*AT84+AS84*AU84)/100</f>
        <v>0</v>
      </c>
      <c r="AX84" s="18">
        <f>(IF($X$19="ja",1,0))*Geraetedaten!$D$142*COS(RADIANS(2*A84))*(Geraetedaten!$B$154*r_K_D+r_K_SSw*F_SSw/10)/1000+Geraetedaten!$B$152</f>
        <v>594.79999999999995</v>
      </c>
      <c r="AY84" s="18">
        <f>(IF($X$19="ja",1,0))*Geraetedaten!$D$142*COS(RADIANS(2*A84))*(Geraetedaten!$B$157*r_K_D+r_K_SSw*F_SSw/10)/1000+Geraetedaten!$B$155</f>
        <v>537.4</v>
      </c>
      <c r="AZ84" s="201"/>
    </row>
    <row r="85" spans="1:52" ht="13.5" x14ac:dyDescent="0.25">
      <c r="A85" s="16">
        <v>46</v>
      </c>
      <c r="B85" s="16">
        <f t="shared" si="34"/>
        <v>404</v>
      </c>
      <c r="C85" s="19">
        <f t="shared" si="35"/>
        <v>66.515500640696956</v>
      </c>
      <c r="D85" s="17">
        <f t="shared" si="27"/>
        <v>-14760.389510640696</v>
      </c>
      <c r="E85" s="17">
        <f t="shared" si="36"/>
        <v>-12241.495460640697</v>
      </c>
      <c r="F85" s="17">
        <f t="shared" si="37"/>
        <v>14483.299029359303</v>
      </c>
      <c r="G85" s="17">
        <f t="shared" si="38"/>
        <v>13322.384969359304</v>
      </c>
      <c r="H85" s="17">
        <f t="shared" si="28"/>
        <v>13322.384969359304</v>
      </c>
      <c r="I85" s="17">
        <f t="shared" si="39"/>
        <v>9097.7588994427115</v>
      </c>
      <c r="J85" s="20">
        <f>(Geraetedaten!$B$152+(Geraetedaten!$B$153*(Geraetedaten!$B$18+d_y_Sw)/1000))*10</f>
        <v>6051.0442000000003</v>
      </c>
      <c r="K85" s="20">
        <f>(Geraetedaten!$B$165+(Geraetedaten!$B$166*(Geraetedaten!$B$18+d_y_Sw)/1000))*10</f>
        <v>10816.164000000001</v>
      </c>
      <c r="L85" s="20">
        <f>(Geraetedaten!$B$158+(Geraetedaten!$B$159*(Geraetedaten!$B$18+d_y_Sw)/1000)-(Geraetedaten!$B$160*I85/1000))*10</f>
        <v>-65.602060096134096</v>
      </c>
      <c r="M85" s="20">
        <f>(Geraetedaten!$B$171+(Geraetedaten!$B$172*(Geraetedaten!$B$18+d_y_Sw)/1000)-(Geraetedaten!$B$173*I85/1000))*10</f>
        <v>387.62982752548521</v>
      </c>
      <c r="N85" s="20">
        <f>IF((H85-J85)/(K85-J85)*(Geraetedaten!$B$174-Geraetedaten!$B$161)&lt;Geraetedaten!$B$174,(H85-J85)/(K85-J85)*(Geraetedaten!$B$174-Geraetedaten!$B$161),Geraetedaten!$B$174)</f>
        <v>400</v>
      </c>
      <c r="O85" s="20">
        <f>N85/Geraetedaten!$B$174*(M85-L85)+L85+C85</f>
        <v>454.14532816618214</v>
      </c>
      <c r="P85" s="20">
        <f t="shared" si="29"/>
        <v>144.65899738831519</v>
      </c>
      <c r="Q85" s="20"/>
      <c r="R85" s="21">
        <f>(N85-Geraetedaten!$B$161)/(Geraetedaten!$B$174-Geraetedaten!$B$161)*(Geraetedaten!$B$175-Geraetedaten!$B$162)+Geraetedaten!$B$162</f>
        <v>41.1</v>
      </c>
      <c r="S85" s="21">
        <f t="shared" si="40"/>
        <v>41.1</v>
      </c>
      <c r="T85" s="21">
        <f t="shared" si="41"/>
        <v>29.56486579391856</v>
      </c>
      <c r="U85" s="88">
        <f t="shared" si="42"/>
        <v>28.550459025864789</v>
      </c>
      <c r="V85" s="86">
        <f t="shared" si="43"/>
        <v>-14693.87401</v>
      </c>
      <c r="W85" s="85">
        <f t="shared" si="44"/>
        <v>-4225.3239992296285</v>
      </c>
      <c r="X85" s="85">
        <f t="shared" si="45"/>
        <v>-5871.4397184404543</v>
      </c>
      <c r="Y85" s="90">
        <f t="shared" si="46"/>
        <v>4225.3239992296285</v>
      </c>
      <c r="Z85" s="86">
        <f t="shared" si="47"/>
        <v>-12174.979960000001</v>
      </c>
      <c r="AA85" s="85">
        <f t="shared" si="48"/>
        <v>-913.46204712425447</v>
      </c>
      <c r="AB85" s="85">
        <f t="shared" si="49"/>
        <v>-1265.0748733147077</v>
      </c>
      <c r="AC85" s="90">
        <f t="shared" si="50"/>
        <v>913.46204712425447</v>
      </c>
      <c r="AD85" s="86">
        <f t="shared" si="51"/>
        <v>14549.81453</v>
      </c>
      <c r="AE85" s="85">
        <f t="shared" si="52"/>
        <v>4140.4375383844126</v>
      </c>
      <c r="AF85" s="85">
        <f t="shared" si="53"/>
        <v>5758.1509970093748</v>
      </c>
      <c r="AG85" s="90">
        <f t="shared" si="54"/>
        <v>4140.4375383844126</v>
      </c>
      <c r="AH85" s="86">
        <f t="shared" si="55"/>
        <v>13388.90047</v>
      </c>
      <c r="AI85" s="85">
        <f t="shared" si="56"/>
        <v>6238.0466047659793</v>
      </c>
      <c r="AJ85" s="85">
        <f t="shared" si="57"/>
        <v>9097.7588994427115</v>
      </c>
      <c r="AK85" s="90">
        <f t="shared" si="58"/>
        <v>6238.0466047659793</v>
      </c>
      <c r="AM85" s="95">
        <f t="shared" si="21"/>
        <v>0</v>
      </c>
      <c r="AN85" s="95">
        <f t="shared" si="22"/>
        <v>0</v>
      </c>
      <c r="AO85" s="95">
        <f t="shared" si="23"/>
        <v>0</v>
      </c>
      <c r="AP85" s="95">
        <f t="shared" si="24"/>
        <v>0</v>
      </c>
      <c r="AQ85"/>
      <c r="AR85" s="95">
        <f t="shared" si="59"/>
        <v>0</v>
      </c>
      <c r="AS85" s="95">
        <f t="shared" si="60"/>
        <v>0</v>
      </c>
      <c r="AT85" s="95">
        <f>Geraetedaten!$B$94*ABS(SIN(RADIANS($A85)))</f>
        <v>110.77832925215226</v>
      </c>
      <c r="AU85" s="95">
        <f>Geraetedaten!$B$94*ABS(COS(RADIANS($A85)))</f>
        <v>106.97738905068557</v>
      </c>
      <c r="AV85" s="95">
        <f>((h_Aw_Sw+Geraetedaten!$B$18)/1000)*(AR85*AT85+AS85*AU85)/100</f>
        <v>0</v>
      </c>
      <c r="AX85" s="18">
        <f>(IF($X$19="ja",1,0))*Geraetedaten!$D$142*COS(RADIANS(2*A85))*(Geraetedaten!$B$154*r_K_D+r_K_SSw*F_SSw/10)/1000+Geraetedaten!$B$152</f>
        <v>594.79999999999995</v>
      </c>
      <c r="AY85" s="18">
        <f>(IF($X$19="ja",1,0))*Geraetedaten!$D$142*COS(RADIANS(2*A85))*(Geraetedaten!$B$157*r_K_D+r_K_SSw*F_SSw/10)/1000+Geraetedaten!$B$155</f>
        <v>537.4</v>
      </c>
      <c r="AZ85" s="201"/>
    </row>
    <row r="86" spans="1:52" ht="13.5" x14ac:dyDescent="0.25">
      <c r="A86" s="16">
        <v>47</v>
      </c>
      <c r="B86" s="16">
        <f t="shared" si="34"/>
        <v>403</v>
      </c>
      <c r="C86" s="19">
        <f t="shared" si="35"/>
        <v>66.899833934919243</v>
      </c>
      <c r="D86" s="17">
        <f t="shared" si="27"/>
        <v>-14519.605793934919</v>
      </c>
      <c r="E86" s="17">
        <f t="shared" si="36"/>
        <v>-12450.84618393492</v>
      </c>
      <c r="F86" s="17">
        <f t="shared" si="37"/>
        <v>14243.71235606508</v>
      </c>
      <c r="G86" s="17">
        <f t="shared" si="38"/>
        <v>13576.866046065081</v>
      </c>
      <c r="H86" s="17">
        <f t="shared" si="28"/>
        <v>13576.866046065081</v>
      </c>
      <c r="I86" s="17">
        <f t="shared" si="39"/>
        <v>9270.9399687211862</v>
      </c>
      <c r="J86" s="20">
        <f>(Geraetedaten!$B$152+(Geraetedaten!$B$153*(Geraetedaten!$B$18+d_y_Sw)/1000))*10</f>
        <v>6051.0442000000003</v>
      </c>
      <c r="K86" s="20">
        <f>(Geraetedaten!$B$165+(Geraetedaten!$B$166*(Geraetedaten!$B$18+d_y_Sw)/1000))*10</f>
        <v>10816.164000000001</v>
      </c>
      <c r="L86" s="20">
        <f>(Geraetedaten!$B$158+(Geraetedaten!$B$159*(Geraetedaten!$B$18+d_y_Sw)/1000)-(Geraetedaten!$B$160*I86/1000))*10</f>
        <v>-78.301427906324648</v>
      </c>
      <c r="M86" s="20">
        <f>(Geraetedaten!$B$171+(Geraetedaten!$B$172*(Geraetedaten!$B$18+d_y_Sw)/1000)-(Geraetedaten!$B$173*I86/1000))*10</f>
        <v>374.7382287283956</v>
      </c>
      <c r="N86" s="20">
        <f>IF((H86-J86)/(K86-J86)*(Geraetedaten!$B$174-Geraetedaten!$B$161)&lt;Geraetedaten!$B$174,(H86-J86)/(K86-J86)*(Geraetedaten!$B$174-Geraetedaten!$B$161),Geraetedaten!$B$174)</f>
        <v>400</v>
      </c>
      <c r="O86" s="20">
        <f>N86/Geraetedaten!$B$174*(M86-L86)+L86+C86</f>
        <v>441.63806266331483</v>
      </c>
      <c r="P86" s="20">
        <f t="shared" si="29"/>
        <v>141.4404649766708</v>
      </c>
      <c r="Q86" s="20"/>
      <c r="R86" s="21">
        <f>(N86-Geraetedaten!$B$161)/(Geraetedaten!$B$174-Geraetedaten!$B$161)*(Geraetedaten!$B$175-Geraetedaten!$B$162)+Geraetedaten!$B$162</f>
        <v>41.1</v>
      </c>
      <c r="S86" s="21">
        <f t="shared" si="40"/>
        <v>41.1</v>
      </c>
      <c r="T86" s="21">
        <f t="shared" si="41"/>
        <v>30.058637136547908</v>
      </c>
      <c r="U86" s="88">
        <f t="shared" si="42"/>
        <v>28.030132598568688</v>
      </c>
      <c r="V86" s="86">
        <f t="shared" si="43"/>
        <v>-14452.705959999999</v>
      </c>
      <c r="W86" s="85">
        <f t="shared" si="44"/>
        <v>-4225.3239992296285</v>
      </c>
      <c r="X86" s="85">
        <f t="shared" si="45"/>
        <v>-5775.0727762161587</v>
      </c>
      <c r="Y86" s="90">
        <f t="shared" si="46"/>
        <v>4225.3239992296285</v>
      </c>
      <c r="Z86" s="86">
        <f t="shared" si="47"/>
        <v>-12383.94635</v>
      </c>
      <c r="AA86" s="85">
        <f t="shared" si="48"/>
        <v>-913.46204712425447</v>
      </c>
      <c r="AB86" s="85">
        <f t="shared" si="49"/>
        <v>-1286.7881023359757</v>
      </c>
      <c r="AC86" s="90">
        <f t="shared" si="50"/>
        <v>913.46204712425447</v>
      </c>
      <c r="AD86" s="86">
        <f t="shared" si="51"/>
        <v>14310.61219</v>
      </c>
      <c r="AE86" s="85">
        <f t="shared" si="52"/>
        <v>4140.4375383844126</v>
      </c>
      <c r="AF86" s="85">
        <f t="shared" si="53"/>
        <v>5663.4856534421306</v>
      </c>
      <c r="AG86" s="90">
        <f t="shared" si="54"/>
        <v>4140.4375383844126</v>
      </c>
      <c r="AH86" s="86">
        <f t="shared" si="55"/>
        <v>13643.765880000001</v>
      </c>
      <c r="AI86" s="85">
        <f t="shared" si="56"/>
        <v>6238.0466047659793</v>
      </c>
      <c r="AJ86" s="85">
        <f t="shared" si="57"/>
        <v>9270.9399687211862</v>
      </c>
      <c r="AK86" s="90">
        <f t="shared" si="58"/>
        <v>6238.0466047659793</v>
      </c>
      <c r="AM86" s="95">
        <f t="shared" si="21"/>
        <v>0</v>
      </c>
      <c r="AN86" s="95">
        <f t="shared" si="22"/>
        <v>0</v>
      </c>
      <c r="AO86" s="95">
        <f t="shared" si="23"/>
        <v>0</v>
      </c>
      <c r="AP86" s="95">
        <f t="shared" si="24"/>
        <v>0</v>
      </c>
      <c r="AQ86"/>
      <c r="AR86" s="95">
        <f t="shared" si="59"/>
        <v>0</v>
      </c>
      <c r="AS86" s="95">
        <f t="shared" si="60"/>
        <v>0</v>
      </c>
      <c r="AT86" s="95">
        <f>Geraetedaten!$B$94*ABS(SIN(RADIANS($A86)))</f>
        <v>112.62847004935225</v>
      </c>
      <c r="AU86" s="95">
        <f>Geraetedaten!$B$94*ABS(COS(RADIANS($A86)))</f>
        <v>105.02774744962477</v>
      </c>
      <c r="AV86" s="95">
        <f>((h_Aw_Sw+Geraetedaten!$B$18)/1000)*(AR86*AT86+AS86*AU86)/100</f>
        <v>0</v>
      </c>
      <c r="AX86" s="18">
        <f>(IF($X$19="ja",1,0))*Geraetedaten!$D$142*COS(RADIANS(2*A86))*(Geraetedaten!$B$154*r_K_D+r_K_SSw*F_SSw/10)/1000+Geraetedaten!$B$152</f>
        <v>594.79999999999995</v>
      </c>
      <c r="AY86" s="18">
        <f>(IF($X$19="ja",1,0))*Geraetedaten!$D$142*COS(RADIANS(2*A86))*(Geraetedaten!$B$157*r_K_D+r_K_SSw*F_SSw/10)/1000+Geraetedaten!$B$155</f>
        <v>537.4</v>
      </c>
      <c r="AZ86" s="201"/>
    </row>
    <row r="87" spans="1:52" ht="13.5" x14ac:dyDescent="0.25">
      <c r="A87" s="16">
        <v>48</v>
      </c>
      <c r="B87" s="16">
        <f t="shared" si="34"/>
        <v>402</v>
      </c>
      <c r="C87" s="19">
        <f t="shared" si="35"/>
        <v>67.2637888916517</v>
      </c>
      <c r="D87" s="17">
        <f t="shared" si="27"/>
        <v>-14290.853038891653</v>
      </c>
      <c r="E87" s="17">
        <f t="shared" si="36"/>
        <v>-12671.381408891653</v>
      </c>
      <c r="F87" s="17">
        <f t="shared" si="37"/>
        <v>14016.104471108347</v>
      </c>
      <c r="G87" s="17">
        <f t="shared" si="38"/>
        <v>13845.579041108347</v>
      </c>
      <c r="H87" s="17">
        <f t="shared" si="28"/>
        <v>13845.579041108347</v>
      </c>
      <c r="I87" s="17">
        <f t="shared" si="39"/>
        <v>9453.7777741808623</v>
      </c>
      <c r="J87" s="20">
        <f>(Geraetedaten!$B$152+(Geraetedaten!$B$153*(Geraetedaten!$B$18+d_y_Sw)/1000))*10</f>
        <v>6051.0442000000003</v>
      </c>
      <c r="K87" s="20">
        <f>(Geraetedaten!$B$165+(Geraetedaten!$B$166*(Geraetedaten!$B$18+d_y_Sw)/1000))*10</f>
        <v>10816.164000000001</v>
      </c>
      <c r="L87" s="20">
        <f>(Geraetedaten!$B$158+(Geraetedaten!$B$159*(Geraetedaten!$B$18+d_y_Sw)/1000)-(Geraetedaten!$B$160*I87/1000))*10</f>
        <v>-91.708924180682772</v>
      </c>
      <c r="M87" s="20">
        <f>(Geraetedaten!$B$171+(Geraetedaten!$B$172*(Geraetedaten!$B$18+d_y_Sw)/1000)-(Geraetedaten!$B$173*I87/1000))*10</f>
        <v>361.12778248997745</v>
      </c>
      <c r="N87" s="20">
        <f>IF((H87-J87)/(K87-J87)*(Geraetedaten!$B$174-Geraetedaten!$B$161)&lt;Geraetedaten!$B$174,(H87-J87)/(K87-J87)*(Geraetedaten!$B$174-Geraetedaten!$B$161),Geraetedaten!$B$174)</f>
        <v>400</v>
      </c>
      <c r="O87" s="20">
        <f>N87/Geraetedaten!$B$174*(M87-L87)+L87+C87</f>
        <v>428.39157138162915</v>
      </c>
      <c r="P87" s="20">
        <f t="shared" si="29"/>
        <v>137.99076955427529</v>
      </c>
      <c r="Q87" s="20"/>
      <c r="R87" s="21">
        <f>(N87-Geraetedaten!$B$161)/(Geraetedaten!$B$174-Geraetedaten!$B$161)*(Geraetedaten!$B$175-Geraetedaten!$B$162)+Geraetedaten!$B$162</f>
        <v>41.1</v>
      </c>
      <c r="S87" s="21">
        <f t="shared" si="40"/>
        <v>41.1</v>
      </c>
      <c r="T87" s="21">
        <f t="shared" si="41"/>
        <v>30.543252327120904</v>
      </c>
      <c r="U87" s="88">
        <f t="shared" si="42"/>
        <v>27.501267921349076</v>
      </c>
      <c r="V87" s="86">
        <f t="shared" si="43"/>
        <v>-14223.589250000001</v>
      </c>
      <c r="W87" s="85">
        <f t="shared" si="44"/>
        <v>-4225.3239992296285</v>
      </c>
      <c r="X87" s="85">
        <f t="shared" si="45"/>
        <v>-5683.5213617077306</v>
      </c>
      <c r="Y87" s="90">
        <f t="shared" si="46"/>
        <v>4225.3239992296285</v>
      </c>
      <c r="Z87" s="86">
        <f t="shared" si="47"/>
        <v>-12604.117620000001</v>
      </c>
      <c r="AA87" s="85">
        <f t="shared" si="48"/>
        <v>-913.46204712425447</v>
      </c>
      <c r="AB87" s="85">
        <f t="shared" si="49"/>
        <v>-1309.6656053203969</v>
      </c>
      <c r="AC87" s="90">
        <f t="shared" si="50"/>
        <v>913.46204712425447</v>
      </c>
      <c r="AD87" s="86">
        <f t="shared" si="51"/>
        <v>14083.368259999999</v>
      </c>
      <c r="AE87" s="85">
        <f t="shared" si="52"/>
        <v>4140.4375383844126</v>
      </c>
      <c r="AF87" s="85">
        <f t="shared" si="53"/>
        <v>5573.5529037312735</v>
      </c>
      <c r="AG87" s="90">
        <f t="shared" si="54"/>
        <v>4140.4375383844126</v>
      </c>
      <c r="AH87" s="86">
        <f t="shared" si="55"/>
        <v>13912.84283</v>
      </c>
      <c r="AI87" s="85">
        <f t="shared" si="56"/>
        <v>6238.0466047659793</v>
      </c>
      <c r="AJ87" s="85">
        <f t="shared" si="57"/>
        <v>9453.7777741808623</v>
      </c>
      <c r="AK87" s="90">
        <f t="shared" si="58"/>
        <v>6238.0466047659793</v>
      </c>
      <c r="AM87" s="95">
        <f t="shared" si="21"/>
        <v>0</v>
      </c>
      <c r="AN87" s="95">
        <f t="shared" si="22"/>
        <v>0</v>
      </c>
      <c r="AO87" s="95">
        <f t="shared" si="23"/>
        <v>0</v>
      </c>
      <c r="AP87" s="95">
        <f t="shared" si="24"/>
        <v>0</v>
      </c>
      <c r="AQ87"/>
      <c r="AR87" s="95">
        <f t="shared" si="59"/>
        <v>0</v>
      </c>
      <c r="AS87" s="95">
        <f t="shared" si="60"/>
        <v>0</v>
      </c>
      <c r="AT87" s="95">
        <f>Geraetedaten!$B$94*ABS(SIN(RADIANS($A87)))</f>
        <v>114.44430312351871</v>
      </c>
      <c r="AU87" s="95">
        <f>Geraetedaten!$B$94*ABS(COS(RADIANS($A87)))</f>
        <v>103.04611337926417</v>
      </c>
      <c r="AV87" s="95">
        <f>((h_Aw_Sw+Geraetedaten!$B$18)/1000)*(AR87*AT87+AS87*AU87)/100</f>
        <v>0</v>
      </c>
      <c r="AX87" s="18">
        <f>(IF($X$19="ja",1,0))*Geraetedaten!$D$142*COS(RADIANS(2*A87))*(Geraetedaten!$B$154*r_K_D+r_K_SSw*F_SSw/10)/1000+Geraetedaten!$B$152</f>
        <v>594.79999999999995</v>
      </c>
      <c r="AY87" s="18">
        <f>(IF($X$19="ja",1,0))*Geraetedaten!$D$142*COS(RADIANS(2*A87))*(Geraetedaten!$B$157*r_K_D+r_K_SSw*F_SSw/10)/1000+Geraetedaten!$B$155</f>
        <v>537.4</v>
      </c>
      <c r="AZ87" s="201"/>
    </row>
    <row r="88" spans="1:52" ht="13.5" x14ac:dyDescent="0.25">
      <c r="A88" s="16">
        <v>49</v>
      </c>
      <c r="B88" s="16">
        <f t="shared" si="34"/>
        <v>401</v>
      </c>
      <c r="C88" s="19">
        <f t="shared" si="35"/>
        <v>67.60725464668883</v>
      </c>
      <c r="D88" s="17">
        <f t="shared" si="27"/>
        <v>-14073.43047464669</v>
      </c>
      <c r="E88" s="17">
        <f t="shared" si="36"/>
        <v>-12903.847414646689</v>
      </c>
      <c r="F88" s="17">
        <f t="shared" si="37"/>
        <v>13799.779385353311</v>
      </c>
      <c r="G88" s="17">
        <f t="shared" si="38"/>
        <v>14129.55089535331</v>
      </c>
      <c r="H88" s="17">
        <f t="shared" si="28"/>
        <v>13799.779385353311</v>
      </c>
      <c r="I88" s="17">
        <f t="shared" si="39"/>
        <v>5488.0772554955092</v>
      </c>
      <c r="J88" s="20">
        <f>(Geraetedaten!$B$152+(Geraetedaten!$B$153*(Geraetedaten!$B$18+d_y_Sw)/1000))*10</f>
        <v>6051.0442000000003</v>
      </c>
      <c r="K88" s="20">
        <f>(Geraetedaten!$B$165+(Geraetedaten!$B$166*(Geraetedaten!$B$18+d_y_Sw)/1000))*10</f>
        <v>10816.164000000001</v>
      </c>
      <c r="L88" s="20">
        <f>(Geraetedaten!$B$158+(Geraetedaten!$B$159*(Geraetedaten!$B$18+d_y_Sw)/1000)-(Geraetedaten!$B$160*I88/1000))*10</f>
        <v>199.09589485451414</v>
      </c>
      <c r="M88" s="20">
        <f>(Geraetedaten!$B$171+(Geraetedaten!$B$172*(Geraetedaten!$B$18+d_y_Sw)/1000)-(Geraetedaten!$B$173*I88/1000))*10</f>
        <v>656.33452910091501</v>
      </c>
      <c r="N88" s="20">
        <f>IF((H88-J88)/(K88-J88)*(Geraetedaten!$B$174-Geraetedaten!$B$161)&lt;Geraetedaten!$B$174,(H88-J88)/(K88-J88)*(Geraetedaten!$B$174-Geraetedaten!$B$161),Geraetedaten!$B$174)</f>
        <v>400</v>
      </c>
      <c r="O88" s="20">
        <f>N88/Geraetedaten!$B$174*(M88-L88)+L88+C88</f>
        <v>723.94178374760384</v>
      </c>
      <c r="P88" s="20">
        <f t="shared" si="29"/>
        <v>207.22359969328042</v>
      </c>
      <c r="Q88" s="20"/>
      <c r="R88" s="21">
        <f>(N88-Geraetedaten!$B$161)/(Geraetedaten!$B$174-Geraetedaten!$B$161)*(Geraetedaten!$B$175-Geraetedaten!$B$162)+Geraetedaten!$B$162</f>
        <v>41.1</v>
      </c>
      <c r="S88" s="21">
        <f t="shared" si="40"/>
        <v>41.1</v>
      </c>
      <c r="T88" s="21">
        <f t="shared" si="41"/>
        <v>31.01856374715593</v>
      </c>
      <c r="U88" s="88">
        <f t="shared" si="42"/>
        <v>26.964026091509851</v>
      </c>
      <c r="V88" s="86">
        <f t="shared" si="43"/>
        <v>-14005.82322</v>
      </c>
      <c r="W88" s="85">
        <f t="shared" si="44"/>
        <v>-4225.3239992296285</v>
      </c>
      <c r="X88" s="85">
        <f t="shared" si="45"/>
        <v>-5596.5054988609845</v>
      </c>
      <c r="Y88" s="90">
        <f t="shared" si="46"/>
        <v>4225.3239992296285</v>
      </c>
      <c r="Z88" s="86">
        <f t="shared" si="47"/>
        <v>-12836.240159999999</v>
      </c>
      <c r="AA88" s="85">
        <f t="shared" si="48"/>
        <v>-913.46204712425447</v>
      </c>
      <c r="AB88" s="85">
        <f t="shared" si="49"/>
        <v>-1333.7849378003441</v>
      </c>
      <c r="AC88" s="90">
        <f t="shared" si="50"/>
        <v>913.46204712425447</v>
      </c>
      <c r="AD88" s="86">
        <f t="shared" si="51"/>
        <v>13867.386640000001</v>
      </c>
      <c r="AE88" s="85">
        <f t="shared" si="52"/>
        <v>4140.4375383844126</v>
      </c>
      <c r="AF88" s="85">
        <f t="shared" si="53"/>
        <v>5488.0772554955092</v>
      </c>
      <c r="AG88" s="90">
        <f t="shared" si="54"/>
        <v>4140.4375383844126</v>
      </c>
      <c r="AH88" s="86">
        <f t="shared" si="55"/>
        <v>14197.158149999999</v>
      </c>
      <c r="AI88" s="85">
        <f t="shared" si="56"/>
        <v>6238.0466047659793</v>
      </c>
      <c r="AJ88" s="85">
        <f t="shared" si="57"/>
        <v>9646.9700566042084</v>
      </c>
      <c r="AK88" s="90">
        <f t="shared" si="58"/>
        <v>6238.0466047659793</v>
      </c>
      <c r="AM88" s="95">
        <f t="shared" si="21"/>
        <v>0</v>
      </c>
      <c r="AN88" s="95">
        <f t="shared" si="22"/>
        <v>0</v>
      </c>
      <c r="AO88" s="95">
        <f t="shared" si="23"/>
        <v>0</v>
      </c>
      <c r="AP88" s="95">
        <f t="shared" si="24"/>
        <v>0</v>
      </c>
      <c r="AQ88"/>
      <c r="AR88" s="95">
        <f t="shared" si="59"/>
        <v>0</v>
      </c>
      <c r="AS88" s="95">
        <f t="shared" si="60"/>
        <v>0</v>
      </c>
      <c r="AT88" s="95">
        <f>Geraetedaten!$B$94*ABS(SIN(RADIANS($A88)))</f>
        <v>116.22527535430689</v>
      </c>
      <c r="AU88" s="95">
        <f>Geraetedaten!$B$94*ABS(COS(RADIANS($A88)))</f>
        <v>101.03309046453812</v>
      </c>
      <c r="AV88" s="95">
        <f>((h_Aw_Sw+Geraetedaten!$B$18)/1000)*(AR88*AT88+AS88*AU88)/100</f>
        <v>0</v>
      </c>
      <c r="AX88" s="18">
        <f>(IF($X$19="ja",1,0))*Geraetedaten!$D$142*COS(RADIANS(2*A88))*(Geraetedaten!$B$154*r_K_D+r_K_SSw*F_SSw/10)/1000+Geraetedaten!$B$152</f>
        <v>594.79999999999995</v>
      </c>
      <c r="AY88" s="18">
        <f>(IF($X$19="ja",1,0))*Geraetedaten!$D$142*COS(RADIANS(2*A88))*(Geraetedaten!$B$157*r_K_D+r_K_SSw*F_SSw/10)/1000+Geraetedaten!$B$155</f>
        <v>537.4</v>
      </c>
      <c r="AZ88" s="201"/>
    </row>
    <row r="89" spans="1:52" ht="13.5" x14ac:dyDescent="0.25">
      <c r="A89" s="16">
        <v>50</v>
      </c>
      <c r="B89" s="16">
        <f t="shared" si="34"/>
        <v>400</v>
      </c>
      <c r="C89" s="19">
        <f t="shared" si="35"/>
        <v>67.930126577034372</v>
      </c>
      <c r="D89" s="17">
        <f t="shared" si="27"/>
        <v>-13866.694696577033</v>
      </c>
      <c r="E89" s="17">
        <f t="shared" si="36"/>
        <v>-13149.062356577033</v>
      </c>
      <c r="F89" s="17">
        <f t="shared" si="37"/>
        <v>13594.098113422966</v>
      </c>
      <c r="G89" s="17">
        <f t="shared" si="38"/>
        <v>14429.914303422966</v>
      </c>
      <c r="H89" s="17">
        <f t="shared" si="28"/>
        <v>13594.098113422966</v>
      </c>
      <c r="I89" s="17">
        <f t="shared" si="39"/>
        <v>5406.8057955891791</v>
      </c>
      <c r="J89" s="20">
        <f>(Geraetedaten!$B$152+(Geraetedaten!$B$153*(Geraetedaten!$B$18+d_y_Sw)/1000))*10</f>
        <v>6051.0442000000003</v>
      </c>
      <c r="K89" s="20">
        <f>(Geraetedaten!$B$165+(Geraetedaten!$B$166*(Geraetedaten!$B$18+d_y_Sw)/1000))*10</f>
        <v>10816.164000000001</v>
      </c>
      <c r="L89" s="20">
        <f>(Geraetedaten!$B$158+(Geraetedaten!$B$159*(Geraetedaten!$B$18+d_y_Sw)/1000)-(Geraetedaten!$B$160*I89/1000))*10</f>
        <v>205.0555310094453</v>
      </c>
      <c r="M89" s="20">
        <f>(Geraetedaten!$B$171+(Geraetedaten!$B$172*(Geraetedaten!$B$18+d_y_Sw)/1000)-(Geraetedaten!$B$173*I89/1000))*10</f>
        <v>662.38437657634222</v>
      </c>
      <c r="N89" s="20">
        <f>IF((H89-J89)/(K89-J89)*(Geraetedaten!$B$174-Geraetedaten!$B$161)&lt;Geraetedaten!$B$174,(H89-J89)/(K89-J89)*(Geraetedaten!$B$174-Geraetedaten!$B$161),Geraetedaten!$B$174)</f>
        <v>400</v>
      </c>
      <c r="O89" s="20">
        <f>N89/Geraetedaten!$B$174*(M89-L89)+L89+C89</f>
        <v>730.31450315337656</v>
      </c>
      <c r="P89" s="20">
        <f t="shared" si="29"/>
        <v>208.57175859110419</v>
      </c>
      <c r="Q89" s="20"/>
      <c r="R89" s="21">
        <f>(N89-Geraetedaten!$B$161)/(Geraetedaten!$B$174-Geraetedaten!$B$161)*(Geraetedaten!$B$175-Geraetedaten!$B$162)+Geraetedaten!$B$162</f>
        <v>41.1</v>
      </c>
      <c r="S89" s="21">
        <f t="shared" si="40"/>
        <v>41.1</v>
      </c>
      <c r="T89" s="21">
        <f t="shared" si="41"/>
        <v>31.484426612189999</v>
      </c>
      <c r="U89" s="88">
        <f t="shared" si="42"/>
        <v>26.418570758116768</v>
      </c>
      <c r="V89" s="86">
        <f t="shared" si="43"/>
        <v>-13798.764569999999</v>
      </c>
      <c r="W89" s="85">
        <f t="shared" si="44"/>
        <v>-4225.3239992296285</v>
      </c>
      <c r="X89" s="85">
        <f t="shared" si="45"/>
        <v>-5513.768139407608</v>
      </c>
      <c r="Y89" s="90">
        <f t="shared" si="46"/>
        <v>4225.3239992296285</v>
      </c>
      <c r="Z89" s="86">
        <f t="shared" si="47"/>
        <v>-13081.132229999999</v>
      </c>
      <c r="AA89" s="85">
        <f t="shared" si="48"/>
        <v>-913.46204712425447</v>
      </c>
      <c r="AB89" s="85">
        <f t="shared" si="49"/>
        <v>-1359.2311239229387</v>
      </c>
      <c r="AC89" s="90">
        <f t="shared" si="50"/>
        <v>913.46204712425447</v>
      </c>
      <c r="AD89" s="86">
        <f t="shared" si="51"/>
        <v>13662.02824</v>
      </c>
      <c r="AE89" s="85">
        <f t="shared" si="52"/>
        <v>4140.4375383844126</v>
      </c>
      <c r="AF89" s="85">
        <f t="shared" si="53"/>
        <v>5406.8057955891791</v>
      </c>
      <c r="AG89" s="90">
        <f t="shared" si="54"/>
        <v>4140.4375383844126</v>
      </c>
      <c r="AH89" s="86">
        <f t="shared" si="55"/>
        <v>14497.844429999999</v>
      </c>
      <c r="AI89" s="85">
        <f t="shared" si="56"/>
        <v>6238.0466047659793</v>
      </c>
      <c r="AJ89" s="85">
        <f t="shared" si="57"/>
        <v>9851.2864074372083</v>
      </c>
      <c r="AK89" s="90">
        <f t="shared" si="58"/>
        <v>6238.0466047659793</v>
      </c>
      <c r="AM89" s="95">
        <f t="shared" si="21"/>
        <v>0</v>
      </c>
      <c r="AN89" s="95">
        <f t="shared" si="22"/>
        <v>0</v>
      </c>
      <c r="AO89" s="95">
        <f t="shared" si="23"/>
        <v>0</v>
      </c>
      <c r="AP89" s="95">
        <f t="shared" si="24"/>
        <v>0</v>
      </c>
      <c r="AQ89"/>
      <c r="AR89" s="95">
        <f t="shared" si="59"/>
        <v>0</v>
      </c>
      <c r="AS89" s="95">
        <f t="shared" si="60"/>
        <v>0</v>
      </c>
      <c r="AT89" s="95">
        <f>Geraetedaten!$B$94*ABS(SIN(RADIANS($A89)))</f>
        <v>117.97084424032262</v>
      </c>
      <c r="AU89" s="95">
        <f>Geraetedaten!$B$94*ABS(COS(RADIANS($A89)))</f>
        <v>98.989291891727063</v>
      </c>
      <c r="AV89" s="95">
        <f>((h_Aw_Sw+Geraetedaten!$B$18)/1000)*(AR89*AT89+AS89*AU89)/100</f>
        <v>0</v>
      </c>
      <c r="AX89" s="18">
        <f>(IF($X$19="ja",1,0))*Geraetedaten!$D$142*COS(RADIANS(2*A89))*(Geraetedaten!$B$154*r_K_D+r_K_SSw*F_SSw/10)/1000+Geraetedaten!$B$152</f>
        <v>594.79999999999995</v>
      </c>
      <c r="AY89" s="18">
        <f>(IF($X$19="ja",1,0))*Geraetedaten!$D$142*COS(RADIANS(2*A89))*(Geraetedaten!$B$157*r_K_D+r_K_SSw*F_SSw/10)/1000+Geraetedaten!$B$155</f>
        <v>537.4</v>
      </c>
      <c r="AZ89" s="201"/>
    </row>
    <row r="90" spans="1:52" ht="13.5" x14ac:dyDescent="0.25">
      <c r="A90" s="16">
        <v>51</v>
      </c>
      <c r="B90" s="16">
        <f t="shared" si="34"/>
        <v>399</v>
      </c>
      <c r="C90" s="19">
        <f t="shared" si="35"/>
        <v>68.232306332770648</v>
      </c>
      <c r="D90" s="17">
        <f t="shared" si="27"/>
        <v>-13670.054146332772</v>
      </c>
      <c r="E90" s="17">
        <f t="shared" si="36"/>
        <v>-13407.924966332772</v>
      </c>
      <c r="F90" s="17">
        <f t="shared" si="37"/>
        <v>13398.473203667229</v>
      </c>
      <c r="G90" s="17">
        <f t="shared" si="38"/>
        <v>14747.92146366723</v>
      </c>
      <c r="H90" s="17">
        <f t="shared" si="28"/>
        <v>13398.473203667229</v>
      </c>
      <c r="I90" s="17">
        <f t="shared" si="39"/>
        <v>5329.5059939961193</v>
      </c>
      <c r="J90" s="20">
        <f>(Geraetedaten!$B$152+(Geraetedaten!$B$153*(Geraetedaten!$B$18+d_y_Sw)/1000))*10</f>
        <v>6051.0442000000003</v>
      </c>
      <c r="K90" s="20">
        <f>(Geraetedaten!$B$165+(Geraetedaten!$B$166*(Geraetedaten!$B$18+d_y_Sw)/1000))*10</f>
        <v>10816.164000000001</v>
      </c>
      <c r="L90" s="20">
        <f>(Geraetedaten!$B$158+(Geraetedaten!$B$159*(Geraetedaten!$B$18+d_y_Sw)/1000)-(Geraetedaten!$B$160*I90/1000))*10</f>
        <v>210.72392546026441</v>
      </c>
      <c r="M90" s="20">
        <f>(Geraetedaten!$B$171+(Geraetedaten!$B$172*(Geraetedaten!$B$18+d_y_Sw)/1000)-(Geraetedaten!$B$173*I90/1000))*10</f>
        <v>668.1385738069298</v>
      </c>
      <c r="N90" s="20">
        <f>IF((H90-J90)/(K90-J90)*(Geraetedaten!$B$174-Geraetedaten!$B$161)&lt;Geraetedaten!$B$174,(H90-J90)/(K90-J90)*(Geraetedaten!$B$174-Geraetedaten!$B$161),Geraetedaten!$B$174)</f>
        <v>400</v>
      </c>
      <c r="O90" s="20">
        <f>N90/Geraetedaten!$B$174*(M90-L90)+L90+C90</f>
        <v>736.37088013970049</v>
      </c>
      <c r="P90" s="20">
        <f t="shared" si="29"/>
        <v>209.84694961584631</v>
      </c>
      <c r="Q90" s="20"/>
      <c r="R90" s="21">
        <f>(N90-Geraetedaten!$B$161)/(Geraetedaten!$B$174-Geraetedaten!$B$161)*(Geraetedaten!$B$175-Geraetedaten!$B$162)+Geraetedaten!$B$162</f>
        <v>41.1</v>
      </c>
      <c r="S90" s="21">
        <f t="shared" si="40"/>
        <v>41.1</v>
      </c>
      <c r="T90" s="21">
        <f t="shared" si="41"/>
        <v>31.940699015881506</v>
      </c>
      <c r="U90" s="88">
        <f t="shared" si="42"/>
        <v>25.865068072148322</v>
      </c>
      <c r="V90" s="86">
        <f t="shared" si="43"/>
        <v>-13601.821840000001</v>
      </c>
      <c r="W90" s="85">
        <f t="shared" si="44"/>
        <v>-4225.3239992296285</v>
      </c>
      <c r="X90" s="85">
        <f t="shared" si="45"/>
        <v>-5435.0729350994652</v>
      </c>
      <c r="Y90" s="90">
        <f t="shared" si="46"/>
        <v>4225.3239992296285</v>
      </c>
      <c r="Z90" s="86">
        <f t="shared" si="47"/>
        <v>-13339.692660000001</v>
      </c>
      <c r="AA90" s="85">
        <f t="shared" si="48"/>
        <v>-913.46204712425447</v>
      </c>
      <c r="AB90" s="85">
        <f t="shared" si="49"/>
        <v>-1386.0975582608821</v>
      </c>
      <c r="AC90" s="90">
        <f t="shared" si="50"/>
        <v>913.46204712425447</v>
      </c>
      <c r="AD90" s="86">
        <f t="shared" si="51"/>
        <v>13466.70551</v>
      </c>
      <c r="AE90" s="85">
        <f t="shared" si="52"/>
        <v>4140.4375383844126</v>
      </c>
      <c r="AF90" s="85">
        <f t="shared" si="53"/>
        <v>5329.5059939961193</v>
      </c>
      <c r="AG90" s="90">
        <f t="shared" si="54"/>
        <v>4140.4375383844126</v>
      </c>
      <c r="AH90" s="86">
        <f t="shared" si="55"/>
        <v>14816.153770000001</v>
      </c>
      <c r="AI90" s="85">
        <f t="shared" si="56"/>
        <v>6238.0466047659793</v>
      </c>
      <c r="AJ90" s="85">
        <f t="shared" si="57"/>
        <v>10067.577625952385</v>
      </c>
      <c r="AK90" s="90">
        <f t="shared" si="58"/>
        <v>6238.0466047659793</v>
      </c>
      <c r="AM90" s="95">
        <f t="shared" si="21"/>
        <v>0</v>
      </c>
      <c r="AN90" s="95">
        <f t="shared" si="22"/>
        <v>0</v>
      </c>
      <c r="AO90" s="95">
        <f t="shared" si="23"/>
        <v>0</v>
      </c>
      <c r="AP90" s="95">
        <f t="shared" si="24"/>
        <v>0</v>
      </c>
      <c r="AQ90"/>
      <c r="AR90" s="95">
        <f t="shared" si="59"/>
        <v>0</v>
      </c>
      <c r="AS90" s="95">
        <f t="shared" si="60"/>
        <v>0</v>
      </c>
      <c r="AT90" s="95">
        <f>Geraetedaten!$B$94*ABS(SIN(RADIANS($A90)))</f>
        <v>119.68047806437352</v>
      </c>
      <c r="AU90" s="95">
        <f>Geraetedaten!$B$94*ABS(COS(RADIANS($A90)))</f>
        <v>96.915340221674981</v>
      </c>
      <c r="AV90" s="95">
        <f>((h_Aw_Sw+Geraetedaten!$B$18)/1000)*(AR90*AT90+AS90*AU90)/100</f>
        <v>0</v>
      </c>
      <c r="AX90" s="18">
        <f>(IF($X$19="ja",1,0))*Geraetedaten!$D$142*COS(RADIANS(2*A90))*(Geraetedaten!$B$154*r_K_D+r_K_SSw*F_SSw/10)/1000+Geraetedaten!$B$152</f>
        <v>594.79999999999995</v>
      </c>
      <c r="AY90" s="18">
        <f>(IF($X$19="ja",1,0))*Geraetedaten!$D$142*COS(RADIANS(2*A90))*(Geraetedaten!$B$157*r_K_D+r_K_SSw*F_SSw/10)/1000+Geraetedaten!$B$155</f>
        <v>537.4</v>
      </c>
      <c r="AZ90" s="201"/>
    </row>
    <row r="91" spans="1:52" ht="13.5" x14ac:dyDescent="0.25">
      <c r="A91" s="16">
        <v>52</v>
      </c>
      <c r="B91" s="16">
        <f t="shared" si="34"/>
        <v>398</v>
      </c>
      <c r="C91" s="19">
        <f t="shared" si="35"/>
        <v>68.513701867016763</v>
      </c>
      <c r="D91" s="17">
        <f t="shared" si="27"/>
        <v>-13482.964091867017</v>
      </c>
      <c r="E91" s="17">
        <f t="shared" si="36"/>
        <v>-13681.424491867017</v>
      </c>
      <c r="F91" s="17">
        <f t="shared" si="37"/>
        <v>13212.363778132982</v>
      </c>
      <c r="G91" s="17">
        <f t="shared" si="38"/>
        <v>15084.960058132983</v>
      </c>
      <c r="H91" s="17">
        <f t="shared" si="28"/>
        <v>13212.363778132982</v>
      </c>
      <c r="I91" s="17">
        <f t="shared" si="39"/>
        <v>5255.9637621405991</v>
      </c>
      <c r="J91" s="20">
        <f>(Geraetedaten!$B$152+(Geraetedaten!$B$153*(Geraetedaten!$B$18+d_y_Sw)/1000))*10</f>
        <v>6051.0442000000003</v>
      </c>
      <c r="K91" s="20">
        <f>(Geraetedaten!$B$165+(Geraetedaten!$B$166*(Geraetedaten!$B$18+d_y_Sw)/1000))*10</f>
        <v>10816.164000000001</v>
      </c>
      <c r="L91" s="20">
        <f>(Geraetedaten!$B$158+(Geraetedaten!$B$159*(Geraetedaten!$B$18+d_y_Sw)/1000)-(Geraetedaten!$B$160*I91/1000))*10</f>
        <v>216.11677732222967</v>
      </c>
      <c r="M91" s="20">
        <f>(Geraetedaten!$B$171+(Geraetedaten!$B$172*(Geraetedaten!$B$18+d_y_Sw)/1000)-(Geraetedaten!$B$173*I91/1000))*10</f>
        <v>673.61305754625459</v>
      </c>
      <c r="N91" s="20">
        <f>IF((H91-J91)/(K91-J91)*(Geraetedaten!$B$174-Geraetedaten!$B$161)&lt;Geraetedaten!$B$174,(H91-J91)/(K91-J91)*(Geraetedaten!$B$174-Geraetedaten!$B$161),Geraetedaten!$B$174)</f>
        <v>400</v>
      </c>
      <c r="O91" s="20">
        <f>N91/Geraetedaten!$B$174*(M91-L91)+L91+C91</f>
        <v>742.12675941327132</v>
      </c>
      <c r="P91" s="20">
        <f t="shared" si="29"/>
        <v>211.05331425777052</v>
      </c>
      <c r="Q91" s="20"/>
      <c r="R91" s="21">
        <f>(N91-Geraetedaten!$B$161)/(Geraetedaten!$B$174-Geraetedaten!$B$161)*(Geraetedaten!$B$175-Geraetedaten!$B$162)+Geraetedaten!$B$162</f>
        <v>41.1</v>
      </c>
      <c r="S91" s="21">
        <f t="shared" si="40"/>
        <v>41.1</v>
      </c>
      <c r="T91" s="21">
        <f t="shared" si="41"/>
        <v>32.387241973236279</v>
      </c>
      <c r="U91" s="88">
        <f t="shared" si="42"/>
        <v>25.303686635884556</v>
      </c>
      <c r="V91" s="86">
        <f t="shared" si="43"/>
        <v>-13414.45039</v>
      </c>
      <c r="W91" s="85">
        <f t="shared" si="44"/>
        <v>-4225.3239992296285</v>
      </c>
      <c r="X91" s="85">
        <f t="shared" si="45"/>
        <v>-5360.2022677968298</v>
      </c>
      <c r="Y91" s="90">
        <f t="shared" si="46"/>
        <v>4225.3239992296285</v>
      </c>
      <c r="Z91" s="86">
        <f t="shared" si="47"/>
        <v>-13612.91079</v>
      </c>
      <c r="AA91" s="85">
        <f t="shared" si="48"/>
        <v>-913.46204712425447</v>
      </c>
      <c r="AB91" s="85">
        <f t="shared" si="49"/>
        <v>-1414.4870423317955</v>
      </c>
      <c r="AC91" s="90">
        <f t="shared" si="50"/>
        <v>913.46204712425447</v>
      </c>
      <c r="AD91" s="86">
        <f t="shared" si="51"/>
        <v>13280.877479999999</v>
      </c>
      <c r="AE91" s="85">
        <f t="shared" si="52"/>
        <v>4140.4375383844126</v>
      </c>
      <c r="AF91" s="85">
        <f t="shared" si="53"/>
        <v>5255.9637621405991</v>
      </c>
      <c r="AG91" s="90">
        <f t="shared" si="54"/>
        <v>4140.4375383844126</v>
      </c>
      <c r="AH91" s="86">
        <f t="shared" si="55"/>
        <v>15153.473760000001</v>
      </c>
      <c r="AI91" s="85">
        <f t="shared" si="56"/>
        <v>6238.0466047659793</v>
      </c>
      <c r="AJ91" s="85">
        <f t="shared" si="57"/>
        <v>10296.786583299292</v>
      </c>
      <c r="AK91" s="90">
        <f t="shared" si="58"/>
        <v>6238.0466047659793</v>
      </c>
      <c r="AM91" s="95">
        <f t="shared" si="21"/>
        <v>0</v>
      </c>
      <c r="AN91" s="95">
        <f t="shared" si="22"/>
        <v>0</v>
      </c>
      <c r="AO91" s="95">
        <f t="shared" si="23"/>
        <v>0</v>
      </c>
      <c r="AP91" s="95">
        <f t="shared" si="24"/>
        <v>0</v>
      </c>
      <c r="AQ91"/>
      <c r="AR91" s="95">
        <f t="shared" si="59"/>
        <v>0</v>
      </c>
      <c r="AS91" s="95">
        <f t="shared" si="60"/>
        <v>0</v>
      </c>
      <c r="AT91" s="95">
        <f>Geraetedaten!$B$94*ABS(SIN(RADIANS($A91)))</f>
        <v>121.3536560554352</v>
      </c>
      <c r="AU91" s="95">
        <f>Geraetedaten!$B$94*ABS(COS(RADIANS($A91)))</f>
        <v>94.811867200151383</v>
      </c>
      <c r="AV91" s="95">
        <f>((h_Aw_Sw+Geraetedaten!$B$18)/1000)*(AR91*AT91+AS91*AU91)/100</f>
        <v>0</v>
      </c>
      <c r="AX91" s="18">
        <f>(IF($X$19="ja",1,0))*Geraetedaten!$D$142*COS(RADIANS(2*A91))*(Geraetedaten!$B$154*r_K_D+r_K_SSw*F_SSw/10)/1000+Geraetedaten!$B$152</f>
        <v>594.79999999999995</v>
      </c>
      <c r="AY91" s="18">
        <f>(IF($X$19="ja",1,0))*Geraetedaten!$D$142*COS(RADIANS(2*A91))*(Geraetedaten!$B$157*r_K_D+r_K_SSw*F_SSw/10)/1000+Geraetedaten!$B$155</f>
        <v>537.4</v>
      </c>
      <c r="AZ91" s="201"/>
    </row>
    <row r="92" spans="1:52" ht="13.5" x14ac:dyDescent="0.25">
      <c r="A92" s="16">
        <v>53</v>
      </c>
      <c r="B92" s="16">
        <f t="shared" si="34"/>
        <v>397</v>
      </c>
      <c r="C92" s="19">
        <f t="shared" si="35"/>
        <v>68.774227463967065</v>
      </c>
      <c r="D92" s="17">
        <f t="shared" si="27"/>
        <v>-13304.922357463967</v>
      </c>
      <c r="E92" s="17">
        <f t="shared" si="36"/>
        <v>-13970.652257463968</v>
      </c>
      <c r="F92" s="17">
        <f t="shared" si="37"/>
        <v>13035.271222536032</v>
      </c>
      <c r="G92" s="17">
        <f t="shared" si="38"/>
        <v>15442.571892536032</v>
      </c>
      <c r="H92" s="17">
        <f t="shared" si="28"/>
        <v>13035.271222536032</v>
      </c>
      <c r="I92" s="17">
        <f t="shared" si="39"/>
        <v>5185.9817320459833</v>
      </c>
      <c r="J92" s="20">
        <f>(Geraetedaten!$B$152+(Geraetedaten!$B$153*(Geraetedaten!$B$18+d_y_Sw)/1000))*10</f>
        <v>6051.0442000000003</v>
      </c>
      <c r="K92" s="20">
        <f>(Geraetedaten!$B$165+(Geraetedaten!$B$166*(Geraetedaten!$B$18+d_y_Sw)/1000))*10</f>
        <v>10816.164000000001</v>
      </c>
      <c r="L92" s="20">
        <f>(Geraetedaten!$B$158+(Geraetedaten!$B$159*(Geraetedaten!$B$18+d_y_Sw)/1000)-(Geraetedaten!$B$160*I92/1000))*10</f>
        <v>221.24855958906784</v>
      </c>
      <c r="M92" s="20">
        <f>(Geraetedaten!$B$171+(Geraetedaten!$B$172*(Geraetedaten!$B$18+d_y_Sw)/1000)-(Geraetedaten!$B$173*I92/1000))*10</f>
        <v>678.82251986649771</v>
      </c>
      <c r="N92" s="20">
        <f>IF((H92-J92)/(K92-J92)*(Geraetedaten!$B$174-Geraetedaten!$B$161)&lt;Geraetedaten!$B$174,(H92-J92)/(K92-J92)*(Geraetedaten!$B$174-Geraetedaten!$B$161),Geraetedaten!$B$174)</f>
        <v>400</v>
      </c>
      <c r="O92" s="20">
        <f>N92/Geraetedaten!$B$174*(M92-L92)+L92+C92</f>
        <v>747.59674733046472</v>
      </c>
      <c r="P92" s="20">
        <f t="shared" si="29"/>
        <v>212.19463368045064</v>
      </c>
      <c r="Q92" s="20"/>
      <c r="R92" s="21">
        <f>(N92-Geraetedaten!$B$161)/(Geraetedaten!$B$174-Geraetedaten!$B$161)*(Geraetedaten!$B$175-Geraetedaten!$B$162)+Geraetedaten!$B$162</f>
        <v>41.1</v>
      </c>
      <c r="S92" s="21">
        <f t="shared" si="40"/>
        <v>41.1</v>
      </c>
      <c r="T92" s="21">
        <f t="shared" si="41"/>
        <v>32.823919462943735</v>
      </c>
      <c r="U92" s="88">
        <f t="shared" si="42"/>
        <v>24.734597451549188</v>
      </c>
      <c r="V92" s="86">
        <f t="shared" si="43"/>
        <v>-13236.14813</v>
      </c>
      <c r="W92" s="85">
        <f t="shared" si="44"/>
        <v>-4225.3239992296285</v>
      </c>
      <c r="X92" s="85">
        <f t="shared" si="45"/>
        <v>-5288.9555034190516</v>
      </c>
      <c r="Y92" s="90">
        <f t="shared" si="46"/>
        <v>4225.3239992296285</v>
      </c>
      <c r="Z92" s="86">
        <f t="shared" si="47"/>
        <v>-13901.87803</v>
      </c>
      <c r="AA92" s="85">
        <f t="shared" si="48"/>
        <v>-913.46204712425447</v>
      </c>
      <c r="AB92" s="85">
        <f t="shared" si="49"/>
        <v>-1444.5129798564665</v>
      </c>
      <c r="AC92" s="90">
        <f t="shared" si="50"/>
        <v>913.46204712425447</v>
      </c>
      <c r="AD92" s="86">
        <f t="shared" si="51"/>
        <v>13104.04545</v>
      </c>
      <c r="AE92" s="85">
        <f t="shared" si="52"/>
        <v>4140.4375383844126</v>
      </c>
      <c r="AF92" s="85">
        <f t="shared" si="53"/>
        <v>5185.9817320459833</v>
      </c>
      <c r="AG92" s="90">
        <f t="shared" si="54"/>
        <v>4140.4375383844126</v>
      </c>
      <c r="AH92" s="86">
        <f t="shared" si="55"/>
        <v>15511.34612</v>
      </c>
      <c r="AI92" s="85">
        <f t="shared" si="56"/>
        <v>6238.0466047659793</v>
      </c>
      <c r="AJ92" s="85">
        <f t="shared" si="57"/>
        <v>10539.960884063135</v>
      </c>
      <c r="AK92" s="90">
        <f t="shared" si="58"/>
        <v>6238.0466047659793</v>
      </c>
      <c r="AM92" s="95">
        <f t="shared" si="21"/>
        <v>0</v>
      </c>
      <c r="AN92" s="95">
        <f t="shared" si="22"/>
        <v>0</v>
      </c>
      <c r="AO92" s="95">
        <f t="shared" si="23"/>
        <v>0</v>
      </c>
      <c r="AP92" s="95">
        <f t="shared" si="24"/>
        <v>0</v>
      </c>
      <c r="AQ92"/>
      <c r="AR92" s="95">
        <f t="shared" si="59"/>
        <v>0</v>
      </c>
      <c r="AS92" s="95">
        <f t="shared" si="60"/>
        <v>0</v>
      </c>
      <c r="AT92" s="95">
        <f>Geraetedaten!$B$94*ABS(SIN(RADIANS($A92)))</f>
        <v>122.98986854728309</v>
      </c>
      <c r="AU92" s="95">
        <f>Geraetedaten!$B$94*ABS(COS(RADIANS($A92)))</f>
        <v>92.679513565415448</v>
      </c>
      <c r="AV92" s="95">
        <f>((h_Aw_Sw+Geraetedaten!$B$18)/1000)*(AR92*AT92+AS92*AU92)/100</f>
        <v>0</v>
      </c>
      <c r="AX92" s="18">
        <f>(IF($X$19="ja",1,0))*Geraetedaten!$D$142*COS(RADIANS(2*A92))*(Geraetedaten!$B$154*r_K_D+r_K_SSw*F_SSw/10)/1000+Geraetedaten!$B$152</f>
        <v>594.79999999999995</v>
      </c>
      <c r="AY92" s="18">
        <f>(IF($X$19="ja",1,0))*Geraetedaten!$D$142*COS(RADIANS(2*A92))*(Geraetedaten!$B$157*r_K_D+r_K_SSw*F_SSw/10)/1000+Geraetedaten!$B$155</f>
        <v>537.4</v>
      </c>
      <c r="AZ92" s="201"/>
    </row>
    <row r="93" spans="1:52" ht="13.5" x14ac:dyDescent="0.25">
      <c r="A93" s="16">
        <v>54</v>
      </c>
      <c r="B93" s="16">
        <f t="shared" si="34"/>
        <v>396</v>
      </c>
      <c r="C93" s="19">
        <f t="shared" si="35"/>
        <v>69.013803765000915</v>
      </c>
      <c r="D93" s="17">
        <f t="shared" si="27"/>
        <v>-13135.465373765001</v>
      </c>
      <c r="E93" s="17">
        <f t="shared" si="36"/>
        <v>-14276.814893765002</v>
      </c>
      <c r="F93" s="17">
        <f t="shared" si="37"/>
        <v>12866.735276234998</v>
      </c>
      <c r="G93" s="17">
        <f t="shared" si="38"/>
        <v>15822.474726234999</v>
      </c>
      <c r="H93" s="17">
        <f t="shared" si="28"/>
        <v>12866.735276234998</v>
      </c>
      <c r="I93" s="17">
        <f t="shared" si="39"/>
        <v>5119.3777277501249</v>
      </c>
      <c r="J93" s="20">
        <f>(Geraetedaten!$B$152+(Geraetedaten!$B$153*(Geraetedaten!$B$18+d_y_Sw)/1000))*10</f>
        <v>6051.0442000000003</v>
      </c>
      <c r="K93" s="20">
        <f>(Geraetedaten!$B$165+(Geraetedaten!$B$166*(Geraetedaten!$B$18+d_y_Sw)/1000))*10</f>
        <v>10816.164000000001</v>
      </c>
      <c r="L93" s="20">
        <f>(Geraetedaten!$B$158+(Geraetedaten!$B$159*(Geraetedaten!$B$18+d_y_Sw)/1000)-(Geraetedaten!$B$160*I93/1000))*10</f>
        <v>226.13263122408313</v>
      </c>
      <c r="M93" s="20">
        <f>(Geraetedaten!$B$171+(Geraetedaten!$B$172*(Geraetedaten!$B$18+d_y_Sw)/1000)-(Geraetedaten!$B$173*I93/1000))*10</f>
        <v>683.78052194628162</v>
      </c>
      <c r="N93" s="20">
        <f>IF((H93-J93)/(K93-J93)*(Geraetedaten!$B$174-Geraetedaten!$B$161)&lt;Geraetedaten!$B$174,(H93-J93)/(K93-J93)*(Geraetedaten!$B$174-Geraetedaten!$B$161),Geraetedaten!$B$174)</f>
        <v>400</v>
      </c>
      <c r="O93" s="20">
        <f>N93/Geraetedaten!$B$174*(M93-L93)+L93+C93</f>
        <v>752.79432571128257</v>
      </c>
      <c r="P93" s="20">
        <f t="shared" si="29"/>
        <v>213.27436592571166</v>
      </c>
      <c r="Q93" s="20"/>
      <c r="R93" s="21">
        <f>(N93-Geraetedaten!$B$161)/(Geraetedaten!$B$174-Geraetedaten!$B$161)*(Geraetedaten!$B$175-Geraetedaten!$B$162)+Geraetedaten!$B$162</f>
        <v>41.1</v>
      </c>
      <c r="S93" s="21">
        <f t="shared" si="40"/>
        <v>41.1</v>
      </c>
      <c r="T93" s="21">
        <f t="shared" si="41"/>
        <v>33.250598468810338</v>
      </c>
      <c r="U93" s="88">
        <f t="shared" si="42"/>
        <v>24.157973869220648</v>
      </c>
      <c r="V93" s="86">
        <f t="shared" si="43"/>
        <v>-13066.451569999999</v>
      </c>
      <c r="W93" s="85">
        <f t="shared" si="44"/>
        <v>-4225.3239992296285</v>
      </c>
      <c r="X93" s="85">
        <f t="shared" si="45"/>
        <v>-5221.1474408026997</v>
      </c>
      <c r="Y93" s="90">
        <f t="shared" si="46"/>
        <v>4225.3239992296285</v>
      </c>
      <c r="Z93" s="86">
        <f t="shared" si="47"/>
        <v>-14207.801090000001</v>
      </c>
      <c r="AA93" s="85">
        <f t="shared" si="48"/>
        <v>-913.46204712425447</v>
      </c>
      <c r="AB93" s="85">
        <f t="shared" si="49"/>
        <v>-1476.300759816213</v>
      </c>
      <c r="AC93" s="90">
        <f t="shared" si="50"/>
        <v>913.46204712425447</v>
      </c>
      <c r="AD93" s="86">
        <f t="shared" si="51"/>
        <v>12935.74908</v>
      </c>
      <c r="AE93" s="85">
        <f t="shared" si="52"/>
        <v>4140.4375383844126</v>
      </c>
      <c r="AF93" s="85">
        <f t="shared" si="53"/>
        <v>5119.3777277501249</v>
      </c>
      <c r="AG93" s="90">
        <f t="shared" si="54"/>
        <v>4140.4375383844126</v>
      </c>
      <c r="AH93" s="86">
        <f t="shared" si="55"/>
        <v>15891.488530000001</v>
      </c>
      <c r="AI93" s="85">
        <f t="shared" si="56"/>
        <v>6238.0466047659793</v>
      </c>
      <c r="AJ93" s="85">
        <f t="shared" si="57"/>
        <v>10798.267681840807</v>
      </c>
      <c r="AK93" s="90">
        <f t="shared" si="58"/>
        <v>6238.0466047659793</v>
      </c>
      <c r="AM93" s="95">
        <f t="shared" si="21"/>
        <v>0</v>
      </c>
      <c r="AN93" s="95">
        <f t="shared" si="22"/>
        <v>0</v>
      </c>
      <c r="AO93" s="95">
        <f t="shared" si="23"/>
        <v>0</v>
      </c>
      <c r="AP93" s="95">
        <f t="shared" si="24"/>
        <v>0</v>
      </c>
      <c r="AQ93"/>
      <c r="AR93" s="95">
        <f t="shared" si="59"/>
        <v>0</v>
      </c>
      <c r="AS93" s="95">
        <f t="shared" si="60"/>
        <v>0</v>
      </c>
      <c r="AT93" s="95">
        <f>Geraetedaten!$B$94*ABS(SIN(RADIANS($A93)))</f>
        <v>124.58861713374191</v>
      </c>
      <c r="AU93" s="95">
        <f>Geraetedaten!$B$94*ABS(COS(RADIANS($A93)))</f>
        <v>90.518928853040862</v>
      </c>
      <c r="AV93" s="95">
        <f>((h_Aw_Sw+Geraetedaten!$B$18)/1000)*(AR93*AT93+AS93*AU93)/100</f>
        <v>0</v>
      </c>
      <c r="AX93" s="18">
        <f>(IF($X$19="ja",1,0))*Geraetedaten!$D$142*COS(RADIANS(2*A93))*(Geraetedaten!$B$154*r_K_D+r_K_SSw*F_SSw/10)/1000+Geraetedaten!$B$152</f>
        <v>594.79999999999995</v>
      </c>
      <c r="AY93" s="18">
        <f>(IF($X$19="ja",1,0))*Geraetedaten!$D$142*COS(RADIANS(2*A93))*(Geraetedaten!$B$157*r_K_D+r_K_SSw*F_SSw/10)/1000+Geraetedaten!$B$155</f>
        <v>537.4</v>
      </c>
      <c r="AZ93" s="201"/>
    </row>
    <row r="94" spans="1:52" ht="13.5" x14ac:dyDescent="0.25">
      <c r="A94" s="16">
        <v>55</v>
      </c>
      <c r="B94" s="16">
        <f t="shared" si="34"/>
        <v>395</v>
      </c>
      <c r="C94" s="19">
        <f t="shared" si="35"/>
        <v>69.232357792856249</v>
      </c>
      <c r="D94" s="17">
        <f t="shared" si="27"/>
        <v>-12974.164747792856</v>
      </c>
      <c r="E94" s="17">
        <f t="shared" si="36"/>
        <v>-14601.249887792856</v>
      </c>
      <c r="F94" s="17">
        <f t="shared" si="37"/>
        <v>12706.330632207144</v>
      </c>
      <c r="G94" s="17">
        <f t="shared" si="38"/>
        <v>16226.587852207143</v>
      </c>
      <c r="H94" s="17">
        <f t="shared" si="28"/>
        <v>12706.330632207144</v>
      </c>
      <c r="I94" s="17">
        <f t="shared" si="39"/>
        <v>5055.9834045501657</v>
      </c>
      <c r="J94" s="20">
        <f>(Geraetedaten!$B$152+(Geraetedaten!$B$153*(Geraetedaten!$B$18+d_y_Sw)/1000))*10</f>
        <v>6051.0442000000003</v>
      </c>
      <c r="K94" s="20">
        <f>(Geraetedaten!$B$165+(Geraetedaten!$B$166*(Geraetedaten!$B$18+d_y_Sw)/1000))*10</f>
        <v>10816.164000000001</v>
      </c>
      <c r="L94" s="20">
        <f>(Geraetedaten!$B$158+(Geraetedaten!$B$159*(Geraetedaten!$B$18+d_y_Sw)/1000)-(Geraetedaten!$B$160*I94/1000))*10</f>
        <v>230.78133694433609</v>
      </c>
      <c r="M94" s="20">
        <f>(Geraetedaten!$B$171+(Geraetedaten!$B$172*(Geraetedaten!$B$18+d_y_Sw)/1000)-(Geraetedaten!$B$173*I94/1000))*10</f>
        <v>688.4995953652865</v>
      </c>
      <c r="N94" s="20">
        <f>IF((H94-J94)/(K94-J94)*(Geraetedaten!$B$174-Geraetedaten!$B$161)&lt;Geraetedaten!$B$174,(H94-J94)/(K94-J94)*(Geraetedaten!$B$174-Geraetedaten!$B$161),Geraetedaten!$B$174)</f>
        <v>400</v>
      </c>
      <c r="O94" s="20">
        <f>N94/Geraetedaten!$B$174*(M94-L94)+L94+C94</f>
        <v>757.73195315814269</v>
      </c>
      <c r="P94" s="20">
        <f t="shared" si="29"/>
        <v>214.29567856351395</v>
      </c>
      <c r="Q94" s="20"/>
      <c r="R94" s="21">
        <f>(N94-Geraetedaten!$B$161)/(Geraetedaten!$B$174-Geraetedaten!$B$161)*(Geraetedaten!$B$175-Geraetedaten!$B$162)+Geraetedaten!$B$162</f>
        <v>41.1</v>
      </c>
      <c r="S94" s="21">
        <f t="shared" si="40"/>
        <v>41.1</v>
      </c>
      <c r="T94" s="21">
        <f t="shared" si="41"/>
        <v>33.667149020277563</v>
      </c>
      <c r="U94" s="88">
        <f t="shared" si="42"/>
        <v>23.573991534027996</v>
      </c>
      <c r="V94" s="86">
        <f t="shared" si="43"/>
        <v>-12904.93239</v>
      </c>
      <c r="W94" s="85">
        <f t="shared" si="44"/>
        <v>-4225.3239992296285</v>
      </c>
      <c r="X94" s="85">
        <f t="shared" si="45"/>
        <v>-5156.6069307252374</v>
      </c>
      <c r="Y94" s="90">
        <f t="shared" si="46"/>
        <v>4225.3239992296285</v>
      </c>
      <c r="Z94" s="86">
        <f t="shared" si="47"/>
        <v>-14532.017529999999</v>
      </c>
      <c r="AA94" s="85">
        <f t="shared" si="48"/>
        <v>-913.46204712425447</v>
      </c>
      <c r="AB94" s="85">
        <f t="shared" si="49"/>
        <v>-1509.9893626154503</v>
      </c>
      <c r="AC94" s="90">
        <f t="shared" si="50"/>
        <v>913.46204712425447</v>
      </c>
      <c r="AD94" s="86">
        <f t="shared" si="51"/>
        <v>12775.56299</v>
      </c>
      <c r="AE94" s="85">
        <f t="shared" si="52"/>
        <v>4140.4375383844126</v>
      </c>
      <c r="AF94" s="85">
        <f t="shared" si="53"/>
        <v>5055.9834045501657</v>
      </c>
      <c r="AG94" s="90">
        <f t="shared" si="54"/>
        <v>4140.4375383844126</v>
      </c>
      <c r="AH94" s="86">
        <f t="shared" si="55"/>
        <v>16295.82021</v>
      </c>
      <c r="AI94" s="85">
        <f t="shared" si="56"/>
        <v>6238.0466047659793</v>
      </c>
      <c r="AJ94" s="85">
        <f t="shared" si="57"/>
        <v>11073.011088526378</v>
      </c>
      <c r="AK94" s="90">
        <f t="shared" si="58"/>
        <v>6238.0466047659793</v>
      </c>
      <c r="AM94" s="95">
        <f t="shared" si="21"/>
        <v>0</v>
      </c>
      <c r="AN94" s="95">
        <f t="shared" si="22"/>
        <v>0</v>
      </c>
      <c r="AO94" s="95">
        <f t="shared" si="23"/>
        <v>0</v>
      </c>
      <c r="AP94" s="95">
        <f t="shared" si="24"/>
        <v>0</v>
      </c>
      <c r="AQ94"/>
      <c r="AR94" s="95">
        <f t="shared" si="59"/>
        <v>0</v>
      </c>
      <c r="AS94" s="95">
        <f t="shared" si="60"/>
        <v>0</v>
      </c>
      <c r="AT94" s="95">
        <f>Geraetedaten!$B$94*ABS(SIN(RADIANS($A94)))</f>
        <v>126.14941482050473</v>
      </c>
      <c r="AU94" s="95">
        <f>Geraetedaten!$B$94*ABS(COS(RADIANS($A94)))</f>
        <v>88.330771198061115</v>
      </c>
      <c r="AV94" s="95">
        <f>((h_Aw_Sw+Geraetedaten!$B$18)/1000)*(AR94*AT94+AS94*AU94)/100</f>
        <v>0</v>
      </c>
      <c r="AX94" s="18">
        <f>(IF($X$19="ja",1,0))*Geraetedaten!$D$142*COS(RADIANS(2*A94))*(Geraetedaten!$B$154*r_K_D+r_K_SSw*F_SSw/10)/1000+Geraetedaten!$B$152</f>
        <v>594.79999999999995</v>
      </c>
      <c r="AY94" s="18">
        <f>(IF($X$19="ja",1,0))*Geraetedaten!$D$142*COS(RADIANS(2*A94))*(Geraetedaten!$B$157*r_K_D+r_K_SSw*F_SSw/10)/1000+Geraetedaten!$B$155</f>
        <v>537.4</v>
      </c>
      <c r="AZ94" s="201"/>
    </row>
    <row r="95" spans="1:52" ht="13.5" x14ac:dyDescent="0.25">
      <c r="A95" s="16">
        <v>56</v>
      </c>
      <c r="B95" s="16">
        <f t="shared" si="34"/>
        <v>394</v>
      </c>
      <c r="C95" s="19">
        <f t="shared" si="35"/>
        <v>69.429822973858947</v>
      </c>
      <c r="D95" s="17">
        <f t="shared" si="27"/>
        <v>-12820.624172973859</v>
      </c>
      <c r="E95" s="17">
        <f t="shared" si="36"/>
        <v>-14945.443512973859</v>
      </c>
      <c r="F95" s="17">
        <f t="shared" si="37"/>
        <v>12553.663887026139</v>
      </c>
      <c r="G95" s="17">
        <f t="shared" si="38"/>
        <v>16657.062357026141</v>
      </c>
      <c r="H95" s="17">
        <f t="shared" si="28"/>
        <v>12553.663887026139</v>
      </c>
      <c r="I95" s="17">
        <f t="shared" si="39"/>
        <v>4995.6430351438257</v>
      </c>
      <c r="J95" s="20">
        <f>(Geraetedaten!$B$152+(Geraetedaten!$B$153*(Geraetedaten!$B$18+d_y_Sw)/1000))*10</f>
        <v>6051.0442000000003</v>
      </c>
      <c r="K95" s="20">
        <f>(Geraetedaten!$B$165+(Geraetedaten!$B$166*(Geraetedaten!$B$18+d_y_Sw)/1000))*10</f>
        <v>10816.164000000001</v>
      </c>
      <c r="L95" s="20">
        <f>(Geraetedaten!$B$158+(Geraetedaten!$B$159*(Geraetedaten!$B$18+d_y_Sw)/1000)-(Geraetedaten!$B$160*I95/1000))*10</f>
        <v>235.20609623290306</v>
      </c>
      <c r="M95" s="20">
        <f>(Geraetedaten!$B$171+(Geraetedaten!$B$172*(Geraetedaten!$B$18+d_y_Sw)/1000)-(Geraetedaten!$B$173*I95/1000))*10</f>
        <v>692.99133246389465</v>
      </c>
      <c r="N95" s="20">
        <f>IF((H95-J95)/(K95-J95)*(Geraetedaten!$B$174-Geraetedaten!$B$161)&lt;Geraetedaten!$B$174,(H95-J95)/(K95-J95)*(Geraetedaten!$B$174-Geraetedaten!$B$161),Geraetedaten!$B$174)</f>
        <v>400</v>
      </c>
      <c r="O95" s="20">
        <f>N95/Geraetedaten!$B$174*(M95-L95)+L95+C95</f>
        <v>762.42115543775355</v>
      </c>
      <c r="P95" s="20">
        <f t="shared" si="29"/>
        <v>215.26147742093329</v>
      </c>
      <c r="Q95" s="20"/>
      <c r="R95" s="21">
        <f>(N95-Geraetedaten!$B$161)/(Geraetedaten!$B$174-Geraetedaten!$B$161)*(Geraetedaten!$B$175-Geraetedaten!$B$162)+Geraetedaten!$B$162</f>
        <v>41.1</v>
      </c>
      <c r="S95" s="21">
        <f t="shared" si="40"/>
        <v>41.1</v>
      </c>
      <c r="T95" s="21">
        <f t="shared" si="41"/>
        <v>34.073444232012214</v>
      </c>
      <c r="U95" s="88">
        <f t="shared" si="42"/>
        <v>22.982828332647696</v>
      </c>
      <c r="V95" s="86">
        <f t="shared" si="43"/>
        <v>-12751.19435</v>
      </c>
      <c r="W95" s="85">
        <f t="shared" si="44"/>
        <v>-4225.3239992296285</v>
      </c>
      <c r="X95" s="85">
        <f t="shared" si="45"/>
        <v>-5095.1756438886741</v>
      </c>
      <c r="Y95" s="90">
        <f t="shared" si="46"/>
        <v>4225.3239992296285</v>
      </c>
      <c r="Z95" s="86">
        <f t="shared" si="47"/>
        <v>-14876.01369</v>
      </c>
      <c r="AA95" s="85">
        <f t="shared" si="48"/>
        <v>-913.46204712425447</v>
      </c>
      <c r="AB95" s="85">
        <f t="shared" si="49"/>
        <v>-1545.733232453131</v>
      </c>
      <c r="AC95" s="90">
        <f t="shared" si="50"/>
        <v>913.46204712425447</v>
      </c>
      <c r="AD95" s="86">
        <f t="shared" si="51"/>
        <v>12623.093709999999</v>
      </c>
      <c r="AE95" s="85">
        <f t="shared" si="52"/>
        <v>4140.4375383844126</v>
      </c>
      <c r="AF95" s="85">
        <f t="shared" si="53"/>
        <v>4995.6430351438257</v>
      </c>
      <c r="AG95" s="90">
        <f t="shared" si="54"/>
        <v>4140.4375383844126</v>
      </c>
      <c r="AH95" s="86">
        <f t="shared" si="55"/>
        <v>16726.492180000001</v>
      </c>
      <c r="AI95" s="85">
        <f t="shared" si="56"/>
        <v>6238.0466047659793</v>
      </c>
      <c r="AJ95" s="85">
        <f t="shared" si="57"/>
        <v>11365.652722670475</v>
      </c>
      <c r="AK95" s="90">
        <f t="shared" si="58"/>
        <v>6238.0466047659793</v>
      </c>
      <c r="AM95" s="95">
        <f t="shared" si="21"/>
        <v>0</v>
      </c>
      <c r="AN95" s="95">
        <f t="shared" si="22"/>
        <v>0</v>
      </c>
      <c r="AO95" s="95">
        <f t="shared" si="23"/>
        <v>0</v>
      </c>
      <c r="AP95" s="95">
        <f t="shared" si="24"/>
        <v>0</v>
      </c>
      <c r="AQ95"/>
      <c r="AR95" s="95">
        <f t="shared" si="59"/>
        <v>0</v>
      </c>
      <c r="AS95" s="95">
        <f t="shared" si="60"/>
        <v>0</v>
      </c>
      <c r="AT95" s="95">
        <f>Geraetedaten!$B$94*ABS(SIN(RADIANS($A95)))</f>
        <v>127.67178617347643</v>
      </c>
      <c r="AU95" s="95">
        <f>Geraetedaten!$B$94*ABS(COS(RADIANS($A95)))</f>
        <v>86.115707134495011</v>
      </c>
      <c r="AV95" s="95">
        <f>((h_Aw_Sw+Geraetedaten!$B$18)/1000)*(AR95*AT95+AS95*AU95)/100</f>
        <v>0</v>
      </c>
      <c r="AX95" s="18">
        <f>(IF($X$19="ja",1,0))*Geraetedaten!$D$142*COS(RADIANS(2*A95))*(Geraetedaten!$B$154*r_K_D+r_K_SSw*F_SSw/10)/1000+Geraetedaten!$B$152</f>
        <v>594.79999999999995</v>
      </c>
      <c r="AY95" s="18">
        <f>(IF($X$19="ja",1,0))*Geraetedaten!$D$142*COS(RADIANS(2*A95))*(Geraetedaten!$B$157*r_K_D+r_K_SSw*F_SSw/10)/1000+Geraetedaten!$B$155</f>
        <v>537.4</v>
      </c>
      <c r="AZ95" s="201"/>
    </row>
    <row r="96" spans="1:52" ht="13.5" x14ac:dyDescent="0.25">
      <c r="A96" s="16">
        <v>57</v>
      </c>
      <c r="B96" s="16">
        <f t="shared" si="34"/>
        <v>393</v>
      </c>
      <c r="C96" s="19">
        <f t="shared" si="35"/>
        <v>69.606139158202012</v>
      </c>
      <c r="D96" s="17">
        <f t="shared" si="27"/>
        <v>-12674.476699158202</v>
      </c>
      <c r="E96" s="17">
        <f t="shared" si="36"/>
        <v>-15311.051989158203</v>
      </c>
      <c r="F96" s="17">
        <f t="shared" si="37"/>
        <v>12408.370720841798</v>
      </c>
      <c r="G96" s="17">
        <f t="shared" si="38"/>
        <v>17116.316970841799</v>
      </c>
      <c r="H96" s="17">
        <f t="shared" si="28"/>
        <v>12408.370720841798</v>
      </c>
      <c r="I96" s="17">
        <f t="shared" si="39"/>
        <v>4938.2124246769554</v>
      </c>
      <c r="J96" s="20">
        <f>(Geraetedaten!$B$152+(Geraetedaten!$B$153*(Geraetedaten!$B$18+d_y_Sw)/1000))*10</f>
        <v>6051.0442000000003</v>
      </c>
      <c r="K96" s="20">
        <f>(Geraetedaten!$B$165+(Geraetedaten!$B$166*(Geraetedaten!$B$18+d_y_Sw)/1000))*10</f>
        <v>10816.164000000001</v>
      </c>
      <c r="L96" s="20">
        <f>(Geraetedaten!$B$158+(Geraetedaten!$B$159*(Geraetedaten!$B$18+d_y_Sw)/1000)-(Geraetedaten!$B$160*I96/1000))*10</f>
        <v>239.41748289843866</v>
      </c>
      <c r="M96" s="20">
        <f>(Geraetedaten!$B$171+(Geraetedaten!$B$172*(Geraetedaten!$B$18+d_y_Sw)/1000)-(Geraetedaten!$B$173*I96/1000))*10</f>
        <v>697.26646710704824</v>
      </c>
      <c r="N96" s="20">
        <f>IF((H96-J96)/(K96-J96)*(Geraetedaten!$B$174-Geraetedaten!$B$161)&lt;Geraetedaten!$B$174,(H96-J96)/(K96-J96)*(Geraetedaten!$B$174-Geraetedaten!$B$161),Geraetedaten!$B$174)</f>
        <v>400</v>
      </c>
      <c r="O96" s="20">
        <f>N96/Geraetedaten!$B$174*(M96-L96)+L96+C96</f>
        <v>766.87260626525028</v>
      </c>
      <c r="P96" s="20">
        <f t="shared" si="29"/>
        <v>216.17443192521961</v>
      </c>
      <c r="Q96" s="20"/>
      <c r="R96" s="21">
        <f>(N96-Geraetedaten!$B$161)/(Geraetedaten!$B$174-Geraetedaten!$B$161)*(Geraetedaten!$B$175-Geraetedaten!$B$162)+Geraetedaten!$B$162</f>
        <v>41.1</v>
      </c>
      <c r="S96" s="21">
        <f t="shared" si="40"/>
        <v>41.1</v>
      </c>
      <c r="T96" s="21">
        <f t="shared" si="41"/>
        <v>34.469360342556932</v>
      </c>
      <c r="U96" s="88">
        <f t="shared" si="42"/>
        <v>22.384664339117613</v>
      </c>
      <c r="V96" s="86">
        <f t="shared" si="43"/>
        <v>-12604.870559999999</v>
      </c>
      <c r="W96" s="85">
        <f t="shared" si="44"/>
        <v>-4225.3239992296285</v>
      </c>
      <c r="X96" s="85">
        <f t="shared" si="45"/>
        <v>-5036.7069696362187</v>
      </c>
      <c r="Y96" s="90">
        <f t="shared" si="46"/>
        <v>4225.3239992296285</v>
      </c>
      <c r="Z96" s="86">
        <f t="shared" si="47"/>
        <v>-15241.44585</v>
      </c>
      <c r="AA96" s="85">
        <f t="shared" si="48"/>
        <v>-913.46204712425447</v>
      </c>
      <c r="AB96" s="85">
        <f t="shared" si="49"/>
        <v>-1583.7044687965868</v>
      </c>
      <c r="AC96" s="90">
        <f t="shared" si="50"/>
        <v>913.46204712425447</v>
      </c>
      <c r="AD96" s="86">
        <f t="shared" si="51"/>
        <v>12477.976860000001</v>
      </c>
      <c r="AE96" s="85">
        <f t="shared" si="52"/>
        <v>4140.4375383844126</v>
      </c>
      <c r="AF96" s="85">
        <f t="shared" si="53"/>
        <v>4938.2124246769554</v>
      </c>
      <c r="AG96" s="90">
        <f t="shared" si="54"/>
        <v>4140.4375383844126</v>
      </c>
      <c r="AH96" s="86">
        <f t="shared" si="55"/>
        <v>17185.92311</v>
      </c>
      <c r="AI96" s="85">
        <f t="shared" si="56"/>
        <v>6238.0466047659793</v>
      </c>
      <c r="AJ96" s="85">
        <f t="shared" si="57"/>
        <v>11677.836077405327</v>
      </c>
      <c r="AK96" s="90">
        <f t="shared" si="58"/>
        <v>6238.0466047659793</v>
      </c>
      <c r="AM96" s="95">
        <f t="shared" si="21"/>
        <v>0</v>
      </c>
      <c r="AN96" s="95">
        <f t="shared" si="22"/>
        <v>0</v>
      </c>
      <c r="AO96" s="95">
        <f t="shared" si="23"/>
        <v>0</v>
      </c>
      <c r="AP96" s="95">
        <f t="shared" si="24"/>
        <v>0</v>
      </c>
      <c r="AQ96"/>
      <c r="AR96" s="95">
        <f t="shared" si="59"/>
        <v>0</v>
      </c>
      <c r="AS96" s="95">
        <f t="shared" si="60"/>
        <v>0</v>
      </c>
      <c r="AT96" s="95">
        <f>Geraetedaten!$B$94*ABS(SIN(RADIANS($A96)))</f>
        <v>129.15526746359529</v>
      </c>
      <c r="AU96" s="95">
        <f>Geraetedaten!$B$94*ABS(COS(RADIANS($A96)))</f>
        <v>83.874411392314173</v>
      </c>
      <c r="AV96" s="95">
        <f>((h_Aw_Sw+Geraetedaten!$B$18)/1000)*(AR96*AT96+AS96*AU96)/100</f>
        <v>0</v>
      </c>
      <c r="AX96" s="18">
        <f>(IF($X$19="ja",1,0))*Geraetedaten!$D$142*COS(RADIANS(2*A96))*(Geraetedaten!$B$154*r_K_D+r_K_SSw*F_SSw/10)/1000+Geraetedaten!$B$152</f>
        <v>594.79999999999995</v>
      </c>
      <c r="AY96" s="18">
        <f>(IF($X$19="ja",1,0))*Geraetedaten!$D$142*COS(RADIANS(2*A96))*(Geraetedaten!$B$157*r_K_D+r_K_SSw*F_SSw/10)/1000+Geraetedaten!$B$155</f>
        <v>537.4</v>
      </c>
      <c r="AZ96" s="201"/>
    </row>
    <row r="97" spans="1:52" ht="13.5" x14ac:dyDescent="0.25">
      <c r="A97" s="16">
        <v>58</v>
      </c>
      <c r="B97" s="16">
        <f t="shared" si="34"/>
        <v>392</v>
      </c>
      <c r="C97" s="19">
        <f t="shared" si="35"/>
        <v>69.761252638267678</v>
      </c>
      <c r="D97" s="17">
        <f t="shared" si="27"/>
        <v>-12535.382212638267</v>
      </c>
      <c r="E97" s="17">
        <f t="shared" si="36"/>
        <v>-15699.926232638267</v>
      </c>
      <c r="F97" s="17">
        <f t="shared" si="37"/>
        <v>12270.113527361733</v>
      </c>
      <c r="G97" s="17">
        <f t="shared" si="38"/>
        <v>17607.080837361729</v>
      </c>
      <c r="H97" s="17">
        <f t="shared" si="28"/>
        <v>12270.113527361733</v>
      </c>
      <c r="I97" s="17">
        <f t="shared" si="39"/>
        <v>4883.5579391932497</v>
      </c>
      <c r="J97" s="20">
        <f>(Geraetedaten!$B$152+(Geraetedaten!$B$153*(Geraetedaten!$B$18+d_y_Sw)/1000))*10</f>
        <v>6051.0442000000003</v>
      </c>
      <c r="K97" s="20">
        <f>(Geraetedaten!$B$165+(Geraetedaten!$B$166*(Geraetedaten!$B$18+d_y_Sw)/1000))*10</f>
        <v>10816.164000000001</v>
      </c>
      <c r="L97" s="20">
        <f>(Geraetedaten!$B$158+(Geraetedaten!$B$159*(Geraetedaten!$B$18+d_y_Sw)/1000)-(Geraetedaten!$B$160*I97/1000))*10</f>
        <v>243.42529631895877</v>
      </c>
      <c r="M97" s="20">
        <f>(Geraetedaten!$B$171+(Geraetedaten!$B$172*(Geraetedaten!$B$18+d_y_Sw)/1000)-(Geraetedaten!$B$173*I97/1000))*10</f>
        <v>701.33494700645542</v>
      </c>
      <c r="N97" s="20">
        <f>IF((H97-J97)/(K97-J97)*(Geraetedaten!$B$174-Geraetedaten!$B$161)&lt;Geraetedaten!$B$174,(H97-J97)/(K97-J97)*(Geraetedaten!$B$174-Geraetedaten!$B$161),Geraetedaten!$B$174)</f>
        <v>400</v>
      </c>
      <c r="O97" s="20">
        <f>N97/Geraetedaten!$B$174*(M97-L97)+L97+C97</f>
        <v>771.09619964472313</v>
      </c>
      <c r="P97" s="20">
        <f t="shared" si="29"/>
        <v>217.03699751385415</v>
      </c>
      <c r="Q97" s="20"/>
      <c r="R97" s="21">
        <f>(N97-Geraetedaten!$B$161)/(Geraetedaten!$B$174-Geraetedaten!$B$161)*(Geraetedaten!$B$175-Geraetedaten!$B$162)+Geraetedaten!$B$162</f>
        <v>41.1</v>
      </c>
      <c r="S97" s="21">
        <f t="shared" si="40"/>
        <v>41.1</v>
      </c>
      <c r="T97" s="21">
        <f t="shared" si="41"/>
        <v>34.85477675202911</v>
      </c>
      <c r="U97" s="88">
        <f t="shared" si="42"/>
        <v>21.779681759984722</v>
      </c>
      <c r="V97" s="86">
        <f t="shared" si="43"/>
        <v>-12465.62096</v>
      </c>
      <c r="W97" s="85">
        <f t="shared" si="44"/>
        <v>-4225.3239992296285</v>
      </c>
      <c r="X97" s="85">
        <f t="shared" si="45"/>
        <v>-4981.0650296917083</v>
      </c>
      <c r="Y97" s="90">
        <f t="shared" si="46"/>
        <v>4225.3239992296285</v>
      </c>
      <c r="Z97" s="86">
        <f t="shared" si="47"/>
        <v>-15630.16498</v>
      </c>
      <c r="AA97" s="85">
        <f t="shared" si="48"/>
        <v>-913.46204712425447</v>
      </c>
      <c r="AB97" s="85">
        <f t="shared" si="49"/>
        <v>-1624.0954022155302</v>
      </c>
      <c r="AC97" s="90">
        <f t="shared" si="50"/>
        <v>913.46204712425447</v>
      </c>
      <c r="AD97" s="86">
        <f t="shared" si="51"/>
        <v>12339.87478</v>
      </c>
      <c r="AE97" s="85">
        <f t="shared" si="52"/>
        <v>4140.4375383844126</v>
      </c>
      <c r="AF97" s="85">
        <f t="shared" si="53"/>
        <v>4883.5579391932497</v>
      </c>
      <c r="AG97" s="90">
        <f t="shared" si="54"/>
        <v>4140.4375383844126</v>
      </c>
      <c r="AH97" s="86">
        <f t="shared" si="55"/>
        <v>17676.842089999998</v>
      </c>
      <c r="AI97" s="85">
        <f t="shared" si="56"/>
        <v>6238.0466047659793</v>
      </c>
      <c r="AJ97" s="85">
        <f t="shared" si="57"/>
        <v>12011.415562423434</v>
      </c>
      <c r="AK97" s="90">
        <f t="shared" si="58"/>
        <v>6238.0466047659793</v>
      </c>
      <c r="AM97" s="95">
        <f t="shared" si="21"/>
        <v>0</v>
      </c>
      <c r="AN97" s="95">
        <f t="shared" si="22"/>
        <v>0</v>
      </c>
      <c r="AO97" s="95">
        <f t="shared" si="23"/>
        <v>0</v>
      </c>
      <c r="AP97" s="95">
        <f t="shared" si="24"/>
        <v>0</v>
      </c>
      <c r="AQ97"/>
      <c r="AR97" s="95">
        <f t="shared" si="59"/>
        <v>0</v>
      </c>
      <c r="AS97" s="95">
        <f t="shared" si="60"/>
        <v>0</v>
      </c>
      <c r="AT97" s="95">
        <f>Geraetedaten!$B$94*ABS(SIN(RADIANS($A97)))</f>
        <v>130.59940680808961</v>
      </c>
      <c r="AU97" s="95">
        <f>Geraetedaten!$B$94*ABS(COS(RADIANS($A97)))</f>
        <v>81.607566691913561</v>
      </c>
      <c r="AV97" s="95">
        <f>((h_Aw_Sw+Geraetedaten!$B$18)/1000)*(AR97*AT97+AS97*AU97)/100</f>
        <v>0</v>
      </c>
      <c r="AX97" s="18">
        <f>(IF($X$19="ja",1,0))*Geraetedaten!$D$142*COS(RADIANS(2*A97))*(Geraetedaten!$B$154*r_K_D+r_K_SSw*F_SSw/10)/1000+Geraetedaten!$B$152</f>
        <v>594.79999999999995</v>
      </c>
      <c r="AY97" s="18">
        <f>(IF($X$19="ja",1,0))*Geraetedaten!$D$142*COS(RADIANS(2*A97))*(Geraetedaten!$B$157*r_K_D+r_K_SSw*F_SSw/10)/1000+Geraetedaten!$B$155</f>
        <v>537.4</v>
      </c>
      <c r="AZ97" s="201"/>
    </row>
    <row r="98" spans="1:52" ht="13.5" x14ac:dyDescent="0.25">
      <c r="A98" s="16">
        <v>59</v>
      </c>
      <c r="B98" s="16">
        <f t="shared" si="34"/>
        <v>391</v>
      </c>
      <c r="C98" s="19">
        <f t="shared" si="35"/>
        <v>69.895116164987314</v>
      </c>
      <c r="D98" s="17">
        <f t="shared" si="27"/>
        <v>-12403.025256164987</v>
      </c>
      <c r="E98" s="17">
        <f t="shared" si="36"/>
        <v>-16114.141136164988</v>
      </c>
      <c r="F98" s="17">
        <f t="shared" si="37"/>
        <v>12138.579163835013</v>
      </c>
      <c r="G98" s="17">
        <f t="shared" si="38"/>
        <v>18132.444693835016</v>
      </c>
      <c r="H98" s="17">
        <f t="shared" si="28"/>
        <v>12138.579163835013</v>
      </c>
      <c r="I98" s="17">
        <f t="shared" si="39"/>
        <v>4831.5556340890525</v>
      </c>
      <c r="J98" s="20">
        <f>(Geraetedaten!$B$152+(Geraetedaten!$B$153*(Geraetedaten!$B$18+d_y_Sw)/1000))*10</f>
        <v>6051.0442000000003</v>
      </c>
      <c r="K98" s="20">
        <f>(Geraetedaten!$B$165+(Geraetedaten!$B$166*(Geraetedaten!$B$18+d_y_Sw)/1000))*10</f>
        <v>10816.164000000001</v>
      </c>
      <c r="L98" s="20">
        <f>(Geraetedaten!$B$158+(Geraetedaten!$B$159*(Geraetedaten!$B$18+d_y_Sw)/1000)-(Geraetedaten!$B$160*I98/1000))*10</f>
        <v>247.23862535224958</v>
      </c>
      <c r="M98" s="20">
        <f>(Geraetedaten!$B$171+(Geraetedaten!$B$172*(Geraetedaten!$B$18+d_y_Sw)/1000)-(Geraetedaten!$B$173*I98/1000))*10</f>
        <v>705.20599859841184</v>
      </c>
      <c r="N98" s="20">
        <f>IF((H98-J98)/(K98-J98)*(Geraetedaten!$B$174-Geraetedaten!$B$161)&lt;Geraetedaten!$B$174,(H98-J98)/(K98-J98)*(Geraetedaten!$B$174-Geraetedaten!$B$161),Geraetedaten!$B$174)</f>
        <v>400</v>
      </c>
      <c r="O98" s="20">
        <f>N98/Geraetedaten!$B$174*(M98-L98)+L98+C98</f>
        <v>775.10111476339921</v>
      </c>
      <c r="P98" s="20">
        <f t="shared" si="29"/>
        <v>217.85143549632511</v>
      </c>
      <c r="Q98" s="20"/>
      <c r="R98" s="21">
        <f>(N98-Geraetedaten!$B$161)/(Geraetedaten!$B$174-Geraetedaten!$B$161)*(Geraetedaten!$B$175-Geraetedaten!$B$162)+Geraetedaten!$B$162</f>
        <v>41.1</v>
      </c>
      <c r="S98" s="21">
        <f t="shared" si="40"/>
        <v>41.1</v>
      </c>
      <c r="T98" s="21">
        <f t="shared" si="41"/>
        <v>35.229576058856821</v>
      </c>
      <c r="U98" s="88">
        <f t="shared" si="42"/>
        <v>21.168064878803225</v>
      </c>
      <c r="V98" s="86">
        <f t="shared" si="43"/>
        <v>-12333.130139999999</v>
      </c>
      <c r="W98" s="85">
        <f t="shared" si="44"/>
        <v>-4225.3239992296285</v>
      </c>
      <c r="X98" s="85">
        <f t="shared" si="45"/>
        <v>-4928.1237933449775</v>
      </c>
      <c r="Y98" s="90">
        <f t="shared" si="46"/>
        <v>4225.3239992296285</v>
      </c>
      <c r="Z98" s="86">
        <f t="shared" si="47"/>
        <v>-16044.24602</v>
      </c>
      <c r="AA98" s="85">
        <f t="shared" si="48"/>
        <v>-913.46204712425447</v>
      </c>
      <c r="AB98" s="85">
        <f t="shared" si="49"/>
        <v>-1667.1216355473819</v>
      </c>
      <c r="AC98" s="90">
        <f t="shared" si="50"/>
        <v>913.46204712425447</v>
      </c>
      <c r="AD98" s="86">
        <f t="shared" si="51"/>
        <v>12208.47428</v>
      </c>
      <c r="AE98" s="85">
        <f t="shared" si="52"/>
        <v>4140.4375383844126</v>
      </c>
      <c r="AF98" s="85">
        <f t="shared" si="53"/>
        <v>4831.5556340890525</v>
      </c>
      <c r="AG98" s="90">
        <f t="shared" si="54"/>
        <v>4140.4375383844126</v>
      </c>
      <c r="AH98" s="86">
        <f t="shared" si="55"/>
        <v>18202.339810000001</v>
      </c>
      <c r="AI98" s="85">
        <f t="shared" si="56"/>
        <v>6238.0466047659793</v>
      </c>
      <c r="AJ98" s="85">
        <f t="shared" si="57"/>
        <v>12368.491300196094</v>
      </c>
      <c r="AK98" s="90">
        <f t="shared" si="58"/>
        <v>6238.0466047659793</v>
      </c>
      <c r="AM98" s="95">
        <f t="shared" si="21"/>
        <v>0</v>
      </c>
      <c r="AN98" s="95">
        <f t="shared" si="22"/>
        <v>0</v>
      </c>
      <c r="AO98" s="95">
        <f t="shared" si="23"/>
        <v>0</v>
      </c>
      <c r="AP98" s="95">
        <f t="shared" si="24"/>
        <v>0</v>
      </c>
      <c r="AQ98"/>
      <c r="AR98" s="95">
        <f t="shared" si="59"/>
        <v>0</v>
      </c>
      <c r="AS98" s="95">
        <f t="shared" si="60"/>
        <v>0</v>
      </c>
      <c r="AT98" s="95">
        <f>Geraetedaten!$B$94*ABS(SIN(RADIANS($A98)))</f>
        <v>132.00376430812531</v>
      </c>
      <c r="AU98" s="95">
        <f>Geraetedaten!$B$94*ABS(COS(RADIANS($A98)))</f>
        <v>79.315863536148342</v>
      </c>
      <c r="AV98" s="95">
        <f>((h_Aw_Sw+Geraetedaten!$B$18)/1000)*(AR98*AT98+AS98*AU98)/100</f>
        <v>0</v>
      </c>
      <c r="AX98" s="18">
        <f>(IF($X$19="ja",1,0))*Geraetedaten!$D$142*COS(RADIANS(2*A98))*(Geraetedaten!$B$154*r_K_D+r_K_SSw*F_SSw/10)/1000+Geraetedaten!$B$152</f>
        <v>594.79999999999995</v>
      </c>
      <c r="AY98" s="18">
        <f>(IF($X$19="ja",1,0))*Geraetedaten!$D$142*COS(RADIANS(2*A98))*(Geraetedaten!$B$157*r_K_D+r_K_SSw*F_SSw/10)/1000+Geraetedaten!$B$155</f>
        <v>537.4</v>
      </c>
      <c r="AZ98" s="201"/>
    </row>
    <row r="99" spans="1:52" ht="13.5" x14ac:dyDescent="0.25">
      <c r="A99" s="16">
        <v>60</v>
      </c>
      <c r="B99" s="16">
        <f t="shared" si="34"/>
        <v>390</v>
      </c>
      <c r="C99" s="19">
        <f t="shared" si="35"/>
        <v>70.007688962233885</v>
      </c>
      <c r="D99" s="17">
        <f t="shared" si="27"/>
        <v>-12277.113038962234</v>
      </c>
      <c r="E99" s="17">
        <f t="shared" si="36"/>
        <v>-16556.030308962232</v>
      </c>
      <c r="F99" s="17">
        <f t="shared" si="37"/>
        <v>12013.477001037765</v>
      </c>
      <c r="G99" s="17">
        <f t="shared" si="38"/>
        <v>18695.922561037769</v>
      </c>
      <c r="H99" s="17">
        <f t="shared" si="28"/>
        <v>12013.477001037765</v>
      </c>
      <c r="I99" s="17">
        <f t="shared" si="39"/>
        <v>4782.0904709672732</v>
      </c>
      <c r="J99" s="20">
        <f>(Geraetedaten!$B$152+(Geraetedaten!$B$153*(Geraetedaten!$B$18+d_y_Sw)/1000))*10</f>
        <v>6051.0442000000003</v>
      </c>
      <c r="K99" s="20">
        <f>(Geraetedaten!$B$165+(Geraetedaten!$B$166*(Geraetedaten!$B$18+d_y_Sw)/1000))*10</f>
        <v>10816.164000000001</v>
      </c>
      <c r="L99" s="20">
        <f>(Geraetedaten!$B$158+(Geraetedaten!$B$159*(Geraetedaten!$B$18+d_y_Sw)/1000)-(Geraetedaten!$B$160*I99/1000))*10</f>
        <v>250.86590576396972</v>
      </c>
      <c r="M99" s="20">
        <f>(Geraetedaten!$B$171+(Geraetedaten!$B$172*(Geraetedaten!$B$18+d_y_Sw)/1000)-(Geraetedaten!$B$173*I99/1000))*10</f>
        <v>708.88818534119707</v>
      </c>
      <c r="N99" s="20">
        <f>IF((H99-J99)/(K99-J99)*(Geraetedaten!$B$174-Geraetedaten!$B$161)&lt;Geraetedaten!$B$174,(H99-J99)/(K99-J99)*(Geraetedaten!$B$174-Geraetedaten!$B$161),Geraetedaten!$B$174)</f>
        <v>400</v>
      </c>
      <c r="O99" s="20">
        <f>N99/Geraetedaten!$B$174*(M99-L99)+L99+C99</f>
        <v>778.8958743034309</v>
      </c>
      <c r="P99" s="20">
        <f t="shared" si="29"/>
        <v>218.61983069547949</v>
      </c>
      <c r="Q99" s="20"/>
      <c r="R99" s="21">
        <f>(N99-Geraetedaten!$B$161)/(Geraetedaten!$B$174-Geraetedaten!$B$161)*(Geraetedaten!$B$175-Geraetedaten!$B$162)+Geraetedaten!$B$162</f>
        <v>41.1</v>
      </c>
      <c r="S99" s="21">
        <f t="shared" si="40"/>
        <v>41.1</v>
      </c>
      <c r="T99" s="21">
        <f t="shared" si="41"/>
        <v>35.593644095540427</v>
      </c>
      <c r="U99" s="88">
        <f t="shared" si="42"/>
        <v>20.550000000000004</v>
      </c>
      <c r="V99" s="86">
        <f t="shared" si="43"/>
        <v>-12207.10535</v>
      </c>
      <c r="W99" s="85">
        <f t="shared" si="44"/>
        <v>-4225.3239992296285</v>
      </c>
      <c r="X99" s="85">
        <f t="shared" si="45"/>
        <v>-4877.7662823200035</v>
      </c>
      <c r="Y99" s="90">
        <f t="shared" si="46"/>
        <v>4225.3239992296285</v>
      </c>
      <c r="Z99" s="86">
        <f t="shared" si="47"/>
        <v>-16486.02262</v>
      </c>
      <c r="AA99" s="85">
        <f t="shared" si="48"/>
        <v>-913.46204712425447</v>
      </c>
      <c r="AB99" s="85">
        <f t="shared" si="49"/>
        <v>-1713.0256514670471</v>
      </c>
      <c r="AC99" s="90">
        <f t="shared" si="50"/>
        <v>913.46204712425447</v>
      </c>
      <c r="AD99" s="86">
        <f t="shared" si="51"/>
        <v>12083.484689999999</v>
      </c>
      <c r="AE99" s="85">
        <f t="shared" si="52"/>
        <v>4140.4375383844126</v>
      </c>
      <c r="AF99" s="85">
        <f t="shared" si="53"/>
        <v>4782.0904709672732</v>
      </c>
      <c r="AG99" s="90">
        <f t="shared" si="54"/>
        <v>4140.4375383844126</v>
      </c>
      <c r="AH99" s="86">
        <f t="shared" si="55"/>
        <v>18765.930250000001</v>
      </c>
      <c r="AI99" s="85">
        <f t="shared" si="56"/>
        <v>6238.0466047659793</v>
      </c>
      <c r="AJ99" s="85">
        <f t="shared" si="57"/>
        <v>12751.451051671136</v>
      </c>
      <c r="AK99" s="90">
        <f t="shared" si="58"/>
        <v>6238.0466047659793</v>
      </c>
      <c r="AM99" s="95">
        <f t="shared" si="21"/>
        <v>0</v>
      </c>
      <c r="AN99" s="95">
        <f t="shared" si="22"/>
        <v>0</v>
      </c>
      <c r="AO99" s="95">
        <f t="shared" si="23"/>
        <v>0</v>
      </c>
      <c r="AP99" s="95">
        <f t="shared" si="24"/>
        <v>0</v>
      </c>
      <c r="AQ99"/>
      <c r="AR99" s="95">
        <f t="shared" si="59"/>
        <v>0</v>
      </c>
      <c r="AS99" s="95">
        <f t="shared" si="60"/>
        <v>0</v>
      </c>
      <c r="AT99" s="95">
        <f>Geraetedaten!$B$94*ABS(SIN(RADIANS($A99)))</f>
        <v>133.36791218280354</v>
      </c>
      <c r="AU99" s="95">
        <f>Geraetedaten!$B$94*ABS(COS(RADIANS($A99)))</f>
        <v>77.000000000000014</v>
      </c>
      <c r="AV99" s="95">
        <f>((h_Aw_Sw+Geraetedaten!$B$18)/1000)*(AR99*AT99+AS99*AU99)/100</f>
        <v>0</v>
      </c>
      <c r="AX99" s="18">
        <f>(IF($X$19="ja",1,0))*Geraetedaten!$D$142*COS(RADIANS(2*A99))*(Geraetedaten!$B$154*r_K_D+r_K_SSw*F_SSw/10)/1000+Geraetedaten!$B$152</f>
        <v>594.79999999999995</v>
      </c>
      <c r="AY99" s="18">
        <f>(IF($X$19="ja",1,0))*Geraetedaten!$D$142*COS(RADIANS(2*A99))*(Geraetedaten!$B$157*r_K_D+r_K_SSw*F_SSw/10)/1000+Geraetedaten!$B$155</f>
        <v>537.4</v>
      </c>
      <c r="AZ99" s="201"/>
    </row>
    <row r="100" spans="1:52" ht="13.5" x14ac:dyDescent="0.25">
      <c r="A100" s="16">
        <v>61</v>
      </c>
      <c r="B100" s="16">
        <f t="shared" si="34"/>
        <v>389</v>
      </c>
      <c r="C100" s="19">
        <f t="shared" si="35"/>
        <v>70.098936739242845</v>
      </c>
      <c r="D100" s="17">
        <f t="shared" si="27"/>
        <v>-12157.373656739243</v>
      </c>
      <c r="E100" s="17">
        <f t="shared" si="36"/>
        <v>-17028.227426739242</v>
      </c>
      <c r="F100" s="17">
        <f t="shared" si="37"/>
        <v>11894.537103260756</v>
      </c>
      <c r="G100" s="17">
        <f t="shared" si="38"/>
        <v>19301.526593260758</v>
      </c>
      <c r="H100" s="17">
        <f t="shared" si="28"/>
        <v>11894.537103260756</v>
      </c>
      <c r="I100" s="17">
        <f t="shared" si="39"/>
        <v>4735.0556128115431</v>
      </c>
      <c r="J100" s="20">
        <f>(Geraetedaten!$B$152+(Geraetedaten!$B$153*(Geraetedaten!$B$18+d_y_Sw)/1000))*10</f>
        <v>6051.0442000000003</v>
      </c>
      <c r="K100" s="20">
        <f>(Geraetedaten!$B$165+(Geraetedaten!$B$166*(Geraetedaten!$B$18+d_y_Sw)/1000))*10</f>
        <v>10816.164000000001</v>
      </c>
      <c r="L100" s="20">
        <f>(Geraetedaten!$B$158+(Geraetedaten!$B$159*(Geraetedaten!$B$18+d_y_Sw)/1000)-(Geraetedaten!$B$160*I100/1000))*10</f>
        <v>254.31497191252936</v>
      </c>
      <c r="M100" s="20">
        <f>(Geraetedaten!$B$171+(Geraetedaten!$B$172*(Geraetedaten!$B$18+d_y_Sw)/1000)-(Geraetedaten!$B$173*I100/1000))*10</f>
        <v>712.38946018230968</v>
      </c>
      <c r="N100" s="20">
        <f>IF((H100-J100)/(K100-J100)*(Geraetedaten!$B$174-Geraetedaten!$B$161)&lt;Geraetedaten!$B$174,(H100-J100)/(K100-J100)*(Geraetedaten!$B$174-Geraetedaten!$B$161),Geraetedaten!$B$174)</f>
        <v>400</v>
      </c>
      <c r="O100" s="20">
        <f>N100/Geraetedaten!$B$174*(M100-L100)+L100+C100</f>
        <v>782.48839692155252</v>
      </c>
      <c r="P100" s="20">
        <f t="shared" si="29"/>
        <v>219.34410714869503</v>
      </c>
      <c r="Q100" s="20"/>
      <c r="R100" s="21">
        <f>(N100-Geraetedaten!$B$161)/(Geraetedaten!$B$174-Geraetedaten!$B$161)*(Geraetedaten!$B$175-Geraetedaten!$B$162)+Geraetedaten!$B$162</f>
        <v>41.1</v>
      </c>
      <c r="S100" s="21">
        <f t="shared" si="40"/>
        <v>41.1</v>
      </c>
      <c r="T100" s="21">
        <f t="shared" si="41"/>
        <v>35.946869963429165</v>
      </c>
      <c r="U100" s="88">
        <f t="shared" si="42"/>
        <v>19.925675392124457</v>
      </c>
      <c r="V100" s="86">
        <f t="shared" si="43"/>
        <v>-12087.274719999999</v>
      </c>
      <c r="W100" s="85">
        <f t="shared" si="44"/>
        <v>-4225.3239992296285</v>
      </c>
      <c r="X100" s="85">
        <f t="shared" si="45"/>
        <v>-4829.8838551093068</v>
      </c>
      <c r="Y100" s="90">
        <f t="shared" si="46"/>
        <v>4225.3239992296285</v>
      </c>
      <c r="Z100" s="86">
        <f t="shared" si="47"/>
        <v>-16958.128489999999</v>
      </c>
      <c r="AA100" s="85">
        <f t="shared" si="48"/>
        <v>-913.46204712425447</v>
      </c>
      <c r="AB100" s="85">
        <f t="shared" si="49"/>
        <v>-1762.0811134301744</v>
      </c>
      <c r="AC100" s="90">
        <f t="shared" si="50"/>
        <v>913.46204712425447</v>
      </c>
      <c r="AD100" s="86">
        <f t="shared" si="51"/>
        <v>11964.636039999999</v>
      </c>
      <c r="AE100" s="85">
        <f t="shared" si="52"/>
        <v>4140.4375383844126</v>
      </c>
      <c r="AF100" s="85">
        <f t="shared" si="53"/>
        <v>4735.0556128115431</v>
      </c>
      <c r="AG100" s="90">
        <f t="shared" si="54"/>
        <v>4140.4375383844126</v>
      </c>
      <c r="AH100" s="86">
        <f t="shared" si="55"/>
        <v>19371.625530000001</v>
      </c>
      <c r="AI100" s="85">
        <f t="shared" si="56"/>
        <v>6238.0466047659793</v>
      </c>
      <c r="AJ100" s="85">
        <f t="shared" si="57"/>
        <v>13163.021035614391</v>
      </c>
      <c r="AK100" s="90">
        <f t="shared" si="58"/>
        <v>6238.0466047659793</v>
      </c>
      <c r="AM100" s="95">
        <f t="shared" si="21"/>
        <v>0</v>
      </c>
      <c r="AN100" s="95">
        <f t="shared" si="22"/>
        <v>0</v>
      </c>
      <c r="AO100" s="95">
        <f t="shared" si="23"/>
        <v>0</v>
      </c>
      <c r="AP100" s="95">
        <f t="shared" si="24"/>
        <v>0</v>
      </c>
      <c r="AQ100"/>
      <c r="AR100" s="95">
        <f t="shared" si="59"/>
        <v>0</v>
      </c>
      <c r="AS100" s="95">
        <f t="shared" si="60"/>
        <v>0</v>
      </c>
      <c r="AT100" s="95">
        <f>Geraetedaten!$B$94*ABS(SIN(RADIANS($A100)))</f>
        <v>134.69143489946694</v>
      </c>
      <c r="AU100" s="95">
        <f>Geraetedaten!$B$94*ABS(COS(RADIANS($A100)))</f>
        <v>74.660681517935913</v>
      </c>
      <c r="AV100" s="95">
        <f>((h_Aw_Sw+Geraetedaten!$B$18)/1000)*(AR100*AT100+AS100*AU100)/100</f>
        <v>0</v>
      </c>
      <c r="AX100" s="18">
        <f>(IF($X$19="ja",1,0))*Geraetedaten!$D$142*COS(RADIANS(2*A100))*(Geraetedaten!$B$154*r_K_D+r_K_SSw*F_SSw/10)/1000+Geraetedaten!$B$152</f>
        <v>594.79999999999995</v>
      </c>
      <c r="AY100" s="18">
        <f>(IF($X$19="ja",1,0))*Geraetedaten!$D$142*COS(RADIANS(2*A100))*(Geraetedaten!$B$157*r_K_D+r_K_SSw*F_SSw/10)/1000+Geraetedaten!$B$155</f>
        <v>537.4</v>
      </c>
      <c r="AZ100" s="201"/>
    </row>
    <row r="101" spans="1:52" ht="13.5" x14ac:dyDescent="0.25">
      <c r="A101" s="16">
        <v>62</v>
      </c>
      <c r="B101" s="16">
        <f t="shared" si="34"/>
        <v>388</v>
      </c>
      <c r="C101" s="19">
        <f t="shared" si="35"/>
        <v>70.1688317010574</v>
      </c>
      <c r="D101" s="17">
        <f t="shared" si="27"/>
        <v>-12043.554421701057</v>
      </c>
      <c r="E101" s="17">
        <f t="shared" si="36"/>
        <v>-17533.715851701058</v>
      </c>
      <c r="F101" s="17">
        <f t="shared" si="37"/>
        <v>11781.508668298942</v>
      </c>
      <c r="G101" s="17">
        <f t="shared" si="38"/>
        <v>19953.858218298945</v>
      </c>
      <c r="H101" s="17">
        <f t="shared" si="28"/>
        <v>11781.508668298942</v>
      </c>
      <c r="I101" s="17">
        <f t="shared" si="39"/>
        <v>4690.3517887073494</v>
      </c>
      <c r="J101" s="20">
        <f>(Geraetedaten!$B$152+(Geraetedaten!$B$153*(Geraetedaten!$B$18+d_y_Sw)/1000))*10</f>
        <v>6051.0442000000003</v>
      </c>
      <c r="K101" s="20">
        <f>(Geraetedaten!$B$165+(Geraetedaten!$B$166*(Geraetedaten!$B$18+d_y_Sw)/1000))*10</f>
        <v>10816.164000000001</v>
      </c>
      <c r="L101" s="20">
        <f>(Geraetedaten!$B$158+(Geraetedaten!$B$159*(Geraetedaten!$B$18+d_y_Sw)/1000)-(Geraetedaten!$B$160*I101/1000))*10</f>
        <v>257.5931033340899</v>
      </c>
      <c r="M101" s="20">
        <f>(Geraetedaten!$B$171+(Geraetedaten!$B$172*(Geraetedaten!$B$18+d_y_Sw)/1000)-(Geraetedaten!$B$173*I101/1000))*10</f>
        <v>715.71721284862576</v>
      </c>
      <c r="N101" s="20">
        <f>IF((H101-J101)/(K101-J101)*(Geraetedaten!$B$174-Geraetedaten!$B$161)&lt;Geraetedaten!$B$174,(H101-J101)/(K101-J101)*(Geraetedaten!$B$174-Geraetedaten!$B$161),Geraetedaten!$B$174)</f>
        <v>400</v>
      </c>
      <c r="O101" s="20">
        <f>N101/Geraetedaten!$B$174*(M101-L101)+L101+C101</f>
        <v>785.88604454968322</v>
      </c>
      <c r="P101" s="20">
        <f t="shared" si="29"/>
        <v>220.02604210913449</v>
      </c>
      <c r="Q101" s="20"/>
      <c r="R101" s="21">
        <f>(N101-Geraetedaten!$B$161)/(Geraetedaten!$B$174-Geraetedaten!$B$161)*(Geraetedaten!$B$175-Geraetedaten!$B$162)+Geraetedaten!$B$162</f>
        <v>41.1</v>
      </c>
      <c r="S101" s="21">
        <f t="shared" si="40"/>
        <v>41.1</v>
      </c>
      <c r="T101" s="21">
        <f t="shared" si="41"/>
        <v>36.289146066501893</v>
      </c>
      <c r="U101" s="88">
        <f t="shared" si="42"/>
        <v>19.295281230500116</v>
      </c>
      <c r="V101" s="86">
        <f t="shared" si="43"/>
        <v>-11973.38559</v>
      </c>
      <c r="W101" s="85">
        <f t="shared" si="44"/>
        <v>-4225.3239992296285</v>
      </c>
      <c r="X101" s="85">
        <f t="shared" si="45"/>
        <v>-4784.375561880548</v>
      </c>
      <c r="Y101" s="90">
        <f t="shared" si="46"/>
        <v>4225.3239992296285</v>
      </c>
      <c r="Z101" s="86">
        <f t="shared" si="47"/>
        <v>-17463.547020000002</v>
      </c>
      <c r="AA101" s="85">
        <f t="shared" si="48"/>
        <v>-913.46204712425447</v>
      </c>
      <c r="AB101" s="85">
        <f t="shared" si="49"/>
        <v>-1814.5980205657704</v>
      </c>
      <c r="AC101" s="90">
        <f t="shared" si="50"/>
        <v>913.46204712425447</v>
      </c>
      <c r="AD101" s="86">
        <f t="shared" si="51"/>
        <v>11851.6775</v>
      </c>
      <c r="AE101" s="85">
        <f t="shared" si="52"/>
        <v>4140.4375383844126</v>
      </c>
      <c r="AF101" s="85">
        <f t="shared" si="53"/>
        <v>4690.3517887073494</v>
      </c>
      <c r="AG101" s="90">
        <f t="shared" si="54"/>
        <v>4140.4375383844126</v>
      </c>
      <c r="AH101" s="86">
        <f t="shared" si="55"/>
        <v>20024.027050000001</v>
      </c>
      <c r="AI101" s="85">
        <f t="shared" si="56"/>
        <v>6238.0466047659793</v>
      </c>
      <c r="AJ101" s="85">
        <f t="shared" si="57"/>
        <v>13606.327922956996</v>
      </c>
      <c r="AK101" s="90">
        <f t="shared" si="58"/>
        <v>6238.0466047659793</v>
      </c>
      <c r="AM101" s="95">
        <f t="shared" si="21"/>
        <v>0</v>
      </c>
      <c r="AN101" s="95">
        <f t="shared" si="22"/>
        <v>0</v>
      </c>
      <c r="AO101" s="95">
        <f t="shared" si="23"/>
        <v>0</v>
      </c>
      <c r="AP101" s="95">
        <f t="shared" si="24"/>
        <v>0</v>
      </c>
      <c r="AQ101"/>
      <c r="AR101" s="95">
        <f t="shared" si="59"/>
        <v>0</v>
      </c>
      <c r="AS101" s="95">
        <f t="shared" si="60"/>
        <v>0</v>
      </c>
      <c r="AT101" s="95">
        <f>Geraetedaten!$B$94*ABS(SIN(RADIANS($A101)))</f>
        <v>135.97392930027473</v>
      </c>
      <c r="AU101" s="95">
        <f>Geraetedaten!$B$94*ABS(COS(RADIANS($A101)))</f>
        <v>72.298620669027187</v>
      </c>
      <c r="AV101" s="95">
        <f>((h_Aw_Sw+Geraetedaten!$B$18)/1000)*(AR101*AT101+AS101*AU101)/100</f>
        <v>0</v>
      </c>
      <c r="AX101" s="18">
        <f>(IF($X$19="ja",1,0))*Geraetedaten!$D$142*COS(RADIANS(2*A101))*(Geraetedaten!$B$154*r_K_D+r_K_SSw*F_SSw/10)/1000+Geraetedaten!$B$152</f>
        <v>594.79999999999995</v>
      </c>
      <c r="AY101" s="18">
        <f>(IF($X$19="ja",1,0))*Geraetedaten!$D$142*COS(RADIANS(2*A101))*(Geraetedaten!$B$157*r_K_D+r_K_SSw*F_SSw/10)/1000+Geraetedaten!$B$155</f>
        <v>537.4</v>
      </c>
      <c r="AZ101" s="201"/>
    </row>
    <row r="102" spans="1:52" ht="13.5" x14ac:dyDescent="0.25">
      <c r="A102" s="16">
        <v>63</v>
      </c>
      <c r="B102" s="16">
        <f t="shared" si="34"/>
        <v>387</v>
      </c>
      <c r="C102" s="19">
        <f t="shared" si="35"/>
        <v>70.217352556995067</v>
      </c>
      <c r="D102" s="17">
        <f t="shared" si="27"/>
        <v>-11935.420492556994</v>
      </c>
      <c r="E102" s="17">
        <f t="shared" si="36"/>
        <v>-18075.888482556995</v>
      </c>
      <c r="F102" s="17">
        <f t="shared" si="37"/>
        <v>11674.158537443005</v>
      </c>
      <c r="G102" s="17">
        <f t="shared" si="38"/>
        <v>20658.220297443004</v>
      </c>
      <c r="H102" s="17">
        <f t="shared" si="28"/>
        <v>11674.158537443005</v>
      </c>
      <c r="I102" s="17">
        <f t="shared" si="39"/>
        <v>4647.886720456313</v>
      </c>
      <c r="J102" s="20">
        <f>(Geraetedaten!$B$152+(Geraetedaten!$B$153*(Geraetedaten!$B$18+d_y_Sw)/1000))*10</f>
        <v>6051.0442000000003</v>
      </c>
      <c r="K102" s="20">
        <f>(Geraetedaten!$B$165+(Geraetedaten!$B$166*(Geraetedaten!$B$18+d_y_Sw)/1000))*10</f>
        <v>10816.164000000001</v>
      </c>
      <c r="L102" s="20">
        <f>(Geraetedaten!$B$158+(Geraetedaten!$B$159*(Geraetedaten!$B$18+d_y_Sw)/1000)-(Geraetedaten!$B$160*I102/1000))*10</f>
        <v>260.70706678893839</v>
      </c>
      <c r="M102" s="20">
        <f>(Geraetedaten!$B$171+(Geraetedaten!$B$172*(Geraetedaten!$B$18+d_y_Sw)/1000)-(Geraetedaten!$B$173*I102/1000))*10</f>
        <v>718.87831252923297</v>
      </c>
      <c r="N102" s="20">
        <f>IF((H102-J102)/(K102-J102)*(Geraetedaten!$B$174-Geraetedaten!$B$161)&lt;Geraetedaten!$B$174,(H102-J102)/(K102-J102)*(Geraetedaten!$B$174-Geraetedaten!$B$161),Geraetedaten!$B$174)</f>
        <v>400</v>
      </c>
      <c r="O102" s="20">
        <f>N102/Geraetedaten!$B$174*(M102-L102)+L102+C102</f>
        <v>789.095665086228</v>
      </c>
      <c r="P102" s="20">
        <f t="shared" si="29"/>
        <v>220.66727855363899</v>
      </c>
      <c r="Q102" s="20"/>
      <c r="R102" s="21">
        <f>(N102-Geraetedaten!$B$161)/(Geraetedaten!$B$174-Geraetedaten!$B$161)*(Geraetedaten!$B$175-Geraetedaten!$B$162)+Geraetedaten!$B$162</f>
        <v>41.1</v>
      </c>
      <c r="S102" s="21">
        <f t="shared" si="40"/>
        <v>41.1</v>
      </c>
      <c r="T102" s="21">
        <f t="shared" si="41"/>
        <v>36.620368144141921</v>
      </c>
      <c r="U102" s="88">
        <f t="shared" si="42"/>
        <v>18.659009539295376</v>
      </c>
      <c r="V102" s="86">
        <f t="shared" si="43"/>
        <v>-11865.20314</v>
      </c>
      <c r="W102" s="85">
        <f t="shared" si="44"/>
        <v>-4225.3239992296285</v>
      </c>
      <c r="X102" s="85">
        <f t="shared" si="45"/>
        <v>-4741.1475621952604</v>
      </c>
      <c r="Y102" s="90">
        <f t="shared" si="46"/>
        <v>4225.3239992296285</v>
      </c>
      <c r="Z102" s="86">
        <f t="shared" si="47"/>
        <v>-18005.671129999999</v>
      </c>
      <c r="AA102" s="85">
        <f t="shared" si="48"/>
        <v>-913.46204712425447</v>
      </c>
      <c r="AB102" s="85">
        <f t="shared" si="49"/>
        <v>-1870.9289210503016</v>
      </c>
      <c r="AC102" s="90">
        <f t="shared" si="50"/>
        <v>913.46204712425447</v>
      </c>
      <c r="AD102" s="86">
        <f t="shared" si="51"/>
        <v>11744.375889999999</v>
      </c>
      <c r="AE102" s="85">
        <f t="shared" si="52"/>
        <v>4140.4375383844126</v>
      </c>
      <c r="AF102" s="85">
        <f t="shared" si="53"/>
        <v>4647.886720456313</v>
      </c>
      <c r="AG102" s="90">
        <f t="shared" si="54"/>
        <v>4140.4375383844126</v>
      </c>
      <c r="AH102" s="86">
        <f t="shared" si="55"/>
        <v>20728.43765</v>
      </c>
      <c r="AI102" s="85">
        <f t="shared" si="56"/>
        <v>6238.0466047659793</v>
      </c>
      <c r="AJ102" s="85">
        <f t="shared" si="57"/>
        <v>14084.974981775262</v>
      </c>
      <c r="AK102" s="90">
        <f t="shared" si="58"/>
        <v>6238.0466047659793</v>
      </c>
      <c r="AM102" s="95">
        <f t="shared" si="21"/>
        <v>0</v>
      </c>
      <c r="AN102" s="95">
        <f t="shared" si="22"/>
        <v>0</v>
      </c>
      <c r="AO102" s="95">
        <f t="shared" si="23"/>
        <v>0</v>
      </c>
      <c r="AP102" s="95">
        <f t="shared" si="24"/>
        <v>0</v>
      </c>
      <c r="AQ102"/>
      <c r="AR102" s="95">
        <f t="shared" si="59"/>
        <v>0</v>
      </c>
      <c r="AS102" s="95">
        <f t="shared" si="60"/>
        <v>0</v>
      </c>
      <c r="AT102" s="95">
        <f>Geraetedaten!$B$94*ABS(SIN(RADIANS($A102)))</f>
        <v>137.21500472500864</v>
      </c>
      <c r="AU102" s="95">
        <f>Geraetedaten!$B$94*ABS(COS(RADIANS($A102)))</f>
        <v>69.914536959890214</v>
      </c>
      <c r="AV102" s="95">
        <f>((h_Aw_Sw+Geraetedaten!$B$18)/1000)*(AR102*AT102+AS102*AU102)/100</f>
        <v>0</v>
      </c>
      <c r="AX102" s="18">
        <f>(IF($X$19="ja",1,0))*Geraetedaten!$D$142*COS(RADIANS(2*A102))*(Geraetedaten!$B$154*r_K_D+r_K_SSw*F_SSw/10)/1000+Geraetedaten!$B$152</f>
        <v>594.79999999999995</v>
      </c>
      <c r="AY102" s="18">
        <f>(IF($X$19="ja",1,0))*Geraetedaten!$D$142*COS(RADIANS(2*A102))*(Geraetedaten!$B$157*r_K_D+r_K_SSw*F_SSw/10)/1000+Geraetedaten!$B$155</f>
        <v>537.4</v>
      </c>
      <c r="AZ102" s="201"/>
    </row>
    <row r="103" spans="1:52" ht="13.5" x14ac:dyDescent="0.25">
      <c r="A103" s="16">
        <v>64</v>
      </c>
      <c r="B103" s="16">
        <f t="shared" ref="B103:B134" si="61">360-A103+90</f>
        <v>386</v>
      </c>
      <c r="C103" s="19">
        <f t="shared" ref="C103:C134" si="62">$AF$16*ABS(COS(RADIANS(A103)))+$AF$17*ABS(SIN(RADIANS(A103)))+AV103</f>
        <v>70.24448452713311</v>
      </c>
      <c r="D103" s="17">
        <f t="shared" si="27"/>
        <v>-11832.753454527134</v>
      </c>
      <c r="E103" s="17">
        <f t="shared" ref="E103:E134" si="63">IF(ISNUMBER(Z103),Z103-C103,"unendlich")</f>
        <v>-18658.620184527135</v>
      </c>
      <c r="F103" s="17">
        <f t="shared" ref="F103:F134" si="64">IF(ISNUMBER(AD103),AD103-C103,"unendlich")</f>
        <v>11572.269915472867</v>
      </c>
      <c r="G103" s="17">
        <f t="shared" ref="G103:G134" si="65">IF(ISNUMBER(AH103),AH103-C103,"unendlich")</f>
        <v>21420.755715472864</v>
      </c>
      <c r="H103" s="17">
        <f t="shared" si="28"/>
        <v>11572.269915472867</v>
      </c>
      <c r="I103" s="17">
        <f t="shared" ref="I103:I134" si="66">IF(H103+C103=V103,X103,IF(H103+C103=Z103,AB103,IF(H103+C103=AD103,AF103,IF(H103+C103=AH103,AJ103,"???"))))</f>
        <v>4607.5746043920562</v>
      </c>
      <c r="J103" s="20">
        <f>(Geraetedaten!$B$152+(Geraetedaten!$B$153*(Geraetedaten!$B$18+d_y_Sw)/1000))*10</f>
        <v>6051.0442000000003</v>
      </c>
      <c r="K103" s="20">
        <f>(Geraetedaten!$B$165+(Geraetedaten!$B$166*(Geraetedaten!$B$18+d_y_Sw)/1000))*10</f>
        <v>10816.164000000001</v>
      </c>
      <c r="L103" s="20">
        <f>(Geraetedaten!$B$158+(Geraetedaten!$B$159*(Geraetedaten!$B$18+d_y_Sw)/1000)-(Geraetedaten!$B$160*I103/1000))*10</f>
        <v>263.66315425993031</v>
      </c>
      <c r="M103" s="20">
        <f>(Geraetedaten!$B$171+(Geraetedaten!$B$172*(Geraetedaten!$B$18+d_y_Sw)/1000)-(Geraetedaten!$B$173*I103/1000))*10</f>
        <v>721.87914644905618</v>
      </c>
      <c r="N103" s="20">
        <f>IF((H103-J103)/(K103-J103)*(Geraetedaten!$B$174-Geraetedaten!$B$161)&lt;Geraetedaten!$B$174,(H103-J103)/(K103-J103)*(Geraetedaten!$B$174-Geraetedaten!$B$161),Geraetedaten!$B$174)</f>
        <v>400</v>
      </c>
      <c r="O103" s="20">
        <f>N103/Geraetedaten!$B$174*(M103-L103)+L103+C103</f>
        <v>792.12363097618925</v>
      </c>
      <c r="P103" s="20">
        <f t="shared" si="29"/>
        <v>221.26933637532215</v>
      </c>
      <c r="Q103" s="20"/>
      <c r="R103" s="21">
        <f>(N103-Geraetedaten!$B$161)/(Geraetedaten!$B$174-Geraetedaten!$B$161)*(Geraetedaten!$B$175-Geraetedaten!$B$162)+Geraetedaten!$B$162</f>
        <v>41.1</v>
      </c>
      <c r="S103" s="21">
        <f t="shared" ref="S103:S134" si="67">SQRT((r_K_D/1000)^2+R103^2-(2*(r_K_D/1000)*R103*COS(RADIANS(2*A103))))</f>
        <v>41.1</v>
      </c>
      <c r="T103" s="21">
        <f t="shared" ref="T103:T134" si="68">S103*SIN(A103*Const_2)</f>
        <v>36.940435302895764</v>
      </c>
      <c r="U103" s="88">
        <f t="shared" ref="U103:U134" si="69">S103*COS(A103*Const_2)</f>
        <v>18.017054133031085</v>
      </c>
      <c r="V103" s="86">
        <f t="shared" ref="V103:V134" si="70">ROUND((F_S*r_Su_L-F_G*W103+F_SSw*Y103)/(SIN(RADIANS(270+g_L-A103)))/1000,5)</f>
        <v>-11762.508970000001</v>
      </c>
      <c r="W103" s="85">
        <f t="shared" ref="W103:W134" si="71">(SIN(RADIANS(g_L)))*(((VL_Z-HL_Z)/(VL_X-HL_X))*(-HL_X+AN103)+HL_Z-AM103)</f>
        <v>-4225.3239992296285</v>
      </c>
      <c r="X103" s="85">
        <f t="shared" ref="X103:X134" si="72">W103/(SIN(RADIANS(180-g_L-(90-$A103))))</f>
        <v>-4700.112598754652</v>
      </c>
      <c r="Y103" s="90">
        <f t="shared" ref="Y103:Y134" si="73">SIN(RADIANS(g_L))*(((VL_Z-HL_Z)/(VL_X-HL_X))*(-AP103+HL_X)-HL_Z+AO103)</f>
        <v>4225.3239992296285</v>
      </c>
      <c r="Z103" s="86">
        <f t="shared" ref="Z103:Z134" si="74">ROUND((F_S*r_Su_H-F_G*AA103+F_SSw*AC103)/(SIN(RADIANS(180+g_H-A103)))/1000,5)</f>
        <v>-18588.375700000001</v>
      </c>
      <c r="AA103" s="85">
        <f t="shared" ref="AA103:AA134" si="75">(SIN(RADIANS(g_H)))*(((HL_X-HR_X)/(HL_Z-HR_Z))*(-HR_Z+AM103)+HR_X-AN103)</f>
        <v>-913.46204712425447</v>
      </c>
      <c r="AB103" s="85">
        <f t="shared" ref="AB103:AB134" si="76">AA103/(SIN(RADIANS(g_H-$A103)))</f>
        <v>-1931.4764464678162</v>
      </c>
      <c r="AC103" s="90">
        <f t="shared" ref="AC103:AC134" si="77">SIN(RADIANS(g_H))*(((HL_X-HR_X)/(HL_Z-HR_Z))*(-AO103+HR_Z)-HR_X+AP103)</f>
        <v>913.46204712425447</v>
      </c>
      <c r="AD103" s="86">
        <f t="shared" ref="AD103:AD134" si="78">ROUND((F_S*r_Su_R+F_G*AE103+F_SSw*AG103)/(SIN(RADIANS(90+g_R-A103)))/1000,5)</f>
        <v>11642.5144</v>
      </c>
      <c r="AE103" s="85">
        <f t="shared" ref="AE103:AE134" si="79">(SIN(RADIANS(g_R)))*(((HR_Z-VR_Z)/(HR_X-VR_X))*(-VR_X+AN103)+VR_Z-AM103)</f>
        <v>4140.4375383844126</v>
      </c>
      <c r="AF103" s="85">
        <f t="shared" ref="AF103:AF134" si="80">AE103/(SIN(RADIANS(180-g_R-(90-$A103))))</f>
        <v>4607.5746043920562</v>
      </c>
      <c r="AG103" s="90">
        <f t="shared" ref="AG103:AG134" si="81">(SIN(RADIANS(g_R)))*(((HR_Z-VR_Z)/(HR_X-VR_X))*(-VR_X+AP103)+VR_Z-AO103)</f>
        <v>4140.4375383844126</v>
      </c>
      <c r="AH103" s="86">
        <f t="shared" ref="AH103:AH134" si="82">ROUND((F_S*r_Su_V+F_G*AI103+F_SSw*AK103)/(SIN(RADIANS(g_V-A103)))/1000,5)</f>
        <v>21491.000199999999</v>
      </c>
      <c r="AI103" s="85">
        <f t="shared" ref="AI103:AI134" si="83">(SIN(RADIANS(g_V)))*(((VR_X-VL_X)/(VR_Z-VL_Z))*(AM103-VL_Z)+VL_X-AN103)</f>
        <v>6238.0466047659793</v>
      </c>
      <c r="AJ103" s="85">
        <f t="shared" ref="AJ103:AJ134" si="84">AI103/(SIN(RADIANS(g_V-$A103)))</f>
        <v>14603.136289881084</v>
      </c>
      <c r="AK103" s="90">
        <f t="shared" ref="AK103:AK134" si="85">(SIN(RADIANS(g_V)))*(((VR_X-VL_X)/(VR_Z-VL_Z))*(-VL_Z+AO103)+VL_X-AP103)</f>
        <v>6238.0466047659793</v>
      </c>
      <c r="AM103" s="95">
        <f t="shared" ref="AM103:AM166" si="86">SIN(RADIANS(A103))*r_K_D</f>
        <v>0</v>
      </c>
      <c r="AN103" s="95">
        <f t="shared" ref="AN103:AN166" si="87">COS(RADIANS(A103-180))*r_K_D</f>
        <v>0</v>
      </c>
      <c r="AO103" s="95">
        <f t="shared" ref="AO103:AO166" si="88">SIN(RADIANS(A103))*r_K_SSw</f>
        <v>0</v>
      </c>
      <c r="AP103" s="95">
        <f t="shared" ref="AP103:AP166" si="89">-COS(RADIANS(A103))*r_K_SSw</f>
        <v>0</v>
      </c>
      <c r="AQ103"/>
      <c r="AR103" s="95">
        <f t="shared" ref="AR103:AR134" si="90">MAX(d_y_Sw*(r_K_D*ABS(COS(RADIANS($A103)))+_r1_Sw+_r2_Sw), 2*_r1_Sw*d_y_Sw)/1000000</f>
        <v>0</v>
      </c>
      <c r="AS103" s="95">
        <f t="shared" ref="AS103:AS134" si="91">MAX(d_y_Sw*(r_K_D*ABS(SIN(RADIANS($A103)))+_r1_Sw+_r2_Sw), 2*_r1_Sw*d_y_Sw)/1000000</f>
        <v>0</v>
      </c>
      <c r="AT103" s="95">
        <f>Geraetedaten!$B$94*ABS(SIN(RADIANS($A103)))</f>
        <v>138.41428313007174</v>
      </c>
      <c r="AU103" s="95">
        <f>Geraetedaten!$B$94*ABS(COS(RADIANS($A103)))</f>
        <v>67.50915660551793</v>
      </c>
      <c r="AV103" s="95">
        <f>((h_Aw_Sw+Geraetedaten!$B$18)/1000)*(AR103*AT103+AS103*AU103)/100</f>
        <v>0</v>
      </c>
      <c r="AX103" s="18">
        <f>(IF($X$19="ja",1,0))*Geraetedaten!$D$142*COS(RADIANS(2*A103))*(Geraetedaten!$B$154*r_K_D+r_K_SSw*F_SSw/10)/1000+Geraetedaten!$B$152</f>
        <v>594.79999999999995</v>
      </c>
      <c r="AY103" s="18">
        <f>(IF($X$19="ja",1,0))*Geraetedaten!$D$142*COS(RADIANS(2*A103))*(Geraetedaten!$B$157*r_K_D+r_K_SSw*F_SSw/10)/1000+Geraetedaten!$B$155</f>
        <v>537.4</v>
      </c>
      <c r="AZ103" s="201"/>
    </row>
    <row r="104" spans="1:52" ht="13.5" x14ac:dyDescent="0.25">
      <c r="A104" s="16">
        <v>65</v>
      </c>
      <c r="B104" s="16">
        <f t="shared" si="61"/>
        <v>385</v>
      </c>
      <c r="C104" s="19">
        <f t="shared" si="62"/>
        <v>70.250219346810582</v>
      </c>
      <c r="D104" s="17">
        <f t="shared" ref="D104:D167" si="92">IF(ISNUMBER(V104),V104-C104,"unendlich")</f>
        <v>-11735.35023934681</v>
      </c>
      <c r="E104" s="17">
        <f t="shared" si="63"/>
        <v>-19286.35633934681</v>
      </c>
      <c r="F104" s="17">
        <f t="shared" si="64"/>
        <v>11475.64119065319</v>
      </c>
      <c r="G104" s="17">
        <f t="shared" si="65"/>
        <v>22248.620280653191</v>
      </c>
      <c r="H104" s="17">
        <f t="shared" ref="H104:H167" si="93">SMALL(D104:G104,COUNTIF(D104:G104,"&lt;0")+1)</f>
        <v>11475.64119065319</v>
      </c>
      <c r="I104" s="17">
        <f t="shared" si="66"/>
        <v>4569.3356425355423</v>
      </c>
      <c r="J104" s="20">
        <f>(Geraetedaten!$B$152+(Geraetedaten!$B$153*(Geraetedaten!$B$18+d_y_Sw)/1000))*10</f>
        <v>6051.0442000000003</v>
      </c>
      <c r="K104" s="20">
        <f>(Geraetedaten!$B$165+(Geraetedaten!$B$166*(Geraetedaten!$B$18+d_y_Sw)/1000))*10</f>
        <v>10816.164000000001</v>
      </c>
      <c r="L104" s="20">
        <f>(Geraetedaten!$B$158+(Geraetedaten!$B$159*(Geraetedaten!$B$18+d_y_Sw)/1000)-(Geraetedaten!$B$160*I104/1000))*10</f>
        <v>266.46721733286853</v>
      </c>
      <c r="M104" s="20">
        <f>(Geraetedaten!$B$171+(Geraetedaten!$B$172*(Geraetedaten!$B$18+d_y_Sw)/1000)-(Geraetedaten!$B$173*I104/1000))*10</f>
        <v>724.72565476965519</v>
      </c>
      <c r="N104" s="20">
        <f>IF((H104-J104)/(K104-J104)*(Geraetedaten!$B$174-Geraetedaten!$B$161)&lt;Geraetedaten!$B$174,(H104-J104)/(K104-J104)*(Geraetedaten!$B$174-Geraetedaten!$B$161),Geraetedaten!$B$174)</f>
        <v>400</v>
      </c>
      <c r="O104" s="20">
        <f>N104/Geraetedaten!$B$174*(M104-L104)+L104+C104</f>
        <v>794.97587411646577</v>
      </c>
      <c r="P104" s="20">
        <f t="shared" ref="P104:P167" si="94">O104*100/9.81/(R104-(I104/1000))</f>
        <v>221.8336224147489</v>
      </c>
      <c r="Q104" s="20"/>
      <c r="R104" s="21">
        <f>(N104-Geraetedaten!$B$161)/(Geraetedaten!$B$174-Geraetedaten!$B$161)*(Geraetedaten!$B$175-Geraetedaten!$B$162)+Geraetedaten!$B$162</f>
        <v>41.1</v>
      </c>
      <c r="S104" s="21">
        <f t="shared" si="67"/>
        <v>41.1</v>
      </c>
      <c r="T104" s="21">
        <f t="shared" si="68"/>
        <v>37.249250047206317</v>
      </c>
      <c r="U104" s="88">
        <f t="shared" si="69"/>
        <v>17.369610557542746</v>
      </c>
      <c r="V104" s="86">
        <f t="shared" si="70"/>
        <v>-11665.10002</v>
      </c>
      <c r="W104" s="85">
        <f t="shared" si="71"/>
        <v>-4225.3239992296285</v>
      </c>
      <c r="X104" s="85">
        <f t="shared" si="72"/>
        <v>-4661.1895212278432</v>
      </c>
      <c r="Y104" s="90">
        <f t="shared" si="73"/>
        <v>4225.3239992296285</v>
      </c>
      <c r="Z104" s="86">
        <f t="shared" si="74"/>
        <v>-19216.10612</v>
      </c>
      <c r="AA104" s="85">
        <f t="shared" si="75"/>
        <v>-913.46204712425447</v>
      </c>
      <c r="AB104" s="85">
        <f t="shared" si="76"/>
        <v>-1996.7025067974689</v>
      </c>
      <c r="AC104" s="90">
        <f t="shared" si="77"/>
        <v>913.46204712425447</v>
      </c>
      <c r="AD104" s="86">
        <f t="shared" si="78"/>
        <v>11545.89141</v>
      </c>
      <c r="AE104" s="85">
        <f t="shared" si="79"/>
        <v>4140.4375383844126</v>
      </c>
      <c r="AF104" s="85">
        <f t="shared" si="80"/>
        <v>4569.3356425355423</v>
      </c>
      <c r="AG104" s="90">
        <f t="shared" si="81"/>
        <v>4140.4375383844126</v>
      </c>
      <c r="AH104" s="86">
        <f t="shared" si="82"/>
        <v>22318.870500000001</v>
      </c>
      <c r="AI104" s="85">
        <f t="shared" si="83"/>
        <v>6238.0466047659793</v>
      </c>
      <c r="AJ104" s="85">
        <f t="shared" si="84"/>
        <v>15165.674222169955</v>
      </c>
      <c r="AK104" s="90">
        <f t="shared" si="85"/>
        <v>6238.0466047659793</v>
      </c>
      <c r="AM104" s="95">
        <f t="shared" si="86"/>
        <v>0</v>
      </c>
      <c r="AN104" s="95">
        <f t="shared" si="87"/>
        <v>0</v>
      </c>
      <c r="AO104" s="95">
        <f t="shared" si="88"/>
        <v>0</v>
      </c>
      <c r="AP104" s="95">
        <f t="shared" si="89"/>
        <v>0</v>
      </c>
      <c r="AQ104"/>
      <c r="AR104" s="95">
        <f t="shared" si="90"/>
        <v>0</v>
      </c>
      <c r="AS104" s="95">
        <f t="shared" si="91"/>
        <v>0</v>
      </c>
      <c r="AT104" s="95">
        <f>Geraetedaten!$B$94*ABS(SIN(RADIANS($A104)))</f>
        <v>139.57139920364409</v>
      </c>
      <c r="AU104" s="95">
        <f>Geraetedaten!$B$94*ABS(COS(RADIANS($A104)))</f>
        <v>65.083212308067715</v>
      </c>
      <c r="AV104" s="95">
        <f>((h_Aw_Sw+Geraetedaten!$B$18)/1000)*(AR104*AT104+AS104*AU104)/100</f>
        <v>0</v>
      </c>
      <c r="AX104" s="18">
        <f>(IF($X$19="ja",1,0))*Geraetedaten!$D$142*COS(RADIANS(2*A104))*(Geraetedaten!$B$154*r_K_D+r_K_SSw*F_SSw/10)/1000+Geraetedaten!$B$152</f>
        <v>594.79999999999995</v>
      </c>
      <c r="AY104" s="18">
        <f>(IF($X$19="ja",1,0))*Geraetedaten!$D$142*COS(RADIANS(2*A104))*(Geraetedaten!$B$157*r_K_D+r_K_SSw*F_SSw/10)/1000+Geraetedaten!$B$155</f>
        <v>537.4</v>
      </c>
      <c r="AZ104" s="201"/>
    </row>
    <row r="105" spans="1:52" ht="13.5" x14ac:dyDescent="0.25">
      <c r="A105" s="16">
        <v>66</v>
      </c>
      <c r="B105" s="16">
        <f t="shared" si="61"/>
        <v>384</v>
      </c>
      <c r="C105" s="19">
        <f t="shared" si="62"/>
        <v>70.234555269145858</v>
      </c>
      <c r="D105" s="17">
        <f t="shared" si="92"/>
        <v>-11643.021945269145</v>
      </c>
      <c r="E105" s="17">
        <f t="shared" si="63"/>
        <v>-19964.221545269145</v>
      </c>
      <c r="F105" s="17">
        <f t="shared" si="64"/>
        <v>11384.084814730853</v>
      </c>
      <c r="G105" s="17">
        <f t="shared" si="65"/>
        <v>23150.200204730856</v>
      </c>
      <c r="H105" s="17">
        <f t="shared" si="93"/>
        <v>11384.084814730853</v>
      </c>
      <c r="I105" s="17">
        <f t="shared" si="66"/>
        <v>4533.0956179444629</v>
      </c>
      <c r="J105" s="20">
        <f>(Geraetedaten!$B$152+(Geraetedaten!$B$153*(Geraetedaten!$B$18+d_y_Sw)/1000))*10</f>
        <v>6051.0442000000003</v>
      </c>
      <c r="K105" s="20">
        <f>(Geraetedaten!$B$165+(Geraetedaten!$B$166*(Geraetedaten!$B$18+d_y_Sw)/1000))*10</f>
        <v>10816.164000000001</v>
      </c>
      <c r="L105" s="20">
        <f>(Geraetedaten!$B$158+(Geraetedaten!$B$159*(Geraetedaten!$B$18+d_y_Sw)/1000)-(Geraetedaten!$B$160*I105/1000))*10</f>
        <v>269.12469833613238</v>
      </c>
      <c r="M105" s="20">
        <f>(Geraetedaten!$B$171+(Geraetedaten!$B$172*(Geraetedaten!$B$18+d_y_Sw)/1000)-(Geraetedaten!$B$173*I105/1000))*10</f>
        <v>727.42336220021514</v>
      </c>
      <c r="N105" s="20">
        <f>IF((H105-J105)/(K105-J105)*(Geraetedaten!$B$174-Geraetedaten!$B$161)&lt;Geraetedaten!$B$174,(H105-J105)/(K105-J105)*(Geraetedaten!$B$174-Geraetedaten!$B$161),Geraetedaten!$B$174)</f>
        <v>400</v>
      </c>
      <c r="O105" s="20">
        <f>N105/Geraetedaten!$B$174*(M105-L105)+L105+C105</f>
        <v>797.657917469361</v>
      </c>
      <c r="P105" s="20">
        <f t="shared" si="94"/>
        <v>222.36143946302096</v>
      </c>
      <c r="Q105" s="20"/>
      <c r="R105" s="21">
        <f>(N105-Geraetedaten!$B$161)/(Geraetedaten!$B$174-Geraetedaten!$B$161)*(Geraetedaten!$B$175-Geraetedaten!$B$162)+Geraetedaten!$B$162</f>
        <v>41.1</v>
      </c>
      <c r="S105" s="21">
        <f t="shared" si="67"/>
        <v>41.1</v>
      </c>
      <c r="T105" s="21">
        <f t="shared" si="68"/>
        <v>37.546718309110894</v>
      </c>
      <c r="U105" s="88">
        <f t="shared" si="69"/>
        <v>16.716876030415388</v>
      </c>
      <c r="V105" s="86">
        <f t="shared" si="70"/>
        <v>-11572.78739</v>
      </c>
      <c r="W105" s="85">
        <f t="shared" si="71"/>
        <v>-4225.3239992296285</v>
      </c>
      <c r="X105" s="85">
        <f t="shared" si="72"/>
        <v>-4624.3028549442342</v>
      </c>
      <c r="Y105" s="90">
        <f t="shared" si="73"/>
        <v>4225.3239992296285</v>
      </c>
      <c r="Z105" s="86">
        <f t="shared" si="74"/>
        <v>-19893.986990000001</v>
      </c>
      <c r="AA105" s="85">
        <f t="shared" si="75"/>
        <v>-913.46204712425447</v>
      </c>
      <c r="AB105" s="85">
        <f t="shared" si="76"/>
        <v>-2067.1395892788246</v>
      </c>
      <c r="AC105" s="90">
        <f t="shared" si="77"/>
        <v>913.46204712425447</v>
      </c>
      <c r="AD105" s="86">
        <f t="shared" si="78"/>
        <v>11454.319369999999</v>
      </c>
      <c r="AE105" s="85">
        <f t="shared" si="79"/>
        <v>4140.4375383844126</v>
      </c>
      <c r="AF105" s="85">
        <f t="shared" si="80"/>
        <v>4533.0956179444629</v>
      </c>
      <c r="AG105" s="90">
        <f t="shared" si="81"/>
        <v>4140.4375383844126</v>
      </c>
      <c r="AH105" s="86">
        <f t="shared" si="82"/>
        <v>23220.43476</v>
      </c>
      <c r="AI105" s="85">
        <f t="shared" si="83"/>
        <v>6238.0466047659793</v>
      </c>
      <c r="AJ105" s="85">
        <f t="shared" si="84"/>
        <v>15778.287208643618</v>
      </c>
      <c r="AK105" s="90">
        <f t="shared" si="85"/>
        <v>6238.0466047659793</v>
      </c>
      <c r="AM105" s="95">
        <f t="shared" si="86"/>
        <v>0</v>
      </c>
      <c r="AN105" s="95">
        <f t="shared" si="87"/>
        <v>0</v>
      </c>
      <c r="AO105" s="95">
        <f t="shared" si="88"/>
        <v>0</v>
      </c>
      <c r="AP105" s="95">
        <f t="shared" si="89"/>
        <v>0</v>
      </c>
      <c r="AQ105"/>
      <c r="AR105" s="95">
        <f t="shared" si="90"/>
        <v>0</v>
      </c>
      <c r="AS105" s="95">
        <f t="shared" si="91"/>
        <v>0</v>
      </c>
      <c r="AT105" s="95">
        <f>Geraetedaten!$B$94*ABS(SIN(RADIANS($A105)))</f>
        <v>140.68600047696054</v>
      </c>
      <c r="AU105" s="95">
        <f>Geraetedaten!$B$94*ABS(COS(RADIANS($A105)))</f>
        <v>62.637443033673229</v>
      </c>
      <c r="AV105" s="95">
        <f>((h_Aw_Sw+Geraetedaten!$B$18)/1000)*(AR105*AT105+AS105*AU105)/100</f>
        <v>0</v>
      </c>
      <c r="AX105" s="18">
        <f>(IF($X$19="ja",1,0))*Geraetedaten!$D$142*COS(RADIANS(2*A105))*(Geraetedaten!$B$154*r_K_D+r_K_SSw*F_SSw/10)/1000+Geraetedaten!$B$152</f>
        <v>594.79999999999995</v>
      </c>
      <c r="AY105" s="18">
        <f>(IF($X$19="ja",1,0))*Geraetedaten!$D$142*COS(RADIANS(2*A105))*(Geraetedaten!$B$157*r_K_D+r_K_SSw*F_SSw/10)/1000+Geraetedaten!$B$155</f>
        <v>537.4</v>
      </c>
      <c r="AZ105" s="201"/>
    </row>
    <row r="106" spans="1:52" ht="13.5" x14ac:dyDescent="0.25">
      <c r="A106" s="16">
        <v>67</v>
      </c>
      <c r="B106" s="16">
        <f t="shared" si="61"/>
        <v>383</v>
      </c>
      <c r="C106" s="19">
        <f t="shared" si="62"/>
        <v>70.19749706556874</v>
      </c>
      <c r="D106" s="17">
        <f t="shared" si="92"/>
        <v>-11555.592927065569</v>
      </c>
      <c r="E106" s="17">
        <f t="shared" si="63"/>
        <v>-20698.154287065568</v>
      </c>
      <c r="F106" s="17">
        <f t="shared" si="64"/>
        <v>11297.426382934431</v>
      </c>
      <c r="G106" s="17">
        <f t="shared" si="65"/>
        <v>24135.38809293443</v>
      </c>
      <c r="H106" s="17">
        <f t="shared" si="93"/>
        <v>11297.426382934431</v>
      </c>
      <c r="I106" s="17">
        <f t="shared" si="66"/>
        <v>4498.7855097321099</v>
      </c>
      <c r="J106" s="20">
        <f>(Geraetedaten!$B$152+(Geraetedaten!$B$153*(Geraetedaten!$B$18+d_y_Sw)/1000))*10</f>
        <v>6051.0442000000003</v>
      </c>
      <c r="K106" s="20">
        <f>(Geraetedaten!$B$165+(Geraetedaten!$B$166*(Geraetedaten!$B$18+d_y_Sw)/1000))*10</f>
        <v>10816.164000000001</v>
      </c>
      <c r="L106" s="20">
        <f>(Geraetedaten!$B$158+(Geraetedaten!$B$159*(Geraetedaten!$B$18+d_y_Sw)/1000)-(Geraetedaten!$B$160*I106/1000))*10</f>
        <v>271.64065857134415</v>
      </c>
      <c r="M106" s="20">
        <f>(Geraetedaten!$B$171+(Geraetedaten!$B$172*(Geraetedaten!$B$18+d_y_Sw)/1000)-(Geraetedaten!$B$173*I106/1000))*10</f>
        <v>729.97740665554261</v>
      </c>
      <c r="N106" s="20">
        <f>IF((H106-J106)/(K106-J106)*(Geraetedaten!$B$174-Geraetedaten!$B$161)&lt;Geraetedaten!$B$174,(H106-J106)/(K106-J106)*(Geraetedaten!$B$174-Geraetedaten!$B$161),Geraetedaten!$B$174)</f>
        <v>400</v>
      </c>
      <c r="O106" s="20">
        <f>N106/Geraetedaten!$B$174*(M106-L106)+L106+C106</f>
        <v>800.17490372111138</v>
      </c>
      <c r="P106" s="20">
        <f t="shared" si="94"/>
        <v>222.85399435253282</v>
      </c>
      <c r="Q106" s="20"/>
      <c r="R106" s="21">
        <f>(N106-Geraetedaten!$B$161)/(Geraetedaten!$B$174-Geraetedaten!$B$161)*(Geraetedaten!$B$175-Geraetedaten!$B$162)+Geraetedaten!$B$162</f>
        <v>41.1</v>
      </c>
      <c r="S106" s="21">
        <f t="shared" si="67"/>
        <v>41.1</v>
      </c>
      <c r="T106" s="21">
        <f t="shared" si="68"/>
        <v>37.832749476895302</v>
      </c>
      <c r="U106" s="88">
        <f t="shared" si="69"/>
        <v>16.059049380909151</v>
      </c>
      <c r="V106" s="86">
        <f t="shared" si="70"/>
        <v>-11485.39543</v>
      </c>
      <c r="W106" s="85">
        <f t="shared" si="71"/>
        <v>-4225.3239992296285</v>
      </c>
      <c r="X106" s="85">
        <f t="shared" si="72"/>
        <v>-4589.3824098609548</v>
      </c>
      <c r="Y106" s="90">
        <f t="shared" si="73"/>
        <v>4225.3239992296285</v>
      </c>
      <c r="Z106" s="86">
        <f t="shared" si="74"/>
        <v>-20627.95679</v>
      </c>
      <c r="AA106" s="85">
        <f t="shared" si="75"/>
        <v>-913.46204712425447</v>
      </c>
      <c r="AB106" s="85">
        <f t="shared" si="76"/>
        <v>-2143.4047449809023</v>
      </c>
      <c r="AC106" s="90">
        <f t="shared" si="77"/>
        <v>913.46204712425447</v>
      </c>
      <c r="AD106" s="86">
        <f t="shared" si="78"/>
        <v>11367.623879999999</v>
      </c>
      <c r="AE106" s="85">
        <f t="shared" si="79"/>
        <v>4140.4375383844126</v>
      </c>
      <c r="AF106" s="85">
        <f t="shared" si="80"/>
        <v>4498.7855097321099</v>
      </c>
      <c r="AG106" s="90">
        <f t="shared" si="81"/>
        <v>4140.4375383844126</v>
      </c>
      <c r="AH106" s="86">
        <f t="shared" si="82"/>
        <v>24205.585589999999</v>
      </c>
      <c r="AI106" s="85">
        <f t="shared" si="83"/>
        <v>6238.0466047659793</v>
      </c>
      <c r="AJ106" s="85">
        <f t="shared" si="84"/>
        <v>16447.697270101384</v>
      </c>
      <c r="AK106" s="90">
        <f t="shared" si="85"/>
        <v>6238.0466047659793</v>
      </c>
      <c r="AM106" s="95">
        <f t="shared" si="86"/>
        <v>0</v>
      </c>
      <c r="AN106" s="95">
        <f t="shared" si="87"/>
        <v>0</v>
      </c>
      <c r="AO106" s="95">
        <f t="shared" si="88"/>
        <v>0</v>
      </c>
      <c r="AP106" s="95">
        <f t="shared" si="89"/>
        <v>0</v>
      </c>
      <c r="AQ106"/>
      <c r="AR106" s="95">
        <f t="shared" si="90"/>
        <v>0</v>
      </c>
      <c r="AS106" s="95">
        <f t="shared" si="91"/>
        <v>0</v>
      </c>
      <c r="AT106" s="95">
        <f>Geraetedaten!$B$94*ABS(SIN(RADIANS($A106)))</f>
        <v>141.75774743167582</v>
      </c>
      <c r="AU106" s="95">
        <f>Geraetedaten!$B$94*ABS(COS(RADIANS($A106)))</f>
        <v>60.172593787348156</v>
      </c>
      <c r="AV106" s="95">
        <f>((h_Aw_Sw+Geraetedaten!$B$18)/1000)*(AR106*AT106+AS106*AU106)/100</f>
        <v>0</v>
      </c>
      <c r="AX106" s="18">
        <f>(IF($X$19="ja",1,0))*Geraetedaten!$D$142*COS(RADIANS(2*A106))*(Geraetedaten!$B$154*r_K_D+r_K_SSw*F_SSw/10)/1000+Geraetedaten!$B$152</f>
        <v>594.79999999999995</v>
      </c>
      <c r="AY106" s="18">
        <f>(IF($X$19="ja",1,0))*Geraetedaten!$D$142*COS(RADIANS(2*A106))*(Geraetedaten!$B$157*r_K_D+r_K_SSw*F_SSw/10)/1000+Geraetedaten!$B$155</f>
        <v>537.4</v>
      </c>
      <c r="AZ106" s="201"/>
    </row>
    <row r="107" spans="1:52" ht="13.5" x14ac:dyDescent="0.25">
      <c r="A107" s="16">
        <v>68</v>
      </c>
      <c r="B107" s="16">
        <f t="shared" si="61"/>
        <v>382</v>
      </c>
      <c r="C107" s="19">
        <f t="shared" si="62"/>
        <v>70.139056024367036</v>
      </c>
      <c r="D107" s="17">
        <f t="shared" si="92"/>
        <v>-11472.899876024367</v>
      </c>
      <c r="E107" s="17">
        <f t="shared" si="63"/>
        <v>-21495.074776024368</v>
      </c>
      <c r="F107" s="17">
        <f t="shared" si="64"/>
        <v>11215.503733975633</v>
      </c>
      <c r="G107" s="17">
        <f t="shared" si="65"/>
        <v>25215.936683975633</v>
      </c>
      <c r="H107" s="17">
        <f t="shared" si="93"/>
        <v>11215.503733975633</v>
      </c>
      <c r="I107" s="17">
        <f t="shared" si="66"/>
        <v>4466.3411437703226</v>
      </c>
      <c r="J107" s="20">
        <f>(Geraetedaten!$B$152+(Geraetedaten!$B$153*(Geraetedaten!$B$18+d_y_Sw)/1000))*10</f>
        <v>6051.0442000000003</v>
      </c>
      <c r="K107" s="20">
        <f>(Geraetedaten!$B$165+(Geraetedaten!$B$166*(Geraetedaten!$B$18+d_y_Sw)/1000))*10</f>
        <v>10816.164000000001</v>
      </c>
      <c r="L107" s="20">
        <f>(Geraetedaten!$B$158+(Geraetedaten!$B$159*(Geraetedaten!$B$18+d_y_Sw)/1000)-(Geraetedaten!$B$160*I107/1000))*10</f>
        <v>274.01980392732207</v>
      </c>
      <c r="M107" s="20">
        <f>(Geraetedaten!$B$171+(Geraetedaten!$B$172*(Geraetedaten!$B$18+d_y_Sw)/1000)-(Geraetedaten!$B$173*I107/1000))*10</f>
        <v>732.39256525773817</v>
      </c>
      <c r="N107" s="20">
        <f>IF((H107-J107)/(K107-J107)*(Geraetedaten!$B$174-Geraetedaten!$B$161)&lt;Geraetedaten!$B$174,(H107-J107)/(K107-J107)*(Geraetedaten!$B$174-Geraetedaten!$B$161),Geraetedaten!$B$174)</f>
        <v>400</v>
      </c>
      <c r="O107" s="20">
        <f>N107/Geraetedaten!$B$174*(M107-L107)+L107+C107</f>
        <v>802.53162128210522</v>
      </c>
      <c r="P107" s="20">
        <f t="shared" si="94"/>
        <v>223.31240523614258</v>
      </c>
      <c r="Q107" s="20"/>
      <c r="R107" s="21">
        <f>(N107-Geraetedaten!$B$161)/(Geraetedaten!$B$174-Geraetedaten!$B$161)*(Geraetedaten!$B$175-Geraetedaten!$B$162)+Geraetedaten!$B$162</f>
        <v>41.1</v>
      </c>
      <c r="S107" s="21">
        <f t="shared" si="67"/>
        <v>41.1</v>
      </c>
      <c r="T107" s="21">
        <f t="shared" si="68"/>
        <v>38.107256422694967</v>
      </c>
      <c r="U107" s="88">
        <f t="shared" si="69"/>
        <v>15.396330989393983</v>
      </c>
      <c r="V107" s="86">
        <f t="shared" si="70"/>
        <v>-11402.76082</v>
      </c>
      <c r="W107" s="85">
        <f t="shared" si="71"/>
        <v>-4225.3239992296285</v>
      </c>
      <c r="X107" s="85">
        <f t="shared" si="72"/>
        <v>-4556.3629257628663</v>
      </c>
      <c r="Y107" s="90">
        <f t="shared" si="73"/>
        <v>4225.3239992296285</v>
      </c>
      <c r="Z107" s="86">
        <f t="shared" si="74"/>
        <v>-21424.935720000001</v>
      </c>
      <c r="AA107" s="85">
        <f t="shared" si="75"/>
        <v>-913.46204712425447</v>
      </c>
      <c r="AB107" s="85">
        <f t="shared" si="76"/>
        <v>-2226.217039702788</v>
      </c>
      <c r="AC107" s="90">
        <f t="shared" si="77"/>
        <v>913.46204712425447</v>
      </c>
      <c r="AD107" s="86">
        <f t="shared" si="78"/>
        <v>11285.64279</v>
      </c>
      <c r="AE107" s="85">
        <f t="shared" si="79"/>
        <v>4140.4375383844126</v>
      </c>
      <c r="AF107" s="85">
        <f t="shared" si="80"/>
        <v>4466.3411437703226</v>
      </c>
      <c r="AG107" s="90">
        <f t="shared" si="81"/>
        <v>4140.4375383844126</v>
      </c>
      <c r="AH107" s="86">
        <f t="shared" si="82"/>
        <v>25286.07574</v>
      </c>
      <c r="AI107" s="85">
        <f t="shared" si="83"/>
        <v>6238.0466047659793</v>
      </c>
      <c r="AJ107" s="85">
        <f t="shared" si="84"/>
        <v>17181.89041117753</v>
      </c>
      <c r="AK107" s="90">
        <f t="shared" si="85"/>
        <v>6238.0466047659793</v>
      </c>
      <c r="AM107" s="95">
        <f t="shared" si="86"/>
        <v>0</v>
      </c>
      <c r="AN107" s="95">
        <f t="shared" si="87"/>
        <v>0</v>
      </c>
      <c r="AO107" s="95">
        <f t="shared" si="88"/>
        <v>0</v>
      </c>
      <c r="AP107" s="95">
        <f t="shared" si="89"/>
        <v>0</v>
      </c>
      <c r="AQ107"/>
      <c r="AR107" s="95">
        <f t="shared" si="90"/>
        <v>0</v>
      </c>
      <c r="AS107" s="95">
        <f t="shared" si="91"/>
        <v>0</v>
      </c>
      <c r="AT107" s="95">
        <f>Geraetedaten!$B$94*ABS(SIN(RADIANS($A107)))</f>
        <v>142.78631360328527</v>
      </c>
      <c r="AU107" s="95">
        <f>Geraetedaten!$B$94*ABS(COS(RADIANS($A107)))</f>
        <v>57.689415386050442</v>
      </c>
      <c r="AV107" s="95">
        <f>((h_Aw_Sw+Geraetedaten!$B$18)/1000)*(AR107*AT107+AS107*AU107)/100</f>
        <v>0</v>
      </c>
      <c r="AX107" s="18">
        <f>(IF($X$19="ja",1,0))*Geraetedaten!$D$142*COS(RADIANS(2*A107))*(Geraetedaten!$B$154*r_K_D+r_K_SSw*F_SSw/10)/1000+Geraetedaten!$B$152</f>
        <v>594.79999999999995</v>
      </c>
      <c r="AY107" s="18">
        <f>(IF($X$19="ja",1,0))*Geraetedaten!$D$142*COS(RADIANS(2*A107))*(Geraetedaten!$B$157*r_K_D+r_K_SSw*F_SSw/10)/1000+Geraetedaten!$B$155</f>
        <v>537.4</v>
      </c>
      <c r="AZ107" s="201"/>
    </row>
    <row r="108" spans="1:52" ht="13.5" x14ac:dyDescent="0.25">
      <c r="A108" s="16">
        <v>69</v>
      </c>
      <c r="B108" s="16">
        <f t="shared" si="61"/>
        <v>381</v>
      </c>
      <c r="C108" s="19">
        <f t="shared" si="62"/>
        <v>70.059249947248006</v>
      </c>
      <c r="D108" s="17">
        <f t="shared" si="92"/>
        <v>-11394.791019947248</v>
      </c>
      <c r="E108" s="17">
        <f t="shared" si="63"/>
        <v>-22363.096409947248</v>
      </c>
      <c r="F108" s="17">
        <f t="shared" si="64"/>
        <v>11138.166130052752</v>
      </c>
      <c r="G108" s="17">
        <f t="shared" si="65"/>
        <v>26405.917310052751</v>
      </c>
      <c r="H108" s="17">
        <f t="shared" si="93"/>
        <v>11138.166130052752</v>
      </c>
      <c r="I108" s="17">
        <f t="shared" si="66"/>
        <v>4435.7028755604324</v>
      </c>
      <c r="J108" s="20">
        <f>(Geraetedaten!$B$152+(Geraetedaten!$B$153*(Geraetedaten!$B$18+d_y_Sw)/1000))*10</f>
        <v>6051.0442000000003</v>
      </c>
      <c r="K108" s="20">
        <f>(Geraetedaten!$B$165+(Geraetedaten!$B$166*(Geraetedaten!$B$18+d_y_Sw)/1000))*10</f>
        <v>10816.164000000001</v>
      </c>
      <c r="L108" s="20">
        <f>(Geraetedaten!$B$158+(Geraetedaten!$B$159*(Geraetedaten!$B$18+d_y_Sw)/1000)-(Geraetedaten!$B$160*I108/1000))*10</f>
        <v>276.26650813515334</v>
      </c>
      <c r="M108" s="20">
        <f>(Geraetedaten!$B$171+(Geraetedaten!$B$172*(Geraetedaten!$B$18+d_y_Sw)/1000)-(Geraetedaten!$B$173*I108/1000))*10</f>
        <v>734.6732779432823</v>
      </c>
      <c r="N108" s="20">
        <f>IF((H108-J108)/(K108-J108)*(Geraetedaten!$B$174-Geraetedaten!$B$161)&lt;Geraetedaten!$B$174,(H108-J108)/(K108-J108)*(Geraetedaten!$B$174-Geraetedaten!$B$161),Geraetedaten!$B$174)</f>
        <v>400</v>
      </c>
      <c r="O108" s="20">
        <f>N108/Geraetedaten!$B$174*(M108-L108)+L108+C108</f>
        <v>804.73252789053026</v>
      </c>
      <c r="P108" s="20">
        <f t="shared" si="94"/>
        <v>223.73770814260615</v>
      </c>
      <c r="Q108" s="20"/>
      <c r="R108" s="21">
        <f>(N108-Geraetedaten!$B$161)/(Geraetedaten!$B$174-Geraetedaten!$B$161)*(Geraetedaten!$B$175-Geraetedaten!$B$162)+Geraetedaten!$B$162</f>
        <v>41.1</v>
      </c>
      <c r="S108" s="21">
        <f t="shared" si="67"/>
        <v>41.1</v>
      </c>
      <c r="T108" s="21">
        <f t="shared" si="68"/>
        <v>38.370155529034996</v>
      </c>
      <c r="U108" s="88">
        <f t="shared" si="69"/>
        <v>14.728922726311847</v>
      </c>
      <c r="V108" s="86">
        <f t="shared" si="70"/>
        <v>-11324.73177</v>
      </c>
      <c r="W108" s="85">
        <f t="shared" si="71"/>
        <v>-4225.3239992296285</v>
      </c>
      <c r="X108" s="85">
        <f t="shared" si="72"/>
        <v>-4525.1837501283972</v>
      </c>
      <c r="Y108" s="90">
        <f t="shared" si="73"/>
        <v>4225.3239992296285</v>
      </c>
      <c r="Z108" s="86">
        <f t="shared" si="74"/>
        <v>-22293.03716</v>
      </c>
      <c r="AA108" s="85">
        <f t="shared" si="75"/>
        <v>-913.46204712425447</v>
      </c>
      <c r="AB108" s="85">
        <f t="shared" si="76"/>
        <v>-2316.4195133489447</v>
      </c>
      <c r="AC108" s="90">
        <f t="shared" si="77"/>
        <v>913.46204712425447</v>
      </c>
      <c r="AD108" s="86">
        <f t="shared" si="78"/>
        <v>11208.22538</v>
      </c>
      <c r="AE108" s="85">
        <f t="shared" si="79"/>
        <v>4140.4375383844126</v>
      </c>
      <c r="AF108" s="85">
        <f t="shared" si="80"/>
        <v>4435.7028755604324</v>
      </c>
      <c r="AG108" s="90">
        <f t="shared" si="81"/>
        <v>4140.4375383844126</v>
      </c>
      <c r="AH108" s="86">
        <f t="shared" si="82"/>
        <v>26475.976559999999</v>
      </c>
      <c r="AI108" s="85">
        <f t="shared" si="83"/>
        <v>6238.0466047659793</v>
      </c>
      <c r="AJ108" s="85">
        <f t="shared" si="84"/>
        <v>17990.428107954729</v>
      </c>
      <c r="AK108" s="90">
        <f t="shared" si="85"/>
        <v>6238.0466047659793</v>
      </c>
      <c r="AM108" s="95">
        <f t="shared" si="86"/>
        <v>0</v>
      </c>
      <c r="AN108" s="95">
        <f t="shared" si="87"/>
        <v>0</v>
      </c>
      <c r="AO108" s="95">
        <f t="shared" si="88"/>
        <v>0</v>
      </c>
      <c r="AP108" s="95">
        <f t="shared" si="89"/>
        <v>0</v>
      </c>
      <c r="AQ108"/>
      <c r="AR108" s="95">
        <f t="shared" si="90"/>
        <v>0</v>
      </c>
      <c r="AS108" s="95">
        <f t="shared" si="91"/>
        <v>0</v>
      </c>
      <c r="AT108" s="95">
        <f>Geraetedaten!$B$94*ABS(SIN(RADIANS($A108)))</f>
        <v>143.77138568056907</v>
      </c>
      <c r="AU108" s="95">
        <f>Geraetedaten!$B$94*ABS(COS(RADIANS($A108)))</f>
        <v>55.188664229976261</v>
      </c>
      <c r="AV108" s="95">
        <f>((h_Aw_Sw+Geraetedaten!$B$18)/1000)*(AR108*AT108+AS108*AU108)/100</f>
        <v>0</v>
      </c>
      <c r="AX108" s="18">
        <f>(IF($X$19="ja",1,0))*Geraetedaten!$D$142*COS(RADIANS(2*A108))*(Geraetedaten!$B$154*r_K_D+r_K_SSw*F_SSw/10)/1000+Geraetedaten!$B$152</f>
        <v>594.79999999999995</v>
      </c>
      <c r="AY108" s="18">
        <f>(IF($X$19="ja",1,0))*Geraetedaten!$D$142*COS(RADIANS(2*A108))*(Geraetedaten!$B$157*r_K_D+r_K_SSw*F_SSw/10)/1000+Geraetedaten!$B$155</f>
        <v>537.4</v>
      </c>
      <c r="AZ108" s="201"/>
    </row>
    <row r="109" spans="1:52" ht="13.5" x14ac:dyDescent="0.25">
      <c r="A109" s="16">
        <v>70</v>
      </c>
      <c r="B109" s="16">
        <f t="shared" si="61"/>
        <v>380</v>
      </c>
      <c r="C109" s="19">
        <f t="shared" si="62"/>
        <v>69.958103143915849</v>
      </c>
      <c r="D109" s="17">
        <f t="shared" si="92"/>
        <v>-11321.125393143915</v>
      </c>
      <c r="E109" s="17">
        <f t="shared" si="63"/>
        <v>-23311.794043143916</v>
      </c>
      <c r="F109" s="17">
        <f t="shared" si="64"/>
        <v>11065.273556856084</v>
      </c>
      <c r="G109" s="17">
        <f t="shared" si="65"/>
        <v>27722.320856856084</v>
      </c>
      <c r="H109" s="17">
        <f t="shared" si="93"/>
        <v>11065.273556856084</v>
      </c>
      <c r="I109" s="17">
        <f t="shared" si="66"/>
        <v>4406.8153021656763</v>
      </c>
      <c r="J109" s="20">
        <f>(Geraetedaten!$B$152+(Geraetedaten!$B$153*(Geraetedaten!$B$18+d_y_Sw)/1000))*10</f>
        <v>6051.0442000000003</v>
      </c>
      <c r="K109" s="20">
        <f>(Geraetedaten!$B$165+(Geraetedaten!$B$166*(Geraetedaten!$B$18+d_y_Sw)/1000))*10</f>
        <v>10816.164000000001</v>
      </c>
      <c r="L109" s="20">
        <f>(Geraetedaten!$B$158+(Geraetedaten!$B$159*(Geraetedaten!$B$18+d_y_Sw)/1000)-(Geraetedaten!$B$160*I109/1000))*10</f>
        <v>278.38483389219078</v>
      </c>
      <c r="M109" s="20">
        <f>(Geraetedaten!$B$171+(Geraetedaten!$B$172*(Geraetedaten!$B$18+d_y_Sw)/1000)-(Geraetedaten!$B$173*I109/1000))*10</f>
        <v>736.82366890678793</v>
      </c>
      <c r="N109" s="20">
        <f>IF((H109-J109)/(K109-J109)*(Geraetedaten!$B$174-Geraetedaten!$B$161)&lt;Geraetedaten!$B$174,(H109-J109)/(K109-J109)*(Geraetedaten!$B$174-Geraetedaten!$B$161),Geraetedaten!$B$174)</f>
        <v>400</v>
      </c>
      <c r="O109" s="20">
        <f>N109/Geraetedaten!$B$174*(M109-L109)+L109+C109</f>
        <v>806.78177205070381</v>
      </c>
      <c r="P109" s="20">
        <f t="shared" si="94"/>
        <v>224.13086288502538</v>
      </c>
      <c r="Q109" s="20"/>
      <c r="R109" s="21">
        <f>(N109-Geraetedaten!$B$161)/(Geraetedaten!$B$174-Geraetedaten!$B$161)*(Geraetedaten!$B$175-Geraetedaten!$B$162)+Geraetedaten!$B$162</f>
        <v>41.1</v>
      </c>
      <c r="S109" s="21">
        <f t="shared" si="67"/>
        <v>41.1</v>
      </c>
      <c r="T109" s="21">
        <f t="shared" si="68"/>
        <v>38.621366714300834</v>
      </c>
      <c r="U109" s="88">
        <f t="shared" si="69"/>
        <v>14.057027890684989</v>
      </c>
      <c r="V109" s="86">
        <f t="shared" si="70"/>
        <v>-11251.167289999999</v>
      </c>
      <c r="W109" s="85">
        <f t="shared" si="71"/>
        <v>-4225.3239992296285</v>
      </c>
      <c r="X109" s="85">
        <f t="shared" si="72"/>
        <v>-4495.7885455097066</v>
      </c>
      <c r="Y109" s="90">
        <f t="shared" si="73"/>
        <v>4225.3239992296285</v>
      </c>
      <c r="Z109" s="86">
        <f t="shared" si="74"/>
        <v>-23241.835940000001</v>
      </c>
      <c r="AA109" s="85">
        <f t="shared" si="75"/>
        <v>-913.46204712425447</v>
      </c>
      <c r="AB109" s="85">
        <f t="shared" si="76"/>
        <v>-2415.0070677680133</v>
      </c>
      <c r="AC109" s="90">
        <f t="shared" si="77"/>
        <v>913.46204712425447</v>
      </c>
      <c r="AD109" s="86">
        <f t="shared" si="78"/>
        <v>11135.231659999999</v>
      </c>
      <c r="AE109" s="85">
        <f t="shared" si="79"/>
        <v>4140.4375383844126</v>
      </c>
      <c r="AF109" s="85">
        <f t="shared" si="80"/>
        <v>4406.8153021656763</v>
      </c>
      <c r="AG109" s="90">
        <f t="shared" si="81"/>
        <v>4140.4375383844126</v>
      </c>
      <c r="AH109" s="86">
        <f t="shared" si="82"/>
        <v>27792.27896</v>
      </c>
      <c r="AI109" s="85">
        <f t="shared" si="83"/>
        <v>6238.0466047659793</v>
      </c>
      <c r="AJ109" s="85">
        <f t="shared" si="84"/>
        <v>18884.855691483092</v>
      </c>
      <c r="AK109" s="90">
        <f t="shared" si="85"/>
        <v>6238.0466047659793</v>
      </c>
      <c r="AM109" s="95">
        <f t="shared" si="86"/>
        <v>0</v>
      </c>
      <c r="AN109" s="95">
        <f t="shared" si="87"/>
        <v>0</v>
      </c>
      <c r="AO109" s="95">
        <f t="shared" si="88"/>
        <v>0</v>
      </c>
      <c r="AP109" s="95">
        <f t="shared" si="89"/>
        <v>0</v>
      </c>
      <c r="AQ109"/>
      <c r="AR109" s="95">
        <f t="shared" si="90"/>
        <v>0</v>
      </c>
      <c r="AS109" s="95">
        <f t="shared" si="91"/>
        <v>0</v>
      </c>
      <c r="AT109" s="95">
        <f>Geraetedaten!$B$94*ABS(SIN(RADIANS($A109)))</f>
        <v>144.71266360102987</v>
      </c>
      <c r="AU109" s="95">
        <f>Geraetedaten!$B$94*ABS(COS(RADIANS($A109)))</f>
        <v>52.671102072152998</v>
      </c>
      <c r="AV109" s="95">
        <f>((h_Aw_Sw+Geraetedaten!$B$18)/1000)*(AR109*AT109+AS109*AU109)/100</f>
        <v>0</v>
      </c>
      <c r="AX109" s="18">
        <f>(IF($X$19="ja",1,0))*Geraetedaten!$D$142*COS(RADIANS(2*A109))*(Geraetedaten!$B$154*r_K_D+r_K_SSw*F_SSw/10)/1000+Geraetedaten!$B$152</f>
        <v>594.79999999999995</v>
      </c>
      <c r="AY109" s="18">
        <f>(IF($X$19="ja",1,0))*Geraetedaten!$D$142*COS(RADIANS(2*A109))*(Geraetedaten!$B$157*r_K_D+r_K_SSw*F_SSw/10)/1000+Geraetedaten!$B$155</f>
        <v>537.4</v>
      </c>
      <c r="AZ109" s="201"/>
    </row>
    <row r="110" spans="1:52" ht="13.5" x14ac:dyDescent="0.25">
      <c r="A110" s="16">
        <v>71</v>
      </c>
      <c r="B110" s="16">
        <f t="shared" si="61"/>
        <v>379</v>
      </c>
      <c r="C110" s="19">
        <f t="shared" si="62"/>
        <v>69.835646424666692</v>
      </c>
      <c r="D110" s="17">
        <f t="shared" si="92"/>
        <v>-11251.772156424666</v>
      </c>
      <c r="E110" s="17">
        <f t="shared" si="63"/>
        <v>-24352.548346424668</v>
      </c>
      <c r="F110" s="17">
        <f t="shared" si="64"/>
        <v>10996.696053575333</v>
      </c>
      <c r="G110" s="17">
        <f t="shared" si="65"/>
        <v>29185.855983575333</v>
      </c>
      <c r="H110" s="17">
        <f t="shared" si="93"/>
        <v>10996.696053575333</v>
      </c>
      <c r="I110" s="17">
        <f t="shared" si="66"/>
        <v>4379.6270004567841</v>
      </c>
      <c r="J110" s="20">
        <f>(Geraetedaten!$B$152+(Geraetedaten!$B$153*(Geraetedaten!$B$18+d_y_Sw)/1000))*10</f>
        <v>6051.0442000000003</v>
      </c>
      <c r="K110" s="20">
        <f>(Geraetedaten!$B$165+(Geraetedaten!$B$166*(Geraetedaten!$B$18+d_y_Sw)/1000))*10</f>
        <v>10816.164000000001</v>
      </c>
      <c r="L110" s="20">
        <f>(Geraetedaten!$B$158+(Geraetedaten!$B$159*(Geraetedaten!$B$18+d_y_Sw)/1000)-(Geraetedaten!$B$160*I110/1000))*10</f>
        <v>280.37855205650379</v>
      </c>
      <c r="M110" s="20">
        <f>(Geraetedaten!$B$171+(Geraetedaten!$B$172*(Geraetedaten!$B$18+d_y_Sw)/1000)-(Geraetedaten!$B$173*I110/1000))*10</f>
        <v>738.84756608599787</v>
      </c>
      <c r="N110" s="20">
        <f>IF((H110-J110)/(K110-J110)*(Geraetedaten!$B$174-Geraetedaten!$B$161)&lt;Geraetedaten!$B$174,(H110-J110)/(K110-J110)*(Geraetedaten!$B$174-Geraetedaten!$B$161),Geraetedaten!$B$174)</f>
        <v>400</v>
      </c>
      <c r="O110" s="20">
        <f>N110/Geraetedaten!$B$174*(M110-L110)+L110+C110</f>
        <v>808.68321251066459</v>
      </c>
      <c r="P110" s="20">
        <f t="shared" si="94"/>
        <v>224.49275838948023</v>
      </c>
      <c r="Q110" s="20"/>
      <c r="R110" s="21">
        <f>(N110-Geraetedaten!$B$161)/(Geraetedaten!$B$174-Geraetedaten!$B$161)*(Geraetedaten!$B$175-Geraetedaten!$B$162)+Geraetedaten!$B$162</f>
        <v>41.1</v>
      </c>
      <c r="S110" s="21">
        <f t="shared" si="67"/>
        <v>41.1</v>
      </c>
      <c r="T110" s="21">
        <f t="shared" si="68"/>
        <v>38.860813457131918</v>
      </c>
      <c r="U110" s="88">
        <f t="shared" si="69"/>
        <v>13.380851148189143</v>
      </c>
      <c r="V110" s="86">
        <f t="shared" si="70"/>
        <v>-11181.93651</v>
      </c>
      <c r="W110" s="85">
        <f t="shared" si="71"/>
        <v>-4225.3239992296285</v>
      </c>
      <c r="X110" s="85">
        <f t="shared" si="72"/>
        <v>-4468.1250236389524</v>
      </c>
      <c r="Y110" s="90">
        <f t="shared" si="73"/>
        <v>4225.3239992296285</v>
      </c>
      <c r="Z110" s="86">
        <f t="shared" si="74"/>
        <v>-24282.7127</v>
      </c>
      <c r="AA110" s="85">
        <f t="shared" si="75"/>
        <v>-913.46204712425447</v>
      </c>
      <c r="AB110" s="85">
        <f t="shared" si="76"/>
        <v>-2523.1622382590149</v>
      </c>
      <c r="AC110" s="90">
        <f t="shared" si="77"/>
        <v>913.46204712425447</v>
      </c>
      <c r="AD110" s="86">
        <f t="shared" si="78"/>
        <v>11066.5317</v>
      </c>
      <c r="AE110" s="85">
        <f t="shared" si="79"/>
        <v>4140.4375383844126</v>
      </c>
      <c r="AF110" s="85">
        <f t="shared" si="80"/>
        <v>4379.6270004567841</v>
      </c>
      <c r="AG110" s="90">
        <f t="shared" si="81"/>
        <v>4140.4375383844126</v>
      </c>
      <c r="AH110" s="86">
        <f t="shared" si="82"/>
        <v>29255.691630000001</v>
      </c>
      <c r="AI110" s="85">
        <f t="shared" si="83"/>
        <v>6238.0466047659793</v>
      </c>
      <c r="AJ110" s="85">
        <f t="shared" si="84"/>
        <v>19879.244715082852</v>
      </c>
      <c r="AK110" s="90">
        <f t="shared" si="85"/>
        <v>6238.0466047659793</v>
      </c>
      <c r="AM110" s="95">
        <f t="shared" si="86"/>
        <v>0</v>
      </c>
      <c r="AN110" s="95">
        <f t="shared" si="87"/>
        <v>0</v>
      </c>
      <c r="AO110" s="95">
        <f t="shared" si="88"/>
        <v>0</v>
      </c>
      <c r="AP110" s="95">
        <f t="shared" si="89"/>
        <v>0</v>
      </c>
      <c r="AQ110"/>
      <c r="AR110" s="95">
        <f t="shared" si="90"/>
        <v>0</v>
      </c>
      <c r="AS110" s="95">
        <f t="shared" si="91"/>
        <v>0</v>
      </c>
      <c r="AT110" s="95">
        <f>Geraetedaten!$B$94*ABS(SIN(RADIANS($A110)))</f>
        <v>145.60986064229479</v>
      </c>
      <c r="AU110" s="95">
        <f>Geraetedaten!$B$94*ABS(COS(RADIANS($A110)))</f>
        <v>50.137495786402141</v>
      </c>
      <c r="AV110" s="95">
        <f>((h_Aw_Sw+Geraetedaten!$B$18)/1000)*(AR110*AT110+AS110*AU110)/100</f>
        <v>0</v>
      </c>
      <c r="AX110" s="18">
        <f>(IF($X$19="ja",1,0))*Geraetedaten!$D$142*COS(RADIANS(2*A110))*(Geraetedaten!$B$154*r_K_D+r_K_SSw*F_SSw/10)/1000+Geraetedaten!$B$152</f>
        <v>594.79999999999995</v>
      </c>
      <c r="AY110" s="18">
        <f>(IF($X$19="ja",1,0))*Geraetedaten!$D$142*COS(RADIANS(2*A110))*(Geraetedaten!$B$157*r_K_D+r_K_SSw*F_SSw/10)/1000+Geraetedaten!$B$155</f>
        <v>537.4</v>
      </c>
      <c r="AZ110" s="201"/>
    </row>
    <row r="111" spans="1:52" ht="13.5" x14ac:dyDescent="0.25">
      <c r="A111" s="16">
        <v>72</v>
      </c>
      <c r="B111" s="16">
        <f t="shared" si="61"/>
        <v>378</v>
      </c>
      <c r="C111" s="19">
        <f t="shared" si="62"/>
        <v>69.691917091003489</v>
      </c>
      <c r="D111" s="17">
        <f t="shared" si="92"/>
        <v>-11186.610047091004</v>
      </c>
      <c r="E111" s="17">
        <f t="shared" si="63"/>
        <v>-25498.992137091005</v>
      </c>
      <c r="F111" s="17">
        <f t="shared" si="64"/>
        <v>10932.313092908997</v>
      </c>
      <c r="G111" s="17">
        <f t="shared" si="65"/>
        <v>30822.024312908998</v>
      </c>
      <c r="H111" s="17">
        <f t="shared" si="93"/>
        <v>10932.313092908997</v>
      </c>
      <c r="I111" s="17">
        <f t="shared" si="66"/>
        <v>4354.0902892365302</v>
      </c>
      <c r="J111" s="20">
        <f>(Geraetedaten!$B$152+(Geraetedaten!$B$153*(Geraetedaten!$B$18+d_y_Sw)/1000))*10</f>
        <v>6051.0442000000003</v>
      </c>
      <c r="K111" s="20">
        <f>(Geraetedaten!$B$165+(Geraetedaten!$B$166*(Geraetedaten!$B$18+d_y_Sw)/1000))*10</f>
        <v>10816.164000000001</v>
      </c>
      <c r="L111" s="20">
        <f>(Geraetedaten!$B$158+(Geraetedaten!$B$159*(Geraetedaten!$B$18+d_y_Sw)/1000)-(Geraetedaten!$B$160*I111/1000))*10</f>
        <v>282.251159090285</v>
      </c>
      <c r="M111" s="20">
        <f>(Geraetedaten!$B$171+(Geraetedaten!$B$172*(Geraetedaten!$B$18+d_y_Sw)/1000)-(Geraetedaten!$B$173*I111/1000))*10</f>
        <v>740.74851886923352</v>
      </c>
      <c r="N111" s="20">
        <f>IF((H111-J111)/(K111-J111)*(Geraetedaten!$B$174-Geraetedaten!$B$161)&lt;Geraetedaten!$B$174,(H111-J111)/(K111-J111)*(Geraetedaten!$B$174-Geraetedaten!$B$161),Geraetedaten!$B$174)</f>
        <v>400</v>
      </c>
      <c r="O111" s="20">
        <f>N111/Geraetedaten!$B$174*(M111-L111)+L111+C111</f>
        <v>810.44043596023698</v>
      </c>
      <c r="P111" s="20">
        <f t="shared" si="94"/>
        <v>224.82421750272511</v>
      </c>
      <c r="Q111" s="20"/>
      <c r="R111" s="21">
        <f>(N111-Geraetedaten!$B$161)/(Geraetedaten!$B$174-Geraetedaten!$B$161)*(Geraetedaten!$B$175-Geraetedaten!$B$162)+Geraetedaten!$B$162</f>
        <v>41.1</v>
      </c>
      <c r="S111" s="21">
        <f t="shared" si="67"/>
        <v>41.1</v>
      </c>
      <c r="T111" s="21">
        <f t="shared" si="68"/>
        <v>39.088422819730809</v>
      </c>
      <c r="U111" s="88">
        <f t="shared" si="69"/>
        <v>12.700598468810341</v>
      </c>
      <c r="V111" s="86">
        <f t="shared" si="70"/>
        <v>-11116.91813</v>
      </c>
      <c r="W111" s="85">
        <f t="shared" si="71"/>
        <v>-4225.3239992296285</v>
      </c>
      <c r="X111" s="85">
        <f t="shared" si="72"/>
        <v>-4442.1447037909356</v>
      </c>
      <c r="Y111" s="90">
        <f t="shared" si="73"/>
        <v>4225.3239992296285</v>
      </c>
      <c r="Z111" s="86">
        <f t="shared" si="74"/>
        <v>-25429.300220000001</v>
      </c>
      <c r="AA111" s="85">
        <f t="shared" si="75"/>
        <v>-913.46204712425447</v>
      </c>
      <c r="AB111" s="85">
        <f t="shared" si="76"/>
        <v>-2642.3015773319235</v>
      </c>
      <c r="AC111" s="90">
        <f t="shared" si="77"/>
        <v>913.46204712425447</v>
      </c>
      <c r="AD111" s="86">
        <f t="shared" si="78"/>
        <v>11002.005010000001</v>
      </c>
      <c r="AE111" s="85">
        <f t="shared" si="79"/>
        <v>4140.4375383844126</v>
      </c>
      <c r="AF111" s="85">
        <f t="shared" si="80"/>
        <v>4354.0902892365302</v>
      </c>
      <c r="AG111" s="90">
        <f t="shared" si="81"/>
        <v>4140.4375383844126</v>
      </c>
      <c r="AH111" s="86">
        <f t="shared" si="82"/>
        <v>30891.716230000002</v>
      </c>
      <c r="AI111" s="85">
        <f t="shared" si="83"/>
        <v>6238.0466047659793</v>
      </c>
      <c r="AJ111" s="85">
        <f t="shared" si="84"/>
        <v>20990.923555478315</v>
      </c>
      <c r="AK111" s="90">
        <f t="shared" si="85"/>
        <v>6238.0466047659793</v>
      </c>
      <c r="AM111" s="95">
        <f t="shared" si="86"/>
        <v>0</v>
      </c>
      <c r="AN111" s="95">
        <f t="shared" si="87"/>
        <v>0</v>
      </c>
      <c r="AO111" s="95">
        <f t="shared" si="88"/>
        <v>0</v>
      </c>
      <c r="AP111" s="95">
        <f t="shared" si="89"/>
        <v>0</v>
      </c>
      <c r="AQ111"/>
      <c r="AR111" s="95">
        <f t="shared" si="90"/>
        <v>0</v>
      </c>
      <c r="AS111" s="95">
        <f t="shared" si="91"/>
        <v>0</v>
      </c>
      <c r="AT111" s="95">
        <f>Geraetedaten!$B$94*ABS(SIN(RADIANS($A111)))</f>
        <v>146.46270350945363</v>
      </c>
      <c r="AU111" s="95">
        <f>Geraetedaten!$B$94*ABS(COS(RADIANS($A111)))</f>
        <v>47.588617133741906</v>
      </c>
      <c r="AV111" s="95">
        <f>((h_Aw_Sw+Geraetedaten!$B$18)/1000)*(AR111*AT111+AS111*AU111)/100</f>
        <v>0</v>
      </c>
      <c r="AX111" s="18">
        <f>(IF($X$19="ja",1,0))*Geraetedaten!$D$142*COS(RADIANS(2*A111))*(Geraetedaten!$B$154*r_K_D+r_K_SSw*F_SSw/10)/1000+Geraetedaten!$B$152</f>
        <v>594.79999999999995</v>
      </c>
      <c r="AY111" s="18">
        <f>(IF($X$19="ja",1,0))*Geraetedaten!$D$142*COS(RADIANS(2*A111))*(Geraetedaten!$B$157*r_K_D+r_K_SSw*F_SSw/10)/1000+Geraetedaten!$B$155</f>
        <v>537.4</v>
      </c>
      <c r="AZ111" s="201"/>
    </row>
    <row r="112" spans="1:52" ht="13.5" x14ac:dyDescent="0.25">
      <c r="A112" s="16">
        <v>73</v>
      </c>
      <c r="B112" s="16">
        <f t="shared" si="61"/>
        <v>377</v>
      </c>
      <c r="C112" s="19">
        <f t="shared" si="62"/>
        <v>69.526958924273615</v>
      </c>
      <c r="D112" s="17">
        <f t="shared" si="92"/>
        <v>-11125.526728924275</v>
      </c>
      <c r="E112" s="17">
        <f t="shared" si="63"/>
        <v>-26767.596128924273</v>
      </c>
      <c r="F112" s="17">
        <f t="shared" si="64"/>
        <v>10872.013071075726</v>
      </c>
      <c r="G112" s="17">
        <f t="shared" si="65"/>
        <v>32662.591691075726</v>
      </c>
      <c r="H112" s="17">
        <f t="shared" si="93"/>
        <v>10872.013071075726</v>
      </c>
      <c r="I112" s="17">
        <f t="shared" si="66"/>
        <v>4330.1610130851341</v>
      </c>
      <c r="J112" s="20">
        <f>(Geraetedaten!$B$152+(Geraetedaten!$B$153*(Geraetedaten!$B$18+d_y_Sw)/1000))*10</f>
        <v>6051.0442000000003</v>
      </c>
      <c r="K112" s="20">
        <f>(Geraetedaten!$B$165+(Geraetedaten!$B$166*(Geraetedaten!$B$18+d_y_Sw)/1000))*10</f>
        <v>10816.164000000001</v>
      </c>
      <c r="L112" s="20">
        <f>(Geraetedaten!$B$158+(Geraetedaten!$B$159*(Geraetedaten!$B$18+d_y_Sw)/1000)-(Geraetedaten!$B$160*I112/1000))*10</f>
        <v>284.00589291046691</v>
      </c>
      <c r="M112" s="20">
        <f>(Geraetedaten!$B$171+(Geraetedaten!$B$172*(Geraetedaten!$B$18+d_y_Sw)/1000)-(Geraetedaten!$B$173*I112/1000))*10</f>
        <v>742.52981418594345</v>
      </c>
      <c r="N112" s="20">
        <f>IF((H112-J112)/(K112-J112)*(Geraetedaten!$B$174-Geraetedaten!$B$161)&lt;Geraetedaten!$B$174,(H112-J112)/(K112-J112)*(Geraetedaten!$B$174-Geraetedaten!$B$161),Geraetedaten!$B$174)</f>
        <v>400</v>
      </c>
      <c r="O112" s="20">
        <f>N112/Geraetedaten!$B$174*(M112-L112)+L112+C112</f>
        <v>812.05677311021702</v>
      </c>
      <c r="P112" s="20">
        <f t="shared" si="94"/>
        <v>225.12600133063364</v>
      </c>
      <c r="Q112" s="20"/>
      <c r="R112" s="21">
        <f>(N112-Geraetedaten!$B$161)/(Geraetedaten!$B$174-Geraetedaten!$B$161)*(Geraetedaten!$B$175-Geraetedaten!$B$162)+Geraetedaten!$B$162</f>
        <v>41.1</v>
      </c>
      <c r="S112" s="21">
        <f t="shared" si="67"/>
        <v>41.1</v>
      </c>
      <c r="T112" s="21">
        <f t="shared" si="68"/>
        <v>39.304125470080756</v>
      </c>
      <c r="U112" s="88">
        <f t="shared" si="69"/>
        <v>12.016477064104482</v>
      </c>
      <c r="V112" s="86">
        <f t="shared" si="70"/>
        <v>-11055.99977</v>
      </c>
      <c r="W112" s="85">
        <f t="shared" si="71"/>
        <v>-4225.3239992296285</v>
      </c>
      <c r="X112" s="85">
        <f t="shared" si="72"/>
        <v>-4417.8026932124476</v>
      </c>
      <c r="Y112" s="90">
        <f t="shared" si="73"/>
        <v>4225.3239992296285</v>
      </c>
      <c r="Z112" s="86">
        <f t="shared" si="74"/>
        <v>-26698.069169999999</v>
      </c>
      <c r="AA112" s="85">
        <f t="shared" si="75"/>
        <v>-913.46204712425447</v>
      </c>
      <c r="AB112" s="85">
        <f t="shared" si="76"/>
        <v>-2774.1365147452761</v>
      </c>
      <c r="AC112" s="90">
        <f t="shared" si="77"/>
        <v>913.46204712425447</v>
      </c>
      <c r="AD112" s="86">
        <f t="shared" si="78"/>
        <v>10941.54003</v>
      </c>
      <c r="AE112" s="85">
        <f t="shared" si="79"/>
        <v>4140.4375383844126</v>
      </c>
      <c r="AF112" s="85">
        <f t="shared" si="80"/>
        <v>4330.1610130851341</v>
      </c>
      <c r="AG112" s="90">
        <f t="shared" si="81"/>
        <v>4140.4375383844126</v>
      </c>
      <c r="AH112" s="86">
        <f t="shared" si="82"/>
        <v>32732.11865</v>
      </c>
      <c r="AI112" s="85">
        <f t="shared" si="83"/>
        <v>6238.0466047659793</v>
      </c>
      <c r="AJ112" s="85">
        <f t="shared" si="84"/>
        <v>22241.477142888074</v>
      </c>
      <c r="AK112" s="90">
        <f t="shared" si="85"/>
        <v>6238.0466047659793</v>
      </c>
      <c r="AM112" s="95">
        <f t="shared" si="86"/>
        <v>0</v>
      </c>
      <c r="AN112" s="95">
        <f t="shared" si="87"/>
        <v>0</v>
      </c>
      <c r="AO112" s="95">
        <f t="shared" si="88"/>
        <v>0</v>
      </c>
      <c r="AP112" s="95">
        <f t="shared" si="89"/>
        <v>0</v>
      </c>
      <c r="AQ112"/>
      <c r="AR112" s="95">
        <f t="shared" si="90"/>
        <v>0</v>
      </c>
      <c r="AS112" s="95">
        <f t="shared" si="91"/>
        <v>0</v>
      </c>
      <c r="AT112" s="95">
        <f>Geraetedaten!$B$94*ABS(SIN(RADIANS($A112)))</f>
        <v>147.27093241830747</v>
      </c>
      <c r="AU112" s="95">
        <f>Geraetedaten!$B$94*ABS(COS(RADIANS($A112)))</f>
        <v>45.025242527301465</v>
      </c>
      <c r="AV112" s="95">
        <f>((h_Aw_Sw+Geraetedaten!$B$18)/1000)*(AR112*AT112+AS112*AU112)/100</f>
        <v>0</v>
      </c>
      <c r="AX112" s="18">
        <f>(IF($X$19="ja",1,0))*Geraetedaten!$D$142*COS(RADIANS(2*A112))*(Geraetedaten!$B$154*r_K_D+r_K_SSw*F_SSw/10)/1000+Geraetedaten!$B$152</f>
        <v>594.79999999999995</v>
      </c>
      <c r="AY112" s="18">
        <f>(IF($X$19="ja",1,0))*Geraetedaten!$D$142*COS(RADIANS(2*A112))*(Geraetedaten!$B$157*r_K_D+r_K_SSw*F_SSw/10)/1000+Geraetedaten!$B$155</f>
        <v>537.4</v>
      </c>
      <c r="AZ112" s="201"/>
    </row>
    <row r="113" spans="1:52" ht="13.5" x14ac:dyDescent="0.25">
      <c r="A113" s="16">
        <v>74</v>
      </c>
      <c r="B113" s="16">
        <f t="shared" si="61"/>
        <v>376</v>
      </c>
      <c r="C113" s="19">
        <f t="shared" si="62"/>
        <v>69.340822172332622</v>
      </c>
      <c r="D113" s="17">
        <f t="shared" si="92"/>
        <v>-11068.418412172334</v>
      </c>
      <c r="E113" s="17">
        <f t="shared" si="63"/>
        <v>-28178.447452172331</v>
      </c>
      <c r="F113" s="17">
        <f t="shared" si="64"/>
        <v>10815.692757827666</v>
      </c>
      <c r="G113" s="17">
        <f t="shared" si="65"/>
        <v>34747.636907827669</v>
      </c>
      <c r="H113" s="17">
        <f t="shared" si="93"/>
        <v>10815.692757827666</v>
      </c>
      <c r="I113" s="17">
        <f t="shared" si="66"/>
        <v>4307.7983460116557</v>
      </c>
      <c r="J113" s="20">
        <f>(Geraetedaten!$B$152+(Geraetedaten!$B$153*(Geraetedaten!$B$18+d_y_Sw)/1000))*10</f>
        <v>6051.0442000000003</v>
      </c>
      <c r="K113" s="20">
        <f>(Geraetedaten!$B$165+(Geraetedaten!$B$166*(Geraetedaten!$B$18+d_y_Sw)/1000))*10</f>
        <v>10816.164000000001</v>
      </c>
      <c r="L113" s="20">
        <f>(Geraetedaten!$B$158+(Geraetedaten!$B$159*(Geraetedaten!$B$18+d_y_Sw)/1000)-(Geraetedaten!$B$160*I113/1000))*10</f>
        <v>285.6457472869651</v>
      </c>
      <c r="M113" s="20">
        <f>(Geraetedaten!$B$171+(Geraetedaten!$B$172*(Geraetedaten!$B$18+d_y_Sw)/1000)-(Geraetedaten!$B$173*I113/1000))*10</f>
        <v>744.19449112289328</v>
      </c>
      <c r="N113" s="20">
        <f>IF((H113-J113)/(K113-J113)*(Geraetedaten!$B$174-Geraetedaten!$B$161)&lt;Geraetedaten!$B$174,(H113-J113)/(K113-J113)*(Geraetedaten!$B$174-Geraetedaten!$B$161),Geraetedaten!$B$174)</f>
        <v>399.96044236517753</v>
      </c>
      <c r="O113" s="20">
        <f>N113/Geraetedaten!$B$174*(M113-L113)+L113+C113</f>
        <v>813.48996553583345</v>
      </c>
      <c r="P113" s="20">
        <f t="shared" si="94"/>
        <v>225.39345852384989</v>
      </c>
      <c r="Q113" s="20"/>
      <c r="R113" s="21">
        <f>(N113-Geraetedaten!$B$161)/(Geraetedaten!$B$174-Geraetedaten!$B$161)*(Geraetedaten!$B$175-Geraetedaten!$B$162)+Geraetedaten!$B$162</f>
        <v>41.098823160364034</v>
      </c>
      <c r="S113" s="21">
        <f t="shared" si="67"/>
        <v>41.098823160364034</v>
      </c>
      <c r="T113" s="21">
        <f t="shared" si="68"/>
        <v>39.506724452200594</v>
      </c>
      <c r="U113" s="88">
        <f t="shared" si="69"/>
        <v>11.328370943113187</v>
      </c>
      <c r="V113" s="86">
        <f t="shared" si="70"/>
        <v>-10999.077590000001</v>
      </c>
      <c r="W113" s="85">
        <f t="shared" si="71"/>
        <v>-4225.3239992296285</v>
      </c>
      <c r="X113" s="85">
        <f t="shared" si="72"/>
        <v>-4395.0574876753726</v>
      </c>
      <c r="Y113" s="90">
        <f t="shared" si="73"/>
        <v>4225.3239992296285</v>
      </c>
      <c r="Z113" s="86">
        <f t="shared" si="74"/>
        <v>-28109.106629999998</v>
      </c>
      <c r="AA113" s="85">
        <f t="shared" si="75"/>
        <v>-913.46204712425447</v>
      </c>
      <c r="AB113" s="85">
        <f t="shared" si="76"/>
        <v>-2920.7542539894985</v>
      </c>
      <c r="AC113" s="90">
        <f t="shared" si="77"/>
        <v>913.46204712425447</v>
      </c>
      <c r="AD113" s="86">
        <f t="shared" si="78"/>
        <v>10885.033579999999</v>
      </c>
      <c r="AE113" s="85">
        <f t="shared" si="79"/>
        <v>4140.4375383844126</v>
      </c>
      <c r="AF113" s="85">
        <f t="shared" si="80"/>
        <v>4307.7983460116557</v>
      </c>
      <c r="AG113" s="90">
        <f t="shared" si="81"/>
        <v>4140.4375383844126</v>
      </c>
      <c r="AH113" s="86">
        <f t="shared" si="82"/>
        <v>34816.977729999999</v>
      </c>
      <c r="AI113" s="85">
        <f t="shared" si="83"/>
        <v>6238.0466047659793</v>
      </c>
      <c r="AJ113" s="85">
        <f t="shared" si="84"/>
        <v>23658.139045943495</v>
      </c>
      <c r="AK113" s="90">
        <f t="shared" si="85"/>
        <v>6238.0466047659793</v>
      </c>
      <c r="AM113" s="95">
        <f t="shared" si="86"/>
        <v>0</v>
      </c>
      <c r="AN113" s="95">
        <f t="shared" si="87"/>
        <v>0</v>
      </c>
      <c r="AO113" s="95">
        <f t="shared" si="88"/>
        <v>0</v>
      </c>
      <c r="AP113" s="95">
        <f t="shared" si="89"/>
        <v>0</v>
      </c>
      <c r="AQ113"/>
      <c r="AR113" s="95">
        <f t="shared" si="90"/>
        <v>0</v>
      </c>
      <c r="AS113" s="95">
        <f t="shared" si="91"/>
        <v>0</v>
      </c>
      <c r="AT113" s="95">
        <f>Geraetedaten!$B$94*ABS(SIN(RADIANS($A113)))</f>
        <v>148.03430117450111</v>
      </c>
      <c r="AU113" s="95">
        <f>Geraetedaten!$B$94*ABS(COS(RADIANS($A113)))</f>
        <v>42.448152795817869</v>
      </c>
      <c r="AV113" s="95">
        <f>((h_Aw_Sw+Geraetedaten!$B$18)/1000)*(AR113*AT113+AS113*AU113)/100</f>
        <v>0</v>
      </c>
      <c r="AX113" s="18">
        <f>(IF($X$19="ja",1,0))*Geraetedaten!$D$142*COS(RADIANS(2*A113))*(Geraetedaten!$B$154*r_K_D+r_K_SSw*F_SSw/10)/1000+Geraetedaten!$B$152</f>
        <v>594.79999999999995</v>
      </c>
      <c r="AY113" s="18">
        <f>(IF($X$19="ja",1,0))*Geraetedaten!$D$142*COS(RADIANS(2*A113))*(Geraetedaten!$B$157*r_K_D+r_K_SSw*F_SSw/10)/1000+Geraetedaten!$B$155</f>
        <v>537.4</v>
      </c>
      <c r="AZ113" s="201"/>
    </row>
    <row r="114" spans="1:52" ht="13.5" x14ac:dyDescent="0.25">
      <c r="A114" s="16">
        <v>75</v>
      </c>
      <c r="B114" s="16">
        <f t="shared" si="61"/>
        <v>375</v>
      </c>
      <c r="C114" s="19">
        <f t="shared" si="62"/>
        <v>69.133563534238306</v>
      </c>
      <c r="D114" s="17">
        <f t="shared" si="92"/>
        <v>-11015.189293534238</v>
      </c>
      <c r="E114" s="17">
        <f t="shared" si="63"/>
        <v>-29756.299403534238</v>
      </c>
      <c r="F114" s="17">
        <f t="shared" si="64"/>
        <v>10763.256906465762</v>
      </c>
      <c r="G114" s="17">
        <f t="shared" si="65"/>
        <v>37128.460646465763</v>
      </c>
      <c r="H114" s="17">
        <f t="shared" si="93"/>
        <v>10763.256906465762</v>
      </c>
      <c r="I114" s="17">
        <f t="shared" si="66"/>
        <v>4286.9646132114021</v>
      </c>
      <c r="J114" s="20">
        <f>(Geraetedaten!$B$152+(Geraetedaten!$B$153*(Geraetedaten!$B$18+d_y_Sw)/1000))*10</f>
        <v>6051.0442000000003</v>
      </c>
      <c r="K114" s="20">
        <f>(Geraetedaten!$B$165+(Geraetedaten!$B$166*(Geraetedaten!$B$18+d_y_Sw)/1000))*10</f>
        <v>10816.164000000001</v>
      </c>
      <c r="L114" s="20">
        <f>(Geraetedaten!$B$158+(Geraetedaten!$B$159*(Geraetedaten!$B$18+d_y_Sw)/1000)-(Geraetedaten!$B$160*I114/1000))*10</f>
        <v>287.17348491320769</v>
      </c>
      <c r="M114" s="20">
        <f>(Geraetedaten!$B$171+(Geraetedaten!$B$172*(Geraetedaten!$B$18+d_y_Sw)/1000)-(Geraetedaten!$B$173*I114/1000))*10</f>
        <v>745.74535419254403</v>
      </c>
      <c r="N114" s="20">
        <f>IF((H114-J114)/(K114-J114)*(Geraetedaten!$B$174-Geraetedaten!$B$161)&lt;Geraetedaten!$B$174,(H114-J114)/(K114-J114)*(Geraetedaten!$B$174-Geraetedaten!$B$161),Geraetedaten!$B$174)</f>
        <v>395.55880265304233</v>
      </c>
      <c r="O114" s="20">
        <f>N114/Geraetedaten!$B$174*(M114-L114)+L114+C114</f>
        <v>809.78739730370023</v>
      </c>
      <c r="P114" s="20">
        <f t="shared" si="94"/>
        <v>225.041134007648</v>
      </c>
      <c r="Q114" s="20"/>
      <c r="R114" s="21">
        <f>(N114-Geraetedaten!$B$161)/(Geraetedaten!$B$174-Geraetedaten!$B$161)*(Geraetedaten!$B$175-Geraetedaten!$B$162)+Geraetedaten!$B$162</f>
        <v>40.967874378928009</v>
      </c>
      <c r="S114" s="21">
        <f t="shared" si="67"/>
        <v>40.967874378928009</v>
      </c>
      <c r="T114" s="21">
        <f t="shared" si="68"/>
        <v>39.571927910772786</v>
      </c>
      <c r="U114" s="88">
        <f t="shared" si="69"/>
        <v>10.603266126634173</v>
      </c>
      <c r="V114" s="86">
        <f t="shared" si="70"/>
        <v>-10946.05573</v>
      </c>
      <c r="W114" s="85">
        <f t="shared" si="71"/>
        <v>-4225.3239992296285</v>
      </c>
      <c r="X114" s="85">
        <f t="shared" si="72"/>
        <v>-4373.8707904286275</v>
      </c>
      <c r="Y114" s="90">
        <f t="shared" si="73"/>
        <v>4225.3239992296285</v>
      </c>
      <c r="Z114" s="86">
        <f t="shared" si="74"/>
        <v>-29687.165840000001</v>
      </c>
      <c r="AA114" s="85">
        <f t="shared" si="75"/>
        <v>-913.46204712425447</v>
      </c>
      <c r="AB114" s="85">
        <f t="shared" si="76"/>
        <v>-3084.7268477629282</v>
      </c>
      <c r="AC114" s="90">
        <f t="shared" si="77"/>
        <v>913.46204712425447</v>
      </c>
      <c r="AD114" s="86">
        <f t="shared" si="78"/>
        <v>10832.39047</v>
      </c>
      <c r="AE114" s="85">
        <f t="shared" si="79"/>
        <v>4140.4375383844126</v>
      </c>
      <c r="AF114" s="85">
        <f t="shared" si="80"/>
        <v>4286.9646132114021</v>
      </c>
      <c r="AG114" s="90">
        <f t="shared" si="81"/>
        <v>4140.4375383844126</v>
      </c>
      <c r="AH114" s="86">
        <f t="shared" si="82"/>
        <v>37197.594210000003</v>
      </c>
      <c r="AI114" s="85">
        <f t="shared" si="83"/>
        <v>6238.0466047659793</v>
      </c>
      <c r="AJ114" s="85">
        <f t="shared" si="84"/>
        <v>25275.768131779922</v>
      </c>
      <c r="AK114" s="90">
        <f t="shared" si="85"/>
        <v>6238.0466047659793</v>
      </c>
      <c r="AM114" s="95">
        <f t="shared" si="86"/>
        <v>0</v>
      </c>
      <c r="AN114" s="95">
        <f t="shared" si="87"/>
        <v>0</v>
      </c>
      <c r="AO114" s="95">
        <f t="shared" si="88"/>
        <v>0</v>
      </c>
      <c r="AP114" s="95">
        <f t="shared" si="89"/>
        <v>0</v>
      </c>
      <c r="AQ114"/>
      <c r="AR114" s="95">
        <f t="shared" si="90"/>
        <v>0</v>
      </c>
      <c r="AS114" s="95">
        <f t="shared" si="91"/>
        <v>0</v>
      </c>
      <c r="AT114" s="95">
        <f>Geraetedaten!$B$94*ABS(SIN(RADIANS($A114)))</f>
        <v>148.75257724851653</v>
      </c>
      <c r="AU114" s="95">
        <f>Geraetedaten!$B$94*ABS(COS(RADIANS($A114)))</f>
        <v>39.858132945788192</v>
      </c>
      <c r="AV114" s="95">
        <f>((h_Aw_Sw+Geraetedaten!$B$18)/1000)*(AR114*AT114+AS114*AU114)/100</f>
        <v>0</v>
      </c>
      <c r="AX114" s="18">
        <f>(IF($X$19="ja",1,0))*Geraetedaten!$D$142*COS(RADIANS(2*A114))*(Geraetedaten!$B$154*r_K_D+r_K_SSw*F_SSw/10)/1000+Geraetedaten!$B$152</f>
        <v>594.79999999999995</v>
      </c>
      <c r="AY114" s="18">
        <f>(IF($X$19="ja",1,0))*Geraetedaten!$D$142*COS(RADIANS(2*A114))*(Geraetedaten!$B$157*r_K_D+r_K_SSw*F_SSw/10)/1000+Geraetedaten!$B$155</f>
        <v>537.4</v>
      </c>
      <c r="AZ114" s="201"/>
    </row>
    <row r="115" spans="1:52" ht="13.5" x14ac:dyDescent="0.25">
      <c r="A115" s="16">
        <v>76</v>
      </c>
      <c r="B115" s="16">
        <f t="shared" si="61"/>
        <v>374</v>
      </c>
      <c r="C115" s="19">
        <f t="shared" si="62"/>
        <v>68.905246142979607</v>
      </c>
      <c r="D115" s="17">
        <f t="shared" si="92"/>
        <v>-10965.751206142981</v>
      </c>
      <c r="E115" s="17">
        <f t="shared" si="63"/>
        <v>-31532.009326142979</v>
      </c>
      <c r="F115" s="17">
        <f t="shared" si="64"/>
        <v>10714.617823857019</v>
      </c>
      <c r="G115" s="17">
        <f t="shared" si="65"/>
        <v>39871.808033857022</v>
      </c>
      <c r="H115" s="17">
        <f t="shared" si="93"/>
        <v>10714.617823857019</v>
      </c>
      <c r="I115" s="17">
        <f t="shared" si="66"/>
        <v>4267.62512941976</v>
      </c>
      <c r="J115" s="20">
        <f>(Geraetedaten!$B$152+(Geraetedaten!$B$153*(Geraetedaten!$B$18+d_y_Sw)/1000))*10</f>
        <v>6051.0442000000003</v>
      </c>
      <c r="K115" s="20">
        <f>(Geraetedaten!$B$165+(Geraetedaten!$B$166*(Geraetedaten!$B$18+d_y_Sw)/1000))*10</f>
        <v>10816.164000000001</v>
      </c>
      <c r="L115" s="20">
        <f>(Geraetedaten!$B$158+(Geraetedaten!$B$159*(Geraetedaten!$B$18+d_y_Sw)/1000)-(Geraetedaten!$B$160*I115/1000))*10</f>
        <v>288.59164925964882</v>
      </c>
      <c r="M115" s="20">
        <f>(Geraetedaten!$B$171+(Geraetedaten!$B$172*(Geraetedaten!$B$18+d_y_Sw)/1000)-(Geraetedaten!$B$173*I115/1000))*10</f>
        <v>747.18498536599384</v>
      </c>
      <c r="N115" s="20">
        <f>IF((H115-J115)/(K115-J115)*(Geraetedaten!$B$174-Geraetedaten!$B$161)&lt;Geraetedaten!$B$174,(H115-J115)/(K115-J115)*(Geraetedaten!$B$174-Geraetedaten!$B$161),Geraetedaten!$B$174)</f>
        <v>391.47587633427548</v>
      </c>
      <c r="O115" s="20">
        <f>N115/Geraetedaten!$B$174*(M115-L115)+L115+C115</f>
        <v>806.31746573585428</v>
      </c>
      <c r="P115" s="20">
        <f t="shared" si="94"/>
        <v>224.70245497325206</v>
      </c>
      <c r="Q115" s="20"/>
      <c r="R115" s="21">
        <f>(N115-Geraetedaten!$B$161)/(Geraetedaten!$B$174-Geraetedaten!$B$161)*(Geraetedaten!$B$175-Geraetedaten!$B$162)+Geraetedaten!$B$162</f>
        <v>40.846407320944699</v>
      </c>
      <c r="S115" s="21">
        <f t="shared" si="67"/>
        <v>40.846407320944699</v>
      </c>
      <c r="T115" s="21">
        <f t="shared" si="68"/>
        <v>39.633094457241214</v>
      </c>
      <c r="U115" s="88">
        <f t="shared" si="69"/>
        <v>9.881640287519085</v>
      </c>
      <c r="V115" s="86">
        <f t="shared" si="70"/>
        <v>-10896.845960000001</v>
      </c>
      <c r="W115" s="85">
        <f t="shared" si="71"/>
        <v>-4225.3239992296285</v>
      </c>
      <c r="X115" s="85">
        <f t="shared" si="72"/>
        <v>-4354.2073480171457</v>
      </c>
      <c r="Y115" s="90">
        <f t="shared" si="73"/>
        <v>4225.3239992296285</v>
      </c>
      <c r="Z115" s="86">
        <f t="shared" si="74"/>
        <v>-31463.104080000001</v>
      </c>
      <c r="AA115" s="85">
        <f t="shared" si="75"/>
        <v>-913.46204712425447</v>
      </c>
      <c r="AB115" s="85">
        <f t="shared" si="76"/>
        <v>-3269.2606098136512</v>
      </c>
      <c r="AC115" s="90">
        <f t="shared" si="77"/>
        <v>913.46204712425447</v>
      </c>
      <c r="AD115" s="86">
        <f t="shared" si="78"/>
        <v>10783.523069999999</v>
      </c>
      <c r="AE115" s="85">
        <f t="shared" si="79"/>
        <v>4140.4375383844126</v>
      </c>
      <c r="AF115" s="85">
        <f t="shared" si="80"/>
        <v>4267.62512941976</v>
      </c>
      <c r="AG115" s="90">
        <f t="shared" si="81"/>
        <v>4140.4375383844126</v>
      </c>
      <c r="AH115" s="86">
        <f t="shared" si="82"/>
        <v>39940.713280000004</v>
      </c>
      <c r="AI115" s="85">
        <f t="shared" si="83"/>
        <v>6238.0466047659793</v>
      </c>
      <c r="AJ115" s="85">
        <f t="shared" si="84"/>
        <v>27139.717745555965</v>
      </c>
      <c r="AK115" s="90">
        <f t="shared" si="85"/>
        <v>6238.0466047659793</v>
      </c>
      <c r="AM115" s="95">
        <f t="shared" si="86"/>
        <v>0</v>
      </c>
      <c r="AN115" s="95">
        <f t="shared" si="87"/>
        <v>0</v>
      </c>
      <c r="AO115" s="95">
        <f t="shared" si="88"/>
        <v>0</v>
      </c>
      <c r="AP115" s="95">
        <f t="shared" si="89"/>
        <v>0</v>
      </c>
      <c r="AQ115"/>
      <c r="AR115" s="95">
        <f t="shared" si="90"/>
        <v>0</v>
      </c>
      <c r="AS115" s="95">
        <f t="shared" si="91"/>
        <v>0</v>
      </c>
      <c r="AT115" s="95">
        <f>Geraetedaten!$B$94*ABS(SIN(RADIANS($A115)))</f>
        <v>149.42554184650345</v>
      </c>
      <c r="AU115" s="95">
        <f>Geraetedaten!$B$94*ABS(COS(RADIANS($A115)))</f>
        <v>37.25597192234882</v>
      </c>
      <c r="AV115" s="95">
        <f>((h_Aw_Sw+Geraetedaten!$B$18)/1000)*(AR115*AT115+AS115*AU115)/100</f>
        <v>0</v>
      </c>
      <c r="AX115" s="18">
        <f>(IF($X$19="ja",1,0))*Geraetedaten!$D$142*COS(RADIANS(2*A115))*(Geraetedaten!$B$154*r_K_D+r_K_SSw*F_SSw/10)/1000+Geraetedaten!$B$152</f>
        <v>594.79999999999995</v>
      </c>
      <c r="AY115" s="18">
        <f>(IF($X$19="ja",1,0))*Geraetedaten!$D$142*COS(RADIANS(2*A115))*(Geraetedaten!$B$157*r_K_D+r_K_SSw*F_SSw/10)/1000+Geraetedaten!$B$155</f>
        <v>537.4</v>
      </c>
      <c r="AZ115" s="201"/>
    </row>
    <row r="116" spans="1:52" ht="13.5" x14ac:dyDescent="0.25">
      <c r="A116" s="16">
        <v>77</v>
      </c>
      <c r="B116" s="16">
        <f t="shared" si="61"/>
        <v>373</v>
      </c>
      <c r="C116" s="19">
        <f t="shared" si="62"/>
        <v>68.655939546245634</v>
      </c>
      <c r="D116" s="17">
        <f t="shared" si="92"/>
        <v>-10920.023259546246</v>
      </c>
      <c r="E116" s="17">
        <f t="shared" si="63"/>
        <v>-33544.543309546243</v>
      </c>
      <c r="F116" s="17">
        <f t="shared" si="64"/>
        <v>10669.694960453753</v>
      </c>
      <c r="G116" s="17">
        <f t="shared" si="65"/>
        <v>43066.152760453755</v>
      </c>
      <c r="H116" s="17">
        <f t="shared" si="93"/>
        <v>10669.694960453753</v>
      </c>
      <c r="I116" s="17">
        <f t="shared" si="66"/>
        <v>4249.7480525218725</v>
      </c>
      <c r="J116" s="20">
        <f>(Geraetedaten!$B$152+(Geraetedaten!$B$153*(Geraetedaten!$B$18+d_y_Sw)/1000))*10</f>
        <v>6051.0442000000003</v>
      </c>
      <c r="K116" s="20">
        <f>(Geraetedaten!$B$165+(Geraetedaten!$B$166*(Geraetedaten!$B$18+d_y_Sw)/1000))*10</f>
        <v>10816.164000000001</v>
      </c>
      <c r="L116" s="20">
        <f>(Geraetedaten!$B$158+(Geraetedaten!$B$159*(Geraetedaten!$B$18+d_y_Sw)/1000)-(Geraetedaten!$B$160*I116/1000))*10</f>
        <v>289.90257530857087</v>
      </c>
      <c r="M116" s="20">
        <f>(Geraetedaten!$B$171+(Geraetedaten!$B$172*(Geraetedaten!$B$18+d_y_Sw)/1000)-(Geraetedaten!$B$173*I116/1000))*10</f>
        <v>748.51575497027272</v>
      </c>
      <c r="N116" s="20">
        <f>IF((H116-J116)/(K116-J116)*(Geraetedaten!$B$174-Geraetedaten!$B$161)&lt;Geraetedaten!$B$174,(H116-J116)/(K116-J116)*(Geraetedaten!$B$174-Geraetedaten!$B$161),Geraetedaten!$B$174)</f>
        <v>387.70490181201762</v>
      </c>
      <c r="O116" s="20">
        <f>N116/Geraetedaten!$B$174*(M116-L116)+L116+C116</f>
        <v>803.07495933090991</v>
      </c>
      <c r="P116" s="20">
        <f t="shared" si="94"/>
        <v>224.37734364741928</v>
      </c>
      <c r="Q116" s="20"/>
      <c r="R116" s="21">
        <f>(N116-Geraetedaten!$B$161)/(Geraetedaten!$B$174-Geraetedaten!$B$161)*(Geraetedaten!$B$175-Geraetedaten!$B$162)+Geraetedaten!$B$162</f>
        <v>40.734220828907524</v>
      </c>
      <c r="S116" s="21">
        <f t="shared" si="67"/>
        <v>40.734220828907524</v>
      </c>
      <c r="T116" s="21">
        <f t="shared" si="68"/>
        <v>39.690205388038706</v>
      </c>
      <c r="U116" s="88">
        <f t="shared" si="69"/>
        <v>9.1632059233385714</v>
      </c>
      <c r="V116" s="86">
        <f t="shared" si="70"/>
        <v>-10851.367319999999</v>
      </c>
      <c r="W116" s="85">
        <f t="shared" si="71"/>
        <v>-4225.3239992296285</v>
      </c>
      <c r="X116" s="85">
        <f t="shared" si="72"/>
        <v>-4336.0348016076769</v>
      </c>
      <c r="Y116" s="90">
        <f t="shared" si="73"/>
        <v>4225.3239992296285</v>
      </c>
      <c r="Z116" s="86">
        <f t="shared" si="74"/>
        <v>-33475.887369999997</v>
      </c>
      <c r="AA116" s="85">
        <f t="shared" si="75"/>
        <v>-913.46204712425447</v>
      </c>
      <c r="AB116" s="85">
        <f t="shared" si="76"/>
        <v>-3478.4044086492768</v>
      </c>
      <c r="AC116" s="90">
        <f t="shared" si="77"/>
        <v>913.46204712425447</v>
      </c>
      <c r="AD116" s="86">
        <f t="shared" si="78"/>
        <v>10738.350899999999</v>
      </c>
      <c r="AE116" s="85">
        <f t="shared" si="79"/>
        <v>4140.4375383844126</v>
      </c>
      <c r="AF116" s="85">
        <f t="shared" si="80"/>
        <v>4249.7480525218725</v>
      </c>
      <c r="AG116" s="90">
        <f t="shared" si="81"/>
        <v>4140.4375383844126</v>
      </c>
      <c r="AH116" s="86">
        <f t="shared" si="82"/>
        <v>43134.808700000001</v>
      </c>
      <c r="AI116" s="85">
        <f t="shared" si="83"/>
        <v>6238.0466047659793</v>
      </c>
      <c r="AJ116" s="85">
        <f t="shared" si="84"/>
        <v>29310.105834892045</v>
      </c>
      <c r="AK116" s="90">
        <f t="shared" si="85"/>
        <v>6238.0466047659793</v>
      </c>
      <c r="AM116" s="95">
        <f t="shared" si="86"/>
        <v>0</v>
      </c>
      <c r="AN116" s="95">
        <f t="shared" si="87"/>
        <v>0</v>
      </c>
      <c r="AO116" s="95">
        <f t="shared" si="88"/>
        <v>0</v>
      </c>
      <c r="AP116" s="95">
        <f t="shared" si="89"/>
        <v>0</v>
      </c>
      <c r="AQ116"/>
      <c r="AR116" s="95">
        <f t="shared" si="90"/>
        <v>0</v>
      </c>
      <c r="AS116" s="95">
        <f t="shared" si="91"/>
        <v>0</v>
      </c>
      <c r="AT116" s="95">
        <f>Geraetedaten!$B$94*ABS(SIN(RADIANS($A116)))</f>
        <v>150.05298997692623</v>
      </c>
      <c r="AU116" s="95">
        <f>Geraetedaten!$B$94*ABS(COS(RADIANS($A116)))</f>
        <v>34.642462368955201</v>
      </c>
      <c r="AV116" s="95">
        <f>((h_Aw_Sw+Geraetedaten!$B$18)/1000)*(AR116*AT116+AS116*AU116)/100</f>
        <v>0</v>
      </c>
      <c r="AX116" s="18">
        <f>(IF($X$19="ja",1,0))*Geraetedaten!$D$142*COS(RADIANS(2*A116))*(Geraetedaten!$B$154*r_K_D+r_K_SSw*F_SSw/10)/1000+Geraetedaten!$B$152</f>
        <v>594.79999999999995</v>
      </c>
      <c r="AY116" s="18">
        <f>(IF($X$19="ja",1,0))*Geraetedaten!$D$142*COS(RADIANS(2*A116))*(Geraetedaten!$B$157*r_K_D+r_K_SSw*F_SSw/10)/1000+Geraetedaten!$B$155</f>
        <v>537.4</v>
      </c>
      <c r="AZ116" s="201"/>
    </row>
    <row r="117" spans="1:52" ht="13.5" x14ac:dyDescent="0.25">
      <c r="A117" s="16">
        <v>78</v>
      </c>
      <c r="B117" s="16">
        <f t="shared" si="61"/>
        <v>372</v>
      </c>
      <c r="C117" s="19">
        <f t="shared" si="62"/>
        <v>68.385719685240858</v>
      </c>
      <c r="D117" s="17">
        <f t="shared" si="92"/>
        <v>-10877.931439685241</v>
      </c>
      <c r="E117" s="17">
        <f t="shared" si="63"/>
        <v>-35843.826209685241</v>
      </c>
      <c r="F117" s="17">
        <f t="shared" si="64"/>
        <v>10628.41465031476</v>
      </c>
      <c r="G117" s="17">
        <f t="shared" si="65"/>
        <v>46831.321650314756</v>
      </c>
      <c r="H117" s="17">
        <f t="shared" si="93"/>
        <v>10628.41465031476</v>
      </c>
      <c r="I117" s="17">
        <f t="shared" si="66"/>
        <v>4233.3042512282364</v>
      </c>
      <c r="J117" s="20">
        <f>(Geraetedaten!$B$152+(Geraetedaten!$B$153*(Geraetedaten!$B$18+d_y_Sw)/1000))*10</f>
        <v>6051.0442000000003</v>
      </c>
      <c r="K117" s="20">
        <f>(Geraetedaten!$B$165+(Geraetedaten!$B$166*(Geraetedaten!$B$18+d_y_Sw)/1000))*10</f>
        <v>10816.164000000001</v>
      </c>
      <c r="L117" s="20">
        <f>(Geraetedaten!$B$158+(Geraetedaten!$B$159*(Geraetedaten!$B$18+d_y_Sw)/1000)-(Geraetedaten!$B$160*I117/1000))*10</f>
        <v>291.10839925743323</v>
      </c>
      <c r="M117" s="20">
        <f>(Geraetedaten!$B$171+(Geraetedaten!$B$172*(Geraetedaten!$B$18+d_y_Sw)/1000)-(Geraetedaten!$B$173*I117/1000))*10</f>
        <v>749.73983153857091</v>
      </c>
      <c r="N117" s="20">
        <f>IF((H117-J117)/(K117-J117)*(Geraetedaten!$B$174-Geraetedaten!$B$161)&lt;Geraetedaten!$B$174,(H117-J117)/(K117-J117)*(Geraetedaten!$B$174-Geraetedaten!$B$161),Geraetedaten!$B$174)</f>
        <v>384.23969532222543</v>
      </c>
      <c r="O117" s="20">
        <f>N117/Geraetedaten!$B$174*(M117-L117)+L117+C117</f>
        <v>800.05512345492457</v>
      </c>
      <c r="P117" s="20">
        <f t="shared" si="94"/>
        <v>224.06573656950715</v>
      </c>
      <c r="Q117" s="20"/>
      <c r="R117" s="21">
        <f>(N117-Geraetedaten!$B$161)/(Geraetedaten!$B$174-Geraetedaten!$B$161)*(Geraetedaten!$B$175-Geraetedaten!$B$162)+Geraetedaten!$B$162</f>
        <v>40.631130935836211</v>
      </c>
      <c r="S117" s="21">
        <f t="shared" si="67"/>
        <v>40.631130935836211</v>
      </c>
      <c r="T117" s="21">
        <f t="shared" si="68"/>
        <v>39.743243239989297</v>
      </c>
      <c r="U117" s="88">
        <f t="shared" si="69"/>
        <v>8.447687132707479</v>
      </c>
      <c r="V117" s="86">
        <f t="shared" si="70"/>
        <v>-10809.54572</v>
      </c>
      <c r="W117" s="85">
        <f t="shared" si="71"/>
        <v>-4225.3239992296285</v>
      </c>
      <c r="X117" s="85">
        <f t="shared" si="72"/>
        <v>-4319.3235526140334</v>
      </c>
      <c r="Y117" s="90">
        <f t="shared" si="73"/>
        <v>4225.3239992296285</v>
      </c>
      <c r="Z117" s="86">
        <f t="shared" si="74"/>
        <v>-35775.440490000001</v>
      </c>
      <c r="AA117" s="85">
        <f t="shared" si="75"/>
        <v>-913.46204712425447</v>
      </c>
      <c r="AB117" s="85">
        <f t="shared" si="76"/>
        <v>-3717.3458184564001</v>
      </c>
      <c r="AC117" s="90">
        <f t="shared" si="77"/>
        <v>913.46204712425447</v>
      </c>
      <c r="AD117" s="86">
        <f t="shared" si="78"/>
        <v>10696.800370000001</v>
      </c>
      <c r="AE117" s="85">
        <f t="shared" si="79"/>
        <v>4140.4375383844126</v>
      </c>
      <c r="AF117" s="85">
        <f t="shared" si="80"/>
        <v>4233.3042512282364</v>
      </c>
      <c r="AG117" s="90">
        <f t="shared" si="81"/>
        <v>4140.4375383844126</v>
      </c>
      <c r="AH117" s="86">
        <f t="shared" si="82"/>
        <v>46899.707369999996</v>
      </c>
      <c r="AI117" s="85">
        <f t="shared" si="83"/>
        <v>6238.0466047659793</v>
      </c>
      <c r="AJ117" s="85">
        <f t="shared" si="84"/>
        <v>31868.354768151123</v>
      </c>
      <c r="AK117" s="90">
        <f t="shared" si="85"/>
        <v>6238.0466047659793</v>
      </c>
      <c r="AM117" s="95">
        <f t="shared" si="86"/>
        <v>0</v>
      </c>
      <c r="AN117" s="95">
        <f t="shared" si="87"/>
        <v>0</v>
      </c>
      <c r="AO117" s="95">
        <f t="shared" si="88"/>
        <v>0</v>
      </c>
      <c r="AP117" s="95">
        <f t="shared" si="89"/>
        <v>0</v>
      </c>
      <c r="AQ117"/>
      <c r="AR117" s="95">
        <f t="shared" si="90"/>
        <v>0</v>
      </c>
      <c r="AS117" s="95">
        <f t="shared" si="91"/>
        <v>0</v>
      </c>
      <c r="AT117" s="95">
        <f>Geraetedaten!$B$94*ABS(SIN(RADIANS($A117)))</f>
        <v>150.63473051300605</v>
      </c>
      <c r="AU117" s="95">
        <f>Geraetedaten!$B$94*ABS(COS(RADIANS($A117)))</f>
        <v>32.018400385934953</v>
      </c>
      <c r="AV117" s="95">
        <f>((h_Aw_Sw+Geraetedaten!$B$18)/1000)*(AR117*AT117+AS117*AU117)/100</f>
        <v>0</v>
      </c>
      <c r="AX117" s="18">
        <f>(IF($X$19="ja",1,0))*Geraetedaten!$D$142*COS(RADIANS(2*A117))*(Geraetedaten!$B$154*r_K_D+r_K_SSw*F_SSw/10)/1000+Geraetedaten!$B$152</f>
        <v>594.79999999999995</v>
      </c>
      <c r="AY117" s="18">
        <f>(IF($X$19="ja",1,0))*Geraetedaten!$D$142*COS(RADIANS(2*A117))*(Geraetedaten!$B$157*r_K_D+r_K_SSw*F_SSw/10)/1000+Geraetedaten!$B$155</f>
        <v>537.4</v>
      </c>
      <c r="AZ117" s="201"/>
    </row>
    <row r="118" spans="1:52" ht="13.5" x14ac:dyDescent="0.25">
      <c r="A118" s="16">
        <v>79</v>
      </c>
      <c r="B118" s="16">
        <f t="shared" si="61"/>
        <v>371</v>
      </c>
      <c r="C118" s="19">
        <f t="shared" si="62"/>
        <v>68.094668871552628</v>
      </c>
      <c r="D118" s="17">
        <f t="shared" si="92"/>
        <v>-10839.408368871553</v>
      </c>
      <c r="E118" s="17">
        <f t="shared" si="63"/>
        <v>-38494.884938871553</v>
      </c>
      <c r="F118" s="17">
        <f t="shared" si="64"/>
        <v>10590.709731128449</v>
      </c>
      <c r="G118" s="17">
        <f t="shared" si="65"/>
        <v>51333.731921128441</v>
      </c>
      <c r="H118" s="17">
        <f t="shared" si="93"/>
        <v>10590.709731128449</v>
      </c>
      <c r="I118" s="17">
        <f t="shared" si="66"/>
        <v>4218.2671857608884</v>
      </c>
      <c r="J118" s="20">
        <f>(Geraetedaten!$B$152+(Geraetedaten!$B$153*(Geraetedaten!$B$18+d_y_Sw)/1000))*10</f>
        <v>6051.0442000000003</v>
      </c>
      <c r="K118" s="20">
        <f>(Geraetedaten!$B$165+(Geraetedaten!$B$166*(Geraetedaten!$B$18+d_y_Sw)/1000))*10</f>
        <v>10816.164000000001</v>
      </c>
      <c r="L118" s="20">
        <f>(Geraetedaten!$B$158+(Geraetedaten!$B$159*(Geraetedaten!$B$18+d_y_Sw)/1000)-(Geraetedaten!$B$160*I118/1000))*10</f>
        <v>292.21106726815384</v>
      </c>
      <c r="M118" s="20">
        <f>(Geraetedaten!$B$171+(Geraetedaten!$B$172*(Geraetedaten!$B$18+d_y_Sw)/1000)-(Geraetedaten!$B$173*I118/1000))*10</f>
        <v>750.85919069196041</v>
      </c>
      <c r="N118" s="20">
        <f>IF((H118-J118)/(K118-J118)*(Geraetedaten!$B$174-Geraetedaten!$B$161)&lt;Geraetedaten!$B$174,(H118-J118)/(K118-J118)*(Geraetedaten!$B$174-Geraetedaten!$B$161),Geraetedaten!$B$174)</f>
        <v>381.07461903714977</v>
      </c>
      <c r="O118" s="20">
        <f>N118/Geraetedaten!$B$174*(M118-L118)+L118+C118</f>
        <v>797.25363340428328</v>
      </c>
      <c r="P118" s="20">
        <f t="shared" si="94"/>
        <v>223.76758368902233</v>
      </c>
      <c r="Q118" s="20"/>
      <c r="R118" s="21">
        <f>(N118-Geraetedaten!$B$161)/(Geraetedaten!$B$174-Geraetedaten!$B$161)*(Geraetedaten!$B$175-Geraetedaten!$B$162)+Geraetedaten!$B$162</f>
        <v>40.536969916355204</v>
      </c>
      <c r="S118" s="21">
        <f t="shared" si="67"/>
        <v>40.536969916355204</v>
      </c>
      <c r="T118" s="21">
        <f t="shared" si="68"/>
        <v>39.792191604494448</v>
      </c>
      <c r="U118" s="88">
        <f t="shared" si="69"/>
        <v>7.7348185053489606</v>
      </c>
      <c r="V118" s="86">
        <f t="shared" si="70"/>
        <v>-10771.313700000001</v>
      </c>
      <c r="W118" s="85">
        <f t="shared" si="71"/>
        <v>-4225.3239992296285</v>
      </c>
      <c r="X118" s="85">
        <f t="shared" si="72"/>
        <v>-4304.0466415510436</v>
      </c>
      <c r="Y118" s="90">
        <f t="shared" si="73"/>
        <v>4225.3239992296285</v>
      </c>
      <c r="Z118" s="86">
        <f t="shared" si="74"/>
        <v>-38426.790269999998</v>
      </c>
      <c r="AA118" s="85">
        <f t="shared" si="75"/>
        <v>-913.46204712425447</v>
      </c>
      <c r="AB118" s="85">
        <f t="shared" si="76"/>
        <v>-3992.8416302455712</v>
      </c>
      <c r="AC118" s="90">
        <f t="shared" si="77"/>
        <v>913.46204712425447</v>
      </c>
      <c r="AD118" s="86">
        <f t="shared" si="78"/>
        <v>10658.804400000001</v>
      </c>
      <c r="AE118" s="85">
        <f t="shared" si="79"/>
        <v>4140.4375383844126</v>
      </c>
      <c r="AF118" s="85">
        <f t="shared" si="80"/>
        <v>4218.2671857608884</v>
      </c>
      <c r="AG118" s="90">
        <f t="shared" si="81"/>
        <v>4140.4375383844126</v>
      </c>
      <c r="AH118" s="86">
        <f t="shared" si="82"/>
        <v>51401.826589999997</v>
      </c>
      <c r="AI118" s="85">
        <f t="shared" si="83"/>
        <v>6238.0466047659793</v>
      </c>
      <c r="AJ118" s="85">
        <f t="shared" si="84"/>
        <v>34927.545125658733</v>
      </c>
      <c r="AK118" s="90">
        <f t="shared" si="85"/>
        <v>6238.0466047659793</v>
      </c>
      <c r="AM118" s="95">
        <f t="shared" si="86"/>
        <v>0</v>
      </c>
      <c r="AN118" s="95">
        <f t="shared" si="87"/>
        <v>0</v>
      </c>
      <c r="AO118" s="95">
        <f t="shared" si="88"/>
        <v>0</v>
      </c>
      <c r="AP118" s="95">
        <f t="shared" si="89"/>
        <v>0</v>
      </c>
      <c r="AQ118"/>
      <c r="AR118" s="95">
        <f t="shared" si="90"/>
        <v>0</v>
      </c>
      <c r="AS118" s="95">
        <f t="shared" si="91"/>
        <v>0</v>
      </c>
      <c r="AT118" s="95">
        <f>Geraetedaten!$B$94*ABS(SIN(RADIANS($A118)))</f>
        <v>151.17058625094026</v>
      </c>
      <c r="AU118" s="95">
        <f>Geraetedaten!$B$94*ABS(COS(RADIANS($A118)))</f>
        <v>29.384585287987917</v>
      </c>
      <c r="AV118" s="95">
        <f>((h_Aw_Sw+Geraetedaten!$B$18)/1000)*(AR118*AT118+AS118*AU118)/100</f>
        <v>0</v>
      </c>
      <c r="AX118" s="18">
        <f>(IF($X$19="ja",1,0))*Geraetedaten!$D$142*COS(RADIANS(2*A118))*(Geraetedaten!$B$154*r_K_D+r_K_SSw*F_SSw/10)/1000+Geraetedaten!$B$152</f>
        <v>594.79999999999995</v>
      </c>
      <c r="AY118" s="18">
        <f>(IF($X$19="ja",1,0))*Geraetedaten!$D$142*COS(RADIANS(2*A118))*(Geraetedaten!$B$157*r_K_D+r_K_SSw*F_SSw/10)/1000+Geraetedaten!$B$155</f>
        <v>537.4</v>
      </c>
      <c r="AZ118" s="201"/>
    </row>
    <row r="119" spans="1:52" ht="13.5" x14ac:dyDescent="0.25">
      <c r="A119" s="16">
        <v>80</v>
      </c>
      <c r="B119" s="16">
        <f t="shared" si="61"/>
        <v>370</v>
      </c>
      <c r="C119" s="19">
        <f t="shared" si="62"/>
        <v>67.782875762078234</v>
      </c>
      <c r="D119" s="17">
        <f t="shared" si="92"/>
        <v>-10804.392995762078</v>
      </c>
      <c r="E119" s="17">
        <f t="shared" si="63"/>
        <v>-41584.025115762081</v>
      </c>
      <c r="F119" s="17">
        <f t="shared" si="64"/>
        <v>10556.51934423792</v>
      </c>
      <c r="G119" s="17">
        <f t="shared" si="65"/>
        <v>56811.471674237917</v>
      </c>
      <c r="H119" s="17">
        <f t="shared" si="93"/>
        <v>10556.51934423792</v>
      </c>
      <c r="I119" s="17">
        <f t="shared" si="66"/>
        <v>4204.6128006155204</v>
      </c>
      <c r="J119" s="20">
        <f>(Geraetedaten!$B$152+(Geraetedaten!$B$153*(Geraetedaten!$B$18+d_y_Sw)/1000))*10</f>
        <v>6051.0442000000003</v>
      </c>
      <c r="K119" s="20">
        <f>(Geraetedaten!$B$165+(Geraetedaten!$B$166*(Geraetedaten!$B$18+d_y_Sw)/1000))*10</f>
        <v>10816.164000000001</v>
      </c>
      <c r="L119" s="20">
        <f>(Geraetedaten!$B$158+(Geraetedaten!$B$159*(Geraetedaten!$B$18+d_y_Sw)/1000)-(Geraetedaten!$B$160*I119/1000))*10</f>
        <v>293.21234333086369</v>
      </c>
      <c r="M119" s="20">
        <f>(Geraetedaten!$B$171+(Geraetedaten!$B$172*(Geraetedaten!$B$18+d_y_Sw)/1000)-(Geraetedaten!$B$173*I119/1000))*10</f>
        <v>751.87562312218142</v>
      </c>
      <c r="N119" s="20">
        <f>IF((H119-J119)/(K119-J119)*(Geraetedaten!$B$174-Geraetedaten!$B$161)&lt;Geraetedaten!$B$174,(H119-J119)/(K119-J119)*(Geraetedaten!$B$174-Geraetedaten!$B$161),Geraetedaten!$B$174)</f>
        <v>378.20456427877593</v>
      </c>
      <c r="O119" s="20">
        <f>N119/Geraetedaten!$B$174*(M119-L119)+L119+C119</f>
        <v>794.66658380331592</v>
      </c>
      <c r="P119" s="20">
        <f t="shared" si="94"/>
        <v>223.48284917906926</v>
      </c>
      <c r="Q119" s="20"/>
      <c r="R119" s="21">
        <f>(N119-Geraetedaten!$B$161)/(Geraetedaten!$B$174-Geraetedaten!$B$161)*(Geraetedaten!$B$175-Geraetedaten!$B$162)+Geraetedaten!$B$162</f>
        <v>40.451585787293581</v>
      </c>
      <c r="S119" s="21">
        <f t="shared" si="67"/>
        <v>40.451585787293581</v>
      </c>
      <c r="T119" s="21">
        <f t="shared" si="68"/>
        <v>39.837035304965163</v>
      </c>
      <c r="U119" s="88">
        <f t="shared" si="69"/>
        <v>7.0243441557010327</v>
      </c>
      <c r="V119" s="86">
        <f t="shared" si="70"/>
        <v>-10736.610119999999</v>
      </c>
      <c r="W119" s="85">
        <f t="shared" si="71"/>
        <v>-4225.3239992296285</v>
      </c>
      <c r="X119" s="85">
        <f t="shared" si="72"/>
        <v>-4290.1796391690214</v>
      </c>
      <c r="Y119" s="90">
        <f t="shared" si="73"/>
        <v>4225.3239992296285</v>
      </c>
      <c r="Z119" s="86">
        <f t="shared" si="74"/>
        <v>-41516.24224</v>
      </c>
      <c r="AA119" s="85">
        <f t="shared" si="75"/>
        <v>-913.46204712425447</v>
      </c>
      <c r="AB119" s="85">
        <f t="shared" si="76"/>
        <v>-4313.8596577658473</v>
      </c>
      <c r="AC119" s="90">
        <f t="shared" si="77"/>
        <v>913.46204712425447</v>
      </c>
      <c r="AD119" s="86">
        <f t="shared" si="78"/>
        <v>10624.30222</v>
      </c>
      <c r="AE119" s="85">
        <f t="shared" si="79"/>
        <v>4140.4375383844126</v>
      </c>
      <c r="AF119" s="85">
        <f t="shared" si="80"/>
        <v>4204.6128006155204</v>
      </c>
      <c r="AG119" s="90">
        <f t="shared" si="81"/>
        <v>4140.4375383844126</v>
      </c>
      <c r="AH119" s="86">
        <f t="shared" si="82"/>
        <v>56879.254549999998</v>
      </c>
      <c r="AI119" s="85">
        <f t="shared" si="83"/>
        <v>6238.0466047659793</v>
      </c>
      <c r="AJ119" s="85">
        <f t="shared" si="84"/>
        <v>38649.457842344775</v>
      </c>
      <c r="AK119" s="90">
        <f t="shared" si="85"/>
        <v>6238.0466047659793</v>
      </c>
      <c r="AM119" s="95">
        <f t="shared" si="86"/>
        <v>0</v>
      </c>
      <c r="AN119" s="95">
        <f t="shared" si="87"/>
        <v>0</v>
      </c>
      <c r="AO119" s="95">
        <f t="shared" si="88"/>
        <v>0</v>
      </c>
      <c r="AP119" s="95">
        <f t="shared" si="89"/>
        <v>0</v>
      </c>
      <c r="AQ119"/>
      <c r="AR119" s="95">
        <f t="shared" si="90"/>
        <v>0</v>
      </c>
      <c r="AS119" s="95">
        <f t="shared" si="91"/>
        <v>0</v>
      </c>
      <c r="AT119" s="95">
        <f>Geraetedaten!$B$94*ABS(SIN(RADIANS($A119)))</f>
        <v>151.66039396388004</v>
      </c>
      <c r="AU119" s="95">
        <f>Geraetedaten!$B$94*ABS(COS(RADIANS($A119)))</f>
        <v>26.741819360707282</v>
      </c>
      <c r="AV119" s="95">
        <f>((h_Aw_Sw+Geraetedaten!$B$18)/1000)*(AR119*AT119+AS119*AU119)/100</f>
        <v>0</v>
      </c>
      <c r="AX119" s="18">
        <f>(IF($X$19="ja",1,0))*Geraetedaten!$D$142*COS(RADIANS(2*A119))*(Geraetedaten!$B$154*r_K_D+r_K_SSw*F_SSw/10)/1000+Geraetedaten!$B$152</f>
        <v>594.79999999999995</v>
      </c>
      <c r="AY119" s="18">
        <f>(IF($X$19="ja",1,0))*Geraetedaten!$D$142*COS(RADIANS(2*A119))*(Geraetedaten!$B$157*r_K_D+r_K_SSw*F_SSw/10)/1000+Geraetedaten!$B$155</f>
        <v>537.4</v>
      </c>
      <c r="AZ119" s="201"/>
    </row>
    <row r="120" spans="1:52" ht="13.5" x14ac:dyDescent="0.25">
      <c r="A120" s="16">
        <v>81</v>
      </c>
      <c r="B120" s="16">
        <f t="shared" si="61"/>
        <v>369</v>
      </c>
      <c r="C120" s="19">
        <f t="shared" si="62"/>
        <v>67.450435332019268</v>
      </c>
      <c r="D120" s="17">
        <f t="shared" si="92"/>
        <v>-10772.830365332018</v>
      </c>
      <c r="E120" s="17">
        <f t="shared" si="63"/>
        <v>-45228.309325332026</v>
      </c>
      <c r="F120" s="17">
        <f t="shared" si="64"/>
        <v>10525.788634667981</v>
      </c>
      <c r="G120" s="17">
        <f t="shared" si="65"/>
        <v>63617.536474667977</v>
      </c>
      <c r="H120" s="17">
        <f t="shared" si="93"/>
        <v>10525.788634667981</v>
      </c>
      <c r="I120" s="17">
        <f t="shared" si="66"/>
        <v>4192.3194285735653</v>
      </c>
      <c r="J120" s="20">
        <f>(Geraetedaten!$B$152+(Geraetedaten!$B$153*(Geraetedaten!$B$18+d_y_Sw)/1000))*10</f>
        <v>6051.0442000000003</v>
      </c>
      <c r="K120" s="20">
        <f>(Geraetedaten!$B$165+(Geraetedaten!$B$166*(Geraetedaten!$B$18+d_y_Sw)/1000))*10</f>
        <v>10816.164000000001</v>
      </c>
      <c r="L120" s="20">
        <f>(Geraetedaten!$B$158+(Geraetedaten!$B$159*(Geraetedaten!$B$18+d_y_Sw)/1000)-(Geraetedaten!$B$160*I120/1000))*10</f>
        <v>294.11381630270023</v>
      </c>
      <c r="M120" s="20">
        <f>(Geraetedaten!$B$171+(Geraetedaten!$B$172*(Geraetedaten!$B$18+d_y_Sw)/1000)-(Geraetedaten!$B$173*I120/1000))*10</f>
        <v>752.79074173698461</v>
      </c>
      <c r="N120" s="20">
        <f>IF((H120-J120)/(K120-J120)*(Geraetedaten!$B$174-Geraetedaten!$B$161)&lt;Geraetedaten!$B$174,(H120-J120)/(K120-J120)*(Geraetedaten!$B$174-Geraetedaten!$B$161),Geraetedaten!$B$174)</f>
        <v>375.62492633809376</v>
      </c>
      <c r="O120" s="20">
        <f>N120/Geraetedaten!$B$174*(M120-L120)+L120+C120</f>
        <v>792.29046745781045</v>
      </c>
      <c r="P120" s="20">
        <f t="shared" si="94"/>
        <v>223.21151075899033</v>
      </c>
      <c r="Q120" s="20"/>
      <c r="R120" s="21">
        <f>(N120-Geraetedaten!$B$161)/(Geraetedaten!$B$174-Geraetedaten!$B$161)*(Geraetedaten!$B$175-Geraetedaten!$B$162)+Geraetedaten!$B$162</f>
        <v>40.374841558558288</v>
      </c>
      <c r="S120" s="21">
        <f t="shared" si="67"/>
        <v>40.374841558558288</v>
      </c>
      <c r="T120" s="21">
        <f t="shared" si="68"/>
        <v>39.877760260764042</v>
      </c>
      <c r="U120" s="88">
        <f t="shared" si="69"/>
        <v>6.3160167402971492</v>
      </c>
      <c r="V120" s="86">
        <f t="shared" si="70"/>
        <v>-10705.379929999999</v>
      </c>
      <c r="W120" s="85">
        <f t="shared" si="71"/>
        <v>-4225.3239992296285</v>
      </c>
      <c r="X120" s="85">
        <f t="shared" si="72"/>
        <v>-4277.700549030872</v>
      </c>
      <c r="Y120" s="90">
        <f t="shared" si="73"/>
        <v>4225.3239992296285</v>
      </c>
      <c r="Z120" s="86">
        <f t="shared" si="74"/>
        <v>-45160.858890000003</v>
      </c>
      <c r="AA120" s="85">
        <f t="shared" si="75"/>
        <v>-913.46204712425447</v>
      </c>
      <c r="AB120" s="85">
        <f t="shared" si="76"/>
        <v>-4692.563603797872</v>
      </c>
      <c r="AC120" s="90">
        <f t="shared" si="77"/>
        <v>913.46204712425447</v>
      </c>
      <c r="AD120" s="86">
        <f t="shared" si="78"/>
        <v>10593.23907</v>
      </c>
      <c r="AE120" s="85">
        <f t="shared" si="79"/>
        <v>4140.4375383844126</v>
      </c>
      <c r="AF120" s="85">
        <f t="shared" si="80"/>
        <v>4192.3194285735653</v>
      </c>
      <c r="AG120" s="90">
        <f t="shared" si="81"/>
        <v>4140.4375383844126</v>
      </c>
      <c r="AH120" s="86">
        <f t="shared" si="82"/>
        <v>63684.98691</v>
      </c>
      <c r="AI120" s="85">
        <f t="shared" si="83"/>
        <v>6238.0466047659793</v>
      </c>
      <c r="AJ120" s="85">
        <f t="shared" si="84"/>
        <v>43273.953509016254</v>
      </c>
      <c r="AK120" s="90">
        <f t="shared" si="85"/>
        <v>6238.0466047659793</v>
      </c>
      <c r="AM120" s="95">
        <f t="shared" si="86"/>
        <v>0</v>
      </c>
      <c r="AN120" s="95">
        <f t="shared" si="87"/>
        <v>0</v>
      </c>
      <c r="AO120" s="95">
        <f t="shared" si="88"/>
        <v>0</v>
      </c>
      <c r="AP120" s="95">
        <f t="shared" si="89"/>
        <v>0</v>
      </c>
      <c r="AQ120"/>
      <c r="AR120" s="95">
        <f t="shared" si="90"/>
        <v>0</v>
      </c>
      <c r="AS120" s="95">
        <f t="shared" si="91"/>
        <v>0</v>
      </c>
      <c r="AT120" s="95">
        <f>Geraetedaten!$B$94*ABS(SIN(RADIANS($A120)))</f>
        <v>152.10400445165121</v>
      </c>
      <c r="AU120" s="95">
        <f>Geraetedaten!$B$94*ABS(COS(RADIANS($A120)))</f>
        <v>24.090907616195562</v>
      </c>
      <c r="AV120" s="95">
        <f>((h_Aw_Sw+Geraetedaten!$B$18)/1000)*(AR120*AT120+AS120*AU120)/100</f>
        <v>0</v>
      </c>
      <c r="AX120" s="18">
        <f>(IF($X$19="ja",1,0))*Geraetedaten!$D$142*COS(RADIANS(2*A120))*(Geraetedaten!$B$154*r_K_D+r_K_SSw*F_SSw/10)/1000+Geraetedaten!$B$152</f>
        <v>594.79999999999995</v>
      </c>
      <c r="AY120" s="18">
        <f>(IF($X$19="ja",1,0))*Geraetedaten!$D$142*COS(RADIANS(2*A120))*(Geraetedaten!$B$157*r_K_D+r_K_SSw*F_SSw/10)/1000+Geraetedaten!$B$155</f>
        <v>537.4</v>
      </c>
      <c r="AZ120" s="201"/>
    </row>
    <row r="121" spans="1:52" ht="13.5" x14ac:dyDescent="0.25">
      <c r="A121" s="16">
        <v>82</v>
      </c>
      <c r="B121" s="16">
        <f t="shared" si="61"/>
        <v>368</v>
      </c>
      <c r="C121" s="19">
        <f t="shared" si="62"/>
        <v>67.097448845951106</v>
      </c>
      <c r="D121" s="17">
        <f t="shared" si="92"/>
        <v>-10744.67140884595</v>
      </c>
      <c r="E121" s="17">
        <f t="shared" si="63"/>
        <v>-49590.597308845958</v>
      </c>
      <c r="F121" s="17">
        <f t="shared" si="64"/>
        <v>10498.468581154049</v>
      </c>
      <c r="G121" s="17">
        <f t="shared" si="65"/>
        <v>72298.660551154055</v>
      </c>
      <c r="H121" s="17">
        <f t="shared" si="93"/>
        <v>10498.468581154049</v>
      </c>
      <c r="I121" s="17">
        <f t="shared" si="66"/>
        <v>4181.3677052364264</v>
      </c>
      <c r="J121" s="20">
        <f>(Geraetedaten!$B$152+(Geraetedaten!$B$153*(Geraetedaten!$B$18+d_y_Sw)/1000))*10</f>
        <v>6051.0442000000003</v>
      </c>
      <c r="K121" s="20">
        <f>(Geraetedaten!$B$165+(Geraetedaten!$B$166*(Geraetedaten!$B$18+d_y_Sw)/1000))*10</f>
        <v>10816.164000000001</v>
      </c>
      <c r="L121" s="20">
        <f>(Geraetedaten!$B$158+(Geraetedaten!$B$159*(Geraetedaten!$B$18+d_y_Sw)/1000)-(Geraetedaten!$B$160*I121/1000))*10</f>
        <v>294.91690617501268</v>
      </c>
      <c r="M121" s="20">
        <f>(Geraetedaten!$B$171+(Geraetedaten!$B$172*(Geraetedaten!$B$18+d_y_Sw)/1000)-(Geraetedaten!$B$173*I121/1000))*10</f>
        <v>753.60598802220125</v>
      </c>
      <c r="N121" s="20">
        <f>IF((H121-J121)/(K121-J121)*(Geraetedaten!$B$174-Geraetedaten!$B$161)&lt;Geraetedaten!$B$174,(H121-J121)/(K121-J121)*(Geraetedaten!$B$174-Geraetedaten!$B$161),Geraetedaten!$B$174)</f>
        <v>373.33159020715902</v>
      </c>
      <c r="O121" s="20">
        <f>N121/Geraetedaten!$B$174*(M121-L121)+L121+C121</f>
        <v>790.12216586264537</v>
      </c>
      <c r="P121" s="20">
        <f t="shared" si="94"/>
        <v>222.95356021281714</v>
      </c>
      <c r="Q121" s="20"/>
      <c r="R121" s="21">
        <f>(N121-Geraetedaten!$B$161)/(Geraetedaten!$B$174-Geraetedaten!$B$161)*(Geraetedaten!$B$175-Geraetedaten!$B$162)+Geraetedaten!$B$162</f>
        <v>40.306614808662985</v>
      </c>
      <c r="S121" s="21">
        <f t="shared" si="67"/>
        <v>40.306614808662985</v>
      </c>
      <c r="T121" s="21">
        <f t="shared" si="68"/>
        <v>39.914353604085072</v>
      </c>
      <c r="U121" s="88">
        <f t="shared" si="69"/>
        <v>5.6095965721245236</v>
      </c>
      <c r="V121" s="86">
        <f t="shared" si="70"/>
        <v>-10677.57396</v>
      </c>
      <c r="W121" s="85">
        <f t="shared" si="71"/>
        <v>-4225.3239992296285</v>
      </c>
      <c r="X121" s="85">
        <f t="shared" si="72"/>
        <v>-4266.5897207937114</v>
      </c>
      <c r="Y121" s="90">
        <f t="shared" si="73"/>
        <v>4225.3239992296285</v>
      </c>
      <c r="Z121" s="86">
        <f t="shared" si="74"/>
        <v>-49523.499860000004</v>
      </c>
      <c r="AA121" s="85">
        <f t="shared" si="75"/>
        <v>-913.46204712425447</v>
      </c>
      <c r="AB121" s="85">
        <f t="shared" si="76"/>
        <v>-5145.875845763042</v>
      </c>
      <c r="AC121" s="90">
        <f t="shared" si="77"/>
        <v>913.46204712425447</v>
      </c>
      <c r="AD121" s="86">
        <f t="shared" si="78"/>
        <v>10565.56603</v>
      </c>
      <c r="AE121" s="85">
        <f t="shared" si="79"/>
        <v>4140.4375383844126</v>
      </c>
      <c r="AF121" s="85">
        <f t="shared" si="80"/>
        <v>4181.3677052364264</v>
      </c>
      <c r="AG121" s="90">
        <f t="shared" si="81"/>
        <v>4140.4375383844126</v>
      </c>
      <c r="AH121" s="86">
        <f t="shared" si="82"/>
        <v>72365.758000000002</v>
      </c>
      <c r="AI121" s="85">
        <f t="shared" si="83"/>
        <v>6238.0466047659793</v>
      </c>
      <c r="AJ121" s="85">
        <f t="shared" si="84"/>
        <v>49172.538133482361</v>
      </c>
      <c r="AK121" s="90">
        <f t="shared" si="85"/>
        <v>6238.0466047659793</v>
      </c>
      <c r="AM121" s="95">
        <f t="shared" si="86"/>
        <v>0</v>
      </c>
      <c r="AN121" s="95">
        <f t="shared" si="87"/>
        <v>0</v>
      </c>
      <c r="AO121" s="95">
        <f t="shared" si="88"/>
        <v>0</v>
      </c>
      <c r="AP121" s="95">
        <f t="shared" si="89"/>
        <v>0</v>
      </c>
      <c r="AQ121"/>
      <c r="AR121" s="95">
        <f t="shared" si="90"/>
        <v>0</v>
      </c>
      <c r="AS121" s="95">
        <f t="shared" si="91"/>
        <v>0</v>
      </c>
      <c r="AT121" s="95">
        <f>Geraetedaten!$B$94*ABS(SIN(RADIANS($A121)))</f>
        <v>152.50128258620182</v>
      </c>
      <c r="AU121" s="95">
        <f>Geraetedaten!$B$94*ABS(COS(RADIANS($A121)))</f>
        <v>21.432657547850081</v>
      </c>
      <c r="AV121" s="95">
        <f>((h_Aw_Sw+Geraetedaten!$B$18)/1000)*(AR121*AT121+AS121*AU121)/100</f>
        <v>0</v>
      </c>
      <c r="AX121" s="18">
        <f>(IF($X$19="ja",1,0))*Geraetedaten!$D$142*COS(RADIANS(2*A121))*(Geraetedaten!$B$154*r_K_D+r_K_SSw*F_SSw/10)/1000+Geraetedaten!$B$152</f>
        <v>594.79999999999995</v>
      </c>
      <c r="AY121" s="18">
        <f>(IF($X$19="ja",1,0))*Geraetedaten!$D$142*COS(RADIANS(2*A121))*(Geraetedaten!$B$157*r_K_D+r_K_SSw*F_SSw/10)/1000+Geraetedaten!$B$155</f>
        <v>537.4</v>
      </c>
      <c r="AZ121" s="201"/>
    </row>
    <row r="122" spans="1:52" ht="13.5" x14ac:dyDescent="0.25">
      <c r="A122" s="16">
        <v>83</v>
      </c>
      <c r="B122" s="16">
        <f t="shared" si="61"/>
        <v>367</v>
      </c>
      <c r="C122" s="19">
        <f t="shared" si="62"/>
        <v>66.724023826976889</v>
      </c>
      <c r="D122" s="17">
        <f t="shared" si="92"/>
        <v>-10719.872723826977</v>
      </c>
      <c r="E122" s="17">
        <f t="shared" si="63"/>
        <v>-54904.368233826972</v>
      </c>
      <c r="F122" s="17">
        <f t="shared" si="64"/>
        <v>10474.515776173022</v>
      </c>
      <c r="G122" s="17">
        <f t="shared" si="65"/>
        <v>83749.366006173033</v>
      </c>
      <c r="H122" s="17">
        <f t="shared" si="93"/>
        <v>10474.515776173022</v>
      </c>
      <c r="I122" s="17">
        <f t="shared" si="66"/>
        <v>4171.7404934432398</v>
      </c>
      <c r="J122" s="20">
        <f>(Geraetedaten!$B$152+(Geraetedaten!$B$153*(Geraetedaten!$B$18+d_y_Sw)/1000))*10</f>
        <v>6051.0442000000003</v>
      </c>
      <c r="K122" s="20">
        <f>(Geraetedaten!$B$165+(Geraetedaten!$B$166*(Geraetedaten!$B$18+d_y_Sw)/1000))*10</f>
        <v>10816.164000000001</v>
      </c>
      <c r="L122" s="20">
        <f>(Geraetedaten!$B$158+(Geraetedaten!$B$159*(Geraetedaten!$B$18+d_y_Sw)/1000)-(Geraetedaten!$B$160*I122/1000))*10</f>
        <v>295.62286961580702</v>
      </c>
      <c r="M122" s="20">
        <f>(Geraetedaten!$B$171+(Geraetedaten!$B$172*(Geraetedaten!$B$18+d_y_Sw)/1000)-(Geraetedaten!$B$173*I122/1000))*10</f>
        <v>754.32263766808603</v>
      </c>
      <c r="N122" s="20">
        <f>IF((H122-J122)/(K122-J122)*(Geraetedaten!$B$174-Geraetedaten!$B$161)&lt;Geraetedaten!$B$174,(H122-J122)/(K122-J122)*(Geraetedaten!$B$174-Geraetedaten!$B$161),Geraetedaten!$B$174)</f>
        <v>371.32091211415263</v>
      </c>
      <c r="O122" s="20">
        <f>N122/Geraetedaten!$B$174*(M122-L122)+L122+C122</f>
        <v>788.15893409209013</v>
      </c>
      <c r="P122" s="20">
        <f t="shared" si="94"/>
        <v>222.70900303060566</v>
      </c>
      <c r="Q122" s="20"/>
      <c r="R122" s="21">
        <f>(N122-Geraetedaten!$B$161)/(Geraetedaten!$B$174-Geraetedaten!$B$161)*(Geraetedaten!$B$175-Geraetedaten!$B$162)+Geraetedaten!$B$162</f>
        <v>40.246797135396044</v>
      </c>
      <c r="S122" s="21">
        <f t="shared" si="67"/>
        <v>40.246797135396044</v>
      </c>
      <c r="T122" s="21">
        <f t="shared" si="68"/>
        <v>39.946803612626326</v>
      </c>
      <c r="U122" s="88">
        <f t="shared" si="69"/>
        <v>4.904850741050887</v>
      </c>
      <c r="V122" s="86">
        <f t="shared" si="70"/>
        <v>-10653.1487</v>
      </c>
      <c r="W122" s="85">
        <f t="shared" si="71"/>
        <v>-4225.3239992296285</v>
      </c>
      <c r="X122" s="85">
        <f t="shared" si="72"/>
        <v>-4256.8297735474189</v>
      </c>
      <c r="Y122" s="90">
        <f t="shared" si="73"/>
        <v>4225.3239992296285</v>
      </c>
      <c r="Z122" s="86">
        <f t="shared" si="74"/>
        <v>-54837.644209999999</v>
      </c>
      <c r="AA122" s="85">
        <f t="shared" si="75"/>
        <v>-913.46204712425447</v>
      </c>
      <c r="AB122" s="85">
        <f t="shared" si="76"/>
        <v>-5698.0566722385111</v>
      </c>
      <c r="AC122" s="90">
        <f t="shared" si="77"/>
        <v>913.46204712425447</v>
      </c>
      <c r="AD122" s="86">
        <f t="shared" si="78"/>
        <v>10541.239799999999</v>
      </c>
      <c r="AE122" s="85">
        <f t="shared" si="79"/>
        <v>4140.4375383844126</v>
      </c>
      <c r="AF122" s="85">
        <f t="shared" si="80"/>
        <v>4171.7404934432398</v>
      </c>
      <c r="AG122" s="90">
        <f t="shared" si="81"/>
        <v>4140.4375383844126</v>
      </c>
      <c r="AH122" s="86">
        <f t="shared" si="82"/>
        <v>83816.090030000007</v>
      </c>
      <c r="AI122" s="85">
        <f t="shared" si="83"/>
        <v>6238.0466047659793</v>
      </c>
      <c r="AJ122" s="85">
        <f t="shared" si="84"/>
        <v>56953.039623452154</v>
      </c>
      <c r="AK122" s="90">
        <f t="shared" si="85"/>
        <v>6238.0466047659793</v>
      </c>
      <c r="AM122" s="95">
        <f t="shared" si="86"/>
        <v>0</v>
      </c>
      <c r="AN122" s="95">
        <f t="shared" si="87"/>
        <v>0</v>
      </c>
      <c r="AO122" s="95">
        <f t="shared" si="88"/>
        <v>0</v>
      </c>
      <c r="AP122" s="95">
        <f t="shared" si="89"/>
        <v>0</v>
      </c>
      <c r="AQ122"/>
      <c r="AR122" s="95">
        <f t="shared" si="90"/>
        <v>0</v>
      </c>
      <c r="AS122" s="95">
        <f t="shared" si="91"/>
        <v>0</v>
      </c>
      <c r="AT122" s="95">
        <f>Geraetedaten!$B$94*ABS(SIN(RADIANS($A122)))</f>
        <v>152.8521073527636</v>
      </c>
      <c r="AU122" s="95">
        <f>Geraetedaten!$B$94*ABS(COS(RADIANS($A122)))</f>
        <v>18.767878884392715</v>
      </c>
      <c r="AV122" s="95">
        <f>((h_Aw_Sw+Geraetedaten!$B$18)/1000)*(AR122*AT122+AS122*AU122)/100</f>
        <v>0</v>
      </c>
      <c r="AX122" s="18">
        <f>(IF($X$19="ja",1,0))*Geraetedaten!$D$142*COS(RADIANS(2*A122))*(Geraetedaten!$B$154*r_K_D+r_K_SSw*F_SSw/10)/1000+Geraetedaten!$B$152</f>
        <v>594.79999999999995</v>
      </c>
      <c r="AY122" s="18">
        <f>(IF($X$19="ja",1,0))*Geraetedaten!$D$142*COS(RADIANS(2*A122))*(Geraetedaten!$B$157*r_K_D+r_K_SSw*F_SSw/10)/1000+Geraetedaten!$B$155</f>
        <v>537.4</v>
      </c>
      <c r="AZ122" s="201"/>
    </row>
    <row r="123" spans="1:52" ht="13.5" x14ac:dyDescent="0.25">
      <c r="A123" s="16">
        <v>84</v>
      </c>
      <c r="B123" s="16">
        <f t="shared" si="61"/>
        <v>366</v>
      </c>
      <c r="C123" s="19">
        <f t="shared" si="62"/>
        <v>66.330274023974866</v>
      </c>
      <c r="D123" s="17">
        <f t="shared" si="92"/>
        <v>-10698.396444023974</v>
      </c>
      <c r="E123" s="17">
        <f t="shared" si="63"/>
        <v>-61516.650764023972</v>
      </c>
      <c r="F123" s="17">
        <f t="shared" si="64"/>
        <v>10453.892245976025</v>
      </c>
      <c r="G123" s="17">
        <f t="shared" si="65"/>
        <v>99540.796505976032</v>
      </c>
      <c r="H123" s="17">
        <f t="shared" si="93"/>
        <v>10453.892245976025</v>
      </c>
      <c r="I123" s="17">
        <f t="shared" si="66"/>
        <v>4163.4228170148726</v>
      </c>
      <c r="J123" s="20">
        <f>(Geraetedaten!$B$152+(Geraetedaten!$B$153*(Geraetedaten!$B$18+d_y_Sw)/1000))*10</f>
        <v>6051.0442000000003</v>
      </c>
      <c r="K123" s="20">
        <f>(Geraetedaten!$B$165+(Geraetedaten!$B$166*(Geraetedaten!$B$18+d_y_Sw)/1000))*10</f>
        <v>10816.164000000001</v>
      </c>
      <c r="L123" s="20">
        <f>(Geraetedaten!$B$158+(Geraetedaten!$B$159*(Geraetedaten!$B$18+d_y_Sw)/1000)-(Geraetedaten!$B$160*I123/1000))*10</f>
        <v>296.23280482829921</v>
      </c>
      <c r="M123" s="20">
        <f>(Geraetedaten!$B$171+(Geraetedaten!$B$172*(Geraetedaten!$B$18+d_y_Sw)/1000)-(Geraetedaten!$B$173*I123/1000))*10</f>
        <v>754.9418055014138</v>
      </c>
      <c r="N123" s="20">
        <f>IF((H123-J123)/(K123-J123)*(Geraetedaten!$B$174-Geraetedaten!$B$161)&lt;Geraetedaten!$B$174,(H123-J123)/(K123-J123)*(Geraetedaten!$B$174-Geraetedaten!$B$161),Geraetedaten!$B$174)</f>
        <v>369.58970441633176</v>
      </c>
      <c r="O123" s="20">
        <f>N123/Geraetedaten!$B$174*(M123-L123)+L123+C123</f>
        <v>786.39838878199248</v>
      </c>
      <c r="P123" s="20">
        <f t="shared" si="94"/>
        <v>222.47785823393346</v>
      </c>
      <c r="Q123" s="20"/>
      <c r="R123" s="21">
        <f>(N123-Geraetedaten!$B$161)/(Geraetedaten!$B$174-Geraetedaten!$B$161)*(Geraetedaten!$B$175-Geraetedaten!$B$162)+Geraetedaten!$B$162</f>
        <v>40.195293706385868</v>
      </c>
      <c r="S123" s="21">
        <f t="shared" si="67"/>
        <v>40.195293706385868</v>
      </c>
      <c r="T123" s="21">
        <f t="shared" si="68"/>
        <v>39.975099681759303</v>
      </c>
      <c r="U123" s="88">
        <f t="shared" si="69"/>
        <v>4.2015522817204971</v>
      </c>
      <c r="V123" s="86">
        <f t="shared" si="70"/>
        <v>-10632.06617</v>
      </c>
      <c r="W123" s="85">
        <f t="shared" si="71"/>
        <v>-4225.3239992296285</v>
      </c>
      <c r="X123" s="85">
        <f t="shared" si="72"/>
        <v>-4248.405528645254</v>
      </c>
      <c r="Y123" s="90">
        <f t="shared" si="73"/>
        <v>4225.3239992296285</v>
      </c>
      <c r="Z123" s="86">
        <f t="shared" si="74"/>
        <v>-61450.320489999998</v>
      </c>
      <c r="AA123" s="85">
        <f t="shared" si="75"/>
        <v>-913.46204712425447</v>
      </c>
      <c r="AB123" s="85">
        <f t="shared" si="76"/>
        <v>-6385.1650394709959</v>
      </c>
      <c r="AC123" s="90">
        <f t="shared" si="77"/>
        <v>913.46204712425447</v>
      </c>
      <c r="AD123" s="86">
        <f t="shared" si="78"/>
        <v>10520.222519999999</v>
      </c>
      <c r="AE123" s="85">
        <f t="shared" si="79"/>
        <v>4140.4375383844126</v>
      </c>
      <c r="AF123" s="85">
        <f t="shared" si="80"/>
        <v>4163.4228170148726</v>
      </c>
      <c r="AG123" s="90">
        <f t="shared" si="81"/>
        <v>4140.4375383844126</v>
      </c>
      <c r="AH123" s="86">
        <f t="shared" si="82"/>
        <v>99607.126780000006</v>
      </c>
      <c r="AI123" s="85">
        <f t="shared" si="83"/>
        <v>6238.0466047659793</v>
      </c>
      <c r="AJ123" s="85">
        <f t="shared" si="84"/>
        <v>67683.050311348969</v>
      </c>
      <c r="AK123" s="90">
        <f t="shared" si="85"/>
        <v>6238.0466047659793</v>
      </c>
      <c r="AM123" s="95">
        <f t="shared" si="86"/>
        <v>0</v>
      </c>
      <c r="AN123" s="95">
        <f t="shared" si="87"/>
        <v>0</v>
      </c>
      <c r="AO123" s="95">
        <f t="shared" si="88"/>
        <v>0</v>
      </c>
      <c r="AP123" s="95">
        <f t="shared" si="89"/>
        <v>0</v>
      </c>
      <c r="AQ123"/>
      <c r="AR123" s="95">
        <f t="shared" si="90"/>
        <v>0</v>
      </c>
      <c r="AS123" s="95">
        <f t="shared" si="91"/>
        <v>0</v>
      </c>
      <c r="AT123" s="95">
        <f>Geraetedaten!$B$94*ABS(SIN(RADIANS($A123)))</f>
        <v>153.15637188671408</v>
      </c>
      <c r="AU123" s="95">
        <f>Geraetedaten!$B$94*ABS(COS(RADIANS($A123)))</f>
        <v>16.097383343218631</v>
      </c>
      <c r="AV123" s="95">
        <f>((h_Aw_Sw+Geraetedaten!$B$18)/1000)*(AR123*AT123+AS123*AU123)/100</f>
        <v>0</v>
      </c>
      <c r="AX123" s="18">
        <f>(IF($X$19="ja",1,0))*Geraetedaten!$D$142*COS(RADIANS(2*A123))*(Geraetedaten!$B$154*r_K_D+r_K_SSw*F_SSw/10)/1000+Geraetedaten!$B$152</f>
        <v>594.79999999999995</v>
      </c>
      <c r="AY123" s="18">
        <f>(IF($X$19="ja",1,0))*Geraetedaten!$D$142*COS(RADIANS(2*A123))*(Geraetedaten!$B$157*r_K_D+r_K_SSw*F_SSw/10)/1000+Geraetedaten!$B$155</f>
        <v>537.4</v>
      </c>
      <c r="AZ123" s="201"/>
    </row>
    <row r="124" spans="1:52" ht="13.5" x14ac:dyDescent="0.25">
      <c r="A124" s="16">
        <v>85</v>
      </c>
      <c r="B124" s="16">
        <f t="shared" si="61"/>
        <v>365</v>
      </c>
      <c r="C124" s="19">
        <f t="shared" si="62"/>
        <v>65.916319376949332</v>
      </c>
      <c r="D124" s="17">
        <f t="shared" si="92"/>
        <v>-10680.21006937695</v>
      </c>
      <c r="E124" s="17">
        <f t="shared" si="63"/>
        <v>-69966.604329376947</v>
      </c>
      <c r="F124" s="17">
        <f t="shared" si="64"/>
        <v>10436.565360623052</v>
      </c>
      <c r="G124" s="17">
        <f t="shared" si="65"/>
        <v>122709.65106062304</v>
      </c>
      <c r="H124" s="17">
        <f t="shared" si="93"/>
        <v>10436.565360623052</v>
      </c>
      <c r="I124" s="17">
        <f t="shared" si="66"/>
        <v>4156.4018033415596</v>
      </c>
      <c r="J124" s="20">
        <f>(Geraetedaten!$B$152+(Geraetedaten!$B$153*(Geraetedaten!$B$18+d_y_Sw)/1000))*10</f>
        <v>6051.0442000000003</v>
      </c>
      <c r="K124" s="20">
        <f>(Geraetedaten!$B$165+(Geraetedaten!$B$166*(Geraetedaten!$B$18+d_y_Sw)/1000))*10</f>
        <v>10816.164000000001</v>
      </c>
      <c r="L124" s="20">
        <f>(Geraetedaten!$B$158+(Geraetedaten!$B$159*(Geraetedaten!$B$18+d_y_Sw)/1000)-(Geraetedaten!$B$160*I124/1000))*10</f>
        <v>296.74765576096326</v>
      </c>
      <c r="M124" s="20">
        <f>(Geraetedaten!$B$171+(Geraetedaten!$B$172*(Geraetedaten!$B$18+d_y_Sw)/1000)-(Geraetedaten!$B$173*I124/1000))*10</f>
        <v>755.4644497592551</v>
      </c>
      <c r="N124" s="20">
        <f>IF((H124-J124)/(K124-J124)*(Geraetedaten!$B$174-Geraetedaten!$B$161)&lt;Geraetedaten!$B$174,(H124-J124)/(K124-J124)*(Geraetedaten!$B$174-Geraetedaten!$B$161),Geraetedaten!$B$174)</f>
        <v>368.13522804803785</v>
      </c>
      <c r="O124" s="20">
        <f>N124/Geraetedaten!$B$174*(M124-L124)+L124+C124</f>
        <v>784.8385040579775</v>
      </c>
      <c r="P124" s="20">
        <f t="shared" si="94"/>
        <v>222.26015899770209</v>
      </c>
      <c r="Q124" s="20"/>
      <c r="R124" s="21">
        <f>(N124-Geraetedaten!$B$161)/(Geraetedaten!$B$174-Geraetedaten!$B$161)*(Geraetedaten!$B$175-Geraetedaten!$B$162)+Geraetedaten!$B$162</f>
        <v>40.152023034429128</v>
      </c>
      <c r="S124" s="21">
        <f t="shared" si="67"/>
        <v>40.152023034429128</v>
      </c>
      <c r="T124" s="21">
        <f t="shared" si="68"/>
        <v>39.999232464555938</v>
      </c>
      <c r="U124" s="88">
        <f t="shared" si="69"/>
        <v>3.4994793903867492</v>
      </c>
      <c r="V124" s="86">
        <f t="shared" si="70"/>
        <v>-10614.293750000001</v>
      </c>
      <c r="W124" s="85">
        <f t="shared" si="71"/>
        <v>-4225.3239992296285</v>
      </c>
      <c r="X124" s="85">
        <f t="shared" si="72"/>
        <v>-4241.303951537524</v>
      </c>
      <c r="Y124" s="90">
        <f t="shared" si="73"/>
        <v>4225.3239992296285</v>
      </c>
      <c r="Z124" s="86">
        <f t="shared" si="74"/>
        <v>-69900.688009999998</v>
      </c>
      <c r="AA124" s="85">
        <f t="shared" si="75"/>
        <v>-913.46204712425447</v>
      </c>
      <c r="AB124" s="85">
        <f t="shared" si="76"/>
        <v>-7263.2237846244443</v>
      </c>
      <c r="AC124" s="90">
        <f t="shared" si="77"/>
        <v>913.46204712425447</v>
      </c>
      <c r="AD124" s="86">
        <f t="shared" si="78"/>
        <v>10502.481680000001</v>
      </c>
      <c r="AE124" s="85">
        <f t="shared" si="79"/>
        <v>4140.4375383844126</v>
      </c>
      <c r="AF124" s="85">
        <f t="shared" si="80"/>
        <v>4156.4018033415596</v>
      </c>
      <c r="AG124" s="90">
        <f t="shared" si="81"/>
        <v>4140.4375383844126</v>
      </c>
      <c r="AH124" s="86">
        <f t="shared" si="82"/>
        <v>122775.56737999999</v>
      </c>
      <c r="AI124" s="85">
        <f t="shared" si="83"/>
        <v>6238.0466047659793</v>
      </c>
      <c r="AJ124" s="85">
        <f t="shared" si="84"/>
        <v>83426.007484556263</v>
      </c>
      <c r="AK124" s="90">
        <f t="shared" si="85"/>
        <v>6238.0466047659793</v>
      </c>
      <c r="AM124" s="95">
        <f t="shared" si="86"/>
        <v>0</v>
      </c>
      <c r="AN124" s="95">
        <f t="shared" si="87"/>
        <v>0</v>
      </c>
      <c r="AO124" s="95">
        <f t="shared" si="88"/>
        <v>0</v>
      </c>
      <c r="AP124" s="95">
        <f t="shared" si="89"/>
        <v>0</v>
      </c>
      <c r="AQ124"/>
      <c r="AR124" s="95">
        <f t="shared" si="90"/>
        <v>0</v>
      </c>
      <c r="AS124" s="95">
        <f t="shared" si="91"/>
        <v>0</v>
      </c>
      <c r="AT124" s="95">
        <f>Geraetedaten!$B$94*ABS(SIN(RADIANS($A124)))</f>
        <v>153.4139835061288</v>
      </c>
      <c r="AU124" s="95">
        <f>Geraetedaten!$B$94*ABS(COS(RADIANS($A124)))</f>
        <v>13.421984383139353</v>
      </c>
      <c r="AV124" s="95">
        <f>((h_Aw_Sw+Geraetedaten!$B$18)/1000)*(AR124*AT124+AS124*AU124)/100</f>
        <v>0</v>
      </c>
      <c r="AX124" s="18">
        <f>(IF($X$19="ja",1,0))*Geraetedaten!$D$142*COS(RADIANS(2*A124))*(Geraetedaten!$B$154*r_K_D+r_K_SSw*F_SSw/10)/1000+Geraetedaten!$B$152</f>
        <v>594.79999999999995</v>
      </c>
      <c r="AY124" s="18">
        <f>(IF($X$19="ja",1,0))*Geraetedaten!$D$142*COS(RADIANS(2*A124))*(Geraetedaten!$B$157*r_K_D+r_K_SSw*F_SSw/10)/1000+Geraetedaten!$B$155</f>
        <v>537.4</v>
      </c>
      <c r="AZ124" s="201"/>
    </row>
    <row r="125" spans="1:52" ht="13.5" x14ac:dyDescent="0.25">
      <c r="A125" s="16">
        <v>86</v>
      </c>
      <c r="B125" s="16">
        <f t="shared" si="61"/>
        <v>364</v>
      </c>
      <c r="C125" s="19">
        <f t="shared" si="62"/>
        <v>65.482285980495845</v>
      </c>
      <c r="D125" s="17">
        <f t="shared" si="92"/>
        <v>-10665.286355980496</v>
      </c>
      <c r="E125" s="17">
        <f t="shared" si="63"/>
        <v>-81139.842165980503</v>
      </c>
      <c r="F125" s="17">
        <f t="shared" si="64"/>
        <v>10422.507644019504</v>
      </c>
      <c r="G125" s="17">
        <f t="shared" si="65"/>
        <v>159986.68904401953</v>
      </c>
      <c r="H125" s="17">
        <f t="shared" si="93"/>
        <v>10422.507644019504</v>
      </c>
      <c r="I125" s="17">
        <f t="shared" si="66"/>
        <v>4150.6666344005007</v>
      </c>
      <c r="J125" s="20">
        <f>(Geraetedaten!$B$152+(Geraetedaten!$B$153*(Geraetedaten!$B$18+d_y_Sw)/1000))*10</f>
        <v>6051.0442000000003</v>
      </c>
      <c r="K125" s="20">
        <f>(Geraetedaten!$B$165+(Geraetedaten!$B$166*(Geraetedaten!$B$18+d_y_Sw)/1000))*10</f>
        <v>10816.164000000001</v>
      </c>
      <c r="L125" s="20">
        <f>(Geraetedaten!$B$158+(Geraetedaten!$B$159*(Geraetedaten!$B$18+d_y_Sw)/1000)-(Geraetedaten!$B$160*I125/1000))*10</f>
        <v>297.16821569941106</v>
      </c>
      <c r="M125" s="20">
        <f>(Geraetedaten!$B$171+(Geraetedaten!$B$172*(Geraetedaten!$B$18+d_y_Sw)/1000)-(Geraetedaten!$B$173*I125/1000))*10</f>
        <v>755.8913757352276</v>
      </c>
      <c r="N125" s="20">
        <f>IF((H125-J125)/(K125-J125)*(Geraetedaten!$B$174-Geraetedaten!$B$161)&lt;Geraetedaten!$B$174,(H125-J125)/(K125-J125)*(Geraetedaten!$B$174-Geraetedaten!$B$161),Geraetedaten!$B$174)</f>
        <v>366.95517657453263</v>
      </c>
      <c r="O125" s="20">
        <f>N125/Geraetedaten!$B$174*(M125-L125)+L125+C125</f>
        <v>783.47759715433358</v>
      </c>
      <c r="P125" s="20">
        <f t="shared" si="94"/>
        <v>222.05595183889855</v>
      </c>
      <c r="Q125" s="20"/>
      <c r="R125" s="21">
        <f>(N125-Geraetedaten!$B$161)/(Geraetedaten!$B$174-Geraetedaten!$B$161)*(Geraetedaten!$B$175-Geraetedaten!$B$162)+Geraetedaten!$B$162</f>
        <v>40.116916503092348</v>
      </c>
      <c r="S125" s="21">
        <f t="shared" si="67"/>
        <v>40.116916503092348</v>
      </c>
      <c r="T125" s="21">
        <f t="shared" si="68"/>
        <v>40.019193710759986</v>
      </c>
      <c r="U125" s="88">
        <f t="shared" si="69"/>
        <v>2.7984146327432255</v>
      </c>
      <c r="V125" s="86">
        <f t="shared" si="70"/>
        <v>-10599.80407</v>
      </c>
      <c r="W125" s="85">
        <f t="shared" si="71"/>
        <v>-4225.3239992296285</v>
      </c>
      <c r="X125" s="85">
        <f t="shared" si="72"/>
        <v>-4235.5141021894278</v>
      </c>
      <c r="Y125" s="90">
        <f t="shared" si="73"/>
        <v>4225.3239992296285</v>
      </c>
      <c r="Z125" s="86">
        <f t="shared" si="74"/>
        <v>-81074.359880000004</v>
      </c>
      <c r="AA125" s="85">
        <f t="shared" si="75"/>
        <v>-913.46204712425447</v>
      </c>
      <c r="AB125" s="85">
        <f t="shared" si="76"/>
        <v>-8424.2549785332521</v>
      </c>
      <c r="AC125" s="90">
        <f t="shared" si="77"/>
        <v>913.46204712425447</v>
      </c>
      <c r="AD125" s="86">
        <f t="shared" si="78"/>
        <v>10487.98993</v>
      </c>
      <c r="AE125" s="85">
        <f t="shared" si="79"/>
        <v>4140.4375383844126</v>
      </c>
      <c r="AF125" s="85">
        <f t="shared" si="80"/>
        <v>4150.6666344005007</v>
      </c>
      <c r="AG125" s="90">
        <f t="shared" si="81"/>
        <v>4140.4375383844126</v>
      </c>
      <c r="AH125" s="86">
        <f t="shared" si="82"/>
        <v>160052.17133000001</v>
      </c>
      <c r="AI125" s="85">
        <f t="shared" si="83"/>
        <v>6238.0466047659793</v>
      </c>
      <c r="AJ125" s="85">
        <f t="shared" si="84"/>
        <v>108755.46273509112</v>
      </c>
      <c r="AK125" s="90">
        <f t="shared" si="85"/>
        <v>6238.0466047659793</v>
      </c>
      <c r="AM125" s="95">
        <f t="shared" si="86"/>
        <v>0</v>
      </c>
      <c r="AN125" s="95">
        <f t="shared" si="87"/>
        <v>0</v>
      </c>
      <c r="AO125" s="95">
        <f t="shared" si="88"/>
        <v>0</v>
      </c>
      <c r="AP125" s="95">
        <f t="shared" si="89"/>
        <v>0</v>
      </c>
      <c r="AQ125"/>
      <c r="AR125" s="95">
        <f t="shared" si="90"/>
        <v>0</v>
      </c>
      <c r="AS125" s="95">
        <f t="shared" si="91"/>
        <v>0</v>
      </c>
      <c r="AT125" s="95">
        <f>Geraetedaten!$B$94*ABS(SIN(RADIANS($A125)))</f>
        <v>153.62486374001293</v>
      </c>
      <c r="AU125" s="95">
        <f>Geraetedaten!$B$94*ABS(COS(RADIANS($A125)))</f>
        <v>10.742496956595286</v>
      </c>
      <c r="AV125" s="95">
        <f>((h_Aw_Sw+Geraetedaten!$B$18)/1000)*(AR125*AT125+AS125*AU125)/100</f>
        <v>0</v>
      </c>
      <c r="AX125" s="18">
        <f>(IF($X$19="ja",1,0))*Geraetedaten!$D$142*COS(RADIANS(2*A125))*(Geraetedaten!$B$154*r_K_D+r_K_SSw*F_SSw/10)/1000+Geraetedaten!$B$152</f>
        <v>594.79999999999995</v>
      </c>
      <c r="AY125" s="18">
        <f>(IF($X$19="ja",1,0))*Geraetedaten!$D$142*COS(RADIANS(2*A125))*(Geraetedaten!$B$157*r_K_D+r_K_SSw*F_SSw/10)/1000+Geraetedaten!$B$155</f>
        <v>537.4</v>
      </c>
      <c r="AZ125" s="201"/>
    </row>
    <row r="126" spans="1:52" ht="13.5" x14ac:dyDescent="0.25">
      <c r="A126" s="16">
        <v>87</v>
      </c>
      <c r="B126" s="16">
        <f t="shared" si="61"/>
        <v>363</v>
      </c>
      <c r="C126" s="19">
        <f t="shared" si="62"/>
        <v>65.028306045391574</v>
      </c>
      <c r="D126" s="17">
        <f t="shared" si="92"/>
        <v>-10653.603176045392</v>
      </c>
      <c r="E126" s="17">
        <f t="shared" si="63"/>
        <v>-96599.968626045389</v>
      </c>
      <c r="F126" s="17">
        <f t="shared" si="64"/>
        <v>10411.696733954608</v>
      </c>
      <c r="G126" s="17">
        <f t="shared" si="65"/>
        <v>229868.69908395459</v>
      </c>
      <c r="H126" s="17">
        <f t="shared" si="93"/>
        <v>10411.696733954608</v>
      </c>
      <c r="I126" s="17">
        <f t="shared" si="66"/>
        <v>4146.2085058538705</v>
      </c>
      <c r="J126" s="20">
        <f>(Geraetedaten!$B$152+(Geraetedaten!$B$153*(Geraetedaten!$B$18+d_y_Sw)/1000))*10</f>
        <v>6051.0442000000003</v>
      </c>
      <c r="K126" s="20">
        <f>(Geraetedaten!$B$165+(Geraetedaten!$B$166*(Geraetedaten!$B$18+d_y_Sw)/1000))*10</f>
        <v>10816.164000000001</v>
      </c>
      <c r="L126" s="20">
        <f>(Geraetedaten!$B$158+(Geraetedaten!$B$159*(Geraetedaten!$B$18+d_y_Sw)/1000)-(Geraetedaten!$B$160*I126/1000))*10</f>
        <v>297.4951302657355</v>
      </c>
      <c r="M126" s="20">
        <f>(Geraetedaten!$B$171+(Geraetedaten!$B$172*(Geraetedaten!$B$18+d_y_Sw)/1000)-(Geraetedaten!$B$173*I126/1000))*10</f>
        <v>756.22323882423871</v>
      </c>
      <c r="N126" s="20">
        <f>IF((H126-J126)/(K126-J126)*(Geraetedaten!$B$174-Geraetedaten!$B$161)&lt;Geraetedaten!$B$174,(H126-J126)/(K126-J126)*(Geraetedaten!$B$174-Geraetedaten!$B$161),Geraetedaten!$B$174)</f>
        <v>366.04767283748942</v>
      </c>
      <c r="O126" s="20">
        <f>N126/Geraetedaten!$B$174*(M126-L126)+L126+C126</f>
        <v>782.31432781858541</v>
      </c>
      <c r="P126" s="20">
        <f t="shared" si="94"/>
        <v>221.86529733332029</v>
      </c>
      <c r="Q126" s="20"/>
      <c r="R126" s="21">
        <f>(N126-Geraetedaten!$B$161)/(Geraetedaten!$B$174-Geraetedaten!$B$161)*(Geraetedaten!$B$175-Geraetedaten!$B$162)+Geraetedaten!$B$162</f>
        <v>40.089918266915312</v>
      </c>
      <c r="S126" s="21">
        <f>SQRT((r_K_D/1000)^2+R126^2-(2*(r_K_D/1000)*R126*COS(RADIANS(2*A126))))</f>
        <v>40.089918266915312</v>
      </c>
      <c r="T126" s="21">
        <f>S126*SIN(A126*Const_2)</f>
        <v>40.034976427238526</v>
      </c>
      <c r="U126" s="88">
        <f t="shared" si="69"/>
        <v>2.09814420820048</v>
      </c>
      <c r="V126" s="86">
        <f t="shared" si="70"/>
        <v>-10588.57487</v>
      </c>
      <c r="W126" s="85">
        <f t="shared" si="71"/>
        <v>-4225.3239992296285</v>
      </c>
      <c r="X126" s="85">
        <f t="shared" si="72"/>
        <v>-4231.0270937293781</v>
      </c>
      <c r="Y126" s="90">
        <f t="shared" si="73"/>
        <v>4225.3239992296285</v>
      </c>
      <c r="Z126" s="86">
        <f t="shared" si="74"/>
        <v>-96534.940319999994</v>
      </c>
      <c r="AA126" s="85">
        <f t="shared" si="75"/>
        <v>-913.46204712425447</v>
      </c>
      <c r="AB126" s="85">
        <f t="shared" si="76"/>
        <v>-10030.72923182436</v>
      </c>
      <c r="AC126" s="90">
        <f t="shared" si="77"/>
        <v>913.46204712425447</v>
      </c>
      <c r="AD126" s="86">
        <f t="shared" si="78"/>
        <v>10476.725039999999</v>
      </c>
      <c r="AE126" s="85">
        <f t="shared" si="79"/>
        <v>4140.4375383844126</v>
      </c>
      <c r="AF126" s="85">
        <f t="shared" si="80"/>
        <v>4146.2085058538705</v>
      </c>
      <c r="AG126" s="90">
        <f t="shared" si="81"/>
        <v>4140.4375383844126</v>
      </c>
      <c r="AH126" s="86">
        <f t="shared" si="82"/>
        <v>229933.72738999999</v>
      </c>
      <c r="AI126" s="85">
        <f t="shared" si="83"/>
        <v>6238.0466047659793</v>
      </c>
      <c r="AJ126" s="85">
        <f t="shared" si="84"/>
        <v>156239.98546225409</v>
      </c>
      <c r="AK126" s="90">
        <f t="shared" si="85"/>
        <v>6238.0466047659793</v>
      </c>
      <c r="AM126" s="95">
        <f t="shared" si="86"/>
        <v>0</v>
      </c>
      <c r="AN126" s="95">
        <f t="shared" si="87"/>
        <v>0</v>
      </c>
      <c r="AO126" s="95">
        <f t="shared" si="88"/>
        <v>0</v>
      </c>
      <c r="AP126" s="95">
        <f t="shared" si="89"/>
        <v>0</v>
      </c>
      <c r="AQ126"/>
      <c r="AR126" s="95">
        <f t="shared" si="90"/>
        <v>0</v>
      </c>
      <c r="AS126" s="95">
        <f t="shared" si="91"/>
        <v>0</v>
      </c>
      <c r="AT126" s="95">
        <f>Geraetedaten!$B$94*ABS(SIN(RADIANS($A126)))</f>
        <v>153.78894835220436</v>
      </c>
      <c r="AU126" s="95">
        <f>Geraetedaten!$B$94*ABS(COS(RADIANS($A126)))</f>
        <v>8.0597372614133711</v>
      </c>
      <c r="AV126" s="95">
        <f>((h_Aw_Sw+Geraetedaten!$B$18)/1000)*(AR126*AT126+AS126*AU126)/100</f>
        <v>0</v>
      </c>
      <c r="AX126" s="18">
        <f>(IF($X$19="ja",1,0))*Geraetedaten!$D$142*COS(RADIANS(2*A126))*(Geraetedaten!$B$154*r_K_D+r_K_SSw*F_SSw/10)/1000+Geraetedaten!$B$152</f>
        <v>594.79999999999995</v>
      </c>
      <c r="AY126" s="18">
        <f>(IF($X$19="ja",1,0))*Geraetedaten!$D$142*COS(RADIANS(2*A126))*(Geraetedaten!$B$157*r_K_D+r_K_SSw*F_SSw/10)/1000+Geraetedaten!$B$155</f>
        <v>537.4</v>
      </c>
      <c r="AZ126" s="201"/>
    </row>
    <row r="127" spans="1:52" ht="13.5" x14ac:dyDescent="0.25">
      <c r="A127" s="16">
        <v>88</v>
      </c>
      <c r="B127" s="16">
        <f t="shared" si="61"/>
        <v>362</v>
      </c>
      <c r="C127" s="19">
        <f t="shared" si="62"/>
        <v>64.554517858322527</v>
      </c>
      <c r="D127" s="17">
        <f t="shared" si="92"/>
        <v>-10645.143497858324</v>
      </c>
      <c r="E127" s="17">
        <f t="shared" si="63"/>
        <v>-119390.94369785833</v>
      </c>
      <c r="F127" s="17">
        <f t="shared" si="64"/>
        <v>10404.115242141677</v>
      </c>
      <c r="G127" s="17">
        <f t="shared" si="65"/>
        <v>408286.88861214172</v>
      </c>
      <c r="H127" s="17">
        <f t="shared" si="93"/>
        <v>10404.115242141677</v>
      </c>
      <c r="I127" s="17">
        <f t="shared" si="66"/>
        <v>4143.0205939377656</v>
      </c>
      <c r="J127" s="20">
        <f>(Geraetedaten!$B$152+(Geraetedaten!$B$153*(Geraetedaten!$B$18+d_y_Sw)/1000))*10</f>
        <v>6051.0442000000003</v>
      </c>
      <c r="K127" s="20">
        <f>(Geraetedaten!$B$165+(Geraetedaten!$B$166*(Geraetedaten!$B$18+d_y_Sw)/1000))*10</f>
        <v>10816.164000000001</v>
      </c>
      <c r="L127" s="20">
        <f>(Geraetedaten!$B$158+(Geraetedaten!$B$159*(Geraetedaten!$B$18+d_y_Sw)/1000)-(Geraetedaten!$B$160*I127/1000))*10</f>
        <v>297.72889984654347</v>
      </c>
      <c r="M127" s="20">
        <f>(Geraetedaten!$B$171+(Geraetedaten!$B$172*(Geraetedaten!$B$18+d_y_Sw)/1000)-(Geraetedaten!$B$173*I127/1000))*10</f>
        <v>756.46054698727357</v>
      </c>
      <c r="N127" s="20">
        <f>IF((H127-J127)/(K127-J127)*(Geraetedaten!$B$174-Geraetedaten!$B$161)&lt;Geraetedaten!$B$174,(H127-J127)/(K127-J127)*(Geraetedaten!$B$174-Geraetedaten!$B$161),Geraetedaten!$B$174)</f>
        <v>365.41125720630794</v>
      </c>
      <c r="O127" s="20">
        <f>N127/Geraetedaten!$B$174*(M127-L127)+L127+C127</f>
        <v>781.34768745990255</v>
      </c>
      <c r="P127" s="20">
        <f t="shared" si="94"/>
        <v>221.68826941373334</v>
      </c>
      <c r="Q127" s="20"/>
      <c r="R127" s="21">
        <f>(N127-Geraetedaten!$B$161)/(Geraetedaten!$B$174-Geraetedaten!$B$161)*(Geraetedaten!$B$175-Geraetedaten!$B$162)+Geraetedaten!$B$162</f>
        <v>40.070984901887662</v>
      </c>
      <c r="S127" s="21">
        <f t="shared" si="67"/>
        <v>40.070984901887662</v>
      </c>
      <c r="T127" s="21">
        <f t="shared" si="68"/>
        <v>40.046574740567209</v>
      </c>
      <c r="U127" s="88">
        <f t="shared" si="69"/>
        <v>1.3984572054493991</v>
      </c>
      <c r="V127" s="86">
        <f t="shared" si="70"/>
        <v>-10580.58898</v>
      </c>
      <c r="W127" s="85">
        <f t="shared" si="71"/>
        <v>-4225.3239992296285</v>
      </c>
      <c r="X127" s="85">
        <f t="shared" si="72"/>
        <v>-4227.8360590352549</v>
      </c>
      <c r="Y127" s="90">
        <f t="shared" si="73"/>
        <v>4225.3239992296285</v>
      </c>
      <c r="Z127" s="86">
        <f t="shared" si="74"/>
        <v>-119326.38918</v>
      </c>
      <c r="AA127" s="85">
        <f t="shared" si="75"/>
        <v>-913.46204712425447</v>
      </c>
      <c r="AB127" s="85">
        <f t="shared" si="76"/>
        <v>-12398.937588331788</v>
      </c>
      <c r="AC127" s="90">
        <f t="shared" si="77"/>
        <v>913.46204712425447</v>
      </c>
      <c r="AD127" s="86">
        <f t="shared" si="78"/>
        <v>10468.669760000001</v>
      </c>
      <c r="AE127" s="85">
        <f t="shared" si="79"/>
        <v>4140.4375383844126</v>
      </c>
      <c r="AF127" s="85">
        <f t="shared" si="80"/>
        <v>4143.0205939377656</v>
      </c>
      <c r="AG127" s="90">
        <f t="shared" si="81"/>
        <v>4140.4375383844126</v>
      </c>
      <c r="AH127" s="86">
        <f t="shared" si="82"/>
        <v>408351.44313000003</v>
      </c>
      <c r="AI127" s="85">
        <f t="shared" si="83"/>
        <v>6238.0466047659793</v>
      </c>
      <c r="AJ127" s="85">
        <f t="shared" si="84"/>
        <v>277474.83704104123</v>
      </c>
      <c r="AK127" s="90">
        <f t="shared" si="85"/>
        <v>6238.0466047659793</v>
      </c>
      <c r="AM127" s="95">
        <f t="shared" si="86"/>
        <v>0</v>
      </c>
      <c r="AN127" s="95">
        <f t="shared" si="87"/>
        <v>0</v>
      </c>
      <c r="AO127" s="95">
        <f t="shared" si="88"/>
        <v>0</v>
      </c>
      <c r="AP127" s="95">
        <f t="shared" si="89"/>
        <v>0</v>
      </c>
      <c r="AQ127"/>
      <c r="AR127" s="95">
        <f t="shared" si="90"/>
        <v>0</v>
      </c>
      <c r="AS127" s="95">
        <f t="shared" si="91"/>
        <v>0</v>
      </c>
      <c r="AT127" s="95">
        <f>Geraetedaten!$B$94*ABS(SIN(RADIANS($A127)))</f>
        <v>153.90618736094075</v>
      </c>
      <c r="AU127" s="95">
        <f>Geraetedaten!$B$94*ABS(COS(RADIANS($A127)))</f>
        <v>5.3745224921851662</v>
      </c>
      <c r="AV127" s="95">
        <f>((h_Aw_Sw+Geraetedaten!$B$18)/1000)*(AR127*AT127+AS127*AU127)/100</f>
        <v>0</v>
      </c>
      <c r="AX127" s="18">
        <f>(IF($X$19="ja",1,0))*Geraetedaten!$D$142*COS(RADIANS(2*A127))*(Geraetedaten!$B$154*r_K_D+r_K_SSw*F_SSw/10)/1000+Geraetedaten!$B$152</f>
        <v>594.79999999999995</v>
      </c>
      <c r="AY127" s="18">
        <f>(IF($X$19="ja",1,0))*Geraetedaten!$D$142*COS(RADIANS(2*A127))*(Geraetedaten!$B$157*r_K_D+r_K_SSw*F_SSw/10)/1000+Geraetedaten!$B$155</f>
        <v>537.4</v>
      </c>
      <c r="AZ127" s="201"/>
    </row>
    <row r="128" spans="1:52" ht="13.5" x14ac:dyDescent="0.25">
      <c r="A128" s="16">
        <v>89</v>
      </c>
      <c r="B128" s="16">
        <f t="shared" si="61"/>
        <v>361</v>
      </c>
      <c r="C128" s="19">
        <f t="shared" si="62"/>
        <v>64.061065739760167</v>
      </c>
      <c r="D128" s="17">
        <f t="shared" si="92"/>
        <v>-10639.895275739762</v>
      </c>
      <c r="E128" s="17">
        <f t="shared" si="63"/>
        <v>-156332.23838573974</v>
      </c>
      <c r="F128" s="17">
        <f t="shared" si="64"/>
        <v>10399.750724260239</v>
      </c>
      <c r="G128" s="17">
        <f t="shared" si="65"/>
        <v>1825030.6249542602</v>
      </c>
      <c r="H128" s="17">
        <f t="shared" si="93"/>
        <v>10399.750724260239</v>
      </c>
      <c r="I128" s="17">
        <f t="shared" si="66"/>
        <v>4141.0980299093671</v>
      </c>
      <c r="J128" s="20">
        <f>(Geraetedaten!$B$152+(Geraetedaten!$B$153*(Geraetedaten!$B$18+d_y_Sw)/1000))*10</f>
        <v>6051.0442000000003</v>
      </c>
      <c r="K128" s="20">
        <f>(Geraetedaten!$B$165+(Geraetedaten!$B$166*(Geraetedaten!$B$18+d_y_Sw)/1000))*10</f>
        <v>10816.164000000001</v>
      </c>
      <c r="L128" s="20">
        <f>(Geraetedaten!$B$158+(Geraetedaten!$B$159*(Geraetedaten!$B$18+d_y_Sw)/1000)-(Geraetedaten!$B$160*I128/1000))*10</f>
        <v>297.86988146674588</v>
      </c>
      <c r="M128" s="20">
        <f>(Geraetedaten!$B$171+(Geraetedaten!$B$172*(Geraetedaten!$B$18+d_y_Sw)/1000)-(Geraetedaten!$B$173*I128/1000))*10</f>
        <v>756.60366265354753</v>
      </c>
      <c r="N128" s="20">
        <f>IF((H128-J128)/(K128-J128)*(Geraetedaten!$B$174-Geraetedaten!$B$161)&lt;Geraetedaten!$B$174,(H128-J128)/(K128-J128)*(Geraetedaten!$B$174-Geraetedaten!$B$161),Geraetedaten!$B$174)</f>
        <v>365.04488506335042</v>
      </c>
      <c r="O128" s="20">
        <f>N128/Geraetedaten!$B$174*(M128-L128)+L128+C128</f>
        <v>780.57699827653641</v>
      </c>
      <c r="P128" s="20">
        <f t="shared" si="94"/>
        <v>221.52495574326153</v>
      </c>
      <c r="Q128" s="20"/>
      <c r="R128" s="21">
        <f>(N128-Geraetedaten!$B$161)/(Geraetedaten!$B$174-Geraetedaten!$B$161)*(Geraetedaten!$B$175-Geraetedaten!$B$162)+Geraetedaten!$B$162</f>
        <v>40.060085330634678</v>
      </c>
      <c r="S128" s="21">
        <f t="shared" si="67"/>
        <v>40.060085330634678</v>
      </c>
      <c r="T128" s="21">
        <f t="shared" si="68"/>
        <v>40.053983985603445</v>
      </c>
      <c r="U128" s="88">
        <f t="shared" si="69"/>
        <v>0.69914489110249889</v>
      </c>
      <c r="V128" s="86">
        <f t="shared" si="70"/>
        <v>-10575.834210000001</v>
      </c>
      <c r="W128" s="85">
        <f t="shared" si="71"/>
        <v>-4225.3239992296285</v>
      </c>
      <c r="X128" s="85">
        <f t="shared" si="72"/>
        <v>-4225.9361250238262</v>
      </c>
      <c r="Y128" s="90">
        <f t="shared" si="73"/>
        <v>4225.3239992296285</v>
      </c>
      <c r="Z128" s="86">
        <f t="shared" si="74"/>
        <v>-156268.17731999999</v>
      </c>
      <c r="AA128" s="85">
        <f t="shared" si="75"/>
        <v>-913.46204712425447</v>
      </c>
      <c r="AB128" s="85">
        <f t="shared" si="76"/>
        <v>-16237.475975568273</v>
      </c>
      <c r="AC128" s="90">
        <f t="shared" si="77"/>
        <v>913.46204712425447</v>
      </c>
      <c r="AD128" s="86">
        <f t="shared" si="78"/>
        <v>10463.81179</v>
      </c>
      <c r="AE128" s="85">
        <f t="shared" si="79"/>
        <v>4140.4375383844126</v>
      </c>
      <c r="AF128" s="85">
        <f t="shared" si="80"/>
        <v>4141.0980299093671</v>
      </c>
      <c r="AG128" s="90">
        <f t="shared" si="81"/>
        <v>4140.4375383844126</v>
      </c>
      <c r="AH128" s="86">
        <f t="shared" si="82"/>
        <v>1825094.6860199999</v>
      </c>
      <c r="AI128" s="85">
        <f t="shared" si="83"/>
        <v>6238.0466047659793</v>
      </c>
      <c r="AJ128" s="85">
        <f t="shared" si="84"/>
        <v>1240151.9796280859</v>
      </c>
      <c r="AK128" s="90">
        <f t="shared" si="85"/>
        <v>6238.0466047659793</v>
      </c>
      <c r="AM128" s="95">
        <f t="shared" si="86"/>
        <v>0</v>
      </c>
      <c r="AN128" s="95">
        <f t="shared" si="87"/>
        <v>0</v>
      </c>
      <c r="AO128" s="95">
        <f t="shared" si="88"/>
        <v>0</v>
      </c>
      <c r="AP128" s="95">
        <f t="shared" si="89"/>
        <v>0</v>
      </c>
      <c r="AQ128"/>
      <c r="AR128" s="95">
        <f t="shared" si="90"/>
        <v>0</v>
      </c>
      <c r="AS128" s="95">
        <f t="shared" si="91"/>
        <v>0</v>
      </c>
      <c r="AT128" s="95">
        <f>Geraetedaten!$B$94*ABS(SIN(RADIANS($A128)))</f>
        <v>153.97654505408426</v>
      </c>
      <c r="AU128" s="95">
        <f>Geraetedaten!$B$94*ABS(COS(RADIANS($A128)))</f>
        <v>2.6876705913416741</v>
      </c>
      <c r="AV128" s="95">
        <f>((h_Aw_Sw+Geraetedaten!$B$18)/1000)*(AR128*AT128+AS128*AU128)/100</f>
        <v>0</v>
      </c>
      <c r="AX128" s="18">
        <f>(IF($X$19="ja",1,0))*Geraetedaten!$D$142*COS(RADIANS(2*A128))*(Geraetedaten!$B$154*r_K_D+r_K_SSw*F_SSw/10)/1000+Geraetedaten!$B$152</f>
        <v>594.79999999999995</v>
      </c>
      <c r="AY128" s="18">
        <f>(IF($X$19="ja",1,0))*Geraetedaten!$D$142*COS(RADIANS(2*A128))*(Geraetedaten!$B$157*r_K_D+r_K_SSw*F_SSw/10)/1000+Geraetedaten!$B$155</f>
        <v>537.4</v>
      </c>
      <c r="AZ128" s="201"/>
    </row>
    <row r="129" spans="1:52" ht="13.5" x14ac:dyDescent="0.25">
      <c r="A129" s="16">
        <v>90</v>
      </c>
      <c r="B129" s="16">
        <f t="shared" si="61"/>
        <v>360</v>
      </c>
      <c r="C129" s="19">
        <f t="shared" si="62"/>
        <v>63.548099999999998</v>
      </c>
      <c r="D129" s="17">
        <f t="shared" si="92"/>
        <v>-10637.85139</v>
      </c>
      <c r="E129" s="17">
        <f t="shared" si="63"/>
        <v>-226503.29209</v>
      </c>
      <c r="F129" s="17">
        <f t="shared" si="64"/>
        <v>10398.59561</v>
      </c>
      <c r="G129" s="17">
        <f t="shared" si="65"/>
        <v>-739050.24765999999</v>
      </c>
      <c r="H129" s="17">
        <f t="shared" si="93"/>
        <v>10398.59561</v>
      </c>
      <c r="I129" s="17">
        <f t="shared" si="66"/>
        <v>4140.4378818737268</v>
      </c>
      <c r="J129" s="20">
        <f>(Geraetedaten!$B$152+(Geraetedaten!$B$153*(Geraetedaten!$B$18+d_y_Sw)/1000))*10</f>
        <v>6051.0442000000003</v>
      </c>
      <c r="K129" s="20">
        <f>(Geraetedaten!$B$165+(Geraetedaten!$B$166*(Geraetedaten!$B$18+d_y_Sw)/1000))*10</f>
        <v>10816.164000000001</v>
      </c>
      <c r="L129" s="20">
        <f>(Geraetedaten!$B$158+(Geraetedaten!$B$159*(Geraetedaten!$B$18+d_y_Sw)/1000)-(Geraetedaten!$B$160*I129/1000))*10</f>
        <v>297.91829012219944</v>
      </c>
      <c r="M129" s="20">
        <f>(Geraetedaten!$B$171+(Geraetedaten!$B$172*(Geraetedaten!$B$18+d_y_Sw)/1000)-(Geraetedaten!$B$173*I129/1000))*10</f>
        <v>756.65280407332057</v>
      </c>
      <c r="N129" s="20">
        <f>IF((H129-J129)/(K129-J129)*(Geraetedaten!$B$174-Geraetedaten!$B$161)&lt;Geraetedaten!$B$174,(H129-J129)/(K129-J129)*(Geraetedaten!$B$174-Geraetedaten!$B$161),Geraetedaten!$B$174)</f>
        <v>364.94792093159964</v>
      </c>
      <c r="O129" s="20">
        <f>N129/Geraetedaten!$B$174*(M129-L129)+L129+C129</f>
        <v>780.00190793727324</v>
      </c>
      <c r="P129" s="20">
        <f t="shared" si="94"/>
        <v>221.37545739103155</v>
      </c>
      <c r="Q129" s="20"/>
      <c r="R129" s="21">
        <f>(N129-Geraetedaten!$B$161)/(Geraetedaten!$B$174-Geraetedaten!$B$161)*(Geraetedaten!$B$175-Geraetedaten!$B$162)+Geraetedaten!$B$162</f>
        <v>40.057200647715092</v>
      </c>
      <c r="S129" s="21">
        <f t="shared" si="67"/>
        <v>40.057200647715092</v>
      </c>
      <c r="T129" s="21">
        <f t="shared" si="68"/>
        <v>40.057200647715092</v>
      </c>
      <c r="U129" s="88">
        <f t="shared" si="69"/>
        <v>2.4538008740756361E-15</v>
      </c>
      <c r="V129" s="86">
        <f t="shared" si="70"/>
        <v>-10574.30329</v>
      </c>
      <c r="W129" s="85">
        <f t="shared" si="71"/>
        <v>-4225.3239992296285</v>
      </c>
      <c r="X129" s="85">
        <f t="shared" si="72"/>
        <v>-4225.3243944636679</v>
      </c>
      <c r="Y129" s="90">
        <f t="shared" si="73"/>
        <v>4225.3239992296285</v>
      </c>
      <c r="Z129" s="86">
        <f t="shared" si="74"/>
        <v>-226439.74398999999</v>
      </c>
      <c r="AA129" s="85">
        <f t="shared" si="75"/>
        <v>-913.46204712425447</v>
      </c>
      <c r="AB129" s="85">
        <f t="shared" si="76"/>
        <v>-23528.846153846156</v>
      </c>
      <c r="AC129" s="90">
        <f t="shared" si="77"/>
        <v>913.46204712425447</v>
      </c>
      <c r="AD129" s="86">
        <f t="shared" si="78"/>
        <v>10462.14371</v>
      </c>
      <c r="AE129" s="85">
        <f t="shared" si="79"/>
        <v>4140.4375383844126</v>
      </c>
      <c r="AF129" s="85">
        <f t="shared" si="80"/>
        <v>4140.4378818737268</v>
      </c>
      <c r="AG129" s="90">
        <f t="shared" si="81"/>
        <v>4140.4375383844126</v>
      </c>
      <c r="AH129" s="86">
        <f t="shared" si="82"/>
        <v>-738986.69955999998</v>
      </c>
      <c r="AI129" s="85">
        <f t="shared" si="83"/>
        <v>6238.0466047659793</v>
      </c>
      <c r="AJ129" s="85">
        <f t="shared" si="84"/>
        <v>-502141.51923077443</v>
      </c>
      <c r="AK129" s="90">
        <f t="shared" si="85"/>
        <v>6238.0466047659793</v>
      </c>
      <c r="AM129" s="95">
        <f t="shared" si="86"/>
        <v>0</v>
      </c>
      <c r="AN129" s="95">
        <f t="shared" si="87"/>
        <v>0</v>
      </c>
      <c r="AO129" s="95">
        <f t="shared" si="88"/>
        <v>0</v>
      </c>
      <c r="AP129" s="95">
        <f t="shared" si="89"/>
        <v>0</v>
      </c>
      <c r="AQ129"/>
      <c r="AR129" s="95">
        <f t="shared" si="90"/>
        <v>0</v>
      </c>
      <c r="AS129" s="95">
        <f t="shared" si="91"/>
        <v>0</v>
      </c>
      <c r="AT129" s="95">
        <f>Geraetedaten!$B$94*ABS(SIN(RADIANS($A129)))</f>
        <v>154</v>
      </c>
      <c r="AU129" s="95">
        <f>Geraetedaten!$B$94*ABS(COS(RADIANS($A129)))</f>
        <v>9.4336431027963741E-15</v>
      </c>
      <c r="AV129" s="95">
        <f>((h_Aw_Sw+Geraetedaten!$B$18)/1000)*(AR129*AT129+AS129*AU129)/100</f>
        <v>0</v>
      </c>
      <c r="AX129" s="18">
        <f>(IF($X$19="ja",1,0))*Geraetedaten!$D$142*COS(RADIANS(2*A129))*(Geraetedaten!$B$154*r_K_D+r_K_SSw*F_SSw/10)/1000+Geraetedaten!$B$152</f>
        <v>594.79999999999995</v>
      </c>
      <c r="AY129" s="18">
        <f>(IF($X$19="ja",1,0))*Geraetedaten!$D$142*COS(RADIANS(2*A129))*(Geraetedaten!$B$157*r_K_D+r_K_SSw*F_SSw/10)/1000+Geraetedaten!$B$155</f>
        <v>537.4</v>
      </c>
      <c r="AZ129" s="201"/>
    </row>
    <row r="130" spans="1:52" ht="13.5" x14ac:dyDescent="0.25">
      <c r="A130" s="16">
        <v>91</v>
      </c>
      <c r="B130" s="16">
        <f t="shared" si="61"/>
        <v>359</v>
      </c>
      <c r="C130" s="19">
        <f t="shared" si="62"/>
        <v>64.061065739760167</v>
      </c>
      <c r="D130" s="17">
        <f t="shared" si="92"/>
        <v>-10640.054965739761</v>
      </c>
      <c r="E130" s="17">
        <f t="shared" si="63"/>
        <v>-411286.9923457398</v>
      </c>
      <c r="F130" s="17">
        <f t="shared" si="64"/>
        <v>10399.60192426024</v>
      </c>
      <c r="G130" s="17">
        <f t="shared" si="65"/>
        <v>-307386.33057573979</v>
      </c>
      <c r="H130" s="17">
        <f t="shared" si="93"/>
        <v>10399.60192426024</v>
      </c>
      <c r="I130" s="17">
        <f t="shared" si="66"/>
        <v>4141.0391438637007</v>
      </c>
      <c r="J130" s="20">
        <f>(Geraetedaten!$B$152+(Geraetedaten!$B$153*(Geraetedaten!$B$18+d_y_Sw)/1000))*10</f>
        <v>6051.0442000000003</v>
      </c>
      <c r="K130" s="20">
        <f>(Geraetedaten!$B$165+(Geraetedaten!$B$166*(Geraetedaten!$B$18+d_y_Sw)/1000))*10</f>
        <v>10816.164000000001</v>
      </c>
      <c r="L130" s="20">
        <f>(Geraetedaten!$B$158+(Geraetedaten!$B$159*(Geraetedaten!$B$18+d_y_Sw)/1000)-(Geraetedaten!$B$160*I130/1000))*10</f>
        <v>297.87419958047462</v>
      </c>
      <c r="M130" s="20">
        <f>(Geraetedaten!$B$171+(Geraetedaten!$B$172*(Geraetedaten!$B$18+d_y_Sw)/1000)-(Geraetedaten!$B$173*I130/1000))*10</f>
        <v>756.60804613078699</v>
      </c>
      <c r="N130" s="20">
        <f>IF((H130-J130)/(K130-J130)*(Geraetedaten!$B$174-Geraetedaten!$B$161)&lt;Geraetedaten!$B$174,(H130-J130)/(K130-J130)*(Geraetedaten!$B$174-Geraetedaten!$B$161),Geraetedaten!$B$174)</f>
        <v>365.03239429659158</v>
      </c>
      <c r="O130" s="20">
        <f>N130/Geraetedaten!$B$174*(M130-L130)+L130+C130</f>
        <v>780.56705119809908</v>
      </c>
      <c r="P130" s="20">
        <f t="shared" si="94"/>
        <v>221.52406140848223</v>
      </c>
      <c r="Q130" s="20"/>
      <c r="R130" s="21">
        <f>(N130-Geraetedaten!$B$161)/(Geraetedaten!$B$174-Geraetedaten!$B$161)*(Geraetedaten!$B$175-Geraetedaten!$B$162)+Geraetedaten!$B$162</f>
        <v>40.059713730323601</v>
      </c>
      <c r="S130" s="21">
        <f t="shared" si="67"/>
        <v>40.059713730323601</v>
      </c>
      <c r="T130" s="21">
        <f t="shared" si="68"/>
        <v>40.053612441888895</v>
      </c>
      <c r="U130" s="88">
        <f t="shared" si="69"/>
        <v>-0.69913840578283293</v>
      </c>
      <c r="V130" s="86">
        <f t="shared" si="70"/>
        <v>-10575.993899999999</v>
      </c>
      <c r="W130" s="85">
        <f t="shared" si="71"/>
        <v>-4225.3239992296285</v>
      </c>
      <c r="X130" s="85">
        <f t="shared" si="72"/>
        <v>-4225.9999351850292</v>
      </c>
      <c r="Y130" s="90">
        <f t="shared" si="73"/>
        <v>4225.3239992296285</v>
      </c>
      <c r="Z130" s="86">
        <f t="shared" si="74"/>
        <v>-411222.93128000002</v>
      </c>
      <c r="AA130" s="85">
        <f t="shared" si="75"/>
        <v>-913.46204712425447</v>
      </c>
      <c r="AB130" s="85">
        <f t="shared" si="76"/>
        <v>-42729.252889901334</v>
      </c>
      <c r="AC130" s="90">
        <f t="shared" si="77"/>
        <v>913.46204712425447</v>
      </c>
      <c r="AD130" s="86">
        <f t="shared" si="78"/>
        <v>10463.662990000001</v>
      </c>
      <c r="AE130" s="85">
        <f t="shared" si="79"/>
        <v>4140.4375383844126</v>
      </c>
      <c r="AF130" s="85">
        <f t="shared" si="80"/>
        <v>4141.0391438637007</v>
      </c>
      <c r="AG130" s="90">
        <f t="shared" si="81"/>
        <v>4140.4375383844126</v>
      </c>
      <c r="AH130" s="86">
        <f t="shared" si="82"/>
        <v>-307322.26951000001</v>
      </c>
      <c r="AI130" s="85">
        <f t="shared" si="83"/>
        <v>6238.0466047659793</v>
      </c>
      <c r="AJ130" s="85">
        <f t="shared" si="84"/>
        <v>-208825.50578869617</v>
      </c>
      <c r="AK130" s="90">
        <f t="shared" si="85"/>
        <v>6238.0466047659793</v>
      </c>
      <c r="AM130" s="95">
        <f t="shared" si="86"/>
        <v>0</v>
      </c>
      <c r="AN130" s="95">
        <f t="shared" si="87"/>
        <v>0</v>
      </c>
      <c r="AO130" s="95">
        <f t="shared" si="88"/>
        <v>0</v>
      </c>
      <c r="AP130" s="95">
        <f t="shared" si="89"/>
        <v>0</v>
      </c>
      <c r="AQ130"/>
      <c r="AR130" s="95">
        <f t="shared" si="90"/>
        <v>0</v>
      </c>
      <c r="AS130" s="95">
        <f t="shared" si="91"/>
        <v>0</v>
      </c>
      <c r="AT130" s="95">
        <f>Geraetedaten!$B$94*ABS(SIN(RADIANS($A130)))</f>
        <v>153.97654505408426</v>
      </c>
      <c r="AU130" s="95">
        <f>Geraetedaten!$B$94*ABS(COS(RADIANS($A130)))</f>
        <v>2.6876705913416554</v>
      </c>
      <c r="AV130" s="95">
        <f>((h_Aw_Sw+Geraetedaten!$B$18)/1000)*(AR130*AT130+AS130*AU130)/100</f>
        <v>0</v>
      </c>
      <c r="AX130" s="18">
        <f>(IF($X$19="ja",1,0))*Geraetedaten!$D$142*COS(RADIANS(2*A130))*(Geraetedaten!$B$154*r_K_D+r_K_SSw*F_SSw/10)/1000+Geraetedaten!$B$152</f>
        <v>594.79999999999995</v>
      </c>
      <c r="AY130" s="18">
        <f>(IF($X$19="ja",1,0))*Geraetedaten!$D$142*COS(RADIANS(2*A130))*(Geraetedaten!$B$157*r_K_D+r_K_SSw*F_SSw/10)/1000+Geraetedaten!$B$155</f>
        <v>537.4</v>
      </c>
      <c r="AZ130" s="201"/>
    </row>
    <row r="131" spans="1:52" ht="13.5" x14ac:dyDescent="0.25">
      <c r="A131" s="16">
        <v>92</v>
      </c>
      <c r="B131" s="16">
        <f t="shared" si="61"/>
        <v>358</v>
      </c>
      <c r="C131" s="19">
        <f t="shared" si="62"/>
        <v>64.554517858322527</v>
      </c>
      <c r="D131" s="17">
        <f t="shared" si="92"/>
        <v>-10645.463127858324</v>
      </c>
      <c r="E131" s="17">
        <f t="shared" si="63"/>
        <v>-2239127.5910478584</v>
      </c>
      <c r="F131" s="17">
        <f t="shared" si="64"/>
        <v>10403.817432141677</v>
      </c>
      <c r="G131" s="17">
        <f t="shared" si="65"/>
        <v>-194102.50684785831</v>
      </c>
      <c r="H131" s="17">
        <f t="shared" si="93"/>
        <v>10403.817432141677</v>
      </c>
      <c r="I131" s="17">
        <f t="shared" si="66"/>
        <v>4142.9027320972391</v>
      </c>
      <c r="J131" s="20">
        <f>(Geraetedaten!$B$152+(Geraetedaten!$B$153*(Geraetedaten!$B$18+d_y_Sw)/1000))*10</f>
        <v>6051.0442000000003</v>
      </c>
      <c r="K131" s="20">
        <f>(Geraetedaten!$B$165+(Geraetedaten!$B$166*(Geraetedaten!$B$18+d_y_Sw)/1000))*10</f>
        <v>10816.164000000001</v>
      </c>
      <c r="L131" s="20">
        <f>(Geraetedaten!$B$158+(Geraetedaten!$B$159*(Geraetedaten!$B$18+d_y_Sw)/1000)-(Geraetedaten!$B$160*I131/1000))*10</f>
        <v>297.73754265530926</v>
      </c>
      <c r="M131" s="20">
        <f>(Geraetedaten!$B$171+(Geraetedaten!$B$172*(Geraetedaten!$B$18+d_y_Sw)/1000)-(Geraetedaten!$B$173*I131/1000))*10</f>
        <v>756.46932062268229</v>
      </c>
      <c r="N131" s="20">
        <f>IF((H131-J131)/(K131-J131)*(Geraetedaten!$B$174-Geraetedaten!$B$161)&lt;Geraetedaten!$B$174,(H131-J131)/(K131-J131)*(Geraetedaten!$B$174-Geraetedaten!$B$161),Geraetedaten!$B$174)</f>
        <v>365.38625804469189</v>
      </c>
      <c r="O131" s="20">
        <f>N131/Geraetedaten!$B$174*(M131-L131)+L131+C131</f>
        <v>781.32778000784901</v>
      </c>
      <c r="P131" s="20">
        <f t="shared" si="94"/>
        <v>221.68648292847132</v>
      </c>
      <c r="Q131" s="20"/>
      <c r="R131" s="21">
        <f>(N131-Geraetedaten!$B$161)/(Geraetedaten!$B$174-Geraetedaten!$B$161)*(Geraetedaten!$B$175-Geraetedaten!$B$162)+Geraetedaten!$B$162</f>
        <v>40.070241176829583</v>
      </c>
      <c r="S131" s="21">
        <f t="shared" si="67"/>
        <v>40.070241176829583</v>
      </c>
      <c r="T131" s="21">
        <f t="shared" si="68"/>
        <v>40.045831468566341</v>
      </c>
      <c r="U131" s="88">
        <f t="shared" si="69"/>
        <v>-1.398431249819182</v>
      </c>
      <c r="V131" s="86">
        <f t="shared" si="70"/>
        <v>-10580.90861</v>
      </c>
      <c r="W131" s="85">
        <f t="shared" si="71"/>
        <v>-4225.3239992296285</v>
      </c>
      <c r="X131" s="85">
        <f t="shared" si="72"/>
        <v>-4227.9637766117803</v>
      </c>
      <c r="Y131" s="90">
        <f t="shared" si="73"/>
        <v>4225.3239992296285</v>
      </c>
      <c r="Z131" s="86">
        <f t="shared" si="74"/>
        <v>-2239063.0365300002</v>
      </c>
      <c r="AA131" s="85">
        <f t="shared" si="75"/>
        <v>-913.46204712425447</v>
      </c>
      <c r="AB131" s="85">
        <f t="shared" si="76"/>
        <v>-232656.02048314564</v>
      </c>
      <c r="AC131" s="90">
        <f t="shared" si="77"/>
        <v>913.46204712425447</v>
      </c>
      <c r="AD131" s="86">
        <f t="shared" si="78"/>
        <v>10468.371950000001</v>
      </c>
      <c r="AE131" s="85">
        <f t="shared" si="79"/>
        <v>4140.4375383844126</v>
      </c>
      <c r="AF131" s="85">
        <f t="shared" si="80"/>
        <v>4142.9027320972391</v>
      </c>
      <c r="AG131" s="90">
        <f t="shared" si="81"/>
        <v>4140.4375383844126</v>
      </c>
      <c r="AH131" s="86">
        <f t="shared" si="82"/>
        <v>-194037.95233</v>
      </c>
      <c r="AI131" s="85">
        <f t="shared" si="83"/>
        <v>6238.0466047659793</v>
      </c>
      <c r="AJ131" s="85">
        <f t="shared" si="84"/>
        <v>-131848.80354135629</v>
      </c>
      <c r="AK131" s="90">
        <f t="shared" si="85"/>
        <v>6238.0466047659793</v>
      </c>
      <c r="AM131" s="95">
        <f t="shared" si="86"/>
        <v>0</v>
      </c>
      <c r="AN131" s="95">
        <f t="shared" si="87"/>
        <v>0</v>
      </c>
      <c r="AO131" s="95">
        <f t="shared" si="88"/>
        <v>0</v>
      </c>
      <c r="AP131" s="95">
        <f t="shared" si="89"/>
        <v>0</v>
      </c>
      <c r="AQ131"/>
      <c r="AR131" s="95">
        <f t="shared" si="90"/>
        <v>0</v>
      </c>
      <c r="AS131" s="95">
        <f t="shared" si="91"/>
        <v>0</v>
      </c>
      <c r="AT131" s="95">
        <f>Geraetedaten!$B$94*ABS(SIN(RADIANS($A131)))</f>
        <v>153.90618736094075</v>
      </c>
      <c r="AU131" s="95">
        <f>Geraetedaten!$B$94*ABS(COS(RADIANS($A131)))</f>
        <v>5.3745224921851475</v>
      </c>
      <c r="AV131" s="95">
        <f>((h_Aw_Sw+Geraetedaten!$B$18)/1000)*(AR131*AT131+AS131*AU131)/100</f>
        <v>0</v>
      </c>
      <c r="AX131" s="18">
        <f>(IF($X$19="ja",1,0))*Geraetedaten!$D$142*COS(RADIANS(2*A131))*(Geraetedaten!$B$154*r_K_D+r_K_SSw*F_SSw/10)/1000+Geraetedaten!$B$152</f>
        <v>594.79999999999995</v>
      </c>
      <c r="AY131" s="18">
        <f>(IF($X$19="ja",1,0))*Geraetedaten!$D$142*COS(RADIANS(2*A131))*(Geraetedaten!$B$157*r_K_D+r_K_SSw*F_SSw/10)/1000+Geraetedaten!$B$155</f>
        <v>537.4</v>
      </c>
      <c r="AZ131" s="201"/>
    </row>
    <row r="132" spans="1:52" ht="13.5" x14ac:dyDescent="0.25">
      <c r="A132" s="16">
        <v>93</v>
      </c>
      <c r="B132" s="16">
        <f t="shared" si="61"/>
        <v>357</v>
      </c>
      <c r="C132" s="19">
        <f t="shared" si="62"/>
        <v>65.028306045391574</v>
      </c>
      <c r="D132" s="17">
        <f t="shared" si="92"/>
        <v>-10654.083226045392</v>
      </c>
      <c r="E132" s="17">
        <f t="shared" si="63"/>
        <v>649844.25762395468</v>
      </c>
      <c r="F132" s="17">
        <f t="shared" si="64"/>
        <v>10411.249443954608</v>
      </c>
      <c r="G132" s="17">
        <f t="shared" si="65"/>
        <v>-141873.21891604539</v>
      </c>
      <c r="H132" s="17">
        <f t="shared" si="93"/>
        <v>10411.249443954608</v>
      </c>
      <c r="I132" s="17">
        <f t="shared" si="66"/>
        <v>4146.0314883860983</v>
      </c>
      <c r="J132" s="20">
        <f>(Geraetedaten!$B$152+(Geraetedaten!$B$153*(Geraetedaten!$B$18+d_y_Sw)/1000))*10</f>
        <v>6051.0442000000003</v>
      </c>
      <c r="K132" s="20">
        <f>(Geraetedaten!$B$165+(Geraetedaten!$B$166*(Geraetedaten!$B$18+d_y_Sw)/1000))*10</f>
        <v>10816.164000000001</v>
      </c>
      <c r="L132" s="20">
        <f>(Geraetedaten!$B$158+(Geraetedaten!$B$159*(Geraetedaten!$B$18+d_y_Sw)/1000)-(Geraetedaten!$B$160*I132/1000))*10</f>
        <v>297.50811095664722</v>
      </c>
      <c r="M132" s="20">
        <f>(Geraetedaten!$B$171+(Geraetedaten!$B$172*(Geraetedaten!$B$18+d_y_Sw)/1000)-(Geraetedaten!$B$173*I132/1000))*10</f>
        <v>756.23641600453971</v>
      </c>
      <c r="N132" s="20">
        <f>IF((H132-J132)/(K132-J132)*(Geraetedaten!$B$174-Geraetedaten!$B$161)&lt;Geraetedaten!$B$174,(H132-J132)/(K132-J132)*(Geraetedaten!$B$174-Geraetedaten!$B$161),Geraetedaten!$B$174)</f>
        <v>366.0101258276535</v>
      </c>
      <c r="O132" s="20">
        <f>N132/Geraetedaten!$B$174*(M132-L132)+L132+C132</f>
        <v>782.28442863025214</v>
      </c>
      <c r="P132" s="20">
        <f t="shared" si="94"/>
        <v>221.86262007641835</v>
      </c>
      <c r="Q132" s="20"/>
      <c r="R132" s="21">
        <f>(N132-Geraetedaten!$B$161)/(Geraetedaten!$B$174-Geraetedaten!$B$161)*(Geraetedaten!$B$175-Geraetedaten!$B$162)+Geraetedaten!$B$162</f>
        <v>40.088801243372693</v>
      </c>
      <c r="S132" s="21">
        <f t="shared" si="67"/>
        <v>40.088801243372693</v>
      </c>
      <c r="T132" s="21">
        <f t="shared" si="68"/>
        <v>40.033860934537856</v>
      </c>
      <c r="U132" s="88">
        <f t="shared" si="69"/>
        <v>-2.0980857477052259</v>
      </c>
      <c r="V132" s="86">
        <f t="shared" si="70"/>
        <v>-10589.05492</v>
      </c>
      <c r="W132" s="85">
        <f t="shared" si="71"/>
        <v>-4225.3239992296285</v>
      </c>
      <c r="X132" s="85">
        <f t="shared" si="72"/>
        <v>-4231.2189135913977</v>
      </c>
      <c r="Y132" s="90">
        <f t="shared" si="73"/>
        <v>4225.3239992296285</v>
      </c>
      <c r="Z132" s="86">
        <f t="shared" si="74"/>
        <v>649909.28593000001</v>
      </c>
      <c r="AA132" s="85">
        <f t="shared" si="75"/>
        <v>-913.46204712425447</v>
      </c>
      <c r="AB132" s="85">
        <f t="shared" si="76"/>
        <v>67530.61690185398</v>
      </c>
      <c r="AC132" s="90">
        <f t="shared" si="77"/>
        <v>913.46204712425447</v>
      </c>
      <c r="AD132" s="86">
        <f t="shared" si="78"/>
        <v>10476.277749999999</v>
      </c>
      <c r="AE132" s="85">
        <f t="shared" si="79"/>
        <v>4140.4375383844126</v>
      </c>
      <c r="AF132" s="85">
        <f t="shared" si="80"/>
        <v>4146.0314883860983</v>
      </c>
      <c r="AG132" s="90">
        <f t="shared" si="81"/>
        <v>4140.4375383844126</v>
      </c>
      <c r="AH132" s="86">
        <f t="shared" si="82"/>
        <v>-141808.19060999999</v>
      </c>
      <c r="AI132" s="85">
        <f t="shared" si="83"/>
        <v>6238.0466047659793</v>
      </c>
      <c r="AJ132" s="85">
        <f t="shared" si="84"/>
        <v>-96358.676435780173</v>
      </c>
      <c r="AK132" s="90">
        <f t="shared" si="85"/>
        <v>6238.0466047659793</v>
      </c>
      <c r="AM132" s="95">
        <f t="shared" si="86"/>
        <v>0</v>
      </c>
      <c r="AN132" s="95">
        <f t="shared" si="87"/>
        <v>0</v>
      </c>
      <c r="AO132" s="95">
        <f t="shared" si="88"/>
        <v>0</v>
      </c>
      <c r="AP132" s="95">
        <f t="shared" si="89"/>
        <v>0</v>
      </c>
      <c r="AQ132"/>
      <c r="AR132" s="95">
        <f t="shared" si="90"/>
        <v>0</v>
      </c>
      <c r="AS132" s="95">
        <f t="shared" si="91"/>
        <v>0</v>
      </c>
      <c r="AT132" s="95">
        <f>Geraetedaten!$B$94*ABS(SIN(RADIANS($A132)))</f>
        <v>153.78894835220436</v>
      </c>
      <c r="AU132" s="95">
        <f>Geraetedaten!$B$94*ABS(COS(RADIANS($A132)))</f>
        <v>8.0597372614133516</v>
      </c>
      <c r="AV132" s="95">
        <f>((h_Aw_Sw+Geraetedaten!$B$18)/1000)*(AR132*AT132+AS132*AU132)/100</f>
        <v>0</v>
      </c>
      <c r="AX132" s="18">
        <f>(IF($X$19="ja",1,0))*Geraetedaten!$D$142*COS(RADIANS(2*A132))*(Geraetedaten!$B$154*r_K_D+r_K_SSw*F_SSw/10)/1000+Geraetedaten!$B$152</f>
        <v>594.79999999999995</v>
      </c>
      <c r="AY132" s="18">
        <f>(IF($X$19="ja",1,0))*Geraetedaten!$D$142*COS(RADIANS(2*A132))*(Geraetedaten!$B$157*r_K_D+r_K_SSw*F_SSw/10)/1000+Geraetedaten!$B$155</f>
        <v>537.4</v>
      </c>
      <c r="AZ132" s="201"/>
    </row>
    <row r="133" spans="1:52" ht="13.5" x14ac:dyDescent="0.25">
      <c r="A133" s="16">
        <v>94</v>
      </c>
      <c r="B133" s="16">
        <f t="shared" si="61"/>
        <v>356</v>
      </c>
      <c r="C133" s="19">
        <f t="shared" si="62"/>
        <v>65.48228598049586</v>
      </c>
      <c r="D133" s="17">
        <f t="shared" si="92"/>
        <v>-10665.927555980496</v>
      </c>
      <c r="E133" s="17">
        <f t="shared" si="63"/>
        <v>283743.29170401953</v>
      </c>
      <c r="F133" s="17">
        <f t="shared" si="64"/>
        <v>10421.910194019505</v>
      </c>
      <c r="G133" s="17">
        <f t="shared" si="65"/>
        <v>-111825.0634459805</v>
      </c>
      <c r="H133" s="17">
        <f t="shared" si="93"/>
        <v>10421.910194019505</v>
      </c>
      <c r="I133" s="17">
        <f t="shared" si="66"/>
        <v>4150.4301907195986</v>
      </c>
      <c r="J133" s="20">
        <f>(Geraetedaten!$B$152+(Geraetedaten!$B$153*(Geraetedaten!$B$18+d_y_Sw)/1000))*10</f>
        <v>6051.0442000000003</v>
      </c>
      <c r="K133" s="20">
        <f>(Geraetedaten!$B$165+(Geraetedaten!$B$166*(Geraetedaten!$B$18+d_y_Sw)/1000))*10</f>
        <v>10816.164000000001</v>
      </c>
      <c r="L133" s="20">
        <f>(Geraetedaten!$B$158+(Geraetedaten!$B$159*(Geraetedaten!$B$18+d_y_Sw)/1000)-(Geraetedaten!$B$160*I133/1000))*10</f>
        <v>297.18555411453167</v>
      </c>
      <c r="M133" s="20">
        <f>(Geraetedaten!$B$171+(Geraetedaten!$B$172*(Geraetedaten!$B$18+d_y_Sw)/1000)-(Geraetedaten!$B$173*I133/1000))*10</f>
        <v>755.90897660283395</v>
      </c>
      <c r="N133" s="20">
        <f>IF((H133-J133)/(K133-J133)*(Geraetedaten!$B$174-Geraetedaten!$B$161)&lt;Geraetedaten!$B$174,(H133-J133)/(K133-J133)*(Geraetedaten!$B$174-Geraetedaten!$B$161),Geraetedaten!$B$174)</f>
        <v>366.90502463501582</v>
      </c>
      <c r="O133" s="20">
        <f>N133/Geraetedaten!$B$174*(M133-L133)+L133+C133</f>
        <v>783.43766166685077</v>
      </c>
      <c r="P133" s="20">
        <f t="shared" si="94"/>
        <v>222.05238500008434</v>
      </c>
      <c r="Q133" s="20"/>
      <c r="R133" s="21">
        <f>(N133-Geraetedaten!$B$161)/(Geraetedaten!$B$174-Geraetedaten!$B$161)*(Geraetedaten!$B$175-Geraetedaten!$B$162)+Geraetedaten!$B$162</f>
        <v>40.115424482891726</v>
      </c>
      <c r="S133" s="21">
        <f t="shared" si="67"/>
        <v>40.115424482891726</v>
      </c>
      <c r="T133" s="21">
        <f t="shared" si="68"/>
        <v>40.017705325045583</v>
      </c>
      <c r="U133" s="88">
        <f t="shared" si="69"/>
        <v>-2.7983105546752789</v>
      </c>
      <c r="V133" s="86">
        <f t="shared" si="70"/>
        <v>-10600.44527</v>
      </c>
      <c r="W133" s="85">
        <f t="shared" si="71"/>
        <v>-4225.3239992296285</v>
      </c>
      <c r="X133" s="85">
        <f t="shared" si="72"/>
        <v>-4235.7703175495226</v>
      </c>
      <c r="Y133" s="90">
        <f t="shared" si="73"/>
        <v>4225.3239992296285</v>
      </c>
      <c r="Z133" s="86">
        <f t="shared" si="74"/>
        <v>283808.77399000002</v>
      </c>
      <c r="AA133" s="85">
        <f t="shared" si="75"/>
        <v>-913.46204712425447</v>
      </c>
      <c r="AB133" s="85">
        <f t="shared" si="76"/>
        <v>29489.9334492218</v>
      </c>
      <c r="AC133" s="90">
        <f t="shared" si="77"/>
        <v>913.46204712425447</v>
      </c>
      <c r="AD133" s="86">
        <f t="shared" si="78"/>
        <v>10487.39248</v>
      </c>
      <c r="AE133" s="85">
        <f t="shared" si="79"/>
        <v>4140.4375383844126</v>
      </c>
      <c r="AF133" s="85">
        <f t="shared" si="80"/>
        <v>4150.4301907195986</v>
      </c>
      <c r="AG133" s="90">
        <f t="shared" si="81"/>
        <v>4140.4375383844126</v>
      </c>
      <c r="AH133" s="86">
        <f t="shared" si="82"/>
        <v>-111759.58116</v>
      </c>
      <c r="AI133" s="85">
        <f t="shared" si="83"/>
        <v>6238.0466047659793</v>
      </c>
      <c r="AJ133" s="85">
        <f t="shared" si="84"/>
        <v>-75940.643997247171</v>
      </c>
      <c r="AK133" s="90">
        <f t="shared" si="85"/>
        <v>6238.0466047659793</v>
      </c>
      <c r="AM133" s="95">
        <f t="shared" si="86"/>
        <v>0</v>
      </c>
      <c r="AN133" s="95">
        <f t="shared" si="87"/>
        <v>0</v>
      </c>
      <c r="AO133" s="95">
        <f t="shared" si="88"/>
        <v>0</v>
      </c>
      <c r="AP133" s="95">
        <f t="shared" si="89"/>
        <v>0</v>
      </c>
      <c r="AQ133"/>
      <c r="AR133" s="95">
        <f t="shared" si="90"/>
        <v>0</v>
      </c>
      <c r="AS133" s="95">
        <f t="shared" si="91"/>
        <v>0</v>
      </c>
      <c r="AT133" s="95">
        <f>Geraetedaten!$B$94*ABS(SIN(RADIANS($A133)))</f>
        <v>153.62486374001293</v>
      </c>
      <c r="AU133" s="95">
        <f>Geraetedaten!$B$94*ABS(COS(RADIANS($A133)))</f>
        <v>10.742496956595302</v>
      </c>
      <c r="AV133" s="95">
        <f>((h_Aw_Sw+Geraetedaten!$B$18)/1000)*(AR133*AT133+AS133*AU133)/100</f>
        <v>0</v>
      </c>
      <c r="AX133" s="18">
        <f>(IF($X$19="ja",1,0))*Geraetedaten!$D$142*COS(RADIANS(2*A133))*(Geraetedaten!$B$154*r_K_D+r_K_SSw*F_SSw/10)/1000+Geraetedaten!$B$152</f>
        <v>594.79999999999995</v>
      </c>
      <c r="AY133" s="18">
        <f>(IF($X$19="ja",1,0))*Geraetedaten!$D$142*COS(RADIANS(2*A133))*(Geraetedaten!$B$157*r_K_D+r_K_SSw*F_SSw/10)/1000+Geraetedaten!$B$155</f>
        <v>537.4</v>
      </c>
      <c r="AZ133" s="201"/>
    </row>
    <row r="134" spans="1:52" ht="13.5" x14ac:dyDescent="0.25">
      <c r="A134" s="16">
        <v>95</v>
      </c>
      <c r="B134" s="16">
        <f t="shared" si="61"/>
        <v>355</v>
      </c>
      <c r="C134" s="19">
        <f t="shared" si="62"/>
        <v>65.916319376949332</v>
      </c>
      <c r="D134" s="17">
        <f t="shared" si="92"/>
        <v>-10681.01341937695</v>
      </c>
      <c r="E134" s="17">
        <f t="shared" si="63"/>
        <v>181512.94735062303</v>
      </c>
      <c r="F134" s="17">
        <f t="shared" si="64"/>
        <v>10435.816830623051</v>
      </c>
      <c r="G134" s="17">
        <f t="shared" si="65"/>
        <v>-92307.878689376943</v>
      </c>
      <c r="H134" s="17">
        <f t="shared" si="93"/>
        <v>10435.816830623051</v>
      </c>
      <c r="I134" s="17">
        <f t="shared" si="66"/>
        <v>4156.1055710968594</v>
      </c>
      <c r="J134" s="20">
        <f>(Geraetedaten!$B$152+(Geraetedaten!$B$153*(Geraetedaten!$B$18+d_y_Sw)/1000))*10</f>
        <v>6051.0442000000003</v>
      </c>
      <c r="K134" s="20">
        <f>(Geraetedaten!$B$165+(Geraetedaten!$B$166*(Geraetedaten!$B$18+d_y_Sw)/1000))*10</f>
        <v>10816.164000000001</v>
      </c>
      <c r="L134" s="20">
        <f>(Geraetedaten!$B$158+(Geraetedaten!$B$159*(Geraetedaten!$B$18+d_y_Sw)/1000)-(Geraetedaten!$B$160*I134/1000))*10</f>
        <v>296.76937847146712</v>
      </c>
      <c r="M134" s="20">
        <f>(Geraetedaten!$B$171+(Geraetedaten!$B$172*(Geraetedaten!$B$18+d_y_Sw)/1000)-(Geraetedaten!$B$173*I134/1000))*10</f>
        <v>755.48650128755071</v>
      </c>
      <c r="N134" s="20">
        <f>IF((H134-J134)/(K134-J134)*(Geraetedaten!$B$174-Geraetedaten!$B$161)&lt;Geraetedaten!$B$174,(H134-J134)/(K134-J134)*(Geraetedaten!$B$174-Geraetedaten!$B$161),Geraetedaten!$B$174)</f>
        <v>368.07239395098111</v>
      </c>
      <c r="O134" s="20">
        <f>N134/Geraetedaten!$B$174*(M134-L134)+L134+C134</f>
        <v>784.78847170147174</v>
      </c>
      <c r="P134" s="20">
        <f t="shared" si="94"/>
        <v>222.2557032515754</v>
      </c>
      <c r="Q134" s="20"/>
      <c r="R134" s="21">
        <f>(N134-Geraetedaten!$B$161)/(Geraetedaten!$B$174-Geraetedaten!$B$161)*(Geraetedaten!$B$175-Geraetedaten!$B$162)+Geraetedaten!$B$162</f>
        <v>40.150153720041686</v>
      </c>
      <c r="S134" s="21">
        <f t="shared" si="67"/>
        <v>40.150153720041686</v>
      </c>
      <c r="T134" s="21">
        <f t="shared" si="68"/>
        <v>39.997370263474103</v>
      </c>
      <c r="U134" s="88">
        <f t="shared" si="69"/>
        <v>-3.4993164689028866</v>
      </c>
      <c r="V134" s="86">
        <f t="shared" si="70"/>
        <v>-10615.097100000001</v>
      </c>
      <c r="W134" s="85">
        <f t="shared" si="71"/>
        <v>-4225.3239992296285</v>
      </c>
      <c r="X134" s="85">
        <f t="shared" si="72"/>
        <v>-4241.6249550465309</v>
      </c>
      <c r="Y134" s="90">
        <f t="shared" si="73"/>
        <v>4225.3239992296285</v>
      </c>
      <c r="Z134" s="86">
        <f t="shared" si="74"/>
        <v>181578.86366999999</v>
      </c>
      <c r="AA134" s="85">
        <f t="shared" si="75"/>
        <v>-913.46204712425447</v>
      </c>
      <c r="AB134" s="85">
        <f t="shared" si="76"/>
        <v>18867.452651350028</v>
      </c>
      <c r="AC134" s="90">
        <f t="shared" si="77"/>
        <v>913.46204712425447</v>
      </c>
      <c r="AD134" s="86">
        <f t="shared" si="78"/>
        <v>10501.73315</v>
      </c>
      <c r="AE134" s="85">
        <f t="shared" si="79"/>
        <v>4140.4375383844126</v>
      </c>
      <c r="AF134" s="85">
        <f t="shared" si="80"/>
        <v>4156.1055710968594</v>
      </c>
      <c r="AG134" s="90">
        <f t="shared" si="81"/>
        <v>4140.4375383844126</v>
      </c>
      <c r="AH134" s="86">
        <f t="shared" si="82"/>
        <v>-92241.962369999994</v>
      </c>
      <c r="AI134" s="85">
        <f t="shared" si="83"/>
        <v>6238.0466047659793</v>
      </c>
      <c r="AJ134" s="85">
        <f t="shared" si="84"/>
        <v>-62678.420529368792</v>
      </c>
      <c r="AK134" s="90">
        <f t="shared" si="85"/>
        <v>6238.0466047659793</v>
      </c>
      <c r="AM134" s="95">
        <f t="shared" si="86"/>
        <v>0</v>
      </c>
      <c r="AN134" s="95">
        <f t="shared" si="87"/>
        <v>0</v>
      </c>
      <c r="AO134" s="95">
        <f t="shared" si="88"/>
        <v>0</v>
      </c>
      <c r="AP134" s="95">
        <f t="shared" si="89"/>
        <v>0</v>
      </c>
      <c r="AQ134"/>
      <c r="AR134" s="95">
        <f t="shared" si="90"/>
        <v>0</v>
      </c>
      <c r="AS134" s="95">
        <f t="shared" si="91"/>
        <v>0</v>
      </c>
      <c r="AT134" s="95">
        <f>Geraetedaten!$B$94*ABS(SIN(RADIANS($A134)))</f>
        <v>153.4139835061288</v>
      </c>
      <c r="AU134" s="95">
        <f>Geraetedaten!$B$94*ABS(COS(RADIANS($A134)))</f>
        <v>13.421984383139367</v>
      </c>
      <c r="AV134" s="95">
        <f>((h_Aw_Sw+Geraetedaten!$B$18)/1000)*(AR134*AT134+AS134*AU134)/100</f>
        <v>0</v>
      </c>
      <c r="AX134" s="18">
        <f>(IF($X$19="ja",1,0))*Geraetedaten!$D$142*COS(RADIANS(2*A134))*(Geraetedaten!$B$154*r_K_D+r_K_SSw*F_SSw/10)/1000+Geraetedaten!$B$152</f>
        <v>594.79999999999995</v>
      </c>
      <c r="AY134" s="18">
        <f>(IF($X$19="ja",1,0))*Geraetedaten!$D$142*COS(RADIANS(2*A134))*(Geraetedaten!$B$157*r_K_D+r_K_SSw*F_SSw/10)/1000+Geraetedaten!$B$155</f>
        <v>537.4</v>
      </c>
      <c r="AZ134" s="201"/>
    </row>
    <row r="135" spans="1:52" ht="13.5" x14ac:dyDescent="0.25">
      <c r="A135" s="16">
        <v>96</v>
      </c>
      <c r="B135" s="16">
        <f t="shared" ref="B135:B166" si="95">360-A135+90</f>
        <v>354</v>
      </c>
      <c r="C135" s="19">
        <f t="shared" ref="C135:C166" si="96">$AF$16*ABS(COS(RADIANS(A135)))+$AF$17*ABS(SIN(RADIANS(A135)))+AV135</f>
        <v>66.330274023974866</v>
      </c>
      <c r="D135" s="17">
        <f t="shared" si="92"/>
        <v>-10699.363164023975</v>
      </c>
      <c r="E135" s="17">
        <f t="shared" ref="E135:E166" si="97">IF(ISNUMBER(Z135),Z135-C135,"unendlich")</f>
        <v>133457.122165976</v>
      </c>
      <c r="F135" s="17">
        <f t="shared" ref="F135:F166" si="98">IF(ISNUMBER(AD135),AD135-C135,"unendlich")</f>
        <v>10452.991495976026</v>
      </c>
      <c r="G135" s="17">
        <f t="shared" ref="G135:G166" si="99">IF(ISNUMBER(AH135),AH135-C135,"unendlich")</f>
        <v>-78614.601464023974</v>
      </c>
      <c r="H135" s="17">
        <f t="shared" si="93"/>
        <v>10452.991495976026</v>
      </c>
      <c r="I135" s="17">
        <f t="shared" ref="I135:I166" si="100">IF(H135+C135=V135,X135,IF(H135+C135=Z135,AB135,IF(H135+C135=AD135,AF135,IF(H135+C135=AH135,AJ135,"???"))))</f>
        <v>4163.0663407316251</v>
      </c>
      <c r="J135" s="20">
        <f>(Geraetedaten!$B$152+(Geraetedaten!$B$153*(Geraetedaten!$B$18+d_y_Sw)/1000))*10</f>
        <v>6051.0442000000003</v>
      </c>
      <c r="K135" s="20">
        <f>(Geraetedaten!$B$165+(Geraetedaten!$B$166*(Geraetedaten!$B$18+d_y_Sw)/1000))*10</f>
        <v>10816.164000000001</v>
      </c>
      <c r="L135" s="20">
        <f>(Geraetedaten!$B$158+(Geraetedaten!$B$159*(Geraetedaten!$B$18+d_y_Sw)/1000)-(Geraetedaten!$B$160*I135/1000))*10</f>
        <v>296.25894523414968</v>
      </c>
      <c r="M135" s="20">
        <f>(Geraetedaten!$B$171+(Geraetedaten!$B$172*(Geraetedaten!$B$18+d_y_Sw)/1000)-(Geraetedaten!$B$173*I135/1000))*10</f>
        <v>754.96834159593868</v>
      </c>
      <c r="N135" s="20">
        <f>IF((H135-J135)/(K135-J135)*(Geraetedaten!$B$174-Geraetedaten!$B$161)&lt;Geraetedaten!$B$174,(H135-J135)/(K135-J135)*(Geraetedaten!$B$174-Geraetedaten!$B$161),Geraetedaten!$B$174)</f>
        <v>369.51409246634472</v>
      </c>
      <c r="O135" s="20">
        <f>N135/Geraetedaten!$B$174*(M135-L135)+L135+C135</f>
        <v>786.33818501415271</v>
      </c>
      <c r="P135" s="20">
        <f t="shared" si="94"/>
        <v>222.47251401820273</v>
      </c>
      <c r="Q135" s="20"/>
      <c r="R135" s="21">
        <f>(N135-Geraetedaten!$B$161)/(Geraetedaten!$B$174-Geraetedaten!$B$161)*(Geraetedaten!$B$175-Geraetedaten!$B$162)+Geraetedaten!$B$162</f>
        <v>40.193044250873754</v>
      </c>
      <c r="S135" s="21">
        <f t="shared" ref="S135:S166" si="101">SQRT((r_K_D/1000)^2+R135^2-(2*(r_K_D/1000)*R135*COS(RADIANS(2*A135))))</f>
        <v>40.193044250873754</v>
      </c>
      <c r="T135" s="21">
        <f t="shared" ref="T135:T166" si="102">S135*SIN(A135*Const_2)</f>
        <v>39.972862548999849</v>
      </c>
      <c r="U135" s="88">
        <f t="shared" ref="U135:U166" si="103">S135*COS(A135*Const_2)</f>
        <v>-4.2013171495926311</v>
      </c>
      <c r="V135" s="86">
        <f t="shared" ref="V135:V166" si="104">ROUND((F_S*r_Su_L-F_G*W135+F_SSw*Y135)/(SIN(RADIANS(270+g_L-A135)))/1000,5)</f>
        <v>-10633.03289</v>
      </c>
      <c r="W135" s="85">
        <f t="shared" ref="W135:W166" si="105">(SIN(RADIANS(g_L)))*(((VL_Z-HL_Z)/(VL_X-HL_X))*(-HL_X+AN135)+HL_Z-AM135)</f>
        <v>-4225.3239992296285</v>
      </c>
      <c r="X135" s="85">
        <f t="shared" ref="X135:X166" si="106">W135/(SIN(RADIANS(180-g_L-(90-$A135))))</f>
        <v>-4248.7918138652303</v>
      </c>
      <c r="Y135" s="90">
        <f t="shared" ref="Y135:Y166" si="107">SIN(RADIANS(g_L))*(((VL_Z-HL_Z)/(VL_X-HL_X))*(-AP135+HL_X)-HL_Z+AO135)</f>
        <v>4225.3239992296285</v>
      </c>
      <c r="Z135" s="86">
        <f t="shared" ref="Z135:Z166" si="108">ROUND((F_S*r_Su_H-F_G*AA135+F_SSw*AC135)/(SIN(RADIANS(180+g_H-A135)))/1000,5)</f>
        <v>133523.45243999999</v>
      </c>
      <c r="AA135" s="85">
        <f t="shared" ref="AA135:AA166" si="109">(SIN(RADIANS(g_H)))*(((HL_X-HR_X)/(HL_Z-HR_Z))*(-HR_Z+AM135)+HR_X-AN135)</f>
        <v>-913.46204712425447</v>
      </c>
      <c r="AB135" s="85">
        <f t="shared" ref="AB135:AB166" si="110">AA135/(SIN(RADIANS(g_H-$A135)))</f>
        <v>13874.122603082284</v>
      </c>
      <c r="AC135" s="90">
        <f t="shared" ref="AC135:AC166" si="111">SIN(RADIANS(g_H))*(((HL_X-HR_X)/(HL_Z-HR_Z))*(-AO135+HR_Z)-HR_X+AP135)</f>
        <v>913.46204712425447</v>
      </c>
      <c r="AD135" s="86">
        <f t="shared" ref="AD135:AD166" si="112">ROUND((F_S*r_Su_R+F_G*AE135+F_SSw*AG135)/(SIN(RADIANS(90+g_R-A135)))/1000,5)</f>
        <v>10519.32177</v>
      </c>
      <c r="AE135" s="85">
        <f t="shared" ref="AE135:AE166" si="113">(SIN(RADIANS(g_R)))*(((HR_Z-VR_Z)/(HR_X-VR_X))*(-VR_X+AN135)+VR_Z-AM135)</f>
        <v>4140.4375383844126</v>
      </c>
      <c r="AF135" s="85">
        <f t="shared" ref="AF135:AF166" si="114">AE135/(SIN(RADIANS(180-g_R-(90-$A135))))</f>
        <v>4163.0663407316251</v>
      </c>
      <c r="AG135" s="90">
        <f t="shared" ref="AG135:AG166" si="115">(SIN(RADIANS(g_R)))*(((HR_Z-VR_Z)/(HR_X-VR_X))*(-VR_X+AP135)+VR_Z-AO135)</f>
        <v>4140.4375383844126</v>
      </c>
      <c r="AH135" s="86">
        <f t="shared" ref="AH135:AH166" si="116">ROUND((F_S*r_Su_V+F_G*AI135+F_SSw*AK135)/(SIN(RADIANS(g_V-A135)))/1000,5)</f>
        <v>-78548.271189999999</v>
      </c>
      <c r="AI135" s="85">
        <f t="shared" ref="AI135:AI166" si="117">(SIN(RADIANS(g_V)))*(((VR_X-VL_X)/(VR_Z-VL_Z))*(AM135-VL_Z)+VL_X-AN135)</f>
        <v>6238.0466047659793</v>
      </c>
      <c r="AJ135" s="85">
        <f t="shared" ref="AJ135:AJ166" si="118">AI135/(SIN(RADIANS(g_V-$A135)))</f>
        <v>-53373.556319256844</v>
      </c>
      <c r="AK135" s="90">
        <f t="shared" ref="AK135:AK166" si="119">(SIN(RADIANS(g_V)))*(((VR_X-VL_X)/(VR_Z-VL_Z))*(-VL_Z+AO135)+VL_X-AP135)</f>
        <v>6238.0466047659793</v>
      </c>
      <c r="AM135" s="95">
        <f t="shared" si="86"/>
        <v>0</v>
      </c>
      <c r="AN135" s="95">
        <f t="shared" si="87"/>
        <v>0</v>
      </c>
      <c r="AO135" s="95">
        <f t="shared" si="88"/>
        <v>0</v>
      </c>
      <c r="AP135" s="95">
        <f t="shared" si="89"/>
        <v>0</v>
      </c>
      <c r="AQ135"/>
      <c r="AR135" s="95">
        <f t="shared" ref="AR135:AR166" si="120">MAX(d_y_Sw*(r_K_D*ABS(COS(RADIANS($A135)))+_r1_Sw+_r2_Sw), 2*_r1_Sw*d_y_Sw)/1000000</f>
        <v>0</v>
      </c>
      <c r="AS135" s="95">
        <f t="shared" ref="AS135:AS166" si="121">MAX(d_y_Sw*(r_K_D*ABS(SIN(RADIANS($A135)))+_r1_Sw+_r2_Sw), 2*_r1_Sw*d_y_Sw)/1000000</f>
        <v>0</v>
      </c>
      <c r="AT135" s="95">
        <f>Geraetedaten!$B$94*ABS(SIN(RADIANS($A135)))</f>
        <v>153.15637188671408</v>
      </c>
      <c r="AU135" s="95">
        <f>Geraetedaten!$B$94*ABS(COS(RADIANS($A135)))</f>
        <v>16.097383343218649</v>
      </c>
      <c r="AV135" s="95">
        <f>((h_Aw_Sw+Geraetedaten!$B$18)/1000)*(AR135*AT135+AS135*AU135)/100</f>
        <v>0</v>
      </c>
      <c r="AX135" s="18">
        <f>(IF($X$19="ja",1,0))*Geraetedaten!$D$142*COS(RADIANS(2*A135))*(Geraetedaten!$B$154*r_K_D+r_K_SSw*F_SSw/10)/1000+Geraetedaten!$B$152</f>
        <v>594.79999999999995</v>
      </c>
      <c r="AY135" s="18">
        <f>(IF($X$19="ja",1,0))*Geraetedaten!$D$142*COS(RADIANS(2*A135))*(Geraetedaten!$B$157*r_K_D+r_K_SSw*F_SSw/10)/1000+Geraetedaten!$B$155</f>
        <v>537.4</v>
      </c>
      <c r="AZ135" s="201"/>
    </row>
    <row r="136" spans="1:52" ht="13.5" x14ac:dyDescent="0.25">
      <c r="A136" s="16">
        <v>97</v>
      </c>
      <c r="B136" s="16">
        <f t="shared" si="95"/>
        <v>353</v>
      </c>
      <c r="C136" s="19">
        <f t="shared" si="96"/>
        <v>66.724023826976904</v>
      </c>
      <c r="D136" s="17">
        <f t="shared" si="92"/>
        <v>-10721.004303826978</v>
      </c>
      <c r="E136" s="17">
        <f t="shared" si="97"/>
        <v>105539.80159617303</v>
      </c>
      <c r="F136" s="17">
        <f t="shared" si="98"/>
        <v>10473.461406173023</v>
      </c>
      <c r="G136" s="17">
        <f t="shared" si="99"/>
        <v>-68479.658523826976</v>
      </c>
      <c r="H136" s="17">
        <f t="shared" si="93"/>
        <v>10473.461406173023</v>
      </c>
      <c r="I136" s="17">
        <f t="shared" si="100"/>
        <v>4171.3232228057714</v>
      </c>
      <c r="J136" s="20">
        <f>(Geraetedaten!$B$152+(Geraetedaten!$B$153*(Geraetedaten!$B$18+d_y_Sw)/1000))*10</f>
        <v>6051.0442000000003</v>
      </c>
      <c r="K136" s="20">
        <f>(Geraetedaten!$B$165+(Geraetedaten!$B$166*(Geraetedaten!$B$18+d_y_Sw)/1000))*10</f>
        <v>10816.164000000001</v>
      </c>
      <c r="L136" s="20">
        <f>(Geraetedaten!$B$158+(Geraetedaten!$B$159*(Geraetedaten!$B$18+d_y_Sw)/1000)-(Geraetedaten!$B$160*I136/1000))*10</f>
        <v>295.65346807165258</v>
      </c>
      <c r="M136" s="20">
        <f>(Geraetedaten!$B$171+(Geraetedaten!$B$172*(Geraetedaten!$B$18+d_y_Sw)/1000)-(Geraetedaten!$B$173*I136/1000))*10</f>
        <v>754.35369929433932</v>
      </c>
      <c r="N136" s="20">
        <f>IF((H136-J136)/(K136-J136)*(Geraetedaten!$B$174-Geraetedaten!$B$161)&lt;Geraetedaten!$B$174,(H136-J136)/(K136-J136)*(Geraetedaten!$B$174-Geraetedaten!$B$161),Geraetedaten!$B$174)</f>
        <v>371.23240479058029</v>
      </c>
      <c r="O136" s="20">
        <f>N136/Geraetedaten!$B$174*(M136-L136)+L136+C136</f>
        <v>788.0884666856125</v>
      </c>
      <c r="P136" s="20">
        <f t="shared" si="94"/>
        <v>222.70277012464351</v>
      </c>
      <c r="Q136" s="20"/>
      <c r="R136" s="21">
        <f>(N136-Geraetedaten!$B$161)/(Geraetedaten!$B$174-Geraetedaten!$B$161)*(Geraetedaten!$B$175-Geraetedaten!$B$162)+Geraetedaten!$B$162</f>
        <v>40.244164042519763</v>
      </c>
      <c r="S136" s="21">
        <f t="shared" si="101"/>
        <v>40.244164042519763</v>
      </c>
      <c r="T136" s="21">
        <f t="shared" si="102"/>
        <v>39.944190146425065</v>
      </c>
      <c r="U136" s="88">
        <f t="shared" si="103"/>
        <v>-4.9045298477509247</v>
      </c>
      <c r="V136" s="86">
        <f t="shared" si="104"/>
        <v>-10654.280280000001</v>
      </c>
      <c r="W136" s="85">
        <f t="shared" si="105"/>
        <v>-4225.3239992296285</v>
      </c>
      <c r="X136" s="85">
        <f t="shared" si="106"/>
        <v>-4257.2819368120536</v>
      </c>
      <c r="Y136" s="90">
        <f t="shared" si="107"/>
        <v>4225.3239992296285</v>
      </c>
      <c r="Z136" s="86">
        <f t="shared" si="108"/>
        <v>105606.52562</v>
      </c>
      <c r="AA136" s="85">
        <f t="shared" si="109"/>
        <v>-913.46204712425447</v>
      </c>
      <c r="AB136" s="85">
        <f t="shared" si="110"/>
        <v>10973.337323014943</v>
      </c>
      <c r="AC136" s="90">
        <f t="shared" si="111"/>
        <v>913.46204712425447</v>
      </c>
      <c r="AD136" s="86">
        <f t="shared" si="112"/>
        <v>10540.18543</v>
      </c>
      <c r="AE136" s="85">
        <f t="shared" si="113"/>
        <v>4140.4375383844126</v>
      </c>
      <c r="AF136" s="85">
        <f t="shared" si="114"/>
        <v>4171.3232228057714</v>
      </c>
      <c r="AG136" s="90">
        <f t="shared" si="115"/>
        <v>4140.4375383844126</v>
      </c>
      <c r="AH136" s="86">
        <f t="shared" si="116"/>
        <v>-68412.934500000003</v>
      </c>
      <c r="AI136" s="85">
        <f t="shared" si="117"/>
        <v>6238.0466047659793</v>
      </c>
      <c r="AJ136" s="85">
        <f t="shared" si="118"/>
        <v>-46486.594261472201</v>
      </c>
      <c r="AK136" s="90">
        <f t="shared" si="119"/>
        <v>6238.0466047659793</v>
      </c>
      <c r="AM136" s="95">
        <f t="shared" si="86"/>
        <v>0</v>
      </c>
      <c r="AN136" s="95">
        <f t="shared" si="87"/>
        <v>0</v>
      </c>
      <c r="AO136" s="95">
        <f t="shared" si="88"/>
        <v>0</v>
      </c>
      <c r="AP136" s="95">
        <f t="shared" si="89"/>
        <v>0</v>
      </c>
      <c r="AQ136"/>
      <c r="AR136" s="95">
        <f t="shared" si="120"/>
        <v>0</v>
      </c>
      <c r="AS136" s="95">
        <f t="shared" si="121"/>
        <v>0</v>
      </c>
      <c r="AT136" s="95">
        <f>Geraetedaten!$B$94*ABS(SIN(RADIANS($A136)))</f>
        <v>152.8521073527636</v>
      </c>
      <c r="AU136" s="95">
        <f>Geraetedaten!$B$94*ABS(COS(RADIANS($A136)))</f>
        <v>18.767878884392694</v>
      </c>
      <c r="AV136" s="95">
        <f>((h_Aw_Sw+Geraetedaten!$B$18)/1000)*(AR136*AT136+AS136*AU136)/100</f>
        <v>0</v>
      </c>
      <c r="AX136" s="18">
        <f>(IF($X$19="ja",1,0))*Geraetedaten!$D$142*COS(RADIANS(2*A136))*(Geraetedaten!$B$154*r_K_D+r_K_SSw*F_SSw/10)/1000+Geraetedaten!$B$152</f>
        <v>594.79999999999995</v>
      </c>
      <c r="AY136" s="18">
        <f>(IF($X$19="ja",1,0))*Geraetedaten!$D$142*COS(RADIANS(2*A136))*(Geraetedaten!$B$157*r_K_D+r_K_SSw*F_SSw/10)/1000+Geraetedaten!$B$155</f>
        <v>537.4</v>
      </c>
      <c r="AZ136" s="201"/>
    </row>
    <row r="137" spans="1:52" ht="13.5" x14ac:dyDescent="0.25">
      <c r="A137" s="16">
        <v>98</v>
      </c>
      <c r="B137" s="16">
        <f t="shared" si="95"/>
        <v>352</v>
      </c>
      <c r="C137" s="19">
        <f t="shared" si="96"/>
        <v>67.097448845951106</v>
      </c>
      <c r="D137" s="17">
        <f t="shared" si="92"/>
        <v>-10745.969608845951</v>
      </c>
      <c r="E137" s="17">
        <f t="shared" si="97"/>
        <v>87299.529091154051</v>
      </c>
      <c r="F137" s="17">
        <f t="shared" si="98"/>
        <v>10497.25896115405</v>
      </c>
      <c r="G137" s="17">
        <f t="shared" si="99"/>
        <v>-60677.711568845953</v>
      </c>
      <c r="H137" s="17">
        <f t="shared" si="93"/>
        <v>10497.25896115405</v>
      </c>
      <c r="I137" s="17">
        <f t="shared" si="100"/>
        <v>4180.8889930016539</v>
      </c>
      <c r="J137" s="20">
        <f>(Geraetedaten!$B$152+(Geraetedaten!$B$153*(Geraetedaten!$B$18+d_y_Sw)/1000))*10</f>
        <v>6051.0442000000003</v>
      </c>
      <c r="K137" s="20">
        <f>(Geraetedaten!$B$165+(Geraetedaten!$B$166*(Geraetedaten!$B$18+d_y_Sw)/1000))*10</f>
        <v>10816.164000000001</v>
      </c>
      <c r="L137" s="20">
        <f>(Geraetedaten!$B$158+(Geraetedaten!$B$159*(Geraetedaten!$B$18+d_y_Sw)/1000)-(Geraetedaten!$B$160*I137/1000))*10</f>
        <v>294.95201014318855</v>
      </c>
      <c r="M137" s="20">
        <f>(Geraetedaten!$B$171+(Geraetedaten!$B$172*(Geraetedaten!$B$18+d_y_Sw)/1000)-(Geraetedaten!$B$173*I137/1000))*10</f>
        <v>753.64162336095774</v>
      </c>
      <c r="N137" s="20">
        <f>IF((H137-J137)/(K137-J137)*(Geraetedaten!$B$174-Geraetedaten!$B$161)&lt;Geraetedaten!$B$174,(H137-J137)/(K137-J137)*(Geraetedaten!$B$174-Geraetedaten!$B$161),Geraetedaten!$B$174)</f>
        <v>373.23005068238155</v>
      </c>
      <c r="O137" s="20">
        <f>N137/Geraetedaten!$B$174*(M137-L137)+L137+C137</f>
        <v>790.04132796101464</v>
      </c>
      <c r="P137" s="20">
        <f t="shared" si="94"/>
        <v>222.9464381552483</v>
      </c>
      <c r="Q137" s="20"/>
      <c r="R137" s="21">
        <f>(N137-Geraetedaten!$B$161)/(Geraetedaten!$B$174-Geraetedaten!$B$161)*(Geraetedaten!$B$175-Geraetedaten!$B$162)+Geraetedaten!$B$162</f>
        <v>40.303594007800854</v>
      </c>
      <c r="S137" s="21">
        <f t="shared" si="101"/>
        <v>40.303594007800854</v>
      </c>
      <c r="T137" s="21">
        <f t="shared" si="102"/>
        <v>39.911362201449279</v>
      </c>
      <c r="U137" s="88">
        <f t="shared" si="103"/>
        <v>-5.6091761579011532</v>
      </c>
      <c r="V137" s="86">
        <f t="shared" si="104"/>
        <v>-10678.872160000001</v>
      </c>
      <c r="W137" s="85">
        <f t="shared" si="105"/>
        <v>-4225.3239992296285</v>
      </c>
      <c r="X137" s="85">
        <f t="shared" si="106"/>
        <v>-4267.1084634692807</v>
      </c>
      <c r="Y137" s="90">
        <f t="shared" si="107"/>
        <v>4225.3239992296285</v>
      </c>
      <c r="Z137" s="86">
        <f t="shared" si="108"/>
        <v>87366.626539999997</v>
      </c>
      <c r="AA137" s="85">
        <f t="shared" si="109"/>
        <v>-913.46204712425447</v>
      </c>
      <c r="AB137" s="85">
        <f t="shared" si="110"/>
        <v>9078.0703008729051</v>
      </c>
      <c r="AC137" s="90">
        <f t="shared" si="111"/>
        <v>913.46204712425447</v>
      </c>
      <c r="AD137" s="86">
        <f t="shared" si="112"/>
        <v>10564.35641</v>
      </c>
      <c r="AE137" s="85">
        <f t="shared" si="113"/>
        <v>4140.4375383844126</v>
      </c>
      <c r="AF137" s="85">
        <f t="shared" si="114"/>
        <v>4180.8889930016539</v>
      </c>
      <c r="AG137" s="90">
        <f t="shared" si="115"/>
        <v>4140.4375383844126</v>
      </c>
      <c r="AH137" s="86">
        <f t="shared" si="116"/>
        <v>-60610.614119999998</v>
      </c>
      <c r="AI137" s="85">
        <f t="shared" si="117"/>
        <v>6238.0466047659793</v>
      </c>
      <c r="AJ137" s="85">
        <f t="shared" si="118"/>
        <v>-41184.916962873518</v>
      </c>
      <c r="AK137" s="90">
        <f t="shared" si="119"/>
        <v>6238.0466047659793</v>
      </c>
      <c r="AM137" s="95">
        <f t="shared" si="86"/>
        <v>0</v>
      </c>
      <c r="AN137" s="95">
        <f t="shared" si="87"/>
        <v>0</v>
      </c>
      <c r="AO137" s="95">
        <f t="shared" si="88"/>
        <v>0</v>
      </c>
      <c r="AP137" s="95">
        <f t="shared" si="89"/>
        <v>0</v>
      </c>
      <c r="AQ137"/>
      <c r="AR137" s="95">
        <f t="shared" si="120"/>
        <v>0</v>
      </c>
      <c r="AS137" s="95">
        <f t="shared" si="121"/>
        <v>0</v>
      </c>
      <c r="AT137" s="95">
        <f>Geraetedaten!$B$94*ABS(SIN(RADIANS($A137)))</f>
        <v>152.50128258620182</v>
      </c>
      <c r="AU137" s="95">
        <f>Geraetedaten!$B$94*ABS(COS(RADIANS($A137)))</f>
        <v>21.432657547850063</v>
      </c>
      <c r="AV137" s="95">
        <f>((h_Aw_Sw+Geraetedaten!$B$18)/1000)*(AR137*AT137+AS137*AU137)/100</f>
        <v>0</v>
      </c>
      <c r="AX137" s="18">
        <f>(IF($X$19="ja",1,0))*Geraetedaten!$D$142*COS(RADIANS(2*A137))*(Geraetedaten!$B$154*r_K_D+r_K_SSw*F_SSw/10)/1000+Geraetedaten!$B$152</f>
        <v>594.79999999999995</v>
      </c>
      <c r="AY137" s="18">
        <f>(IF($X$19="ja",1,0))*Geraetedaten!$D$142*COS(RADIANS(2*A137))*(Geraetedaten!$B$157*r_K_D+r_K_SSw*F_SSw/10)/1000+Geraetedaten!$B$155</f>
        <v>537.4</v>
      </c>
      <c r="AZ137" s="201"/>
    </row>
    <row r="138" spans="1:52" ht="13.5" x14ac:dyDescent="0.25">
      <c r="A138" s="16">
        <v>99</v>
      </c>
      <c r="B138" s="16">
        <f t="shared" si="95"/>
        <v>351</v>
      </c>
      <c r="C138" s="19">
        <f t="shared" si="96"/>
        <v>67.450435332019254</v>
      </c>
      <c r="D138" s="17">
        <f t="shared" si="92"/>
        <v>-10774.297225332019</v>
      </c>
      <c r="E138" s="17">
        <f t="shared" si="97"/>
        <v>74451.318144667981</v>
      </c>
      <c r="F138" s="17">
        <f t="shared" si="98"/>
        <v>10524.421874667982</v>
      </c>
      <c r="G138" s="17">
        <f t="shared" si="99"/>
        <v>-54488.105015332025</v>
      </c>
      <c r="H138" s="17">
        <f t="shared" si="93"/>
        <v>10524.421874667982</v>
      </c>
      <c r="I138" s="17">
        <f t="shared" si="100"/>
        <v>4191.7785281000442</v>
      </c>
      <c r="J138" s="20">
        <f>(Geraetedaten!$B$152+(Geraetedaten!$B$153*(Geraetedaten!$B$18+d_y_Sw)/1000))*10</f>
        <v>6051.0442000000003</v>
      </c>
      <c r="K138" s="20">
        <f>(Geraetedaten!$B$165+(Geraetedaten!$B$166*(Geraetedaten!$B$18+d_y_Sw)/1000))*10</f>
        <v>10816.164000000001</v>
      </c>
      <c r="L138" s="20">
        <f>(Geraetedaten!$B$158+(Geraetedaten!$B$159*(Geraetedaten!$B$18+d_y_Sw)/1000)-(Geraetedaten!$B$160*I138/1000))*10</f>
        <v>294.15348053442358</v>
      </c>
      <c r="M138" s="20">
        <f>(Geraetedaten!$B$171+(Geraetedaten!$B$172*(Geraetedaten!$B$18+d_y_Sw)/1000)-(Geraetedaten!$B$173*I138/1000))*10</f>
        <v>752.83100636823349</v>
      </c>
      <c r="N138" s="20">
        <f>IF((H138-J138)/(K138-J138)*(Geraetedaten!$B$174-Geraetedaten!$B$161)&lt;Geraetedaten!$B$174,(H138-J138)/(K138-J138)*(Geraetedaten!$B$174-Geraetedaten!$B$161),Geraetedaten!$B$174)</f>
        <v>375.51019595922696</v>
      </c>
      <c r="O138" s="20">
        <f>N138/Geraetedaten!$B$174*(M138-L138)+L138+C138</f>
        <v>792.19913488631119</v>
      </c>
      <c r="P138" s="20">
        <f t="shared" si="94"/>
        <v>223.20349856808076</v>
      </c>
      <c r="Q138" s="20"/>
      <c r="R138" s="21">
        <f>(N138-Geraetedaten!$B$161)/(Geraetedaten!$B$174-Geraetedaten!$B$161)*(Geraetedaten!$B$175-Geraetedaten!$B$162)+Geraetedaten!$B$162</f>
        <v>40.371428329787001</v>
      </c>
      <c r="S138" s="21">
        <f t="shared" si="101"/>
        <v>40.371428329787001</v>
      </c>
      <c r="T138" s="21">
        <f t="shared" si="102"/>
        <v>39.874389054502856</v>
      </c>
      <c r="U138" s="88">
        <f t="shared" si="103"/>
        <v>-6.3154827936802489</v>
      </c>
      <c r="V138" s="86">
        <f t="shared" si="104"/>
        <v>-10706.84679</v>
      </c>
      <c r="W138" s="85">
        <f t="shared" si="105"/>
        <v>-4225.3239992296285</v>
      </c>
      <c r="X138" s="85">
        <f t="shared" si="106"/>
        <v>-4278.2866801938153</v>
      </c>
      <c r="Y138" s="90">
        <f t="shared" si="107"/>
        <v>4225.3239992296285</v>
      </c>
      <c r="Z138" s="86">
        <f t="shared" si="108"/>
        <v>74518.768580000004</v>
      </c>
      <c r="AA138" s="85">
        <f t="shared" si="109"/>
        <v>-913.46204712425447</v>
      </c>
      <c r="AB138" s="85">
        <f t="shared" si="110"/>
        <v>7743.0781828991576</v>
      </c>
      <c r="AC138" s="90">
        <f t="shared" si="111"/>
        <v>913.46204712425447</v>
      </c>
      <c r="AD138" s="86">
        <f t="shared" si="112"/>
        <v>10591.872310000001</v>
      </c>
      <c r="AE138" s="85">
        <f t="shared" si="113"/>
        <v>4140.4375383844126</v>
      </c>
      <c r="AF138" s="85">
        <f t="shared" si="114"/>
        <v>4191.7785281000442</v>
      </c>
      <c r="AG138" s="90">
        <f t="shared" si="115"/>
        <v>4140.4375383844126</v>
      </c>
      <c r="AH138" s="86">
        <f t="shared" si="116"/>
        <v>-54420.654580000002</v>
      </c>
      <c r="AI138" s="85">
        <f t="shared" si="117"/>
        <v>6238.0466047659793</v>
      </c>
      <c r="AJ138" s="85">
        <f t="shared" si="118"/>
        <v>-36978.838974285885</v>
      </c>
      <c r="AK138" s="90">
        <f t="shared" si="119"/>
        <v>6238.0466047659793</v>
      </c>
      <c r="AM138" s="95">
        <f t="shared" si="86"/>
        <v>0</v>
      </c>
      <c r="AN138" s="95">
        <f t="shared" si="87"/>
        <v>0</v>
      </c>
      <c r="AO138" s="95">
        <f t="shared" si="88"/>
        <v>0</v>
      </c>
      <c r="AP138" s="95">
        <f t="shared" si="89"/>
        <v>0</v>
      </c>
      <c r="AQ138"/>
      <c r="AR138" s="95">
        <f t="shared" si="120"/>
        <v>0</v>
      </c>
      <c r="AS138" s="95">
        <f t="shared" si="121"/>
        <v>0</v>
      </c>
      <c r="AT138" s="95">
        <f>Geraetedaten!$B$94*ABS(SIN(RADIANS($A138)))</f>
        <v>152.10400445165121</v>
      </c>
      <c r="AU138" s="95">
        <f>Geraetedaten!$B$94*ABS(COS(RADIANS($A138)))</f>
        <v>24.090907616195544</v>
      </c>
      <c r="AV138" s="95">
        <f>((h_Aw_Sw+Geraetedaten!$B$18)/1000)*(AR138*AT138+AS138*AU138)/100</f>
        <v>0</v>
      </c>
      <c r="AX138" s="18">
        <f>(IF($X$19="ja",1,0))*Geraetedaten!$D$142*COS(RADIANS(2*A138))*(Geraetedaten!$B$154*r_K_D+r_K_SSw*F_SSw/10)/1000+Geraetedaten!$B$152</f>
        <v>594.79999999999995</v>
      </c>
      <c r="AY138" s="18">
        <f>(IF($X$19="ja",1,0))*Geraetedaten!$D$142*COS(RADIANS(2*A138))*(Geraetedaten!$B$157*r_K_D+r_K_SSw*F_SSw/10)/1000+Geraetedaten!$B$155</f>
        <v>537.4</v>
      </c>
      <c r="AZ138" s="201"/>
    </row>
    <row r="139" spans="1:52" ht="13.5" x14ac:dyDescent="0.25">
      <c r="A139" s="16">
        <v>100</v>
      </c>
      <c r="B139" s="16">
        <f t="shared" si="95"/>
        <v>350</v>
      </c>
      <c r="C139" s="19">
        <f t="shared" si="96"/>
        <v>67.782875762078234</v>
      </c>
      <c r="D139" s="17">
        <f t="shared" si="92"/>
        <v>-10806.030795762079</v>
      </c>
      <c r="E139" s="17">
        <f t="shared" si="97"/>
        <v>64914.667684237917</v>
      </c>
      <c r="F139" s="17">
        <f t="shared" si="98"/>
        <v>10554.993304237922</v>
      </c>
      <c r="G139" s="17">
        <f t="shared" si="99"/>
        <v>-49459.292685762084</v>
      </c>
      <c r="H139" s="17">
        <f t="shared" si="93"/>
        <v>10554.993304237922</v>
      </c>
      <c r="I139" s="17">
        <f t="shared" si="100"/>
        <v>4204.0088629903221</v>
      </c>
      <c r="J139" s="20">
        <f>(Geraetedaten!$B$152+(Geraetedaten!$B$153*(Geraetedaten!$B$18+d_y_Sw)/1000))*10</f>
        <v>6051.0442000000003</v>
      </c>
      <c r="K139" s="20">
        <f>(Geraetedaten!$B$165+(Geraetedaten!$B$166*(Geraetedaten!$B$18+d_y_Sw)/1000))*10</f>
        <v>10816.164000000001</v>
      </c>
      <c r="L139" s="20">
        <f>(Geraetedaten!$B$158+(Geraetedaten!$B$159*(Geraetedaten!$B$18+d_y_Sw)/1000)-(Geraetedaten!$B$160*I139/1000))*10</f>
        <v>293.25663007691952</v>
      </c>
      <c r="M139" s="20">
        <f>(Geraetedaten!$B$171+(Geraetedaten!$B$172*(Geraetedaten!$B$18+d_y_Sw)/1000)-(Geraetedaten!$B$173*I139/1000))*10</f>
        <v>751.92058023900131</v>
      </c>
      <c r="N139" s="20">
        <f>IF((H139-J139)/(K139-J139)*(Geraetedaten!$B$174-Geraetedaten!$B$161)&lt;Geraetedaten!$B$174,(H139-J139)/(K139-J139)*(Geraetedaten!$B$174-Geraetedaten!$B$161),Geraetedaten!$B$174)</f>
        <v>378.07646340710437</v>
      </c>
      <c r="O139" s="20">
        <f>N139/Geraetedaten!$B$174*(M139-L139)+L139+C139</f>
        <v>794.56461626302837</v>
      </c>
      <c r="P139" s="20">
        <f t="shared" si="94"/>
        <v>223.47394555622023</v>
      </c>
      <c r="Q139" s="20"/>
      <c r="R139" s="21">
        <f>(N139-Geraetedaten!$B$161)/(Geraetedaten!$B$174-Geraetedaten!$B$161)*(Geraetedaten!$B$175-Geraetedaten!$B$162)+Geraetedaten!$B$162</f>
        <v>40.447774786361357</v>
      </c>
      <c r="S139" s="21">
        <f t="shared" si="101"/>
        <v>40.447774786361357</v>
      </c>
      <c r="T139" s="21">
        <f t="shared" si="102"/>
        <v>39.833282201700371</v>
      </c>
      <c r="U139" s="88">
        <f t="shared" si="103"/>
        <v>-7.0236823823340613</v>
      </c>
      <c r="V139" s="86">
        <f t="shared" si="104"/>
        <v>-10738.24792</v>
      </c>
      <c r="W139" s="85">
        <f t="shared" si="105"/>
        <v>-4225.3239992296285</v>
      </c>
      <c r="X139" s="85">
        <f t="shared" si="106"/>
        <v>-4290.834078719321</v>
      </c>
      <c r="Y139" s="90">
        <f t="shared" si="107"/>
        <v>4225.3239992296285</v>
      </c>
      <c r="Z139" s="86">
        <f t="shared" si="108"/>
        <v>64982.450559999997</v>
      </c>
      <c r="AA139" s="85">
        <f t="shared" si="109"/>
        <v>-913.46204712425447</v>
      </c>
      <c r="AB139" s="85">
        <f t="shared" si="110"/>
        <v>6752.1807564198925</v>
      </c>
      <c r="AC139" s="90">
        <f t="shared" si="111"/>
        <v>913.46204712425447</v>
      </c>
      <c r="AD139" s="86">
        <f t="shared" si="112"/>
        <v>10622.776180000001</v>
      </c>
      <c r="AE139" s="85">
        <f t="shared" si="113"/>
        <v>4140.4375383844126</v>
      </c>
      <c r="AF139" s="85">
        <f t="shared" si="114"/>
        <v>4204.0088629903221</v>
      </c>
      <c r="AG139" s="90">
        <f t="shared" si="115"/>
        <v>4140.4375383844126</v>
      </c>
      <c r="AH139" s="86">
        <f t="shared" si="116"/>
        <v>-49391.509810000003</v>
      </c>
      <c r="AI139" s="85">
        <f t="shared" si="117"/>
        <v>6238.0466047659793</v>
      </c>
      <c r="AJ139" s="85">
        <f t="shared" si="118"/>
        <v>-33561.534716700015</v>
      </c>
      <c r="AK139" s="90">
        <f t="shared" si="119"/>
        <v>6238.0466047659793</v>
      </c>
      <c r="AM139" s="95">
        <f t="shared" si="86"/>
        <v>0</v>
      </c>
      <c r="AN139" s="95">
        <f t="shared" si="87"/>
        <v>0</v>
      </c>
      <c r="AO139" s="95">
        <f t="shared" si="88"/>
        <v>0</v>
      </c>
      <c r="AP139" s="95">
        <f t="shared" si="89"/>
        <v>0</v>
      </c>
      <c r="AQ139"/>
      <c r="AR139" s="95">
        <f t="shared" si="120"/>
        <v>0</v>
      </c>
      <c r="AS139" s="95">
        <f t="shared" si="121"/>
        <v>0</v>
      </c>
      <c r="AT139" s="95">
        <f>Geraetedaten!$B$94*ABS(SIN(RADIANS($A139)))</f>
        <v>151.66039396388004</v>
      </c>
      <c r="AU139" s="95">
        <f>Geraetedaten!$B$94*ABS(COS(RADIANS($A139)))</f>
        <v>26.741819360707268</v>
      </c>
      <c r="AV139" s="95">
        <f>((h_Aw_Sw+Geraetedaten!$B$18)/1000)*(AR139*AT139+AS139*AU139)/100</f>
        <v>0</v>
      </c>
      <c r="AX139" s="18">
        <f>(IF($X$19="ja",1,0))*Geraetedaten!$D$142*COS(RADIANS(2*A139))*(Geraetedaten!$B$154*r_K_D+r_K_SSw*F_SSw/10)/1000+Geraetedaten!$B$152</f>
        <v>594.79999999999995</v>
      </c>
      <c r="AY139" s="18">
        <f>(IF($X$19="ja",1,0))*Geraetedaten!$D$142*COS(RADIANS(2*A139))*(Geraetedaten!$B$157*r_K_D+r_K_SSw*F_SSw/10)/1000+Geraetedaten!$B$155</f>
        <v>537.4</v>
      </c>
      <c r="AZ139" s="201"/>
    </row>
    <row r="140" spans="1:52" ht="13.5" x14ac:dyDescent="0.25">
      <c r="A140" s="16">
        <v>101</v>
      </c>
      <c r="B140" s="16">
        <f t="shared" si="95"/>
        <v>349</v>
      </c>
      <c r="C140" s="19">
        <f t="shared" si="96"/>
        <v>68.094668871552628</v>
      </c>
      <c r="D140" s="17">
        <f t="shared" si="92"/>
        <v>-10841.219708871553</v>
      </c>
      <c r="E140" s="17">
        <f t="shared" si="97"/>
        <v>57557.451161128447</v>
      </c>
      <c r="F140" s="17">
        <f t="shared" si="98"/>
        <v>10589.021991128448</v>
      </c>
      <c r="G140" s="17">
        <f t="shared" si="99"/>
        <v>-45293.949688871558</v>
      </c>
      <c r="H140" s="17">
        <f t="shared" si="93"/>
        <v>10589.021991128448</v>
      </c>
      <c r="I140" s="17">
        <f t="shared" si="100"/>
        <v>4217.5992565034985</v>
      </c>
      <c r="J140" s="20">
        <f>(Geraetedaten!$B$152+(Geraetedaten!$B$153*(Geraetedaten!$B$18+d_y_Sw)/1000))*10</f>
        <v>6051.0442000000003</v>
      </c>
      <c r="K140" s="20">
        <f>(Geraetedaten!$B$165+(Geraetedaten!$B$166*(Geraetedaten!$B$18+d_y_Sw)/1000))*10</f>
        <v>10816.164000000001</v>
      </c>
      <c r="L140" s="20">
        <f>(Geraetedaten!$B$158+(Geraetedaten!$B$159*(Geraetedaten!$B$18+d_y_Sw)/1000)-(Geraetedaten!$B$160*I140/1000))*10</f>
        <v>292.26004652059822</v>
      </c>
      <c r="M140" s="20">
        <f>(Geraetedaten!$B$171+(Geraetedaten!$B$172*(Geraetedaten!$B$18+d_y_Sw)/1000)-(Geraetedaten!$B$173*I140/1000))*10</f>
        <v>750.90891134588048</v>
      </c>
      <c r="N140" s="20">
        <f>IF((H140-J140)/(K140-J140)*(Geraetedaten!$B$174-Geraetedaten!$B$161)&lt;Geraetedaten!$B$174,(H140-J140)/(K140-J140)*(Geraetedaten!$B$174-Geraetedaten!$B$161),Geraetedaten!$B$174)</f>
        <v>380.93294452982667</v>
      </c>
      <c r="O140" s="20">
        <f>N140/Geraetedaten!$B$174*(M140-L140)+L140+C140</f>
        <v>797.14087185004382</v>
      </c>
      <c r="P140" s="20">
        <f t="shared" si="94"/>
        <v>223.75778676610992</v>
      </c>
      <c r="Q140" s="20"/>
      <c r="R140" s="21">
        <f>(N140-Geraetedaten!$B$161)/(Geraetedaten!$B$174-Geraetedaten!$B$161)*(Geraetedaten!$B$175-Geraetedaten!$B$162)+Geraetedaten!$B$162</f>
        <v>40.53275509976234</v>
      </c>
      <c r="S140" s="21">
        <f t="shared" si="101"/>
        <v>40.53275509976234</v>
      </c>
      <c r="T140" s="21">
        <f t="shared" si="102"/>
        <v>39.788054225953644</v>
      </c>
      <c r="U140" s="88">
        <f t="shared" si="103"/>
        <v>-7.7340142804291752</v>
      </c>
      <c r="V140" s="86">
        <f t="shared" si="104"/>
        <v>-10773.125040000001</v>
      </c>
      <c r="W140" s="85">
        <f t="shared" si="105"/>
        <v>-4225.3239992296285</v>
      </c>
      <c r="X140" s="85">
        <f t="shared" si="106"/>
        <v>-4304.7704237839453</v>
      </c>
      <c r="Y140" s="90">
        <f t="shared" si="107"/>
        <v>4225.3239992296285</v>
      </c>
      <c r="Z140" s="86">
        <f t="shared" si="108"/>
        <v>57625.545830000003</v>
      </c>
      <c r="AA140" s="85">
        <f t="shared" si="109"/>
        <v>-913.46204712425447</v>
      </c>
      <c r="AB140" s="85">
        <f t="shared" si="110"/>
        <v>5987.7412792392761</v>
      </c>
      <c r="AC140" s="90">
        <f t="shared" si="111"/>
        <v>913.46204712425447</v>
      </c>
      <c r="AD140" s="86">
        <f t="shared" si="112"/>
        <v>10657.11666</v>
      </c>
      <c r="AE140" s="85">
        <f t="shared" si="113"/>
        <v>4140.4375383844126</v>
      </c>
      <c r="AF140" s="85">
        <f t="shared" si="114"/>
        <v>4217.5992565034985</v>
      </c>
      <c r="AG140" s="90">
        <f t="shared" si="115"/>
        <v>4140.4375383844126</v>
      </c>
      <c r="AH140" s="86">
        <f t="shared" si="116"/>
        <v>-45225.855020000003</v>
      </c>
      <c r="AI140" s="85">
        <f t="shared" si="117"/>
        <v>6238.0466047659793</v>
      </c>
      <c r="AJ140" s="85">
        <f t="shared" si="118"/>
        <v>-30730.971964843775</v>
      </c>
      <c r="AK140" s="90">
        <f t="shared" si="119"/>
        <v>6238.0466047659793</v>
      </c>
      <c r="AM140" s="95">
        <f t="shared" si="86"/>
        <v>0</v>
      </c>
      <c r="AN140" s="95">
        <f t="shared" si="87"/>
        <v>0</v>
      </c>
      <c r="AO140" s="95">
        <f t="shared" si="88"/>
        <v>0</v>
      </c>
      <c r="AP140" s="95">
        <f t="shared" si="89"/>
        <v>0</v>
      </c>
      <c r="AQ140"/>
      <c r="AR140" s="95">
        <f t="shared" si="120"/>
        <v>0</v>
      </c>
      <c r="AS140" s="95">
        <f t="shared" si="121"/>
        <v>0</v>
      </c>
      <c r="AT140" s="95">
        <f>Geraetedaten!$B$94*ABS(SIN(RADIANS($A140)))</f>
        <v>151.17058625094026</v>
      </c>
      <c r="AU140" s="95">
        <f>Geraetedaten!$B$94*ABS(COS(RADIANS($A140)))</f>
        <v>29.3845852879879</v>
      </c>
      <c r="AV140" s="95">
        <f>((h_Aw_Sw+Geraetedaten!$B$18)/1000)*(AR140*AT140+AS140*AU140)/100</f>
        <v>0</v>
      </c>
      <c r="AX140" s="18">
        <f>(IF($X$19="ja",1,0))*Geraetedaten!$D$142*COS(RADIANS(2*A140))*(Geraetedaten!$B$154*r_K_D+r_K_SSw*F_SSw/10)/1000+Geraetedaten!$B$152</f>
        <v>594.79999999999995</v>
      </c>
      <c r="AY140" s="18">
        <f>(IF($X$19="ja",1,0))*Geraetedaten!$D$142*COS(RADIANS(2*A140))*(Geraetedaten!$B$157*r_K_D+r_K_SSw*F_SSw/10)/1000+Geraetedaten!$B$155</f>
        <v>537.4</v>
      </c>
      <c r="AZ140" s="201"/>
    </row>
    <row r="141" spans="1:52" ht="13.5" x14ac:dyDescent="0.25">
      <c r="A141" s="16">
        <v>102</v>
      </c>
      <c r="B141" s="16">
        <f t="shared" si="95"/>
        <v>348</v>
      </c>
      <c r="C141" s="19">
        <f t="shared" si="96"/>
        <v>68.385719685240872</v>
      </c>
      <c r="D141" s="17">
        <f t="shared" si="92"/>
        <v>-10879.91920968524</v>
      </c>
      <c r="E141" s="17">
        <f t="shared" si="97"/>
        <v>51710.816630314759</v>
      </c>
      <c r="F141" s="17">
        <f t="shared" si="98"/>
        <v>10626.562530314759</v>
      </c>
      <c r="G141" s="17">
        <f t="shared" si="99"/>
        <v>-41788.311709685244</v>
      </c>
      <c r="H141" s="17">
        <f t="shared" si="93"/>
        <v>10626.562530314759</v>
      </c>
      <c r="I141" s="17">
        <f t="shared" si="100"/>
        <v>4232.5712665473466</v>
      </c>
      <c r="J141" s="20">
        <f>(Geraetedaten!$B$152+(Geraetedaten!$B$153*(Geraetedaten!$B$18+d_y_Sw)/1000))*10</f>
        <v>6051.0442000000003</v>
      </c>
      <c r="K141" s="20">
        <f>(Geraetedaten!$B$165+(Geraetedaten!$B$166*(Geraetedaten!$B$18+d_y_Sw)/1000))*10</f>
        <v>10816.164000000001</v>
      </c>
      <c r="L141" s="20">
        <f>(Geraetedaten!$B$158+(Geraetedaten!$B$159*(Geraetedaten!$B$18+d_y_Sw)/1000)-(Geraetedaten!$B$160*I141/1000))*10</f>
        <v>291.16214902408285</v>
      </c>
      <c r="M141" s="20">
        <f>(Geraetedaten!$B$171+(Geraetedaten!$B$172*(Geraetedaten!$B$18+d_y_Sw)/1000)-(Geraetedaten!$B$173*I141/1000))*10</f>
        <v>749.79439491821631</v>
      </c>
      <c r="N141" s="20">
        <f>IF((H141-J141)/(K141-J141)*(Geraetedaten!$B$174-Geraetedaten!$B$161)&lt;Geraetedaten!$B$174,(H141-J141)/(K141-J141)*(Geraetedaten!$B$174-Geraetedaten!$B$161),Geraetedaten!$B$174)</f>
        <v>384.08422221114006</v>
      </c>
      <c r="O141" s="20">
        <f>N141/Geraetedaten!$B$174*(M141-L141)+L141+C141</f>
        <v>799.93139232231533</v>
      </c>
      <c r="P141" s="20">
        <f t="shared" si="94"/>
        <v>224.05504425344074</v>
      </c>
      <c r="Q141" s="20"/>
      <c r="R141" s="21">
        <f>(N141-Geraetedaten!$B$161)/(Geraetedaten!$B$174-Geraetedaten!$B$161)*(Geraetedaten!$B$175-Geraetedaten!$B$162)+Geraetedaten!$B$162</f>
        <v>40.626505610781422</v>
      </c>
      <c r="S141" s="21">
        <f t="shared" si="101"/>
        <v>40.626505610781422</v>
      </c>
      <c r="T141" s="21">
        <f t="shared" si="102"/>
        <v>39.738718989384346</v>
      </c>
      <c r="U141" s="88">
        <f t="shared" si="103"/>
        <v>-8.4467254735547517</v>
      </c>
      <c r="V141" s="86">
        <f t="shared" si="104"/>
        <v>-10811.53349</v>
      </c>
      <c r="W141" s="85">
        <f t="shared" si="105"/>
        <v>-4225.3239992296285</v>
      </c>
      <c r="X141" s="85">
        <f t="shared" si="106"/>
        <v>-4320.1178302762719</v>
      </c>
      <c r="Y141" s="90">
        <f t="shared" si="107"/>
        <v>4225.3239992296285</v>
      </c>
      <c r="Z141" s="86">
        <f t="shared" si="108"/>
        <v>51779.20235</v>
      </c>
      <c r="AA141" s="85">
        <f t="shared" si="109"/>
        <v>-913.46204712425447</v>
      </c>
      <c r="AB141" s="85">
        <f t="shared" si="110"/>
        <v>5380.260834572352</v>
      </c>
      <c r="AC141" s="90">
        <f t="shared" si="111"/>
        <v>913.46204712425447</v>
      </c>
      <c r="AD141" s="86">
        <f t="shared" si="112"/>
        <v>10694.948249999999</v>
      </c>
      <c r="AE141" s="85">
        <f t="shared" si="113"/>
        <v>4140.4375383844126</v>
      </c>
      <c r="AF141" s="85">
        <f t="shared" si="114"/>
        <v>4232.5712665473466</v>
      </c>
      <c r="AG141" s="90">
        <f t="shared" si="115"/>
        <v>4140.4375383844126</v>
      </c>
      <c r="AH141" s="86">
        <f t="shared" si="116"/>
        <v>-41719.925990000003</v>
      </c>
      <c r="AI141" s="85">
        <f t="shared" si="117"/>
        <v>6238.0466047659793</v>
      </c>
      <c r="AJ141" s="85">
        <f t="shared" si="118"/>
        <v>-28348.692922537779</v>
      </c>
      <c r="AK141" s="90">
        <f t="shared" si="119"/>
        <v>6238.0466047659793</v>
      </c>
      <c r="AM141" s="95">
        <f t="shared" si="86"/>
        <v>0</v>
      </c>
      <c r="AN141" s="95">
        <f t="shared" si="87"/>
        <v>0</v>
      </c>
      <c r="AO141" s="95">
        <f t="shared" si="88"/>
        <v>0</v>
      </c>
      <c r="AP141" s="95">
        <f t="shared" si="89"/>
        <v>0</v>
      </c>
      <c r="AQ141"/>
      <c r="AR141" s="95">
        <f t="shared" si="120"/>
        <v>0</v>
      </c>
      <c r="AS141" s="95">
        <f t="shared" si="121"/>
        <v>0</v>
      </c>
      <c r="AT141" s="95">
        <f>Geraetedaten!$B$94*ABS(SIN(RADIANS($A141)))</f>
        <v>150.63473051300608</v>
      </c>
      <c r="AU141" s="95">
        <f>Geraetedaten!$B$94*ABS(COS(RADIANS($A141)))</f>
        <v>32.018400385934939</v>
      </c>
      <c r="AV141" s="95">
        <f>((h_Aw_Sw+Geraetedaten!$B$18)/1000)*(AR141*AT141+AS141*AU141)/100</f>
        <v>0</v>
      </c>
      <c r="AX141" s="18">
        <f>(IF($X$19="ja",1,0))*Geraetedaten!$D$142*COS(RADIANS(2*A141))*(Geraetedaten!$B$154*r_K_D+r_K_SSw*F_SSw/10)/1000+Geraetedaten!$B$152</f>
        <v>594.79999999999995</v>
      </c>
      <c r="AY141" s="18">
        <f>(IF($X$19="ja",1,0))*Geraetedaten!$D$142*COS(RADIANS(2*A141))*(Geraetedaten!$B$157*r_K_D+r_K_SSw*F_SSw/10)/1000+Geraetedaten!$B$155</f>
        <v>537.4</v>
      </c>
      <c r="AZ141" s="201"/>
    </row>
    <row r="142" spans="1:52" ht="13.5" x14ac:dyDescent="0.25">
      <c r="A142" s="16">
        <v>103</v>
      </c>
      <c r="B142" s="16">
        <f t="shared" si="95"/>
        <v>347</v>
      </c>
      <c r="C142" s="19">
        <f t="shared" si="96"/>
        <v>68.655939546245634</v>
      </c>
      <c r="D142" s="17">
        <f t="shared" si="92"/>
        <v>-10922.190639546247</v>
      </c>
      <c r="E142" s="17">
        <f t="shared" si="97"/>
        <v>46954.210980453754</v>
      </c>
      <c r="F142" s="17">
        <f t="shared" si="98"/>
        <v>10667.675480453754</v>
      </c>
      <c r="G142" s="17">
        <f t="shared" si="99"/>
        <v>-38798.058249546244</v>
      </c>
      <c r="H142" s="17">
        <f t="shared" si="93"/>
        <v>10667.675480453754</v>
      </c>
      <c r="I142" s="17">
        <f t="shared" si="100"/>
        <v>4248.9488350972824</v>
      </c>
      <c r="J142" s="20">
        <f>(Geraetedaten!$B$152+(Geraetedaten!$B$153*(Geraetedaten!$B$18+d_y_Sw)/1000))*10</f>
        <v>6051.0442000000003</v>
      </c>
      <c r="K142" s="20">
        <f>(Geraetedaten!$B$165+(Geraetedaten!$B$166*(Geraetedaten!$B$18+d_y_Sw)/1000))*10</f>
        <v>10816.164000000001</v>
      </c>
      <c r="L142" s="20">
        <f>(Geraetedaten!$B$158+(Geraetedaten!$B$159*(Geraetedaten!$B$18+d_y_Sw)/1000)-(Geraetedaten!$B$160*I142/1000))*10</f>
        <v>289.96118192231609</v>
      </c>
      <c r="M142" s="20">
        <f>(Geraetedaten!$B$171+(Geraetedaten!$B$172*(Geraetedaten!$B$18+d_y_Sw)/1000)-(Geraetedaten!$B$173*I142/1000))*10</f>
        <v>748.57524871535918</v>
      </c>
      <c r="N142" s="20">
        <f>IF((H142-J142)/(K142-J142)*(Geraetedaten!$B$174-Geraetedaten!$B$161)&lt;Geraetedaten!$B$174,(H142-J142)/(K142-J142)*(Geraetedaten!$B$174-Geraetedaten!$B$161),Geraetedaten!$B$174)</f>
        <v>387.53537994606165</v>
      </c>
      <c r="O142" s="20">
        <f>N142/Geraetedaten!$B$174*(M142-L142)+L142+C142</f>
        <v>802.94006302668777</v>
      </c>
      <c r="P142" s="20">
        <f t="shared" si="94"/>
        <v>224.36575327964206</v>
      </c>
      <c r="Q142" s="20"/>
      <c r="R142" s="21">
        <f>(N142-Geraetedaten!$B$161)/(Geraetedaten!$B$174-Geraetedaten!$B$161)*(Geraetedaten!$B$175-Geraetedaten!$B$162)+Geraetedaten!$B$162</f>
        <v>40.729177553395331</v>
      </c>
      <c r="S142" s="21">
        <f t="shared" si="101"/>
        <v>40.729177553395331</v>
      </c>
      <c r="T142" s="21">
        <f t="shared" si="102"/>
        <v>39.685291371351155</v>
      </c>
      <c r="U142" s="88">
        <f t="shared" si="103"/>
        <v>-9.162071433194761</v>
      </c>
      <c r="V142" s="86">
        <f t="shared" si="104"/>
        <v>-10853.5347</v>
      </c>
      <c r="W142" s="85">
        <f t="shared" si="105"/>
        <v>-4225.3239992296285</v>
      </c>
      <c r="X142" s="85">
        <f t="shared" si="106"/>
        <v>-4336.9008504682924</v>
      </c>
      <c r="Y142" s="90">
        <f t="shared" si="107"/>
        <v>4225.3239992296285</v>
      </c>
      <c r="Z142" s="86">
        <f t="shared" si="108"/>
        <v>47022.86692</v>
      </c>
      <c r="AA142" s="85">
        <f t="shared" si="109"/>
        <v>-913.46204712425447</v>
      </c>
      <c r="AB142" s="85">
        <f t="shared" si="110"/>
        <v>4886.0406834079968</v>
      </c>
      <c r="AC142" s="90">
        <f t="shared" si="111"/>
        <v>913.46204712425447</v>
      </c>
      <c r="AD142" s="86">
        <f t="shared" si="112"/>
        <v>10736.33142</v>
      </c>
      <c r="AE142" s="85">
        <f t="shared" si="113"/>
        <v>4140.4375383844126</v>
      </c>
      <c r="AF142" s="85">
        <f t="shared" si="114"/>
        <v>4248.9488350972824</v>
      </c>
      <c r="AG142" s="90">
        <f t="shared" si="115"/>
        <v>4140.4375383844126</v>
      </c>
      <c r="AH142" s="86">
        <f t="shared" si="116"/>
        <v>-38729.402309999998</v>
      </c>
      <c r="AI142" s="85">
        <f t="shared" si="117"/>
        <v>6238.0466047659793</v>
      </c>
      <c r="AJ142" s="85">
        <f t="shared" si="118"/>
        <v>-26316.631851566435</v>
      </c>
      <c r="AK142" s="90">
        <f t="shared" si="119"/>
        <v>6238.0466047659793</v>
      </c>
      <c r="AM142" s="95">
        <f t="shared" si="86"/>
        <v>0</v>
      </c>
      <c r="AN142" s="95">
        <f t="shared" si="87"/>
        <v>0</v>
      </c>
      <c r="AO142" s="95">
        <f t="shared" si="88"/>
        <v>0</v>
      </c>
      <c r="AP142" s="95">
        <f t="shared" si="89"/>
        <v>0</v>
      </c>
      <c r="AQ142"/>
      <c r="AR142" s="95">
        <f t="shared" si="120"/>
        <v>0</v>
      </c>
      <c r="AS142" s="95">
        <f t="shared" si="121"/>
        <v>0</v>
      </c>
      <c r="AT142" s="95">
        <f>Geraetedaten!$B$94*ABS(SIN(RADIANS($A142)))</f>
        <v>150.05298997692623</v>
      </c>
      <c r="AU142" s="95">
        <f>Geraetedaten!$B$94*ABS(COS(RADIANS($A142)))</f>
        <v>34.642462368955215</v>
      </c>
      <c r="AV142" s="95">
        <f>((h_Aw_Sw+Geraetedaten!$B$18)/1000)*(AR142*AT142+AS142*AU142)/100</f>
        <v>0</v>
      </c>
      <c r="AX142" s="18">
        <f>(IF($X$19="ja",1,0))*Geraetedaten!$D$142*COS(RADIANS(2*A142))*(Geraetedaten!$B$154*r_K_D+r_K_SSw*F_SSw/10)/1000+Geraetedaten!$B$152</f>
        <v>594.79999999999995</v>
      </c>
      <c r="AY142" s="18">
        <f>(IF($X$19="ja",1,0))*Geraetedaten!$D$142*COS(RADIANS(2*A142))*(Geraetedaten!$B$157*r_K_D+r_K_SSw*F_SSw/10)/1000+Geraetedaten!$B$155</f>
        <v>537.4</v>
      </c>
      <c r="AZ142" s="201"/>
    </row>
    <row r="143" spans="1:52" ht="13.5" x14ac:dyDescent="0.25">
      <c r="A143" s="16">
        <v>104</v>
      </c>
      <c r="B143" s="16">
        <f t="shared" si="95"/>
        <v>346</v>
      </c>
      <c r="C143" s="19">
        <f t="shared" si="96"/>
        <v>68.905246142979607</v>
      </c>
      <c r="D143" s="17">
        <f t="shared" si="92"/>
        <v>-10968.101716142981</v>
      </c>
      <c r="E143" s="17">
        <f t="shared" si="97"/>
        <v>43009.945613857017</v>
      </c>
      <c r="F143" s="17">
        <f t="shared" si="98"/>
        <v>10712.42771385702</v>
      </c>
      <c r="G143" s="17">
        <f t="shared" si="99"/>
        <v>-36218.109846142979</v>
      </c>
      <c r="H143" s="17">
        <f t="shared" si="93"/>
        <v>10712.42771385702</v>
      </c>
      <c r="I143" s="17">
        <f t="shared" si="100"/>
        <v>4266.7583836776757</v>
      </c>
      <c r="J143" s="20">
        <f>(Geraetedaten!$B$152+(Geraetedaten!$B$153*(Geraetedaten!$B$18+d_y_Sw)/1000))*10</f>
        <v>6051.0442000000003</v>
      </c>
      <c r="K143" s="20">
        <f>(Geraetedaten!$B$165+(Geraetedaten!$B$166*(Geraetedaten!$B$18+d_y_Sw)/1000))*10</f>
        <v>10816.164000000001</v>
      </c>
      <c r="L143" s="20">
        <f>(Geraetedaten!$B$158+(Geraetedaten!$B$159*(Geraetedaten!$B$18+d_y_Sw)/1000)-(Geraetedaten!$B$160*I143/1000))*10</f>
        <v>288.65520772491584</v>
      </c>
      <c r="M143" s="20">
        <f>(Geraetedaten!$B$171+(Geraetedaten!$B$172*(Geraetedaten!$B$18+d_y_Sw)/1000)-(Geraetedaten!$B$173*I143/1000))*10</f>
        <v>747.24950591903485</v>
      </c>
      <c r="N143" s="20">
        <f>IF((H143-J143)/(K143-J143)*(Geraetedaten!$B$174-Geraetedaten!$B$161)&lt;Geraetedaten!$B$174,(H143-J143)/(K143-J143)*(Geraetedaten!$B$174-Geraetedaten!$B$161),Geraetedaten!$B$174)</f>
        <v>391.292031218776</v>
      </c>
      <c r="O143" s="20">
        <f>N143/Geraetedaten!$B$174*(M143-L143)+L143+C143</f>
        <v>806.17118998221019</v>
      </c>
      <c r="P143" s="20">
        <f t="shared" si="94"/>
        <v>224.68996358553497</v>
      </c>
      <c r="Q143" s="20"/>
      <c r="R143" s="21">
        <f>(N143-Geraetedaten!$B$161)/(Geraetedaten!$B$174-Geraetedaten!$B$161)*(Geraetedaten!$B$175-Geraetedaten!$B$162)+Geraetedaten!$B$162</f>
        <v>40.840937928758585</v>
      </c>
      <c r="S143" s="21">
        <f t="shared" si="101"/>
        <v>40.840937928758585</v>
      </c>
      <c r="T143" s="21">
        <f t="shared" si="102"/>
        <v>39.627787529377706</v>
      </c>
      <c r="U143" s="88">
        <f t="shared" si="103"/>
        <v>-9.880317121793647</v>
      </c>
      <c r="V143" s="86">
        <f t="shared" si="104"/>
        <v>-10899.196470000001</v>
      </c>
      <c r="W143" s="85">
        <f t="shared" si="105"/>
        <v>-4225.3239992296285</v>
      </c>
      <c r="X143" s="85">
        <f t="shared" si="106"/>
        <v>-4355.1465719872704</v>
      </c>
      <c r="Y143" s="90">
        <f t="shared" si="107"/>
        <v>4225.3239992296285</v>
      </c>
      <c r="Z143" s="86">
        <f t="shared" si="108"/>
        <v>43078.850859999999</v>
      </c>
      <c r="AA143" s="85">
        <f t="shared" si="109"/>
        <v>-913.46204712425447</v>
      </c>
      <c r="AB143" s="85">
        <f t="shared" si="110"/>
        <v>4476.2268165635605</v>
      </c>
      <c r="AC143" s="90">
        <f t="shared" si="111"/>
        <v>913.46204712425447</v>
      </c>
      <c r="AD143" s="86">
        <f t="shared" si="112"/>
        <v>10781.33296</v>
      </c>
      <c r="AE143" s="85">
        <f t="shared" si="113"/>
        <v>4140.4375383844126</v>
      </c>
      <c r="AF143" s="85">
        <f t="shared" si="114"/>
        <v>4266.7583836776757</v>
      </c>
      <c r="AG143" s="90">
        <f t="shared" si="115"/>
        <v>4140.4375383844126</v>
      </c>
      <c r="AH143" s="86">
        <f t="shared" si="116"/>
        <v>-36149.204599999997</v>
      </c>
      <c r="AI143" s="85">
        <f t="shared" si="117"/>
        <v>6238.0466047659793</v>
      </c>
      <c r="AJ143" s="85">
        <f t="shared" si="118"/>
        <v>-24563.38730636453</v>
      </c>
      <c r="AK143" s="90">
        <f t="shared" si="119"/>
        <v>6238.0466047659793</v>
      </c>
      <c r="AM143" s="95">
        <f t="shared" si="86"/>
        <v>0</v>
      </c>
      <c r="AN143" s="95">
        <f t="shared" si="87"/>
        <v>0</v>
      </c>
      <c r="AO143" s="95">
        <f t="shared" si="88"/>
        <v>0</v>
      </c>
      <c r="AP143" s="95">
        <f t="shared" si="89"/>
        <v>0</v>
      </c>
      <c r="AQ143"/>
      <c r="AR143" s="95">
        <f t="shared" si="120"/>
        <v>0</v>
      </c>
      <c r="AS143" s="95">
        <f t="shared" si="121"/>
        <v>0</v>
      </c>
      <c r="AT143" s="95">
        <f>Geraetedaten!$B$94*ABS(SIN(RADIANS($A143)))</f>
        <v>149.42554184650345</v>
      </c>
      <c r="AU143" s="95">
        <f>Geraetedaten!$B$94*ABS(COS(RADIANS($A143)))</f>
        <v>37.255971922348841</v>
      </c>
      <c r="AV143" s="95">
        <f>((h_Aw_Sw+Geraetedaten!$B$18)/1000)*(AR143*AT143+AS143*AU143)/100</f>
        <v>0</v>
      </c>
      <c r="AX143" s="18">
        <f>(IF($X$19="ja",1,0))*Geraetedaten!$D$142*COS(RADIANS(2*A143))*(Geraetedaten!$B$154*r_K_D+r_K_SSw*F_SSw/10)/1000+Geraetedaten!$B$152</f>
        <v>594.79999999999995</v>
      </c>
      <c r="AY143" s="18">
        <f>(IF($X$19="ja",1,0))*Geraetedaten!$D$142*COS(RADIANS(2*A143))*(Geraetedaten!$B$157*r_K_D+r_K_SSw*F_SSw/10)/1000+Geraetedaten!$B$155</f>
        <v>537.4</v>
      </c>
      <c r="AZ143" s="201"/>
    </row>
    <row r="144" spans="1:52" ht="13.5" x14ac:dyDescent="0.25">
      <c r="A144" s="16">
        <v>105</v>
      </c>
      <c r="B144" s="16">
        <f t="shared" si="95"/>
        <v>345</v>
      </c>
      <c r="C144" s="19">
        <f t="shared" si="96"/>
        <v>69.13356353423832</v>
      </c>
      <c r="D144" s="17">
        <f t="shared" si="92"/>
        <v>-11017.726773534239</v>
      </c>
      <c r="E144" s="17">
        <f t="shared" si="97"/>
        <v>39687.280966465762</v>
      </c>
      <c r="F144" s="17">
        <f t="shared" si="98"/>
        <v>10760.892586465761</v>
      </c>
      <c r="G144" s="17">
        <f t="shared" si="99"/>
        <v>-33970.14033353424</v>
      </c>
      <c r="H144" s="17">
        <f t="shared" si="93"/>
        <v>10760.892586465761</v>
      </c>
      <c r="I144" s="17">
        <f t="shared" si="100"/>
        <v>4286.0289200570405</v>
      </c>
      <c r="J144" s="20">
        <f>(Geraetedaten!$B$152+(Geraetedaten!$B$153*(Geraetedaten!$B$18+d_y_Sw)/1000))*10</f>
        <v>6051.0442000000003</v>
      </c>
      <c r="K144" s="20">
        <f>(Geraetedaten!$B$165+(Geraetedaten!$B$166*(Geraetedaten!$B$18+d_y_Sw)/1000))*10</f>
        <v>10816.164000000001</v>
      </c>
      <c r="L144" s="20">
        <f>(Geraetedaten!$B$158+(Geraetedaten!$B$159*(Geraetedaten!$B$18+d_y_Sw)/1000)-(Geraetedaten!$B$160*I144/1000))*10</f>
        <v>287.24209929221701</v>
      </c>
      <c r="M144" s="20">
        <f>(Geraetedaten!$B$171+(Geraetedaten!$B$172*(Geraetedaten!$B$18+d_y_Sw)/1000)-(Geraetedaten!$B$173*I144/1000))*10</f>
        <v>745.8150071909547</v>
      </c>
      <c r="N144" s="20">
        <f>IF((H144-J144)/(K144-J144)*(Geraetedaten!$B$174-Geraetedaten!$B$161)&lt;Geraetedaten!$B$174,(H144-J144)/(K144-J144)*(Geraetedaten!$B$174-Geraetedaten!$B$161),Geraetedaten!$B$174)</f>
        <v>395.36033377089581</v>
      </c>
      <c r="O144" s="20">
        <f>N144/Geraetedaten!$B$174*(M144-L144)+L144+C144</f>
        <v>809.62950763929337</v>
      </c>
      <c r="P144" s="20">
        <f t="shared" si="94"/>
        <v>225.02773824511581</v>
      </c>
      <c r="Q144" s="20"/>
      <c r="R144" s="21">
        <f>(N144-Geraetedaten!$B$161)/(Geraetedaten!$B$174-Geraetedaten!$B$161)*(Geraetedaten!$B$175-Geraetedaten!$B$162)+Geraetedaten!$B$162</f>
        <v>40.961969929684152</v>
      </c>
      <c r="S144" s="21">
        <f t="shared" si="101"/>
        <v>40.961969929684152</v>
      </c>
      <c r="T144" s="21">
        <f t="shared" si="102"/>
        <v>39.566224650758137</v>
      </c>
      <c r="U144" s="88">
        <f t="shared" si="103"/>
        <v>-10.601737942719025</v>
      </c>
      <c r="V144" s="86">
        <f t="shared" si="104"/>
        <v>-10948.593210000001</v>
      </c>
      <c r="W144" s="85">
        <f t="shared" si="105"/>
        <v>-4225.3239992296285</v>
      </c>
      <c r="X144" s="85">
        <f t="shared" si="106"/>
        <v>-4374.8847272693474</v>
      </c>
      <c r="Y144" s="90">
        <f t="shared" si="107"/>
        <v>4225.3239992296285</v>
      </c>
      <c r="Z144" s="86">
        <f t="shared" si="108"/>
        <v>39756.414530000002</v>
      </c>
      <c r="AA144" s="85">
        <f t="shared" si="109"/>
        <v>-913.46204712425447</v>
      </c>
      <c r="AB144" s="85">
        <f t="shared" si="110"/>
        <v>4130.9999055643948</v>
      </c>
      <c r="AC144" s="90">
        <f t="shared" si="111"/>
        <v>913.46204712425447</v>
      </c>
      <c r="AD144" s="86">
        <f t="shared" si="112"/>
        <v>10830.02615</v>
      </c>
      <c r="AE144" s="85">
        <f t="shared" si="113"/>
        <v>4140.4375383844126</v>
      </c>
      <c r="AF144" s="85">
        <f t="shared" si="114"/>
        <v>4286.0289200570405</v>
      </c>
      <c r="AG144" s="90">
        <f t="shared" si="115"/>
        <v>4140.4375383844126</v>
      </c>
      <c r="AH144" s="86">
        <f t="shared" si="116"/>
        <v>-33901.00677</v>
      </c>
      <c r="AI144" s="85">
        <f t="shared" si="117"/>
        <v>6238.0466047659793</v>
      </c>
      <c r="AJ144" s="85">
        <f t="shared" si="118"/>
        <v>-23035.736710355985</v>
      </c>
      <c r="AK144" s="90">
        <f t="shared" si="119"/>
        <v>6238.0466047659793</v>
      </c>
      <c r="AM144" s="95">
        <f t="shared" si="86"/>
        <v>0</v>
      </c>
      <c r="AN144" s="95">
        <f t="shared" si="87"/>
        <v>0</v>
      </c>
      <c r="AO144" s="95">
        <f t="shared" si="88"/>
        <v>0</v>
      </c>
      <c r="AP144" s="95">
        <f t="shared" si="89"/>
        <v>0</v>
      </c>
      <c r="AQ144"/>
      <c r="AR144" s="95">
        <f t="shared" si="120"/>
        <v>0</v>
      </c>
      <c r="AS144" s="95">
        <f t="shared" si="121"/>
        <v>0</v>
      </c>
      <c r="AT144" s="95">
        <f>Geraetedaten!$B$94*ABS(SIN(RADIANS($A144)))</f>
        <v>148.75257724851653</v>
      </c>
      <c r="AU144" s="95">
        <f>Geraetedaten!$B$94*ABS(COS(RADIANS($A144)))</f>
        <v>39.858132945788213</v>
      </c>
      <c r="AV144" s="95">
        <f>((h_Aw_Sw+Geraetedaten!$B$18)/1000)*(AR144*AT144+AS144*AU144)/100</f>
        <v>0</v>
      </c>
      <c r="AX144" s="18">
        <f>(IF($X$19="ja",1,0))*Geraetedaten!$D$142*COS(RADIANS(2*A144))*(Geraetedaten!$B$154*r_K_D+r_K_SSw*F_SSw/10)/1000+Geraetedaten!$B$152</f>
        <v>594.79999999999995</v>
      </c>
      <c r="AY144" s="18">
        <f>(IF($X$19="ja",1,0))*Geraetedaten!$D$142*COS(RADIANS(2*A144))*(Geraetedaten!$B$157*r_K_D+r_K_SSw*F_SSw/10)/1000+Geraetedaten!$B$155</f>
        <v>537.4</v>
      </c>
      <c r="AZ144" s="201"/>
    </row>
    <row r="145" spans="1:52" ht="13.5" x14ac:dyDescent="0.25">
      <c r="A145" s="16">
        <v>106</v>
      </c>
      <c r="B145" s="16">
        <f t="shared" si="95"/>
        <v>344</v>
      </c>
      <c r="C145" s="19">
        <f t="shared" si="96"/>
        <v>69.340822172332622</v>
      </c>
      <c r="D145" s="17">
        <f t="shared" si="92"/>
        <v>-11071.147062172333</v>
      </c>
      <c r="E145" s="17">
        <f t="shared" si="97"/>
        <v>36850.866167827669</v>
      </c>
      <c r="F145" s="17">
        <f t="shared" si="98"/>
        <v>10813.150297827668</v>
      </c>
      <c r="G145" s="17">
        <f t="shared" si="99"/>
        <v>-31994.572582172332</v>
      </c>
      <c r="H145" s="17">
        <f t="shared" si="93"/>
        <v>10813.150297827668</v>
      </c>
      <c r="I145" s="17">
        <f t="shared" si="100"/>
        <v>4306.7921569782811</v>
      </c>
      <c r="J145" s="20">
        <f>(Geraetedaten!$B$152+(Geraetedaten!$B$153*(Geraetedaten!$B$18+d_y_Sw)/1000))*10</f>
        <v>6051.0442000000003</v>
      </c>
      <c r="K145" s="20">
        <f>(Geraetedaten!$B$165+(Geraetedaten!$B$166*(Geraetedaten!$B$18+d_y_Sw)/1000))*10</f>
        <v>10816.164000000001</v>
      </c>
      <c r="L145" s="20">
        <f>(Geraetedaten!$B$158+(Geraetedaten!$B$159*(Geraetedaten!$B$18+d_y_Sw)/1000)-(Geraetedaten!$B$160*I145/1000))*10</f>
        <v>285.71953112878248</v>
      </c>
      <c r="M145" s="20">
        <f>(Geraetedaten!$B$171+(Geraetedaten!$B$172*(Geraetedaten!$B$18+d_y_Sw)/1000)-(Geraetedaten!$B$173*I145/1000))*10</f>
        <v>744.2693918345376</v>
      </c>
      <c r="N145" s="20">
        <f>IF((H145-J145)/(K145-J145)*(Geraetedaten!$B$174-Geraetedaten!$B$161)&lt;Geraetedaten!$B$174,(H145-J145)/(K145-J145)*(Geraetedaten!$B$174-Geraetedaten!$B$161),Geraetedaten!$B$174)</f>
        <v>399.74701981911699</v>
      </c>
      <c r="O145" s="20">
        <f>N145/Geraetedaten!$B$174*(M145-L145)+L145+C145</f>
        <v>813.32020394010726</v>
      </c>
      <c r="P145" s="20">
        <f t="shared" si="94"/>
        <v>225.37915435958513</v>
      </c>
      <c r="Q145" s="20"/>
      <c r="R145" s="21">
        <f>(N145-Geraetedaten!$B$161)/(Geraetedaten!$B$174-Geraetedaten!$B$161)*(Geraetedaten!$B$175-Geraetedaten!$B$162)+Geraetedaten!$B$162</f>
        <v>41.092473839618734</v>
      </c>
      <c r="S145" s="21">
        <f t="shared" si="101"/>
        <v>41.092473839618734</v>
      </c>
      <c r="T145" s="21">
        <f t="shared" si="102"/>
        <v>39.500621093372907</v>
      </c>
      <c r="U145" s="88">
        <f t="shared" si="103"/>
        <v>-11.326620833131715</v>
      </c>
      <c r="V145" s="86">
        <f t="shared" si="104"/>
        <v>-11001.80624</v>
      </c>
      <c r="W145" s="85">
        <f t="shared" si="105"/>
        <v>-4225.3239992296285</v>
      </c>
      <c r="X145" s="85">
        <f t="shared" si="106"/>
        <v>-4396.1478153379576</v>
      </c>
      <c r="Y145" s="90">
        <f t="shared" si="107"/>
        <v>4225.3239992296285</v>
      </c>
      <c r="Z145" s="86">
        <f t="shared" si="108"/>
        <v>36920.206989999999</v>
      </c>
      <c r="AA145" s="85">
        <f t="shared" si="109"/>
        <v>-913.46204712425447</v>
      </c>
      <c r="AB145" s="85">
        <f t="shared" si="110"/>
        <v>3836.2959387433157</v>
      </c>
      <c r="AC145" s="90">
        <f t="shared" si="111"/>
        <v>913.46204712425447</v>
      </c>
      <c r="AD145" s="86">
        <f t="shared" si="112"/>
        <v>10882.491120000001</v>
      </c>
      <c r="AE145" s="85">
        <f t="shared" si="113"/>
        <v>4140.4375383844126</v>
      </c>
      <c r="AF145" s="85">
        <f t="shared" si="114"/>
        <v>4306.7921569782811</v>
      </c>
      <c r="AG145" s="90">
        <f t="shared" si="115"/>
        <v>4140.4375383844126</v>
      </c>
      <c r="AH145" s="86">
        <f t="shared" si="116"/>
        <v>-31925.231759999999</v>
      </c>
      <c r="AI145" s="85">
        <f t="shared" si="117"/>
        <v>6238.0466047659793</v>
      </c>
      <c r="AJ145" s="85">
        <f t="shared" si="118"/>
        <v>-21693.197436434733</v>
      </c>
      <c r="AK145" s="90">
        <f t="shared" si="119"/>
        <v>6238.0466047659793</v>
      </c>
      <c r="AM145" s="95">
        <f t="shared" si="86"/>
        <v>0</v>
      </c>
      <c r="AN145" s="95">
        <f t="shared" si="87"/>
        <v>0</v>
      </c>
      <c r="AO145" s="95">
        <f t="shared" si="88"/>
        <v>0</v>
      </c>
      <c r="AP145" s="95">
        <f t="shared" si="89"/>
        <v>0</v>
      </c>
      <c r="AQ145"/>
      <c r="AR145" s="95">
        <f t="shared" si="120"/>
        <v>0</v>
      </c>
      <c r="AS145" s="95">
        <f t="shared" si="121"/>
        <v>0</v>
      </c>
      <c r="AT145" s="95">
        <f>Geraetedaten!$B$94*ABS(SIN(RADIANS($A145)))</f>
        <v>148.03430117450111</v>
      </c>
      <c r="AU145" s="95">
        <f>Geraetedaten!$B$94*ABS(COS(RADIANS($A145)))</f>
        <v>42.448152795817855</v>
      </c>
      <c r="AV145" s="95">
        <f>((h_Aw_Sw+Geraetedaten!$B$18)/1000)*(AR145*AT145+AS145*AU145)/100</f>
        <v>0</v>
      </c>
      <c r="AX145" s="18">
        <f>(IF($X$19="ja",1,0))*Geraetedaten!$D$142*COS(RADIANS(2*A145))*(Geraetedaten!$B$154*r_K_D+r_K_SSw*F_SSw/10)/1000+Geraetedaten!$B$152</f>
        <v>594.79999999999995</v>
      </c>
      <c r="AY145" s="18">
        <f>(IF($X$19="ja",1,0))*Geraetedaten!$D$142*COS(RADIANS(2*A145))*(Geraetedaten!$B$157*r_K_D+r_K_SSw*F_SSw/10)/1000+Geraetedaten!$B$155</f>
        <v>537.4</v>
      </c>
      <c r="AZ145" s="201"/>
    </row>
    <row r="146" spans="1:52" ht="13.5" x14ac:dyDescent="0.25">
      <c r="A146" s="16">
        <v>107</v>
      </c>
      <c r="B146" s="16">
        <f t="shared" si="95"/>
        <v>343</v>
      </c>
      <c r="C146" s="19">
        <f t="shared" si="96"/>
        <v>69.526958924273615</v>
      </c>
      <c r="D146" s="17">
        <f t="shared" si="92"/>
        <v>-11128.451128924275</v>
      </c>
      <c r="E146" s="17">
        <f t="shared" si="97"/>
        <v>34401.995081075729</v>
      </c>
      <c r="F146" s="17">
        <f t="shared" si="98"/>
        <v>10869.288221075725</v>
      </c>
      <c r="G146" s="17">
        <f t="shared" si="99"/>
        <v>-30245.285658924273</v>
      </c>
      <c r="H146" s="17">
        <f t="shared" si="93"/>
        <v>10869.288221075725</v>
      </c>
      <c r="I146" s="17">
        <f t="shared" si="100"/>
        <v>4329.0826438533004</v>
      </c>
      <c r="J146" s="20">
        <f>(Geraetedaten!$B$152+(Geraetedaten!$B$153*(Geraetedaten!$B$18+d_y_Sw)/1000))*10</f>
        <v>6051.0442000000003</v>
      </c>
      <c r="K146" s="20">
        <f>(Geraetedaten!$B$165+(Geraetedaten!$B$166*(Geraetedaten!$B$18+d_y_Sw)/1000))*10</f>
        <v>10816.164000000001</v>
      </c>
      <c r="L146" s="20">
        <f>(Geraetedaten!$B$158+(Geraetedaten!$B$159*(Geraetedaten!$B$18+d_y_Sw)/1000)-(Geraetedaten!$B$160*I146/1000))*10</f>
        <v>284.08496972623726</v>
      </c>
      <c r="M146" s="20">
        <f>(Geraetedaten!$B$171+(Geraetedaten!$B$172*(Geraetedaten!$B$18+d_y_Sw)/1000)-(Geraetedaten!$B$173*I146/1000))*10</f>
        <v>742.61008799156116</v>
      </c>
      <c r="N146" s="20">
        <f>IF((H146-J146)/(K146-J146)*(Geraetedaten!$B$174-Geraetedaten!$B$161)&lt;Geraetedaten!$B$174,(H146-J146)/(K146-J146)*(Geraetedaten!$B$174-Geraetedaten!$B$161),Geraetedaten!$B$174)</f>
        <v>400</v>
      </c>
      <c r="O146" s="20">
        <f>N146/Geraetedaten!$B$174*(M146-L146)+L146+C146</f>
        <v>812.13704691583473</v>
      </c>
      <c r="P146" s="20">
        <f t="shared" si="94"/>
        <v>225.14165273583544</v>
      </c>
      <c r="Q146" s="20"/>
      <c r="R146" s="21">
        <f>(N146-Geraetedaten!$B$161)/(Geraetedaten!$B$174-Geraetedaten!$B$161)*(Geraetedaten!$B$175-Geraetedaten!$B$162)+Geraetedaten!$B$162</f>
        <v>41.1</v>
      </c>
      <c r="S146" s="21">
        <f t="shared" si="101"/>
        <v>41.1</v>
      </c>
      <c r="T146" s="21">
        <f t="shared" si="102"/>
        <v>39.304125470080763</v>
      </c>
      <c r="U146" s="88">
        <f t="shared" si="103"/>
        <v>-12.016477064104476</v>
      </c>
      <c r="V146" s="86">
        <f t="shared" si="104"/>
        <v>-11058.92417</v>
      </c>
      <c r="W146" s="85">
        <f t="shared" si="105"/>
        <v>-4225.3239992296285</v>
      </c>
      <c r="X146" s="85">
        <f t="shared" si="106"/>
        <v>-4418.9712368610362</v>
      </c>
      <c r="Y146" s="90">
        <f t="shared" si="107"/>
        <v>4225.3239992296285</v>
      </c>
      <c r="Z146" s="86">
        <f t="shared" si="108"/>
        <v>34471.522040000003</v>
      </c>
      <c r="AA146" s="85">
        <f t="shared" si="109"/>
        <v>-913.46204712425447</v>
      </c>
      <c r="AB146" s="85">
        <f t="shared" si="110"/>
        <v>3581.8585750326051</v>
      </c>
      <c r="AC146" s="90">
        <f t="shared" si="111"/>
        <v>913.46204712425447</v>
      </c>
      <c r="AD146" s="86">
        <f t="shared" si="112"/>
        <v>10938.81518</v>
      </c>
      <c r="AE146" s="85">
        <f t="shared" si="113"/>
        <v>4140.4375383844126</v>
      </c>
      <c r="AF146" s="85">
        <f t="shared" si="114"/>
        <v>4329.0826438533004</v>
      </c>
      <c r="AG146" s="90">
        <f t="shared" si="115"/>
        <v>4140.4375383844126</v>
      </c>
      <c r="AH146" s="86">
        <f t="shared" si="116"/>
        <v>-30175.758699999998</v>
      </c>
      <c r="AI146" s="85">
        <f t="shared" si="117"/>
        <v>6238.0466047659793</v>
      </c>
      <c r="AJ146" s="85">
        <f t="shared" si="118"/>
        <v>-20504.430361961251</v>
      </c>
      <c r="AK146" s="90">
        <f t="shared" si="119"/>
        <v>6238.0466047659793</v>
      </c>
      <c r="AM146" s="95">
        <f t="shared" si="86"/>
        <v>0</v>
      </c>
      <c r="AN146" s="95">
        <f t="shared" si="87"/>
        <v>0</v>
      </c>
      <c r="AO146" s="95">
        <f t="shared" si="88"/>
        <v>0</v>
      </c>
      <c r="AP146" s="95">
        <f t="shared" si="89"/>
        <v>0</v>
      </c>
      <c r="AQ146"/>
      <c r="AR146" s="95">
        <f t="shared" si="120"/>
        <v>0</v>
      </c>
      <c r="AS146" s="95">
        <f t="shared" si="121"/>
        <v>0</v>
      </c>
      <c r="AT146" s="95">
        <f>Geraetedaten!$B$94*ABS(SIN(RADIANS($A146)))</f>
        <v>147.27093241830747</v>
      </c>
      <c r="AU146" s="95">
        <f>Geraetedaten!$B$94*ABS(COS(RADIANS($A146)))</f>
        <v>45.025242527301444</v>
      </c>
      <c r="AV146" s="95">
        <f>((h_Aw_Sw+Geraetedaten!$B$18)/1000)*(AR146*AT146+AS146*AU146)/100</f>
        <v>0</v>
      </c>
      <c r="AX146" s="18">
        <f>(IF($X$19="ja",1,0))*Geraetedaten!$D$142*COS(RADIANS(2*A146))*(Geraetedaten!$B$154*r_K_D+r_K_SSw*F_SSw/10)/1000+Geraetedaten!$B$152</f>
        <v>594.79999999999995</v>
      </c>
      <c r="AY146" s="18">
        <f>(IF($X$19="ja",1,0))*Geraetedaten!$D$142*COS(RADIANS(2*A146))*(Geraetedaten!$B$157*r_K_D+r_K_SSw*F_SSw/10)/1000+Geraetedaten!$B$155</f>
        <v>537.4</v>
      </c>
      <c r="AZ146" s="201"/>
    </row>
    <row r="147" spans="1:52" ht="13.5" x14ac:dyDescent="0.25">
      <c r="A147" s="16">
        <v>108</v>
      </c>
      <c r="B147" s="16">
        <f t="shared" si="95"/>
        <v>342</v>
      </c>
      <c r="C147" s="19">
        <f t="shared" si="96"/>
        <v>69.691917091003504</v>
      </c>
      <c r="D147" s="17">
        <f t="shared" si="92"/>
        <v>-11189.735137091004</v>
      </c>
      <c r="E147" s="17">
        <f t="shared" si="97"/>
        <v>32266.991502908997</v>
      </c>
      <c r="F147" s="17">
        <f t="shared" si="98"/>
        <v>10929.401252908996</v>
      </c>
      <c r="G147" s="17">
        <f t="shared" si="99"/>
        <v>-28686.019267091004</v>
      </c>
      <c r="H147" s="17">
        <f t="shared" si="93"/>
        <v>10929.401252908996</v>
      </c>
      <c r="I147" s="17">
        <f t="shared" si="100"/>
        <v>4352.9379124714014</v>
      </c>
      <c r="J147" s="20">
        <f>(Geraetedaten!$B$152+(Geraetedaten!$B$153*(Geraetedaten!$B$18+d_y_Sw)/1000))*10</f>
        <v>6051.0442000000003</v>
      </c>
      <c r="K147" s="20">
        <f>(Geraetedaten!$B$165+(Geraetedaten!$B$166*(Geraetedaten!$B$18+d_y_Sw)/1000))*10</f>
        <v>10816.164000000001</v>
      </c>
      <c r="L147" s="20">
        <f>(Geraetedaten!$B$158+(Geraetedaten!$B$159*(Geraetedaten!$B$18+d_y_Sw)/1000)-(Geraetedaten!$B$160*I147/1000))*10</f>
        <v>282.33566287847196</v>
      </c>
      <c r="M147" s="20">
        <f>(Geraetedaten!$B$171+(Geraetedaten!$B$172*(Geraetedaten!$B$18+d_y_Sw)/1000)-(Geraetedaten!$B$173*I147/1000))*10</f>
        <v>740.83430179562981</v>
      </c>
      <c r="N147" s="20">
        <f>IF((H147-J147)/(K147-J147)*(Geraetedaten!$B$174-Geraetedaten!$B$161)&lt;Geraetedaten!$B$174,(H147-J147)/(K147-J147)*(Geraetedaten!$B$174-Geraetedaten!$B$161),Geraetedaten!$B$174)</f>
        <v>400</v>
      </c>
      <c r="O147" s="20">
        <f>N147/Geraetedaten!$B$174*(M147-L147)+L147+C147</f>
        <v>810.52621888663327</v>
      </c>
      <c r="P147" s="20">
        <f>O147*100/9.81/(R147-(I147/1000))</f>
        <v>224.84096337177439</v>
      </c>
      <c r="Q147" s="20"/>
      <c r="R147" s="21">
        <f>(N147-Geraetedaten!$B$161)/(Geraetedaten!$B$174-Geraetedaten!$B$161)*(Geraetedaten!$B$175-Geraetedaten!$B$162)+Geraetedaten!$B$162</f>
        <v>41.1</v>
      </c>
      <c r="S147" s="21">
        <f t="shared" si="101"/>
        <v>41.1</v>
      </c>
      <c r="T147" s="21">
        <f t="shared" si="102"/>
        <v>39.088422819730816</v>
      </c>
      <c r="U147" s="88">
        <f t="shared" si="103"/>
        <v>-12.700598468810336</v>
      </c>
      <c r="V147" s="86">
        <f t="shared" si="104"/>
        <v>-11120.04322</v>
      </c>
      <c r="W147" s="85">
        <f t="shared" si="105"/>
        <v>-4225.3239992296285</v>
      </c>
      <c r="X147" s="85">
        <f t="shared" si="106"/>
        <v>-4443.393443564164</v>
      </c>
      <c r="Y147" s="90">
        <f t="shared" si="107"/>
        <v>4225.3239992296285</v>
      </c>
      <c r="Z147" s="86">
        <f t="shared" si="108"/>
        <v>32336.683420000001</v>
      </c>
      <c r="AA147" s="85">
        <f t="shared" si="109"/>
        <v>-913.46204712425447</v>
      </c>
      <c r="AB147" s="85">
        <f t="shared" si="110"/>
        <v>3360.0322805182896</v>
      </c>
      <c r="AC147" s="90">
        <f t="shared" si="111"/>
        <v>913.46204712425447</v>
      </c>
      <c r="AD147" s="86">
        <f t="shared" si="112"/>
        <v>10999.09317</v>
      </c>
      <c r="AE147" s="85">
        <f t="shared" si="113"/>
        <v>4140.4375383844126</v>
      </c>
      <c r="AF147" s="85">
        <f t="shared" si="114"/>
        <v>4352.9379124714014</v>
      </c>
      <c r="AG147" s="90">
        <f t="shared" si="115"/>
        <v>4140.4375383844126</v>
      </c>
      <c r="AH147" s="86">
        <f t="shared" si="116"/>
        <v>-28616.32735</v>
      </c>
      <c r="AI147" s="85">
        <f t="shared" si="117"/>
        <v>6238.0466047659793</v>
      </c>
      <c r="AJ147" s="85">
        <f t="shared" si="118"/>
        <v>-19444.796636788258</v>
      </c>
      <c r="AK147" s="90">
        <f t="shared" si="119"/>
        <v>6238.0466047659793</v>
      </c>
      <c r="AM147" s="95">
        <f t="shared" si="86"/>
        <v>0</v>
      </c>
      <c r="AN147" s="95">
        <f t="shared" si="87"/>
        <v>0</v>
      </c>
      <c r="AO147" s="95">
        <f t="shared" si="88"/>
        <v>0</v>
      </c>
      <c r="AP147" s="95">
        <f t="shared" si="89"/>
        <v>0</v>
      </c>
      <c r="AQ147"/>
      <c r="AR147" s="95">
        <f t="shared" si="120"/>
        <v>0</v>
      </c>
      <c r="AS147" s="95">
        <f t="shared" si="121"/>
        <v>0</v>
      </c>
      <c r="AT147" s="95">
        <f>Geraetedaten!$B$94*ABS(SIN(RADIANS($A147)))</f>
        <v>146.46270350945366</v>
      </c>
      <c r="AU147" s="95">
        <f>Geraetedaten!$B$94*ABS(COS(RADIANS($A147)))</f>
        <v>47.588617133741892</v>
      </c>
      <c r="AV147" s="95">
        <f>((h_Aw_Sw+Geraetedaten!$B$18)/1000)*(AR147*AT147+AS147*AU147)/100</f>
        <v>0</v>
      </c>
      <c r="AX147" s="18">
        <f>(IF($X$19="ja",1,0))*Geraetedaten!$D$142*COS(RADIANS(2*A147))*(Geraetedaten!$B$154*r_K_D+r_K_SSw*F_SSw/10)/1000+Geraetedaten!$B$152</f>
        <v>594.79999999999995</v>
      </c>
      <c r="AY147" s="18">
        <f>(IF($X$19="ja",1,0))*Geraetedaten!$D$142*COS(RADIANS(2*A147))*(Geraetedaten!$B$157*r_K_D+r_K_SSw*F_SSw/10)/1000+Geraetedaten!$B$155</f>
        <v>537.4</v>
      </c>
      <c r="AZ147" s="201"/>
    </row>
    <row r="148" spans="1:52" ht="13.5" x14ac:dyDescent="0.25">
      <c r="A148" s="16">
        <v>109</v>
      </c>
      <c r="B148" s="16">
        <f t="shared" si="95"/>
        <v>341</v>
      </c>
      <c r="C148" s="19">
        <f t="shared" si="96"/>
        <v>69.835646424666706</v>
      </c>
      <c r="D148" s="17">
        <f t="shared" si="92"/>
        <v>-11255.103326424667</v>
      </c>
      <c r="E148" s="17">
        <f t="shared" si="97"/>
        <v>30389.748753575332</v>
      </c>
      <c r="F148" s="17">
        <f t="shared" si="98"/>
        <v>10993.592203575334</v>
      </c>
      <c r="G148" s="17">
        <f t="shared" si="99"/>
        <v>-27287.872506424668</v>
      </c>
      <c r="H148" s="17">
        <f t="shared" si="93"/>
        <v>10993.592203575334</v>
      </c>
      <c r="I148" s="17">
        <f t="shared" si="100"/>
        <v>4378.3986379047738</v>
      </c>
      <c r="J148" s="20">
        <f>(Geraetedaten!$B$152+(Geraetedaten!$B$153*(Geraetedaten!$B$18+d_y_Sw)/1000))*10</f>
        <v>6051.0442000000003</v>
      </c>
      <c r="K148" s="20">
        <f>(Geraetedaten!$B$165+(Geraetedaten!$B$166*(Geraetedaten!$B$18+d_y_Sw)/1000))*10</f>
        <v>10816.164000000001</v>
      </c>
      <c r="L148" s="20">
        <f>(Geraetedaten!$B$158+(Geraetedaten!$B$159*(Geraetedaten!$B$18+d_y_Sw)/1000)-(Geraetedaten!$B$160*I148/1000))*10</f>
        <v>280.46862788244277</v>
      </c>
      <c r="M148" s="20">
        <f>(Geraetedaten!$B$171+(Geraetedaten!$B$172*(Geraetedaten!$B$18+d_y_Sw)/1000)-(Geraetedaten!$B$173*I148/1000))*10</f>
        <v>738.93900539436936</v>
      </c>
      <c r="N148" s="20">
        <f>IF((H148-J148)/(K148-J148)*(Geraetedaten!$B$174-Geraetedaten!$B$161)&lt;Geraetedaten!$B$174,(H148-J148)/(K148-J148)*(Geraetedaten!$B$174-Geraetedaten!$B$161),Geraetedaten!$B$174)</f>
        <v>400</v>
      </c>
      <c r="O148" s="20">
        <f>N148/Geraetedaten!$B$174*(M148-L148)+L148+C148</f>
        <v>808.77465181903608</v>
      </c>
      <c r="P148" s="20">
        <f t="shared" si="94"/>
        <v>224.51063191676536</v>
      </c>
      <c r="Q148" s="20"/>
      <c r="R148" s="21">
        <f>(N148-Geraetedaten!$B$161)/(Geraetedaten!$B$174-Geraetedaten!$B$161)*(Geraetedaten!$B$175-Geraetedaten!$B$162)+Geraetedaten!$B$162</f>
        <v>41.1</v>
      </c>
      <c r="S148" s="21">
        <f t="shared" si="101"/>
        <v>41.1</v>
      </c>
      <c r="T148" s="21">
        <f t="shared" si="102"/>
        <v>38.860813457131925</v>
      </c>
      <c r="U148" s="88">
        <f t="shared" si="103"/>
        <v>-13.380851148189139</v>
      </c>
      <c r="V148" s="86">
        <f t="shared" si="104"/>
        <v>-11185.267680000001</v>
      </c>
      <c r="W148" s="85">
        <f t="shared" si="105"/>
        <v>-4225.3239992296285</v>
      </c>
      <c r="X148" s="85">
        <f t="shared" si="106"/>
        <v>-4469.4561032142074</v>
      </c>
      <c r="Y148" s="90">
        <f t="shared" si="107"/>
        <v>4225.3239992296285</v>
      </c>
      <c r="Z148" s="86">
        <f t="shared" si="108"/>
        <v>30459.5844</v>
      </c>
      <c r="AA148" s="85">
        <f t="shared" si="109"/>
        <v>-913.46204712425447</v>
      </c>
      <c r="AB148" s="85">
        <f t="shared" si="110"/>
        <v>3164.9871290645679</v>
      </c>
      <c r="AC148" s="90">
        <f t="shared" si="111"/>
        <v>913.46204712425447</v>
      </c>
      <c r="AD148" s="86">
        <f t="shared" si="112"/>
        <v>11063.42785</v>
      </c>
      <c r="AE148" s="85">
        <f t="shared" si="113"/>
        <v>4140.4375383844126</v>
      </c>
      <c r="AF148" s="85">
        <f t="shared" si="114"/>
        <v>4378.3986379047738</v>
      </c>
      <c r="AG148" s="90">
        <f t="shared" si="115"/>
        <v>4140.4375383844126</v>
      </c>
      <c r="AH148" s="86">
        <f t="shared" si="116"/>
        <v>-27218.03686</v>
      </c>
      <c r="AI148" s="85">
        <f t="shared" si="117"/>
        <v>6238.0466047659793</v>
      </c>
      <c r="AJ148" s="85">
        <f t="shared" si="118"/>
        <v>-18494.65813845447</v>
      </c>
      <c r="AK148" s="90">
        <f t="shared" si="119"/>
        <v>6238.0466047659793</v>
      </c>
      <c r="AM148" s="95">
        <f t="shared" si="86"/>
        <v>0</v>
      </c>
      <c r="AN148" s="95">
        <f t="shared" si="87"/>
        <v>0</v>
      </c>
      <c r="AO148" s="95">
        <f t="shared" si="88"/>
        <v>0</v>
      </c>
      <c r="AP148" s="95">
        <f t="shared" si="89"/>
        <v>0</v>
      </c>
      <c r="AQ148"/>
      <c r="AR148" s="95">
        <f t="shared" si="120"/>
        <v>0</v>
      </c>
      <c r="AS148" s="95">
        <f t="shared" si="121"/>
        <v>0</v>
      </c>
      <c r="AT148" s="95">
        <f>Geraetedaten!$B$94*ABS(SIN(RADIANS($A148)))</f>
        <v>145.60986064229479</v>
      </c>
      <c r="AU148" s="95">
        <f>Geraetedaten!$B$94*ABS(COS(RADIANS($A148)))</f>
        <v>50.13749578640212</v>
      </c>
      <c r="AV148" s="95">
        <f>((h_Aw_Sw+Geraetedaten!$B$18)/1000)*(AR148*AT148+AS148*AU148)/100</f>
        <v>0</v>
      </c>
      <c r="AX148" s="18">
        <f>(IF($X$19="ja",1,0))*Geraetedaten!$D$142*COS(RADIANS(2*A148))*(Geraetedaten!$B$154*r_K_D+r_K_SSw*F_SSw/10)/1000+Geraetedaten!$B$152</f>
        <v>594.79999999999995</v>
      </c>
      <c r="AY148" s="18">
        <f>(IF($X$19="ja",1,0))*Geraetedaten!$D$142*COS(RADIANS(2*A148))*(Geraetedaten!$B$157*r_K_D+r_K_SSw*F_SSw/10)/1000+Geraetedaten!$B$155</f>
        <v>537.4</v>
      </c>
      <c r="AZ148" s="201"/>
    </row>
    <row r="149" spans="1:52" ht="13.5" x14ac:dyDescent="0.25">
      <c r="A149" s="16">
        <v>110</v>
      </c>
      <c r="B149" s="16">
        <f t="shared" si="95"/>
        <v>340</v>
      </c>
      <c r="C149" s="19">
        <f t="shared" si="96"/>
        <v>69.958103143915849</v>
      </c>
      <c r="D149" s="17">
        <f t="shared" si="92"/>
        <v>-11324.668413143916</v>
      </c>
      <c r="E149" s="17">
        <f t="shared" si="97"/>
        <v>28726.787456856084</v>
      </c>
      <c r="F149" s="17">
        <f t="shared" si="98"/>
        <v>11061.972306856085</v>
      </c>
      <c r="G149" s="17">
        <f t="shared" si="99"/>
        <v>-26027.527303143917</v>
      </c>
      <c r="H149" s="17">
        <f t="shared" si="93"/>
        <v>11061.972306856085</v>
      </c>
      <c r="I149" s="17">
        <f t="shared" si="100"/>
        <v>4405.5088159442112</v>
      </c>
      <c r="J149" s="20">
        <f>(Geraetedaten!$B$152+(Geraetedaten!$B$153*(Geraetedaten!$B$18+d_y_Sw)/1000))*10</f>
        <v>6051.0442000000003</v>
      </c>
      <c r="K149" s="20">
        <f>(Geraetedaten!$B$165+(Geraetedaten!$B$166*(Geraetedaten!$B$18+d_y_Sw)/1000))*10</f>
        <v>10816.164000000001</v>
      </c>
      <c r="L149" s="20">
        <f>(Geraetedaten!$B$158+(Geraetedaten!$B$159*(Geraetedaten!$B$18+d_y_Sw)/1000)-(Geraetedaten!$B$160*I149/1000))*10</f>
        <v>278.48063852681082</v>
      </c>
      <c r="M149" s="20">
        <f>(Geraetedaten!$B$171+(Geraetedaten!$B$172*(Geraetedaten!$B$18+d_y_Sw)/1000)-(Geraetedaten!$B$173*I149/1000))*10</f>
        <v>736.92092374111382</v>
      </c>
      <c r="N149" s="20">
        <f>IF((H149-J149)/(K149-J149)*(Geraetedaten!$B$174-Geraetedaten!$B$161)&lt;Geraetedaten!$B$174,(H149-J149)/(K149-J149)*(Geraetedaten!$B$174-Geraetedaten!$B$161),Geraetedaten!$B$174)</f>
        <v>400</v>
      </c>
      <c r="O149" s="20">
        <f>N149/Geraetedaten!$B$174*(M149-L149)+L149+C149</f>
        <v>806.8790268850297</v>
      </c>
      <c r="P149" s="20">
        <f t="shared" si="94"/>
        <v>224.14990009592367</v>
      </c>
      <c r="Q149" s="20"/>
      <c r="R149" s="21">
        <f>(N149-Geraetedaten!$B$161)/(Geraetedaten!$B$174-Geraetedaten!$B$161)*(Geraetedaten!$B$175-Geraetedaten!$B$162)+Geraetedaten!$B$162</f>
        <v>41.1</v>
      </c>
      <c r="S149" s="21">
        <f t="shared" si="101"/>
        <v>41.1</v>
      </c>
      <c r="T149" s="21">
        <f t="shared" si="102"/>
        <v>38.621366714300841</v>
      </c>
      <c r="U149" s="88">
        <f t="shared" si="103"/>
        <v>-14.057027890684985</v>
      </c>
      <c r="V149" s="86">
        <f t="shared" si="104"/>
        <v>-11254.71031</v>
      </c>
      <c r="W149" s="85">
        <f t="shared" si="105"/>
        <v>-4225.3239992296285</v>
      </c>
      <c r="X149" s="85">
        <f t="shared" si="106"/>
        <v>-4497.2042815417208</v>
      </c>
      <c r="Y149" s="90">
        <f t="shared" si="107"/>
        <v>4225.3239992296285</v>
      </c>
      <c r="Z149" s="86">
        <f t="shared" si="108"/>
        <v>28796.745559999999</v>
      </c>
      <c r="AA149" s="85">
        <f t="shared" si="109"/>
        <v>-913.46204712425447</v>
      </c>
      <c r="AB149" s="85">
        <f t="shared" si="110"/>
        <v>2992.2052731315284</v>
      </c>
      <c r="AC149" s="90">
        <f t="shared" si="111"/>
        <v>913.46204712425447</v>
      </c>
      <c r="AD149" s="86">
        <f t="shared" si="112"/>
        <v>11131.930410000001</v>
      </c>
      <c r="AE149" s="85">
        <f t="shared" si="113"/>
        <v>4140.4375383844126</v>
      </c>
      <c r="AF149" s="85">
        <f t="shared" si="114"/>
        <v>4405.5088159442112</v>
      </c>
      <c r="AG149" s="90">
        <f t="shared" si="115"/>
        <v>4140.4375383844126</v>
      </c>
      <c r="AH149" s="86">
        <f t="shared" si="116"/>
        <v>-25957.569200000002</v>
      </c>
      <c r="AI149" s="85">
        <f t="shared" si="117"/>
        <v>6238.0466047659793</v>
      </c>
      <c r="AJ149" s="85">
        <f t="shared" si="118"/>
        <v>-17638.170269402173</v>
      </c>
      <c r="AK149" s="90">
        <f t="shared" si="119"/>
        <v>6238.0466047659793</v>
      </c>
      <c r="AM149" s="95">
        <f t="shared" si="86"/>
        <v>0</v>
      </c>
      <c r="AN149" s="95">
        <f t="shared" si="87"/>
        <v>0</v>
      </c>
      <c r="AO149" s="95">
        <f t="shared" si="88"/>
        <v>0</v>
      </c>
      <c r="AP149" s="95">
        <f t="shared" si="89"/>
        <v>0</v>
      </c>
      <c r="AQ149"/>
      <c r="AR149" s="95">
        <f t="shared" si="120"/>
        <v>0</v>
      </c>
      <c r="AS149" s="95">
        <f t="shared" si="121"/>
        <v>0</v>
      </c>
      <c r="AT149" s="95">
        <f>Geraetedaten!$B$94*ABS(SIN(RADIANS($A149)))</f>
        <v>144.7126636010299</v>
      </c>
      <c r="AU149" s="95">
        <f>Geraetedaten!$B$94*ABS(COS(RADIANS($A149)))</f>
        <v>52.671102072152983</v>
      </c>
      <c r="AV149" s="95">
        <f>((h_Aw_Sw+Geraetedaten!$B$18)/1000)*(AR149*AT149+AS149*AU149)/100</f>
        <v>0</v>
      </c>
      <c r="AX149" s="18">
        <f>(IF($X$19="ja",1,0))*Geraetedaten!$D$142*COS(RADIANS(2*A149))*(Geraetedaten!$B$154*r_K_D+r_K_SSw*F_SSw/10)/1000+Geraetedaten!$B$152</f>
        <v>594.79999999999995</v>
      </c>
      <c r="AY149" s="18">
        <f>(IF($X$19="ja",1,0))*Geraetedaten!$D$142*COS(RADIANS(2*A149))*(Geraetedaten!$B$157*r_K_D+r_K_SSw*F_SSw/10)/1000+Geraetedaten!$B$155</f>
        <v>537.4</v>
      </c>
      <c r="AZ149" s="201"/>
    </row>
    <row r="150" spans="1:52" ht="13.5" x14ac:dyDescent="0.25">
      <c r="A150" s="16">
        <v>111</v>
      </c>
      <c r="B150" s="16">
        <f t="shared" si="95"/>
        <v>339</v>
      </c>
      <c r="C150" s="19">
        <f t="shared" si="96"/>
        <v>70.059249947248006</v>
      </c>
      <c r="D150" s="17">
        <f t="shared" si="92"/>
        <v>-11398.552159947249</v>
      </c>
      <c r="E150" s="17">
        <f t="shared" si="97"/>
        <v>27243.892810052752</v>
      </c>
      <c r="F150" s="17">
        <f t="shared" si="98"/>
        <v>11134.661640052753</v>
      </c>
      <c r="G150" s="17">
        <f t="shared" si="99"/>
        <v>-24885.962789947247</v>
      </c>
      <c r="H150" s="17">
        <f t="shared" si="93"/>
        <v>11134.661640052753</v>
      </c>
      <c r="I150" s="17">
        <f t="shared" si="100"/>
        <v>4434.3159585663352</v>
      </c>
      <c r="J150" s="20">
        <f>(Geraetedaten!$B$152+(Geraetedaten!$B$153*(Geraetedaten!$B$18+d_y_Sw)/1000))*10</f>
        <v>6051.0442000000003</v>
      </c>
      <c r="K150" s="20">
        <f>(Geraetedaten!$B$165+(Geraetedaten!$B$166*(Geraetedaten!$B$18+d_y_Sw)/1000))*10</f>
        <v>10816.164000000001</v>
      </c>
      <c r="L150" s="20">
        <f>(Geraetedaten!$B$158+(Geraetedaten!$B$159*(Geraetedaten!$B$18+d_y_Sw)/1000)-(Geraetedaten!$B$160*I150/1000))*10</f>
        <v>276.36821075833046</v>
      </c>
      <c r="M150" s="20">
        <f>(Geraetedaten!$B$171+(Geraetedaten!$B$172*(Geraetedaten!$B$18+d_y_Sw)/1000)-(Geraetedaten!$B$173*I150/1000))*10</f>
        <v>734.77652004432287</v>
      </c>
      <c r="N150" s="20">
        <f>IF((H150-J150)/(K150-J150)*(Geraetedaten!$B$174-Geraetedaten!$B$161)&lt;Geraetedaten!$B$174,(H150-J150)/(K150-J150)*(Geraetedaten!$B$174-Geraetedaten!$B$161),Geraetedaten!$B$174)</f>
        <v>400</v>
      </c>
      <c r="O150" s="20">
        <f>N150/Geraetedaten!$B$174*(M150-L150)+L150+C150</f>
        <v>804.83576999157083</v>
      </c>
      <c r="P150" s="20">
        <f t="shared" si="94"/>
        <v>223.75794808417203</v>
      </c>
      <c r="Q150" s="20"/>
      <c r="R150" s="21">
        <f>(N150-Geraetedaten!$B$161)/(Geraetedaten!$B$174-Geraetedaten!$B$161)*(Geraetedaten!$B$175-Geraetedaten!$B$162)+Geraetedaten!$B$162</f>
        <v>41.1</v>
      </c>
      <c r="S150" s="21">
        <f t="shared" si="101"/>
        <v>41.1</v>
      </c>
      <c r="T150" s="21">
        <f t="shared" si="102"/>
        <v>38.370155529034996</v>
      </c>
      <c r="U150" s="88">
        <f t="shared" si="103"/>
        <v>-14.728922726311842</v>
      </c>
      <c r="V150" s="86">
        <f t="shared" si="104"/>
        <v>-11328.492910000001</v>
      </c>
      <c r="W150" s="85">
        <f t="shared" si="105"/>
        <v>-4225.3239992296285</v>
      </c>
      <c r="X150" s="85">
        <f t="shared" si="106"/>
        <v>-4526.6866426429242</v>
      </c>
      <c r="Y150" s="90">
        <f t="shared" si="107"/>
        <v>4225.3239992296285</v>
      </c>
      <c r="Z150" s="86">
        <f t="shared" si="108"/>
        <v>27313.95206</v>
      </c>
      <c r="AA150" s="85">
        <f t="shared" si="109"/>
        <v>-913.46204712425447</v>
      </c>
      <c r="AB150" s="85">
        <f t="shared" si="110"/>
        <v>2838.1315248865203</v>
      </c>
      <c r="AC150" s="90">
        <f t="shared" si="111"/>
        <v>913.46204712425447</v>
      </c>
      <c r="AD150" s="86">
        <f t="shared" si="112"/>
        <v>11204.720890000001</v>
      </c>
      <c r="AE150" s="85">
        <f t="shared" si="113"/>
        <v>4140.4375383844126</v>
      </c>
      <c r="AF150" s="85">
        <f t="shared" si="114"/>
        <v>4434.3159585663352</v>
      </c>
      <c r="AG150" s="90">
        <f t="shared" si="115"/>
        <v>4140.4375383844126</v>
      </c>
      <c r="AH150" s="86">
        <f t="shared" si="116"/>
        <v>-24815.903539999999</v>
      </c>
      <c r="AI150" s="85">
        <f t="shared" si="117"/>
        <v>6238.0466047659793</v>
      </c>
      <c r="AJ150" s="85">
        <f t="shared" si="118"/>
        <v>-16862.40836253198</v>
      </c>
      <c r="AK150" s="90">
        <f t="shared" si="119"/>
        <v>6238.0466047659793</v>
      </c>
      <c r="AM150" s="95">
        <f t="shared" si="86"/>
        <v>0</v>
      </c>
      <c r="AN150" s="95">
        <f t="shared" si="87"/>
        <v>0</v>
      </c>
      <c r="AO150" s="95">
        <f t="shared" si="88"/>
        <v>0</v>
      </c>
      <c r="AP150" s="95">
        <f t="shared" si="89"/>
        <v>0</v>
      </c>
      <c r="AQ150"/>
      <c r="AR150" s="95">
        <f t="shared" si="120"/>
        <v>0</v>
      </c>
      <c r="AS150" s="95">
        <f t="shared" si="121"/>
        <v>0</v>
      </c>
      <c r="AT150" s="95">
        <f>Geraetedaten!$B$94*ABS(SIN(RADIANS($A150)))</f>
        <v>143.77138568056907</v>
      </c>
      <c r="AU150" s="95">
        <f>Geraetedaten!$B$94*ABS(COS(RADIANS($A150)))</f>
        <v>55.18866422997624</v>
      </c>
      <c r="AV150" s="95">
        <f>((h_Aw_Sw+Geraetedaten!$B$18)/1000)*(AR150*AT150+AS150*AU150)/100</f>
        <v>0</v>
      </c>
      <c r="AX150" s="18">
        <f>(IF($X$19="ja",1,0))*Geraetedaten!$D$142*COS(RADIANS(2*A150))*(Geraetedaten!$B$154*r_K_D+r_K_SSw*F_SSw/10)/1000+Geraetedaten!$B$152</f>
        <v>594.79999999999995</v>
      </c>
      <c r="AY150" s="18">
        <f>(IF($X$19="ja",1,0))*Geraetedaten!$D$142*COS(RADIANS(2*A150))*(Geraetedaten!$B$157*r_K_D+r_K_SSw*F_SSw/10)/1000+Geraetedaten!$B$155</f>
        <v>537.4</v>
      </c>
      <c r="AZ150" s="201"/>
    </row>
    <row r="151" spans="1:52" ht="13.5" x14ac:dyDescent="0.25">
      <c r="A151" s="16">
        <v>112</v>
      </c>
      <c r="B151" s="16">
        <f t="shared" si="95"/>
        <v>338</v>
      </c>
      <c r="C151" s="19">
        <f t="shared" si="96"/>
        <v>70.139056024367036</v>
      </c>
      <c r="D151" s="17">
        <f t="shared" si="92"/>
        <v>-11476.885886024367</v>
      </c>
      <c r="E151" s="17">
        <f t="shared" si="97"/>
        <v>25913.772093975633</v>
      </c>
      <c r="F151" s="17">
        <f t="shared" si="98"/>
        <v>11211.789723975633</v>
      </c>
      <c r="G151" s="17">
        <f t="shared" si="99"/>
        <v>-23847.509246024369</v>
      </c>
      <c r="H151" s="17">
        <f t="shared" si="93"/>
        <v>11211.789723975633</v>
      </c>
      <c r="I151" s="17">
        <f t="shared" si="100"/>
        <v>4464.8713091228792</v>
      </c>
      <c r="J151" s="20">
        <f>(Geraetedaten!$B$152+(Geraetedaten!$B$153*(Geraetedaten!$B$18+d_y_Sw)/1000))*10</f>
        <v>6051.0442000000003</v>
      </c>
      <c r="K151" s="20">
        <f>(Geraetedaten!$B$165+(Geraetedaten!$B$166*(Geraetedaten!$B$18+d_y_Sw)/1000))*10</f>
        <v>10816.164000000001</v>
      </c>
      <c r="L151" s="20">
        <f>(Geraetedaten!$B$158+(Geraetedaten!$B$159*(Geraetedaten!$B$18+d_y_Sw)/1000)-(Geraetedaten!$B$160*I151/1000))*10</f>
        <v>274.12758690201906</v>
      </c>
      <c r="M151" s="20">
        <f>(Geraetedaten!$B$171+(Geraetedaten!$B$172*(Geraetedaten!$B$18+d_y_Sw)/1000)-(Geraetedaten!$B$173*I151/1000))*10</f>
        <v>732.50197974889375</v>
      </c>
      <c r="N151" s="20">
        <f>IF((H151-J151)/(K151-J151)*(Geraetedaten!$B$174-Geraetedaten!$B$161)&lt;Geraetedaten!$B$174,(H151-J151)/(K151-J151)*(Geraetedaten!$B$174-Geraetedaten!$B$161),Geraetedaten!$B$174)</f>
        <v>400</v>
      </c>
      <c r="O151" s="20">
        <f>N151/Geraetedaten!$B$174*(M151-L151)+L151+C151</f>
        <v>802.6410357732608</v>
      </c>
      <c r="P151" s="20">
        <f t="shared" si="94"/>
        <v>223.33389018839978</v>
      </c>
      <c r="Q151" s="20"/>
      <c r="R151" s="21">
        <f>(N151-Geraetedaten!$B$161)/(Geraetedaten!$B$174-Geraetedaten!$B$161)*(Geraetedaten!$B$175-Geraetedaten!$B$162)+Geraetedaten!$B$162</f>
        <v>41.1</v>
      </c>
      <c r="S151" s="21">
        <f t="shared" si="101"/>
        <v>41.1</v>
      </c>
      <c r="T151" s="21">
        <f t="shared" si="102"/>
        <v>38.107256422694967</v>
      </c>
      <c r="U151" s="88">
        <f t="shared" si="103"/>
        <v>-15.396330989393986</v>
      </c>
      <c r="V151" s="86">
        <f t="shared" si="104"/>
        <v>-11406.74683</v>
      </c>
      <c r="W151" s="85">
        <f t="shared" si="105"/>
        <v>-4225.3239992296285</v>
      </c>
      <c r="X151" s="85">
        <f t="shared" si="106"/>
        <v>-4557.9556695964056</v>
      </c>
      <c r="Y151" s="90">
        <f t="shared" si="107"/>
        <v>4225.3239992296285</v>
      </c>
      <c r="Z151" s="86">
        <f t="shared" si="108"/>
        <v>25983.91115</v>
      </c>
      <c r="AA151" s="85">
        <f t="shared" si="109"/>
        <v>-913.46204712425447</v>
      </c>
      <c r="AB151" s="85">
        <f t="shared" si="110"/>
        <v>2699.9299555990224</v>
      </c>
      <c r="AC151" s="90">
        <f t="shared" si="111"/>
        <v>913.46204712425447</v>
      </c>
      <c r="AD151" s="86">
        <f t="shared" si="112"/>
        <v>11281.92878</v>
      </c>
      <c r="AE151" s="85">
        <f t="shared" si="113"/>
        <v>4140.4375383844126</v>
      </c>
      <c r="AF151" s="85">
        <f t="shared" si="114"/>
        <v>4464.8713091228792</v>
      </c>
      <c r="AG151" s="90">
        <f t="shared" si="115"/>
        <v>4140.4375383844126</v>
      </c>
      <c r="AH151" s="86">
        <f t="shared" si="116"/>
        <v>-23777.370190000001</v>
      </c>
      <c r="AI151" s="85">
        <f t="shared" si="117"/>
        <v>6238.0466047659793</v>
      </c>
      <c r="AJ151" s="85">
        <f t="shared" si="118"/>
        <v>-16156.724873739782</v>
      </c>
      <c r="AK151" s="90">
        <f t="shared" si="119"/>
        <v>6238.0466047659793</v>
      </c>
      <c r="AM151" s="95">
        <f t="shared" si="86"/>
        <v>0</v>
      </c>
      <c r="AN151" s="95">
        <f t="shared" si="87"/>
        <v>0</v>
      </c>
      <c r="AO151" s="95">
        <f t="shared" si="88"/>
        <v>0</v>
      </c>
      <c r="AP151" s="95">
        <f t="shared" si="89"/>
        <v>0</v>
      </c>
      <c r="AQ151"/>
      <c r="AR151" s="95">
        <f t="shared" si="120"/>
        <v>0</v>
      </c>
      <c r="AS151" s="95">
        <f t="shared" si="121"/>
        <v>0</v>
      </c>
      <c r="AT151" s="95">
        <f>Geraetedaten!$B$94*ABS(SIN(RADIANS($A151)))</f>
        <v>142.78631360328527</v>
      </c>
      <c r="AU151" s="95">
        <f>Geraetedaten!$B$94*ABS(COS(RADIANS($A151)))</f>
        <v>57.689415386050456</v>
      </c>
      <c r="AV151" s="95">
        <f>((h_Aw_Sw+Geraetedaten!$B$18)/1000)*(AR151*AT151+AS151*AU151)/100</f>
        <v>0</v>
      </c>
      <c r="AX151" s="18">
        <f>(IF($X$19="ja",1,0))*Geraetedaten!$D$142*COS(RADIANS(2*A151))*(Geraetedaten!$B$154*r_K_D+r_K_SSw*F_SSw/10)/1000+Geraetedaten!$B$152</f>
        <v>594.79999999999995</v>
      </c>
      <c r="AY151" s="18">
        <f>(IF($X$19="ja",1,0))*Geraetedaten!$D$142*COS(RADIANS(2*A151))*(Geraetedaten!$B$157*r_K_D+r_K_SSw*F_SSw/10)/1000+Geraetedaten!$B$155</f>
        <v>537.4</v>
      </c>
      <c r="AZ151" s="201"/>
    </row>
    <row r="152" spans="1:52" ht="13.5" x14ac:dyDescent="0.25">
      <c r="A152" s="16">
        <v>113</v>
      </c>
      <c r="B152" s="16">
        <f t="shared" si="95"/>
        <v>337</v>
      </c>
      <c r="C152" s="19">
        <f t="shared" si="96"/>
        <v>70.19749706556874</v>
      </c>
      <c r="D152" s="17">
        <f t="shared" si="92"/>
        <v>-11559.811057065568</v>
      </c>
      <c r="E152" s="17">
        <f t="shared" si="97"/>
        <v>24714.388722934433</v>
      </c>
      <c r="F152" s="17">
        <f t="shared" si="98"/>
        <v>11293.496082934431</v>
      </c>
      <c r="G152" s="17">
        <f t="shared" si="99"/>
        <v>-22899.141537065567</v>
      </c>
      <c r="H152" s="17">
        <f t="shared" si="93"/>
        <v>11293.496082934431</v>
      </c>
      <c r="I152" s="17">
        <f t="shared" si="100"/>
        <v>4497.2300791562593</v>
      </c>
      <c r="J152" s="20">
        <f>(Geraetedaten!$B$152+(Geraetedaten!$B$153*(Geraetedaten!$B$18+d_y_Sw)/1000))*10</f>
        <v>6051.0442000000003</v>
      </c>
      <c r="K152" s="20">
        <f>(Geraetedaten!$B$165+(Geraetedaten!$B$166*(Geraetedaten!$B$18+d_y_Sw)/1000))*10</f>
        <v>10816.164000000001</v>
      </c>
      <c r="L152" s="20">
        <f>(Geraetedaten!$B$158+(Geraetedaten!$B$159*(Geraetedaten!$B$18+d_y_Sw)/1000)-(Geraetedaten!$B$160*I152/1000))*10</f>
        <v>271.75471829547132</v>
      </c>
      <c r="M152" s="20">
        <f>(Geraetedaten!$B$171+(Geraetedaten!$B$172*(Geraetedaten!$B$18+d_y_Sw)/1000)-(Geraetedaten!$B$173*I152/1000))*10</f>
        <v>730.09319290760891</v>
      </c>
      <c r="N152" s="20">
        <f>IF((H152-J152)/(K152-J152)*(Geraetedaten!$B$174-Geraetedaten!$B$161)&lt;Geraetedaten!$B$174,(H152-J152)/(K152-J152)*(Geraetedaten!$B$174-Geraetedaten!$B$161),Geraetedaten!$B$174)</f>
        <v>400</v>
      </c>
      <c r="O152" s="20">
        <f>N152/Geraetedaten!$B$174*(M152-L152)+L152+C152</f>
        <v>800.29068997317768</v>
      </c>
      <c r="P152" s="20">
        <f t="shared" si="94"/>
        <v>222.87677006261043</v>
      </c>
      <c r="Q152" s="20"/>
      <c r="R152" s="21">
        <f>(N152-Geraetedaten!$B$161)/(Geraetedaten!$B$174-Geraetedaten!$B$161)*(Geraetedaten!$B$175-Geraetedaten!$B$162)+Geraetedaten!$B$162</f>
        <v>41.1</v>
      </c>
      <c r="S152" s="21">
        <f t="shared" si="101"/>
        <v>41.1</v>
      </c>
      <c r="T152" s="21">
        <f t="shared" si="102"/>
        <v>37.832749476895295</v>
      </c>
      <c r="U152" s="88">
        <f t="shared" si="103"/>
        <v>-16.059049380909151</v>
      </c>
      <c r="V152" s="86">
        <f t="shared" si="104"/>
        <v>-11489.61356</v>
      </c>
      <c r="W152" s="85">
        <f t="shared" si="105"/>
        <v>-4225.3239992296285</v>
      </c>
      <c r="X152" s="85">
        <f t="shared" si="106"/>
        <v>-4591.0679072489638</v>
      </c>
      <c r="Y152" s="90">
        <f t="shared" si="107"/>
        <v>4225.3239992296285</v>
      </c>
      <c r="Z152" s="86">
        <f t="shared" si="108"/>
        <v>24784.586220000001</v>
      </c>
      <c r="AA152" s="85">
        <f t="shared" si="109"/>
        <v>-913.46204712425447</v>
      </c>
      <c r="AB152" s="85">
        <f t="shared" si="110"/>
        <v>2575.310791230871</v>
      </c>
      <c r="AC152" s="90">
        <f t="shared" si="111"/>
        <v>913.46204712425447</v>
      </c>
      <c r="AD152" s="86">
        <f t="shared" si="112"/>
        <v>11363.693579999999</v>
      </c>
      <c r="AE152" s="85">
        <f t="shared" si="113"/>
        <v>4140.4375383844126</v>
      </c>
      <c r="AF152" s="85">
        <f t="shared" si="114"/>
        <v>4497.2300791562593</v>
      </c>
      <c r="AG152" s="90">
        <f t="shared" si="115"/>
        <v>4140.4375383844126</v>
      </c>
      <c r="AH152" s="86">
        <f t="shared" si="116"/>
        <v>-22828.944039999998</v>
      </c>
      <c r="AI152" s="85">
        <f t="shared" si="117"/>
        <v>6238.0466047659793</v>
      </c>
      <c r="AJ152" s="85">
        <f t="shared" si="118"/>
        <v>-15512.269230444977</v>
      </c>
      <c r="AK152" s="90">
        <f t="shared" si="119"/>
        <v>6238.0466047659793</v>
      </c>
      <c r="AM152" s="95">
        <f t="shared" si="86"/>
        <v>0</v>
      </c>
      <c r="AN152" s="95">
        <f t="shared" si="87"/>
        <v>0</v>
      </c>
      <c r="AO152" s="95">
        <f t="shared" si="88"/>
        <v>0</v>
      </c>
      <c r="AP152" s="95">
        <f t="shared" si="89"/>
        <v>0</v>
      </c>
      <c r="AQ152"/>
      <c r="AR152" s="95">
        <f t="shared" si="120"/>
        <v>0</v>
      </c>
      <c r="AS152" s="95">
        <f t="shared" si="121"/>
        <v>0</v>
      </c>
      <c r="AT152" s="95">
        <f>Geraetedaten!$B$94*ABS(SIN(RADIANS($A152)))</f>
        <v>141.7577474316758</v>
      </c>
      <c r="AU152" s="95">
        <f>Geraetedaten!$B$94*ABS(COS(RADIANS($A152)))</f>
        <v>60.172593787348163</v>
      </c>
      <c r="AV152" s="95">
        <f>((h_Aw_Sw+Geraetedaten!$B$18)/1000)*(AR152*AT152+AS152*AU152)/100</f>
        <v>0</v>
      </c>
      <c r="AX152" s="18">
        <f>(IF($X$19="ja",1,0))*Geraetedaten!$D$142*COS(RADIANS(2*A152))*(Geraetedaten!$B$154*r_K_D+r_K_SSw*F_SSw/10)/1000+Geraetedaten!$B$152</f>
        <v>594.79999999999995</v>
      </c>
      <c r="AY152" s="18">
        <f>(IF($X$19="ja",1,0))*Geraetedaten!$D$142*COS(RADIANS(2*A152))*(Geraetedaten!$B$157*r_K_D+r_K_SSw*F_SSw/10)/1000+Geraetedaten!$B$155</f>
        <v>537.4</v>
      </c>
      <c r="AZ152" s="201"/>
    </row>
    <row r="153" spans="1:52" ht="13.5" x14ac:dyDescent="0.25">
      <c r="A153" s="16">
        <v>114</v>
      </c>
      <c r="B153" s="16">
        <f t="shared" si="95"/>
        <v>336</v>
      </c>
      <c r="C153" s="19">
        <f t="shared" si="96"/>
        <v>70.234555269145858</v>
      </c>
      <c r="D153" s="17">
        <f t="shared" si="92"/>
        <v>-11647.480015269146</v>
      </c>
      <c r="E153" s="17">
        <f t="shared" si="97"/>
        <v>23627.755374730856</v>
      </c>
      <c r="F153" s="17">
        <f t="shared" si="98"/>
        <v>11379.930944730853</v>
      </c>
      <c r="G153" s="17">
        <f t="shared" si="99"/>
        <v>-22029.944005269143</v>
      </c>
      <c r="H153" s="17">
        <f t="shared" si="93"/>
        <v>11379.930944730853</v>
      </c>
      <c r="I153" s="17">
        <f t="shared" si="100"/>
        <v>4531.4517089875235</v>
      </c>
      <c r="J153" s="20">
        <f>(Geraetedaten!$B$152+(Geraetedaten!$B$153*(Geraetedaten!$B$18+d_y_Sw)/1000))*10</f>
        <v>6051.0442000000003</v>
      </c>
      <c r="K153" s="20">
        <f>(Geraetedaten!$B$165+(Geraetedaten!$B$166*(Geraetedaten!$B$18+d_y_Sw)/1000))*10</f>
        <v>10816.164000000001</v>
      </c>
      <c r="L153" s="20">
        <f>(Geraetedaten!$B$158+(Geraetedaten!$B$159*(Geraetedaten!$B$18+d_y_Sw)/1000)-(Geraetedaten!$B$160*I153/1000))*10</f>
        <v>269.24524617994473</v>
      </c>
      <c r="M153" s="20">
        <f>(Geraetedaten!$B$171+(Geraetedaten!$B$172*(Geraetedaten!$B$18+d_y_Sw)/1000)-(Geraetedaten!$B$173*I153/1000))*10</f>
        <v>727.54573478296959</v>
      </c>
      <c r="N153" s="20">
        <f>IF((H153-J153)/(K153-J153)*(Geraetedaten!$B$174-Geraetedaten!$B$161)&lt;Geraetedaten!$B$174,(H153-J153)/(K153-J153)*(Geraetedaten!$B$174-Geraetedaten!$B$161),Geraetedaten!$B$174)</f>
        <v>400</v>
      </c>
      <c r="O153" s="20">
        <f>N153/Geraetedaten!$B$174*(M153-L153)+L153+C153</f>
        <v>797.78029005211545</v>
      </c>
      <c r="P153" s="20">
        <f t="shared" si="94"/>
        <v>222.38555540468658</v>
      </c>
      <c r="Q153" s="20"/>
      <c r="R153" s="21">
        <f>(N153-Geraetedaten!$B$161)/(Geraetedaten!$B$174-Geraetedaten!$B$161)*(Geraetedaten!$B$175-Geraetedaten!$B$162)+Geraetedaten!$B$162</f>
        <v>41.1</v>
      </c>
      <c r="S153" s="21">
        <f t="shared" si="101"/>
        <v>41.1</v>
      </c>
      <c r="T153" s="21">
        <f t="shared" si="102"/>
        <v>37.546718309110894</v>
      </c>
      <c r="U153" s="88">
        <f t="shared" si="103"/>
        <v>-16.716876030415392</v>
      </c>
      <c r="V153" s="86">
        <f t="shared" si="104"/>
        <v>-11577.24546</v>
      </c>
      <c r="W153" s="85">
        <f t="shared" si="105"/>
        <v>-4225.3239992296285</v>
      </c>
      <c r="X153" s="85">
        <f t="shared" si="106"/>
        <v>-4626.0842293733631</v>
      </c>
      <c r="Y153" s="90">
        <f t="shared" si="107"/>
        <v>4225.3239992296285</v>
      </c>
      <c r="Z153" s="86">
        <f t="shared" si="108"/>
        <v>23697.98993</v>
      </c>
      <c r="AA153" s="85">
        <f t="shared" si="109"/>
        <v>-913.46204712425447</v>
      </c>
      <c r="AB153" s="85">
        <f t="shared" si="110"/>
        <v>2462.4050061819048</v>
      </c>
      <c r="AC153" s="90">
        <f t="shared" si="111"/>
        <v>913.46204712425447</v>
      </c>
      <c r="AD153" s="86">
        <f t="shared" si="112"/>
        <v>11450.165499999999</v>
      </c>
      <c r="AE153" s="85">
        <f t="shared" si="113"/>
        <v>4140.4375383844126</v>
      </c>
      <c r="AF153" s="85">
        <f t="shared" si="114"/>
        <v>4531.4517089875235</v>
      </c>
      <c r="AG153" s="90">
        <f t="shared" si="115"/>
        <v>4140.4375383844126</v>
      </c>
      <c r="AH153" s="86">
        <f t="shared" si="116"/>
        <v>-21959.709449999998</v>
      </c>
      <c r="AI153" s="85">
        <f t="shared" si="117"/>
        <v>6238.0466047659793</v>
      </c>
      <c r="AJ153" s="85">
        <f t="shared" si="118"/>
        <v>-14921.624261304112</v>
      </c>
      <c r="AK153" s="90">
        <f t="shared" si="119"/>
        <v>6238.0466047659793</v>
      </c>
      <c r="AM153" s="95">
        <f t="shared" si="86"/>
        <v>0</v>
      </c>
      <c r="AN153" s="95">
        <f t="shared" si="87"/>
        <v>0</v>
      </c>
      <c r="AO153" s="95">
        <f t="shared" si="88"/>
        <v>0</v>
      </c>
      <c r="AP153" s="95">
        <f t="shared" si="89"/>
        <v>0</v>
      </c>
      <c r="AQ153"/>
      <c r="AR153" s="95">
        <f t="shared" si="120"/>
        <v>0</v>
      </c>
      <c r="AS153" s="95">
        <f t="shared" si="121"/>
        <v>0</v>
      </c>
      <c r="AT153" s="95">
        <f>Geraetedaten!$B$94*ABS(SIN(RADIANS($A153)))</f>
        <v>140.68600047696054</v>
      </c>
      <c r="AU153" s="95">
        <f>Geraetedaten!$B$94*ABS(COS(RADIANS($A153)))</f>
        <v>62.637443033673243</v>
      </c>
      <c r="AV153" s="95">
        <f>((h_Aw_Sw+Geraetedaten!$B$18)/1000)*(AR153*AT153+AS153*AU153)/100</f>
        <v>0</v>
      </c>
      <c r="AX153" s="18">
        <f>(IF($X$19="ja",1,0))*Geraetedaten!$D$142*COS(RADIANS(2*A153))*(Geraetedaten!$B$154*r_K_D+r_K_SSw*F_SSw/10)/1000+Geraetedaten!$B$152</f>
        <v>594.79999999999995</v>
      </c>
      <c r="AY153" s="18">
        <f>(IF($X$19="ja",1,0))*Geraetedaten!$D$142*COS(RADIANS(2*A153))*(Geraetedaten!$B$157*r_K_D+r_K_SSw*F_SSw/10)/1000+Geraetedaten!$B$155</f>
        <v>537.4</v>
      </c>
      <c r="AZ153" s="201"/>
    </row>
    <row r="154" spans="1:52" ht="13.5" x14ac:dyDescent="0.25">
      <c r="A154" s="16">
        <v>115</v>
      </c>
      <c r="B154" s="16">
        <f t="shared" si="95"/>
        <v>335</v>
      </c>
      <c r="C154" s="19">
        <f t="shared" si="96"/>
        <v>70.250219346810582</v>
      </c>
      <c r="D154" s="17">
        <f t="shared" si="92"/>
        <v>-11740.05665934681</v>
      </c>
      <c r="E154" s="17">
        <f t="shared" si="97"/>
        <v>22639.04500065319</v>
      </c>
      <c r="F154" s="17">
        <f t="shared" si="98"/>
        <v>11471.25592065319</v>
      </c>
      <c r="G154" s="17">
        <f t="shared" si="99"/>
        <v>-21230.700309346808</v>
      </c>
      <c r="H154" s="17">
        <f t="shared" si="93"/>
        <v>11471.25592065319</v>
      </c>
      <c r="I154" s="17">
        <f t="shared" si="100"/>
        <v>4567.6001544971605</v>
      </c>
      <c r="J154" s="20">
        <f>(Geraetedaten!$B$152+(Geraetedaten!$B$153*(Geraetedaten!$B$18+d_y_Sw)/1000))*10</f>
        <v>6051.0442000000003</v>
      </c>
      <c r="K154" s="20">
        <f>(Geraetedaten!$B$165+(Geraetedaten!$B$166*(Geraetedaten!$B$18+d_y_Sw)/1000))*10</f>
        <v>10816.164000000001</v>
      </c>
      <c r="L154" s="20">
        <f>(Geraetedaten!$B$158+(Geraetedaten!$B$159*(Geraetedaten!$B$18+d_y_Sw)/1000)-(Geraetedaten!$B$160*I154/1000))*10</f>
        <v>266.59448067072304</v>
      </c>
      <c r="M154" s="20">
        <f>(Geraetedaten!$B$171+(Geraetedaten!$B$172*(Geraetedaten!$B$18+d_y_Sw)/1000)-(Geraetedaten!$B$173*I154/1000))*10</f>
        <v>724.85484449923229</v>
      </c>
      <c r="N154" s="20">
        <f>IF((H154-J154)/(K154-J154)*(Geraetedaten!$B$174-Geraetedaten!$B$161)&lt;Geraetedaten!$B$174,(H154-J154)/(K154-J154)*(Geraetedaten!$B$174-Geraetedaten!$B$161),Geraetedaten!$B$174)</f>
        <v>400</v>
      </c>
      <c r="O154" s="20">
        <f>N154/Geraetedaten!$B$174*(M154-L154)+L154+C154</f>
        <v>795.10506384604287</v>
      </c>
      <c r="P154" s="20">
        <f t="shared" si="94"/>
        <v>221.85913207624915</v>
      </c>
      <c r="Q154" s="20"/>
      <c r="R154" s="21">
        <f>(N154-Geraetedaten!$B$161)/(Geraetedaten!$B$174-Geraetedaten!$B$161)*(Geraetedaten!$B$175-Geraetedaten!$B$162)+Geraetedaten!$B$162</f>
        <v>41.1</v>
      </c>
      <c r="S154" s="21">
        <f t="shared" si="101"/>
        <v>41.1</v>
      </c>
      <c r="T154" s="21">
        <f t="shared" si="102"/>
        <v>37.249250047206317</v>
      </c>
      <c r="U154" s="88">
        <f t="shared" si="103"/>
        <v>-17.369610557542742</v>
      </c>
      <c r="V154" s="86">
        <f t="shared" si="104"/>
        <v>-11669.80644</v>
      </c>
      <c r="W154" s="85">
        <f t="shared" si="105"/>
        <v>-4225.3239992296285</v>
      </c>
      <c r="X154" s="85">
        <f t="shared" si="106"/>
        <v>-4663.0701326825338</v>
      </c>
      <c r="Y154" s="90">
        <f t="shared" si="107"/>
        <v>4225.3239992296285</v>
      </c>
      <c r="Z154" s="86">
        <f t="shared" si="108"/>
        <v>22709.29522</v>
      </c>
      <c r="AA154" s="85">
        <f t="shared" si="109"/>
        <v>-913.46204712425447</v>
      </c>
      <c r="AB154" s="85">
        <f t="shared" si="110"/>
        <v>2359.6719549770419</v>
      </c>
      <c r="AC154" s="90">
        <f t="shared" si="111"/>
        <v>913.46204712425447</v>
      </c>
      <c r="AD154" s="86">
        <f t="shared" si="112"/>
        <v>11541.50614</v>
      </c>
      <c r="AE154" s="85">
        <f t="shared" si="113"/>
        <v>4140.4375383844126</v>
      </c>
      <c r="AF154" s="85">
        <f t="shared" si="114"/>
        <v>4567.6001544971605</v>
      </c>
      <c r="AG154" s="90">
        <f t="shared" si="115"/>
        <v>4140.4375383844126</v>
      </c>
      <c r="AH154" s="86">
        <f t="shared" si="116"/>
        <v>-21160.450089999998</v>
      </c>
      <c r="AI154" s="85">
        <f t="shared" si="117"/>
        <v>6238.0466047659793</v>
      </c>
      <c r="AJ154" s="85">
        <f t="shared" si="118"/>
        <v>-14378.527468077356</v>
      </c>
      <c r="AK154" s="90">
        <f t="shared" si="119"/>
        <v>6238.0466047659793</v>
      </c>
      <c r="AM154" s="95">
        <f t="shared" si="86"/>
        <v>0</v>
      </c>
      <c r="AN154" s="95">
        <f t="shared" si="87"/>
        <v>0</v>
      </c>
      <c r="AO154" s="95">
        <f t="shared" si="88"/>
        <v>0</v>
      </c>
      <c r="AP154" s="95">
        <f t="shared" si="89"/>
        <v>0</v>
      </c>
      <c r="AQ154"/>
      <c r="AR154" s="95">
        <f t="shared" si="120"/>
        <v>0</v>
      </c>
      <c r="AS154" s="95">
        <f t="shared" si="121"/>
        <v>0</v>
      </c>
      <c r="AT154" s="95">
        <f>Geraetedaten!$B$94*ABS(SIN(RADIANS($A154)))</f>
        <v>139.57139920364412</v>
      </c>
      <c r="AU154" s="95">
        <f>Geraetedaten!$B$94*ABS(COS(RADIANS($A154)))</f>
        <v>65.083212308067701</v>
      </c>
      <c r="AV154" s="95">
        <f>((h_Aw_Sw+Geraetedaten!$B$18)/1000)*(AR154*AT154+AS154*AU154)/100</f>
        <v>0</v>
      </c>
      <c r="AX154" s="18">
        <f>(IF($X$19="ja",1,0))*Geraetedaten!$D$142*COS(RADIANS(2*A154))*(Geraetedaten!$B$154*r_K_D+r_K_SSw*F_SSw/10)/1000+Geraetedaten!$B$152</f>
        <v>594.79999999999995</v>
      </c>
      <c r="AY154" s="18">
        <f>(IF($X$19="ja",1,0))*Geraetedaten!$D$142*COS(RADIANS(2*A154))*(Geraetedaten!$B$157*r_K_D+r_K_SSw*F_SSw/10)/1000+Geraetedaten!$B$155</f>
        <v>537.4</v>
      </c>
      <c r="AZ154" s="201"/>
    </row>
    <row r="155" spans="1:52" ht="13.5" x14ac:dyDescent="0.25">
      <c r="A155" s="16">
        <v>116</v>
      </c>
      <c r="B155" s="16">
        <f t="shared" si="95"/>
        <v>334</v>
      </c>
      <c r="C155" s="19">
        <f t="shared" si="96"/>
        <v>70.24448452713311</v>
      </c>
      <c r="D155" s="17">
        <f t="shared" si="92"/>
        <v>-11837.717274527133</v>
      </c>
      <c r="E155" s="17">
        <f t="shared" si="97"/>
        <v>21735.926245472867</v>
      </c>
      <c r="F155" s="17">
        <f t="shared" si="98"/>
        <v>11567.644825472868</v>
      </c>
      <c r="G155" s="17">
        <f t="shared" si="99"/>
        <v>-20493.575364527136</v>
      </c>
      <c r="H155" s="17">
        <f t="shared" si="93"/>
        <v>11567.644825472868</v>
      </c>
      <c r="I155" s="17">
        <f t="shared" si="100"/>
        <v>4605.7442028315145</v>
      </c>
      <c r="J155" s="20">
        <f>(Geraetedaten!$B$152+(Geraetedaten!$B$153*(Geraetedaten!$B$18+d_y_Sw)/1000))*10</f>
        <v>6051.0442000000003</v>
      </c>
      <c r="K155" s="20">
        <f>(Geraetedaten!$B$165+(Geraetedaten!$B$166*(Geraetedaten!$B$18+d_y_Sw)/1000))*10</f>
        <v>10816.164000000001</v>
      </c>
      <c r="L155" s="20">
        <f>(Geraetedaten!$B$158+(Geraetedaten!$B$159*(Geraetedaten!$B$18+d_y_Sw)/1000)-(Geraetedaten!$B$160*I155/1000))*10</f>
        <v>263.79737760636482</v>
      </c>
      <c r="M155" s="20">
        <f>(Geraetedaten!$B$171+(Geraetedaten!$B$172*(Geraetedaten!$B$18+d_y_Sw)/1000)-(Geraetedaten!$B$173*I155/1000))*10</f>
        <v>722.01540154122301</v>
      </c>
      <c r="N155" s="20">
        <f>IF((H155-J155)/(K155-J155)*(Geraetedaten!$B$174-Geraetedaten!$B$161)&lt;Geraetedaten!$B$174,(H155-J155)/(K155-J155)*(Geraetedaten!$B$174-Geraetedaten!$B$161),Geraetedaten!$B$174)</f>
        <v>400</v>
      </c>
      <c r="O155" s="20">
        <f>N155/Geraetedaten!$B$174*(M155-L155)+L155+C155</f>
        <v>792.25988606835608</v>
      </c>
      <c r="P155" s="20">
        <f t="shared" si="94"/>
        <v>221.29629757885169</v>
      </c>
      <c r="Q155" s="20"/>
      <c r="R155" s="21">
        <f>(N155-Geraetedaten!$B$161)/(Geraetedaten!$B$174-Geraetedaten!$B$161)*(Geraetedaten!$B$175-Geraetedaten!$B$162)+Geraetedaten!$B$162</f>
        <v>41.1</v>
      </c>
      <c r="S155" s="21">
        <f t="shared" si="101"/>
        <v>41.1</v>
      </c>
      <c r="T155" s="21">
        <f t="shared" si="102"/>
        <v>36.940435302895764</v>
      </c>
      <c r="U155" s="88">
        <f t="shared" si="103"/>
        <v>-18.017054133031085</v>
      </c>
      <c r="V155" s="86">
        <f t="shared" si="104"/>
        <v>-11767.47279</v>
      </c>
      <c r="W155" s="85">
        <f t="shared" si="105"/>
        <v>-4225.3239992296285</v>
      </c>
      <c r="X155" s="85">
        <f t="shared" si="106"/>
        <v>-4702.0960605053515</v>
      </c>
      <c r="Y155" s="90">
        <f t="shared" si="107"/>
        <v>4225.3239992296285</v>
      </c>
      <c r="Z155" s="86">
        <f t="shared" si="108"/>
        <v>21806.170730000002</v>
      </c>
      <c r="AA155" s="85">
        <f t="shared" si="109"/>
        <v>-913.46204712425447</v>
      </c>
      <c r="AB155" s="85">
        <f t="shared" si="110"/>
        <v>2265.8303146569078</v>
      </c>
      <c r="AC155" s="90">
        <f t="shared" si="111"/>
        <v>913.46204712425447</v>
      </c>
      <c r="AD155" s="86">
        <f t="shared" si="112"/>
        <v>11637.88931</v>
      </c>
      <c r="AE155" s="85">
        <f t="shared" si="113"/>
        <v>4140.4375383844126</v>
      </c>
      <c r="AF155" s="85">
        <f t="shared" si="114"/>
        <v>4605.7442028315145</v>
      </c>
      <c r="AG155" s="90">
        <f t="shared" si="115"/>
        <v>4140.4375383844126</v>
      </c>
      <c r="AH155" s="86">
        <f t="shared" si="116"/>
        <v>-20423.330880000001</v>
      </c>
      <c r="AI155" s="85">
        <f t="shared" si="117"/>
        <v>6238.0466047659793</v>
      </c>
      <c r="AJ155" s="85">
        <f t="shared" si="118"/>
        <v>-13877.65490623937</v>
      </c>
      <c r="AK155" s="90">
        <f t="shared" si="119"/>
        <v>6238.0466047659793</v>
      </c>
      <c r="AM155" s="95">
        <f t="shared" si="86"/>
        <v>0</v>
      </c>
      <c r="AN155" s="95">
        <f t="shared" si="87"/>
        <v>0</v>
      </c>
      <c r="AO155" s="95">
        <f t="shared" si="88"/>
        <v>0</v>
      </c>
      <c r="AP155" s="95">
        <f t="shared" si="89"/>
        <v>0</v>
      </c>
      <c r="AQ155"/>
      <c r="AR155" s="95">
        <f t="shared" si="120"/>
        <v>0</v>
      </c>
      <c r="AS155" s="95">
        <f t="shared" si="121"/>
        <v>0</v>
      </c>
      <c r="AT155" s="95">
        <f>Geraetedaten!$B$94*ABS(SIN(RADIANS($A155)))</f>
        <v>138.41428313007171</v>
      </c>
      <c r="AU155" s="95">
        <f>Geraetedaten!$B$94*ABS(COS(RADIANS($A155)))</f>
        <v>67.509156605517944</v>
      </c>
      <c r="AV155" s="95">
        <f>((h_Aw_Sw+Geraetedaten!$B$18)/1000)*(AR155*AT155+AS155*AU155)/100</f>
        <v>0</v>
      </c>
      <c r="AX155" s="18">
        <f>(IF($X$19="ja",1,0))*Geraetedaten!$D$142*COS(RADIANS(2*A155))*(Geraetedaten!$B$154*r_K_D+r_K_SSw*F_SSw/10)/1000+Geraetedaten!$B$152</f>
        <v>594.79999999999995</v>
      </c>
      <c r="AY155" s="18">
        <f>(IF($X$19="ja",1,0))*Geraetedaten!$D$142*COS(RADIANS(2*A155))*(Geraetedaten!$B$157*r_K_D+r_K_SSw*F_SSw/10)/1000+Geraetedaten!$B$155</f>
        <v>537.4</v>
      </c>
      <c r="AZ155" s="201"/>
    </row>
    <row r="156" spans="1:52" ht="13.5" x14ac:dyDescent="0.25">
      <c r="A156" s="16">
        <v>117</v>
      </c>
      <c r="B156" s="16">
        <f t="shared" si="95"/>
        <v>333</v>
      </c>
      <c r="C156" s="19">
        <f t="shared" si="96"/>
        <v>70.217352556995067</v>
      </c>
      <c r="D156" s="17">
        <f t="shared" si="92"/>
        <v>-11940.651422556994</v>
      </c>
      <c r="E156" s="17">
        <f t="shared" si="97"/>
        <v>20908.059827443005</v>
      </c>
      <c r="F156" s="17">
        <f t="shared" si="98"/>
        <v>11669.284547443005</v>
      </c>
      <c r="G156" s="17">
        <f t="shared" si="99"/>
        <v>-19811.866122556996</v>
      </c>
      <c r="H156" s="17">
        <f t="shared" si="93"/>
        <v>11669.284547443005</v>
      </c>
      <c r="I156" s="17">
        <f t="shared" si="100"/>
        <v>4645.9578201234945</v>
      </c>
      <c r="J156" s="20">
        <f>(Geraetedaten!$B$152+(Geraetedaten!$B$153*(Geraetedaten!$B$18+d_y_Sw)/1000))*10</f>
        <v>6051.0442000000003</v>
      </c>
      <c r="K156" s="20">
        <f>(Geraetedaten!$B$165+(Geraetedaten!$B$166*(Geraetedaten!$B$18+d_y_Sw)/1000))*10</f>
        <v>10816.164000000001</v>
      </c>
      <c r="L156" s="20">
        <f>(Geraetedaten!$B$158+(Geraetedaten!$B$159*(Geraetedaten!$B$18+d_y_Sw)/1000)-(Geraetedaten!$B$160*I156/1000))*10</f>
        <v>260.84851305034397</v>
      </c>
      <c r="M156" s="20">
        <f>(Geraetedaten!$B$171+(Geraetedaten!$B$172*(Geraetedaten!$B$18+d_y_Sw)/1000)-(Geraetedaten!$B$173*I156/1000))*10</f>
        <v>719.02189987000781</v>
      </c>
      <c r="N156" s="20">
        <f>IF((H156-J156)/(K156-J156)*(Geraetedaten!$B$174-Geraetedaten!$B$161)&lt;Geraetedaten!$B$174,(H156-J156)/(K156-J156)*(Geraetedaten!$B$174-Geraetedaten!$B$161),Geraetedaten!$B$174)</f>
        <v>400</v>
      </c>
      <c r="O156" s="20">
        <f>N156/Geraetedaten!$B$174*(M156-L156)+L156+C156</f>
        <v>789.23925242700284</v>
      </c>
      <c r="P156" s="20">
        <f t="shared" si="94"/>
        <v>220.69575381023836</v>
      </c>
      <c r="Q156" s="20"/>
      <c r="R156" s="21">
        <f>(N156-Geraetedaten!$B$161)/(Geraetedaten!$B$174-Geraetedaten!$B$161)*(Geraetedaten!$B$175-Geraetedaten!$B$162)+Geraetedaten!$B$162</f>
        <v>41.1</v>
      </c>
      <c r="S156" s="21">
        <f t="shared" si="101"/>
        <v>41.1</v>
      </c>
      <c r="T156" s="21">
        <f t="shared" si="102"/>
        <v>36.620368144141921</v>
      </c>
      <c r="U156" s="88">
        <f t="shared" si="103"/>
        <v>-18.659009539295369</v>
      </c>
      <c r="V156" s="86">
        <f t="shared" si="104"/>
        <v>-11870.434069999999</v>
      </c>
      <c r="W156" s="85">
        <f t="shared" si="105"/>
        <v>-4225.3239992296285</v>
      </c>
      <c r="X156" s="85">
        <f t="shared" si="106"/>
        <v>-4743.2377592947896</v>
      </c>
      <c r="Y156" s="90">
        <f t="shared" si="107"/>
        <v>4225.3239992296285</v>
      </c>
      <c r="Z156" s="86">
        <f t="shared" si="108"/>
        <v>20978.277180000001</v>
      </c>
      <c r="AA156" s="85">
        <f t="shared" si="109"/>
        <v>-913.46204712425447</v>
      </c>
      <c r="AB156" s="85">
        <f t="shared" si="110"/>
        <v>2179.8057516139693</v>
      </c>
      <c r="AC156" s="90">
        <f t="shared" si="111"/>
        <v>913.46204712425447</v>
      </c>
      <c r="AD156" s="86">
        <f t="shared" si="112"/>
        <v>11739.501899999999</v>
      </c>
      <c r="AE156" s="85">
        <f t="shared" si="113"/>
        <v>4140.4375383844126</v>
      </c>
      <c r="AF156" s="85">
        <f t="shared" si="114"/>
        <v>4645.9578201234945</v>
      </c>
      <c r="AG156" s="90">
        <f t="shared" si="115"/>
        <v>4140.4375383844126</v>
      </c>
      <c r="AH156" s="86">
        <f t="shared" si="116"/>
        <v>-19741.64877</v>
      </c>
      <c r="AI156" s="85">
        <f t="shared" si="117"/>
        <v>6238.0466047659793</v>
      </c>
      <c r="AJ156" s="85">
        <f t="shared" si="118"/>
        <v>-13414.451859395551</v>
      </c>
      <c r="AK156" s="90">
        <f t="shared" si="119"/>
        <v>6238.0466047659793</v>
      </c>
      <c r="AM156" s="95">
        <f t="shared" si="86"/>
        <v>0</v>
      </c>
      <c r="AN156" s="95">
        <f t="shared" si="87"/>
        <v>0</v>
      </c>
      <c r="AO156" s="95">
        <f t="shared" si="88"/>
        <v>0</v>
      </c>
      <c r="AP156" s="95">
        <f t="shared" si="89"/>
        <v>0</v>
      </c>
      <c r="AQ156"/>
      <c r="AR156" s="95">
        <f t="shared" si="120"/>
        <v>0</v>
      </c>
      <c r="AS156" s="95">
        <f t="shared" si="121"/>
        <v>0</v>
      </c>
      <c r="AT156" s="95">
        <f>Geraetedaten!$B$94*ABS(SIN(RADIANS($A156)))</f>
        <v>137.21500472500867</v>
      </c>
      <c r="AU156" s="95">
        <f>Geraetedaten!$B$94*ABS(COS(RADIANS($A156)))</f>
        <v>69.914536959890185</v>
      </c>
      <c r="AV156" s="95">
        <f>((h_Aw_Sw+Geraetedaten!$B$18)/1000)*(AR156*AT156+AS156*AU156)/100</f>
        <v>0</v>
      </c>
      <c r="AX156" s="18">
        <f>(IF($X$19="ja",1,0))*Geraetedaten!$D$142*COS(RADIANS(2*A156))*(Geraetedaten!$B$154*r_K_D+r_K_SSw*F_SSw/10)/1000+Geraetedaten!$B$152</f>
        <v>594.79999999999995</v>
      </c>
      <c r="AY156" s="18">
        <f>(IF($X$19="ja",1,0))*Geraetedaten!$D$142*COS(RADIANS(2*A156))*(Geraetedaten!$B$157*r_K_D+r_K_SSw*F_SSw/10)/1000+Geraetedaten!$B$155</f>
        <v>537.4</v>
      </c>
      <c r="AZ156" s="201"/>
    </row>
    <row r="157" spans="1:52" ht="13.5" x14ac:dyDescent="0.25">
      <c r="A157" s="16">
        <v>118</v>
      </c>
      <c r="B157" s="16">
        <f t="shared" si="95"/>
        <v>332</v>
      </c>
      <c r="C157" s="19">
        <f t="shared" si="96"/>
        <v>70.1688317010574</v>
      </c>
      <c r="D157" s="17">
        <f t="shared" si="92"/>
        <v>-12049.062921701057</v>
      </c>
      <c r="E157" s="17">
        <f t="shared" si="97"/>
        <v>20146.712068298944</v>
      </c>
      <c r="F157" s="17">
        <f t="shared" si="98"/>
        <v>11776.376048298942</v>
      </c>
      <c r="G157" s="17">
        <f t="shared" si="99"/>
        <v>-19179.804491701056</v>
      </c>
      <c r="H157" s="17">
        <f t="shared" si="93"/>
        <v>11776.376048298942</v>
      </c>
      <c r="I157" s="17">
        <f t="shared" si="100"/>
        <v>4688.3205347233043</v>
      </c>
      <c r="J157" s="20">
        <f>(Geraetedaten!$B$152+(Geraetedaten!$B$153*(Geraetedaten!$B$18+d_y_Sw)/1000))*10</f>
        <v>6051.0442000000003</v>
      </c>
      <c r="K157" s="20">
        <f>(Geraetedaten!$B$165+(Geraetedaten!$B$166*(Geraetedaten!$B$18+d_y_Sw)/1000))*10</f>
        <v>10816.164000000001</v>
      </c>
      <c r="L157" s="20">
        <f>(Geraetedaten!$B$158+(Geraetedaten!$B$159*(Geraetedaten!$B$18+d_y_Sw)/1000)-(Geraetedaten!$B$160*I157/1000))*10</f>
        <v>257.74205518873993</v>
      </c>
      <c r="M157" s="20">
        <f>(Geraetedaten!$B$171+(Geraetedaten!$B$172*(Geraetedaten!$B$18+d_y_Sw)/1000)-(Geraetedaten!$B$173*I157/1000))*10</f>
        <v>715.86841939519809</v>
      </c>
      <c r="N157" s="20">
        <f>IF((H157-J157)/(K157-J157)*(Geraetedaten!$B$174-Geraetedaten!$B$161)&lt;Geraetedaten!$B$174,(H157-J157)/(K157-J157)*(Geraetedaten!$B$174-Geraetedaten!$B$161),Geraetedaten!$B$174)</f>
        <v>400</v>
      </c>
      <c r="O157" s="20">
        <f>N157/Geraetedaten!$B$174*(M157-L157)+L157+C157</f>
        <v>786.03725109625543</v>
      </c>
      <c r="P157" s="20">
        <f t="shared" si="94"/>
        <v>220.05609901336888</v>
      </c>
      <c r="Q157" s="20"/>
      <c r="R157" s="21">
        <f>(N157-Geraetedaten!$B$161)/(Geraetedaten!$B$174-Geraetedaten!$B$161)*(Geraetedaten!$B$175-Geraetedaten!$B$162)+Geraetedaten!$B$162</f>
        <v>41.1</v>
      </c>
      <c r="S157" s="21">
        <f t="shared" si="101"/>
        <v>41.1</v>
      </c>
      <c r="T157" s="21">
        <f t="shared" si="102"/>
        <v>36.289146066501893</v>
      </c>
      <c r="U157" s="88">
        <f t="shared" si="103"/>
        <v>-19.295281230500116</v>
      </c>
      <c r="V157" s="86">
        <f t="shared" si="104"/>
        <v>-11978.89409</v>
      </c>
      <c r="W157" s="85">
        <f t="shared" si="105"/>
        <v>-4225.3239992296285</v>
      </c>
      <c r="X157" s="85">
        <f t="shared" si="106"/>
        <v>-4786.5766715572345</v>
      </c>
      <c r="Y157" s="90">
        <f t="shared" si="107"/>
        <v>4225.3239992296285</v>
      </c>
      <c r="Z157" s="86">
        <f t="shared" si="108"/>
        <v>20216.8809</v>
      </c>
      <c r="AA157" s="85">
        <f t="shared" si="109"/>
        <v>-913.46204712425447</v>
      </c>
      <c r="AB157" s="85">
        <f t="shared" si="110"/>
        <v>2100.6907708443905</v>
      </c>
      <c r="AC157" s="90">
        <f t="shared" si="111"/>
        <v>913.46204712425447</v>
      </c>
      <c r="AD157" s="86">
        <f t="shared" si="112"/>
        <v>11846.544879999999</v>
      </c>
      <c r="AE157" s="85">
        <f t="shared" si="113"/>
        <v>4140.4375383844126</v>
      </c>
      <c r="AF157" s="85">
        <f t="shared" si="114"/>
        <v>4688.3205347233043</v>
      </c>
      <c r="AG157" s="90">
        <f t="shared" si="115"/>
        <v>4140.4375383844126</v>
      </c>
      <c r="AH157" s="86">
        <f t="shared" si="116"/>
        <v>-19109.63566</v>
      </c>
      <c r="AI157" s="85">
        <f t="shared" si="117"/>
        <v>6238.0466047659793</v>
      </c>
      <c r="AJ157" s="85">
        <f t="shared" si="118"/>
        <v>-12984.998899100428</v>
      </c>
      <c r="AK157" s="90">
        <f t="shared" si="119"/>
        <v>6238.0466047659793</v>
      </c>
      <c r="AM157" s="95">
        <f t="shared" si="86"/>
        <v>0</v>
      </c>
      <c r="AN157" s="95">
        <f t="shared" si="87"/>
        <v>0</v>
      </c>
      <c r="AO157" s="95">
        <f t="shared" si="88"/>
        <v>0</v>
      </c>
      <c r="AP157" s="95">
        <f t="shared" si="89"/>
        <v>0</v>
      </c>
      <c r="AQ157"/>
      <c r="AR157" s="95">
        <f t="shared" si="120"/>
        <v>0</v>
      </c>
      <c r="AS157" s="95">
        <f t="shared" si="121"/>
        <v>0</v>
      </c>
      <c r="AT157" s="95">
        <f>Geraetedaten!$B$94*ABS(SIN(RADIANS($A157)))</f>
        <v>135.97392930027473</v>
      </c>
      <c r="AU157" s="95">
        <f>Geraetedaten!$B$94*ABS(COS(RADIANS($A157)))</f>
        <v>72.298620669027201</v>
      </c>
      <c r="AV157" s="95">
        <f>((h_Aw_Sw+Geraetedaten!$B$18)/1000)*(AR157*AT157+AS157*AU157)/100</f>
        <v>0</v>
      </c>
      <c r="AX157" s="18">
        <f>(IF($X$19="ja",1,0))*Geraetedaten!$D$142*COS(RADIANS(2*A157))*(Geraetedaten!$B$154*r_K_D+r_K_SSw*F_SSw/10)/1000+Geraetedaten!$B$152</f>
        <v>594.79999999999995</v>
      </c>
      <c r="AY157" s="18">
        <f>(IF($X$19="ja",1,0))*Geraetedaten!$D$142*COS(RADIANS(2*A157))*(Geraetedaten!$B$157*r_K_D+r_K_SSw*F_SSw/10)/1000+Geraetedaten!$B$155</f>
        <v>537.4</v>
      </c>
      <c r="AZ157" s="201"/>
    </row>
    <row r="158" spans="1:52" ht="13.5" x14ac:dyDescent="0.25">
      <c r="A158" s="16">
        <v>119</v>
      </c>
      <c r="B158" s="16">
        <f t="shared" si="95"/>
        <v>331</v>
      </c>
      <c r="C158" s="19">
        <f t="shared" si="96"/>
        <v>70.098936739242859</v>
      </c>
      <c r="D158" s="17">
        <f t="shared" si="92"/>
        <v>-12163.170966739242</v>
      </c>
      <c r="E158" s="17">
        <f t="shared" si="97"/>
        <v>19444.455113260756</v>
      </c>
      <c r="F158" s="17">
        <f t="shared" si="98"/>
        <v>11889.135383260756</v>
      </c>
      <c r="G158" s="17">
        <f t="shared" si="99"/>
        <v>-18592.399996739245</v>
      </c>
      <c r="H158" s="17">
        <f t="shared" si="93"/>
        <v>11889.135383260756</v>
      </c>
      <c r="I158" s="17">
        <f t="shared" si="100"/>
        <v>4732.9178599012221</v>
      </c>
      <c r="J158" s="20">
        <f>(Geraetedaten!$B$152+(Geraetedaten!$B$153*(Geraetedaten!$B$18+d_y_Sw)/1000))*10</f>
        <v>6051.0442000000003</v>
      </c>
      <c r="K158" s="20">
        <f>(Geraetedaten!$B$165+(Geraetedaten!$B$166*(Geraetedaten!$B$18+d_y_Sw)/1000))*10</f>
        <v>10816.164000000001</v>
      </c>
      <c r="L158" s="20">
        <f>(Geraetedaten!$B$158+(Geraetedaten!$B$159*(Geraetedaten!$B$18+d_y_Sw)/1000)-(Geraetedaten!$B$160*I158/1000))*10</f>
        <v>254.47173333344318</v>
      </c>
      <c r="M158" s="20">
        <f>(Geraetedaten!$B$171+(Geraetedaten!$B$172*(Geraetedaten!$B$18+d_y_Sw)/1000)-(Geraetedaten!$B$173*I158/1000))*10</f>
        <v>712.54859450895401</v>
      </c>
      <c r="N158" s="20">
        <f>IF((H158-J158)/(K158-J158)*(Geraetedaten!$B$174-Geraetedaten!$B$161)&lt;Geraetedaten!$B$174,(H158-J158)/(K158-J158)*(Geraetedaten!$B$174-Geraetedaten!$B$161),Geraetedaten!$B$174)</f>
        <v>400</v>
      </c>
      <c r="O158" s="20">
        <f>N158/Geraetedaten!$B$174*(M158-L158)+L158+C158</f>
        <v>782.64753124819686</v>
      </c>
      <c r="P158" s="20">
        <f t="shared" si="94"/>
        <v>219.37581881811047</v>
      </c>
      <c r="Q158" s="20"/>
      <c r="R158" s="21">
        <f>(N158-Geraetedaten!$B$161)/(Geraetedaten!$B$174-Geraetedaten!$B$161)*(Geraetedaten!$B$175-Geraetedaten!$B$162)+Geraetedaten!$B$162</f>
        <v>41.1</v>
      </c>
      <c r="S158" s="21">
        <f t="shared" si="101"/>
        <v>41.1</v>
      </c>
      <c r="T158" s="21">
        <f t="shared" si="102"/>
        <v>35.946869963429172</v>
      </c>
      <c r="U158" s="88">
        <f t="shared" si="103"/>
        <v>-19.92567539212445</v>
      </c>
      <c r="V158" s="86">
        <f t="shared" si="104"/>
        <v>-12093.072029999999</v>
      </c>
      <c r="W158" s="85">
        <f t="shared" si="105"/>
        <v>-4225.3239992296285</v>
      </c>
      <c r="X158" s="85">
        <f t="shared" si="106"/>
        <v>-4832.2003692708422</v>
      </c>
      <c r="Y158" s="90">
        <f t="shared" si="107"/>
        <v>4225.3239992296285</v>
      </c>
      <c r="Z158" s="86">
        <f t="shared" si="108"/>
        <v>19514.554049999999</v>
      </c>
      <c r="AA158" s="85">
        <f t="shared" si="109"/>
        <v>-913.46204712425447</v>
      </c>
      <c r="AB158" s="85">
        <f t="shared" si="110"/>
        <v>2027.7135626796733</v>
      </c>
      <c r="AC158" s="90">
        <f t="shared" si="111"/>
        <v>913.46204712425447</v>
      </c>
      <c r="AD158" s="86">
        <f t="shared" si="112"/>
        <v>11959.23432</v>
      </c>
      <c r="AE158" s="85">
        <f t="shared" si="113"/>
        <v>4140.4375383844126</v>
      </c>
      <c r="AF158" s="85">
        <f t="shared" si="114"/>
        <v>4732.9178599012221</v>
      </c>
      <c r="AG158" s="90">
        <f t="shared" si="115"/>
        <v>4140.4375383844126</v>
      </c>
      <c r="AH158" s="86">
        <f t="shared" si="116"/>
        <v>-18522.301060000002</v>
      </c>
      <c r="AI158" s="85">
        <f t="shared" si="117"/>
        <v>6238.0466047659793</v>
      </c>
      <c r="AJ158" s="85">
        <f t="shared" si="118"/>
        <v>-12585.904993427366</v>
      </c>
      <c r="AK158" s="90">
        <f t="shared" si="119"/>
        <v>6238.0466047659793</v>
      </c>
      <c r="AM158" s="95">
        <f t="shared" si="86"/>
        <v>0</v>
      </c>
      <c r="AN158" s="95">
        <f t="shared" si="87"/>
        <v>0</v>
      </c>
      <c r="AO158" s="95">
        <f t="shared" si="88"/>
        <v>0</v>
      </c>
      <c r="AP158" s="95">
        <f t="shared" si="89"/>
        <v>0</v>
      </c>
      <c r="AQ158"/>
      <c r="AR158" s="95">
        <f t="shared" si="120"/>
        <v>0</v>
      </c>
      <c r="AS158" s="95">
        <f t="shared" si="121"/>
        <v>0</v>
      </c>
      <c r="AT158" s="95">
        <f>Geraetedaten!$B$94*ABS(SIN(RADIANS($A158)))</f>
        <v>134.69143489946697</v>
      </c>
      <c r="AU158" s="95">
        <f>Geraetedaten!$B$94*ABS(COS(RADIANS($A158)))</f>
        <v>74.660681517935899</v>
      </c>
      <c r="AV158" s="95">
        <f>((h_Aw_Sw+Geraetedaten!$B$18)/1000)*(AR158*AT158+AS158*AU158)/100</f>
        <v>0</v>
      </c>
      <c r="AX158" s="18">
        <f>(IF($X$19="ja",1,0))*Geraetedaten!$D$142*COS(RADIANS(2*A158))*(Geraetedaten!$B$154*r_K_D+r_K_SSw*F_SSw/10)/1000+Geraetedaten!$B$152</f>
        <v>594.79999999999995</v>
      </c>
      <c r="AY158" s="18">
        <f>(IF($X$19="ja",1,0))*Geraetedaten!$D$142*COS(RADIANS(2*A158))*(Geraetedaten!$B$157*r_K_D+r_K_SSw*F_SSw/10)/1000+Geraetedaten!$B$155</f>
        <v>537.4</v>
      </c>
      <c r="AZ158" s="201"/>
    </row>
    <row r="159" spans="1:52" ht="13.5" x14ac:dyDescent="0.25">
      <c r="A159" s="16">
        <v>120</v>
      </c>
      <c r="B159" s="16">
        <f t="shared" si="95"/>
        <v>330</v>
      </c>
      <c r="C159" s="19">
        <f t="shared" si="96"/>
        <v>70.007688962233885</v>
      </c>
      <c r="D159" s="17">
        <f t="shared" si="92"/>
        <v>-12283.211258962234</v>
      </c>
      <c r="E159" s="17">
        <f t="shared" si="97"/>
        <v>18794.931891037766</v>
      </c>
      <c r="F159" s="17">
        <f t="shared" si="98"/>
        <v>12007.794911037767</v>
      </c>
      <c r="G159" s="17">
        <f t="shared" si="99"/>
        <v>-18045.313228962234</v>
      </c>
      <c r="H159" s="17">
        <f t="shared" si="93"/>
        <v>12007.794911037767</v>
      </c>
      <c r="I159" s="17">
        <f t="shared" si="100"/>
        <v>4779.8417605200957</v>
      </c>
      <c r="J159" s="20">
        <f>(Geraetedaten!$B$152+(Geraetedaten!$B$153*(Geraetedaten!$B$18+d_y_Sw)/1000))*10</f>
        <v>6051.0442000000003</v>
      </c>
      <c r="K159" s="20">
        <f>(Geraetedaten!$B$165+(Geraetedaten!$B$166*(Geraetedaten!$B$18+d_y_Sw)/1000))*10</f>
        <v>10816.164000000001</v>
      </c>
      <c r="L159" s="20">
        <f>(Geraetedaten!$B$158+(Geraetedaten!$B$159*(Geraetedaten!$B$18+d_y_Sw)/1000)-(Geraetedaten!$B$160*I159/1000))*10</f>
        <v>251.03080370106119</v>
      </c>
      <c r="M159" s="20">
        <f>(Geraetedaten!$B$171+(Geraetedaten!$B$172*(Geraetedaten!$B$18+d_y_Sw)/1000)-(Geraetedaten!$B$173*I159/1000))*10</f>
        <v>709.05557934688488</v>
      </c>
      <c r="N159" s="20">
        <f>IF((H159-J159)/(K159-J159)*(Geraetedaten!$B$174-Geraetedaten!$B$161)&lt;Geraetedaten!$B$174,(H159-J159)/(K159-J159)*(Geraetedaten!$B$174-Geraetedaten!$B$161),Geraetedaten!$B$174)</f>
        <v>400</v>
      </c>
      <c r="O159" s="20">
        <f>N159/Geraetedaten!$B$174*(M159-L159)+L159+C159</f>
        <v>779.06326830911871</v>
      </c>
      <c r="P159" s="20">
        <f t="shared" si="94"/>
        <v>218.65327626058394</v>
      </c>
      <c r="Q159" s="20"/>
      <c r="R159" s="21">
        <f>(N159-Geraetedaten!$B$161)/(Geraetedaten!$B$174-Geraetedaten!$B$161)*(Geraetedaten!$B$175-Geraetedaten!$B$162)+Geraetedaten!$B$162</f>
        <v>41.1</v>
      </c>
      <c r="S159" s="21">
        <f t="shared" si="101"/>
        <v>41.1</v>
      </c>
      <c r="T159" s="21">
        <f t="shared" si="102"/>
        <v>35.593644095540434</v>
      </c>
      <c r="U159" s="88">
        <f t="shared" si="103"/>
        <v>-20.54999999999999</v>
      </c>
      <c r="V159" s="86">
        <f t="shared" si="104"/>
        <v>-12213.20357</v>
      </c>
      <c r="W159" s="85">
        <f t="shared" si="105"/>
        <v>-4225.3239992296285</v>
      </c>
      <c r="X159" s="85">
        <f t="shared" si="106"/>
        <v>-4880.2030324110947</v>
      </c>
      <c r="Y159" s="90">
        <f t="shared" si="107"/>
        <v>4225.3239992296285</v>
      </c>
      <c r="Z159" s="86">
        <f t="shared" si="108"/>
        <v>18864.939579999998</v>
      </c>
      <c r="AA159" s="85">
        <f t="shared" si="109"/>
        <v>-913.46204712425447</v>
      </c>
      <c r="AB159" s="85">
        <f t="shared" si="110"/>
        <v>1960.2135794142728</v>
      </c>
      <c r="AC159" s="90">
        <f t="shared" si="111"/>
        <v>913.46204712425447</v>
      </c>
      <c r="AD159" s="86">
        <f t="shared" si="112"/>
        <v>12077.802600000001</v>
      </c>
      <c r="AE159" s="85">
        <f t="shared" si="113"/>
        <v>4140.4375383844126</v>
      </c>
      <c r="AF159" s="85">
        <f t="shared" si="114"/>
        <v>4779.8417605200957</v>
      </c>
      <c r="AG159" s="90">
        <f t="shared" si="115"/>
        <v>4140.4375383844126</v>
      </c>
      <c r="AH159" s="86">
        <f t="shared" si="116"/>
        <v>-17975.305540000001</v>
      </c>
      <c r="AI159" s="85">
        <f t="shared" si="117"/>
        <v>6238.0466047659793</v>
      </c>
      <c r="AJ159" s="85">
        <f t="shared" si="118"/>
        <v>-12214.221499223308</v>
      </c>
      <c r="AK159" s="90">
        <f t="shared" si="119"/>
        <v>6238.0466047659793</v>
      </c>
      <c r="AM159" s="95">
        <f t="shared" si="86"/>
        <v>0</v>
      </c>
      <c r="AN159" s="95">
        <f t="shared" si="87"/>
        <v>0</v>
      </c>
      <c r="AO159" s="95">
        <f t="shared" si="88"/>
        <v>0</v>
      </c>
      <c r="AP159" s="95">
        <f t="shared" si="89"/>
        <v>0</v>
      </c>
      <c r="AQ159"/>
      <c r="AR159" s="95">
        <f t="shared" si="120"/>
        <v>0</v>
      </c>
      <c r="AS159" s="95">
        <f t="shared" si="121"/>
        <v>0</v>
      </c>
      <c r="AT159" s="95">
        <f>Geraetedaten!$B$94*ABS(SIN(RADIANS($A159)))</f>
        <v>133.36791218280356</v>
      </c>
      <c r="AU159" s="95">
        <f>Geraetedaten!$B$94*ABS(COS(RADIANS($A159)))</f>
        <v>76.999999999999972</v>
      </c>
      <c r="AV159" s="95">
        <f>((h_Aw_Sw+Geraetedaten!$B$18)/1000)*(AR159*AT159+AS159*AU159)/100</f>
        <v>0</v>
      </c>
      <c r="AX159" s="18">
        <f>(IF($X$19="ja",1,0))*Geraetedaten!$D$142*COS(RADIANS(2*A159))*(Geraetedaten!$B$154*r_K_D+r_K_SSw*F_SSw/10)/1000+Geraetedaten!$B$152</f>
        <v>594.79999999999995</v>
      </c>
      <c r="AY159" s="18">
        <f>(IF($X$19="ja",1,0))*Geraetedaten!$D$142*COS(RADIANS(2*A159))*(Geraetedaten!$B$157*r_K_D+r_K_SSw*F_SSw/10)/1000+Geraetedaten!$B$155</f>
        <v>537.4</v>
      </c>
      <c r="AZ159" s="201"/>
    </row>
    <row r="160" spans="1:52" ht="13.5" x14ac:dyDescent="0.25">
      <c r="A160" s="16">
        <v>121</v>
      </c>
      <c r="B160" s="16">
        <f t="shared" si="95"/>
        <v>329</v>
      </c>
      <c r="C160" s="19">
        <f t="shared" si="96"/>
        <v>69.895116164987314</v>
      </c>
      <c r="D160" s="17">
        <f t="shared" si="92"/>
        <v>-12409.437376164988</v>
      </c>
      <c r="E160" s="17">
        <f t="shared" si="97"/>
        <v>18192.670053835016</v>
      </c>
      <c r="F160" s="17">
        <f t="shared" si="98"/>
        <v>12132.604583835013</v>
      </c>
      <c r="G160" s="17">
        <f t="shared" si="99"/>
        <v>-17534.753226164987</v>
      </c>
      <c r="H160" s="17">
        <f t="shared" si="93"/>
        <v>12132.604583835013</v>
      </c>
      <c r="I160" s="17">
        <f t="shared" si="100"/>
        <v>4829.1911687920074</v>
      </c>
      <c r="J160" s="20">
        <f>(Geraetedaten!$B$152+(Geraetedaten!$B$153*(Geraetedaten!$B$18+d_y_Sw)/1000))*10</f>
        <v>6051.0442000000003</v>
      </c>
      <c r="K160" s="20">
        <f>(Geraetedaten!$B$165+(Geraetedaten!$B$166*(Geraetedaten!$B$18+d_y_Sw)/1000))*10</f>
        <v>10816.164000000001</v>
      </c>
      <c r="L160" s="20">
        <f>(Geraetedaten!$B$158+(Geraetedaten!$B$159*(Geraetedaten!$B$18+d_y_Sw)/1000)-(Geraetedaten!$B$160*I160/1000))*10</f>
        <v>247.41201159248192</v>
      </c>
      <c r="M160" s="20">
        <f>(Geraetedaten!$B$171+(Geraetedaten!$B$172*(Geraetedaten!$B$18+d_y_Sw)/1000)-(Geraetedaten!$B$173*I160/1000))*10</f>
        <v>705.38200939512376</v>
      </c>
      <c r="N160" s="20">
        <f>IF((H160-J160)/(K160-J160)*(Geraetedaten!$B$174-Geraetedaten!$B$161)&lt;Geraetedaten!$B$174,(H160-J160)/(K160-J160)*(Geraetedaten!$B$174-Geraetedaten!$B$161),Geraetedaten!$B$174)</f>
        <v>400</v>
      </c>
      <c r="O160" s="20">
        <f>N160/Geraetedaten!$B$174*(M160-L160)+L160+C160</f>
        <v>775.27712556011102</v>
      </c>
      <c r="P160" s="20">
        <f t="shared" si="94"/>
        <v>217.88670064772228</v>
      </c>
      <c r="Q160" s="20"/>
      <c r="R160" s="21">
        <f>(N160-Geraetedaten!$B$161)/(Geraetedaten!$B$174-Geraetedaten!$B$161)*(Geraetedaten!$B$175-Geraetedaten!$B$162)+Geraetedaten!$B$162</f>
        <v>41.1</v>
      </c>
      <c r="S160" s="21">
        <f t="shared" si="101"/>
        <v>41.1</v>
      </c>
      <c r="T160" s="21">
        <f t="shared" si="102"/>
        <v>35.229576058856821</v>
      </c>
      <c r="U160" s="88">
        <f t="shared" si="103"/>
        <v>-21.168064878803232</v>
      </c>
      <c r="V160" s="86">
        <f t="shared" si="104"/>
        <v>-12339.54226</v>
      </c>
      <c r="W160" s="85">
        <f t="shared" si="105"/>
        <v>-4225.3239992296285</v>
      </c>
      <c r="X160" s="85">
        <f t="shared" si="106"/>
        <v>-4930.6859778354556</v>
      </c>
      <c r="Y160" s="90">
        <f t="shared" si="107"/>
        <v>4225.3239992296285</v>
      </c>
      <c r="Z160" s="86">
        <f t="shared" si="108"/>
        <v>18262.565170000002</v>
      </c>
      <c r="AA160" s="85">
        <f t="shared" si="109"/>
        <v>-913.46204712425447</v>
      </c>
      <c r="AB160" s="85">
        <f t="shared" si="110"/>
        <v>1897.6222046763628</v>
      </c>
      <c r="AC160" s="90">
        <f t="shared" si="111"/>
        <v>913.46204712425447</v>
      </c>
      <c r="AD160" s="86">
        <f t="shared" si="112"/>
        <v>12202.4997</v>
      </c>
      <c r="AE160" s="85">
        <f t="shared" si="113"/>
        <v>4140.4375383844126</v>
      </c>
      <c r="AF160" s="85">
        <f t="shared" si="114"/>
        <v>4829.1911687920074</v>
      </c>
      <c r="AG160" s="90">
        <f t="shared" si="115"/>
        <v>4140.4375383844126</v>
      </c>
      <c r="AH160" s="86">
        <f t="shared" si="116"/>
        <v>-17464.858110000001</v>
      </c>
      <c r="AI160" s="85">
        <f t="shared" si="117"/>
        <v>6238.0466047659793</v>
      </c>
      <c r="AJ160" s="85">
        <f t="shared" si="118"/>
        <v>-11867.372428258193</v>
      </c>
      <c r="AK160" s="90">
        <f t="shared" si="119"/>
        <v>6238.0466047659793</v>
      </c>
      <c r="AM160" s="95">
        <f t="shared" si="86"/>
        <v>0</v>
      </c>
      <c r="AN160" s="95">
        <f t="shared" si="87"/>
        <v>0</v>
      </c>
      <c r="AO160" s="95">
        <f t="shared" si="88"/>
        <v>0</v>
      </c>
      <c r="AP160" s="95">
        <f t="shared" si="89"/>
        <v>0</v>
      </c>
      <c r="AQ160"/>
      <c r="AR160" s="95">
        <f t="shared" si="120"/>
        <v>0</v>
      </c>
      <c r="AS160" s="95">
        <f t="shared" si="121"/>
        <v>0</v>
      </c>
      <c r="AT160" s="95">
        <f>Geraetedaten!$B$94*ABS(SIN(RADIANS($A160)))</f>
        <v>132.00376430812531</v>
      </c>
      <c r="AU160" s="95">
        <f>Geraetedaten!$B$94*ABS(COS(RADIANS($A160)))</f>
        <v>79.315863536148356</v>
      </c>
      <c r="AV160" s="95">
        <f>((h_Aw_Sw+Geraetedaten!$B$18)/1000)*(AR160*AT160+AS160*AU160)/100</f>
        <v>0</v>
      </c>
      <c r="AX160" s="18">
        <f>(IF($X$19="ja",1,0))*Geraetedaten!$D$142*COS(RADIANS(2*A160))*(Geraetedaten!$B$154*r_K_D+r_K_SSw*F_SSw/10)/1000+Geraetedaten!$B$152</f>
        <v>594.79999999999995</v>
      </c>
      <c r="AY160" s="18">
        <f>(IF($X$19="ja",1,0))*Geraetedaten!$D$142*COS(RADIANS(2*A160))*(Geraetedaten!$B$157*r_K_D+r_K_SSw*F_SSw/10)/1000+Geraetedaten!$B$155</f>
        <v>537.4</v>
      </c>
      <c r="AZ160" s="201"/>
    </row>
    <row r="161" spans="1:52" ht="13.5" x14ac:dyDescent="0.25">
      <c r="A161" s="16">
        <v>122</v>
      </c>
      <c r="B161" s="16">
        <f t="shared" si="95"/>
        <v>328</v>
      </c>
      <c r="C161" s="19">
        <f t="shared" si="96"/>
        <v>69.761252638267678</v>
      </c>
      <c r="D161" s="17">
        <f t="shared" si="92"/>
        <v>-12542.122252638268</v>
      </c>
      <c r="E161" s="17">
        <f t="shared" si="97"/>
        <v>17632.933437361731</v>
      </c>
      <c r="F161" s="17">
        <f t="shared" si="98"/>
        <v>12263.833407361733</v>
      </c>
      <c r="G161" s="17">
        <f t="shared" si="99"/>
        <v>-17057.393622638268</v>
      </c>
      <c r="H161" s="17">
        <f t="shared" si="93"/>
        <v>12263.833407361733</v>
      </c>
      <c r="I161" s="17">
        <f t="shared" si="100"/>
        <v>4881.0725549453855</v>
      </c>
      <c r="J161" s="20">
        <f>(Geraetedaten!$B$152+(Geraetedaten!$B$153*(Geraetedaten!$B$18+d_y_Sw)/1000))*10</f>
        <v>6051.0442000000003</v>
      </c>
      <c r="K161" s="20">
        <f>(Geraetedaten!$B$165+(Geraetedaten!$B$166*(Geraetedaten!$B$18+d_y_Sw)/1000))*10</f>
        <v>10816.164000000001</v>
      </c>
      <c r="L161" s="20">
        <f>(Geraetedaten!$B$158+(Geraetedaten!$B$159*(Geraetedaten!$B$18+d_y_Sw)/1000)-(Geraetedaten!$B$160*I161/1000))*10</f>
        <v>243.60754954585468</v>
      </c>
      <c r="M161" s="20">
        <f>(Geraetedaten!$B$171+(Geraetedaten!$B$172*(Geraetedaten!$B$18+d_y_Sw)/1000)-(Geraetedaten!$B$173*I161/1000))*10</f>
        <v>701.5199590098664</v>
      </c>
      <c r="N161" s="20">
        <f>IF((H161-J161)/(K161-J161)*(Geraetedaten!$B$174-Geraetedaten!$B$161)&lt;Geraetedaten!$B$174,(H161-J161)/(K161-J161)*(Geraetedaten!$B$174-Geraetedaten!$B$161),Geraetedaten!$B$174)</f>
        <v>400</v>
      </c>
      <c r="O161" s="20">
        <f>N161/Geraetedaten!$B$174*(M161-L161)+L161+C161</f>
        <v>771.2812116481341</v>
      </c>
      <c r="P161" s="20">
        <f t="shared" si="94"/>
        <v>217.07417511418646</v>
      </c>
      <c r="Q161" s="20"/>
      <c r="R161" s="21">
        <f>(N161-Geraetedaten!$B$161)/(Geraetedaten!$B$174-Geraetedaten!$B$161)*(Geraetedaten!$B$175-Geraetedaten!$B$162)+Geraetedaten!$B$162</f>
        <v>41.1</v>
      </c>
      <c r="S161" s="21">
        <f t="shared" si="101"/>
        <v>41.1</v>
      </c>
      <c r="T161" s="21">
        <f t="shared" si="102"/>
        <v>34.85477675202911</v>
      </c>
      <c r="U161" s="88">
        <f t="shared" si="103"/>
        <v>-21.779681759984719</v>
      </c>
      <c r="V161" s="86">
        <f t="shared" si="104"/>
        <v>-12472.361000000001</v>
      </c>
      <c r="W161" s="85">
        <f t="shared" si="105"/>
        <v>-4225.3239992296285</v>
      </c>
      <c r="X161" s="85">
        <f t="shared" si="106"/>
        <v>-4983.7582445105854</v>
      </c>
      <c r="Y161" s="90">
        <f t="shared" si="107"/>
        <v>4225.3239992296285</v>
      </c>
      <c r="Z161" s="86">
        <f t="shared" si="108"/>
        <v>17702.69469</v>
      </c>
      <c r="AA161" s="85">
        <f t="shared" si="109"/>
        <v>-913.46204712425447</v>
      </c>
      <c r="AB161" s="85">
        <f t="shared" si="110"/>
        <v>1839.4473182617064</v>
      </c>
      <c r="AC161" s="90">
        <f t="shared" si="111"/>
        <v>913.46204712425447</v>
      </c>
      <c r="AD161" s="86">
        <f t="shared" si="112"/>
        <v>12333.594660000001</v>
      </c>
      <c r="AE161" s="85">
        <f t="shared" si="113"/>
        <v>4140.4375383844126</v>
      </c>
      <c r="AF161" s="85">
        <f t="shared" si="114"/>
        <v>4881.0725549453855</v>
      </c>
      <c r="AG161" s="90">
        <f t="shared" si="115"/>
        <v>4140.4375383844126</v>
      </c>
      <c r="AH161" s="86">
        <f t="shared" si="116"/>
        <v>-16987.632369999999</v>
      </c>
      <c r="AI161" s="85">
        <f t="shared" si="117"/>
        <v>6238.0466047659793</v>
      </c>
      <c r="AJ161" s="85">
        <f t="shared" si="118"/>
        <v>-11543.097504851336</v>
      </c>
      <c r="AK161" s="90">
        <f t="shared" si="119"/>
        <v>6238.0466047659793</v>
      </c>
      <c r="AM161" s="95">
        <f t="shared" si="86"/>
        <v>0</v>
      </c>
      <c r="AN161" s="95">
        <f t="shared" si="87"/>
        <v>0</v>
      </c>
      <c r="AO161" s="95">
        <f t="shared" si="88"/>
        <v>0</v>
      </c>
      <c r="AP161" s="95">
        <f t="shared" si="89"/>
        <v>0</v>
      </c>
      <c r="AQ161"/>
      <c r="AR161" s="95">
        <f t="shared" si="120"/>
        <v>0</v>
      </c>
      <c r="AS161" s="95">
        <f t="shared" si="121"/>
        <v>0</v>
      </c>
      <c r="AT161" s="95">
        <f>Geraetedaten!$B$94*ABS(SIN(RADIANS($A161)))</f>
        <v>130.59940680808961</v>
      </c>
      <c r="AU161" s="95">
        <f>Geraetedaten!$B$94*ABS(COS(RADIANS($A161)))</f>
        <v>81.607566691913533</v>
      </c>
      <c r="AV161" s="95">
        <f>((h_Aw_Sw+Geraetedaten!$B$18)/1000)*(AR161*AT161+AS161*AU161)/100</f>
        <v>0</v>
      </c>
      <c r="AX161" s="18">
        <f>(IF($X$19="ja",1,0))*Geraetedaten!$D$142*COS(RADIANS(2*A161))*(Geraetedaten!$B$154*r_K_D+r_K_SSw*F_SSw/10)/1000+Geraetedaten!$B$152</f>
        <v>594.79999999999995</v>
      </c>
      <c r="AY161" s="18">
        <f>(IF($X$19="ja",1,0))*Geraetedaten!$D$142*COS(RADIANS(2*A161))*(Geraetedaten!$B$157*r_K_D+r_K_SSw*F_SSw/10)/1000+Geraetedaten!$B$155</f>
        <v>537.4</v>
      </c>
      <c r="AZ161" s="201"/>
    </row>
    <row r="162" spans="1:52" ht="13.5" x14ac:dyDescent="0.25">
      <c r="A162" s="16">
        <v>123</v>
      </c>
      <c r="B162" s="16">
        <f t="shared" si="95"/>
        <v>327</v>
      </c>
      <c r="C162" s="19">
        <f t="shared" si="96"/>
        <v>69.606139158202012</v>
      </c>
      <c r="D162" s="17">
        <f t="shared" si="92"/>
        <v>-12681.559739158203</v>
      </c>
      <c r="E162" s="17">
        <f t="shared" si="97"/>
        <v>17111.602480841801</v>
      </c>
      <c r="F162" s="17">
        <f t="shared" si="98"/>
        <v>12401.771000841798</v>
      </c>
      <c r="G162" s="17">
        <f t="shared" si="99"/>
        <v>-16610.303839158201</v>
      </c>
      <c r="H162" s="17">
        <f t="shared" si="93"/>
        <v>12401.771000841798</v>
      </c>
      <c r="I162" s="17">
        <f t="shared" si="100"/>
        <v>4935.6005594526341</v>
      </c>
      <c r="J162" s="20">
        <f>(Geraetedaten!$B$152+(Geraetedaten!$B$153*(Geraetedaten!$B$18+d_y_Sw)/1000))*10</f>
        <v>6051.0442000000003</v>
      </c>
      <c r="K162" s="20">
        <f>(Geraetedaten!$B$165+(Geraetedaten!$B$166*(Geraetedaten!$B$18+d_y_Sw)/1000))*10</f>
        <v>10816.164000000001</v>
      </c>
      <c r="L162" s="20">
        <f>(Geraetedaten!$B$158+(Geraetedaten!$B$159*(Geraetedaten!$B$18+d_y_Sw)/1000)-(Geraetedaten!$B$160*I162/1000))*10</f>
        <v>239.60901097533815</v>
      </c>
      <c r="M162" s="20">
        <f>(Geraetedaten!$B$171+(Geraetedaten!$B$172*(Geraetedaten!$B$18+d_y_Sw)/1000)-(Geraetedaten!$B$173*I162/1000))*10</f>
        <v>697.46089435434669</v>
      </c>
      <c r="N162" s="20">
        <f>IF((H162-J162)/(K162-J162)*(Geraetedaten!$B$174-Geraetedaten!$B$161)&lt;Geraetedaten!$B$174,(H162-J162)/(K162-J162)*(Geraetedaten!$B$174-Geraetedaten!$B$161),Geraetedaten!$B$174)</f>
        <v>400</v>
      </c>
      <c r="O162" s="20">
        <f>N162/Geraetedaten!$B$174*(M162-L162)+L162+C162</f>
        <v>767.06703351254873</v>
      </c>
      <c r="P162" s="20">
        <f t="shared" si="94"/>
        <v>216.21362269479349</v>
      </c>
      <c r="Q162" s="20"/>
      <c r="R162" s="21">
        <f>(N162-Geraetedaten!$B$161)/(Geraetedaten!$B$174-Geraetedaten!$B$161)*(Geraetedaten!$B$175-Geraetedaten!$B$162)+Geraetedaten!$B$162</f>
        <v>41.1</v>
      </c>
      <c r="S162" s="21">
        <f t="shared" si="101"/>
        <v>41.1</v>
      </c>
      <c r="T162" s="21">
        <f t="shared" si="102"/>
        <v>34.469360342556925</v>
      </c>
      <c r="U162" s="88">
        <f t="shared" si="103"/>
        <v>-22.384664339117613</v>
      </c>
      <c r="V162" s="86">
        <f t="shared" si="104"/>
        <v>-12611.953600000001</v>
      </c>
      <c r="W162" s="85">
        <f t="shared" si="105"/>
        <v>-4225.3239992296285</v>
      </c>
      <c r="X162" s="85">
        <f t="shared" si="106"/>
        <v>-5039.5372419121222</v>
      </c>
      <c r="Y162" s="90">
        <f t="shared" si="107"/>
        <v>4225.3239992296285</v>
      </c>
      <c r="Z162" s="86">
        <f t="shared" si="108"/>
        <v>17181.208620000001</v>
      </c>
      <c r="AA162" s="85">
        <f t="shared" si="109"/>
        <v>-913.46204712425447</v>
      </c>
      <c r="AB162" s="85">
        <f t="shared" si="110"/>
        <v>1785.2608703848909</v>
      </c>
      <c r="AC162" s="90">
        <f t="shared" si="111"/>
        <v>913.46204712425447</v>
      </c>
      <c r="AD162" s="86">
        <f t="shared" si="112"/>
        <v>12471.377140000001</v>
      </c>
      <c r="AE162" s="85">
        <f t="shared" si="113"/>
        <v>4140.4375383844126</v>
      </c>
      <c r="AF162" s="85">
        <f t="shared" si="114"/>
        <v>4935.6005594526341</v>
      </c>
      <c r="AG162" s="90">
        <f t="shared" si="115"/>
        <v>4140.4375383844126</v>
      </c>
      <c r="AH162" s="86">
        <f t="shared" si="116"/>
        <v>-16540.697700000001</v>
      </c>
      <c r="AI162" s="85">
        <f t="shared" si="117"/>
        <v>6238.0466047659793</v>
      </c>
      <c r="AJ162" s="85">
        <f t="shared" si="118"/>
        <v>-11239.405358956652</v>
      </c>
      <c r="AK162" s="90">
        <f t="shared" si="119"/>
        <v>6238.0466047659793</v>
      </c>
      <c r="AM162" s="95">
        <f t="shared" si="86"/>
        <v>0</v>
      </c>
      <c r="AN162" s="95">
        <f t="shared" si="87"/>
        <v>0</v>
      </c>
      <c r="AO162" s="95">
        <f t="shared" si="88"/>
        <v>0</v>
      </c>
      <c r="AP162" s="95">
        <f t="shared" si="89"/>
        <v>0</v>
      </c>
      <c r="AQ162"/>
      <c r="AR162" s="95">
        <f t="shared" si="120"/>
        <v>0</v>
      </c>
      <c r="AS162" s="95">
        <f t="shared" si="121"/>
        <v>0</v>
      </c>
      <c r="AT162" s="95">
        <f>Geraetedaten!$B$94*ABS(SIN(RADIANS($A162)))</f>
        <v>129.15526746359529</v>
      </c>
      <c r="AU162" s="95">
        <f>Geraetedaten!$B$94*ABS(COS(RADIANS($A162)))</f>
        <v>83.874411392314173</v>
      </c>
      <c r="AV162" s="95">
        <f>((h_Aw_Sw+Geraetedaten!$B$18)/1000)*(AR162*AT162+AS162*AU162)/100</f>
        <v>0</v>
      </c>
      <c r="AX162" s="18">
        <f>(IF($X$19="ja",1,0))*Geraetedaten!$D$142*COS(RADIANS(2*A162))*(Geraetedaten!$B$154*r_K_D+r_K_SSw*F_SSw/10)/1000+Geraetedaten!$B$152</f>
        <v>594.79999999999995</v>
      </c>
      <c r="AY162" s="18">
        <f>(IF($X$19="ja",1,0))*Geraetedaten!$D$142*COS(RADIANS(2*A162))*(Geraetedaten!$B$157*r_K_D+r_K_SSw*F_SSw/10)/1000+Geraetedaten!$B$155</f>
        <v>537.4</v>
      </c>
      <c r="AZ162" s="201"/>
    </row>
    <row r="163" spans="1:52" ht="13.5" x14ac:dyDescent="0.25">
      <c r="A163" s="16">
        <v>124</v>
      </c>
      <c r="B163" s="16">
        <f t="shared" si="95"/>
        <v>326</v>
      </c>
      <c r="C163" s="19">
        <f t="shared" si="96"/>
        <v>69.429822973858933</v>
      </c>
      <c r="D163" s="17">
        <f t="shared" si="92"/>
        <v>-12828.06647297386</v>
      </c>
      <c r="E163" s="17">
        <f t="shared" si="97"/>
        <v>16625.07723702614</v>
      </c>
      <c r="F163" s="17">
        <f t="shared" si="98"/>
        <v>12546.729427026141</v>
      </c>
      <c r="G163" s="17">
        <f t="shared" si="99"/>
        <v>-16190.892032973859</v>
      </c>
      <c r="H163" s="17">
        <f t="shared" si="93"/>
        <v>12546.729427026141</v>
      </c>
      <c r="I163" s="17">
        <f t="shared" si="100"/>
        <v>4992.8986944238959</v>
      </c>
      <c r="J163" s="20">
        <f>(Geraetedaten!$B$152+(Geraetedaten!$B$153*(Geraetedaten!$B$18+d_y_Sw)/1000))*10</f>
        <v>6051.0442000000003</v>
      </c>
      <c r="K163" s="20">
        <f>(Geraetedaten!$B$165+(Geraetedaten!$B$166*(Geraetedaten!$B$18+d_y_Sw)/1000))*10</f>
        <v>10816.164000000001</v>
      </c>
      <c r="L163" s="20">
        <f>(Geraetedaten!$B$158+(Geraetedaten!$B$159*(Geraetedaten!$B$18+d_y_Sw)/1000)-(Geraetedaten!$B$160*I163/1000))*10</f>
        <v>235.40733873789554</v>
      </c>
      <c r="M163" s="20">
        <f>(Geraetedaten!$B$171+(Geraetedaten!$B$172*(Geraetedaten!$B$18+d_y_Sw)/1000)-(Geraetedaten!$B$173*I163/1000))*10</f>
        <v>693.19562118708609</v>
      </c>
      <c r="N163" s="20">
        <f>IF((H163-J163)/(K163-J163)*(Geraetedaten!$B$174-Geraetedaten!$B$161)&lt;Geraetedaten!$B$174,(H163-J163)/(K163-J163)*(Geraetedaten!$B$174-Geraetedaten!$B$161),Geraetedaten!$B$174)</f>
        <v>400</v>
      </c>
      <c r="O163" s="20">
        <f>N163/Geraetedaten!$B$174*(M163-L163)+L163+C163</f>
        <v>762.62544416094499</v>
      </c>
      <c r="P163" s="20">
        <f t="shared" si="94"/>
        <v>215.30279070733138</v>
      </c>
      <c r="Q163" s="20"/>
      <c r="R163" s="21">
        <f>(N163-Geraetedaten!$B$161)/(Geraetedaten!$B$174-Geraetedaten!$B$161)*(Geraetedaten!$B$175-Geraetedaten!$B$162)+Geraetedaten!$B$162</f>
        <v>41.1</v>
      </c>
      <c r="S163" s="21">
        <f t="shared" si="101"/>
        <v>41.1</v>
      </c>
      <c r="T163" s="21">
        <f t="shared" si="102"/>
        <v>34.073444232012214</v>
      </c>
      <c r="U163" s="88">
        <f t="shared" si="103"/>
        <v>-22.982828332647689</v>
      </c>
      <c r="V163" s="86">
        <f t="shared" si="104"/>
        <v>-12758.63665</v>
      </c>
      <c r="W163" s="85">
        <f t="shared" si="105"/>
        <v>-4225.3239992296285</v>
      </c>
      <c r="X163" s="85">
        <f t="shared" si="106"/>
        <v>-5098.1494694093772</v>
      </c>
      <c r="Y163" s="90">
        <f t="shared" si="107"/>
        <v>4225.3239992296285</v>
      </c>
      <c r="Z163" s="86">
        <f t="shared" si="108"/>
        <v>16694.50706</v>
      </c>
      <c r="AA163" s="85">
        <f t="shared" si="109"/>
        <v>-913.46204712425447</v>
      </c>
      <c r="AB163" s="85">
        <f t="shared" si="110"/>
        <v>1734.6888023821414</v>
      </c>
      <c r="AC163" s="90">
        <f t="shared" si="111"/>
        <v>913.46204712425447</v>
      </c>
      <c r="AD163" s="86">
        <f t="shared" si="112"/>
        <v>12616.159250000001</v>
      </c>
      <c r="AE163" s="85">
        <f t="shared" si="113"/>
        <v>4140.4375383844126</v>
      </c>
      <c r="AF163" s="85">
        <f t="shared" si="114"/>
        <v>4992.8986944238959</v>
      </c>
      <c r="AG163" s="90">
        <f t="shared" si="115"/>
        <v>4140.4375383844126</v>
      </c>
      <c r="AH163" s="86">
        <f t="shared" si="116"/>
        <v>-16121.46221</v>
      </c>
      <c r="AI163" s="85">
        <f t="shared" si="117"/>
        <v>6238.0466047659793</v>
      </c>
      <c r="AJ163" s="85">
        <f t="shared" si="118"/>
        <v>-10954.534810820989</v>
      </c>
      <c r="AK163" s="90">
        <f t="shared" si="119"/>
        <v>6238.0466047659793</v>
      </c>
      <c r="AM163" s="95">
        <f t="shared" si="86"/>
        <v>0</v>
      </c>
      <c r="AN163" s="95">
        <f t="shared" si="87"/>
        <v>0</v>
      </c>
      <c r="AO163" s="95">
        <f t="shared" si="88"/>
        <v>0</v>
      </c>
      <c r="AP163" s="95">
        <f t="shared" si="89"/>
        <v>0</v>
      </c>
      <c r="AQ163"/>
      <c r="AR163" s="95">
        <f t="shared" si="120"/>
        <v>0</v>
      </c>
      <c r="AS163" s="95">
        <f t="shared" si="121"/>
        <v>0</v>
      </c>
      <c r="AT163" s="95">
        <f>Geraetedaten!$B$94*ABS(SIN(RADIANS($A163)))</f>
        <v>127.67178617347643</v>
      </c>
      <c r="AU163" s="95">
        <f>Geraetedaten!$B$94*ABS(COS(RADIANS($A163)))</f>
        <v>86.115707134494983</v>
      </c>
      <c r="AV163" s="95">
        <f>((h_Aw_Sw+Geraetedaten!$B$18)/1000)*(AR163*AT163+AS163*AU163)/100</f>
        <v>0</v>
      </c>
      <c r="AX163" s="18">
        <f>(IF($X$19="ja",1,0))*Geraetedaten!$D$142*COS(RADIANS(2*A163))*(Geraetedaten!$B$154*r_K_D+r_K_SSw*F_SSw/10)/1000+Geraetedaten!$B$152</f>
        <v>594.79999999999995</v>
      </c>
      <c r="AY163" s="18">
        <f>(IF($X$19="ja",1,0))*Geraetedaten!$D$142*COS(RADIANS(2*A163))*(Geraetedaten!$B$157*r_K_D+r_K_SSw*F_SSw/10)/1000+Geraetedaten!$B$155</f>
        <v>537.4</v>
      </c>
      <c r="AZ163" s="201"/>
    </row>
    <row r="164" spans="1:52" ht="13.5" x14ac:dyDescent="0.25">
      <c r="A164" s="16">
        <v>125</v>
      </c>
      <c r="B164" s="16">
        <f t="shared" si="95"/>
        <v>325</v>
      </c>
      <c r="C164" s="19">
        <f t="shared" si="96"/>
        <v>69.232357792856234</v>
      </c>
      <c r="D164" s="17">
        <f t="shared" si="92"/>
        <v>-12981.983837792857</v>
      </c>
      <c r="E164" s="17">
        <f t="shared" si="97"/>
        <v>16170.198102207143</v>
      </c>
      <c r="F164" s="17">
        <f t="shared" si="98"/>
        <v>12699.045102207143</v>
      </c>
      <c r="G164" s="17">
        <f t="shared" si="99"/>
        <v>-15796.857747792856</v>
      </c>
      <c r="H164" s="17">
        <f t="shared" si="93"/>
        <v>12699.045102207143</v>
      </c>
      <c r="I164" s="17">
        <f t="shared" si="100"/>
        <v>5053.1001228840551</v>
      </c>
      <c r="J164" s="20">
        <f>(Geraetedaten!$B$152+(Geraetedaten!$B$153*(Geraetedaten!$B$18+d_y_Sw)/1000))*10</f>
        <v>6051.0442000000003</v>
      </c>
      <c r="K164" s="20">
        <f>(Geraetedaten!$B$165+(Geraetedaten!$B$166*(Geraetedaten!$B$18+d_y_Sw)/1000))*10</f>
        <v>10816.164000000001</v>
      </c>
      <c r="L164" s="20">
        <f>(Geraetedaten!$B$158+(Geraetedaten!$B$159*(Geraetedaten!$B$18+d_y_Sw)/1000)-(Geraetedaten!$B$160*I164/1000))*10</f>
        <v>230.99276798891211</v>
      </c>
      <c r="M164" s="20">
        <f>(Geraetedaten!$B$171+(Geraetedaten!$B$172*(Geraetedaten!$B$18+d_y_Sw)/1000)-(Geraetedaten!$B$173*I164/1000))*10</f>
        <v>688.71422685251173</v>
      </c>
      <c r="N164" s="20">
        <f>IF((H164-J164)/(K164-J164)*(Geraetedaten!$B$174-Geraetedaten!$B$161)&lt;Geraetedaten!$B$174,(H164-J164)/(K164-J164)*(Geraetedaten!$B$174-Geraetedaten!$B$161),Geraetedaten!$B$174)</f>
        <v>400</v>
      </c>
      <c r="O164" s="20">
        <f>N164/Geraetedaten!$B$174*(M164-L164)+L164+C164</f>
        <v>757.94658464536792</v>
      </c>
      <c r="P164" s="20">
        <f t="shared" si="94"/>
        <v>214.33923320719808</v>
      </c>
      <c r="Q164" s="20"/>
      <c r="R164" s="21">
        <f>(N164-Geraetedaten!$B$161)/(Geraetedaten!$B$174-Geraetedaten!$B$161)*(Geraetedaten!$B$175-Geraetedaten!$B$162)+Geraetedaten!$B$162</f>
        <v>41.1</v>
      </c>
      <c r="S164" s="21">
        <f t="shared" si="101"/>
        <v>41.1</v>
      </c>
      <c r="T164" s="21">
        <f t="shared" si="102"/>
        <v>33.667149020277563</v>
      </c>
      <c r="U164" s="88">
        <f t="shared" si="103"/>
        <v>-23.573991534027996</v>
      </c>
      <c r="V164" s="86">
        <f t="shared" si="104"/>
        <v>-12912.751480000001</v>
      </c>
      <c r="W164" s="85">
        <f t="shared" si="105"/>
        <v>-4225.3239992296285</v>
      </c>
      <c r="X164" s="85">
        <f t="shared" si="106"/>
        <v>-5159.7313155897655</v>
      </c>
      <c r="Y164" s="90">
        <f t="shared" si="107"/>
        <v>4225.3239992296285</v>
      </c>
      <c r="Z164" s="86">
        <f t="shared" si="108"/>
        <v>16239.43046</v>
      </c>
      <c r="AA164" s="85">
        <f t="shared" si="109"/>
        <v>-913.46204712425447</v>
      </c>
      <c r="AB164" s="85">
        <f t="shared" si="110"/>
        <v>1687.4028127223219</v>
      </c>
      <c r="AC164" s="90">
        <f t="shared" si="111"/>
        <v>913.46204712425447</v>
      </c>
      <c r="AD164" s="86">
        <f t="shared" si="112"/>
        <v>12768.277459999999</v>
      </c>
      <c r="AE164" s="85">
        <f t="shared" si="113"/>
        <v>4140.4375383844126</v>
      </c>
      <c r="AF164" s="85">
        <f t="shared" si="114"/>
        <v>5053.1001228840551</v>
      </c>
      <c r="AG164" s="90">
        <f t="shared" si="115"/>
        <v>4140.4375383844126</v>
      </c>
      <c r="AH164" s="86">
        <f t="shared" si="116"/>
        <v>-15727.625389999999</v>
      </c>
      <c r="AI164" s="85">
        <f t="shared" si="117"/>
        <v>6238.0466047659793</v>
      </c>
      <c r="AJ164" s="85">
        <f t="shared" si="118"/>
        <v>-10686.922661194352</v>
      </c>
      <c r="AK164" s="90">
        <f t="shared" si="119"/>
        <v>6238.0466047659793</v>
      </c>
      <c r="AM164" s="95">
        <f t="shared" si="86"/>
        <v>0</v>
      </c>
      <c r="AN164" s="95">
        <f t="shared" si="87"/>
        <v>0</v>
      </c>
      <c r="AO164" s="95">
        <f t="shared" si="88"/>
        <v>0</v>
      </c>
      <c r="AP164" s="95">
        <f t="shared" si="89"/>
        <v>0</v>
      </c>
      <c r="AQ164"/>
      <c r="AR164" s="95">
        <f t="shared" si="120"/>
        <v>0</v>
      </c>
      <c r="AS164" s="95">
        <f t="shared" si="121"/>
        <v>0</v>
      </c>
      <c r="AT164" s="95">
        <f>Geraetedaten!$B$94*ABS(SIN(RADIANS($A164)))</f>
        <v>126.14941482050472</v>
      </c>
      <c r="AU164" s="95">
        <f>Geraetedaten!$B$94*ABS(COS(RADIANS($A164)))</f>
        <v>88.330771198061115</v>
      </c>
      <c r="AV164" s="95">
        <f>((h_Aw_Sw+Geraetedaten!$B$18)/1000)*(AR164*AT164+AS164*AU164)/100</f>
        <v>0</v>
      </c>
      <c r="AX164" s="18">
        <f>(IF($X$19="ja",1,0))*Geraetedaten!$D$142*COS(RADIANS(2*A164))*(Geraetedaten!$B$154*r_K_D+r_K_SSw*F_SSw/10)/1000+Geraetedaten!$B$152</f>
        <v>594.79999999999995</v>
      </c>
      <c r="AY164" s="18">
        <f>(IF($X$19="ja",1,0))*Geraetedaten!$D$142*COS(RADIANS(2*A164))*(Geraetedaten!$B$157*r_K_D+r_K_SSw*F_SSw/10)/1000+Geraetedaten!$B$155</f>
        <v>537.4</v>
      </c>
      <c r="AZ164" s="201"/>
    </row>
    <row r="165" spans="1:52" ht="13.5" x14ac:dyDescent="0.25">
      <c r="A165" s="16">
        <v>126</v>
      </c>
      <c r="B165" s="16">
        <f t="shared" si="95"/>
        <v>324</v>
      </c>
      <c r="C165" s="19">
        <f t="shared" si="96"/>
        <v>69.013803765000915</v>
      </c>
      <c r="D165" s="17">
        <f t="shared" si="92"/>
        <v>-13143.680173765002</v>
      </c>
      <c r="E165" s="17">
        <f t="shared" si="97"/>
        <v>15744.180656234999</v>
      </c>
      <c r="F165" s="17">
        <f t="shared" si="98"/>
        <v>12859.081026234999</v>
      </c>
      <c r="G165" s="17">
        <f t="shared" si="99"/>
        <v>-15426.152233765002</v>
      </c>
      <c r="H165" s="17">
        <f t="shared" si="93"/>
        <v>12859.081026234999</v>
      </c>
      <c r="I165" s="17">
        <f t="shared" si="100"/>
        <v>5116.348525946325</v>
      </c>
      <c r="J165" s="20">
        <f>(Geraetedaten!$B$152+(Geraetedaten!$B$153*(Geraetedaten!$B$18+d_y_Sw)/1000))*10</f>
        <v>6051.0442000000003</v>
      </c>
      <c r="K165" s="20">
        <f>(Geraetedaten!$B$165+(Geraetedaten!$B$166*(Geraetedaten!$B$18+d_y_Sw)/1000))*10</f>
        <v>10816.164000000001</v>
      </c>
      <c r="L165" s="20">
        <f>(Geraetedaten!$B$158+(Geraetedaten!$B$159*(Geraetedaten!$B$18+d_y_Sw)/1000)-(Geraetedaten!$B$160*I165/1000))*10</f>
        <v>226.35476259235583</v>
      </c>
      <c r="M165" s="20">
        <f>(Geraetedaten!$B$171+(Geraetedaten!$B$172*(Geraetedaten!$B$18+d_y_Sw)/1000)-(Geraetedaten!$B$173*I165/1000))*10</f>
        <v>684.00601572855635</v>
      </c>
      <c r="N165" s="20">
        <f>IF((H165-J165)/(K165-J165)*(Geraetedaten!$B$174-Geraetedaten!$B$161)&lt;Geraetedaten!$B$174,(H165-J165)/(K165-J165)*(Geraetedaten!$B$174-Geraetedaten!$B$161),Geraetedaten!$B$174)</f>
        <v>400</v>
      </c>
      <c r="O165" s="20">
        <f>N165/Geraetedaten!$B$174*(M165-L165)+L165+C165</f>
        <v>753.01981949355729</v>
      </c>
      <c r="P165" s="20">
        <f t="shared" si="94"/>
        <v>213.32029123563566</v>
      </c>
      <c r="Q165" s="20"/>
      <c r="R165" s="21">
        <f>(N165-Geraetedaten!$B$161)/(Geraetedaten!$B$174-Geraetedaten!$B$161)*(Geraetedaten!$B$175-Geraetedaten!$B$162)+Geraetedaten!$B$162</f>
        <v>41.1</v>
      </c>
      <c r="S165" s="21">
        <f t="shared" si="101"/>
        <v>41.1</v>
      </c>
      <c r="T165" s="21">
        <f t="shared" si="102"/>
        <v>33.250598468810338</v>
      </c>
      <c r="U165" s="88">
        <f t="shared" si="103"/>
        <v>-24.15797386922064</v>
      </c>
      <c r="V165" s="86">
        <f t="shared" si="104"/>
        <v>-13074.666370000001</v>
      </c>
      <c r="W165" s="85">
        <f t="shared" si="105"/>
        <v>-4225.3239992296285</v>
      </c>
      <c r="X165" s="85">
        <f t="shared" si="106"/>
        <v>-5224.4299478106586</v>
      </c>
      <c r="Y165" s="90">
        <f t="shared" si="107"/>
        <v>4225.3239992296285</v>
      </c>
      <c r="Z165" s="86">
        <f t="shared" si="108"/>
        <v>15813.194460000001</v>
      </c>
      <c r="AA165" s="85">
        <f t="shared" si="109"/>
        <v>-913.46204712425447</v>
      </c>
      <c r="AB165" s="85">
        <f t="shared" si="110"/>
        <v>1643.1135858845082</v>
      </c>
      <c r="AC165" s="90">
        <f t="shared" si="111"/>
        <v>913.46204712425447</v>
      </c>
      <c r="AD165" s="86">
        <f t="shared" si="112"/>
        <v>12928.09483</v>
      </c>
      <c r="AE165" s="85">
        <f t="shared" si="113"/>
        <v>4140.4375383844126</v>
      </c>
      <c r="AF165" s="85">
        <f t="shared" si="114"/>
        <v>5116.348525946325</v>
      </c>
      <c r="AG165" s="90">
        <f t="shared" si="115"/>
        <v>4140.4375383844126</v>
      </c>
      <c r="AH165" s="86">
        <f t="shared" si="116"/>
        <v>-15357.138430000001</v>
      </c>
      <c r="AI165" s="85">
        <f t="shared" si="117"/>
        <v>6238.0466047659793</v>
      </c>
      <c r="AJ165" s="85">
        <f t="shared" si="118"/>
        <v>-10435.176746688649</v>
      </c>
      <c r="AK165" s="90">
        <f t="shared" si="119"/>
        <v>6238.0466047659793</v>
      </c>
      <c r="AM165" s="95">
        <f t="shared" si="86"/>
        <v>0</v>
      </c>
      <c r="AN165" s="95">
        <f t="shared" si="87"/>
        <v>0</v>
      </c>
      <c r="AO165" s="95">
        <f t="shared" si="88"/>
        <v>0</v>
      </c>
      <c r="AP165" s="95">
        <f t="shared" si="89"/>
        <v>0</v>
      </c>
      <c r="AQ165"/>
      <c r="AR165" s="95">
        <f t="shared" si="120"/>
        <v>0</v>
      </c>
      <c r="AS165" s="95">
        <f t="shared" si="121"/>
        <v>0</v>
      </c>
      <c r="AT165" s="95">
        <f>Geraetedaten!$B$94*ABS(SIN(RADIANS($A165)))</f>
        <v>124.58861713374191</v>
      </c>
      <c r="AU165" s="95">
        <f>Geraetedaten!$B$94*ABS(COS(RADIANS($A165)))</f>
        <v>90.518928853040848</v>
      </c>
      <c r="AV165" s="95">
        <f>((h_Aw_Sw+Geraetedaten!$B$18)/1000)*(AR165*AT165+AS165*AU165)/100</f>
        <v>0</v>
      </c>
      <c r="AX165" s="18">
        <f>(IF($X$19="ja",1,0))*Geraetedaten!$D$142*COS(RADIANS(2*A165))*(Geraetedaten!$B$154*r_K_D+r_K_SSw*F_SSw/10)/1000+Geraetedaten!$B$152</f>
        <v>594.79999999999995</v>
      </c>
      <c r="AY165" s="18">
        <f>(IF($X$19="ja",1,0))*Geraetedaten!$D$142*COS(RADIANS(2*A165))*(Geraetedaten!$B$157*r_K_D+r_K_SSw*F_SSw/10)/1000+Geraetedaten!$B$155</f>
        <v>537.4</v>
      </c>
      <c r="AZ165" s="201"/>
    </row>
    <row r="166" spans="1:52" ht="13.5" x14ac:dyDescent="0.25">
      <c r="A166" s="16">
        <v>127</v>
      </c>
      <c r="B166" s="16">
        <f t="shared" si="95"/>
        <v>323</v>
      </c>
      <c r="C166" s="19">
        <f t="shared" si="96"/>
        <v>68.774227463967051</v>
      </c>
      <c r="D166" s="17">
        <f t="shared" si="92"/>
        <v>-13313.553327463967</v>
      </c>
      <c r="E166" s="17">
        <f t="shared" si="97"/>
        <v>15344.561772536032</v>
      </c>
      <c r="F166" s="17">
        <f t="shared" si="98"/>
        <v>13027.229202536033</v>
      </c>
      <c r="G166" s="17">
        <f t="shared" si="99"/>
        <v>-15076.945127463967</v>
      </c>
      <c r="H166" s="17">
        <f t="shared" si="93"/>
        <v>13027.229202536033</v>
      </c>
      <c r="I166" s="17">
        <f t="shared" si="100"/>
        <v>5182.7990694115369</v>
      </c>
      <c r="J166" s="20">
        <f>(Geraetedaten!$B$152+(Geraetedaten!$B$153*(Geraetedaten!$B$18+d_y_Sw)/1000))*10</f>
        <v>6051.0442000000003</v>
      </c>
      <c r="K166" s="20">
        <f>(Geraetedaten!$B$165+(Geraetedaten!$B$166*(Geraetedaten!$B$18+d_y_Sw)/1000))*10</f>
        <v>10816.164000000001</v>
      </c>
      <c r="L166" s="20">
        <f>(Geraetedaten!$B$158+(Geraetedaten!$B$159*(Geraetedaten!$B$18+d_y_Sw)/1000)-(Geraetedaten!$B$160*I166/1000))*10</f>
        <v>221.48194424005183</v>
      </c>
      <c r="M166" s="20">
        <f>(Geraetedaten!$B$171+(Geraetedaten!$B$172*(Geraetedaten!$B$18+d_y_Sw)/1000)-(Geraetedaten!$B$173*I166/1000))*10</f>
        <v>679.0594372730061</v>
      </c>
      <c r="N166" s="20">
        <f>IF((H166-J166)/(K166-J166)*(Geraetedaten!$B$174-Geraetedaten!$B$161)&lt;Geraetedaten!$B$174,(H166-J166)/(K166-J166)*(Geraetedaten!$B$174-Geraetedaten!$B$161),Geraetedaten!$B$174)</f>
        <v>400</v>
      </c>
      <c r="O166" s="20">
        <f>N166/Geraetedaten!$B$174*(M166-L166)+L166+C166</f>
        <v>747.83366473697311</v>
      </c>
      <c r="P166" s="20">
        <f t="shared" si="94"/>
        <v>212.24307053611136</v>
      </c>
      <c r="Q166" s="20"/>
      <c r="R166" s="21">
        <f>(N166-Geraetedaten!$B$161)/(Geraetedaten!$B$174-Geraetedaten!$B$161)*(Geraetedaten!$B$175-Geraetedaten!$B$162)+Geraetedaten!$B$162</f>
        <v>41.1</v>
      </c>
      <c r="S166" s="21">
        <f t="shared" si="101"/>
        <v>41.1</v>
      </c>
      <c r="T166" s="21">
        <f t="shared" si="102"/>
        <v>32.823919462943735</v>
      </c>
      <c r="U166" s="88">
        <f t="shared" si="103"/>
        <v>-24.734597451549188</v>
      </c>
      <c r="V166" s="86">
        <f t="shared" si="104"/>
        <v>-13244.7791</v>
      </c>
      <c r="W166" s="85">
        <f t="shared" si="105"/>
        <v>-4225.3239992296285</v>
      </c>
      <c r="X166" s="85">
        <f t="shared" si="106"/>
        <v>-5292.4043038249083</v>
      </c>
      <c r="Y166" s="90">
        <f t="shared" si="107"/>
        <v>4225.3239992296285</v>
      </c>
      <c r="Z166" s="86">
        <f t="shared" si="108"/>
        <v>15413.335999999999</v>
      </c>
      <c r="AA166" s="85">
        <f t="shared" si="109"/>
        <v>-913.46204712425447</v>
      </c>
      <c r="AB166" s="85">
        <f t="shared" si="110"/>
        <v>1601.5651896415318</v>
      </c>
      <c r="AC166" s="90">
        <f t="shared" si="111"/>
        <v>913.46204712425447</v>
      </c>
      <c r="AD166" s="86">
        <f t="shared" si="112"/>
        <v>13096.003430000001</v>
      </c>
      <c r="AE166" s="85">
        <f t="shared" si="113"/>
        <v>4140.4375383844126</v>
      </c>
      <c r="AF166" s="85">
        <f t="shared" si="114"/>
        <v>5182.7990694115369</v>
      </c>
      <c r="AG166" s="90">
        <f t="shared" si="115"/>
        <v>4140.4375383844126</v>
      </c>
      <c r="AH166" s="86">
        <f t="shared" si="116"/>
        <v>-15008.170899999999</v>
      </c>
      <c r="AI166" s="85">
        <f t="shared" si="117"/>
        <v>6238.0466047659793</v>
      </c>
      <c r="AJ166" s="85">
        <f t="shared" si="118"/>
        <v>-10198.053283017156</v>
      </c>
      <c r="AK166" s="90">
        <f t="shared" si="119"/>
        <v>6238.0466047659793</v>
      </c>
      <c r="AM166" s="95">
        <f t="shared" si="86"/>
        <v>0</v>
      </c>
      <c r="AN166" s="95">
        <f t="shared" si="87"/>
        <v>0</v>
      </c>
      <c r="AO166" s="95">
        <f t="shared" si="88"/>
        <v>0</v>
      </c>
      <c r="AP166" s="95">
        <f t="shared" si="89"/>
        <v>0</v>
      </c>
      <c r="AQ166"/>
      <c r="AR166" s="95">
        <f t="shared" si="120"/>
        <v>0</v>
      </c>
      <c r="AS166" s="95">
        <f t="shared" si="121"/>
        <v>0</v>
      </c>
      <c r="AT166" s="95">
        <f>Geraetedaten!$B$94*ABS(SIN(RADIANS($A166)))</f>
        <v>122.98986854728308</v>
      </c>
      <c r="AU166" s="95">
        <f>Geraetedaten!$B$94*ABS(COS(RADIANS($A166)))</f>
        <v>92.679513565415448</v>
      </c>
      <c r="AV166" s="95">
        <f>((h_Aw_Sw+Geraetedaten!$B$18)/1000)*(AR166*AT166+AS166*AU166)/100</f>
        <v>0</v>
      </c>
      <c r="AX166" s="18">
        <f>(IF($X$19="ja",1,0))*Geraetedaten!$D$142*COS(RADIANS(2*A166))*(Geraetedaten!$B$154*r_K_D+r_K_SSw*F_SSw/10)/1000+Geraetedaten!$B$152</f>
        <v>594.79999999999995</v>
      </c>
      <c r="AY166" s="18">
        <f>(IF($X$19="ja",1,0))*Geraetedaten!$D$142*COS(RADIANS(2*A166))*(Geraetedaten!$B$157*r_K_D+r_K_SSw*F_SSw/10)/1000+Geraetedaten!$B$155</f>
        <v>537.4</v>
      </c>
      <c r="AZ166" s="201"/>
    </row>
    <row r="167" spans="1:52" ht="13.5" x14ac:dyDescent="0.25">
      <c r="A167" s="16">
        <v>128</v>
      </c>
      <c r="B167" s="16">
        <f t="shared" ref="B167:B198" si="122">360-A167+90</f>
        <v>322</v>
      </c>
      <c r="C167" s="19">
        <f t="shared" ref="C167:C198" si="123">$AF$16*ABS(COS(RADIANS(A167)))+$AF$17*ABS(SIN(RADIANS(A167)))+AV167</f>
        <v>68.513701867016763</v>
      </c>
      <c r="D167" s="17">
        <f t="shared" si="92"/>
        <v>-13492.033341867018</v>
      </c>
      <c r="E167" s="17">
        <f t="shared" ref="E167:E198" si="124">IF(ISNUMBER(Z167),Z167-C167,"unendlich")</f>
        <v>14969.154708132983</v>
      </c>
      <c r="F167" s="17">
        <f t="shared" ref="F167:F198" si="125">IF(ISNUMBER(AD167),AD167-C167,"unendlich")</f>
        <v>13203.913388132982</v>
      </c>
      <c r="G167" s="17">
        <f t="shared" ref="G167:G198" si="126">IF(ISNUMBER(AH167),AH167-C167,"unendlich")</f>
        <v>-14747.596251867017</v>
      </c>
      <c r="H167" s="17">
        <f t="shared" si="93"/>
        <v>13203.913388132982</v>
      </c>
      <c r="I167" s="17">
        <f t="shared" ref="I167:I198" si="127">IF(H167+C167=V167,X167,IF(H167+C167=Z167,AB167,IF(H167+C167=AD167,AF167,IF(H167+C167=AH167,AJ167,"???"))))</f>
        <v>5252.6194831000885</v>
      </c>
      <c r="J167" s="20">
        <f>(Geraetedaten!$B$152+(Geraetedaten!$B$153*(Geraetedaten!$B$18+d_y_Sw)/1000))*10</f>
        <v>6051.0442000000003</v>
      </c>
      <c r="K167" s="20">
        <f>(Geraetedaten!$B$165+(Geraetedaten!$B$166*(Geraetedaten!$B$18+d_y_Sw)/1000))*10</f>
        <v>10816.164000000001</v>
      </c>
      <c r="L167" s="20">
        <f>(Geraetedaten!$B$158+(Geraetedaten!$B$159*(Geraetedaten!$B$18+d_y_Sw)/1000)-(Geraetedaten!$B$160*I167/1000))*10</f>
        <v>216.36201330427036</v>
      </c>
      <c r="M167" s="20">
        <f>(Geraetedaten!$B$171+(Geraetedaten!$B$172*(Geraetedaten!$B$18+d_y_Sw)/1000)-(Geraetedaten!$B$173*I167/1000))*10</f>
        <v>673.8620056780303</v>
      </c>
      <c r="N167" s="20">
        <f>IF((H167-J167)/(K167-J167)*(Geraetedaten!$B$174-Geraetedaten!$B$161)&lt;Geraetedaten!$B$174,(H167-J167)/(K167-J167)*(Geraetedaten!$B$174-Geraetedaten!$B$161),Geraetedaten!$B$174)</f>
        <v>400</v>
      </c>
      <c r="O167" s="20">
        <f>N167/Geraetedaten!$B$174*(M167-L167)+L167+C167</f>
        <v>742.37570754504702</v>
      </c>
      <c r="P167" s="20">
        <f t="shared" si="94"/>
        <v>211.10441635700067</v>
      </c>
      <c r="Q167" s="20"/>
      <c r="R167" s="21">
        <f>(N167-Geraetedaten!$B$161)/(Geraetedaten!$B$174-Geraetedaten!$B$161)*(Geraetedaten!$B$175-Geraetedaten!$B$162)+Geraetedaten!$B$162</f>
        <v>41.1</v>
      </c>
      <c r="S167" s="21">
        <f t="shared" ref="S167:S198" si="128">SQRT((r_K_D/1000)^2+R167^2-(2*(r_K_D/1000)*R167*COS(RADIANS(2*A167))))</f>
        <v>41.1</v>
      </c>
      <c r="T167" s="21">
        <f t="shared" ref="T167:T198" si="129">S167*SIN(A167*Const_2)</f>
        <v>32.387241973236279</v>
      </c>
      <c r="U167" s="88">
        <f t="shared" ref="U167:U198" si="130">S167*COS(A167*Const_2)</f>
        <v>-25.303686635884556</v>
      </c>
      <c r="V167" s="86">
        <f t="shared" ref="V167:V198" si="131">ROUND((F_S*r_Su_L-F_G*W167+F_SSw*Y167)/(SIN(RADIANS(270+g_L-A167)))/1000,5)</f>
        <v>-13423.51964</v>
      </c>
      <c r="W167" s="85">
        <f t="shared" ref="W167:W198" si="132">(SIN(RADIANS(g_L)))*(((VL_Z-HL_Z)/(VL_X-HL_X))*(-HL_X+AN167)+HL_Z-AM167)</f>
        <v>-4225.3239992296285</v>
      </c>
      <c r="X167" s="85">
        <f t="shared" ref="X167:X198" si="133">W167/(SIN(RADIANS(180-g_L-(90-$A167))))</f>
        <v>-5363.8261991547351</v>
      </c>
      <c r="Y167" s="90">
        <f t="shared" ref="Y167:Y198" si="134">SIN(RADIANS(g_L))*(((VL_Z-HL_Z)/(VL_X-HL_X))*(-AP167+HL_X)-HL_Z+AO167)</f>
        <v>4225.3239992296285</v>
      </c>
      <c r="Z167" s="86">
        <f t="shared" ref="Z167:Z198" si="135">ROUND((F_S*r_Su_H-F_G*AA167+F_SSw*AC167)/(SIN(RADIANS(180+g_H-A167)))/1000,5)</f>
        <v>15037.66841</v>
      </c>
      <c r="AA167" s="85">
        <f t="shared" ref="AA167:AA198" si="136">(SIN(RADIANS(g_H)))*(((HL_X-HR_X)/(HL_Z-HR_Z))*(-HR_Z+AM167)+HR_X-AN167)</f>
        <v>-913.46204712425447</v>
      </c>
      <c r="AB167" s="85">
        <f t="shared" ref="AB167:AB198" si="137">AA167/(SIN(RADIANS(g_H-$A167)))</f>
        <v>1562.5304121363697</v>
      </c>
      <c r="AC167" s="90">
        <f t="shared" ref="AC167:AC198" si="138">SIN(RADIANS(g_H))*(((HL_X-HR_X)/(HL_Z-HR_Z))*(-AO167+HR_Z)-HR_X+AP167)</f>
        <v>913.46204712425447</v>
      </c>
      <c r="AD167" s="86">
        <f t="shared" ref="AD167:AD198" si="139">ROUND((F_S*r_Su_R+F_G*AE167+F_SSw*AG167)/(SIN(RADIANS(90+g_R-A167)))/1000,5)</f>
        <v>13272.427089999999</v>
      </c>
      <c r="AE167" s="85">
        <f t="shared" ref="AE167:AE198" si="140">(SIN(RADIANS(g_R)))*(((HR_Z-VR_Z)/(HR_X-VR_X))*(-VR_X+AN167)+VR_Z-AM167)</f>
        <v>4140.4375383844126</v>
      </c>
      <c r="AF167" s="85">
        <f t="shared" ref="AF167:AF198" si="141">AE167/(SIN(RADIANS(180-g_R-(90-$A167))))</f>
        <v>5252.6194831000885</v>
      </c>
      <c r="AG167" s="90">
        <f t="shared" ref="AG167:AG198" si="142">(SIN(RADIANS(g_R)))*(((HR_Z-VR_Z)/(HR_X-VR_X))*(-VR_X+AP167)+VR_Z-AO167)</f>
        <v>4140.4375383844126</v>
      </c>
      <c r="AH167" s="86">
        <f t="shared" ref="AH167:AH198" si="143">ROUND((F_S*r_Su_V+F_G*AI167+F_SSw*AK167)/(SIN(RADIANS(g_V-A167)))/1000,5)</f>
        <v>-14679.082549999999</v>
      </c>
      <c r="AI167" s="85">
        <f t="shared" ref="AI167:AI198" si="144">(SIN(RADIANS(g_V)))*(((VR_X-VL_X)/(VR_Z-VL_Z))*(AM167-VL_Z)+VL_X-AN167)</f>
        <v>6238.0466047659793</v>
      </c>
      <c r="AJ167" s="85">
        <f t="shared" ref="AJ167:AJ198" si="145">AI167/(SIN(RADIANS(g_V-$A167)))</f>
        <v>-9974.4377208068381</v>
      </c>
      <c r="AK167" s="90">
        <f t="shared" ref="AK167:AK198" si="146">(SIN(RADIANS(g_V)))*(((VR_X-VL_X)/(VR_Z-VL_Z))*(-VL_Z+AO167)+VL_X-AP167)</f>
        <v>6238.0466047659793</v>
      </c>
      <c r="AM167" s="95">
        <f t="shared" ref="AM167:AM230" si="147">SIN(RADIANS(A167))*r_K_D</f>
        <v>0</v>
      </c>
      <c r="AN167" s="95">
        <f t="shared" ref="AN167:AN230" si="148">COS(RADIANS(A167-180))*r_K_D</f>
        <v>0</v>
      </c>
      <c r="AO167" s="95">
        <f t="shared" ref="AO167:AO230" si="149">SIN(RADIANS(A167))*r_K_SSw</f>
        <v>0</v>
      </c>
      <c r="AP167" s="95">
        <f t="shared" ref="AP167:AP230" si="150">-COS(RADIANS(A167))*r_K_SSw</f>
        <v>0</v>
      </c>
      <c r="AQ167"/>
      <c r="AR167" s="95">
        <f t="shared" ref="AR167:AR198" si="151">MAX(d_y_Sw*(r_K_D*ABS(COS(RADIANS($A167)))+_r1_Sw+_r2_Sw), 2*_r1_Sw*d_y_Sw)/1000000</f>
        <v>0</v>
      </c>
      <c r="AS167" s="95">
        <f t="shared" ref="AS167:AS198" si="152">MAX(d_y_Sw*(r_K_D*ABS(SIN(RADIANS($A167)))+_r1_Sw+_r2_Sw), 2*_r1_Sw*d_y_Sw)/1000000</f>
        <v>0</v>
      </c>
      <c r="AT167" s="95">
        <f>Geraetedaten!$B$94*ABS(SIN(RADIANS($A167)))</f>
        <v>121.3536560554352</v>
      </c>
      <c r="AU167" s="95">
        <f>Geraetedaten!$B$94*ABS(COS(RADIANS($A167)))</f>
        <v>94.811867200151383</v>
      </c>
      <c r="AV167" s="95">
        <f>((h_Aw_Sw+Geraetedaten!$B$18)/1000)*(AR167*AT167+AS167*AU167)/100</f>
        <v>0</v>
      </c>
      <c r="AX167" s="18">
        <f>(IF($X$19="ja",1,0))*Geraetedaten!$D$142*COS(RADIANS(2*A167))*(Geraetedaten!$B$154*r_K_D+r_K_SSw*F_SSw/10)/1000+Geraetedaten!$B$152</f>
        <v>594.79999999999995</v>
      </c>
      <c r="AY167" s="18">
        <f>(IF($X$19="ja",1,0))*Geraetedaten!$D$142*COS(RADIANS(2*A167))*(Geraetedaten!$B$157*r_K_D+r_K_SSw*F_SSw/10)/1000+Geraetedaten!$B$155</f>
        <v>537.4</v>
      </c>
      <c r="AZ167" s="201"/>
    </row>
    <row r="168" spans="1:52" ht="13.5" x14ac:dyDescent="0.25">
      <c r="A168" s="16">
        <v>129</v>
      </c>
      <c r="B168" s="16">
        <f t="shared" si="122"/>
        <v>321</v>
      </c>
      <c r="C168" s="19">
        <f t="shared" si="123"/>
        <v>68.232306332770648</v>
      </c>
      <c r="D168" s="17">
        <f t="shared" ref="D168:D231" si="153">IF(ISNUMBER(V168),V168-C168,"unendlich")</f>
        <v>-13679.585626332771</v>
      </c>
      <c r="E168" s="17">
        <f t="shared" si="124"/>
        <v>14616.011553667229</v>
      </c>
      <c r="F168" s="17">
        <f t="shared" si="125"/>
        <v>13389.592123667229</v>
      </c>
      <c r="G168" s="17">
        <f t="shared" si="126"/>
        <v>-14436.631706332772</v>
      </c>
      <c r="H168" s="17">
        <f>SMALL(D168:G168,COUNTIF(D168:G168,"&lt;0")+1)</f>
        <v>13389.592123667229</v>
      </c>
      <c r="I168" s="17">
        <f t="shared" si="127"/>
        <v>5325.9912683143402</v>
      </c>
      <c r="J168" s="20">
        <f>(Geraetedaten!$B$152+(Geraetedaten!$B$153*(Geraetedaten!$B$18+d_y_Sw)/1000))*10</f>
        <v>6051.0442000000003</v>
      </c>
      <c r="K168" s="20">
        <f>(Geraetedaten!$B$165+(Geraetedaten!$B$166*(Geraetedaten!$B$18+d_y_Sw)/1000))*10</f>
        <v>10816.164000000001</v>
      </c>
      <c r="L168" s="20">
        <f>(Geraetedaten!$B$158+(Geraetedaten!$B$159*(Geraetedaten!$B$18+d_y_Sw)/1000)-(Geraetedaten!$B$160*I168/1000))*10</f>
        <v>210.98166029450931</v>
      </c>
      <c r="M168" s="20">
        <f>(Geraetedaten!$B$171+(Geraetedaten!$B$172*(Geraetedaten!$B$18+d_y_Sw)/1000)-(Geraetedaten!$B$173*I168/1000))*10</f>
        <v>668.40020998668138</v>
      </c>
      <c r="N168" s="20">
        <f>IF((H168-J168)/(K168-J168)*(Geraetedaten!$B$174-Geraetedaten!$B$161)&lt;Geraetedaten!$B$174,(H168-J168)/(K168-J168)*(Geraetedaten!$B$174-Geraetedaten!$B$161),Geraetedaten!$B$174)</f>
        <v>400</v>
      </c>
      <c r="O168" s="20">
        <f>N168/Geraetedaten!$B$174*(M168-L168)+L168+C168</f>
        <v>736.63251631945207</v>
      </c>
      <c r="P168" s="20">
        <f t="shared" ref="P168:P197" si="154">O168*100/9.81/(R168-(I168/1000))</f>
        <v>209.90088489111525</v>
      </c>
      <c r="Q168" s="20"/>
      <c r="R168" s="21">
        <f>(N168-Geraetedaten!$B$161)/(Geraetedaten!$B$174-Geraetedaten!$B$161)*(Geraetedaten!$B$175-Geraetedaten!$B$162)+Geraetedaten!$B$162</f>
        <v>41.1</v>
      </c>
      <c r="S168" s="21">
        <f t="shared" si="128"/>
        <v>41.1</v>
      </c>
      <c r="T168" s="21">
        <f t="shared" si="129"/>
        <v>31.94069901588151</v>
      </c>
      <c r="U168" s="88">
        <f t="shared" si="130"/>
        <v>-25.865068072148315</v>
      </c>
      <c r="V168" s="86">
        <f t="shared" si="131"/>
        <v>-13611.35332</v>
      </c>
      <c r="W168" s="85">
        <f t="shared" si="132"/>
        <v>-4225.3239992296285</v>
      </c>
      <c r="X168" s="85">
        <f t="shared" si="133"/>
        <v>-5438.8815660392174</v>
      </c>
      <c r="Y168" s="90">
        <f t="shared" si="134"/>
        <v>4225.3239992296285</v>
      </c>
      <c r="Z168" s="86">
        <f t="shared" si="135"/>
        <v>14684.24386</v>
      </c>
      <c r="AA168" s="85">
        <f t="shared" si="136"/>
        <v>-913.46204712425447</v>
      </c>
      <c r="AB168" s="85">
        <f t="shared" si="137"/>
        <v>1525.8068598708192</v>
      </c>
      <c r="AC168" s="90">
        <f t="shared" si="138"/>
        <v>913.46204712425447</v>
      </c>
      <c r="AD168" s="86">
        <f t="shared" si="139"/>
        <v>13457.824430000001</v>
      </c>
      <c r="AE168" s="85">
        <f t="shared" si="140"/>
        <v>4140.4375383844126</v>
      </c>
      <c r="AF168" s="85">
        <f t="shared" si="141"/>
        <v>5325.9912683143402</v>
      </c>
      <c r="AG168" s="90">
        <f t="shared" si="142"/>
        <v>4140.4375383844126</v>
      </c>
      <c r="AH168" s="86">
        <f t="shared" si="143"/>
        <v>-14368.3994</v>
      </c>
      <c r="AI168" s="85">
        <f t="shared" si="144"/>
        <v>6238.0466047659793</v>
      </c>
      <c r="AJ168" s="85">
        <f t="shared" si="145"/>
        <v>-9763.3284948651162</v>
      </c>
      <c r="AK168" s="90">
        <f t="shared" si="146"/>
        <v>6238.0466047659793</v>
      </c>
      <c r="AM168" s="95">
        <f t="shared" si="147"/>
        <v>0</v>
      </c>
      <c r="AN168" s="95">
        <f t="shared" si="148"/>
        <v>0</v>
      </c>
      <c r="AO168" s="95">
        <f t="shared" si="149"/>
        <v>0</v>
      </c>
      <c r="AP168" s="95">
        <f t="shared" si="150"/>
        <v>0</v>
      </c>
      <c r="AQ168"/>
      <c r="AR168" s="95">
        <f t="shared" si="151"/>
        <v>0</v>
      </c>
      <c r="AS168" s="95">
        <f t="shared" si="152"/>
        <v>0</v>
      </c>
      <c r="AT168" s="95">
        <f>Geraetedaten!$B$94*ABS(SIN(RADIANS($A168)))</f>
        <v>119.68047806437353</v>
      </c>
      <c r="AU168" s="95">
        <f>Geraetedaten!$B$94*ABS(COS(RADIANS($A168)))</f>
        <v>96.915340221674938</v>
      </c>
      <c r="AV168" s="95">
        <f>((h_Aw_Sw+Geraetedaten!$B$18)/1000)*(AR168*AT168+AS168*AU168)/100</f>
        <v>0</v>
      </c>
      <c r="AX168" s="18">
        <f>(IF($X$19="ja",1,0))*Geraetedaten!$D$142*COS(RADIANS(2*A168))*(Geraetedaten!$B$154*r_K_D+r_K_SSw*F_SSw/10)/1000+Geraetedaten!$B$152</f>
        <v>594.79999999999995</v>
      </c>
      <c r="AY168" s="18">
        <f>(IF($X$19="ja",1,0))*Geraetedaten!$D$142*COS(RADIANS(2*A168))*(Geraetedaten!$B$157*r_K_D+r_K_SSw*F_SSw/10)/1000+Geraetedaten!$B$155</f>
        <v>537.4</v>
      </c>
      <c r="AZ168" s="201"/>
    </row>
    <row r="169" spans="1:52" ht="13.5" x14ac:dyDescent="0.25">
      <c r="A169" s="16">
        <v>130</v>
      </c>
      <c r="B169" s="16">
        <f t="shared" si="122"/>
        <v>320</v>
      </c>
      <c r="C169" s="19">
        <f t="shared" si="123"/>
        <v>67.930126577034372</v>
      </c>
      <c r="D169" s="17">
        <f t="shared" si="153"/>
        <v>-13876.714376577034</v>
      </c>
      <c r="E169" s="17">
        <f t="shared" si="124"/>
        <v>14283.391683422966</v>
      </c>
      <c r="F169" s="17">
        <f t="shared" si="125"/>
        <v>13584.762153422966</v>
      </c>
      <c r="G169" s="17">
        <f t="shared" si="126"/>
        <v>-14142.723486577033</v>
      </c>
      <c r="H169" s="17">
        <f t="shared" ref="H169:H187" si="155">SMALL(D169:G169,COUNTIF(D169:G169,"&lt;0")+1)</f>
        <v>13584.762153422966</v>
      </c>
      <c r="I169" s="17">
        <f t="shared" si="127"/>
        <v>5403.1110512961959</v>
      </c>
      <c r="J169" s="20">
        <f>(Geraetedaten!$B$152+(Geraetedaten!$B$153*(Geraetedaten!$B$18+d_y_Sw)/1000))*10</f>
        <v>6051.0442000000003</v>
      </c>
      <c r="K169" s="20">
        <f>(Geraetedaten!$B$165+(Geraetedaten!$B$166*(Geraetedaten!$B$18+d_y_Sw)/1000))*10</f>
        <v>10816.164000000001</v>
      </c>
      <c r="L169" s="20">
        <f>(Geraetedaten!$B$158+(Geraetedaten!$B$159*(Geraetedaten!$B$18+d_y_Sw)/1000)-(Geraetedaten!$B$160*I169/1000))*10</f>
        <v>205.32646660844975</v>
      </c>
      <c r="M169" s="20">
        <f>(Geraetedaten!$B$171+(Geraetedaten!$B$172*(Geraetedaten!$B$18+d_y_Sw)/1000)-(Geraetedaten!$B$173*I169/1000))*10</f>
        <v>662.65941334151194</v>
      </c>
      <c r="N169" s="20">
        <f>IF((H169-J169)/(K169-J169)*(Geraetedaten!$B$174-Geraetedaten!$B$161)&lt;Geraetedaten!$B$174,(H169-J169)/(K169-J169)*(Geraetedaten!$B$174-Geraetedaten!$B$161),Geraetedaten!$B$174)</f>
        <v>400</v>
      </c>
      <c r="O169" s="20">
        <f>N169/Geraetedaten!$B$174*(M169-L169)+L169+C169</f>
        <v>730.58953991854628</v>
      </c>
      <c r="P169" s="20">
        <f t="shared" si="154"/>
        <v>208.62871082125886</v>
      </c>
      <c r="Q169" s="20"/>
      <c r="R169" s="21">
        <f>(N169-Geraetedaten!$B$161)/(Geraetedaten!$B$174-Geraetedaten!$B$161)*(Geraetedaten!$B$175-Geraetedaten!$B$162)+Geraetedaten!$B$162</f>
        <v>41.1</v>
      </c>
      <c r="S169" s="21">
        <f t="shared" si="128"/>
        <v>41.1</v>
      </c>
      <c r="T169" s="21">
        <f t="shared" si="129"/>
        <v>31.484426612189999</v>
      </c>
      <c r="U169" s="88">
        <f t="shared" si="130"/>
        <v>-26.418570758116768</v>
      </c>
      <c r="V169" s="86">
        <f t="shared" si="131"/>
        <v>-13808.784250000001</v>
      </c>
      <c r="W169" s="85">
        <f t="shared" si="132"/>
        <v>-4225.3239992296285</v>
      </c>
      <c r="X169" s="85">
        <f t="shared" si="133"/>
        <v>-5517.7718423184997</v>
      </c>
      <c r="Y169" s="90">
        <f t="shared" si="134"/>
        <v>4225.3239992296285</v>
      </c>
      <c r="Z169" s="86">
        <f t="shared" si="135"/>
        <v>14351.321809999999</v>
      </c>
      <c r="AA169" s="85">
        <f t="shared" si="136"/>
        <v>-913.46204712425447</v>
      </c>
      <c r="AB169" s="85">
        <f t="shared" si="137"/>
        <v>1491.2136756095692</v>
      </c>
      <c r="AC169" s="90">
        <f t="shared" si="138"/>
        <v>913.46204712425447</v>
      </c>
      <c r="AD169" s="86">
        <f t="shared" si="139"/>
        <v>13652.692279999999</v>
      </c>
      <c r="AE169" s="85">
        <f t="shared" si="140"/>
        <v>4140.4375383844126</v>
      </c>
      <c r="AF169" s="85">
        <f t="shared" si="141"/>
        <v>5403.1110512961959</v>
      </c>
      <c r="AG169" s="90">
        <f t="shared" si="142"/>
        <v>4140.4375383844126</v>
      </c>
      <c r="AH169" s="86">
        <f t="shared" si="143"/>
        <v>-14074.79336</v>
      </c>
      <c r="AI169" s="85">
        <f t="shared" si="144"/>
        <v>6238.0466047659793</v>
      </c>
      <c r="AJ169" s="85">
        <f t="shared" si="145"/>
        <v>-9563.8231694439855</v>
      </c>
      <c r="AK169" s="90">
        <f t="shared" si="146"/>
        <v>6238.0466047659793</v>
      </c>
      <c r="AM169" s="95">
        <f t="shared" si="147"/>
        <v>0</v>
      </c>
      <c r="AN169" s="95">
        <f t="shared" si="148"/>
        <v>0</v>
      </c>
      <c r="AO169" s="95">
        <f t="shared" si="149"/>
        <v>0</v>
      </c>
      <c r="AP169" s="95">
        <f t="shared" si="150"/>
        <v>0</v>
      </c>
      <c r="AQ169"/>
      <c r="AR169" s="95">
        <f t="shared" si="151"/>
        <v>0</v>
      </c>
      <c r="AS169" s="95">
        <f t="shared" si="152"/>
        <v>0</v>
      </c>
      <c r="AT169" s="95">
        <f>Geraetedaten!$B$94*ABS(SIN(RADIANS($A169)))</f>
        <v>117.97084424032262</v>
      </c>
      <c r="AU169" s="95">
        <f>Geraetedaten!$B$94*ABS(COS(RADIANS($A169)))</f>
        <v>98.989291891727063</v>
      </c>
      <c r="AV169" s="95">
        <f>((h_Aw_Sw+Geraetedaten!$B$18)/1000)*(AR169*AT169+AS169*AU169)/100</f>
        <v>0</v>
      </c>
      <c r="AX169" s="18">
        <f>(IF($X$19="ja",1,0))*Geraetedaten!$D$142*COS(RADIANS(2*A169))*(Geraetedaten!$B$154*r_K_D+r_K_SSw*F_SSw/10)/1000+Geraetedaten!$B$152</f>
        <v>594.79999999999995</v>
      </c>
      <c r="AY169" s="18">
        <f>(IF($X$19="ja",1,0))*Geraetedaten!$D$142*COS(RADIANS(2*A169))*(Geraetedaten!$B$157*r_K_D+r_K_SSw*F_SSw/10)/1000+Geraetedaten!$B$155</f>
        <v>537.4</v>
      </c>
      <c r="AZ169" s="201"/>
    </row>
    <row r="170" spans="1:52" ht="13.5" x14ac:dyDescent="0.25">
      <c r="A170" s="16">
        <v>131</v>
      </c>
      <c r="B170" s="16">
        <f t="shared" si="122"/>
        <v>319</v>
      </c>
      <c r="C170" s="19">
        <f t="shared" si="123"/>
        <v>67.60725464668883</v>
      </c>
      <c r="D170" s="17">
        <f t="shared" si="153"/>
        <v>-14083.966504646689</v>
      </c>
      <c r="E170" s="17">
        <f t="shared" si="124"/>
        <v>13969.73500535331</v>
      </c>
      <c r="F170" s="17">
        <f t="shared" si="125"/>
        <v>13789.962295353311</v>
      </c>
      <c r="G170" s="17">
        <f t="shared" si="126"/>
        <v>-13864.67203464669</v>
      </c>
      <c r="H170" s="17">
        <f t="shared" si="155"/>
        <v>13789.962295353311</v>
      </c>
      <c r="I170" s="17">
        <f t="shared" si="127"/>
        <v>5484.1921034639472</v>
      </c>
      <c r="J170" s="20">
        <f>(Geraetedaten!$B$152+(Geraetedaten!$B$153*(Geraetedaten!$B$18+d_y_Sw)/1000))*10</f>
        <v>6051.0442000000003</v>
      </c>
      <c r="K170" s="20">
        <f>(Geraetedaten!$B$165+(Geraetedaten!$B$166*(Geraetedaten!$B$18+d_y_Sw)/1000))*10</f>
        <v>10816.164000000001</v>
      </c>
      <c r="L170" s="20">
        <f>(Geraetedaten!$B$158+(Geraetedaten!$B$159*(Geraetedaten!$B$18+d_y_Sw)/1000)-(Geraetedaten!$B$160*I170/1000))*10</f>
        <v>199.38079305298857</v>
      </c>
      <c r="M170" s="20">
        <f>(Geraetedaten!$B$171+(Geraetedaten!$B$172*(Geraetedaten!$B$18+d_y_Sw)/1000)-(Geraetedaten!$B$173*I170/1000))*10</f>
        <v>656.62373981814449</v>
      </c>
      <c r="N170" s="20">
        <f>IF((H170-J170)/(K170-J170)*(Geraetedaten!$B$174-Geraetedaten!$B$161)&lt;Geraetedaten!$B$174,(H170-J170)/(K170-J170)*(Geraetedaten!$B$174-Geraetedaten!$B$161),Geraetedaten!$B$174)</f>
        <v>400</v>
      </c>
      <c r="O170" s="20">
        <f>N170/Geraetedaten!$B$174*(M170-L170)+L170+C170</f>
        <v>724.23099446483332</v>
      </c>
      <c r="P170" s="20">
        <f t="shared" si="154"/>
        <v>207.28377034270983</v>
      </c>
      <c r="Q170" s="20"/>
      <c r="R170" s="21">
        <f>(N170-Geraetedaten!$B$161)/(Geraetedaten!$B$174-Geraetedaten!$B$161)*(Geraetedaten!$B$175-Geraetedaten!$B$162)+Geraetedaten!$B$162</f>
        <v>41.1</v>
      </c>
      <c r="S170" s="21">
        <f t="shared" si="128"/>
        <v>41.1</v>
      </c>
      <c r="T170" s="21">
        <f t="shared" si="129"/>
        <v>31.018563747155934</v>
      </c>
      <c r="U170" s="88">
        <f t="shared" si="130"/>
        <v>-26.964026091509844</v>
      </c>
      <c r="V170" s="86">
        <f t="shared" si="131"/>
        <v>-14016.35925</v>
      </c>
      <c r="W170" s="85">
        <f t="shared" si="132"/>
        <v>-4225.3239992296285</v>
      </c>
      <c r="X170" s="85">
        <f t="shared" si="133"/>
        <v>-5600.7155316214466</v>
      </c>
      <c r="Y170" s="90">
        <f t="shared" si="134"/>
        <v>4225.3239992296285</v>
      </c>
      <c r="Z170" s="86">
        <f t="shared" si="135"/>
        <v>14037.342259999999</v>
      </c>
      <c r="AA170" s="85">
        <f t="shared" si="136"/>
        <v>-913.46204712425447</v>
      </c>
      <c r="AB170" s="85">
        <f t="shared" si="137"/>
        <v>1458.5887642933621</v>
      </c>
      <c r="AC170" s="90">
        <f t="shared" si="138"/>
        <v>913.46204712425447</v>
      </c>
      <c r="AD170" s="86">
        <f t="shared" si="139"/>
        <v>13857.56955</v>
      </c>
      <c r="AE170" s="85">
        <f t="shared" si="140"/>
        <v>4140.4375383844126</v>
      </c>
      <c r="AF170" s="85">
        <f t="shared" si="141"/>
        <v>5484.1921034639472</v>
      </c>
      <c r="AG170" s="90">
        <f t="shared" si="142"/>
        <v>4140.4375383844126</v>
      </c>
      <c r="AH170" s="86">
        <f t="shared" si="143"/>
        <v>-13797.064780000001</v>
      </c>
      <c r="AI170" s="85">
        <f t="shared" si="144"/>
        <v>6238.0466047659793</v>
      </c>
      <c r="AJ170" s="85">
        <f t="shared" si="145"/>
        <v>-9375.1065774554645</v>
      </c>
      <c r="AK170" s="90">
        <f t="shared" si="146"/>
        <v>6238.0466047659793</v>
      </c>
      <c r="AM170" s="95">
        <f t="shared" si="147"/>
        <v>0</v>
      </c>
      <c r="AN170" s="95">
        <f t="shared" si="148"/>
        <v>0</v>
      </c>
      <c r="AO170" s="95">
        <f t="shared" si="149"/>
        <v>0</v>
      </c>
      <c r="AP170" s="95">
        <f t="shared" si="150"/>
        <v>0</v>
      </c>
      <c r="AQ170"/>
      <c r="AR170" s="95">
        <f t="shared" si="151"/>
        <v>0</v>
      </c>
      <c r="AS170" s="95">
        <f t="shared" si="152"/>
        <v>0</v>
      </c>
      <c r="AT170" s="95">
        <f>Geraetedaten!$B$94*ABS(SIN(RADIANS($A170)))</f>
        <v>116.2252753543069</v>
      </c>
      <c r="AU170" s="95">
        <f>Geraetedaten!$B$94*ABS(COS(RADIANS($A170)))</f>
        <v>101.03309046453811</v>
      </c>
      <c r="AV170" s="95">
        <f>((h_Aw_Sw+Geraetedaten!$B$18)/1000)*(AR170*AT170+AS170*AU170)/100</f>
        <v>0</v>
      </c>
      <c r="AX170" s="18">
        <f>(IF($X$19="ja",1,0))*Geraetedaten!$D$142*COS(RADIANS(2*A170))*(Geraetedaten!$B$154*r_K_D+r_K_SSw*F_SSw/10)/1000+Geraetedaten!$B$152</f>
        <v>594.79999999999995</v>
      </c>
      <c r="AY170" s="18">
        <f>(IF($X$19="ja",1,0))*Geraetedaten!$D$142*COS(RADIANS(2*A170))*(Geraetedaten!$B$157*r_K_D+r_K_SSw*F_SSw/10)/1000+Geraetedaten!$B$155</f>
        <v>537.4</v>
      </c>
      <c r="AZ170" s="201"/>
    </row>
    <row r="171" spans="1:52" ht="13.5" x14ac:dyDescent="0.25">
      <c r="A171" s="16">
        <v>132</v>
      </c>
      <c r="B171" s="16">
        <f t="shared" si="122"/>
        <v>318</v>
      </c>
      <c r="C171" s="19">
        <f t="shared" si="123"/>
        <v>67.2637888916517</v>
      </c>
      <c r="D171" s="17">
        <f t="shared" si="153"/>
        <v>-14301.936048891652</v>
      </c>
      <c r="E171" s="17">
        <f t="shared" si="124"/>
        <v>13673.639321108347</v>
      </c>
      <c r="F171" s="17">
        <f t="shared" si="125"/>
        <v>14005.777731108348</v>
      </c>
      <c r="G171" s="17">
        <f t="shared" si="126"/>
        <v>-13601.391208891653</v>
      </c>
      <c r="H171" s="17">
        <f t="shared" si="155"/>
        <v>13673.639321108347</v>
      </c>
      <c r="I171" s="17">
        <f t="shared" si="127"/>
        <v>1427.7864375631516</v>
      </c>
      <c r="J171" s="20">
        <f>(Geraetedaten!$B$152+(Geraetedaten!$B$153*(Geraetedaten!$B$18+d_y_Sw)/1000))*10</f>
        <v>6051.0442000000003</v>
      </c>
      <c r="K171" s="20">
        <f>(Geraetedaten!$B$165+(Geraetedaten!$B$166*(Geraetedaten!$B$18+d_y_Sw)/1000))*10</f>
        <v>10816.164000000001</v>
      </c>
      <c r="L171" s="20">
        <f>(Geraetedaten!$B$158+(Geraetedaten!$B$159*(Geraetedaten!$B$18+d_y_Sw)/1000)-(Geraetedaten!$B$160*I171/1000))*10</f>
        <v>496.83702053349384</v>
      </c>
      <c r="M171" s="20">
        <f>(Geraetedaten!$B$171+(Geraetedaten!$B$172*(Geraetedaten!$B$18+d_y_Sw)/1000)-(Geraetedaten!$B$173*I171/1000))*10</f>
        <v>958.58257758779996</v>
      </c>
      <c r="N171" s="20">
        <f>IF((H171-J171)/(K171-J171)*(Geraetedaten!$B$174-Geraetedaten!$B$161)&lt;Geraetedaten!$B$174,(H171-J171)/(K171-J171)*(Geraetedaten!$B$174-Geraetedaten!$B$161),Geraetedaten!$B$174)</f>
        <v>400</v>
      </c>
      <c r="O171" s="20">
        <f>N171/Geraetedaten!$B$174*(M171-L171)+L171+C171</f>
        <v>1025.8463664794517</v>
      </c>
      <c r="P171" s="20">
        <f t="shared" si="154"/>
        <v>263.58875813519728</v>
      </c>
      <c r="Q171" s="20"/>
      <c r="R171" s="21">
        <f>(N171-Geraetedaten!$B$161)/(Geraetedaten!$B$174-Geraetedaten!$B$161)*(Geraetedaten!$B$175-Geraetedaten!$B$162)+Geraetedaten!$B$162</f>
        <v>41.1</v>
      </c>
      <c r="S171" s="21">
        <f t="shared" si="128"/>
        <v>41.1</v>
      </c>
      <c r="T171" s="21">
        <f t="shared" si="129"/>
        <v>30.543252327120904</v>
      </c>
      <c r="U171" s="88">
        <f t="shared" si="130"/>
        <v>-27.501267921349076</v>
      </c>
      <c r="V171" s="86">
        <f t="shared" si="131"/>
        <v>-14234.672259999999</v>
      </c>
      <c r="W171" s="85">
        <f t="shared" si="132"/>
        <v>-4225.3239992296285</v>
      </c>
      <c r="X171" s="85">
        <f t="shared" si="133"/>
        <v>-5687.949959790556</v>
      </c>
      <c r="Y171" s="90">
        <f t="shared" si="134"/>
        <v>4225.3239992296285</v>
      </c>
      <c r="Z171" s="86">
        <f t="shared" si="135"/>
        <v>13740.903109999999</v>
      </c>
      <c r="AA171" s="85">
        <f t="shared" si="136"/>
        <v>-913.46204712425447</v>
      </c>
      <c r="AB171" s="85">
        <f t="shared" si="137"/>
        <v>1427.7864375631516</v>
      </c>
      <c r="AC171" s="90">
        <f t="shared" si="138"/>
        <v>913.46204712425447</v>
      </c>
      <c r="AD171" s="86">
        <f t="shared" si="139"/>
        <v>14073.041520000001</v>
      </c>
      <c r="AE171" s="85">
        <f t="shared" si="140"/>
        <v>4140.4375383844126</v>
      </c>
      <c r="AF171" s="85">
        <f t="shared" si="141"/>
        <v>5569.4660526787138</v>
      </c>
      <c r="AG171" s="90">
        <f t="shared" si="142"/>
        <v>4140.4375383844126</v>
      </c>
      <c r="AH171" s="86">
        <f t="shared" si="143"/>
        <v>-13534.127420000001</v>
      </c>
      <c r="AI171" s="85">
        <f t="shared" si="144"/>
        <v>6238.0466047659793</v>
      </c>
      <c r="AJ171" s="85">
        <f t="shared" si="145"/>
        <v>-9196.4406268990751</v>
      </c>
      <c r="AK171" s="90">
        <f t="shared" si="146"/>
        <v>6238.0466047659793</v>
      </c>
      <c r="AM171" s="95">
        <f t="shared" si="147"/>
        <v>0</v>
      </c>
      <c r="AN171" s="95">
        <f t="shared" si="148"/>
        <v>0</v>
      </c>
      <c r="AO171" s="95">
        <f t="shared" si="149"/>
        <v>0</v>
      </c>
      <c r="AP171" s="95">
        <f t="shared" si="150"/>
        <v>0</v>
      </c>
      <c r="AQ171"/>
      <c r="AR171" s="95">
        <f t="shared" si="151"/>
        <v>0</v>
      </c>
      <c r="AS171" s="95">
        <f t="shared" si="152"/>
        <v>0</v>
      </c>
      <c r="AT171" s="95">
        <f>Geraetedaten!$B$94*ABS(SIN(RADIANS($A171)))</f>
        <v>114.44430312351871</v>
      </c>
      <c r="AU171" s="95">
        <f>Geraetedaten!$B$94*ABS(COS(RADIANS($A171)))</f>
        <v>103.04611337926417</v>
      </c>
      <c r="AV171" s="95">
        <f>((h_Aw_Sw+Geraetedaten!$B$18)/1000)*(AR171*AT171+AS171*AU171)/100</f>
        <v>0</v>
      </c>
      <c r="AX171" s="18">
        <f>(IF($X$19="ja",1,0))*Geraetedaten!$D$142*COS(RADIANS(2*A171))*(Geraetedaten!$B$154*r_K_D+r_K_SSw*F_SSw/10)/1000+Geraetedaten!$B$152</f>
        <v>594.79999999999995</v>
      </c>
      <c r="AY171" s="18">
        <f>(IF($X$19="ja",1,0))*Geraetedaten!$D$142*COS(RADIANS(2*A171))*(Geraetedaten!$B$157*r_K_D+r_K_SSw*F_SSw/10)/1000+Geraetedaten!$B$155</f>
        <v>537.4</v>
      </c>
      <c r="AZ171" s="201"/>
    </row>
    <row r="172" spans="1:52" ht="13.5" x14ac:dyDescent="0.25">
      <c r="A172" s="16">
        <v>133</v>
      </c>
      <c r="B172" s="16">
        <f t="shared" si="122"/>
        <v>317</v>
      </c>
      <c r="C172" s="19">
        <f t="shared" si="123"/>
        <v>66.899833934919229</v>
      </c>
      <c r="D172" s="17">
        <f t="shared" si="153"/>
        <v>-14531.269113934921</v>
      </c>
      <c r="E172" s="17">
        <f t="shared" si="124"/>
        <v>13393.84101606508</v>
      </c>
      <c r="F172" s="17">
        <f t="shared" si="125"/>
        <v>14232.84490606508</v>
      </c>
      <c r="G172" s="17">
        <f t="shared" si="126"/>
        <v>-13351.895393934919</v>
      </c>
      <c r="H172" s="17">
        <f t="shared" si="155"/>
        <v>13393.84101606508</v>
      </c>
      <c r="I172" s="17">
        <f t="shared" si="127"/>
        <v>1398.6754050372999</v>
      </c>
      <c r="J172" s="20">
        <f>(Geraetedaten!$B$152+(Geraetedaten!$B$153*(Geraetedaten!$B$18+d_y_Sw)/1000))*10</f>
        <v>6051.0442000000003</v>
      </c>
      <c r="K172" s="20">
        <f>(Geraetedaten!$B$165+(Geraetedaten!$B$166*(Geraetedaten!$B$18+d_y_Sw)/1000))*10</f>
        <v>10816.164000000001</v>
      </c>
      <c r="L172" s="20">
        <f>(Geraetedaten!$B$158+(Geraetedaten!$B$159*(Geraetedaten!$B$18+d_y_Sw)/1000)-(Geraetedaten!$B$160*I172/1000))*10</f>
        <v>498.97173254861457</v>
      </c>
      <c r="M172" s="20">
        <f>(Geraetedaten!$B$171+(Geraetedaten!$B$172*(Geraetedaten!$B$18+d_y_Sw)/1000)-(Geraetedaten!$B$173*I172/1000))*10</f>
        <v>960.74960284902431</v>
      </c>
      <c r="N172" s="20">
        <f>IF((H172-J172)/(K172-J172)*(Geraetedaten!$B$174-Geraetedaten!$B$161)&lt;Geraetedaten!$B$174,(H172-J172)/(K172-J172)*(Geraetedaten!$B$174-Geraetedaten!$B$161),Geraetedaten!$B$174)</f>
        <v>400</v>
      </c>
      <c r="O172" s="20">
        <f>N172/Geraetedaten!$B$174*(M172-L172)+L172+C172</f>
        <v>1027.6494367839437</v>
      </c>
      <c r="P172" s="20">
        <f t="shared" si="154"/>
        <v>263.85843630720194</v>
      </c>
      <c r="Q172" s="20"/>
      <c r="R172" s="21">
        <f>(N172-Geraetedaten!$B$161)/(Geraetedaten!$B$174-Geraetedaten!$B$161)*(Geraetedaten!$B$175-Geraetedaten!$B$162)+Geraetedaten!$B$162</f>
        <v>41.1</v>
      </c>
      <c r="S172" s="21">
        <f t="shared" si="128"/>
        <v>41.1</v>
      </c>
      <c r="T172" s="21">
        <f t="shared" si="129"/>
        <v>30.058637136547912</v>
      </c>
      <c r="U172" s="88">
        <f t="shared" si="130"/>
        <v>-28.030132598568684</v>
      </c>
      <c r="V172" s="86">
        <f t="shared" si="131"/>
        <v>-14464.369280000001</v>
      </c>
      <c r="W172" s="85">
        <f t="shared" si="132"/>
        <v>-4225.3239992296285</v>
      </c>
      <c r="X172" s="85">
        <f t="shared" si="133"/>
        <v>-5779.7332567278845</v>
      </c>
      <c r="Y172" s="90">
        <f t="shared" si="134"/>
        <v>4225.3239992296285</v>
      </c>
      <c r="Z172" s="86">
        <f t="shared" si="135"/>
        <v>13460.74085</v>
      </c>
      <c r="AA172" s="85">
        <f t="shared" si="136"/>
        <v>-913.46204712425447</v>
      </c>
      <c r="AB172" s="85">
        <f t="shared" si="137"/>
        <v>1398.6754050372999</v>
      </c>
      <c r="AC172" s="90">
        <f t="shared" si="138"/>
        <v>913.46204712425447</v>
      </c>
      <c r="AD172" s="86">
        <f t="shared" si="139"/>
        <v>14299.74474</v>
      </c>
      <c r="AE172" s="85">
        <f t="shared" si="140"/>
        <v>4140.4375383844126</v>
      </c>
      <c r="AF172" s="85">
        <f t="shared" si="141"/>
        <v>5659.1848139202657</v>
      </c>
      <c r="AG172" s="90">
        <f t="shared" si="142"/>
        <v>4140.4375383844126</v>
      </c>
      <c r="AH172" s="86">
        <f t="shared" si="143"/>
        <v>-13284.995559999999</v>
      </c>
      <c r="AI172" s="85">
        <f t="shared" si="144"/>
        <v>6238.0466047659793</v>
      </c>
      <c r="AJ172" s="85">
        <f t="shared" si="145"/>
        <v>-9027.1555075638043</v>
      </c>
      <c r="AK172" s="90">
        <f t="shared" si="146"/>
        <v>6238.0466047659793</v>
      </c>
      <c r="AM172" s="95">
        <f t="shared" si="147"/>
        <v>0</v>
      </c>
      <c r="AN172" s="95">
        <f t="shared" si="148"/>
        <v>0</v>
      </c>
      <c r="AO172" s="95">
        <f t="shared" si="149"/>
        <v>0</v>
      </c>
      <c r="AP172" s="95">
        <f t="shared" si="150"/>
        <v>0</v>
      </c>
      <c r="AQ172"/>
      <c r="AR172" s="95">
        <f t="shared" si="151"/>
        <v>0</v>
      </c>
      <c r="AS172" s="95">
        <f t="shared" si="152"/>
        <v>0</v>
      </c>
      <c r="AT172" s="95">
        <f>Geraetedaten!$B$94*ABS(SIN(RADIANS($A172)))</f>
        <v>112.62847004935227</v>
      </c>
      <c r="AU172" s="95">
        <f>Geraetedaten!$B$94*ABS(COS(RADIANS($A172)))</f>
        <v>105.02774744962475</v>
      </c>
      <c r="AV172" s="95">
        <f>((h_Aw_Sw+Geraetedaten!$B$18)/1000)*(AR172*AT172+AS172*AU172)/100</f>
        <v>0</v>
      </c>
      <c r="AX172" s="18">
        <f>(IF($X$19="ja",1,0))*Geraetedaten!$D$142*COS(RADIANS(2*A172))*(Geraetedaten!$B$154*r_K_D+r_K_SSw*F_SSw/10)/1000+Geraetedaten!$B$152</f>
        <v>594.79999999999995</v>
      </c>
      <c r="AY172" s="18">
        <f>(IF($X$19="ja",1,0))*Geraetedaten!$D$142*COS(RADIANS(2*A172))*(Geraetedaten!$B$157*r_K_D+r_K_SSw*F_SSw/10)/1000+Geraetedaten!$B$155</f>
        <v>537.4</v>
      </c>
      <c r="AZ172" s="201"/>
    </row>
    <row r="173" spans="1:52" ht="13.5" x14ac:dyDescent="0.25">
      <c r="A173" s="16">
        <v>134</v>
      </c>
      <c r="B173" s="16">
        <f t="shared" si="122"/>
        <v>316</v>
      </c>
      <c r="C173" s="19">
        <f t="shared" si="123"/>
        <v>66.515500640696956</v>
      </c>
      <c r="D173" s="17">
        <f t="shared" si="153"/>
        <v>-14772.669480640696</v>
      </c>
      <c r="E173" s="17">
        <f t="shared" si="124"/>
        <v>13129.198449359303</v>
      </c>
      <c r="F173" s="17">
        <f t="shared" si="125"/>
        <v>14471.857019359304</v>
      </c>
      <c r="G173" s="17">
        <f t="shared" si="126"/>
        <v>-13115.288240640697</v>
      </c>
      <c r="H173" s="17">
        <f t="shared" si="155"/>
        <v>13129.198449359303</v>
      </c>
      <c r="I173" s="17">
        <f t="shared" si="127"/>
        <v>1371.1370542451889</v>
      </c>
      <c r="J173" s="20">
        <f>(Geraetedaten!$B$152+(Geraetedaten!$B$153*(Geraetedaten!$B$18+d_y_Sw)/1000))*10</f>
        <v>6051.0442000000003</v>
      </c>
      <c r="K173" s="20">
        <f>(Geraetedaten!$B$165+(Geraetedaten!$B$166*(Geraetedaten!$B$18+d_y_Sw)/1000))*10</f>
        <v>10816.164000000001</v>
      </c>
      <c r="L173" s="20">
        <f>(Geraetedaten!$B$158+(Geraetedaten!$B$159*(Geraetedaten!$B$18+d_y_Sw)/1000)-(Geraetedaten!$B$160*I173/1000))*10</f>
        <v>500.99111981220005</v>
      </c>
      <c r="M173" s="20">
        <f>(Geraetedaten!$B$171+(Geraetedaten!$B$172*(Geraetedaten!$B$18+d_y_Sw)/1000)-(Geraetedaten!$B$173*I173/1000))*10</f>
        <v>962.79955768198897</v>
      </c>
      <c r="N173" s="20">
        <f>IF((H173-J173)/(K173-J173)*(Geraetedaten!$B$174-Geraetedaten!$B$161)&lt;Geraetedaten!$B$174,(H173-J173)/(K173-J173)*(Geraetedaten!$B$174-Geraetedaten!$B$161),Geraetedaten!$B$174)</f>
        <v>400</v>
      </c>
      <c r="O173" s="20">
        <f>N173/Geraetedaten!$B$174*(M173-L173)+L173+C173</f>
        <v>1029.3150583226859</v>
      </c>
      <c r="P173" s="20">
        <f t="shared" si="154"/>
        <v>264.10290810761541</v>
      </c>
      <c r="Q173" s="20"/>
      <c r="R173" s="21">
        <f>(N173-Geraetedaten!$B$161)/(Geraetedaten!$B$174-Geraetedaten!$B$161)*(Geraetedaten!$B$175-Geraetedaten!$B$162)+Geraetedaten!$B$162</f>
        <v>41.1</v>
      </c>
      <c r="S173" s="21">
        <f t="shared" si="128"/>
        <v>41.1</v>
      </c>
      <c r="T173" s="21">
        <f t="shared" si="129"/>
        <v>29.56486579391856</v>
      </c>
      <c r="U173" s="88">
        <f t="shared" si="130"/>
        <v>-28.550459025864793</v>
      </c>
      <c r="V173" s="86">
        <f t="shared" si="131"/>
        <v>-14706.153979999999</v>
      </c>
      <c r="W173" s="85">
        <f t="shared" si="132"/>
        <v>-4225.3239992296285</v>
      </c>
      <c r="X173" s="85">
        <f t="shared" si="133"/>
        <v>-5876.3465979277153</v>
      </c>
      <c r="Y173" s="90">
        <f t="shared" si="134"/>
        <v>4225.3239992296285</v>
      </c>
      <c r="Z173" s="86">
        <f t="shared" si="135"/>
        <v>13195.713949999999</v>
      </c>
      <c r="AA173" s="85">
        <f t="shared" si="136"/>
        <v>-913.46204712425447</v>
      </c>
      <c r="AB173" s="85">
        <f t="shared" si="137"/>
        <v>1371.1370542451889</v>
      </c>
      <c r="AC173" s="90">
        <f t="shared" si="138"/>
        <v>913.46204712425447</v>
      </c>
      <c r="AD173" s="86">
        <f t="shared" si="139"/>
        <v>14538.372520000001</v>
      </c>
      <c r="AE173" s="85">
        <f t="shared" si="140"/>
        <v>4140.4375383844126</v>
      </c>
      <c r="AF173" s="85">
        <f t="shared" si="141"/>
        <v>5753.6227726885973</v>
      </c>
      <c r="AG173" s="90">
        <f t="shared" si="142"/>
        <v>4140.4375383844126</v>
      </c>
      <c r="AH173" s="86">
        <f t="shared" si="143"/>
        <v>-13048.77274</v>
      </c>
      <c r="AI173" s="85">
        <f t="shared" si="144"/>
        <v>6238.0466047659793</v>
      </c>
      <c r="AJ173" s="85">
        <f t="shared" si="145"/>
        <v>-8866.6420788313717</v>
      </c>
      <c r="AK173" s="90">
        <f t="shared" si="146"/>
        <v>6238.0466047659793</v>
      </c>
      <c r="AM173" s="95">
        <f t="shared" si="147"/>
        <v>0</v>
      </c>
      <c r="AN173" s="95">
        <f t="shared" si="148"/>
        <v>0</v>
      </c>
      <c r="AO173" s="95">
        <f t="shared" si="149"/>
        <v>0</v>
      </c>
      <c r="AP173" s="95">
        <f t="shared" si="150"/>
        <v>0</v>
      </c>
      <c r="AQ173"/>
      <c r="AR173" s="95">
        <f t="shared" si="151"/>
        <v>0</v>
      </c>
      <c r="AS173" s="95">
        <f t="shared" si="152"/>
        <v>0</v>
      </c>
      <c r="AT173" s="95">
        <f>Geraetedaten!$B$94*ABS(SIN(RADIANS($A173)))</f>
        <v>110.77832925215226</v>
      </c>
      <c r="AU173" s="95">
        <f>Geraetedaten!$B$94*ABS(COS(RADIANS($A173)))</f>
        <v>106.97738905068559</v>
      </c>
      <c r="AV173" s="95">
        <f>((h_Aw_Sw+Geraetedaten!$B$18)/1000)*(AR173*AT173+AS173*AU173)/100</f>
        <v>0</v>
      </c>
      <c r="AX173" s="18">
        <f>(IF($X$19="ja",1,0))*Geraetedaten!$D$142*COS(RADIANS(2*A173))*(Geraetedaten!$B$154*r_K_D+r_K_SSw*F_SSw/10)/1000+Geraetedaten!$B$152</f>
        <v>594.79999999999995</v>
      </c>
      <c r="AY173" s="18">
        <f>(IF($X$19="ja",1,0))*Geraetedaten!$D$142*COS(RADIANS(2*A173))*(Geraetedaten!$B$157*r_K_D+r_K_SSw*F_SSw/10)/1000+Geraetedaten!$B$155</f>
        <v>537.4</v>
      </c>
      <c r="AZ173" s="201"/>
    </row>
    <row r="174" spans="1:52" ht="13.5" x14ac:dyDescent="0.25">
      <c r="A174" s="16">
        <v>135</v>
      </c>
      <c r="B174" s="16">
        <f t="shared" si="122"/>
        <v>315</v>
      </c>
      <c r="C174" s="19">
        <f t="shared" si="123"/>
        <v>66.110906080629391</v>
      </c>
      <c r="D174" s="17">
        <f t="shared" si="153"/>
        <v>-15026.904956080631</v>
      </c>
      <c r="E174" s="17">
        <f t="shared" si="124"/>
        <v>12878.677773919369</v>
      </c>
      <c r="F174" s="17">
        <f t="shared" si="125"/>
        <v>14723.57031391937</v>
      </c>
      <c r="G174" s="17">
        <f t="shared" si="126"/>
        <v>-12890.752956080631</v>
      </c>
      <c r="H174" s="17">
        <f t="shared" si="155"/>
        <v>12878.677773919369</v>
      </c>
      <c r="I174" s="17">
        <f t="shared" si="127"/>
        <v>1345.0639719865376</v>
      </c>
      <c r="J174" s="20">
        <f>(Geraetedaten!$B$152+(Geraetedaten!$B$153*(Geraetedaten!$B$18+d_y_Sw)/1000))*10</f>
        <v>6051.0442000000003</v>
      </c>
      <c r="K174" s="20">
        <f>(Geraetedaten!$B$165+(Geraetedaten!$B$166*(Geraetedaten!$B$18+d_y_Sw)/1000))*10</f>
        <v>10816.164000000001</v>
      </c>
      <c r="L174" s="20">
        <f>(Geraetedaten!$B$158+(Geraetedaten!$B$159*(Geraetedaten!$B$18+d_y_Sw)/1000)-(Geraetedaten!$B$160*I174/1000))*10</f>
        <v>502.90305893422698</v>
      </c>
      <c r="M174" s="20">
        <f>(Geraetedaten!$B$171+(Geraetedaten!$B$172*(Geraetedaten!$B$18+d_y_Sw)/1000)-(Geraetedaten!$B$173*I174/1000))*10</f>
        <v>964.74043792532314</v>
      </c>
      <c r="N174" s="20">
        <f>IF((H174-J174)/(K174-J174)*(Geraetedaten!$B$174-Geraetedaten!$B$161)&lt;Geraetedaten!$B$174,(H174-J174)/(K174-J174)*(Geraetedaten!$B$174-Geraetedaten!$B$161),Geraetedaten!$B$174)</f>
        <v>400</v>
      </c>
      <c r="O174" s="20">
        <f>N174/Geraetedaten!$B$174*(M174-L174)+L174+C174</f>
        <v>1030.8513440059526</v>
      </c>
      <c r="P174" s="20">
        <f t="shared" si="154"/>
        <v>264.32362101895046</v>
      </c>
      <c r="Q174" s="20"/>
      <c r="R174" s="21">
        <f>(N174-Geraetedaten!$B$161)/(Geraetedaten!$B$174-Geraetedaten!$B$161)*(Geraetedaten!$B$175-Geraetedaten!$B$162)+Geraetedaten!$B$162</f>
        <v>41.1</v>
      </c>
      <c r="S174" s="21">
        <f t="shared" si="128"/>
        <v>41.1</v>
      </c>
      <c r="T174" s="21">
        <f t="shared" si="129"/>
        <v>29.062088706767106</v>
      </c>
      <c r="U174" s="88">
        <f t="shared" si="130"/>
        <v>-29.062088706767103</v>
      </c>
      <c r="V174" s="86">
        <f t="shared" si="131"/>
        <v>-14960.79405</v>
      </c>
      <c r="W174" s="85">
        <f t="shared" si="132"/>
        <v>-4225.3239992296285</v>
      </c>
      <c r="X174" s="85">
        <f t="shared" si="133"/>
        <v>-5978.0967460599932</v>
      </c>
      <c r="Y174" s="90">
        <f t="shared" si="134"/>
        <v>4225.3239992296285</v>
      </c>
      <c r="Z174" s="86">
        <f t="shared" si="135"/>
        <v>12944.78868</v>
      </c>
      <c r="AA174" s="85">
        <f t="shared" si="136"/>
        <v>-913.46204712425447</v>
      </c>
      <c r="AB174" s="85">
        <f t="shared" si="137"/>
        <v>1345.0639719865376</v>
      </c>
      <c r="AC174" s="90">
        <f t="shared" si="138"/>
        <v>913.46204712425447</v>
      </c>
      <c r="AD174" s="86">
        <f t="shared" si="139"/>
        <v>14789.68122</v>
      </c>
      <c r="AE174" s="85">
        <f t="shared" si="140"/>
        <v>4140.4375383844126</v>
      </c>
      <c r="AF174" s="85">
        <f t="shared" si="141"/>
        <v>5853.0792603709197</v>
      </c>
      <c r="AG174" s="90">
        <f t="shared" si="142"/>
        <v>4140.4375383844126</v>
      </c>
      <c r="AH174" s="86">
        <f t="shared" si="143"/>
        <v>-12824.64205</v>
      </c>
      <c r="AI174" s="85">
        <f t="shared" si="144"/>
        <v>6238.0466047659793</v>
      </c>
      <c r="AJ174" s="85">
        <f t="shared" si="145"/>
        <v>-8714.3452577682092</v>
      </c>
      <c r="AK174" s="90">
        <f t="shared" si="146"/>
        <v>6238.0466047659793</v>
      </c>
      <c r="AM174" s="95">
        <f t="shared" si="147"/>
        <v>0</v>
      </c>
      <c r="AN174" s="95">
        <f t="shared" si="148"/>
        <v>0</v>
      </c>
      <c r="AO174" s="95">
        <f t="shared" si="149"/>
        <v>0</v>
      </c>
      <c r="AP174" s="95">
        <f t="shared" si="150"/>
        <v>0</v>
      </c>
      <c r="AQ174"/>
      <c r="AR174" s="95">
        <f t="shared" si="151"/>
        <v>0</v>
      </c>
      <c r="AS174" s="95">
        <f t="shared" si="152"/>
        <v>0</v>
      </c>
      <c r="AT174" s="95">
        <f>Geraetedaten!$B$94*ABS(SIN(RADIANS($A174)))</f>
        <v>108.89444430272833</v>
      </c>
      <c r="AU174" s="95">
        <f>Geraetedaten!$B$94*ABS(COS(RADIANS($A174)))</f>
        <v>108.8944443027283</v>
      </c>
      <c r="AV174" s="95">
        <f>((h_Aw_Sw+Geraetedaten!$B$18)/1000)*(AR174*AT174+AS174*AU174)/100</f>
        <v>0</v>
      </c>
      <c r="AX174" s="18">
        <f>(IF($X$19="ja",1,0))*Geraetedaten!$D$142*COS(RADIANS(2*A174))*(Geraetedaten!$B$154*r_K_D+r_K_SSw*F_SSw/10)/1000+Geraetedaten!$B$152</f>
        <v>594.79999999999995</v>
      </c>
      <c r="AY174" s="18">
        <f>(IF($X$19="ja",1,0))*Geraetedaten!$D$142*COS(RADIANS(2*A174))*(Geraetedaten!$B$157*r_K_D+r_K_SSw*F_SSw/10)/1000+Geraetedaten!$B$155</f>
        <v>537.4</v>
      </c>
      <c r="AZ174" s="201"/>
    </row>
    <row r="175" spans="1:52" ht="13.5" x14ac:dyDescent="0.25">
      <c r="A175" s="16">
        <v>136</v>
      </c>
      <c r="B175" s="16">
        <f t="shared" si="122"/>
        <v>314</v>
      </c>
      <c r="C175" s="19">
        <f t="shared" si="123"/>
        <v>65.686173498138928</v>
      </c>
      <c r="D175" s="17">
        <f t="shared" si="153"/>
        <v>-15294.814653498139</v>
      </c>
      <c r="E175" s="17">
        <f t="shared" si="124"/>
        <v>12641.34063650186</v>
      </c>
      <c r="F175" s="17">
        <f t="shared" si="125"/>
        <v>14988.81116650186</v>
      </c>
      <c r="G175" s="17">
        <f t="shared" si="126"/>
        <v>-12677.543843498139</v>
      </c>
      <c r="H175" s="17">
        <f t="shared" si="155"/>
        <v>12641.34063650186</v>
      </c>
      <c r="I175" s="17">
        <f t="shared" si="127"/>
        <v>1320.3586685176754</v>
      </c>
      <c r="J175" s="20">
        <f>(Geraetedaten!$B$152+(Geraetedaten!$B$153*(Geraetedaten!$B$18+d_y_Sw)/1000))*10</f>
        <v>6051.0442000000003</v>
      </c>
      <c r="K175" s="20">
        <f>(Geraetedaten!$B$165+(Geraetedaten!$B$166*(Geraetedaten!$B$18+d_y_Sw)/1000))*10</f>
        <v>10816.164000000001</v>
      </c>
      <c r="L175" s="20">
        <f>(Geraetedaten!$B$158+(Geraetedaten!$B$159*(Geraetedaten!$B$18+d_y_Sw)/1000)-(Geraetedaten!$B$160*I175/1000))*10</f>
        <v>504.71469883759869</v>
      </c>
      <c r="M175" s="20">
        <f>(Geraetedaten!$B$171+(Geraetedaten!$B$172*(Geraetedaten!$B$18+d_y_Sw)/1000)-(Geraetedaten!$B$173*I175/1000))*10</f>
        <v>966.57950071554524</v>
      </c>
      <c r="N175" s="20">
        <f>IF((H175-J175)/(K175-J175)*(Geraetedaten!$B$174-Geraetedaten!$B$161)&lt;Geraetedaten!$B$174,(H175-J175)/(K175-J175)*(Geraetedaten!$B$174-Geraetedaten!$B$161),Geraetedaten!$B$174)</f>
        <v>400</v>
      </c>
      <c r="O175" s="20">
        <f>N175/Geraetedaten!$B$174*(M175-L175)+L175+C175</f>
        <v>1032.2656742136842</v>
      </c>
      <c r="P175" s="20">
        <f t="shared" si="154"/>
        <v>264.52188912548331</v>
      </c>
      <c r="Q175" s="20"/>
      <c r="R175" s="21">
        <f>(N175-Geraetedaten!$B$161)/(Geraetedaten!$B$174-Geraetedaten!$B$161)*(Geraetedaten!$B$175-Geraetedaten!$B$162)+Geraetedaten!$B$162</f>
        <v>41.1</v>
      </c>
      <c r="S175" s="21">
        <f t="shared" si="128"/>
        <v>41.1</v>
      </c>
      <c r="T175" s="21">
        <f t="shared" si="129"/>
        <v>28.550459025864782</v>
      </c>
      <c r="U175" s="88">
        <f t="shared" si="130"/>
        <v>-29.564865793918564</v>
      </c>
      <c r="V175" s="86">
        <f t="shared" si="131"/>
        <v>-15229.128479999999</v>
      </c>
      <c r="W175" s="85">
        <f t="shared" si="132"/>
        <v>-4225.3239992296285</v>
      </c>
      <c r="X175" s="85">
        <f t="shared" si="133"/>
        <v>-6085.3189403151</v>
      </c>
      <c r="Y175" s="90">
        <f t="shared" si="134"/>
        <v>4225.3239992296285</v>
      </c>
      <c r="Z175" s="86">
        <f t="shared" si="135"/>
        <v>12707.026809999999</v>
      </c>
      <c r="AA175" s="85">
        <f t="shared" si="136"/>
        <v>-913.46204712425447</v>
      </c>
      <c r="AB175" s="85">
        <f t="shared" si="137"/>
        <v>1320.3586685176754</v>
      </c>
      <c r="AC175" s="90">
        <f t="shared" si="138"/>
        <v>913.46204712425447</v>
      </c>
      <c r="AD175" s="86">
        <f t="shared" si="139"/>
        <v>15054.49734</v>
      </c>
      <c r="AE175" s="85">
        <f t="shared" si="140"/>
        <v>4140.4375383844126</v>
      </c>
      <c r="AF175" s="85">
        <f t="shared" si="141"/>
        <v>5957.8813679477062</v>
      </c>
      <c r="AG175" s="90">
        <f t="shared" si="142"/>
        <v>4140.4375383844126</v>
      </c>
      <c r="AH175" s="86">
        <f t="shared" si="143"/>
        <v>-12611.857669999999</v>
      </c>
      <c r="AI175" s="85">
        <f t="shared" si="144"/>
        <v>6238.0466047659793</v>
      </c>
      <c r="AJ175" s="85">
        <f t="shared" si="145"/>
        <v>-8569.7582576632267</v>
      </c>
      <c r="AK175" s="90">
        <f t="shared" si="146"/>
        <v>6238.0466047659793</v>
      </c>
      <c r="AM175" s="95">
        <f t="shared" si="147"/>
        <v>0</v>
      </c>
      <c r="AN175" s="95">
        <f t="shared" si="148"/>
        <v>0</v>
      </c>
      <c r="AO175" s="95">
        <f t="shared" si="149"/>
        <v>0</v>
      </c>
      <c r="AP175" s="95">
        <f t="shared" si="150"/>
        <v>0</v>
      </c>
      <c r="AQ175"/>
      <c r="AR175" s="95">
        <f t="shared" si="151"/>
        <v>0</v>
      </c>
      <c r="AS175" s="95">
        <f t="shared" si="152"/>
        <v>0</v>
      </c>
      <c r="AT175" s="95">
        <f>Geraetedaten!$B$94*ABS(SIN(RADIANS($A175)))</f>
        <v>106.97738905068556</v>
      </c>
      <c r="AU175" s="95">
        <f>Geraetedaten!$B$94*ABS(COS(RADIANS($A175)))</f>
        <v>110.77832925215229</v>
      </c>
      <c r="AV175" s="95">
        <f>((h_Aw_Sw+Geraetedaten!$B$18)/1000)*(AR175*AT175+AS175*AU175)/100</f>
        <v>0</v>
      </c>
      <c r="AX175" s="18">
        <f>(IF($X$19="ja",1,0))*Geraetedaten!$D$142*COS(RADIANS(2*A175))*(Geraetedaten!$B$154*r_K_D+r_K_SSw*F_SSw/10)/1000+Geraetedaten!$B$152</f>
        <v>594.79999999999995</v>
      </c>
      <c r="AY175" s="18">
        <f>(IF($X$19="ja",1,0))*Geraetedaten!$D$142*COS(RADIANS(2*A175))*(Geraetedaten!$B$157*r_K_D+r_K_SSw*F_SSw/10)/1000+Geraetedaten!$B$155</f>
        <v>537.4</v>
      </c>
      <c r="AZ175" s="201"/>
    </row>
    <row r="176" spans="1:52" ht="13.5" x14ac:dyDescent="0.25">
      <c r="A176" s="16">
        <v>137</v>
      </c>
      <c r="B176" s="16">
        <f t="shared" si="122"/>
        <v>313</v>
      </c>
      <c r="C176" s="19">
        <f t="shared" si="123"/>
        <v>65.241432270884701</v>
      </c>
      <c r="D176" s="17">
        <f t="shared" si="153"/>
        <v>-15577.317172270885</v>
      </c>
      <c r="E176" s="17">
        <f t="shared" si="124"/>
        <v>12416.333537729115</v>
      </c>
      <c r="F176" s="17">
        <f t="shared" si="125"/>
        <v>15268.484207729116</v>
      </c>
      <c r="G176" s="17">
        <f t="shared" si="126"/>
        <v>-12474.978882270885</v>
      </c>
      <c r="H176" s="17">
        <f t="shared" si="155"/>
        <v>12416.333537729115</v>
      </c>
      <c r="I176" s="17">
        <f t="shared" si="127"/>
        <v>1296.9324728629331</v>
      </c>
      <c r="J176" s="20">
        <f>(Geraetedaten!$B$152+(Geraetedaten!$B$153*(Geraetedaten!$B$18+d_y_Sw)/1000))*10</f>
        <v>6051.0442000000003</v>
      </c>
      <c r="K176" s="20">
        <f>(Geraetedaten!$B$165+(Geraetedaten!$B$166*(Geraetedaten!$B$18+d_y_Sw)/1000))*10</f>
        <v>10816.164000000001</v>
      </c>
      <c r="L176" s="20">
        <f>(Geraetedaten!$B$158+(Geraetedaten!$B$159*(Geraetedaten!$B$18+d_y_Sw)/1000)-(Geraetedaten!$B$160*I176/1000))*10</f>
        <v>506.43254176496089</v>
      </c>
      <c r="M176" s="20">
        <f>(Geraetedaten!$B$171+(Geraetedaten!$B$172*(Geraetedaten!$B$18+d_y_Sw)/1000)-(Geraetedaten!$B$173*I176/1000))*10</f>
        <v>968.32334672008415</v>
      </c>
      <c r="N176" s="20">
        <f>IF((H176-J176)/(K176-J176)*(Geraetedaten!$B$174-Geraetedaten!$B$161)&lt;Geraetedaten!$B$174,(H176-J176)/(K176-J176)*(Geraetedaten!$B$174-Geraetedaten!$B$161),Geraetedaten!$B$174)</f>
        <v>400</v>
      </c>
      <c r="O176" s="20">
        <f>N176/Geraetedaten!$B$174*(M176-L176)+L176+C176</f>
        <v>1033.5647789909688</v>
      </c>
      <c r="P176" s="20">
        <f t="shared" si="154"/>
        <v>264.69890856615206</v>
      </c>
      <c r="Q176" s="20"/>
      <c r="R176" s="21">
        <f>(N176-Geraetedaten!$B$161)/(Geraetedaten!$B$174-Geraetedaten!$B$161)*(Geraetedaten!$B$175-Geraetedaten!$B$162)+Geraetedaten!$B$162</f>
        <v>41.1</v>
      </c>
      <c r="S176" s="21">
        <f t="shared" si="128"/>
        <v>41.1</v>
      </c>
      <c r="T176" s="21">
        <f t="shared" si="129"/>
        <v>28.030132598568692</v>
      </c>
      <c r="U176" s="88">
        <f t="shared" si="130"/>
        <v>-30.058637136547908</v>
      </c>
      <c r="V176" s="86">
        <f t="shared" si="131"/>
        <v>-15512.07574</v>
      </c>
      <c r="W176" s="85">
        <f t="shared" si="132"/>
        <v>-4225.3239992296285</v>
      </c>
      <c r="X176" s="85">
        <f t="shared" si="133"/>
        <v>-6198.3801901050674</v>
      </c>
      <c r="Y176" s="90">
        <f t="shared" si="134"/>
        <v>4225.3239992296285</v>
      </c>
      <c r="Z176" s="86">
        <f t="shared" si="135"/>
        <v>12481.57497</v>
      </c>
      <c r="AA176" s="85">
        <f t="shared" si="136"/>
        <v>-913.46204712425447</v>
      </c>
      <c r="AB176" s="85">
        <f t="shared" si="137"/>
        <v>1296.9324728629331</v>
      </c>
      <c r="AC176" s="90">
        <f t="shared" si="138"/>
        <v>913.46204712425447</v>
      </c>
      <c r="AD176" s="86">
        <f t="shared" si="139"/>
        <v>15333.725640000001</v>
      </c>
      <c r="AE176" s="85">
        <f t="shared" si="140"/>
        <v>4140.4375383844126</v>
      </c>
      <c r="AF176" s="85">
        <f t="shared" si="141"/>
        <v>6068.3871530373881</v>
      </c>
      <c r="AG176" s="90">
        <f t="shared" si="142"/>
        <v>4140.4375383844126</v>
      </c>
      <c r="AH176" s="86">
        <f t="shared" si="143"/>
        <v>-12409.737450000001</v>
      </c>
      <c r="AI176" s="85">
        <f t="shared" si="144"/>
        <v>6238.0466047659793</v>
      </c>
      <c r="AJ176" s="85">
        <f t="shared" si="145"/>
        <v>-8432.4175522965652</v>
      </c>
      <c r="AK176" s="90">
        <f t="shared" si="146"/>
        <v>6238.0466047659793</v>
      </c>
      <c r="AM176" s="95">
        <f t="shared" si="147"/>
        <v>0</v>
      </c>
      <c r="AN176" s="95">
        <f t="shared" si="148"/>
        <v>0</v>
      </c>
      <c r="AO176" s="95">
        <f t="shared" si="149"/>
        <v>0</v>
      </c>
      <c r="AP176" s="95">
        <f t="shared" si="150"/>
        <v>0</v>
      </c>
      <c r="AQ176"/>
      <c r="AR176" s="95">
        <f t="shared" si="151"/>
        <v>0</v>
      </c>
      <c r="AS176" s="95">
        <f t="shared" si="152"/>
        <v>0</v>
      </c>
      <c r="AT176" s="95">
        <f>Geraetedaten!$B$94*ABS(SIN(RADIANS($A176)))</f>
        <v>105.02774744962478</v>
      </c>
      <c r="AU176" s="95">
        <f>Geraetedaten!$B$94*ABS(COS(RADIANS($A176)))</f>
        <v>112.62847004935225</v>
      </c>
      <c r="AV176" s="95">
        <f>((h_Aw_Sw+Geraetedaten!$B$18)/1000)*(AR176*AT176+AS176*AU176)/100</f>
        <v>0</v>
      </c>
      <c r="AX176" s="18">
        <f>(IF($X$19="ja",1,0))*Geraetedaten!$D$142*COS(RADIANS(2*A176))*(Geraetedaten!$B$154*r_K_D+r_K_SSw*F_SSw/10)/1000+Geraetedaten!$B$152</f>
        <v>594.79999999999995</v>
      </c>
      <c r="AY176" s="18">
        <f>(IF($X$19="ja",1,0))*Geraetedaten!$D$142*COS(RADIANS(2*A176))*(Geraetedaten!$B$157*r_K_D+r_K_SSw*F_SSw/10)/1000+Geraetedaten!$B$155</f>
        <v>537.4</v>
      </c>
      <c r="AZ176" s="201"/>
    </row>
    <row r="177" spans="1:52" ht="13.5" x14ac:dyDescent="0.25">
      <c r="A177" s="16">
        <v>138</v>
      </c>
      <c r="B177" s="16">
        <f t="shared" si="122"/>
        <v>312</v>
      </c>
      <c r="C177" s="19">
        <f t="shared" si="123"/>
        <v>64.776817871352804</v>
      </c>
      <c r="D177" s="17">
        <f t="shared" si="153"/>
        <v>-15875.420047871352</v>
      </c>
      <c r="E177" s="17">
        <f t="shared" si="124"/>
        <v>12202.878612128648</v>
      </c>
      <c r="F177" s="17">
        <f t="shared" si="125"/>
        <v>15563.581542128648</v>
      </c>
      <c r="G177" s="17">
        <f t="shared" si="126"/>
        <v>-12282.433217871352</v>
      </c>
      <c r="H177" s="17">
        <f t="shared" si="155"/>
        <v>12202.878612128648</v>
      </c>
      <c r="I177" s="17">
        <f t="shared" si="127"/>
        <v>1274.7045730902285</v>
      </c>
      <c r="J177" s="20">
        <f>(Geraetedaten!$B$152+(Geraetedaten!$B$153*(Geraetedaten!$B$18+d_y_Sw)/1000))*10</f>
        <v>6051.0442000000003</v>
      </c>
      <c r="K177" s="20">
        <f>(Geraetedaten!$B$165+(Geraetedaten!$B$166*(Geraetedaten!$B$18+d_y_Sw)/1000))*10</f>
        <v>10816.164000000001</v>
      </c>
      <c r="L177" s="20">
        <f>(Geraetedaten!$B$158+(Geraetedaten!$B$159*(Geraetedaten!$B$18+d_y_Sw)/1000)-(Geraetedaten!$B$160*I177/1000))*10</f>
        <v>508.06251365529334</v>
      </c>
      <c r="M177" s="20">
        <f>(Geraetedaten!$B$171+(Geraetedaten!$B$172*(Geraetedaten!$B$18+d_y_Sw)/1000)-(Geraetedaten!$B$173*I177/1000))*10</f>
        <v>969.97799157916438</v>
      </c>
      <c r="N177" s="20">
        <f>IF((H177-J177)/(K177-J177)*(Geraetedaten!$B$174-Geraetedaten!$B$161)&lt;Geraetedaten!$B$174,(H177-J177)/(K177-J177)*(Geraetedaten!$B$174-Geraetedaten!$B$161),Geraetedaten!$B$174)</f>
        <v>400</v>
      </c>
      <c r="O177" s="20">
        <f>N177/Geraetedaten!$B$174*(M177-L177)+L177+C177</f>
        <v>1034.7548094505171</v>
      </c>
      <c r="P177" s="20">
        <f t="shared" si="154"/>
        <v>264.85577090003613</v>
      </c>
      <c r="Q177" s="20"/>
      <c r="R177" s="21">
        <f>(N177-Geraetedaten!$B$161)/(Geraetedaten!$B$174-Geraetedaten!$B$161)*(Geraetedaten!$B$175-Geraetedaten!$B$162)+Geraetedaten!$B$162</f>
        <v>41.1</v>
      </c>
      <c r="S177" s="21">
        <f t="shared" si="128"/>
        <v>41.1</v>
      </c>
      <c r="T177" s="21">
        <f t="shared" si="129"/>
        <v>27.501267921349079</v>
      </c>
      <c r="U177" s="88">
        <f t="shared" si="130"/>
        <v>-30.543252327120896</v>
      </c>
      <c r="V177" s="86">
        <f t="shared" si="131"/>
        <v>-15810.64323</v>
      </c>
      <c r="W177" s="85">
        <f t="shared" si="132"/>
        <v>-4225.3239992296285</v>
      </c>
      <c r="X177" s="85">
        <f t="shared" si="133"/>
        <v>-6317.6830405057835</v>
      </c>
      <c r="Y177" s="90">
        <f t="shared" si="134"/>
        <v>4225.3239992296285</v>
      </c>
      <c r="Z177" s="86">
        <f t="shared" si="135"/>
        <v>12267.655430000001</v>
      </c>
      <c r="AA177" s="85">
        <f t="shared" si="136"/>
        <v>-913.46204712425447</v>
      </c>
      <c r="AB177" s="85">
        <f t="shared" si="137"/>
        <v>1274.7045730902285</v>
      </c>
      <c r="AC177" s="90">
        <f t="shared" si="138"/>
        <v>913.46204712425447</v>
      </c>
      <c r="AD177" s="86">
        <f t="shared" si="139"/>
        <v>15628.35836</v>
      </c>
      <c r="AE177" s="85">
        <f t="shared" si="140"/>
        <v>4140.4375383844126</v>
      </c>
      <c r="AF177" s="85">
        <f t="shared" si="141"/>
        <v>6184.9893057527415</v>
      </c>
      <c r="AG177" s="90">
        <f t="shared" si="142"/>
        <v>4140.4375383844126</v>
      </c>
      <c r="AH177" s="86">
        <f t="shared" si="143"/>
        <v>-12217.6564</v>
      </c>
      <c r="AI177" s="85">
        <f t="shared" si="144"/>
        <v>6238.0466047659793</v>
      </c>
      <c r="AJ177" s="85">
        <f t="shared" si="145"/>
        <v>-8301.8984617101378</v>
      </c>
      <c r="AK177" s="90">
        <f t="shared" si="146"/>
        <v>6238.0466047659793</v>
      </c>
      <c r="AM177" s="95">
        <f t="shared" si="147"/>
        <v>0</v>
      </c>
      <c r="AN177" s="95">
        <f t="shared" si="148"/>
        <v>0</v>
      </c>
      <c r="AO177" s="95">
        <f t="shared" si="149"/>
        <v>0</v>
      </c>
      <c r="AP177" s="95">
        <f t="shared" si="150"/>
        <v>0</v>
      </c>
      <c r="AQ177"/>
      <c r="AR177" s="95">
        <f t="shared" si="151"/>
        <v>0</v>
      </c>
      <c r="AS177" s="95">
        <f t="shared" si="152"/>
        <v>0</v>
      </c>
      <c r="AT177" s="95">
        <f>Geraetedaten!$B$94*ABS(SIN(RADIANS($A177)))</f>
        <v>103.04611337926418</v>
      </c>
      <c r="AU177" s="95">
        <f>Geraetedaten!$B$94*ABS(COS(RADIANS($A177)))</f>
        <v>114.44430312351868</v>
      </c>
      <c r="AV177" s="95">
        <f>((h_Aw_Sw+Geraetedaten!$B$18)/1000)*(AR177*AT177+AS177*AU177)/100</f>
        <v>0</v>
      </c>
      <c r="AX177" s="18">
        <f>(IF($X$19="ja",1,0))*Geraetedaten!$D$142*COS(RADIANS(2*A177))*(Geraetedaten!$B$154*r_K_D+r_K_SSw*F_SSw/10)/1000+Geraetedaten!$B$152</f>
        <v>594.79999999999995</v>
      </c>
      <c r="AY177" s="18">
        <f>(IF($X$19="ja",1,0))*Geraetedaten!$D$142*COS(RADIANS(2*A177))*(Geraetedaten!$B$157*r_K_D+r_K_SSw*F_SSw/10)/1000+Geraetedaten!$B$155</f>
        <v>537.4</v>
      </c>
      <c r="AZ177" s="201"/>
    </row>
    <row r="178" spans="1:52" ht="13.5" x14ac:dyDescent="0.25">
      <c r="A178" s="16">
        <v>139</v>
      </c>
      <c r="B178" s="16">
        <f t="shared" si="122"/>
        <v>311</v>
      </c>
      <c r="C178" s="19">
        <f t="shared" si="123"/>
        <v>64.292471825590184</v>
      </c>
      <c r="D178" s="17">
        <f t="shared" si="153"/>
        <v>-16190.230591825592</v>
      </c>
      <c r="E178" s="17">
        <f t="shared" si="124"/>
        <v>12000.265578174409</v>
      </c>
      <c r="F178" s="17">
        <f t="shared" si="125"/>
        <v>15875.193418174409</v>
      </c>
      <c r="G178" s="17">
        <f t="shared" si="126"/>
        <v>-12099.333451825591</v>
      </c>
      <c r="H178" s="17">
        <f t="shared" si="155"/>
        <v>12000.265578174409</v>
      </c>
      <c r="I178" s="17">
        <f t="shared" si="127"/>
        <v>1253.6011798647376</v>
      </c>
      <c r="J178" s="20">
        <f>(Geraetedaten!$B$152+(Geraetedaten!$B$153*(Geraetedaten!$B$18+d_y_Sw)/1000))*10</f>
        <v>6051.0442000000003</v>
      </c>
      <c r="K178" s="20">
        <f>(Geraetedaten!$B$165+(Geraetedaten!$B$166*(Geraetedaten!$B$18+d_y_Sw)/1000))*10</f>
        <v>10816.164000000001</v>
      </c>
      <c r="L178" s="20">
        <f>(Geraetedaten!$B$158+(Geraetedaten!$B$159*(Geraetedaten!$B$18+d_y_Sw)/1000)-(Geraetedaten!$B$160*I178/1000))*10</f>
        <v>509.61002548051852</v>
      </c>
      <c r="M178" s="20">
        <f>(Geraetedaten!$B$171+(Geraetedaten!$B$172*(Geraetedaten!$B$18+d_y_Sw)/1000)-(Geraetedaten!$B$173*I178/1000))*10</f>
        <v>971.54892817086989</v>
      </c>
      <c r="N178" s="20">
        <f>IF((H178-J178)/(K178-J178)*(Geraetedaten!$B$174-Geraetedaten!$B$161)&lt;Geraetedaten!$B$174,(H178-J178)/(K178-J178)*(Geraetedaten!$B$174-Geraetedaten!$B$161),Geraetedaten!$B$174)</f>
        <v>400</v>
      </c>
      <c r="O178" s="20">
        <f>N178/Geraetedaten!$B$174*(M178-L178)+L178+C178</f>
        <v>1035.84139999646</v>
      </c>
      <c r="P178" s="20">
        <f t="shared" si="154"/>
        <v>264.99347470537077</v>
      </c>
      <c r="Q178" s="20"/>
      <c r="R178" s="21">
        <f>(N178-Geraetedaten!$B$161)/(Geraetedaten!$B$174-Geraetedaten!$B$161)*(Geraetedaten!$B$175-Geraetedaten!$B$162)+Geraetedaten!$B$162</f>
        <v>41.1</v>
      </c>
      <c r="S178" s="21">
        <f t="shared" si="128"/>
        <v>41.1</v>
      </c>
      <c r="T178" s="21">
        <f t="shared" si="129"/>
        <v>26.964026091509851</v>
      </c>
      <c r="U178" s="88">
        <f t="shared" si="130"/>
        <v>-31.01856374715593</v>
      </c>
      <c r="V178" s="86">
        <f t="shared" si="131"/>
        <v>-16125.938120000001</v>
      </c>
      <c r="W178" s="85">
        <f t="shared" si="132"/>
        <v>-4225.3239992296285</v>
      </c>
      <c r="X178" s="85">
        <f t="shared" si="133"/>
        <v>-6443.6698899838921</v>
      </c>
      <c r="Y178" s="90">
        <f t="shared" si="134"/>
        <v>4225.3239992296285</v>
      </c>
      <c r="Z178" s="86">
        <f t="shared" si="135"/>
        <v>12064.55805</v>
      </c>
      <c r="AA178" s="85">
        <f t="shared" si="136"/>
        <v>-913.46204712425447</v>
      </c>
      <c r="AB178" s="85">
        <f t="shared" si="137"/>
        <v>1253.6011798647376</v>
      </c>
      <c r="AC178" s="90">
        <f t="shared" si="138"/>
        <v>913.46204712425447</v>
      </c>
      <c r="AD178" s="86">
        <f t="shared" si="139"/>
        <v>15939.48589</v>
      </c>
      <c r="AE178" s="85">
        <f t="shared" si="140"/>
        <v>4140.4375383844126</v>
      </c>
      <c r="AF178" s="85">
        <f t="shared" si="141"/>
        <v>6308.1193516126359</v>
      </c>
      <c r="AG178" s="90">
        <f t="shared" si="142"/>
        <v>4140.4375383844126</v>
      </c>
      <c r="AH178" s="86">
        <f t="shared" si="143"/>
        <v>-12035.04098</v>
      </c>
      <c r="AI178" s="85">
        <f t="shared" si="144"/>
        <v>6238.0466047659793</v>
      </c>
      <c r="AJ178" s="85">
        <f t="shared" si="145"/>
        <v>-8177.8112720277795</v>
      </c>
      <c r="AK178" s="90">
        <f t="shared" si="146"/>
        <v>6238.0466047659793</v>
      </c>
      <c r="AM178" s="95">
        <f t="shared" si="147"/>
        <v>0</v>
      </c>
      <c r="AN178" s="95">
        <f t="shared" si="148"/>
        <v>0</v>
      </c>
      <c r="AO178" s="95">
        <f t="shared" si="149"/>
        <v>0</v>
      </c>
      <c r="AP178" s="95">
        <f t="shared" si="150"/>
        <v>0</v>
      </c>
      <c r="AQ178"/>
      <c r="AR178" s="95">
        <f t="shared" si="151"/>
        <v>0</v>
      </c>
      <c r="AS178" s="95">
        <f t="shared" si="152"/>
        <v>0</v>
      </c>
      <c r="AT178" s="95">
        <f>Geraetedaten!$B$94*ABS(SIN(RADIANS($A178)))</f>
        <v>101.03309046453812</v>
      </c>
      <c r="AU178" s="95">
        <f>Geraetedaten!$B$94*ABS(COS(RADIANS($A178)))</f>
        <v>116.22527535430689</v>
      </c>
      <c r="AV178" s="95">
        <f>((h_Aw_Sw+Geraetedaten!$B$18)/1000)*(AR178*AT178+AS178*AU178)/100</f>
        <v>0</v>
      </c>
      <c r="AX178" s="18">
        <f>(IF($X$19="ja",1,0))*Geraetedaten!$D$142*COS(RADIANS(2*A178))*(Geraetedaten!$B$154*r_K_D+r_K_SSw*F_SSw/10)/1000+Geraetedaten!$B$152</f>
        <v>594.79999999999995</v>
      </c>
      <c r="AY178" s="18">
        <f>(IF($X$19="ja",1,0))*Geraetedaten!$D$142*COS(RADIANS(2*A178))*(Geraetedaten!$B$157*r_K_D+r_K_SSw*F_SSw/10)/1000+Geraetedaten!$B$155</f>
        <v>537.4</v>
      </c>
      <c r="AZ178" s="201"/>
    </row>
    <row r="179" spans="1:52" ht="13.5" x14ac:dyDescent="0.25">
      <c r="A179" s="16">
        <v>140</v>
      </c>
      <c r="B179" s="16">
        <f t="shared" si="122"/>
        <v>310</v>
      </c>
      <c r="C179" s="19">
        <f t="shared" si="123"/>
        <v>63.788541670094311</v>
      </c>
      <c r="D179" s="17">
        <f t="shared" si="153"/>
        <v>-16522.968241670096</v>
      </c>
      <c r="E179" s="17">
        <f t="shared" si="124"/>
        <v>11807.844698329905</v>
      </c>
      <c r="F179" s="17">
        <f t="shared" si="125"/>
        <v>16204.520438329906</v>
      </c>
      <c r="G179" s="17">
        <f t="shared" si="126"/>
        <v>-11925.152641670094</v>
      </c>
      <c r="H179" s="17">
        <f t="shared" si="155"/>
        <v>11807.844698329905</v>
      </c>
      <c r="I179" s="17">
        <f t="shared" si="127"/>
        <v>1233.5547952264185</v>
      </c>
      <c r="J179" s="20">
        <f>(Geraetedaten!$B$152+(Geraetedaten!$B$153*(Geraetedaten!$B$18+d_y_Sw)/1000))*10</f>
        <v>6051.0442000000003</v>
      </c>
      <c r="K179" s="20">
        <f>(Geraetedaten!$B$165+(Geraetedaten!$B$166*(Geraetedaten!$B$18+d_y_Sw)/1000))*10</f>
        <v>10816.164000000001</v>
      </c>
      <c r="L179" s="20">
        <f>(Geraetedaten!$B$158+(Geraetedaten!$B$159*(Geraetedaten!$B$18+d_y_Sw)/1000)-(Geraetedaten!$B$160*I179/1000))*10</f>
        <v>511.08002686604652</v>
      </c>
      <c r="M179" s="20">
        <f>(Geraetedaten!$B$171+(Geraetedaten!$B$172*(Geraetedaten!$B$18+d_y_Sw)/1000)-(Geraetedaten!$B$173*I179/1000))*10</f>
        <v>973.04118104334634</v>
      </c>
      <c r="N179" s="20">
        <f>IF((H179-J179)/(K179-J179)*(Geraetedaten!$B$174-Geraetedaten!$B$161)&lt;Geraetedaten!$B$174,(H179-J179)/(K179-J179)*(Geraetedaten!$B$174-Geraetedaten!$B$161),Geraetedaten!$B$174)</f>
        <v>400</v>
      </c>
      <c r="O179" s="20">
        <f>N179/Geraetedaten!$B$174*(M179-L179)+L179+C179</f>
        <v>1036.8297227134406</v>
      </c>
      <c r="P179" s="20">
        <f t="shared" si="154"/>
        <v>265.11293567782468</v>
      </c>
      <c r="Q179" s="20"/>
      <c r="R179" s="21">
        <f>(N179-Geraetedaten!$B$161)/(Geraetedaten!$B$174-Geraetedaten!$B$161)*(Geraetedaten!$B$175-Geraetedaten!$B$162)+Geraetedaten!$B$162</f>
        <v>41.1</v>
      </c>
      <c r="S179" s="21">
        <f t="shared" si="128"/>
        <v>41.1</v>
      </c>
      <c r="T179" s="21">
        <f t="shared" si="129"/>
        <v>26.418570758116772</v>
      </c>
      <c r="U179" s="88">
        <f t="shared" si="130"/>
        <v>-31.484426612189992</v>
      </c>
      <c r="V179" s="86">
        <f t="shared" si="131"/>
        <v>-16459.179700000001</v>
      </c>
      <c r="W179" s="85">
        <f t="shared" si="132"/>
        <v>-4225.3239992296285</v>
      </c>
      <c r="X179" s="85">
        <f t="shared" si="133"/>
        <v>-6576.8279570734148</v>
      </c>
      <c r="Y179" s="90">
        <f t="shared" si="134"/>
        <v>4225.3239992296285</v>
      </c>
      <c r="Z179" s="86">
        <f t="shared" si="135"/>
        <v>11871.633239999999</v>
      </c>
      <c r="AA179" s="85">
        <f t="shared" si="136"/>
        <v>-913.46204712425447</v>
      </c>
      <c r="AB179" s="85">
        <f t="shared" si="137"/>
        <v>1233.5547952264185</v>
      </c>
      <c r="AC179" s="90">
        <f t="shared" si="138"/>
        <v>913.46204712425447</v>
      </c>
      <c r="AD179" s="86">
        <f t="shared" si="139"/>
        <v>16268.30898</v>
      </c>
      <c r="AE179" s="85">
        <f t="shared" si="140"/>
        <v>4140.4375383844126</v>
      </c>
      <c r="AF179" s="85">
        <f t="shared" si="141"/>
        <v>6438.2524853953382</v>
      </c>
      <c r="AG179" s="90">
        <f t="shared" si="142"/>
        <v>4140.4375383844126</v>
      </c>
      <c r="AH179" s="86">
        <f t="shared" si="143"/>
        <v>-11861.364100000001</v>
      </c>
      <c r="AI179" s="85">
        <f t="shared" si="144"/>
        <v>6238.0466047659793</v>
      </c>
      <c r="AJ179" s="85">
        <f t="shared" si="145"/>
        <v>-8059.7978156727495</v>
      </c>
      <c r="AK179" s="90">
        <f t="shared" si="146"/>
        <v>6238.0466047659793</v>
      </c>
      <c r="AM179" s="95">
        <f t="shared" si="147"/>
        <v>0</v>
      </c>
      <c r="AN179" s="95">
        <f t="shared" si="148"/>
        <v>0</v>
      </c>
      <c r="AO179" s="95">
        <f t="shared" si="149"/>
        <v>0</v>
      </c>
      <c r="AP179" s="95">
        <f t="shared" si="150"/>
        <v>0</v>
      </c>
      <c r="AQ179"/>
      <c r="AR179" s="95">
        <f t="shared" si="151"/>
        <v>0</v>
      </c>
      <c r="AS179" s="95">
        <f t="shared" si="152"/>
        <v>0</v>
      </c>
      <c r="AT179" s="95">
        <f>Geraetedaten!$B$94*ABS(SIN(RADIANS($A179)))</f>
        <v>98.989291891727078</v>
      </c>
      <c r="AU179" s="95">
        <f>Geraetedaten!$B$94*ABS(COS(RADIANS($A179)))</f>
        <v>117.97084424032259</v>
      </c>
      <c r="AV179" s="95">
        <f>((h_Aw_Sw+Geraetedaten!$B$18)/1000)*(AR179*AT179+AS179*AU179)/100</f>
        <v>0</v>
      </c>
      <c r="AX179" s="18">
        <f>(IF($X$19="ja",1,0))*Geraetedaten!$D$142*COS(RADIANS(2*A179))*(Geraetedaten!$B$154*r_K_D+r_K_SSw*F_SSw/10)/1000+Geraetedaten!$B$152</f>
        <v>594.79999999999995</v>
      </c>
      <c r="AY179" s="18">
        <f>(IF($X$19="ja",1,0))*Geraetedaten!$D$142*COS(RADIANS(2*A179))*(Geraetedaten!$B$157*r_K_D+r_K_SSw*F_SSw/10)/1000+Geraetedaten!$B$155</f>
        <v>537.4</v>
      </c>
      <c r="AZ179" s="201"/>
    </row>
    <row r="180" spans="1:52" ht="13.5" x14ac:dyDescent="0.25">
      <c r="A180" s="16">
        <v>141</v>
      </c>
      <c r="B180" s="16">
        <f t="shared" si="122"/>
        <v>309</v>
      </c>
      <c r="C180" s="19">
        <f t="shared" si="123"/>
        <v>63.265180906872246</v>
      </c>
      <c r="D180" s="17">
        <f t="shared" si="153"/>
        <v>-16874.978990906875</v>
      </c>
      <c r="E180" s="17">
        <f t="shared" si="124"/>
        <v>11625.020589093128</v>
      </c>
      <c r="F180" s="17">
        <f t="shared" si="125"/>
        <v>16552.887599093126</v>
      </c>
      <c r="G180" s="17">
        <f t="shared" si="126"/>
        <v>-11759.405800906872</v>
      </c>
      <c r="H180" s="17">
        <f t="shared" si="155"/>
        <v>11625.020589093128</v>
      </c>
      <c r="I180" s="17">
        <f t="shared" si="127"/>
        <v>1214.5035714988883</v>
      </c>
      <c r="J180" s="20">
        <f>(Geraetedaten!$B$152+(Geraetedaten!$B$153*(Geraetedaten!$B$18+d_y_Sw)/1000))*10</f>
        <v>6051.0442000000003</v>
      </c>
      <c r="K180" s="20">
        <f>(Geraetedaten!$B$165+(Geraetedaten!$B$166*(Geraetedaten!$B$18+d_y_Sw)/1000))*10</f>
        <v>10816.164000000001</v>
      </c>
      <c r="L180" s="20">
        <f>(Geraetedaten!$B$158+(Geraetedaten!$B$159*(Geraetedaten!$B$18+d_y_Sw)/1000)-(Geraetedaten!$B$160*I180/1000))*10</f>
        <v>512.47705310198626</v>
      </c>
      <c r="M180" s="20">
        <f>(Geraetedaten!$B$171+(Geraetedaten!$B$172*(Geraetedaten!$B$18+d_y_Sw)/1000)-(Geraetedaten!$B$173*I180/1000))*10</f>
        <v>974.45935413762368</v>
      </c>
      <c r="N180" s="20">
        <f>IF((H180-J180)/(K180-J180)*(Geraetedaten!$B$174-Geraetedaten!$B$161)&lt;Geraetedaten!$B$174,(H180-J180)/(K180-J180)*(Geraetedaten!$B$174-Geraetedaten!$B$161),Geraetedaten!$B$174)</f>
        <v>400</v>
      </c>
      <c r="O180" s="20">
        <f>N180/Geraetedaten!$B$174*(M180-L180)+L180+C180</f>
        <v>1037.724535044496</v>
      </c>
      <c r="P180" s="20">
        <f t="shared" si="154"/>
        <v>265.21499544901241</v>
      </c>
      <c r="Q180" s="20"/>
      <c r="R180" s="21">
        <f>(N180-Geraetedaten!$B$161)/(Geraetedaten!$B$174-Geraetedaten!$B$161)*(Geraetedaten!$B$175-Geraetedaten!$B$162)+Geraetedaten!$B$162</f>
        <v>41.1</v>
      </c>
      <c r="S180" s="21">
        <f t="shared" si="128"/>
        <v>41.1</v>
      </c>
      <c r="T180" s="21">
        <f t="shared" si="129"/>
        <v>25.865068072148318</v>
      </c>
      <c r="U180" s="88">
        <f t="shared" si="130"/>
        <v>-31.940699015881506</v>
      </c>
      <c r="V180" s="86">
        <f t="shared" si="131"/>
        <v>-16811.713810000001</v>
      </c>
      <c r="W180" s="85">
        <f t="shared" si="132"/>
        <v>-4225.3239992296285</v>
      </c>
      <c r="X180" s="85">
        <f t="shared" si="133"/>
        <v>-6717.6950125113617</v>
      </c>
      <c r="Y180" s="90">
        <f t="shared" si="134"/>
        <v>4225.3239992296285</v>
      </c>
      <c r="Z180" s="86">
        <f t="shared" si="135"/>
        <v>11688.28577</v>
      </c>
      <c r="AA180" s="85">
        <f t="shared" si="136"/>
        <v>-913.46204712425447</v>
      </c>
      <c r="AB180" s="85">
        <f t="shared" si="137"/>
        <v>1214.5035714988883</v>
      </c>
      <c r="AC180" s="90">
        <f t="shared" si="138"/>
        <v>913.46204712425447</v>
      </c>
      <c r="AD180" s="86">
        <f t="shared" si="139"/>
        <v>16616.15278</v>
      </c>
      <c r="AE180" s="85">
        <f t="shared" si="140"/>
        <v>4140.4375383844126</v>
      </c>
      <c r="AF180" s="85">
        <f t="shared" si="141"/>
        <v>6575.9131490692062</v>
      </c>
      <c r="AG180" s="90">
        <f t="shared" si="142"/>
        <v>4140.4375383844126</v>
      </c>
      <c r="AH180" s="86">
        <f t="shared" si="143"/>
        <v>-11696.14062</v>
      </c>
      <c r="AI180" s="85">
        <f t="shared" si="144"/>
        <v>6238.0466047659793</v>
      </c>
      <c r="AJ180" s="85">
        <f t="shared" si="145"/>
        <v>-7947.5284497286066</v>
      </c>
      <c r="AK180" s="90">
        <f t="shared" si="146"/>
        <v>6238.0466047659793</v>
      </c>
      <c r="AM180" s="95">
        <f t="shared" si="147"/>
        <v>0</v>
      </c>
      <c r="AN180" s="95">
        <f t="shared" si="148"/>
        <v>0</v>
      </c>
      <c r="AO180" s="95">
        <f t="shared" si="149"/>
        <v>0</v>
      </c>
      <c r="AP180" s="95">
        <f t="shared" si="150"/>
        <v>0</v>
      </c>
      <c r="AQ180"/>
      <c r="AR180" s="95">
        <f t="shared" si="151"/>
        <v>0</v>
      </c>
      <c r="AS180" s="95">
        <f t="shared" si="152"/>
        <v>0</v>
      </c>
      <c r="AT180" s="95">
        <f>Geraetedaten!$B$94*ABS(SIN(RADIANS($A180)))</f>
        <v>96.915340221674953</v>
      </c>
      <c r="AU180" s="95">
        <f>Geraetedaten!$B$94*ABS(COS(RADIANS($A180)))</f>
        <v>119.68047806437352</v>
      </c>
      <c r="AV180" s="95">
        <f>((h_Aw_Sw+Geraetedaten!$B$18)/1000)*(AR180*AT180+AS180*AU180)/100</f>
        <v>0</v>
      </c>
      <c r="AX180" s="18">
        <f>(IF($X$19="ja",1,0))*Geraetedaten!$D$142*COS(RADIANS(2*A180))*(Geraetedaten!$B$154*r_K_D+r_K_SSw*F_SSw/10)/1000+Geraetedaten!$B$152</f>
        <v>594.79999999999995</v>
      </c>
      <c r="AY180" s="18">
        <f>(IF($X$19="ja",1,0))*Geraetedaten!$D$142*COS(RADIANS(2*A180))*(Geraetedaten!$B$157*r_K_D+r_K_SSw*F_SSw/10)/1000+Geraetedaten!$B$155</f>
        <v>537.4</v>
      </c>
      <c r="AZ180" s="201"/>
    </row>
    <row r="181" spans="1:52" ht="13.5" x14ac:dyDescent="0.25">
      <c r="A181" s="16">
        <v>142</v>
      </c>
      <c r="B181" s="16">
        <f t="shared" si="122"/>
        <v>308</v>
      </c>
      <c r="C181" s="19">
        <f t="shared" si="123"/>
        <v>62.722548956682395</v>
      </c>
      <c r="D181" s="17">
        <f t="shared" si="153"/>
        <v>-17247.751938956681</v>
      </c>
      <c r="E181" s="17">
        <f t="shared" si="124"/>
        <v>11451.246851043317</v>
      </c>
      <c r="F181" s="17">
        <f t="shared" si="125"/>
        <v>16921.760671043317</v>
      </c>
      <c r="G181" s="17">
        <f t="shared" si="126"/>
        <v>-11601.646008956683</v>
      </c>
      <c r="H181" s="17">
        <f t="shared" si="155"/>
        <v>11451.246851043317</v>
      </c>
      <c r="I181" s="17">
        <f t="shared" si="127"/>
        <v>1196.3907476634215</v>
      </c>
      <c r="J181" s="20">
        <f>(Geraetedaten!$B$152+(Geraetedaten!$B$153*(Geraetedaten!$B$18+d_y_Sw)/1000))*10</f>
        <v>6051.0442000000003</v>
      </c>
      <c r="K181" s="20">
        <f>(Geraetedaten!$B$165+(Geraetedaten!$B$166*(Geraetedaten!$B$18+d_y_Sw)/1000))*10</f>
        <v>10816.164000000001</v>
      </c>
      <c r="L181" s="20">
        <f>(Geraetedaten!$B$158+(Geraetedaten!$B$159*(Geraetedaten!$B$18+d_y_Sw)/1000)-(Geraetedaten!$B$160*I181/1000))*10</f>
        <v>513.80526647384102</v>
      </c>
      <c r="M181" s="20">
        <f>(Geraetedaten!$B$171+(Geraetedaten!$B$172*(Geraetedaten!$B$18+d_y_Sw)/1000)-(Geraetedaten!$B$173*I181/1000))*10</f>
        <v>975.80767274393577</v>
      </c>
      <c r="N181" s="20">
        <f>IF((H181-J181)/(K181-J181)*(Geraetedaten!$B$174-Geraetedaten!$B$161)&lt;Geraetedaten!$B$174,(H181-J181)/(K181-J181)*(Geraetedaten!$B$174-Geraetedaten!$B$161),Geraetedaten!$B$174)</f>
        <v>400</v>
      </c>
      <c r="O181" s="20">
        <f>N181/Geraetedaten!$B$174*(M181-L181)+L181+C181</f>
        <v>1038.5302217006181</v>
      </c>
      <c r="P181" s="20">
        <f t="shared" si="154"/>
        <v>265.3004293097548</v>
      </c>
      <c r="Q181" s="20"/>
      <c r="R181" s="21">
        <f>(N181-Geraetedaten!$B$161)/(Geraetedaten!$B$174-Geraetedaten!$B$161)*(Geraetedaten!$B$175-Geraetedaten!$B$162)+Geraetedaten!$B$162</f>
        <v>41.1</v>
      </c>
      <c r="S181" s="21">
        <f t="shared" si="128"/>
        <v>41.1</v>
      </c>
      <c r="T181" s="21">
        <f t="shared" si="129"/>
        <v>25.30368663588456</v>
      </c>
      <c r="U181" s="88">
        <f t="shared" si="130"/>
        <v>-32.387241973236272</v>
      </c>
      <c r="V181" s="86">
        <f t="shared" si="131"/>
        <v>-17185.02939</v>
      </c>
      <c r="W181" s="85">
        <f t="shared" si="132"/>
        <v>-4225.3239992296285</v>
      </c>
      <c r="X181" s="85">
        <f t="shared" si="133"/>
        <v>-6866.8660178882492</v>
      </c>
      <c r="Y181" s="90">
        <f t="shared" si="134"/>
        <v>4225.3239992296285</v>
      </c>
      <c r="Z181" s="86">
        <f t="shared" si="135"/>
        <v>11513.9694</v>
      </c>
      <c r="AA181" s="85">
        <f t="shared" si="136"/>
        <v>-913.46204712425447</v>
      </c>
      <c r="AB181" s="85">
        <f t="shared" si="137"/>
        <v>1196.3907476634215</v>
      </c>
      <c r="AC181" s="90">
        <f t="shared" si="138"/>
        <v>913.46204712425447</v>
      </c>
      <c r="AD181" s="86">
        <f t="shared" si="139"/>
        <v>16984.483219999998</v>
      </c>
      <c r="AE181" s="85">
        <f t="shared" si="140"/>
        <v>4140.4375383844126</v>
      </c>
      <c r="AF181" s="85">
        <f t="shared" si="141"/>
        <v>6721.6814907427761</v>
      </c>
      <c r="AG181" s="90">
        <f t="shared" si="142"/>
        <v>4140.4375383844126</v>
      </c>
      <c r="AH181" s="86">
        <f t="shared" si="143"/>
        <v>-11538.92346</v>
      </c>
      <c r="AI181" s="85">
        <f t="shared" si="144"/>
        <v>6238.0466047659793</v>
      </c>
      <c r="AJ181" s="85">
        <f t="shared" si="145"/>
        <v>-7840.6993796419674</v>
      </c>
      <c r="AK181" s="90">
        <f t="shared" si="146"/>
        <v>6238.0466047659793</v>
      </c>
      <c r="AM181" s="95">
        <f t="shared" si="147"/>
        <v>0</v>
      </c>
      <c r="AN181" s="95">
        <f t="shared" si="148"/>
        <v>0</v>
      </c>
      <c r="AO181" s="95">
        <f t="shared" si="149"/>
        <v>0</v>
      </c>
      <c r="AP181" s="95">
        <f t="shared" si="150"/>
        <v>0</v>
      </c>
      <c r="AQ181"/>
      <c r="AR181" s="95">
        <f t="shared" si="151"/>
        <v>0</v>
      </c>
      <c r="AS181" s="95">
        <f t="shared" si="152"/>
        <v>0</v>
      </c>
      <c r="AT181" s="95">
        <f>Geraetedaten!$B$94*ABS(SIN(RADIANS($A181)))</f>
        <v>94.811867200151397</v>
      </c>
      <c r="AU181" s="95">
        <f>Geraetedaten!$B$94*ABS(COS(RADIANS($A181)))</f>
        <v>121.35365605543517</v>
      </c>
      <c r="AV181" s="95">
        <f>((h_Aw_Sw+Geraetedaten!$B$18)/1000)*(AR181*AT181+AS181*AU181)/100</f>
        <v>0</v>
      </c>
      <c r="AX181" s="18">
        <f>(IF($X$19="ja",1,0))*Geraetedaten!$D$142*COS(RADIANS(2*A181))*(Geraetedaten!$B$154*r_K_D+r_K_SSw*F_SSw/10)/1000+Geraetedaten!$B$152</f>
        <v>594.79999999999995</v>
      </c>
      <c r="AY181" s="18">
        <f>(IF($X$19="ja",1,0))*Geraetedaten!$D$142*COS(RADIANS(2*A181))*(Geraetedaten!$B$157*r_K_D+r_K_SSw*F_SSw/10)/1000+Geraetedaten!$B$155</f>
        <v>537.4</v>
      </c>
      <c r="AZ181" s="201"/>
    </row>
    <row r="182" spans="1:52" ht="13.5" x14ac:dyDescent="0.25">
      <c r="A182" s="16">
        <v>143</v>
      </c>
      <c r="B182" s="16">
        <f t="shared" si="122"/>
        <v>307</v>
      </c>
      <c r="C182" s="19">
        <f t="shared" si="123"/>
        <v>62.160811110473347</v>
      </c>
      <c r="D182" s="17">
        <f t="shared" si="153"/>
        <v>-17642.938661110471</v>
      </c>
      <c r="E182" s="17">
        <f t="shared" si="124"/>
        <v>11286.021208889526</v>
      </c>
      <c r="F182" s="17">
        <f t="shared" si="125"/>
        <v>17312.765168889528</v>
      </c>
      <c r="G182" s="17">
        <f t="shared" si="126"/>
        <v>-11451.460891110475</v>
      </c>
      <c r="H182" s="17">
        <f t="shared" si="155"/>
        <v>11286.021208889526</v>
      </c>
      <c r="I182" s="17">
        <f t="shared" si="127"/>
        <v>1179.1641525280686</v>
      </c>
      <c r="J182" s="20">
        <f>(Geraetedaten!$B$152+(Geraetedaten!$B$153*(Geraetedaten!$B$18+d_y_Sw)/1000))*10</f>
        <v>6051.0442000000003</v>
      </c>
      <c r="K182" s="20">
        <f>(Geraetedaten!$B$165+(Geraetedaten!$B$166*(Geraetedaten!$B$18+d_y_Sw)/1000))*10</f>
        <v>10816.164000000001</v>
      </c>
      <c r="L182" s="20">
        <f>(Geraetedaten!$B$158+(Geraetedaten!$B$159*(Geraetedaten!$B$18+d_y_Sw)/1000)-(Geraetedaten!$B$160*I182/1000))*10</f>
        <v>515.06849269511645</v>
      </c>
      <c r="M182" s="20">
        <f>(Geraetedaten!$B$171+(Geraetedaten!$B$172*(Geraetedaten!$B$18+d_y_Sw)/1000)-(Geraetedaten!$B$173*I182/1000))*10</f>
        <v>977.09002048581158</v>
      </c>
      <c r="N182" s="20">
        <f>IF((H182-J182)/(K182-J182)*(Geraetedaten!$B$174-Geraetedaten!$B$161)&lt;Geraetedaten!$B$174,(H182-J182)/(K182-J182)*(Geraetedaten!$B$174-Geraetedaten!$B$161),Geraetedaten!$B$174)</f>
        <v>400</v>
      </c>
      <c r="O182" s="20">
        <f>N182/Geraetedaten!$B$174*(M182-L182)+L182+C182</f>
        <v>1039.250831596285</v>
      </c>
      <c r="P182" s="20">
        <f t="shared" si="154"/>
        <v>265.36995299277953</v>
      </c>
      <c r="Q182" s="20"/>
      <c r="R182" s="21">
        <f>(N182-Geraetedaten!$B$161)/(Geraetedaten!$B$174-Geraetedaten!$B$161)*(Geraetedaten!$B$175-Geraetedaten!$B$162)+Geraetedaten!$B$162</f>
        <v>41.1</v>
      </c>
      <c r="S182" s="21">
        <f t="shared" si="128"/>
        <v>41.1</v>
      </c>
      <c r="T182" s="21">
        <f t="shared" si="129"/>
        <v>24.734597451549181</v>
      </c>
      <c r="U182" s="88">
        <f t="shared" si="130"/>
        <v>-32.823919462943742</v>
      </c>
      <c r="V182" s="86">
        <f t="shared" si="131"/>
        <v>-17580.777849999999</v>
      </c>
      <c r="W182" s="85">
        <f t="shared" si="132"/>
        <v>-4225.3239992296285</v>
      </c>
      <c r="X182" s="85">
        <f t="shared" si="133"/>
        <v>-7025.000842391114</v>
      </c>
      <c r="Y182" s="90">
        <f t="shared" si="134"/>
        <v>4225.3239992296285</v>
      </c>
      <c r="Z182" s="86">
        <f t="shared" si="135"/>
        <v>11348.18202</v>
      </c>
      <c r="AA182" s="85">
        <f t="shared" si="136"/>
        <v>-913.46204712425447</v>
      </c>
      <c r="AB182" s="85">
        <f t="shared" si="137"/>
        <v>1179.1641525280686</v>
      </c>
      <c r="AC182" s="90">
        <f t="shared" si="138"/>
        <v>913.46204712425447</v>
      </c>
      <c r="AD182" s="86">
        <f t="shared" si="139"/>
        <v>17374.92598</v>
      </c>
      <c r="AE182" s="85">
        <f t="shared" si="140"/>
        <v>4140.4375383844126</v>
      </c>
      <c r="AF182" s="85">
        <f t="shared" si="141"/>
        <v>6876.2008711689568</v>
      </c>
      <c r="AG182" s="90">
        <f t="shared" si="142"/>
        <v>4140.4375383844126</v>
      </c>
      <c r="AH182" s="86">
        <f t="shared" si="143"/>
        <v>-11389.300080000001</v>
      </c>
      <c r="AI182" s="85">
        <f t="shared" si="144"/>
        <v>6238.0466047659793</v>
      </c>
      <c r="AJ182" s="85">
        <f t="shared" si="145"/>
        <v>-7739.0302833346068</v>
      </c>
      <c r="AK182" s="90">
        <f t="shared" si="146"/>
        <v>6238.0466047659793</v>
      </c>
      <c r="AM182" s="95">
        <f t="shared" si="147"/>
        <v>0</v>
      </c>
      <c r="AN182" s="95">
        <f t="shared" si="148"/>
        <v>0</v>
      </c>
      <c r="AO182" s="95">
        <f t="shared" si="149"/>
        <v>0</v>
      </c>
      <c r="AP182" s="95">
        <f t="shared" si="150"/>
        <v>0</v>
      </c>
      <c r="AQ182"/>
      <c r="AR182" s="95">
        <f t="shared" si="151"/>
        <v>0</v>
      </c>
      <c r="AS182" s="95">
        <f t="shared" si="152"/>
        <v>0</v>
      </c>
      <c r="AT182" s="95">
        <f>Geraetedaten!$B$94*ABS(SIN(RADIANS($A182)))</f>
        <v>92.679513565415419</v>
      </c>
      <c r="AU182" s="95">
        <f>Geraetedaten!$B$94*ABS(COS(RADIANS($A182)))</f>
        <v>122.98986854728311</v>
      </c>
      <c r="AV182" s="95">
        <f>((h_Aw_Sw+Geraetedaten!$B$18)/1000)*(AR182*AT182+AS182*AU182)/100</f>
        <v>0</v>
      </c>
      <c r="AX182" s="18">
        <f>(IF($X$19="ja",1,0))*Geraetedaten!$D$142*COS(RADIANS(2*A182))*(Geraetedaten!$B$154*r_K_D+r_K_SSw*F_SSw/10)/1000+Geraetedaten!$B$152</f>
        <v>594.79999999999995</v>
      </c>
      <c r="AY182" s="18">
        <f>(IF($X$19="ja",1,0))*Geraetedaten!$D$142*COS(RADIANS(2*A182))*(Geraetedaten!$B$157*r_K_D+r_K_SSw*F_SSw/10)/1000+Geraetedaten!$B$155</f>
        <v>537.4</v>
      </c>
      <c r="AZ182" s="201"/>
    </row>
    <row r="183" spans="1:52" ht="13.5" x14ac:dyDescent="0.25">
      <c r="A183" s="16">
        <v>144</v>
      </c>
      <c r="B183" s="16">
        <f t="shared" si="122"/>
        <v>306</v>
      </c>
      <c r="C183" s="19">
        <f t="shared" si="123"/>
        <v>61.580138479034765</v>
      </c>
      <c r="D183" s="17">
        <f t="shared" si="153"/>
        <v>-18062.375668479035</v>
      </c>
      <c r="E183" s="17">
        <f t="shared" si="124"/>
        <v>11128.881351520964</v>
      </c>
      <c r="F183" s="17">
        <f t="shared" si="125"/>
        <v>17727.708411520965</v>
      </c>
      <c r="G183" s="17">
        <f t="shared" si="126"/>
        <v>-11308.469518479036</v>
      </c>
      <c r="H183" s="17">
        <f t="shared" si="155"/>
        <v>11128.881351520964</v>
      </c>
      <c r="I183" s="17">
        <f t="shared" si="127"/>
        <v>1162.775765671164</v>
      </c>
      <c r="J183" s="20">
        <f>(Geraetedaten!$B$152+(Geraetedaten!$B$153*(Geraetedaten!$B$18+d_y_Sw)/1000))*10</f>
        <v>6051.0442000000003</v>
      </c>
      <c r="K183" s="20">
        <f>(Geraetedaten!$B$165+(Geraetedaten!$B$166*(Geraetedaten!$B$18+d_y_Sw)/1000))*10</f>
        <v>10816.164000000001</v>
      </c>
      <c r="L183" s="20">
        <f>(Geraetedaten!$B$158+(Geraetedaten!$B$159*(Geraetedaten!$B$18+d_y_Sw)/1000)-(Geraetedaten!$B$160*I183/1000))*10</f>
        <v>516.27025310333329</v>
      </c>
      <c r="M183" s="20">
        <f>(Geraetedaten!$B$171+(Geraetedaten!$B$172*(Geraetedaten!$B$18+d_y_Sw)/1000)-(Geraetedaten!$B$173*I183/1000))*10</f>
        <v>978.3099720034395</v>
      </c>
      <c r="N183" s="20">
        <f>IF((H183-J183)/(K183-J183)*(Geraetedaten!$B$174-Geraetedaten!$B$161)&lt;Geraetedaten!$B$174,(H183-J183)/(K183-J183)*(Geraetedaten!$B$174-Geraetedaten!$B$161),Geraetedaten!$B$174)</f>
        <v>400</v>
      </c>
      <c r="O183" s="20">
        <f>N183/Geraetedaten!$B$174*(M183-L183)+L183+C183</f>
        <v>1039.8901104824743</v>
      </c>
      <c r="P183" s="20">
        <f t="shared" si="154"/>
        <v>265.42422864503504</v>
      </c>
      <c r="Q183" s="20"/>
      <c r="R183" s="21">
        <f>(N183-Geraetedaten!$B$161)/(Geraetedaten!$B$174-Geraetedaten!$B$161)*(Geraetedaten!$B$175-Geraetedaten!$B$162)+Geraetedaten!$B$162</f>
        <v>41.1</v>
      </c>
      <c r="S183" s="21">
        <f t="shared" si="128"/>
        <v>41.1</v>
      </c>
      <c r="T183" s="21">
        <f t="shared" si="129"/>
        <v>24.157973869220651</v>
      </c>
      <c r="U183" s="88">
        <f t="shared" si="130"/>
        <v>-33.250598468810338</v>
      </c>
      <c r="V183" s="86">
        <f t="shared" si="131"/>
        <v>-18000.795529999999</v>
      </c>
      <c r="W183" s="85">
        <f t="shared" si="132"/>
        <v>-4225.3239992296285</v>
      </c>
      <c r="X183" s="85">
        <f t="shared" si="133"/>
        <v>-7192.8332673734812</v>
      </c>
      <c r="Y183" s="90">
        <f t="shared" si="134"/>
        <v>4225.3239992296285</v>
      </c>
      <c r="Z183" s="86">
        <f t="shared" si="135"/>
        <v>11190.46149</v>
      </c>
      <c r="AA183" s="85">
        <f t="shared" si="136"/>
        <v>-913.46204712425447</v>
      </c>
      <c r="AB183" s="85">
        <f t="shared" si="137"/>
        <v>1162.775765671164</v>
      </c>
      <c r="AC183" s="90">
        <f t="shared" si="138"/>
        <v>913.46204712425447</v>
      </c>
      <c r="AD183" s="86">
        <f t="shared" si="139"/>
        <v>17789.288550000001</v>
      </c>
      <c r="AE183" s="85">
        <f t="shared" si="140"/>
        <v>4140.4375383844126</v>
      </c>
      <c r="AF183" s="85">
        <f t="shared" si="141"/>
        <v>7040.1866213241874</v>
      </c>
      <c r="AG183" s="90">
        <f t="shared" si="142"/>
        <v>4140.4375383844126</v>
      </c>
      <c r="AH183" s="86">
        <f t="shared" si="143"/>
        <v>-11246.889380000001</v>
      </c>
      <c r="AI183" s="85">
        <f t="shared" si="144"/>
        <v>6238.0466047659793</v>
      </c>
      <c r="AJ183" s="85">
        <f t="shared" si="145"/>
        <v>-7642.2621973671203</v>
      </c>
      <c r="AK183" s="90">
        <f t="shared" si="146"/>
        <v>6238.0466047659793</v>
      </c>
      <c r="AM183" s="95">
        <f t="shared" si="147"/>
        <v>0</v>
      </c>
      <c r="AN183" s="95">
        <f t="shared" si="148"/>
        <v>0</v>
      </c>
      <c r="AO183" s="95">
        <f t="shared" si="149"/>
        <v>0</v>
      </c>
      <c r="AP183" s="95">
        <f t="shared" si="150"/>
        <v>0</v>
      </c>
      <c r="AQ183"/>
      <c r="AR183" s="95">
        <f t="shared" si="151"/>
        <v>0</v>
      </c>
      <c r="AS183" s="95">
        <f t="shared" si="152"/>
        <v>0</v>
      </c>
      <c r="AT183" s="95">
        <f>Geraetedaten!$B$94*ABS(SIN(RADIANS($A183)))</f>
        <v>90.518928853040876</v>
      </c>
      <c r="AU183" s="95">
        <f>Geraetedaten!$B$94*ABS(COS(RADIANS($A183)))</f>
        <v>124.58861713374189</v>
      </c>
      <c r="AV183" s="95">
        <f>((h_Aw_Sw+Geraetedaten!$B$18)/1000)*(AR183*AT183+AS183*AU183)/100</f>
        <v>0</v>
      </c>
      <c r="AX183" s="18">
        <f>(IF($X$19="ja",1,0))*Geraetedaten!$D$142*COS(RADIANS(2*A183))*(Geraetedaten!$B$154*r_K_D+r_K_SSw*F_SSw/10)/1000+Geraetedaten!$B$152</f>
        <v>594.79999999999995</v>
      </c>
      <c r="AY183" s="18">
        <f>(IF($X$19="ja",1,0))*Geraetedaten!$D$142*COS(RADIANS(2*A183))*(Geraetedaten!$B$157*r_K_D+r_K_SSw*F_SSw/10)/1000+Geraetedaten!$B$155</f>
        <v>537.4</v>
      </c>
      <c r="AZ183" s="201"/>
    </row>
    <row r="184" spans="1:52" ht="13.5" x14ac:dyDescent="0.25">
      <c r="A184" s="16">
        <v>145</v>
      </c>
      <c r="B184" s="16">
        <f t="shared" si="122"/>
        <v>305</v>
      </c>
      <c r="C184" s="19">
        <f t="shared" si="123"/>
        <v>60.980707940875263</v>
      </c>
      <c r="D184" s="17">
        <f t="shared" si="153"/>
        <v>-18508.110887940875</v>
      </c>
      <c r="E184" s="17">
        <f t="shared" si="124"/>
        <v>10979.401152059125</v>
      </c>
      <c r="F184" s="17">
        <f t="shared" si="125"/>
        <v>18168.605522059126</v>
      </c>
      <c r="G184" s="17">
        <f t="shared" si="126"/>
        <v>-11172.319597940876</v>
      </c>
      <c r="H184" s="17">
        <f t="shared" si="155"/>
        <v>10979.401152059125</v>
      </c>
      <c r="I184" s="17">
        <f t="shared" si="127"/>
        <v>1147.1813285065409</v>
      </c>
      <c r="J184" s="20">
        <f>(Geraetedaten!$B$152+(Geraetedaten!$B$153*(Geraetedaten!$B$18+d_y_Sw)/1000))*10</f>
        <v>6051.0442000000003</v>
      </c>
      <c r="K184" s="20">
        <f>(Geraetedaten!$B$165+(Geraetedaten!$B$166*(Geraetedaten!$B$18+d_y_Sw)/1000))*10</f>
        <v>10816.164000000001</v>
      </c>
      <c r="L184" s="20">
        <f>(Geraetedaten!$B$158+(Geraetedaten!$B$159*(Geraetedaten!$B$18+d_y_Sw)/1000)-(Geraetedaten!$B$160*I184/1000))*10</f>
        <v>517.41379318061513</v>
      </c>
      <c r="M184" s="20">
        <f>(Geraetedaten!$B$171+(Geraetedaten!$B$172*(Geraetedaten!$B$18+d_y_Sw)/1000)-(Geraetedaten!$B$173*I184/1000))*10</f>
        <v>979.47082190597393</v>
      </c>
      <c r="N184" s="20">
        <f>IF((H184-J184)/(K184-J184)*(Geraetedaten!$B$174-Geraetedaten!$B$161)&lt;Geraetedaten!$B$174,(H184-J184)/(K184-J184)*(Geraetedaten!$B$174-Geraetedaten!$B$161),Geraetedaten!$B$174)</f>
        <v>400</v>
      </c>
      <c r="O184" s="20">
        <f>N184/Geraetedaten!$B$174*(M184-L184)+L184+C184</f>
        <v>1040.4515298468491</v>
      </c>
      <c r="P184" s="20">
        <f t="shared" si="154"/>
        <v>265.46387009956936</v>
      </c>
      <c r="Q184" s="20"/>
      <c r="R184" s="21">
        <f>(N184-Geraetedaten!$B$161)/(Geraetedaten!$B$174-Geraetedaten!$B$161)*(Geraetedaten!$B$175-Geraetedaten!$B$162)+Geraetedaten!$B$162</f>
        <v>41.1</v>
      </c>
      <c r="S184" s="21">
        <f t="shared" si="128"/>
        <v>41.1</v>
      </c>
      <c r="T184" s="21">
        <f t="shared" si="129"/>
        <v>23.573991534027989</v>
      </c>
      <c r="U184" s="88">
        <f t="shared" si="130"/>
        <v>-33.66714902027757</v>
      </c>
      <c r="V184" s="86">
        <f t="shared" si="131"/>
        <v>-18447.13018</v>
      </c>
      <c r="W184" s="85">
        <f t="shared" si="132"/>
        <v>-4225.3239992296285</v>
      </c>
      <c r="X184" s="85">
        <f t="shared" si="133"/>
        <v>-7371.1815364625199</v>
      </c>
      <c r="Y184" s="90">
        <f t="shared" si="134"/>
        <v>4225.3239992296285</v>
      </c>
      <c r="Z184" s="86">
        <f t="shared" si="135"/>
        <v>11040.38186</v>
      </c>
      <c r="AA184" s="85">
        <f t="shared" si="136"/>
        <v>-913.46204712425447</v>
      </c>
      <c r="AB184" s="85">
        <f t="shared" si="137"/>
        <v>1147.1813285065409</v>
      </c>
      <c r="AC184" s="90">
        <f t="shared" si="138"/>
        <v>913.46204712425447</v>
      </c>
      <c r="AD184" s="86">
        <f t="shared" si="139"/>
        <v>18229.586230000001</v>
      </c>
      <c r="AE184" s="85">
        <f t="shared" si="140"/>
        <v>4140.4375383844126</v>
      </c>
      <c r="AF184" s="85">
        <f t="shared" si="141"/>
        <v>7214.4363010738525</v>
      </c>
      <c r="AG184" s="90">
        <f t="shared" si="142"/>
        <v>4140.4375383844126</v>
      </c>
      <c r="AH184" s="86">
        <f t="shared" si="143"/>
        <v>-11111.338890000001</v>
      </c>
      <c r="AI184" s="85">
        <f t="shared" si="144"/>
        <v>6238.0466047659793</v>
      </c>
      <c r="AJ184" s="85">
        <f t="shared" si="145"/>
        <v>-7550.1556323093955</v>
      </c>
      <c r="AK184" s="90">
        <f t="shared" si="146"/>
        <v>6238.0466047659793</v>
      </c>
      <c r="AM184" s="95">
        <f t="shared" si="147"/>
        <v>0</v>
      </c>
      <c r="AN184" s="95">
        <f t="shared" si="148"/>
        <v>0</v>
      </c>
      <c r="AO184" s="95">
        <f t="shared" si="149"/>
        <v>0</v>
      </c>
      <c r="AP184" s="95">
        <f t="shared" si="150"/>
        <v>0</v>
      </c>
      <c r="AQ184"/>
      <c r="AR184" s="95">
        <f t="shared" si="151"/>
        <v>0</v>
      </c>
      <c r="AS184" s="95">
        <f t="shared" si="152"/>
        <v>0</v>
      </c>
      <c r="AT184" s="95">
        <f>Geraetedaten!$B$94*ABS(SIN(RADIANS($A184)))</f>
        <v>88.330771198061072</v>
      </c>
      <c r="AU184" s="95">
        <f>Geraetedaten!$B$94*ABS(COS(RADIANS($A184)))</f>
        <v>126.14941482050476</v>
      </c>
      <c r="AV184" s="95">
        <f>((h_Aw_Sw+Geraetedaten!$B$18)/1000)*(AR184*AT184+AS184*AU184)/100</f>
        <v>0</v>
      </c>
      <c r="AX184" s="18">
        <f>(IF($X$19="ja",1,0))*Geraetedaten!$D$142*COS(RADIANS(2*A184))*(Geraetedaten!$B$154*r_K_D+r_K_SSw*F_SSw/10)/1000+Geraetedaten!$B$152</f>
        <v>594.79999999999995</v>
      </c>
      <c r="AY184" s="18">
        <f>(IF($X$19="ja",1,0))*Geraetedaten!$D$142*COS(RADIANS(2*A184))*(Geraetedaten!$B$157*r_K_D+r_K_SSw*F_SSw/10)/1000+Geraetedaten!$B$155</f>
        <v>537.4</v>
      </c>
      <c r="AZ184" s="201"/>
    </row>
    <row r="185" spans="1:52" ht="13.5" x14ac:dyDescent="0.25">
      <c r="A185" s="16">
        <v>146</v>
      </c>
      <c r="B185" s="16">
        <f t="shared" si="122"/>
        <v>304</v>
      </c>
      <c r="C185" s="19">
        <f t="shared" si="123"/>
        <v>60.362702088343596</v>
      </c>
      <c r="D185" s="17">
        <f t="shared" si="153"/>
        <v>-18982.434682088344</v>
      </c>
      <c r="E185" s="17">
        <f t="shared" si="124"/>
        <v>10837.187387911657</v>
      </c>
      <c r="F185" s="17">
        <f t="shared" si="125"/>
        <v>18637.709877911657</v>
      </c>
      <c r="G185" s="17">
        <f t="shared" si="126"/>
        <v>-11042.685062088343</v>
      </c>
      <c r="H185" s="17">
        <f t="shared" si="155"/>
        <v>10837.187387911657</v>
      </c>
      <c r="I185" s="17">
        <f t="shared" si="127"/>
        <v>1132.3399989569134</v>
      </c>
      <c r="J185" s="20">
        <f>(Geraetedaten!$B$152+(Geraetedaten!$B$153*(Geraetedaten!$B$18+d_y_Sw)/1000))*10</f>
        <v>6051.0442000000003</v>
      </c>
      <c r="K185" s="20">
        <f>(Geraetedaten!$B$165+(Geraetedaten!$B$166*(Geraetedaten!$B$18+d_y_Sw)/1000))*10</f>
        <v>10816.164000000001</v>
      </c>
      <c r="L185" s="20">
        <f>(Geraetedaten!$B$158+(Geraetedaten!$B$159*(Geraetedaten!$B$18+d_y_Sw)/1000)-(Geraetedaten!$B$160*I185/1000))*10</f>
        <v>518.50210787648939</v>
      </c>
      <c r="M185" s="20">
        <f>(Geraetedaten!$B$171+(Geraetedaten!$B$172*(Geraetedaten!$B$18+d_y_Sw)/1000)-(Geraetedaten!$B$173*I185/1000))*10</f>
        <v>980.5756104776483</v>
      </c>
      <c r="N185" s="20">
        <f>IF((H185-J185)/(K185-J185)*(Geraetedaten!$B$174-Geraetedaten!$B$161)&lt;Geraetedaten!$B$174,(H185-J185)/(K185-J185)*(Geraetedaten!$B$174-Geraetedaten!$B$161),Geraetedaten!$B$174)</f>
        <v>400</v>
      </c>
      <c r="O185" s="20">
        <f>N185/Geraetedaten!$B$174*(M185-L185)+L185+C185</f>
        <v>1040.938312565992</v>
      </c>
      <c r="P185" s="20">
        <f t="shared" si="154"/>
        <v>265.48944754015713</v>
      </c>
      <c r="Q185" s="20"/>
      <c r="R185" s="21">
        <f>(N185-Geraetedaten!$B$161)/(Geraetedaten!$B$174-Geraetedaten!$B$161)*(Geraetedaten!$B$175-Geraetedaten!$B$162)+Geraetedaten!$B$162</f>
        <v>41.1</v>
      </c>
      <c r="S185" s="21">
        <f t="shared" si="128"/>
        <v>41.1</v>
      </c>
      <c r="T185" s="21">
        <f t="shared" si="129"/>
        <v>22.982828332647699</v>
      </c>
      <c r="U185" s="88">
        <f t="shared" si="130"/>
        <v>-34.073444232012214</v>
      </c>
      <c r="V185" s="86">
        <f t="shared" si="131"/>
        <v>-18922.071980000001</v>
      </c>
      <c r="W185" s="85">
        <f t="shared" si="132"/>
        <v>-4225.3239992296285</v>
      </c>
      <c r="X185" s="85">
        <f t="shared" si="133"/>
        <v>-7560.9607695975637</v>
      </c>
      <c r="Y185" s="90">
        <f t="shared" si="134"/>
        <v>4225.3239992296285</v>
      </c>
      <c r="Z185" s="86">
        <f t="shared" si="135"/>
        <v>10897.550090000001</v>
      </c>
      <c r="AA185" s="85">
        <f t="shared" si="136"/>
        <v>-913.46204712425447</v>
      </c>
      <c r="AB185" s="85">
        <f t="shared" si="137"/>
        <v>1132.3399989569134</v>
      </c>
      <c r="AC185" s="90">
        <f t="shared" si="138"/>
        <v>913.46204712425447</v>
      </c>
      <c r="AD185" s="86">
        <f t="shared" si="139"/>
        <v>18698.07258</v>
      </c>
      <c r="AE185" s="85">
        <f t="shared" si="140"/>
        <v>4140.4375383844126</v>
      </c>
      <c r="AF185" s="85">
        <f t="shared" si="141"/>
        <v>7399.8417677230354</v>
      </c>
      <c r="AG185" s="90">
        <f t="shared" si="142"/>
        <v>4140.4375383844126</v>
      </c>
      <c r="AH185" s="86">
        <f t="shared" si="143"/>
        <v>-10982.32236</v>
      </c>
      <c r="AI185" s="85">
        <f t="shared" si="144"/>
        <v>6238.0466047659793</v>
      </c>
      <c r="AJ185" s="85">
        <f t="shared" si="145"/>
        <v>-7462.488889111577</v>
      </c>
      <c r="AK185" s="90">
        <f t="shared" si="146"/>
        <v>6238.0466047659793</v>
      </c>
      <c r="AM185" s="95">
        <f t="shared" si="147"/>
        <v>0</v>
      </c>
      <c r="AN185" s="95">
        <f t="shared" si="148"/>
        <v>0</v>
      </c>
      <c r="AO185" s="95">
        <f t="shared" si="149"/>
        <v>0</v>
      </c>
      <c r="AP185" s="95">
        <f t="shared" si="150"/>
        <v>0</v>
      </c>
      <c r="AQ185"/>
      <c r="AR185" s="95">
        <f t="shared" si="151"/>
        <v>0</v>
      </c>
      <c r="AS185" s="95">
        <f t="shared" si="152"/>
        <v>0</v>
      </c>
      <c r="AT185" s="95">
        <f>Geraetedaten!$B$94*ABS(SIN(RADIANS($A185)))</f>
        <v>86.115707134495025</v>
      </c>
      <c r="AU185" s="95">
        <f>Geraetedaten!$B$94*ABS(COS(RADIANS($A185)))</f>
        <v>127.67178617347641</v>
      </c>
      <c r="AV185" s="95">
        <f>((h_Aw_Sw+Geraetedaten!$B$18)/1000)*(AR185*AT185+AS185*AU185)/100</f>
        <v>0</v>
      </c>
      <c r="AX185" s="18">
        <f>(IF($X$19="ja",1,0))*Geraetedaten!$D$142*COS(RADIANS(2*A185))*(Geraetedaten!$B$154*r_K_D+r_K_SSw*F_SSw/10)/1000+Geraetedaten!$B$152</f>
        <v>594.79999999999995</v>
      </c>
      <c r="AY185" s="18">
        <f>(IF($X$19="ja",1,0))*Geraetedaten!$D$142*COS(RADIANS(2*A185))*(Geraetedaten!$B$157*r_K_D+r_K_SSw*F_SSw/10)/1000+Geraetedaten!$B$155</f>
        <v>537.4</v>
      </c>
      <c r="AZ185" s="201"/>
    </row>
    <row r="186" spans="1:52" ht="13.5" x14ac:dyDescent="0.25">
      <c r="A186" s="16">
        <v>147</v>
      </c>
      <c r="B186" s="16">
        <f t="shared" si="122"/>
        <v>303</v>
      </c>
      <c r="C186" s="19">
        <f t="shared" si="123"/>
        <v>59.726309172009195</v>
      </c>
      <c r="D186" s="17">
        <f t="shared" si="153"/>
        <v>-19487.916579172008</v>
      </c>
      <c r="E186" s="17">
        <f t="shared" si="124"/>
        <v>10701.876710827992</v>
      </c>
      <c r="F186" s="17">
        <f t="shared" si="125"/>
        <v>19137.549170827991</v>
      </c>
      <c r="G186" s="17">
        <f t="shared" si="126"/>
        <v>-10919.26378917201</v>
      </c>
      <c r="H186" s="17">
        <f t="shared" si="155"/>
        <v>10701.876710827992</v>
      </c>
      <c r="I186" s="17">
        <f t="shared" si="127"/>
        <v>1118.2140441738836</v>
      </c>
      <c r="J186" s="20">
        <f>(Geraetedaten!$B$152+(Geraetedaten!$B$153*(Geraetedaten!$B$18+d_y_Sw)/1000))*10</f>
        <v>6051.0442000000003</v>
      </c>
      <c r="K186" s="20">
        <f>(Geraetedaten!$B$165+(Geraetedaten!$B$166*(Geraetedaten!$B$18+d_y_Sw)/1000))*10</f>
        <v>10816.164000000001</v>
      </c>
      <c r="L186" s="20">
        <f>(Geraetedaten!$B$158+(Geraetedaten!$B$159*(Geraetedaten!$B$18+d_y_Sw)/1000)-(Geraetedaten!$B$160*I186/1000))*10</f>
        <v>519.53796414072883</v>
      </c>
      <c r="M186" s="20">
        <f>(Geraetedaten!$B$171+(Geraetedaten!$B$172*(Geraetedaten!$B$18+d_y_Sw)/1000)-(Geraetedaten!$B$173*I186/1000))*10</f>
        <v>981.62714655169702</v>
      </c>
      <c r="N186" s="20">
        <f>IF((H186-J186)/(K186-J186)*(Geraetedaten!$B$174-Geraetedaten!$B$161)&lt;Geraetedaten!$B$174,(H186-J186)/(K186-J186)*(Geraetedaten!$B$174-Geraetedaten!$B$161),Geraetedaten!$B$174)</f>
        <v>390.40634494251253</v>
      </c>
      <c r="O186" s="20">
        <f>N186/Geraetedaten!$B$174*(M186-L186)+L186+C186</f>
        <v>1030.2706451690881</v>
      </c>
      <c r="P186" s="20">
        <f t="shared" si="154"/>
        <v>264.56444098162353</v>
      </c>
      <c r="Q186" s="20"/>
      <c r="R186" s="21">
        <f>(N186-Geraetedaten!$B$161)/(Geraetedaten!$B$174-Geraetedaten!$B$161)*(Geraetedaten!$B$175-Geraetedaten!$B$162)+Geraetedaten!$B$162</f>
        <v>40.814588762039747</v>
      </c>
      <c r="S186" s="21">
        <f t="shared" si="128"/>
        <v>40.814588762039747</v>
      </c>
      <c r="T186" s="21">
        <f t="shared" si="129"/>
        <v>22.229218237892507</v>
      </c>
      <c r="U186" s="88">
        <f t="shared" si="130"/>
        <v>-34.229994337518789</v>
      </c>
      <c r="V186" s="86">
        <f t="shared" si="131"/>
        <v>-19428.190269999999</v>
      </c>
      <c r="W186" s="85">
        <f t="shared" si="132"/>
        <v>-4225.3239992296285</v>
      </c>
      <c r="X186" s="85">
        <f t="shared" si="133"/>
        <v>-7763.1976366410481</v>
      </c>
      <c r="Y186" s="90">
        <f t="shared" si="134"/>
        <v>4225.3239992296285</v>
      </c>
      <c r="Z186" s="86">
        <f t="shared" si="135"/>
        <v>10761.60302</v>
      </c>
      <c r="AA186" s="85">
        <f t="shared" si="136"/>
        <v>-913.46204712425447</v>
      </c>
      <c r="AB186" s="85">
        <f t="shared" si="137"/>
        <v>1118.2140441738836</v>
      </c>
      <c r="AC186" s="90">
        <f t="shared" si="138"/>
        <v>913.46204712425447</v>
      </c>
      <c r="AD186" s="86">
        <f t="shared" si="139"/>
        <v>19197.27548</v>
      </c>
      <c r="AE186" s="85">
        <f t="shared" si="140"/>
        <v>4140.4375383844126</v>
      </c>
      <c r="AF186" s="85">
        <f t="shared" si="141"/>
        <v>7597.4034380616413</v>
      </c>
      <c r="AG186" s="90">
        <f t="shared" si="142"/>
        <v>4140.4375383844126</v>
      </c>
      <c r="AH186" s="86">
        <f t="shared" si="143"/>
        <v>-10859.537480000001</v>
      </c>
      <c r="AI186" s="85">
        <f t="shared" si="144"/>
        <v>6238.0466047659793</v>
      </c>
      <c r="AJ186" s="85">
        <f t="shared" si="145"/>
        <v>-7379.0565521847284</v>
      </c>
      <c r="AK186" s="90">
        <f t="shared" si="146"/>
        <v>6238.0466047659793</v>
      </c>
      <c r="AM186" s="95">
        <f t="shared" si="147"/>
        <v>0</v>
      </c>
      <c r="AN186" s="95">
        <f t="shared" si="148"/>
        <v>0</v>
      </c>
      <c r="AO186" s="95">
        <f t="shared" si="149"/>
        <v>0</v>
      </c>
      <c r="AP186" s="95">
        <f t="shared" si="150"/>
        <v>0</v>
      </c>
      <c r="AQ186"/>
      <c r="AR186" s="95">
        <f t="shared" si="151"/>
        <v>0</v>
      </c>
      <c r="AS186" s="95">
        <f t="shared" si="152"/>
        <v>0</v>
      </c>
      <c r="AT186" s="95">
        <f>Geraetedaten!$B$94*ABS(SIN(RADIANS($A186)))</f>
        <v>83.874411392314201</v>
      </c>
      <c r="AU186" s="95">
        <f>Geraetedaten!$B$94*ABS(COS(RADIANS($A186)))</f>
        <v>129.15526746359529</v>
      </c>
      <c r="AV186" s="95">
        <f>((h_Aw_Sw+Geraetedaten!$B$18)/1000)*(AR186*AT186+AS186*AU186)/100</f>
        <v>0</v>
      </c>
      <c r="AX186" s="18">
        <f>(IF($X$19="ja",1,0))*Geraetedaten!$D$142*COS(RADIANS(2*A186))*(Geraetedaten!$B$154*r_K_D+r_K_SSw*F_SSw/10)/1000+Geraetedaten!$B$152</f>
        <v>594.79999999999995</v>
      </c>
      <c r="AY186" s="18">
        <f>(IF($X$19="ja",1,0))*Geraetedaten!$D$142*COS(RADIANS(2*A186))*(Geraetedaten!$B$157*r_K_D+r_K_SSw*F_SSw/10)/1000+Geraetedaten!$B$155</f>
        <v>537.4</v>
      </c>
      <c r="AZ186" s="201"/>
    </row>
    <row r="187" spans="1:52" ht="13.5" x14ac:dyDescent="0.25">
      <c r="A187" s="16">
        <v>148</v>
      </c>
      <c r="B187" s="16">
        <f t="shared" si="122"/>
        <v>302</v>
      </c>
      <c r="C187" s="19">
        <f t="shared" si="123"/>
        <v>59.071723043319231</v>
      </c>
      <c r="D187" s="17">
        <f t="shared" si="153"/>
        <v>-20027.448903043318</v>
      </c>
      <c r="E187" s="17">
        <f t="shared" si="124"/>
        <v>10573.133096956682</v>
      </c>
      <c r="F187" s="17">
        <f t="shared" si="125"/>
        <v>19670.968166956682</v>
      </c>
      <c r="G187" s="17">
        <f t="shared" si="126"/>
        <v>-10801.775643043318</v>
      </c>
      <c r="H187" s="17">
        <f t="shared" si="155"/>
        <v>10573.133096956682</v>
      </c>
      <c r="I187" s="17">
        <f t="shared" si="127"/>
        <v>1104.7685665414847</v>
      </c>
      <c r="J187" s="20">
        <f>(Geraetedaten!$B$152+(Geraetedaten!$B$153*(Geraetedaten!$B$18+d_y_Sw)/1000))*10</f>
        <v>6051.0442000000003</v>
      </c>
      <c r="K187" s="20">
        <f>(Geraetedaten!$B$165+(Geraetedaten!$B$166*(Geraetedaten!$B$18+d_y_Sw)/1000))*10</f>
        <v>10816.164000000001</v>
      </c>
      <c r="L187" s="20">
        <f>(Geraetedaten!$B$158+(Geraetedaten!$B$159*(Geraetedaten!$B$18+d_y_Sw)/1000)-(Geraetedaten!$B$160*I187/1000))*10</f>
        <v>520.52392101551266</v>
      </c>
      <c r="M187" s="20">
        <f>(Geraetedaten!$B$171+(Geraetedaten!$B$172*(Geraetedaten!$B$18+d_y_Sw)/1000)-(Geraetedaten!$B$173*I187/1000))*10</f>
        <v>982.62802790665296</v>
      </c>
      <c r="N187" s="20">
        <f>IF((H187-J187)/(K187-J187)*(Geraetedaten!$B$174-Geraetedaten!$B$161)&lt;Geraetedaten!$B$174,(H187-J187)/(K187-J187)*(Geraetedaten!$B$174-Geraetedaten!$B$161),Geraetedaten!$B$174)</f>
        <v>379.59917792259341</v>
      </c>
      <c r="O187" s="20">
        <f>N187/Geraetedaten!$B$174*(M187-L187)+L187+C187</f>
        <v>1018.1314917851596</v>
      </c>
      <c r="P187" s="20">
        <f t="shared" si="154"/>
        <v>263.49207007814624</v>
      </c>
      <c r="Q187" s="20"/>
      <c r="R187" s="21">
        <f>(N187-Geraetedaten!$B$161)/(Geraetedaten!$B$174-Geraetedaten!$B$161)*(Geraetedaten!$B$175-Geraetedaten!$B$162)+Geraetedaten!$B$162</f>
        <v>40.493075543197158</v>
      </c>
      <c r="S187" s="21">
        <f t="shared" si="128"/>
        <v>40.493075543197158</v>
      </c>
      <c r="T187" s="21">
        <f t="shared" si="129"/>
        <v>21.458060798390623</v>
      </c>
      <c r="U187" s="88">
        <f t="shared" si="130"/>
        <v>-34.340075621926687</v>
      </c>
      <c r="V187" s="86">
        <f t="shared" si="131"/>
        <v>-19968.377179999999</v>
      </c>
      <c r="W187" s="85">
        <f t="shared" si="132"/>
        <v>-4225.3239992296285</v>
      </c>
      <c r="X187" s="85">
        <f t="shared" si="133"/>
        <v>-7979.0477851918604</v>
      </c>
      <c r="Y187" s="90">
        <f t="shared" si="134"/>
        <v>4225.3239992296285</v>
      </c>
      <c r="Z187" s="86">
        <f t="shared" si="135"/>
        <v>10632.204820000001</v>
      </c>
      <c r="AA187" s="85">
        <f t="shared" si="136"/>
        <v>-913.46204712425447</v>
      </c>
      <c r="AB187" s="85">
        <f t="shared" si="137"/>
        <v>1104.7685665414847</v>
      </c>
      <c r="AC187" s="90">
        <f t="shared" si="138"/>
        <v>913.46204712425447</v>
      </c>
      <c r="AD187" s="86">
        <f t="shared" si="139"/>
        <v>19730.03989</v>
      </c>
      <c r="AE187" s="85">
        <f t="shared" si="140"/>
        <v>4140.4375383844126</v>
      </c>
      <c r="AF187" s="85">
        <f t="shared" si="141"/>
        <v>7808.2472233470162</v>
      </c>
      <c r="AG187" s="90">
        <f t="shared" si="142"/>
        <v>4140.4375383844126</v>
      </c>
      <c r="AH187" s="86">
        <f t="shared" si="143"/>
        <v>-10742.70392</v>
      </c>
      <c r="AI187" s="85">
        <f t="shared" si="144"/>
        <v>6238.0466047659793</v>
      </c>
      <c r="AJ187" s="85">
        <f t="shared" si="145"/>
        <v>-7299.6681382160168</v>
      </c>
      <c r="AK187" s="90">
        <f t="shared" si="146"/>
        <v>6238.0466047659793</v>
      </c>
      <c r="AM187" s="95">
        <f t="shared" si="147"/>
        <v>0</v>
      </c>
      <c r="AN187" s="95">
        <f t="shared" si="148"/>
        <v>0</v>
      </c>
      <c r="AO187" s="95">
        <f t="shared" si="149"/>
        <v>0</v>
      </c>
      <c r="AP187" s="95">
        <f t="shared" si="150"/>
        <v>0</v>
      </c>
      <c r="AQ187"/>
      <c r="AR187" s="95">
        <f t="shared" si="151"/>
        <v>0</v>
      </c>
      <c r="AS187" s="95">
        <f t="shared" si="152"/>
        <v>0</v>
      </c>
      <c r="AT187" s="95">
        <f>Geraetedaten!$B$94*ABS(SIN(RADIANS($A187)))</f>
        <v>81.607566691913561</v>
      </c>
      <c r="AU187" s="95">
        <f>Geraetedaten!$B$94*ABS(COS(RADIANS($A187)))</f>
        <v>130.59940680808961</v>
      </c>
      <c r="AV187" s="95">
        <f>((h_Aw_Sw+Geraetedaten!$B$18)/1000)*(AR187*AT187+AS187*AU187)/100</f>
        <v>0</v>
      </c>
      <c r="AX187" s="18">
        <f>(IF($X$19="ja",1,0))*Geraetedaten!$D$142*COS(RADIANS(2*A187))*(Geraetedaten!$B$154*r_K_D+r_K_SSw*F_SSw/10)/1000+Geraetedaten!$B$152</f>
        <v>594.79999999999995</v>
      </c>
      <c r="AY187" s="18">
        <f>(IF($X$19="ja",1,0))*Geraetedaten!$D$142*COS(RADIANS(2*A187))*(Geraetedaten!$B$157*r_K_D+r_K_SSw*F_SSw/10)/1000+Geraetedaten!$B$155</f>
        <v>537.4</v>
      </c>
      <c r="AZ187" s="201"/>
    </row>
    <row r="188" spans="1:52" ht="13.5" x14ac:dyDescent="0.25">
      <c r="A188" s="16">
        <v>149</v>
      </c>
      <c r="B188" s="16">
        <f t="shared" si="122"/>
        <v>301</v>
      </c>
      <c r="C188" s="19">
        <f t="shared" si="123"/>
        <v>58.399143095549675</v>
      </c>
      <c r="D188" s="17">
        <f t="shared" si="153"/>
        <v>-20604.298823095549</v>
      </c>
      <c r="E188" s="17">
        <f t="shared" si="124"/>
        <v>10450.645396904451</v>
      </c>
      <c r="F188" s="17">
        <f t="shared" si="125"/>
        <v>20241.179836904448</v>
      </c>
      <c r="G188" s="17">
        <f t="shared" si="126"/>
        <v>-10689.960683095551</v>
      </c>
      <c r="H188" s="17">
        <f>SMALL(D188:G188,COUNTIF(D188:G188,"&lt;0")+1)</f>
        <v>10450.645396904451</v>
      </c>
      <c r="I188" s="17">
        <f t="shared" si="127"/>
        <v>1091.9712588720852</v>
      </c>
      <c r="J188" s="20">
        <f>(Geraetedaten!$B$152+(Geraetedaten!$B$153*(Geraetedaten!$B$18+d_y_Sw)/1000))*10</f>
        <v>6051.0442000000003</v>
      </c>
      <c r="K188" s="20">
        <f>(Geraetedaten!$B$165+(Geraetedaten!$B$166*(Geraetedaten!$B$18+d_y_Sw)/1000))*10</f>
        <v>10816.164000000001</v>
      </c>
      <c r="L188" s="20">
        <f>(Geraetedaten!$B$158+(Geraetedaten!$B$159*(Geraetedaten!$B$18+d_y_Sw)/1000)-(Geraetedaten!$B$160*I188/1000))*10</f>
        <v>521.46234758690969</v>
      </c>
      <c r="M188" s="20">
        <f>(Geraetedaten!$B$171+(Geraetedaten!$B$172*(Geraetedaten!$B$18+d_y_Sw)/1000)-(Geraetedaten!$B$173*I188/1000))*10</f>
        <v>983.580659489563</v>
      </c>
      <c r="N188" s="20">
        <f>IF((H188-J188)/(K188-J188)*(Geraetedaten!$B$174-Geraetedaten!$B$161)&lt;Geraetedaten!$B$174,(H188-J188)/(K188-J188)*(Geraetedaten!$B$174-Geraetedaten!$B$161),Geraetedaten!$B$174)</f>
        <v>369.31715310951472</v>
      </c>
      <c r="O188" s="20">
        <f>N188/Geraetedaten!$B$174*(M188-L188)+L188+C188</f>
        <v>1006.532039061616</v>
      </c>
      <c r="P188" s="20">
        <f t="shared" si="154"/>
        <v>262.44300444937903</v>
      </c>
      <c r="Q188" s="20"/>
      <c r="R188" s="21">
        <f>(N188-Geraetedaten!$B$161)/(Geraetedaten!$B$174-Geraetedaten!$B$161)*(Geraetedaten!$B$175-Geraetedaten!$B$162)+Geraetedaten!$B$162</f>
        <v>40.187185305008065</v>
      </c>
      <c r="S188" s="21">
        <f t="shared" si="128"/>
        <v>40.187185305008065</v>
      </c>
      <c r="T188" s="21">
        <f t="shared" si="129"/>
        <v>20.697930555544978</v>
      </c>
      <c r="U188" s="88">
        <f t="shared" si="130"/>
        <v>-34.447141150709356</v>
      </c>
      <c r="V188" s="86">
        <f t="shared" si="131"/>
        <v>-20545.899679999999</v>
      </c>
      <c r="W188" s="85">
        <f t="shared" si="132"/>
        <v>-4225.3239992296285</v>
      </c>
      <c r="X188" s="85">
        <f t="shared" si="133"/>
        <v>-8209.8166449816345</v>
      </c>
      <c r="Y188" s="90">
        <f t="shared" si="134"/>
        <v>4225.3239992296285</v>
      </c>
      <c r="Z188" s="86">
        <f t="shared" si="135"/>
        <v>10509.044540000001</v>
      </c>
      <c r="AA188" s="85">
        <f t="shared" si="136"/>
        <v>-913.46204712425447</v>
      </c>
      <c r="AB188" s="85">
        <f t="shared" si="137"/>
        <v>1091.9712588720852</v>
      </c>
      <c r="AC188" s="90">
        <f t="shared" si="138"/>
        <v>913.46204712425447</v>
      </c>
      <c r="AD188" s="86">
        <f t="shared" si="139"/>
        <v>20299.578979999998</v>
      </c>
      <c r="AE188" s="85">
        <f t="shared" si="140"/>
        <v>4140.4375383844126</v>
      </c>
      <c r="AF188" s="85">
        <f t="shared" si="141"/>
        <v>8033.6447403036909</v>
      </c>
      <c r="AG188" s="90">
        <f t="shared" si="142"/>
        <v>4140.4375383844126</v>
      </c>
      <c r="AH188" s="86">
        <f t="shared" si="143"/>
        <v>-10631.561540000001</v>
      </c>
      <c r="AI188" s="85">
        <f t="shared" si="144"/>
        <v>6238.0466047659793</v>
      </c>
      <c r="AJ188" s="85">
        <f t="shared" si="145"/>
        <v>-7224.1468825596603</v>
      </c>
      <c r="AK188" s="90">
        <f t="shared" si="146"/>
        <v>6238.0466047659793</v>
      </c>
      <c r="AM188" s="95">
        <f t="shared" si="147"/>
        <v>0</v>
      </c>
      <c r="AN188" s="95">
        <f t="shared" si="148"/>
        <v>0</v>
      </c>
      <c r="AO188" s="95">
        <f t="shared" si="149"/>
        <v>0</v>
      </c>
      <c r="AP188" s="95">
        <f t="shared" si="150"/>
        <v>0</v>
      </c>
      <c r="AQ188"/>
      <c r="AR188" s="95">
        <f t="shared" si="151"/>
        <v>0</v>
      </c>
      <c r="AS188" s="95">
        <f t="shared" si="152"/>
        <v>0</v>
      </c>
      <c r="AT188" s="95">
        <f>Geraetedaten!$B$94*ABS(SIN(RADIANS($A188)))</f>
        <v>79.31586353614837</v>
      </c>
      <c r="AU188" s="95">
        <f>Geraetedaten!$B$94*ABS(COS(RADIANS($A188)))</f>
        <v>132.00376430812528</v>
      </c>
      <c r="AV188" s="95">
        <f>((h_Aw_Sw+Geraetedaten!$B$18)/1000)*(AR188*AT188+AS188*AU188)/100</f>
        <v>0</v>
      </c>
      <c r="AX188" s="18">
        <f>(IF($X$19="ja",1,0))*Geraetedaten!$D$142*COS(RADIANS(2*A188))*(Geraetedaten!$B$154*r_K_D+r_K_SSw*F_SSw/10)/1000+Geraetedaten!$B$152</f>
        <v>594.79999999999995</v>
      </c>
      <c r="AY188" s="18">
        <f>(IF($X$19="ja",1,0))*Geraetedaten!$D$142*COS(RADIANS(2*A188))*(Geraetedaten!$B$157*r_K_D+r_K_SSw*F_SSw/10)/1000+Geraetedaten!$B$155</f>
        <v>537.4</v>
      </c>
      <c r="AZ188" s="201"/>
    </row>
    <row r="189" spans="1:52" ht="13.5" x14ac:dyDescent="0.25">
      <c r="A189" s="16">
        <v>150</v>
      </c>
      <c r="B189" s="16">
        <f t="shared" si="122"/>
        <v>300</v>
      </c>
      <c r="C189" s="19">
        <f t="shared" si="123"/>
        <v>57.708774203067975</v>
      </c>
      <c r="D189" s="17">
        <f t="shared" si="153"/>
        <v>-21222.170854203068</v>
      </c>
      <c r="E189" s="17">
        <f t="shared" si="124"/>
        <v>10334.125335796933</v>
      </c>
      <c r="F189" s="17">
        <f t="shared" si="125"/>
        <v>20851.826565796931</v>
      </c>
      <c r="G189" s="17">
        <f t="shared" si="126"/>
        <v>-10583.577554203068</v>
      </c>
      <c r="H189" s="17">
        <f t="shared" ref="H189:H243" si="156">SMALL(D189:G189,COUNTIF(D189:G189,"&lt;0")+1)</f>
        <v>10334.125335796933</v>
      </c>
      <c r="I189" s="17">
        <f t="shared" si="127"/>
        <v>1079.7921852707946</v>
      </c>
      <c r="J189" s="20">
        <f>(Geraetedaten!$B$152+(Geraetedaten!$B$153*(Geraetedaten!$B$18+d_y_Sw)/1000))*10</f>
        <v>6051.0442000000003</v>
      </c>
      <c r="K189" s="20">
        <f>(Geraetedaten!$B$165+(Geraetedaten!$B$166*(Geraetedaten!$B$18+d_y_Sw)/1000))*10</f>
        <v>10816.164000000001</v>
      </c>
      <c r="L189" s="20">
        <f>(Geraetedaten!$B$158+(Geraetedaten!$B$159*(Geraetedaten!$B$18+d_y_Sw)/1000)-(Geraetedaten!$B$160*I189/1000))*10</f>
        <v>522.35543905409236</v>
      </c>
      <c r="M189" s="20">
        <f>(Geraetedaten!$B$171+(Geraetedaten!$B$172*(Geraetedaten!$B$18+d_y_Sw)/1000)-(Geraetedaten!$B$173*I189/1000))*10</f>
        <v>984.48726972844293</v>
      </c>
      <c r="N189" s="20">
        <f>IF((H189-J189)/(K189-J189)*(Geraetedaten!$B$174-Geraetedaten!$B$161)&lt;Geraetedaten!$B$174,(H189-J189)/(K189-J189)*(Geraetedaten!$B$174-Geraetedaten!$B$161),Geraetedaten!$B$174)</f>
        <v>359.53607175181048</v>
      </c>
      <c r="O189" s="20">
        <f>N189/Geraetedaten!$B$174*(M189-L189)+L189+C189</f>
        <v>995.44687083748238</v>
      </c>
      <c r="P189" s="20">
        <f t="shared" si="154"/>
        <v>261.41695834442839</v>
      </c>
      <c r="Q189" s="20"/>
      <c r="R189" s="21">
        <f>(N189-Geraetedaten!$B$161)/(Geraetedaten!$B$174-Geraetedaten!$B$161)*(Geraetedaten!$B$175-Geraetedaten!$B$162)+Geraetedaten!$B$162</f>
        <v>39.896198134616363</v>
      </c>
      <c r="S189" s="21">
        <f t="shared" si="128"/>
        <v>39.896198134616363</v>
      </c>
      <c r="T189" s="21">
        <f t="shared" si="129"/>
        <v>19.948099067308178</v>
      </c>
      <c r="U189" s="88">
        <f t="shared" si="130"/>
        <v>-34.551121098995104</v>
      </c>
      <c r="V189" s="86">
        <f t="shared" si="131"/>
        <v>-21164.462080000001</v>
      </c>
      <c r="W189" s="85">
        <f t="shared" si="132"/>
        <v>-4225.3239992296285</v>
      </c>
      <c r="X189" s="85">
        <f t="shared" si="133"/>
        <v>-8456.9843973421321</v>
      </c>
      <c r="Y189" s="90">
        <f t="shared" si="134"/>
        <v>4225.3239992296285</v>
      </c>
      <c r="Z189" s="86">
        <f t="shared" si="135"/>
        <v>10391.83411</v>
      </c>
      <c r="AA189" s="85">
        <f t="shared" si="136"/>
        <v>-913.46204712425447</v>
      </c>
      <c r="AB189" s="85">
        <f t="shared" si="137"/>
        <v>1079.7921852707946</v>
      </c>
      <c r="AC189" s="90">
        <f t="shared" si="138"/>
        <v>913.46204712425447</v>
      </c>
      <c r="AD189" s="86">
        <f t="shared" si="139"/>
        <v>20909.535339999999</v>
      </c>
      <c r="AE189" s="85">
        <f t="shared" si="140"/>
        <v>4140.4375383844126</v>
      </c>
      <c r="AF189" s="85">
        <f t="shared" si="141"/>
        <v>8275.0375619178103</v>
      </c>
      <c r="AG189" s="90">
        <f t="shared" si="142"/>
        <v>4140.4375383844126</v>
      </c>
      <c r="AH189" s="86">
        <f t="shared" si="143"/>
        <v>-10525.868780000001</v>
      </c>
      <c r="AI189" s="85">
        <f t="shared" si="144"/>
        <v>6238.0466047659793</v>
      </c>
      <c r="AJ189" s="85">
        <f t="shared" si="145"/>
        <v>-7152.3286474441111</v>
      </c>
      <c r="AK189" s="90">
        <f t="shared" si="146"/>
        <v>6238.0466047659793</v>
      </c>
      <c r="AM189" s="95">
        <f t="shared" si="147"/>
        <v>0</v>
      </c>
      <c r="AN189" s="95">
        <f t="shared" si="148"/>
        <v>0</v>
      </c>
      <c r="AO189" s="95">
        <f t="shared" si="149"/>
        <v>0</v>
      </c>
      <c r="AP189" s="95">
        <f t="shared" si="150"/>
        <v>0</v>
      </c>
      <c r="AQ189"/>
      <c r="AR189" s="95">
        <f t="shared" si="151"/>
        <v>0</v>
      </c>
      <c r="AS189" s="95">
        <f t="shared" si="152"/>
        <v>0</v>
      </c>
      <c r="AT189" s="95">
        <f>Geraetedaten!$B$94*ABS(SIN(RADIANS($A189)))</f>
        <v>76.999999999999986</v>
      </c>
      <c r="AU189" s="95">
        <f>Geraetedaten!$B$94*ABS(COS(RADIANS($A189)))</f>
        <v>133.36791218280356</v>
      </c>
      <c r="AV189" s="95">
        <f>((h_Aw_Sw+Geraetedaten!$B$18)/1000)*(AR189*AT189+AS189*AU189)/100</f>
        <v>0</v>
      </c>
      <c r="AX189" s="18">
        <f>(IF($X$19="ja",1,0))*Geraetedaten!$D$142*COS(RADIANS(2*A189))*(Geraetedaten!$B$154*r_K_D+r_K_SSw*F_SSw/10)/1000+Geraetedaten!$B$152</f>
        <v>594.79999999999995</v>
      </c>
      <c r="AY189" s="18">
        <f>(IF($X$19="ja",1,0))*Geraetedaten!$D$142*COS(RADIANS(2*A189))*(Geraetedaten!$B$157*r_K_D+r_K_SSw*F_SSw/10)/1000+Geraetedaten!$B$155</f>
        <v>537.4</v>
      </c>
      <c r="AZ189" s="201"/>
    </row>
    <row r="190" spans="1:52" ht="13.5" x14ac:dyDescent="0.25">
      <c r="A190" s="16">
        <v>151</v>
      </c>
      <c r="B190" s="16">
        <f t="shared" si="122"/>
        <v>299</v>
      </c>
      <c r="C190" s="19">
        <f t="shared" si="123"/>
        <v>57.000826658926599</v>
      </c>
      <c r="D190" s="17">
        <f t="shared" si="153"/>
        <v>-21885.282266658927</v>
      </c>
      <c r="E190" s="17">
        <f t="shared" si="124"/>
        <v>10223.305513341073</v>
      </c>
      <c r="F190" s="17">
        <f t="shared" si="125"/>
        <v>21507.054123341077</v>
      </c>
      <c r="G190" s="17">
        <f t="shared" si="126"/>
        <v>-10482.402056658926</v>
      </c>
      <c r="H190" s="17">
        <f t="shared" si="156"/>
        <v>10223.305513341073</v>
      </c>
      <c r="I190" s="17">
        <f t="shared" si="127"/>
        <v>1068.2035846250058</v>
      </c>
      <c r="J190" s="20">
        <f>(Geraetedaten!$B$152+(Geraetedaten!$B$153*(Geraetedaten!$B$18+d_y_Sw)/1000))*10</f>
        <v>6051.0442000000003</v>
      </c>
      <c r="K190" s="20">
        <f>(Geraetedaten!$B$165+(Geraetedaten!$B$166*(Geraetedaten!$B$18+d_y_Sw)/1000))*10</f>
        <v>10816.164000000001</v>
      </c>
      <c r="L190" s="20">
        <f>(Geraetedaten!$B$158+(Geraetedaten!$B$159*(Geraetedaten!$B$18+d_y_Sw)/1000)-(Geraetedaten!$B$160*I190/1000))*10</f>
        <v>523.20523113944807</v>
      </c>
      <c r="M190" s="20">
        <f>(Geraetedaten!$B$171+(Geraetedaten!$B$172*(Geraetedaten!$B$18+d_y_Sw)/1000)-(Geraetedaten!$B$173*I190/1000))*10</f>
        <v>985.34992516051545</v>
      </c>
      <c r="N190" s="20">
        <f>IF((H190-J190)/(K190-J190)*(Geraetedaten!$B$174-Geraetedaten!$B$161)&lt;Geraetedaten!$B$174,(H190-J190)/(K190-J190)*(Geraetedaten!$B$174-Geraetedaten!$B$161),Geraetedaten!$B$174)</f>
        <v>350.23348737977773</v>
      </c>
      <c r="O190" s="20">
        <f>N190/Geraetedaten!$B$174*(M190-L190)+L190+C190</f>
        <v>984.85242745102153</v>
      </c>
      <c r="P190" s="20">
        <f t="shared" si="154"/>
        <v>260.41366551017035</v>
      </c>
      <c r="Q190" s="20"/>
      <c r="R190" s="21">
        <f>(N190-Geraetedaten!$B$161)/(Geraetedaten!$B$174-Geraetedaten!$B$161)*(Geraetedaten!$B$175-Geraetedaten!$B$162)+Geraetedaten!$B$162</f>
        <v>39.619446249548389</v>
      </c>
      <c r="S190" s="21">
        <f t="shared" si="128"/>
        <v>39.619446249548389</v>
      </c>
      <c r="T190" s="21">
        <f t="shared" si="129"/>
        <v>19.207888690613721</v>
      </c>
      <c r="U190" s="88">
        <f t="shared" si="130"/>
        <v>-34.651948475805042</v>
      </c>
      <c r="V190" s="86">
        <f t="shared" si="131"/>
        <v>-21828.281439999999</v>
      </c>
      <c r="W190" s="85">
        <f t="shared" si="132"/>
        <v>-4225.3239992296285</v>
      </c>
      <c r="X190" s="85">
        <f t="shared" si="133"/>
        <v>-8722.2361159334487</v>
      </c>
      <c r="Y190" s="90">
        <f t="shared" si="134"/>
        <v>4225.3239992296285</v>
      </c>
      <c r="Z190" s="86">
        <f t="shared" si="135"/>
        <v>10280.306339999999</v>
      </c>
      <c r="AA190" s="85">
        <f t="shared" si="136"/>
        <v>-913.46204712425447</v>
      </c>
      <c r="AB190" s="85">
        <f t="shared" si="137"/>
        <v>1068.2035846250058</v>
      </c>
      <c r="AC190" s="90">
        <f t="shared" si="138"/>
        <v>913.46204712425447</v>
      </c>
      <c r="AD190" s="86">
        <f t="shared" si="139"/>
        <v>21564.054950000002</v>
      </c>
      <c r="AE190" s="85">
        <f t="shared" si="140"/>
        <v>4140.4375383844126</v>
      </c>
      <c r="AF190" s="85">
        <f t="shared" si="141"/>
        <v>8534.0664823337847</v>
      </c>
      <c r="AG190" s="90">
        <f t="shared" si="142"/>
        <v>4140.4375383844126</v>
      </c>
      <c r="AH190" s="86">
        <f t="shared" si="143"/>
        <v>-10425.401229999999</v>
      </c>
      <c r="AI190" s="85">
        <f t="shared" si="144"/>
        <v>6238.0466047659793</v>
      </c>
      <c r="AJ190" s="85">
        <f t="shared" si="145"/>
        <v>-7084.0609382858956</v>
      </c>
      <c r="AK190" s="90">
        <f t="shared" si="146"/>
        <v>6238.0466047659793</v>
      </c>
      <c r="AM190" s="95">
        <f t="shared" si="147"/>
        <v>0</v>
      </c>
      <c r="AN190" s="95">
        <f t="shared" si="148"/>
        <v>0</v>
      </c>
      <c r="AO190" s="95">
        <f t="shared" si="149"/>
        <v>0</v>
      </c>
      <c r="AP190" s="95">
        <f t="shared" si="150"/>
        <v>0</v>
      </c>
      <c r="AQ190"/>
      <c r="AR190" s="95">
        <f t="shared" si="151"/>
        <v>0</v>
      </c>
      <c r="AS190" s="95">
        <f t="shared" si="152"/>
        <v>0</v>
      </c>
      <c r="AT190" s="95">
        <f>Geraetedaten!$B$94*ABS(SIN(RADIANS($A190)))</f>
        <v>74.660681517935927</v>
      </c>
      <c r="AU190" s="95">
        <f>Geraetedaten!$B$94*ABS(COS(RADIANS($A190)))</f>
        <v>134.69143489946694</v>
      </c>
      <c r="AV190" s="95">
        <f>((h_Aw_Sw+Geraetedaten!$B$18)/1000)*(AR190*AT190+AS190*AU190)/100</f>
        <v>0</v>
      </c>
      <c r="AX190" s="18">
        <f>(IF($X$19="ja",1,0))*Geraetedaten!$D$142*COS(RADIANS(2*A190))*(Geraetedaten!$B$154*r_K_D+r_K_SSw*F_SSw/10)/1000+Geraetedaten!$B$152</f>
        <v>594.79999999999995</v>
      </c>
      <c r="AY190" s="18">
        <f>(IF($X$19="ja",1,0))*Geraetedaten!$D$142*COS(RADIANS(2*A190))*(Geraetedaten!$B$157*r_K_D+r_K_SSw*F_SSw/10)/1000+Geraetedaten!$B$155</f>
        <v>537.4</v>
      </c>
      <c r="AZ190" s="201"/>
    </row>
    <row r="191" spans="1:52" ht="13.5" x14ac:dyDescent="0.25">
      <c r="A191" s="16">
        <v>152</v>
      </c>
      <c r="B191" s="16">
        <f t="shared" si="122"/>
        <v>298</v>
      </c>
      <c r="C191" s="19">
        <f t="shared" si="123"/>
        <v>56.275516110805491</v>
      </c>
      <c r="D191" s="17">
        <f t="shared" si="153"/>
        <v>-22598.454716110806</v>
      </c>
      <c r="E191" s="17">
        <f t="shared" si="124"/>
        <v>10117.937773889194</v>
      </c>
      <c r="F191" s="17">
        <f t="shared" si="125"/>
        <v>22211.601463889194</v>
      </c>
      <c r="G191" s="17">
        <f t="shared" si="126"/>
        <v>-10386.225806110806</v>
      </c>
      <c r="H191" s="17">
        <f t="shared" si="156"/>
        <v>10117.937773889194</v>
      </c>
      <c r="I191" s="17">
        <f t="shared" si="127"/>
        <v>1057.1796940839222</v>
      </c>
      <c r="J191" s="20">
        <f>(Geraetedaten!$B$152+(Geraetedaten!$B$153*(Geraetedaten!$B$18+d_y_Sw)/1000))*10</f>
        <v>6051.0442000000003</v>
      </c>
      <c r="K191" s="20">
        <f>(Geraetedaten!$B$165+(Geraetedaten!$B$166*(Geraetedaten!$B$18+d_y_Sw)/1000))*10</f>
        <v>10816.164000000001</v>
      </c>
      <c r="L191" s="20">
        <f>(Geraetedaten!$B$158+(Geraetedaten!$B$159*(Geraetedaten!$B$18+d_y_Sw)/1000)-(Geraetedaten!$B$160*I191/1000))*10</f>
        <v>524.01361303282567</v>
      </c>
      <c r="M191" s="20">
        <f>(Geraetedaten!$B$171+(Geraetedaten!$B$172*(Geraetedaten!$B$18+d_y_Sw)/1000)-(Geraetedaten!$B$173*I191/1000))*10</f>
        <v>986.17054357239385</v>
      </c>
      <c r="N191" s="20">
        <f>IF((H191-J191)/(K191-J191)*(Geraetedaten!$B$174-Geraetedaten!$B$161)&lt;Geraetedaten!$B$174,(H191-J191)/(K191-J191)*(Geraetedaten!$B$174-Geraetedaten!$B$161),Geraetedaten!$B$174)</f>
        <v>341.38856898323468</v>
      </c>
      <c r="O191" s="20">
        <f>N191/Geraetedaten!$B$174*(M191-L191)+L191+C191</f>
        <v>974.72686205009961</v>
      </c>
      <c r="P191" s="20">
        <f t="shared" si="154"/>
        <v>259.43287952397776</v>
      </c>
      <c r="Q191" s="20"/>
      <c r="R191" s="21">
        <f>(N191-Geraetedaten!$B$161)/(Geraetedaten!$B$174-Geraetedaten!$B$161)*(Geraetedaten!$B$175-Geraetedaten!$B$162)+Geraetedaten!$B$162</f>
        <v>39.356309927251232</v>
      </c>
      <c r="S191" s="21">
        <f t="shared" si="128"/>
        <v>39.356309927251232</v>
      </c>
      <c r="T191" s="21">
        <f t="shared" si="129"/>
        <v>18.476668327032499</v>
      </c>
      <c r="U191" s="88">
        <f t="shared" si="130"/>
        <v>-34.749559114076369</v>
      </c>
      <c r="V191" s="86">
        <f t="shared" si="131"/>
        <v>-22542.179199999999</v>
      </c>
      <c r="W191" s="85">
        <f t="shared" si="132"/>
        <v>-4225.3239992296285</v>
      </c>
      <c r="X191" s="85">
        <f t="shared" si="133"/>
        <v>-9007.498372662616</v>
      </c>
      <c r="Y191" s="90">
        <f t="shared" si="134"/>
        <v>4225.3239992296285</v>
      </c>
      <c r="Z191" s="86">
        <f t="shared" si="135"/>
        <v>10174.21329</v>
      </c>
      <c r="AA191" s="85">
        <f t="shared" si="136"/>
        <v>-913.46204712425447</v>
      </c>
      <c r="AB191" s="85">
        <f t="shared" si="137"/>
        <v>1057.1796940839222</v>
      </c>
      <c r="AC191" s="90">
        <f t="shared" si="138"/>
        <v>913.46204712425447</v>
      </c>
      <c r="AD191" s="86">
        <f t="shared" si="139"/>
        <v>22267.876980000001</v>
      </c>
      <c r="AE191" s="85">
        <f t="shared" si="140"/>
        <v>4140.4375383844126</v>
      </c>
      <c r="AF191" s="85">
        <f t="shared" si="141"/>
        <v>8812.6070483041221</v>
      </c>
      <c r="AG191" s="90">
        <f t="shared" si="142"/>
        <v>4140.4375383844126</v>
      </c>
      <c r="AH191" s="86">
        <f t="shared" si="143"/>
        <v>-10329.950290000001</v>
      </c>
      <c r="AI191" s="85">
        <f t="shared" si="144"/>
        <v>6238.0466047659793</v>
      </c>
      <c r="AJ191" s="85">
        <f t="shared" si="145"/>
        <v>-7019.2020161566979</v>
      </c>
      <c r="AK191" s="90">
        <f t="shared" si="146"/>
        <v>6238.0466047659793</v>
      </c>
      <c r="AM191" s="95">
        <f t="shared" si="147"/>
        <v>0</v>
      </c>
      <c r="AN191" s="95">
        <f t="shared" si="148"/>
        <v>0</v>
      </c>
      <c r="AO191" s="95">
        <f t="shared" si="149"/>
        <v>0</v>
      </c>
      <c r="AP191" s="95">
        <f t="shared" si="150"/>
        <v>0</v>
      </c>
      <c r="AQ191"/>
      <c r="AR191" s="95">
        <f t="shared" si="151"/>
        <v>0</v>
      </c>
      <c r="AS191" s="95">
        <f t="shared" si="152"/>
        <v>0</v>
      </c>
      <c r="AT191" s="95">
        <f>Geraetedaten!$B$94*ABS(SIN(RADIANS($A191)))</f>
        <v>72.298620669027173</v>
      </c>
      <c r="AU191" s="95">
        <f>Geraetedaten!$B$94*ABS(COS(RADIANS($A191)))</f>
        <v>135.97392930027476</v>
      </c>
      <c r="AV191" s="95">
        <f>((h_Aw_Sw+Geraetedaten!$B$18)/1000)*(AR191*AT191+AS191*AU191)/100</f>
        <v>0</v>
      </c>
      <c r="AX191" s="18">
        <f>(IF($X$19="ja",1,0))*Geraetedaten!$D$142*COS(RADIANS(2*A191))*(Geraetedaten!$B$154*r_K_D+r_K_SSw*F_SSw/10)/1000+Geraetedaten!$B$152</f>
        <v>594.79999999999995</v>
      </c>
      <c r="AY191" s="18">
        <f>(IF($X$19="ja",1,0))*Geraetedaten!$D$142*COS(RADIANS(2*A191))*(Geraetedaten!$B$157*r_K_D+r_K_SSw*F_SSw/10)/1000+Geraetedaten!$B$155</f>
        <v>537.4</v>
      </c>
      <c r="AZ191" s="201"/>
    </row>
    <row r="192" spans="1:52" ht="13.5" x14ac:dyDescent="0.25">
      <c r="A192" s="16">
        <v>153</v>
      </c>
      <c r="B192" s="16">
        <f t="shared" si="122"/>
        <v>297</v>
      </c>
      <c r="C192" s="19">
        <f t="shared" si="123"/>
        <v>55.533063495323873</v>
      </c>
      <c r="D192" s="17">
        <f t="shared" si="153"/>
        <v>-23367.226223495323</v>
      </c>
      <c r="E192" s="17">
        <f t="shared" si="124"/>
        <v>10017.791666504676</v>
      </c>
      <c r="F192" s="17">
        <f t="shared" si="125"/>
        <v>22970.910456504676</v>
      </c>
      <c r="G192" s="17">
        <f t="shared" si="126"/>
        <v>-10294.855073495324</v>
      </c>
      <c r="H192" s="17">
        <f t="shared" si="156"/>
        <v>10017.791666504676</v>
      </c>
      <c r="I192" s="17">
        <f t="shared" si="127"/>
        <v>1046.6965902407571</v>
      </c>
      <c r="J192" s="20">
        <f>(Geraetedaten!$B$152+(Geraetedaten!$B$153*(Geraetedaten!$B$18+d_y_Sw)/1000))*10</f>
        <v>6051.0442000000003</v>
      </c>
      <c r="K192" s="20">
        <f>(Geraetedaten!$B$165+(Geraetedaten!$B$166*(Geraetedaten!$B$18+d_y_Sw)/1000))*10</f>
        <v>10816.164000000001</v>
      </c>
      <c r="L192" s="20">
        <f>(Geraetedaten!$B$158+(Geraetedaten!$B$159*(Geraetedaten!$B$18+d_y_Sw)/1000)-(Geraetedaten!$B$160*I192/1000))*10</f>
        <v>524.78233903764499</v>
      </c>
      <c r="M192" s="20">
        <f>(Geraetedaten!$B$171+(Geraetedaten!$B$172*(Geraetedaten!$B$18+d_y_Sw)/1000)-(Geraetedaten!$B$173*I192/1000))*10</f>
        <v>986.95090582247894</v>
      </c>
      <c r="N192" s="20">
        <f>IF((H192-J192)/(K192-J192)*(Geraetedaten!$B$174-Geraetedaten!$B$161)&lt;Geraetedaten!$B$174,(H192-J192)/(K192-J192)*(Geraetedaten!$B$174-Geraetedaten!$B$161),Geraetedaten!$B$174)</f>
        <v>332.9819717443138</v>
      </c>
      <c r="O192" s="20">
        <f>N192/Geraetedaten!$B$174*(M192-L192)+L192+C192</f>
        <v>965.04990414861277</v>
      </c>
      <c r="P192" s="20">
        <f t="shared" si="154"/>
        <v>258.4743734490425</v>
      </c>
      <c r="Q192" s="20"/>
      <c r="R192" s="21">
        <f>(N192-Geraetedaten!$B$161)/(Geraetedaten!$B$174-Geraetedaten!$B$161)*(Geraetedaten!$B$175-Geraetedaten!$B$162)+Geraetedaten!$B$162</f>
        <v>39.106213659393333</v>
      </c>
      <c r="S192" s="21">
        <f t="shared" si="128"/>
        <v>39.106213659393333</v>
      </c>
      <c r="T192" s="21">
        <f t="shared" si="129"/>
        <v>17.753849482149473</v>
      </c>
      <c r="U192" s="88">
        <f t="shared" si="130"/>
        <v>-34.843891506823724</v>
      </c>
      <c r="V192" s="86">
        <f t="shared" si="131"/>
        <v>-23311.693159999999</v>
      </c>
      <c r="W192" s="85">
        <f t="shared" si="132"/>
        <v>-4225.3239992296285</v>
      </c>
      <c r="X192" s="85">
        <f t="shared" si="133"/>
        <v>-9314.9839864622281</v>
      </c>
      <c r="Y192" s="90">
        <f t="shared" si="134"/>
        <v>4225.3239992296285</v>
      </c>
      <c r="Z192" s="86">
        <f t="shared" si="135"/>
        <v>10073.32473</v>
      </c>
      <c r="AA192" s="85">
        <f t="shared" si="136"/>
        <v>-913.46204712425447</v>
      </c>
      <c r="AB192" s="85">
        <f t="shared" si="137"/>
        <v>1046.6965902407571</v>
      </c>
      <c r="AC192" s="90">
        <f t="shared" si="138"/>
        <v>913.46204712425447</v>
      </c>
      <c r="AD192" s="86">
        <f t="shared" si="139"/>
        <v>23026.443520000001</v>
      </c>
      <c r="AE192" s="85">
        <f t="shared" si="140"/>
        <v>4140.4375383844126</v>
      </c>
      <c r="AF192" s="85">
        <f t="shared" si="141"/>
        <v>9112.8129804214368</v>
      </c>
      <c r="AG192" s="90">
        <f t="shared" si="142"/>
        <v>4140.4375383844126</v>
      </c>
      <c r="AH192" s="86">
        <f t="shared" si="143"/>
        <v>-10239.32201</v>
      </c>
      <c r="AI192" s="85">
        <f t="shared" si="144"/>
        <v>6238.0466047659793</v>
      </c>
      <c r="AJ192" s="85">
        <f t="shared" si="145"/>
        <v>-6957.620095958966</v>
      </c>
      <c r="AK192" s="90">
        <f t="shared" si="146"/>
        <v>6238.0466047659793</v>
      </c>
      <c r="AM192" s="95">
        <f t="shared" si="147"/>
        <v>0</v>
      </c>
      <c r="AN192" s="95">
        <f t="shared" si="148"/>
        <v>0</v>
      </c>
      <c r="AO192" s="95">
        <f t="shared" si="149"/>
        <v>0</v>
      </c>
      <c r="AP192" s="95">
        <f t="shared" si="150"/>
        <v>0</v>
      </c>
      <c r="AQ192"/>
      <c r="AR192" s="95">
        <f t="shared" si="151"/>
        <v>0</v>
      </c>
      <c r="AS192" s="95">
        <f t="shared" si="152"/>
        <v>0</v>
      </c>
      <c r="AT192" s="95">
        <f>Geraetedaten!$B$94*ABS(SIN(RADIANS($A192)))</f>
        <v>69.914536959890214</v>
      </c>
      <c r="AU192" s="95">
        <f>Geraetedaten!$B$94*ABS(COS(RADIANS($A192)))</f>
        <v>137.21500472500864</v>
      </c>
      <c r="AV192" s="95">
        <f>((h_Aw_Sw+Geraetedaten!$B$18)/1000)*(AR192*AT192+AS192*AU192)/100</f>
        <v>0</v>
      </c>
      <c r="AX192" s="18">
        <f>(IF($X$19="ja",1,0))*Geraetedaten!$D$142*COS(RADIANS(2*A192))*(Geraetedaten!$B$154*r_K_D+r_K_SSw*F_SSw/10)/1000+Geraetedaten!$B$152</f>
        <v>594.79999999999995</v>
      </c>
      <c r="AY192" s="18">
        <f>(IF($X$19="ja",1,0))*Geraetedaten!$D$142*COS(RADIANS(2*A192))*(Geraetedaten!$B$157*r_K_D+r_K_SSw*F_SSw/10)/1000+Geraetedaten!$B$155</f>
        <v>537.4</v>
      </c>
      <c r="AZ192" s="201"/>
    </row>
    <row r="193" spans="1:52" ht="13.5" x14ac:dyDescent="0.25">
      <c r="A193" s="16">
        <v>154</v>
      </c>
      <c r="B193" s="16">
        <f t="shared" si="122"/>
        <v>296</v>
      </c>
      <c r="C193" s="19">
        <f t="shared" si="123"/>
        <v>54.773694970740706</v>
      </c>
      <c r="D193" s="17">
        <f t="shared" si="153"/>
        <v>-24197.989054970738</v>
      </c>
      <c r="E193" s="17">
        <f t="shared" si="124"/>
        <v>9922.6530550292591</v>
      </c>
      <c r="F193" s="17">
        <f t="shared" si="125"/>
        <v>23791.260825029261</v>
      </c>
      <c r="G193" s="17">
        <f t="shared" si="126"/>
        <v>-10208.109734970742</v>
      </c>
      <c r="H193" s="17">
        <f t="shared" si="156"/>
        <v>9922.6530550292591</v>
      </c>
      <c r="I193" s="17">
        <f t="shared" si="127"/>
        <v>1036.7320460275098</v>
      </c>
      <c r="J193" s="20">
        <f>(Geraetedaten!$B$152+(Geraetedaten!$B$153*(Geraetedaten!$B$18+d_y_Sw)/1000))*10</f>
        <v>6051.0442000000003</v>
      </c>
      <c r="K193" s="20">
        <f>(Geraetedaten!$B$165+(Geraetedaten!$B$166*(Geraetedaten!$B$18+d_y_Sw)/1000))*10</f>
        <v>10816.164000000001</v>
      </c>
      <c r="L193" s="20">
        <f>(Geraetedaten!$B$158+(Geraetedaten!$B$159*(Geraetedaten!$B$18+d_y_Sw)/1000)-(Geraetedaten!$B$160*I193/1000))*10</f>
        <v>525.51303906480246</v>
      </c>
      <c r="M193" s="20">
        <f>(Geraetedaten!$B$171+(Geraetedaten!$B$172*(Geraetedaten!$B$18+d_y_Sw)/1000)-(Geraetedaten!$B$173*I193/1000))*10</f>
        <v>987.6926664937132</v>
      </c>
      <c r="N193" s="20">
        <f>IF((H193-J193)/(K193-J193)*(Geraetedaten!$B$174-Geraetedaten!$B$161)&lt;Geraetedaten!$B$174,(H193-J193)/(K193-J193)*(Geraetedaten!$B$174-Geraetedaten!$B$161),Geraetedaten!$B$174)</f>
        <v>324.9957203618896</v>
      </c>
      <c r="O193" s="20">
        <f>N193/Geraetedaten!$B$174*(M193-L193)+L193+C193</f>
        <v>955.80273641766473</v>
      </c>
      <c r="P193" s="20">
        <f t="shared" si="154"/>
        <v>257.53793946724693</v>
      </c>
      <c r="Q193" s="20"/>
      <c r="R193" s="21">
        <f>(N193-Geraetedaten!$B$161)/(Geraetedaten!$B$174-Geraetedaten!$B$161)*(Geraetedaten!$B$175-Geraetedaten!$B$162)+Geraetedaten!$B$162</f>
        <v>38.868622680766215</v>
      </c>
      <c r="S193" s="21">
        <f t="shared" si="128"/>
        <v>38.868622680766215</v>
      </c>
      <c r="T193" s="21">
        <f t="shared" si="129"/>
        <v>17.038882698679426</v>
      </c>
      <c r="U193" s="88">
        <f t="shared" si="130"/>
        <v>-34.934886653321442</v>
      </c>
      <c r="V193" s="86">
        <f t="shared" si="131"/>
        <v>-24143.215359999998</v>
      </c>
      <c r="W193" s="85">
        <f t="shared" si="132"/>
        <v>-4225.3239992296285</v>
      </c>
      <c r="X193" s="85">
        <f t="shared" si="133"/>
        <v>-9647.2471092997384</v>
      </c>
      <c r="Y193" s="90">
        <f t="shared" si="134"/>
        <v>4225.3239992296285</v>
      </c>
      <c r="Z193" s="86">
        <f t="shared" si="135"/>
        <v>9977.4267500000005</v>
      </c>
      <c r="AA193" s="85">
        <f t="shared" si="136"/>
        <v>-913.46204712425447</v>
      </c>
      <c r="AB193" s="85">
        <f t="shared" si="137"/>
        <v>1036.7320460275098</v>
      </c>
      <c r="AC193" s="90">
        <f t="shared" si="138"/>
        <v>913.46204712425447</v>
      </c>
      <c r="AD193" s="86">
        <f t="shared" si="139"/>
        <v>23846.034520000001</v>
      </c>
      <c r="AE193" s="85">
        <f t="shared" si="140"/>
        <v>4140.4375383844126</v>
      </c>
      <c r="AF193" s="85">
        <f t="shared" si="141"/>
        <v>9437.1696063706622</v>
      </c>
      <c r="AG193" s="90">
        <f t="shared" si="142"/>
        <v>4140.4375383844126</v>
      </c>
      <c r="AH193" s="86">
        <f t="shared" si="143"/>
        <v>-10153.33604</v>
      </c>
      <c r="AI193" s="85">
        <f t="shared" si="144"/>
        <v>6238.0466047659793</v>
      </c>
      <c r="AJ193" s="85">
        <f t="shared" si="145"/>
        <v>-6899.1926211647979</v>
      </c>
      <c r="AK193" s="90">
        <f t="shared" si="146"/>
        <v>6238.0466047659793</v>
      </c>
      <c r="AM193" s="95">
        <f t="shared" si="147"/>
        <v>0</v>
      </c>
      <c r="AN193" s="95">
        <f t="shared" si="148"/>
        <v>0</v>
      </c>
      <c r="AO193" s="95">
        <f t="shared" si="149"/>
        <v>0</v>
      </c>
      <c r="AP193" s="95">
        <f t="shared" si="150"/>
        <v>0</v>
      </c>
      <c r="AQ193"/>
      <c r="AR193" s="95">
        <f t="shared" si="151"/>
        <v>0</v>
      </c>
      <c r="AS193" s="95">
        <f t="shared" si="152"/>
        <v>0</v>
      </c>
      <c r="AT193" s="95">
        <f>Geraetedaten!$B$94*ABS(SIN(RADIANS($A193)))</f>
        <v>67.509156605517902</v>
      </c>
      <c r="AU193" s="95">
        <f>Geraetedaten!$B$94*ABS(COS(RADIANS($A193)))</f>
        <v>138.41428313007174</v>
      </c>
      <c r="AV193" s="95">
        <f>((h_Aw_Sw+Geraetedaten!$B$18)/1000)*(AR193*AT193+AS193*AU193)/100</f>
        <v>0</v>
      </c>
      <c r="AX193" s="18">
        <f>(IF($X$19="ja",1,0))*Geraetedaten!$D$142*COS(RADIANS(2*A193))*(Geraetedaten!$B$154*r_K_D+r_K_SSw*F_SSw/10)/1000+Geraetedaten!$B$152</f>
        <v>594.79999999999995</v>
      </c>
      <c r="AY193" s="18">
        <f>(IF($X$19="ja",1,0))*Geraetedaten!$D$142*COS(RADIANS(2*A193))*(Geraetedaten!$B$157*r_K_D+r_K_SSw*F_SSw/10)/1000+Geraetedaten!$B$155</f>
        <v>537.4</v>
      </c>
      <c r="AZ193" s="201"/>
    </row>
    <row r="194" spans="1:52" ht="13.5" x14ac:dyDescent="0.25">
      <c r="A194" s="16">
        <v>155</v>
      </c>
      <c r="B194" s="16">
        <f t="shared" si="122"/>
        <v>295</v>
      </c>
      <c r="C194" s="19">
        <f t="shared" si="123"/>
        <v>53.997641848064774</v>
      </c>
      <c r="D194" s="17">
        <f t="shared" si="153"/>
        <v>-25098.160661848066</v>
      </c>
      <c r="E194" s="17">
        <f t="shared" si="124"/>
        <v>9832.3228781519338</v>
      </c>
      <c r="F194" s="17">
        <f t="shared" si="125"/>
        <v>24679.937628151936</v>
      </c>
      <c r="G194" s="17">
        <f t="shared" si="126"/>
        <v>-10125.822261848065</v>
      </c>
      <c r="H194" s="17">
        <f t="shared" si="156"/>
        <v>9832.3228781519338</v>
      </c>
      <c r="I194" s="17">
        <f t="shared" si="127"/>
        <v>1027.2654015869145</v>
      </c>
      <c r="J194" s="20">
        <f>(Geraetedaten!$B$152+(Geraetedaten!$B$153*(Geraetedaten!$B$18+d_y_Sw)/1000))*10</f>
        <v>6051.0442000000003</v>
      </c>
      <c r="K194" s="20">
        <f>(Geraetedaten!$B$165+(Geraetedaten!$B$166*(Geraetedaten!$B$18+d_y_Sw)/1000))*10</f>
        <v>10816.164000000001</v>
      </c>
      <c r="L194" s="20">
        <f>(Geraetedaten!$B$158+(Geraetedaten!$B$159*(Geraetedaten!$B$18+d_y_Sw)/1000)-(Geraetedaten!$B$160*I194/1000))*10</f>
        <v>526.20722810163124</v>
      </c>
      <c r="M194" s="20">
        <f>(Geraetedaten!$B$171+(Geraetedaten!$B$172*(Geraetedaten!$B$18+d_y_Sw)/1000)-(Geraetedaten!$B$173*I194/1000))*10</f>
        <v>988.397363505871</v>
      </c>
      <c r="N194" s="20">
        <f>IF((H194-J194)/(K194-J194)*(Geraetedaten!$B$174-Geraetedaten!$B$161)&lt;Geraetedaten!$B$174,(H194-J194)/(K194-J194)*(Geraetedaten!$B$174-Geraetedaten!$B$161),Geraetedaten!$B$174)</f>
        <v>317.41310496763867</v>
      </c>
      <c r="O194" s="20">
        <f>N194/Geraetedaten!$B$174*(M194-L194)+L194+C194</f>
        <v>946.96788485987861</v>
      </c>
      <c r="P194" s="20">
        <f t="shared" si="154"/>
        <v>256.62338864521888</v>
      </c>
      <c r="Q194" s="20"/>
      <c r="R194" s="21">
        <f>(N194-Geraetedaten!$B$161)/(Geraetedaten!$B$174-Geraetedaten!$B$161)*(Geraetedaten!$B$175-Geraetedaten!$B$162)+Geraetedaten!$B$162</f>
        <v>38.643039872787249</v>
      </c>
      <c r="S194" s="21">
        <f t="shared" si="128"/>
        <v>38.643039872787249</v>
      </c>
      <c r="T194" s="21">
        <f t="shared" si="129"/>
        <v>16.331254339413888</v>
      </c>
      <c r="U194" s="88">
        <f t="shared" si="130"/>
        <v>-35.022487951474837</v>
      </c>
      <c r="V194" s="86">
        <f t="shared" si="131"/>
        <v>-25044.16302</v>
      </c>
      <c r="W194" s="85">
        <f t="shared" si="132"/>
        <v>-4225.3239992296285</v>
      </c>
      <c r="X194" s="85">
        <f t="shared" si="133"/>
        <v>-10007.251546684573</v>
      </c>
      <c r="Y194" s="90">
        <f t="shared" si="134"/>
        <v>4225.3239992296285</v>
      </c>
      <c r="Z194" s="86">
        <f t="shared" si="135"/>
        <v>9886.3205199999993</v>
      </c>
      <c r="AA194" s="85">
        <f t="shared" si="136"/>
        <v>-913.46204712425447</v>
      </c>
      <c r="AB194" s="85">
        <f t="shared" si="137"/>
        <v>1027.2654015869145</v>
      </c>
      <c r="AC194" s="90">
        <f t="shared" si="138"/>
        <v>913.46204712425447</v>
      </c>
      <c r="AD194" s="86">
        <f t="shared" si="139"/>
        <v>24733.935270000002</v>
      </c>
      <c r="AE194" s="85">
        <f t="shared" si="140"/>
        <v>4140.4375383844126</v>
      </c>
      <c r="AF194" s="85">
        <f t="shared" si="141"/>
        <v>9788.5601069237564</v>
      </c>
      <c r="AG194" s="90">
        <f t="shared" si="142"/>
        <v>4140.4375383844126</v>
      </c>
      <c r="AH194" s="86">
        <f t="shared" si="143"/>
        <v>-10071.824619999999</v>
      </c>
      <c r="AI194" s="85">
        <f t="shared" si="144"/>
        <v>6238.0466047659793</v>
      </c>
      <c r="AJ194" s="85">
        <f t="shared" si="145"/>
        <v>-6843.8056070949424</v>
      </c>
      <c r="AK194" s="90">
        <f t="shared" si="146"/>
        <v>6238.0466047659793</v>
      </c>
      <c r="AM194" s="95">
        <f t="shared" si="147"/>
        <v>0</v>
      </c>
      <c r="AN194" s="95">
        <f t="shared" si="148"/>
        <v>0</v>
      </c>
      <c r="AO194" s="95">
        <f t="shared" si="149"/>
        <v>0</v>
      </c>
      <c r="AP194" s="95">
        <f t="shared" si="150"/>
        <v>0</v>
      </c>
      <c r="AQ194"/>
      <c r="AR194" s="95">
        <f t="shared" si="151"/>
        <v>0</v>
      </c>
      <c r="AS194" s="95">
        <f t="shared" si="152"/>
        <v>0</v>
      </c>
      <c r="AT194" s="95">
        <f>Geraetedaten!$B$94*ABS(SIN(RADIANS($A194)))</f>
        <v>65.083212308067729</v>
      </c>
      <c r="AU194" s="95">
        <f>Geraetedaten!$B$94*ABS(COS(RADIANS($A194)))</f>
        <v>139.57139920364409</v>
      </c>
      <c r="AV194" s="95">
        <f>((h_Aw_Sw+Geraetedaten!$B$18)/1000)*(AR194*AT194+AS194*AU194)/100</f>
        <v>0</v>
      </c>
      <c r="AX194" s="18">
        <f>(IF($X$19="ja",1,0))*Geraetedaten!$D$142*COS(RADIANS(2*A194))*(Geraetedaten!$B$154*r_K_D+r_K_SSw*F_SSw/10)/1000+Geraetedaten!$B$152</f>
        <v>594.79999999999995</v>
      </c>
      <c r="AY194" s="18">
        <f>(IF($X$19="ja",1,0))*Geraetedaten!$D$142*COS(RADIANS(2*A194))*(Geraetedaten!$B$157*r_K_D+r_K_SSw*F_SSw/10)/1000+Geraetedaten!$B$155</f>
        <v>537.4</v>
      </c>
      <c r="AZ194" s="201"/>
    </row>
    <row r="195" spans="1:52" ht="13.5" x14ac:dyDescent="0.25">
      <c r="A195" s="16">
        <v>156</v>
      </c>
      <c r="B195" s="16">
        <f t="shared" si="122"/>
        <v>294</v>
      </c>
      <c r="C195" s="19">
        <f t="shared" si="123"/>
        <v>53.205140520595016</v>
      </c>
      <c r="D195" s="17">
        <f t="shared" si="153"/>
        <v>-26076.397460520595</v>
      </c>
      <c r="E195" s="17">
        <f t="shared" si="124"/>
        <v>9746.6160294794045</v>
      </c>
      <c r="F195" s="17">
        <f t="shared" si="125"/>
        <v>25645.440419479404</v>
      </c>
      <c r="G195" s="17">
        <f t="shared" si="126"/>
        <v>-10047.836890520595</v>
      </c>
      <c r="H195" s="17">
        <f t="shared" si="156"/>
        <v>9746.6160294794045</v>
      </c>
      <c r="I195" s="17">
        <f t="shared" si="127"/>
        <v>1018.2774476049958</v>
      </c>
      <c r="J195" s="20">
        <f>(Geraetedaten!$B$152+(Geraetedaten!$B$153*(Geraetedaten!$B$18+d_y_Sw)/1000))*10</f>
        <v>6051.0442000000003</v>
      </c>
      <c r="K195" s="20">
        <f>(Geraetedaten!$B$165+(Geraetedaten!$B$166*(Geraetedaten!$B$18+d_y_Sw)/1000))*10</f>
        <v>10816.164000000001</v>
      </c>
      <c r="L195" s="20">
        <f>(Geraetedaten!$B$158+(Geraetedaten!$B$159*(Geraetedaten!$B$18+d_y_Sw)/1000)-(Geraetedaten!$B$160*I195/1000))*10</f>
        <v>526.86631476712546</v>
      </c>
      <c r="M195" s="20">
        <f>(Geraetedaten!$B$171+(Geraetedaten!$B$172*(Geraetedaten!$B$18+d_y_Sw)/1000)-(Geraetedaten!$B$173*I195/1000))*10</f>
        <v>989.06642680028517</v>
      </c>
      <c r="N195" s="20">
        <f>IF((H195-J195)/(K195-J195)*(Geraetedaten!$B$174-Geraetedaten!$B$161)&lt;Geraetedaten!$B$174,(H195-J195)/(K195-J195)*(Geraetedaten!$B$174-Geraetedaten!$B$161),Geraetedaten!$B$174)</f>
        <v>310.21858711543024</v>
      </c>
      <c r="O195" s="20">
        <f>N195/Geraetedaten!$B$174*(M195-L195)+L195+C195</f>
        <v>938.52911958652135</v>
      </c>
      <c r="P195" s="20">
        <f t="shared" si="154"/>
        <v>255.73055070346362</v>
      </c>
      <c r="Q195" s="20"/>
      <c r="R195" s="21">
        <f>(N195-Geraetedaten!$B$161)/(Geraetedaten!$B$174-Geraetedaten!$B$161)*(Geraetedaten!$B$175-Geraetedaten!$B$162)+Geraetedaten!$B$162</f>
        <v>38.429002966684052</v>
      </c>
      <c r="S195" s="21">
        <f t="shared" si="128"/>
        <v>38.429002966684052</v>
      </c>
      <c r="T195" s="21">
        <f t="shared" si="129"/>
        <v>15.630483663419048</v>
      </c>
      <c r="U195" s="88">
        <f t="shared" si="130"/>
        <v>-35.106641101948242</v>
      </c>
      <c r="V195" s="86">
        <f t="shared" si="131"/>
        <v>-26023.192319999998</v>
      </c>
      <c r="W195" s="85">
        <f t="shared" si="132"/>
        <v>-4225.3239992296285</v>
      </c>
      <c r="X195" s="85">
        <f t="shared" si="133"/>
        <v>-10398.456176696636</v>
      </c>
      <c r="Y195" s="90">
        <f t="shared" si="134"/>
        <v>4225.3239992296285</v>
      </c>
      <c r="Z195" s="86">
        <f t="shared" si="135"/>
        <v>9799.8211699999993</v>
      </c>
      <c r="AA195" s="85">
        <f t="shared" si="136"/>
        <v>-913.46204712425447</v>
      </c>
      <c r="AB195" s="85">
        <f t="shared" si="137"/>
        <v>1018.2774476049958</v>
      </c>
      <c r="AC195" s="90">
        <f t="shared" si="138"/>
        <v>913.46204712425447</v>
      </c>
      <c r="AD195" s="86">
        <f t="shared" si="139"/>
        <v>25698.645560000001</v>
      </c>
      <c r="AE195" s="85">
        <f t="shared" si="140"/>
        <v>4140.4375383844126</v>
      </c>
      <c r="AF195" s="85">
        <f t="shared" si="141"/>
        <v>10170.348308068558</v>
      </c>
      <c r="AG195" s="90">
        <f t="shared" si="142"/>
        <v>4140.4375383844126</v>
      </c>
      <c r="AH195" s="86">
        <f t="shared" si="143"/>
        <v>-9994.6317500000005</v>
      </c>
      <c r="AI195" s="85">
        <f t="shared" si="144"/>
        <v>6238.0466047659793</v>
      </c>
      <c r="AJ195" s="85">
        <f t="shared" si="145"/>
        <v>-6791.3530456861863</v>
      </c>
      <c r="AK195" s="90">
        <f t="shared" si="146"/>
        <v>6238.0466047659793</v>
      </c>
      <c r="AM195" s="95">
        <f t="shared" si="147"/>
        <v>0</v>
      </c>
      <c r="AN195" s="95">
        <f t="shared" si="148"/>
        <v>0</v>
      </c>
      <c r="AO195" s="95">
        <f t="shared" si="149"/>
        <v>0</v>
      </c>
      <c r="AP195" s="95">
        <f t="shared" si="150"/>
        <v>0</v>
      </c>
      <c r="AQ195"/>
      <c r="AR195" s="95">
        <f t="shared" si="151"/>
        <v>0</v>
      </c>
      <c r="AS195" s="95">
        <f t="shared" si="152"/>
        <v>0</v>
      </c>
      <c r="AT195" s="95">
        <f>Geraetedaten!$B$94*ABS(SIN(RADIANS($A195)))</f>
        <v>62.637443033673264</v>
      </c>
      <c r="AU195" s="95">
        <f>Geraetedaten!$B$94*ABS(COS(RADIANS($A195)))</f>
        <v>140.68600047696052</v>
      </c>
      <c r="AV195" s="95">
        <f>((h_Aw_Sw+Geraetedaten!$B$18)/1000)*(AR195*AT195+AS195*AU195)/100</f>
        <v>0</v>
      </c>
      <c r="AX195" s="18">
        <f>(IF($X$19="ja",1,0))*Geraetedaten!$D$142*COS(RADIANS(2*A195))*(Geraetedaten!$B$154*r_K_D+r_K_SSw*F_SSw/10)/1000+Geraetedaten!$B$152</f>
        <v>594.79999999999995</v>
      </c>
      <c r="AY195" s="18">
        <f>(IF($X$19="ja",1,0))*Geraetedaten!$D$142*COS(RADIANS(2*A195))*(Geraetedaten!$B$157*r_K_D+r_K_SSw*F_SSw/10)/1000+Geraetedaten!$B$155</f>
        <v>537.4</v>
      </c>
      <c r="AZ195" s="201"/>
    </row>
    <row r="196" spans="1:52" ht="13.5" x14ac:dyDescent="0.25">
      <c r="A196" s="16">
        <v>157</v>
      </c>
      <c r="B196" s="16">
        <f t="shared" si="122"/>
        <v>293</v>
      </c>
      <c r="C196" s="19">
        <f t="shared" si="123"/>
        <v>52.396432391912896</v>
      </c>
      <c r="D196" s="17">
        <f t="shared" si="153"/>
        <v>-27142.864472391913</v>
      </c>
      <c r="E196" s="17">
        <f t="shared" si="124"/>
        <v>9665.3603376080864</v>
      </c>
      <c r="F196" s="17">
        <f t="shared" si="125"/>
        <v>26697.746967608087</v>
      </c>
      <c r="G196" s="17">
        <f t="shared" si="126"/>
        <v>-9974.0087923919127</v>
      </c>
      <c r="H196" s="17">
        <f t="shared" si="156"/>
        <v>9665.3603376080864</v>
      </c>
      <c r="I196" s="17">
        <f t="shared" si="127"/>
        <v>1009.750319776164</v>
      </c>
      <c r="J196" s="20">
        <f>(Geraetedaten!$B$152+(Geraetedaten!$B$153*(Geraetedaten!$B$18+d_y_Sw)/1000))*10</f>
        <v>6051.0442000000003</v>
      </c>
      <c r="K196" s="20">
        <f>(Geraetedaten!$B$165+(Geraetedaten!$B$166*(Geraetedaten!$B$18+d_y_Sw)/1000))*10</f>
        <v>10816.164000000001</v>
      </c>
      <c r="L196" s="20">
        <f>(Geraetedaten!$B$158+(Geraetedaten!$B$159*(Geraetedaten!$B$18+d_y_Sw)/1000)-(Geraetedaten!$B$160*I196/1000))*10</f>
        <v>527.49160905081362</v>
      </c>
      <c r="M196" s="20">
        <f>(Geraetedaten!$B$171+(Geraetedaten!$B$172*(Geraetedaten!$B$18+d_y_Sw)/1000)-(Geraetedaten!$B$173*I196/1000))*10</f>
        <v>989.70118619586333</v>
      </c>
      <c r="N196" s="20">
        <f>IF((H196-J196)/(K196-J196)*(Geraetedaten!$B$174-Geraetedaten!$B$161)&lt;Geraetedaten!$B$174,(H196-J196)/(K196-J196)*(Geraetedaten!$B$174-Geraetedaten!$B$161),Geraetedaten!$B$174)</f>
        <v>303.39771416517885</v>
      </c>
      <c r="O196" s="20">
        <f>N196/Geraetedaten!$B$174*(M196-L196)+L196+C196</f>
        <v>930.47136437038148</v>
      </c>
      <c r="P196" s="20">
        <f t="shared" si="154"/>
        <v>254.85927372121142</v>
      </c>
      <c r="Q196" s="20"/>
      <c r="R196" s="21">
        <f>(N196-Geraetedaten!$B$161)/(Geraetedaten!$B$174-Geraetedaten!$B$161)*(Geraetedaten!$B$175-Geraetedaten!$B$162)+Geraetedaten!$B$162</f>
        <v>38.226081996414074</v>
      </c>
      <c r="S196" s="21">
        <f t="shared" si="128"/>
        <v>38.226081996414074</v>
      </c>
      <c r="T196" s="21">
        <f t="shared" si="129"/>
        <v>14.936120156182382</v>
      </c>
      <c r="U196" s="88">
        <f t="shared" si="130"/>
        <v>-35.187294006170106</v>
      </c>
      <c r="V196" s="86">
        <f t="shared" si="131"/>
        <v>-27090.46804</v>
      </c>
      <c r="W196" s="85">
        <f t="shared" si="132"/>
        <v>-4225.3239992296285</v>
      </c>
      <c r="X196" s="85">
        <f t="shared" si="133"/>
        <v>-10824.922677018858</v>
      </c>
      <c r="Y196" s="90">
        <f t="shared" si="134"/>
        <v>4225.3239992296285</v>
      </c>
      <c r="Z196" s="86">
        <f t="shared" si="135"/>
        <v>9717.75677</v>
      </c>
      <c r="AA196" s="85">
        <f t="shared" si="136"/>
        <v>-913.46204712425447</v>
      </c>
      <c r="AB196" s="85">
        <f t="shared" si="137"/>
        <v>1009.750319776164</v>
      </c>
      <c r="AC196" s="90">
        <f t="shared" si="138"/>
        <v>913.46204712425447</v>
      </c>
      <c r="AD196" s="86">
        <f t="shared" si="139"/>
        <v>26750.143400000001</v>
      </c>
      <c r="AE196" s="85">
        <f t="shared" si="140"/>
        <v>4140.4375383844126</v>
      </c>
      <c r="AF196" s="85">
        <f t="shared" si="141"/>
        <v>10586.483049919258</v>
      </c>
      <c r="AG196" s="90">
        <f t="shared" si="142"/>
        <v>4140.4375383844126</v>
      </c>
      <c r="AH196" s="86">
        <f t="shared" si="143"/>
        <v>-9921.6123599999992</v>
      </c>
      <c r="AI196" s="85">
        <f t="shared" si="144"/>
        <v>6238.0466047659793</v>
      </c>
      <c r="AJ196" s="85">
        <f t="shared" si="145"/>
        <v>-6741.7363655384106</v>
      </c>
      <c r="AK196" s="90">
        <f t="shared" si="146"/>
        <v>6238.0466047659793</v>
      </c>
      <c r="AM196" s="95">
        <f t="shared" si="147"/>
        <v>0</v>
      </c>
      <c r="AN196" s="95">
        <f t="shared" si="148"/>
        <v>0</v>
      </c>
      <c r="AO196" s="95">
        <f t="shared" si="149"/>
        <v>0</v>
      </c>
      <c r="AP196" s="95">
        <f t="shared" si="150"/>
        <v>0</v>
      </c>
      <c r="AQ196"/>
      <c r="AR196" s="95">
        <f t="shared" si="151"/>
        <v>0</v>
      </c>
      <c r="AS196" s="95">
        <f t="shared" si="152"/>
        <v>0</v>
      </c>
      <c r="AT196" s="95">
        <f>Geraetedaten!$B$94*ABS(SIN(RADIANS($A196)))</f>
        <v>60.172593787348163</v>
      </c>
      <c r="AU196" s="95">
        <f>Geraetedaten!$B$94*ABS(COS(RADIANS($A196)))</f>
        <v>141.75774743167582</v>
      </c>
      <c r="AV196" s="95">
        <f>((h_Aw_Sw+Geraetedaten!$B$18)/1000)*(AR196*AT196+AS196*AU196)/100</f>
        <v>0</v>
      </c>
      <c r="AX196" s="18">
        <f>(IF($X$19="ja",1,0))*Geraetedaten!$D$142*COS(RADIANS(2*A196))*(Geraetedaten!$B$154*r_K_D+r_K_SSw*F_SSw/10)/1000+Geraetedaten!$B$152</f>
        <v>594.79999999999995</v>
      </c>
      <c r="AY196" s="18">
        <f>(IF($X$19="ja",1,0))*Geraetedaten!$D$142*COS(RADIANS(2*A196))*(Geraetedaten!$B$157*r_K_D+r_K_SSw*F_SSw/10)/1000+Geraetedaten!$B$155</f>
        <v>537.4</v>
      </c>
      <c r="AZ196" s="201"/>
    </row>
    <row r="197" spans="1:52" ht="13.5" x14ac:dyDescent="0.25">
      <c r="A197" s="16">
        <v>158</v>
      </c>
      <c r="B197" s="16">
        <f t="shared" si="122"/>
        <v>292</v>
      </c>
      <c r="C197" s="19">
        <f t="shared" si="123"/>
        <v>51.571763802348585</v>
      </c>
      <c r="D197" s="17">
        <f t="shared" si="153"/>
        <v>-28309.578463802351</v>
      </c>
      <c r="E197" s="17">
        <f t="shared" si="124"/>
        <v>9588.395656197652</v>
      </c>
      <c r="F197" s="17">
        <f t="shared" si="125"/>
        <v>27848.648826197652</v>
      </c>
      <c r="G197" s="17">
        <f t="shared" si="126"/>
        <v>-9904.203383802349</v>
      </c>
      <c r="H197" s="17">
        <f t="shared" si="156"/>
        <v>9588.395656197652</v>
      </c>
      <c r="I197" s="17">
        <f t="shared" si="127"/>
        <v>1001.6674032356061</v>
      </c>
      <c r="J197" s="20">
        <f>(Geraetedaten!$B$152+(Geraetedaten!$B$153*(Geraetedaten!$B$18+d_y_Sw)/1000))*10</f>
        <v>6051.0442000000003</v>
      </c>
      <c r="K197" s="20">
        <f>(Geraetedaten!$B$165+(Geraetedaten!$B$166*(Geraetedaten!$B$18+d_y_Sw)/1000))*10</f>
        <v>10816.164000000001</v>
      </c>
      <c r="L197" s="20">
        <f>(Geraetedaten!$B$158+(Geraetedaten!$B$159*(Geraetedaten!$B$18+d_y_Sw)/1000)-(Geraetedaten!$B$160*I197/1000))*10</f>
        <v>528.08432932073276</v>
      </c>
      <c r="M197" s="20">
        <f>(Geraetedaten!$B$171+(Geraetedaten!$B$172*(Geraetedaten!$B$18+d_y_Sw)/1000)-(Geraetedaten!$B$173*I197/1000))*10</f>
        <v>990.30287850314244</v>
      </c>
      <c r="N197" s="20">
        <f>IF((H197-J197)/(K197-J197)*(Geraetedaten!$B$174-Geraetedaten!$B$161)&lt;Geraetedaten!$B$174,(H197-J197)/(K197-J197)*(Geraetedaten!$B$174-Geraetedaten!$B$161),Geraetedaten!$B$174)</f>
        <v>296.93704290059208</v>
      </c>
      <c r="O197" s="20">
        <f>N197/Geraetedaten!$B$174*(M197-L197)+L197+C197</f>
        <v>922.7806160431478</v>
      </c>
      <c r="P197" s="20">
        <f t="shared" si="154"/>
        <v>254.00942397554843</v>
      </c>
      <c r="Q197" s="20"/>
      <c r="R197" s="21">
        <f>(N197-Geraetedaten!$B$161)/(Geraetedaten!$B$174-Geraetedaten!$B$161)*(Geraetedaten!$B$175-Geraetedaten!$B$162)+Geraetedaten!$B$162</f>
        <v>38.033877026292615</v>
      </c>
      <c r="S197" s="21">
        <f t="shared" si="128"/>
        <v>38.033877026292615</v>
      </c>
      <c r="T197" s="21">
        <f t="shared" si="129"/>
        <v>14.247741107219202</v>
      </c>
      <c r="U197" s="88">
        <f t="shared" si="130"/>
        <v>-35.264396705357164</v>
      </c>
      <c r="V197" s="86">
        <f t="shared" si="131"/>
        <v>-28258.006700000002</v>
      </c>
      <c r="W197" s="85">
        <f t="shared" si="132"/>
        <v>-4225.3239992296285</v>
      </c>
      <c r="X197" s="85">
        <f t="shared" si="133"/>
        <v>-11291.452665952198</v>
      </c>
      <c r="Y197" s="90">
        <f t="shared" si="134"/>
        <v>4225.3239992296285</v>
      </c>
      <c r="Z197" s="86">
        <f t="shared" si="135"/>
        <v>9639.9674200000009</v>
      </c>
      <c r="AA197" s="85">
        <f t="shared" si="136"/>
        <v>-913.46204712425447</v>
      </c>
      <c r="AB197" s="85">
        <f t="shared" si="137"/>
        <v>1001.6674032356061</v>
      </c>
      <c r="AC197" s="90">
        <f t="shared" si="138"/>
        <v>913.46204712425447</v>
      </c>
      <c r="AD197" s="86">
        <f t="shared" si="139"/>
        <v>27900.220590000001</v>
      </c>
      <c r="AE197" s="85">
        <f t="shared" si="140"/>
        <v>4140.4375383844126</v>
      </c>
      <c r="AF197" s="85">
        <f t="shared" si="141"/>
        <v>11041.630990446143</v>
      </c>
      <c r="AG197" s="90">
        <f t="shared" si="142"/>
        <v>4140.4375383844126</v>
      </c>
      <c r="AH197" s="86">
        <f t="shared" si="143"/>
        <v>-9852.6316200000001</v>
      </c>
      <c r="AI197" s="85">
        <f t="shared" si="144"/>
        <v>6238.0466047659793</v>
      </c>
      <c r="AJ197" s="85">
        <f t="shared" si="145"/>
        <v>-6694.8639417660215</v>
      </c>
      <c r="AK197" s="90">
        <f t="shared" si="146"/>
        <v>6238.0466047659793</v>
      </c>
      <c r="AM197" s="95">
        <f t="shared" si="147"/>
        <v>0</v>
      </c>
      <c r="AN197" s="95">
        <f t="shared" si="148"/>
        <v>0</v>
      </c>
      <c r="AO197" s="95">
        <f t="shared" si="149"/>
        <v>0</v>
      </c>
      <c r="AP197" s="95">
        <f t="shared" si="150"/>
        <v>0</v>
      </c>
      <c r="AQ197"/>
      <c r="AR197" s="95">
        <f t="shared" si="151"/>
        <v>0</v>
      </c>
      <c r="AS197" s="95">
        <f t="shared" si="152"/>
        <v>0</v>
      </c>
      <c r="AT197" s="95">
        <f>Geraetedaten!$B$94*ABS(SIN(RADIANS($A197)))</f>
        <v>57.689415386050484</v>
      </c>
      <c r="AU197" s="95">
        <f>Geraetedaten!$B$94*ABS(COS(RADIANS($A197)))</f>
        <v>142.78631360328524</v>
      </c>
      <c r="AV197" s="95">
        <f>((h_Aw_Sw+Geraetedaten!$B$18)/1000)*(AR197*AT197+AS197*AU197)/100</f>
        <v>0</v>
      </c>
      <c r="AX197" s="18">
        <f>(IF($X$19="ja",1,0))*Geraetedaten!$D$142*COS(RADIANS(2*A197))*(Geraetedaten!$B$154*r_K_D+r_K_SSw*F_SSw/10)/1000+Geraetedaten!$B$152</f>
        <v>594.79999999999995</v>
      </c>
      <c r="AY197" s="18">
        <f>(IF($X$19="ja",1,0))*Geraetedaten!$D$142*COS(RADIANS(2*A197))*(Geraetedaten!$B$157*r_K_D+r_K_SSw*F_SSw/10)/1000+Geraetedaten!$B$155</f>
        <v>537.4</v>
      </c>
      <c r="AZ197" s="201"/>
    </row>
    <row r="198" spans="1:52" ht="13.5" x14ac:dyDescent="0.25">
      <c r="A198" s="16">
        <v>159</v>
      </c>
      <c r="B198" s="16">
        <f t="shared" si="122"/>
        <v>291</v>
      </c>
      <c r="C198" s="19">
        <f t="shared" si="123"/>
        <v>50.73138595394316</v>
      </c>
      <c r="D198" s="17">
        <f t="shared" si="153"/>
        <v>-29590.849395953941</v>
      </c>
      <c r="E198" s="17">
        <f t="shared" si="124"/>
        <v>9515.5730340460577</v>
      </c>
      <c r="F198" s="17">
        <f t="shared" si="125"/>
        <v>29112.182694046056</v>
      </c>
      <c r="G198" s="17">
        <f t="shared" si="126"/>
        <v>-9838.2956159539426</v>
      </c>
      <c r="H198" s="17">
        <f t="shared" si="156"/>
        <v>9515.5730340460577</v>
      </c>
      <c r="I198" s="17">
        <f t="shared" si="127"/>
        <v>994.01324593468939</v>
      </c>
      <c r="J198" s="20">
        <f>(Geraetedaten!$B$152+(Geraetedaten!$B$153*(Geraetedaten!$B$18+d_y_Sw)/1000))*10</f>
        <v>6051.0442000000003</v>
      </c>
      <c r="K198" s="20">
        <f>(Geraetedaten!$B$165+(Geraetedaten!$B$166*(Geraetedaten!$B$18+d_y_Sw)/1000))*10</f>
        <v>10816.164000000001</v>
      </c>
      <c r="L198" s="20">
        <f>(Geraetedaten!$B$158+(Geraetedaten!$B$159*(Geraetedaten!$B$18+d_y_Sw)/1000)-(Geraetedaten!$B$160*I198/1000))*10</f>
        <v>528.64560867560897</v>
      </c>
      <c r="M198" s="20">
        <f>(Geraetedaten!$B$171+(Geraetedaten!$B$172*(Geraetedaten!$B$18+d_y_Sw)/1000)-(Geraetedaten!$B$173*I198/1000))*10</f>
        <v>990.87265397262274</v>
      </c>
      <c r="N198" s="20">
        <f>IF((H198-J198)/(K198-J198)*(Geraetedaten!$B$174-Geraetedaten!$B$161)&lt;Geraetedaten!$B$174,(H198-J198)/(K198-J198)*(Geraetedaten!$B$174-Geraetedaten!$B$161),Geraetedaten!$B$174)</f>
        <v>290.82406986250857</v>
      </c>
      <c r="O198" s="20">
        <f>N198/Geraetedaten!$B$174*(M198-L198)+L198+C198</f>
        <v>915.4438709140511</v>
      </c>
      <c r="P198" s="20">
        <f>O198*100/9.81/(R198-(I198/1000))</f>
        <v>253.18088573109486</v>
      </c>
      <c r="Q198" s="20"/>
      <c r="R198" s="21">
        <f>(N198-Geraetedaten!$B$161)/(Geraetedaten!$B$174-Geraetedaten!$B$161)*(Geraetedaten!$B$175-Geraetedaten!$B$162)+Geraetedaten!$B$162</f>
        <v>37.852016078409633</v>
      </c>
      <c r="S198" s="21">
        <f t="shared" si="128"/>
        <v>37.852016078409633</v>
      </c>
      <c r="T198" s="21">
        <f t="shared" si="129"/>
        <v>13.564949388175396</v>
      </c>
      <c r="U198" s="88">
        <f t="shared" si="130"/>
        <v>-35.337901314260606</v>
      </c>
      <c r="V198" s="86">
        <f t="shared" si="131"/>
        <v>-29540.118009999998</v>
      </c>
      <c r="W198" s="85">
        <f t="shared" si="132"/>
        <v>-4225.3239992296285</v>
      </c>
      <c r="X198" s="85">
        <f t="shared" si="133"/>
        <v>-11803.764073630993</v>
      </c>
      <c r="Y198" s="90">
        <f t="shared" si="134"/>
        <v>4225.3239992296285</v>
      </c>
      <c r="Z198" s="86">
        <f t="shared" si="135"/>
        <v>9566.3044200000004</v>
      </c>
      <c r="AA198" s="85">
        <f t="shared" si="136"/>
        <v>-913.46204712425447</v>
      </c>
      <c r="AB198" s="85">
        <f t="shared" si="137"/>
        <v>994.01324593468939</v>
      </c>
      <c r="AC198" s="90">
        <f t="shared" si="138"/>
        <v>913.46204712425447</v>
      </c>
      <c r="AD198" s="86">
        <f t="shared" si="139"/>
        <v>29162.914079999999</v>
      </c>
      <c r="AE198" s="85">
        <f t="shared" si="140"/>
        <v>4140.4375383844126</v>
      </c>
      <c r="AF198" s="85">
        <f t="shared" si="141"/>
        <v>11541.347311748767</v>
      </c>
      <c r="AG198" s="90">
        <f t="shared" si="142"/>
        <v>4140.4375383844126</v>
      </c>
      <c r="AH198" s="86">
        <f t="shared" si="143"/>
        <v>-9787.56423</v>
      </c>
      <c r="AI198" s="85">
        <f t="shared" si="144"/>
        <v>6238.0466047659793</v>
      </c>
      <c r="AJ198" s="85">
        <f t="shared" si="145"/>
        <v>-6650.6506508179718</v>
      </c>
      <c r="AK198" s="90">
        <f t="shared" si="146"/>
        <v>6238.0466047659793</v>
      </c>
      <c r="AM198" s="95">
        <f t="shared" si="147"/>
        <v>0</v>
      </c>
      <c r="AN198" s="95">
        <f t="shared" si="148"/>
        <v>0</v>
      </c>
      <c r="AO198" s="95">
        <f t="shared" si="149"/>
        <v>0</v>
      </c>
      <c r="AP198" s="95">
        <f t="shared" si="150"/>
        <v>0</v>
      </c>
      <c r="AQ198"/>
      <c r="AR198" s="95">
        <f t="shared" si="151"/>
        <v>0</v>
      </c>
      <c r="AS198" s="95">
        <f t="shared" si="152"/>
        <v>0</v>
      </c>
      <c r="AT198" s="95">
        <f>Geraetedaten!$B$94*ABS(SIN(RADIANS($A198)))</f>
        <v>55.188664229976233</v>
      </c>
      <c r="AU198" s="95">
        <f>Geraetedaten!$B$94*ABS(COS(RADIANS($A198)))</f>
        <v>143.77138568056907</v>
      </c>
      <c r="AV198" s="95">
        <f>((h_Aw_Sw+Geraetedaten!$B$18)/1000)*(AR198*AT198+AS198*AU198)/100</f>
        <v>0</v>
      </c>
      <c r="AX198" s="18">
        <f>(IF($X$19="ja",1,0))*Geraetedaten!$D$142*COS(RADIANS(2*A198))*(Geraetedaten!$B$154*r_K_D+r_K_SSw*F_SSw/10)/1000+Geraetedaten!$B$152</f>
        <v>594.79999999999995</v>
      </c>
      <c r="AY198" s="18">
        <f>(IF($X$19="ja",1,0))*Geraetedaten!$D$142*COS(RADIANS(2*A198))*(Geraetedaten!$B$157*r_K_D+r_K_SSw*F_SSw/10)/1000+Geraetedaten!$B$155</f>
        <v>537.4</v>
      </c>
      <c r="AZ198" s="201"/>
    </row>
    <row r="199" spans="1:52" ht="13.5" x14ac:dyDescent="0.25">
      <c r="A199" s="16">
        <v>160</v>
      </c>
      <c r="B199" s="16">
        <f t="shared" ref="B199:B218" si="157">360-A199+90</f>
        <v>290</v>
      </c>
      <c r="C199" s="19">
        <f t="shared" ref="C199:C218" si="158">$AF$16*ABS(COS(RADIANS(A199)))+$AF$17*ABS(SIN(RADIANS(A199)))+AV199</f>
        <v>49.875554833930209</v>
      </c>
      <c r="D199" s="17">
        <f t="shared" si="153"/>
        <v>-31003.854364833929</v>
      </c>
      <c r="E199" s="17">
        <f t="shared" ref="E199:E218" si="159">IF(ISNUMBER(Z199),Z199-C199,"unendlich")</f>
        <v>9446.7539351660689</v>
      </c>
      <c r="F199" s="17">
        <f t="shared" ref="F199:F218" si="160">IF(ISNUMBER(AD199),AD199-C199,"unendlich")</f>
        <v>30505.191005166071</v>
      </c>
      <c r="G199" s="17">
        <f t="shared" ref="G199:G218" si="161">IF(ISNUMBER(AH199),AH199-C199,"unendlich")</f>
        <v>-9776.1694748339305</v>
      </c>
      <c r="H199" s="17">
        <f t="shared" si="156"/>
        <v>9446.7539351660689</v>
      </c>
      <c r="I199" s="17">
        <f t="shared" ref="I199:I218" si="162">IF(H199+C199=V199,X199,IF(H199+C199=Z199,AB199,IF(H199+C199=AD199,AF199,IF(H199+C199=AH199,AJ199,"???"))))</f>
        <v>986.77348005745398</v>
      </c>
      <c r="J199" s="20">
        <f>(Geraetedaten!$B$152+(Geraetedaten!$B$153*(Geraetedaten!$B$18+d_y_Sw)/1000))*10</f>
        <v>6051.0442000000003</v>
      </c>
      <c r="K199" s="20">
        <f>(Geraetedaten!$B$165+(Geraetedaten!$B$166*(Geraetedaten!$B$18+d_y_Sw)/1000))*10</f>
        <v>10816.164000000001</v>
      </c>
      <c r="L199" s="20">
        <f>(Geraetedaten!$B$158+(Geraetedaten!$B$159*(Geraetedaten!$B$18+d_y_Sw)/1000)-(Geraetedaten!$B$160*I199/1000))*10</f>
        <v>529.17650070738671</v>
      </c>
      <c r="M199" s="20">
        <f>(Geraetedaten!$B$171+(Geraetedaten!$B$172*(Geraetedaten!$B$18+d_y_Sw)/1000)-(Geraetedaten!$B$173*I199/1000))*10</f>
        <v>991.411582144524</v>
      </c>
      <c r="N199" s="20">
        <f>IF((H199-J199)/(K199-J199)*(Geraetedaten!$B$174-Geraetedaten!$B$161)&lt;Geraetedaten!$B$174,(H199-J199)/(K199-J199)*(Geraetedaten!$B$174-Geraetedaten!$B$161),Geraetedaten!$B$174)</f>
        <v>285.04716587952885</v>
      </c>
      <c r="O199" s="20">
        <f>N199/Geraetedaten!$B$174*(M199-L199)+L199+C199</f>
        <v>908.44905537568991</v>
      </c>
      <c r="P199" s="20">
        <f t="shared" ref="P199:P262" si="163">O199*100/9.81/(R199-(I199/1000))</f>
        <v>252.37356076775853</v>
      </c>
      <c r="Q199" s="20"/>
      <c r="R199" s="21">
        <f>(N199-Geraetedaten!$B$161)/(Geraetedaten!$B$174-Geraetedaten!$B$161)*(Geraetedaten!$B$175-Geraetedaten!$B$162)+Geraetedaten!$B$162</f>
        <v>37.68015318491598</v>
      </c>
      <c r="S199" s="21">
        <f t="shared" ref="S199:S218" si="164">SQRT((r_K_D/1000)^2+R199^2-(2*(r_K_D/1000)*R199*COS(RADIANS(2*A199))))</f>
        <v>37.68015318491598</v>
      </c>
      <c r="T199" s="21">
        <f t="shared" ref="T199:T218" si="165">S199*SIN(A199*Const_2)</f>
        <v>12.887371392838123</v>
      </c>
      <c r="U199" s="88">
        <f t="shared" ref="U199:U218" si="166">S199*COS(A199*Const_2)</f>
        <v>-35.407761897948184</v>
      </c>
      <c r="V199" s="86">
        <f t="shared" ref="V199:V218" si="167">ROUND((F_S*r_Su_L-F_G*W199+F_SSw*Y199)/(SIN(RADIANS(270+g_L-A199)))/1000,5)</f>
        <v>-30953.978810000001</v>
      </c>
      <c r="W199" s="85">
        <f t="shared" ref="W199:W218" si="168">(SIN(RADIANS(g_L)))*(((VL_Z-HL_Z)/(VL_X-HL_X))*(-HL_X+AN199)+HL_Z-AM199)</f>
        <v>-4225.3239992296285</v>
      </c>
      <c r="X199" s="85">
        <f t="shared" ref="X199:X218" si="169">W199/(SIN(RADIANS(180-g_L-(90-$A199))))</f>
        <v>-12368.720491016338</v>
      </c>
      <c r="Y199" s="90">
        <f t="shared" ref="Y199:Y218" si="170">SIN(RADIANS(g_L))*(((VL_Z-HL_Z)/(VL_X-HL_X))*(-AP199+HL_X)-HL_Z+AO199)</f>
        <v>4225.3239992296285</v>
      </c>
      <c r="Z199" s="86">
        <f t="shared" ref="Z199:Z218" si="171">ROUND((F_S*r_Su_H-F_G*AA199+F_SSw*AC199)/(SIN(RADIANS(180+g_H-A199)))/1000,5)</f>
        <v>9496.6294899999994</v>
      </c>
      <c r="AA199" s="85">
        <f t="shared" ref="AA199:AA218" si="172">(SIN(RADIANS(g_H)))*(((HL_X-HR_X)/(HL_Z-HR_Z))*(-HR_Z+AM199)+HR_X-AN199)</f>
        <v>-913.46204712425447</v>
      </c>
      <c r="AB199" s="85">
        <f t="shared" ref="AB199:AB218" si="173">AA199/(SIN(RADIANS(g_H-$A199)))</f>
        <v>986.77348005745398</v>
      </c>
      <c r="AC199" s="90">
        <f t="shared" ref="AC199:AC218" si="174">SIN(RADIANS(g_H))*(((HL_X-HR_X)/(HL_Z-HR_Z))*(-AO199+HR_Z)-HR_X+AP199)</f>
        <v>913.46204712425447</v>
      </c>
      <c r="AD199" s="86">
        <f t="shared" ref="AD199:AD218" si="175">ROUND((F_S*r_Su_R+F_G*AE199+F_SSw*AG199)/(SIN(RADIANS(90+g_R-A199)))/1000,5)</f>
        <v>30555.066559999999</v>
      </c>
      <c r="AE199" s="85">
        <f t="shared" ref="AE199:AE218" si="176">(SIN(RADIANS(g_R)))*(((HR_Z-VR_Z)/(HR_X-VR_X))*(-VR_X+AN199)+VR_Z-AM199)</f>
        <v>4140.4375383844126</v>
      </c>
      <c r="AF199" s="85">
        <f t="shared" ref="AF199:AF218" si="177">AE199/(SIN(RADIANS(180-g_R-(90-$A199))))</f>
        <v>12092.297579274691</v>
      </c>
      <c r="AG199" s="90">
        <f t="shared" ref="AG199:AG218" si="178">(SIN(RADIANS(g_R)))*(((HR_Z-VR_Z)/(HR_X-VR_X))*(-VR_X+AP199)+VR_Z-AO199)</f>
        <v>4140.4375383844126</v>
      </c>
      <c r="AH199" s="86">
        <f t="shared" ref="AH199:AH218" si="179">ROUND((F_S*r_Su_V+F_G*AI199+F_SSw*AK199)/(SIN(RADIANS(g_V-A199)))/1000,5)</f>
        <v>-9726.2939200000001</v>
      </c>
      <c r="AI199" s="85">
        <f t="shared" ref="AI199:AI218" si="180">(SIN(RADIANS(g_V)))*(((VR_X-VL_X)/(VR_Z-VL_Z))*(AM199-VL_Z)+VL_X-AN199)</f>
        <v>6238.0466047659793</v>
      </c>
      <c r="AJ199" s="85">
        <f t="shared" ref="AJ199:AJ218" si="181">AI199/(SIN(RADIANS(g_V-$A199)))</f>
        <v>-6609.0174659896902</v>
      </c>
      <c r="AK199" s="90">
        <f t="shared" ref="AK199:AK218" si="182">(SIN(RADIANS(g_V)))*(((VR_X-VL_X)/(VR_Z-VL_Z))*(-VL_Z+AO199)+VL_X-AP199)</f>
        <v>6238.0466047659793</v>
      </c>
      <c r="AM199" s="95">
        <f t="shared" si="147"/>
        <v>0</v>
      </c>
      <c r="AN199" s="95">
        <f t="shared" si="148"/>
        <v>0</v>
      </c>
      <c r="AO199" s="95">
        <f t="shared" si="149"/>
        <v>0</v>
      </c>
      <c r="AP199" s="95">
        <f t="shared" si="150"/>
        <v>0</v>
      </c>
      <c r="AQ199"/>
      <c r="AR199" s="95">
        <f t="shared" ref="AR199:AR218" si="183">MAX(d_y_Sw*(r_K_D*ABS(COS(RADIANS($A199)))+_r1_Sw+_r2_Sw), 2*_r1_Sw*d_y_Sw)/1000000</f>
        <v>0</v>
      </c>
      <c r="AS199" s="95">
        <f t="shared" ref="AS199:AS218" si="184">MAX(d_y_Sw*(r_K_D*ABS(SIN(RADIANS($A199)))+_r1_Sw+_r2_Sw), 2*_r1_Sw*d_y_Sw)/1000000</f>
        <v>0</v>
      </c>
      <c r="AT199" s="95">
        <f>Geraetedaten!$B$94*ABS(SIN(RADIANS($A199)))</f>
        <v>52.671102072153005</v>
      </c>
      <c r="AU199" s="95">
        <f>Geraetedaten!$B$94*ABS(COS(RADIANS($A199)))</f>
        <v>144.71266360102987</v>
      </c>
      <c r="AV199" s="95">
        <f>((h_Aw_Sw+Geraetedaten!$B$18)/1000)*(AR199*AT199+AS199*AU199)/100</f>
        <v>0</v>
      </c>
      <c r="AX199" s="18">
        <f>(IF($X$19="ja",1,0))*Geraetedaten!$D$142*COS(RADIANS(2*A199))*(Geraetedaten!$B$154*r_K_D+r_K_SSw*F_SSw/10)/1000+Geraetedaten!$B$152</f>
        <v>594.79999999999995</v>
      </c>
      <c r="AY199" s="18">
        <f>(IF($X$19="ja",1,0))*Geraetedaten!$D$142*COS(RADIANS(2*A199))*(Geraetedaten!$B$157*r_K_D+r_K_SSw*F_SSw/10)/1000+Geraetedaten!$B$155</f>
        <v>537.4</v>
      </c>
      <c r="AZ199" s="201"/>
    </row>
    <row r="200" spans="1:52" ht="13.5" x14ac:dyDescent="0.25">
      <c r="A200" s="16">
        <v>161</v>
      </c>
      <c r="B200" s="16">
        <f t="shared" si="157"/>
        <v>289</v>
      </c>
      <c r="C200" s="19">
        <f t="shared" si="158"/>
        <v>49.004531136759482</v>
      </c>
      <c r="D200" s="17">
        <f t="shared" si="153"/>
        <v>-32569.393041136762</v>
      </c>
      <c r="E200" s="17">
        <f t="shared" si="159"/>
        <v>9381.8095688632402</v>
      </c>
      <c r="F200" s="17">
        <f t="shared" si="160"/>
        <v>32048.05934886324</v>
      </c>
      <c r="G200" s="17">
        <f t="shared" si="161"/>
        <v>-9717.7173311367587</v>
      </c>
      <c r="H200" s="17">
        <f t="shared" si="156"/>
        <v>9381.8095688632402</v>
      </c>
      <c r="I200" s="17">
        <f t="shared" si="162"/>
        <v>979.93475068272971</v>
      </c>
      <c r="J200" s="20">
        <f>(Geraetedaten!$B$152+(Geraetedaten!$B$153*(Geraetedaten!$B$18+d_y_Sw)/1000))*10</f>
        <v>6051.0442000000003</v>
      </c>
      <c r="K200" s="20">
        <f>(Geraetedaten!$B$165+(Geraetedaten!$B$166*(Geraetedaten!$B$18+d_y_Sw)/1000))*10</f>
        <v>10816.164000000001</v>
      </c>
      <c r="L200" s="20">
        <f>(Geraetedaten!$B$158+(Geraetedaten!$B$159*(Geraetedaten!$B$18+d_y_Sw)/1000)-(Geraetedaten!$B$160*I200/1000))*10</f>
        <v>529.67798473243522</v>
      </c>
      <c r="M200" s="20">
        <f>(Geraetedaten!$B$171+(Geraetedaten!$B$172*(Geraetedaten!$B$18+d_y_Sw)/1000)-(Geraetedaten!$B$173*I200/1000))*10</f>
        <v>991.92065715917863</v>
      </c>
      <c r="N200" s="20">
        <f>IF((H200-J200)/(K200-J200)*(Geraetedaten!$B$174-Geraetedaten!$B$161)&lt;Geraetedaten!$B$174,(H200-J200)/(K200-J200)*(Geraetedaten!$B$174-Geraetedaten!$B$161),Geraetedaten!$B$174)</f>
        <v>279.59551983253306</v>
      </c>
      <c r="O200" s="20">
        <f>N200/Geraetedaten!$B$174*(M200-L200)+L200+C200</f>
        <v>901.78496658403128</v>
      </c>
      <c r="P200" s="20">
        <f t="shared" si="163"/>
        <v>251.58736829616549</v>
      </c>
      <c r="Q200" s="20"/>
      <c r="R200" s="21">
        <f>(N200-Geraetedaten!$B$161)/(Geraetedaten!$B$174-Geraetedaten!$B$161)*(Geraetedaten!$B$175-Geraetedaten!$B$162)+Geraetedaten!$B$162</f>
        <v>37.517966715017863</v>
      </c>
      <c r="S200" s="21">
        <f t="shared" si="164"/>
        <v>37.517966715017863</v>
      </c>
      <c r="T200" s="21">
        <f t="shared" si="165"/>
        <v>12.214655182393395</v>
      </c>
      <c r="U200" s="88">
        <f t="shared" si="166"/>
        <v>-35.473934447766268</v>
      </c>
      <c r="V200" s="86">
        <f t="shared" si="167"/>
        <v>-32520.388510000001</v>
      </c>
      <c r="W200" s="85">
        <f t="shared" si="168"/>
        <v>-4225.3239992296285</v>
      </c>
      <c r="X200" s="85">
        <f t="shared" si="169"/>
        <v>-12994.633040261282</v>
      </c>
      <c r="Y200" s="90">
        <f t="shared" si="170"/>
        <v>4225.3239992296285</v>
      </c>
      <c r="Z200" s="86">
        <f t="shared" si="171"/>
        <v>9430.8140999999996</v>
      </c>
      <c r="AA200" s="85">
        <f t="shared" si="172"/>
        <v>-913.46204712425447</v>
      </c>
      <c r="AB200" s="85">
        <f t="shared" si="173"/>
        <v>979.93475068272971</v>
      </c>
      <c r="AC200" s="90">
        <f t="shared" si="174"/>
        <v>913.46204712425447</v>
      </c>
      <c r="AD200" s="86">
        <f t="shared" si="175"/>
        <v>32097.063880000002</v>
      </c>
      <c r="AE200" s="85">
        <f t="shared" si="176"/>
        <v>4140.4375383844126</v>
      </c>
      <c r="AF200" s="85">
        <f t="shared" si="177"/>
        <v>12702.549576659114</v>
      </c>
      <c r="AG200" s="90">
        <f t="shared" si="178"/>
        <v>4140.4375383844126</v>
      </c>
      <c r="AH200" s="86">
        <f t="shared" si="179"/>
        <v>-9668.7127999999993</v>
      </c>
      <c r="AI200" s="85">
        <f t="shared" si="180"/>
        <v>6238.0466047659793</v>
      </c>
      <c r="AJ200" s="85">
        <f t="shared" si="181"/>
        <v>-6569.8910898401018</v>
      </c>
      <c r="AK200" s="90">
        <f t="shared" si="182"/>
        <v>6238.0466047659793</v>
      </c>
      <c r="AM200" s="95">
        <f t="shared" si="147"/>
        <v>0</v>
      </c>
      <c r="AN200" s="95">
        <f t="shared" si="148"/>
        <v>0</v>
      </c>
      <c r="AO200" s="95">
        <f t="shared" si="149"/>
        <v>0</v>
      </c>
      <c r="AP200" s="95">
        <f t="shared" si="150"/>
        <v>0</v>
      </c>
      <c r="AQ200"/>
      <c r="AR200" s="95">
        <f t="shared" si="183"/>
        <v>0</v>
      </c>
      <c r="AS200" s="95">
        <f t="shared" si="184"/>
        <v>0</v>
      </c>
      <c r="AT200" s="95">
        <f>Geraetedaten!$B$94*ABS(SIN(RADIANS($A200)))</f>
        <v>50.137495786402113</v>
      </c>
      <c r="AU200" s="95">
        <f>Geraetedaten!$B$94*ABS(COS(RADIANS($A200)))</f>
        <v>145.60986064229479</v>
      </c>
      <c r="AV200" s="95">
        <f>((h_Aw_Sw+Geraetedaten!$B$18)/1000)*(AR200*AT200+AS200*AU200)/100</f>
        <v>0</v>
      </c>
      <c r="AX200" s="18">
        <f>(IF($X$19="ja",1,0))*Geraetedaten!$D$142*COS(RADIANS(2*A200))*(Geraetedaten!$B$154*r_K_D+r_K_SSw*F_SSw/10)/1000+Geraetedaten!$B$152</f>
        <v>594.79999999999995</v>
      </c>
      <c r="AY200" s="18">
        <f>(IF($X$19="ja",1,0))*Geraetedaten!$D$142*COS(RADIANS(2*A200))*(Geraetedaten!$B$157*r_K_D+r_K_SSw*F_SSw/10)/1000+Geraetedaten!$B$155</f>
        <v>537.4</v>
      </c>
      <c r="AZ200" s="201"/>
    </row>
    <row r="201" spans="1:52" ht="13.5" x14ac:dyDescent="0.25">
      <c r="A201" s="16">
        <v>162</v>
      </c>
      <c r="B201" s="16">
        <f t="shared" si="157"/>
        <v>288</v>
      </c>
      <c r="C201" s="19">
        <f t="shared" si="158"/>
        <v>48.118580184686962</v>
      </c>
      <c r="D201" s="17">
        <f t="shared" si="153"/>
        <v>-34312.895350184685</v>
      </c>
      <c r="E201" s="17">
        <f t="shared" si="159"/>
        <v>9320.620269815312</v>
      </c>
      <c r="F201" s="17">
        <f t="shared" si="160"/>
        <v>33765.699339815314</v>
      </c>
      <c r="G201" s="17">
        <f t="shared" si="161"/>
        <v>-9662.839520184687</v>
      </c>
      <c r="H201" s="17">
        <f t="shared" si="156"/>
        <v>9320.620269815312</v>
      </c>
      <c r="I201" s="17">
        <f t="shared" si="162"/>
        <v>973.48465098926715</v>
      </c>
      <c r="J201" s="20">
        <f>(Geraetedaten!$B$152+(Geraetedaten!$B$153*(Geraetedaten!$B$18+d_y_Sw)/1000))*10</f>
        <v>6051.0442000000003</v>
      </c>
      <c r="K201" s="20">
        <f>(Geraetedaten!$B$165+(Geraetedaten!$B$166*(Geraetedaten!$B$18+d_y_Sw)/1000))*10</f>
        <v>10816.164000000001</v>
      </c>
      <c r="L201" s="20">
        <f>(Geraetedaten!$B$158+(Geraetedaten!$B$159*(Geraetedaten!$B$18+d_y_Sw)/1000)-(Geraetedaten!$B$160*I201/1000))*10</f>
        <v>530.15097054295677</v>
      </c>
      <c r="M201" s="20">
        <f>(Geraetedaten!$B$171+(Geraetedaten!$B$172*(Geraetedaten!$B$18+d_y_Sw)/1000)-(Geraetedaten!$B$173*I201/1000))*10</f>
        <v>992.40080258035982</v>
      </c>
      <c r="N201" s="20">
        <f>IF((H201-J201)/(K201-J201)*(Geraetedaten!$B$174-Geraetedaten!$B$161)&lt;Geraetedaten!$B$174,(H201-J201)/(K201-J201)*(Geraetedaten!$B$174-Geraetedaten!$B$161),Geraetedaten!$B$174)</f>
        <v>274.45908661648434</v>
      </c>
      <c r="O201" s="20">
        <f>N201/Geraetedaten!$B$174*(M201-L201)+L201+C201</f>
        <v>895.44121745166615</v>
      </c>
      <c r="P201" s="20">
        <f t="shared" si="163"/>
        <v>250.82224475864555</v>
      </c>
      <c r="Q201" s="20"/>
      <c r="R201" s="21">
        <f>(N201-Geraetedaten!$B$161)/(Geraetedaten!$B$174-Geraetedaten!$B$161)*(Geraetedaten!$B$175-Geraetedaten!$B$162)+Geraetedaten!$B$162</f>
        <v>37.365157826840409</v>
      </c>
      <c r="S201" s="21">
        <f t="shared" si="164"/>
        <v>37.365157826840409</v>
      </c>
      <c r="T201" s="21">
        <f t="shared" si="165"/>
        <v>11.546468765995769</v>
      </c>
      <c r="U201" s="88">
        <f t="shared" si="166"/>
        <v>-35.536376833613431</v>
      </c>
      <c r="V201" s="86">
        <f t="shared" si="167"/>
        <v>-34264.776769999997</v>
      </c>
      <c r="W201" s="85">
        <f t="shared" si="168"/>
        <v>-4225.3239992296285</v>
      </c>
      <c r="X201" s="85">
        <f t="shared" si="169"/>
        <v>-13691.663008059253</v>
      </c>
      <c r="Y201" s="90">
        <f t="shared" si="170"/>
        <v>4225.3239992296285</v>
      </c>
      <c r="Z201" s="86">
        <f t="shared" si="171"/>
        <v>9368.7388499999997</v>
      </c>
      <c r="AA201" s="85">
        <f t="shared" si="172"/>
        <v>-913.46204712425447</v>
      </c>
      <c r="AB201" s="85">
        <f t="shared" si="173"/>
        <v>973.48465098926715</v>
      </c>
      <c r="AC201" s="90">
        <f t="shared" si="174"/>
        <v>913.46204712425447</v>
      </c>
      <c r="AD201" s="86">
        <f t="shared" si="175"/>
        <v>33813.817920000001</v>
      </c>
      <c r="AE201" s="85">
        <f t="shared" si="176"/>
        <v>4140.4375383844126</v>
      </c>
      <c r="AF201" s="85">
        <f t="shared" si="177"/>
        <v>13381.962293663593</v>
      </c>
      <c r="AG201" s="90">
        <f t="shared" si="178"/>
        <v>4140.4375383844126</v>
      </c>
      <c r="AH201" s="86">
        <f t="shared" si="179"/>
        <v>-9614.7209399999992</v>
      </c>
      <c r="AI201" s="85">
        <f t="shared" si="180"/>
        <v>6238.0466047659793</v>
      </c>
      <c r="AJ201" s="85">
        <f t="shared" si="181"/>
        <v>-6533.2036201572237</v>
      </c>
      <c r="AK201" s="90">
        <f t="shared" si="182"/>
        <v>6238.0466047659793</v>
      </c>
      <c r="AM201" s="95">
        <f t="shared" si="147"/>
        <v>0</v>
      </c>
      <c r="AN201" s="95">
        <f t="shared" si="148"/>
        <v>0</v>
      </c>
      <c r="AO201" s="95">
        <f t="shared" si="149"/>
        <v>0</v>
      </c>
      <c r="AP201" s="95">
        <f t="shared" si="150"/>
        <v>0</v>
      </c>
      <c r="AQ201"/>
      <c r="AR201" s="95">
        <f t="shared" si="183"/>
        <v>0</v>
      </c>
      <c r="AS201" s="95">
        <f t="shared" si="184"/>
        <v>0</v>
      </c>
      <c r="AT201" s="95">
        <f>Geraetedaten!$B$94*ABS(SIN(RADIANS($A201)))</f>
        <v>47.588617133741913</v>
      </c>
      <c r="AU201" s="95">
        <f>Geraetedaten!$B$94*ABS(COS(RADIANS($A201)))</f>
        <v>146.46270350945363</v>
      </c>
      <c r="AV201" s="95">
        <f>((h_Aw_Sw+Geraetedaten!$B$18)/1000)*(AR201*AT201+AS201*AU201)/100</f>
        <v>0</v>
      </c>
      <c r="AX201" s="18">
        <f>(IF($X$19="ja",1,0))*Geraetedaten!$D$142*COS(RADIANS(2*A201))*(Geraetedaten!$B$154*r_K_D+r_K_SSw*F_SSw/10)/1000+Geraetedaten!$B$152</f>
        <v>594.79999999999995</v>
      </c>
      <c r="AY201" s="18">
        <f>(IF($X$19="ja",1,0))*Geraetedaten!$D$142*COS(RADIANS(2*A201))*(Geraetedaten!$B$157*r_K_D+r_K_SSw*F_SSw/10)/1000+Geraetedaten!$B$155</f>
        <v>537.4</v>
      </c>
      <c r="AZ201" s="201"/>
    </row>
    <row r="202" spans="1:52" ht="13.5" x14ac:dyDescent="0.25">
      <c r="A202" s="16">
        <v>163</v>
      </c>
      <c r="B202" s="16">
        <f t="shared" si="157"/>
        <v>287</v>
      </c>
      <c r="C202" s="19">
        <f t="shared" si="158"/>
        <v>47.21797184695501</v>
      </c>
      <c r="D202" s="17">
        <f t="shared" si="153"/>
        <v>-36265.78523184696</v>
      </c>
      <c r="E202" s="17">
        <f t="shared" si="159"/>
        <v>9263.0749281530461</v>
      </c>
      <c r="F202" s="17">
        <f t="shared" si="160"/>
        <v>35688.878018153046</v>
      </c>
      <c r="G202" s="17">
        <f t="shared" si="161"/>
        <v>-9611.443891846955</v>
      </c>
      <c r="H202" s="17">
        <f t="shared" si="156"/>
        <v>9263.0749281530461</v>
      </c>
      <c r="I202" s="17">
        <f t="shared" si="162"/>
        <v>967.41166338244784</v>
      </c>
      <c r="J202" s="20">
        <f>(Geraetedaten!$B$152+(Geraetedaten!$B$153*(Geraetedaten!$B$18+d_y_Sw)/1000))*10</f>
        <v>6051.0442000000003</v>
      </c>
      <c r="K202" s="20">
        <f>(Geraetedaten!$B$165+(Geraetedaten!$B$166*(Geraetedaten!$B$18+d_y_Sw)/1000))*10</f>
        <v>10816.164000000001</v>
      </c>
      <c r="L202" s="20">
        <f>(Geraetedaten!$B$158+(Geraetedaten!$B$159*(Geraetedaten!$B$18+d_y_Sw)/1000)-(Geraetedaten!$B$160*I202/1000))*10</f>
        <v>530.59630272416484</v>
      </c>
      <c r="M202" s="20">
        <f>(Geraetedaten!$B$171+(Geraetedaten!$B$172*(Geraetedaten!$B$18+d_y_Sw)/1000)-(Geraetedaten!$B$173*I202/1000))*10</f>
        <v>992.85287577781162</v>
      </c>
      <c r="N202" s="20">
        <f>IF((H202-J202)/(K202-J202)*(Geraetedaten!$B$174-Geraetedaten!$B$161)&lt;Geraetedaten!$B$174,(H202-J202)/(K202-J202)*(Geraetedaten!$B$174-Geraetedaten!$B$161),Geraetedaten!$B$174)</f>
        <v>269.62853929951945</v>
      </c>
      <c r="O202" s="20">
        <f>N202/Geraetedaten!$B$174*(M202-L202)+L202+C202</f>
        <v>889.40818600626085</v>
      </c>
      <c r="P202" s="20">
        <f t="shared" si="163"/>
        <v>250.0781435671079</v>
      </c>
      <c r="Q202" s="20"/>
      <c r="R202" s="21">
        <f>(N202-Geraetedaten!$B$161)/(Geraetedaten!$B$174-Geraetedaten!$B$161)*(Geraetedaten!$B$175-Geraetedaten!$B$162)+Geraetedaten!$B$162</f>
        <v>37.221449044160707</v>
      </c>
      <c r="S202" s="21">
        <f t="shared" si="164"/>
        <v>37.221449044160707</v>
      </c>
      <c r="T202" s="21">
        <f t="shared" si="165"/>
        <v>10.882498509291741</v>
      </c>
      <c r="U202" s="88">
        <f t="shared" si="166"/>
        <v>-35.595048744766665</v>
      </c>
      <c r="V202" s="86">
        <f t="shared" si="167"/>
        <v>-36218.567260000003</v>
      </c>
      <c r="W202" s="85">
        <f t="shared" si="168"/>
        <v>-4225.3239992296285</v>
      </c>
      <c r="X202" s="85">
        <f t="shared" si="169"/>
        <v>-14472.366793162319</v>
      </c>
      <c r="Y202" s="90">
        <f t="shared" si="170"/>
        <v>4225.3239992296285</v>
      </c>
      <c r="Z202" s="86">
        <f t="shared" si="171"/>
        <v>9310.2929000000004</v>
      </c>
      <c r="AA202" s="85">
        <f t="shared" si="172"/>
        <v>-913.46204712425447</v>
      </c>
      <c r="AB202" s="85">
        <f t="shared" si="173"/>
        <v>967.41166338244784</v>
      </c>
      <c r="AC202" s="90">
        <f t="shared" si="174"/>
        <v>913.46204712425447</v>
      </c>
      <c r="AD202" s="86">
        <f t="shared" si="175"/>
        <v>35736.095990000002</v>
      </c>
      <c r="AE202" s="85">
        <f t="shared" si="176"/>
        <v>4140.4375383844126</v>
      </c>
      <c r="AF202" s="85">
        <f t="shared" si="177"/>
        <v>14142.712016561676</v>
      </c>
      <c r="AG202" s="90">
        <f t="shared" si="178"/>
        <v>4140.4375383844126</v>
      </c>
      <c r="AH202" s="86">
        <f t="shared" si="179"/>
        <v>-9564.2259200000008</v>
      </c>
      <c r="AI202" s="85">
        <f t="shared" si="180"/>
        <v>6238.0466047659793</v>
      </c>
      <c r="AJ202" s="85">
        <f t="shared" si="181"/>
        <v>-6498.8922464947191</v>
      </c>
      <c r="AK202" s="90">
        <f t="shared" si="182"/>
        <v>6238.0466047659793</v>
      </c>
      <c r="AM202" s="95">
        <f t="shared" si="147"/>
        <v>0</v>
      </c>
      <c r="AN202" s="95">
        <f t="shared" si="148"/>
        <v>0</v>
      </c>
      <c r="AO202" s="95">
        <f t="shared" si="149"/>
        <v>0</v>
      </c>
      <c r="AP202" s="95">
        <f t="shared" si="150"/>
        <v>0</v>
      </c>
      <c r="AQ202"/>
      <c r="AR202" s="95">
        <f t="shared" si="183"/>
        <v>0</v>
      </c>
      <c r="AS202" s="95">
        <f t="shared" si="184"/>
        <v>0</v>
      </c>
      <c r="AT202" s="95">
        <f>Geraetedaten!$B$94*ABS(SIN(RADIANS($A202)))</f>
        <v>45.025242527301437</v>
      </c>
      <c r="AU202" s="95">
        <f>Geraetedaten!$B$94*ABS(COS(RADIANS($A202)))</f>
        <v>147.27093241830747</v>
      </c>
      <c r="AV202" s="95">
        <f>((h_Aw_Sw+Geraetedaten!$B$18)/1000)*(AR202*AT202+AS202*AU202)/100</f>
        <v>0</v>
      </c>
      <c r="AX202" s="18">
        <f>(IF($X$19="ja",1,0))*Geraetedaten!$D$142*COS(RADIANS(2*A202))*(Geraetedaten!$B$154*r_K_D+r_K_SSw*F_SSw/10)/1000+Geraetedaten!$B$152</f>
        <v>594.79999999999995</v>
      </c>
      <c r="AY202" s="18">
        <f>(IF($X$19="ja",1,0))*Geraetedaten!$D$142*COS(RADIANS(2*A202))*(Geraetedaten!$B$157*r_K_D+r_K_SSw*F_SSw/10)/1000+Geraetedaten!$B$155</f>
        <v>537.4</v>
      </c>
      <c r="AZ202" s="201"/>
    </row>
    <row r="203" spans="1:52" ht="13.5" x14ac:dyDescent="0.25">
      <c r="A203" s="16">
        <v>164</v>
      </c>
      <c r="B203" s="16">
        <f t="shared" si="157"/>
        <v>286</v>
      </c>
      <c r="C203" s="19">
        <f t="shared" si="158"/>
        <v>46.302980457587736</v>
      </c>
      <c r="D203" s="17">
        <f t="shared" si="153"/>
        <v>-38467.356620457584</v>
      </c>
      <c r="E203" s="17">
        <f t="shared" si="159"/>
        <v>9209.070469542412</v>
      </c>
      <c r="F203" s="17">
        <f t="shared" si="160"/>
        <v>37856.044899542416</v>
      </c>
      <c r="G203" s="17">
        <f t="shared" si="161"/>
        <v>-9563.4453504575868</v>
      </c>
      <c r="H203" s="17">
        <f t="shared" si="156"/>
        <v>9209.070469542412</v>
      </c>
      <c r="I203" s="17">
        <f t="shared" si="162"/>
        <v>961.70510599228692</v>
      </c>
      <c r="J203" s="20">
        <f>(Geraetedaten!$B$152+(Geraetedaten!$B$153*(Geraetedaten!$B$18+d_y_Sw)/1000))*10</f>
        <v>6051.0442000000003</v>
      </c>
      <c r="K203" s="20">
        <f>(Geraetedaten!$B$165+(Geraetedaten!$B$166*(Geraetedaten!$B$18+d_y_Sw)/1000))*10</f>
        <v>10816.164000000001</v>
      </c>
      <c r="L203" s="20">
        <f>(Geraetedaten!$B$158+(Geraetedaten!$B$159*(Geraetedaten!$B$18+d_y_Sw)/1000)-(Geraetedaten!$B$160*I203/1000))*10</f>
        <v>531.01476457758531</v>
      </c>
      <c r="M203" s="20">
        <f>(Geraetedaten!$B$171+(Geraetedaten!$B$172*(Geraetedaten!$B$18+d_y_Sw)/1000)-(Geraetedaten!$B$173*I203/1000))*10</f>
        <v>993.27767190993518</v>
      </c>
      <c r="N203" s="20">
        <f>IF((H203-J203)/(K203-J203)*(Geraetedaten!$B$174-Geraetedaten!$B$161)&lt;Geraetedaten!$B$174,(H203-J203)/(K203-J203)*(Geraetedaten!$B$174-Geraetedaten!$B$161),Geraetedaten!$B$174)</f>
        <v>265.0952254793184</v>
      </c>
      <c r="O203" s="20">
        <f>N203/Geraetedaten!$B$174*(M203-L203)+L203+C203</f>
        <v>883.6769691601595</v>
      </c>
      <c r="P203" s="20">
        <f t="shared" si="163"/>
        <v>249.35503482739432</v>
      </c>
      <c r="Q203" s="20"/>
      <c r="R203" s="21">
        <f>(N203-Geraetedaten!$B$161)/(Geraetedaten!$B$174-Geraetedaten!$B$161)*(Geraetedaten!$B$175-Geraetedaten!$B$162)+Geraetedaten!$B$162</f>
        <v>37.086582958009721</v>
      </c>
      <c r="S203" s="21">
        <f t="shared" si="164"/>
        <v>37.086582958009721</v>
      </c>
      <c r="T203" s="21">
        <f t="shared" si="165"/>
        <v>10.222447662833584</v>
      </c>
      <c r="U203" s="88">
        <f t="shared" si="166"/>
        <v>-35.64991163077358</v>
      </c>
      <c r="V203" s="86">
        <f t="shared" si="167"/>
        <v>-38421.053639999998</v>
      </c>
      <c r="W203" s="85">
        <f t="shared" si="168"/>
        <v>-4225.3239992296285</v>
      </c>
      <c r="X203" s="85">
        <f t="shared" si="169"/>
        <v>-15352.445527078266</v>
      </c>
      <c r="Y203" s="90">
        <f t="shared" si="170"/>
        <v>4225.3239992296285</v>
      </c>
      <c r="Z203" s="86">
        <f t="shared" si="171"/>
        <v>9255.3734499999991</v>
      </c>
      <c r="AA203" s="85">
        <f t="shared" si="172"/>
        <v>-913.46204712425447</v>
      </c>
      <c r="AB203" s="85">
        <f t="shared" si="173"/>
        <v>961.70510599228692</v>
      </c>
      <c r="AC203" s="90">
        <f t="shared" si="174"/>
        <v>913.46204712425447</v>
      </c>
      <c r="AD203" s="86">
        <f t="shared" si="175"/>
        <v>37902.347880000001</v>
      </c>
      <c r="AE203" s="85">
        <f t="shared" si="176"/>
        <v>4140.4375383844126</v>
      </c>
      <c r="AF203" s="85">
        <f t="shared" si="177"/>
        <v>15000.015415900507</v>
      </c>
      <c r="AG203" s="90">
        <f t="shared" si="178"/>
        <v>4140.4375383844126</v>
      </c>
      <c r="AH203" s="86">
        <f t="shared" si="179"/>
        <v>-9517.1423699999996</v>
      </c>
      <c r="AI203" s="85">
        <f t="shared" si="180"/>
        <v>6238.0466047659793</v>
      </c>
      <c r="AJ203" s="85">
        <f t="shared" si="181"/>
        <v>-6466.898974636295</v>
      </c>
      <c r="AK203" s="90">
        <f t="shared" si="182"/>
        <v>6238.0466047659793</v>
      </c>
      <c r="AM203" s="95">
        <f t="shared" si="147"/>
        <v>0</v>
      </c>
      <c r="AN203" s="95">
        <f t="shared" si="148"/>
        <v>0</v>
      </c>
      <c r="AO203" s="95">
        <f t="shared" si="149"/>
        <v>0</v>
      </c>
      <c r="AP203" s="95">
        <f t="shared" si="150"/>
        <v>0</v>
      </c>
      <c r="AQ203"/>
      <c r="AR203" s="95">
        <f t="shared" si="183"/>
        <v>0</v>
      </c>
      <c r="AS203" s="95">
        <f t="shared" si="184"/>
        <v>0</v>
      </c>
      <c r="AT203" s="95">
        <f>Geraetedaten!$B$94*ABS(SIN(RADIANS($A203)))</f>
        <v>42.448152795817883</v>
      </c>
      <c r="AU203" s="95">
        <f>Geraetedaten!$B$94*ABS(COS(RADIANS($A203)))</f>
        <v>148.03430117450111</v>
      </c>
      <c r="AV203" s="95">
        <f>((h_Aw_Sw+Geraetedaten!$B$18)/1000)*(AR203*AT203+AS203*AU203)/100</f>
        <v>0</v>
      </c>
      <c r="AX203" s="18">
        <f>(IF($X$19="ja",1,0))*Geraetedaten!$D$142*COS(RADIANS(2*A203))*(Geraetedaten!$B$154*r_K_D+r_K_SSw*F_SSw/10)/1000+Geraetedaten!$B$152</f>
        <v>594.79999999999995</v>
      </c>
      <c r="AY203" s="18">
        <f>(IF($X$19="ja",1,0))*Geraetedaten!$D$142*COS(RADIANS(2*A203))*(Geraetedaten!$B$157*r_K_D+r_K_SSw*F_SSw/10)/1000+Geraetedaten!$B$155</f>
        <v>537.4</v>
      </c>
      <c r="AZ203" s="201"/>
    </row>
    <row r="204" spans="1:52" ht="13.5" x14ac:dyDescent="0.25">
      <c r="A204" s="16">
        <v>165</v>
      </c>
      <c r="B204" s="16">
        <f t="shared" si="157"/>
        <v>285</v>
      </c>
      <c r="C204" s="19">
        <f t="shared" si="158"/>
        <v>45.373884731826038</v>
      </c>
      <c r="D204" s="17">
        <f t="shared" si="153"/>
        <v>-40967.401144731826</v>
      </c>
      <c r="E204" s="17">
        <f t="shared" si="159"/>
        <v>9158.5113752681737</v>
      </c>
      <c r="F204" s="17">
        <f t="shared" si="160"/>
        <v>40315.888825268179</v>
      </c>
      <c r="G204" s="17">
        <f t="shared" si="161"/>
        <v>-9518.7655647318261</v>
      </c>
      <c r="H204" s="17">
        <f t="shared" si="156"/>
        <v>9158.5113752681737</v>
      </c>
      <c r="I204" s="17">
        <f t="shared" si="162"/>
        <v>956.35508405494056</v>
      </c>
      <c r="J204" s="20">
        <f>(Geraetedaten!$B$152+(Geraetedaten!$B$153*(Geraetedaten!$B$18+d_y_Sw)/1000))*10</f>
        <v>6051.0442000000003</v>
      </c>
      <c r="K204" s="20">
        <f>(Geraetedaten!$B$165+(Geraetedaten!$B$166*(Geraetedaten!$B$18+d_y_Sw)/1000))*10</f>
        <v>10816.164000000001</v>
      </c>
      <c r="L204" s="20">
        <f>(Geraetedaten!$B$158+(Geraetedaten!$B$159*(Geraetedaten!$B$18+d_y_Sw)/1000)-(Geraetedaten!$B$160*I204/1000))*10</f>
        <v>531.40708168625099</v>
      </c>
      <c r="M204" s="20">
        <f>(Geraetedaten!$B$171+(Geraetedaten!$B$172*(Geraetedaten!$B$18+d_y_Sw)/1000)-(Geraetedaten!$B$173*I204/1000))*10</f>
        <v>993.67592754295117</v>
      </c>
      <c r="N204" s="20">
        <f>IF((H204-J204)/(K204-J204)*(Geraetedaten!$B$174-Geraetedaten!$B$161)&lt;Geraetedaten!$B$174,(H204-J204)/(K204-J204)*(Geraetedaten!$B$174-Geraetedaten!$B$161),Geraetedaten!$B$174)</f>
        <v>260.85112699732525</v>
      </c>
      <c r="O204" s="20">
        <f>N204/Geraetedaten!$B$174*(M204-L204)+L204+C204</f>
        <v>878.2393399617597</v>
      </c>
      <c r="P204" s="20">
        <f t="shared" si="163"/>
        <v>248.65290499544722</v>
      </c>
      <c r="Q204" s="20"/>
      <c r="R204" s="21">
        <f>(N204-Geraetedaten!$B$161)/(Geraetedaten!$B$174-Geraetedaten!$B$161)*(Geraetedaten!$B$175-Geraetedaten!$B$162)+Geraetedaten!$B$162</f>
        <v>36.960321028170426</v>
      </c>
      <c r="S204" s="21">
        <f t="shared" si="164"/>
        <v>36.960321028170426</v>
      </c>
      <c r="T204" s="21">
        <f t="shared" si="165"/>
        <v>9.5660349951936983</v>
      </c>
      <c r="U204" s="88">
        <f t="shared" si="166"/>
        <v>-35.700928629044739</v>
      </c>
      <c r="V204" s="86">
        <f t="shared" si="167"/>
        <v>-40922.027260000003</v>
      </c>
      <c r="W204" s="85">
        <f t="shared" si="168"/>
        <v>-4225.3239992296285</v>
      </c>
      <c r="X204" s="85">
        <f t="shared" si="169"/>
        <v>-16351.795040134535</v>
      </c>
      <c r="Y204" s="90">
        <f t="shared" si="170"/>
        <v>4225.3239992296285</v>
      </c>
      <c r="Z204" s="86">
        <f t="shared" si="171"/>
        <v>9203.8852599999991</v>
      </c>
      <c r="AA204" s="85">
        <f t="shared" si="172"/>
        <v>-913.46204712425447</v>
      </c>
      <c r="AB204" s="85">
        <f t="shared" si="173"/>
        <v>956.35508405494056</v>
      </c>
      <c r="AC204" s="90">
        <f t="shared" si="174"/>
        <v>913.46204712425447</v>
      </c>
      <c r="AD204" s="86">
        <f t="shared" si="175"/>
        <v>40361.262710000003</v>
      </c>
      <c r="AE204" s="85">
        <f t="shared" si="176"/>
        <v>4140.4375383844126</v>
      </c>
      <c r="AF204" s="85">
        <f t="shared" si="177"/>
        <v>15973.141420908592</v>
      </c>
      <c r="AG204" s="90">
        <f t="shared" si="178"/>
        <v>4140.4375383844126</v>
      </c>
      <c r="AH204" s="86">
        <f t="shared" si="179"/>
        <v>-9473.3916800000006</v>
      </c>
      <c r="AI204" s="85">
        <f t="shared" si="180"/>
        <v>6238.0466047659793</v>
      </c>
      <c r="AJ204" s="85">
        <f t="shared" si="181"/>
        <v>-6437.1703766408791</v>
      </c>
      <c r="AK204" s="90">
        <f t="shared" si="182"/>
        <v>6238.0466047659793</v>
      </c>
      <c r="AM204" s="95">
        <f t="shared" si="147"/>
        <v>0</v>
      </c>
      <c r="AN204" s="95">
        <f t="shared" si="148"/>
        <v>0</v>
      </c>
      <c r="AO204" s="95">
        <f t="shared" si="149"/>
        <v>0</v>
      </c>
      <c r="AP204" s="95">
        <f t="shared" si="150"/>
        <v>0</v>
      </c>
      <c r="AQ204"/>
      <c r="AR204" s="95">
        <f t="shared" si="183"/>
        <v>0</v>
      </c>
      <c r="AS204" s="95">
        <f t="shared" si="184"/>
        <v>0</v>
      </c>
      <c r="AT204" s="95">
        <f>Geraetedaten!$B$94*ABS(SIN(RADIANS($A204)))</f>
        <v>39.858132945788235</v>
      </c>
      <c r="AU204" s="95">
        <f>Geraetedaten!$B$94*ABS(COS(RADIANS($A204)))</f>
        <v>148.7525772485165</v>
      </c>
      <c r="AV204" s="95">
        <f>((h_Aw_Sw+Geraetedaten!$B$18)/1000)*(AR204*AT204+AS204*AU204)/100</f>
        <v>0</v>
      </c>
      <c r="AX204" s="18">
        <f>(IF($X$19="ja",1,0))*Geraetedaten!$D$142*COS(RADIANS(2*A204))*(Geraetedaten!$B$154*r_K_D+r_K_SSw*F_SSw/10)/1000+Geraetedaten!$B$152</f>
        <v>594.79999999999995</v>
      </c>
      <c r="AY204" s="18">
        <f>(IF($X$19="ja",1,0))*Geraetedaten!$D$142*COS(RADIANS(2*A204))*(Geraetedaten!$B$157*r_K_D+r_K_SSw*F_SSw/10)/1000+Geraetedaten!$B$155</f>
        <v>537.4</v>
      </c>
      <c r="AZ204" s="201"/>
    </row>
    <row r="205" spans="1:52" ht="13.5" x14ac:dyDescent="0.25">
      <c r="A205" s="16">
        <v>166</v>
      </c>
      <c r="B205" s="16">
        <f t="shared" si="157"/>
        <v>284</v>
      </c>
      <c r="C205" s="19">
        <f t="shared" si="158"/>
        <v>44.43096768122831</v>
      </c>
      <c r="D205" s="17">
        <f t="shared" si="153"/>
        <v>-43829.963857681229</v>
      </c>
      <c r="E205" s="17">
        <f t="shared" si="159"/>
        <v>9111.3093023187721</v>
      </c>
      <c r="F205" s="17">
        <f t="shared" si="160"/>
        <v>43130.988762318775</v>
      </c>
      <c r="G205" s="17">
        <f t="shared" si="161"/>
        <v>-9477.3325676812274</v>
      </c>
      <c r="H205" s="17">
        <f t="shared" si="156"/>
        <v>9111.3093023187721</v>
      </c>
      <c r="I205" s="17">
        <f t="shared" si="162"/>
        <v>951.3524457449746</v>
      </c>
      <c r="J205" s="20">
        <f>(Geraetedaten!$B$152+(Geraetedaten!$B$153*(Geraetedaten!$B$18+d_y_Sw)/1000))*10</f>
        <v>6051.0442000000003</v>
      </c>
      <c r="K205" s="20">
        <f>(Geraetedaten!$B$165+(Geraetedaten!$B$166*(Geraetedaten!$B$18+d_y_Sw)/1000))*10</f>
        <v>10816.164000000001</v>
      </c>
      <c r="L205" s="20">
        <f>(Geraetedaten!$B$158+(Geraetedaten!$B$159*(Geraetedaten!$B$18+d_y_Sw)/1000)-(Geraetedaten!$B$160*I205/1000))*10</f>
        <v>531.77392515352074</v>
      </c>
      <c r="M205" s="20">
        <f>(Geraetedaten!$B$171+(Geraetedaten!$B$172*(Geraetedaten!$B$18+d_y_Sw)/1000)-(Geraetedaten!$B$173*I205/1000))*10</f>
        <v>994.04832393874494</v>
      </c>
      <c r="N205" s="20">
        <f>IF((H205-J205)/(K205-J205)*(Geraetedaten!$B$174-Geraetedaten!$B$161)&lt;Geraetedaten!$B$174,(H205-J205)/(K205-J205)*(Geraetedaten!$B$174-Geraetedaten!$B$161),Geraetedaten!$B$174)</f>
        <v>256.88882804740996</v>
      </c>
      <c r="O205" s="20">
        <f>N205/Geraetedaten!$B$174*(M205-L205)+L205+C205</f>
        <v>873.08771418539231</v>
      </c>
      <c r="P205" s="20">
        <f t="shared" si="163"/>
        <v>247.97175712283538</v>
      </c>
      <c r="Q205" s="20"/>
      <c r="R205" s="21">
        <f>(N205-Geraetedaten!$B$161)/(Geraetedaten!$B$174-Geraetedaten!$B$161)*(Geraetedaten!$B$175-Geraetedaten!$B$162)+Geraetedaten!$B$162</f>
        <v>36.842442634410446</v>
      </c>
      <c r="S205" s="21">
        <f t="shared" si="164"/>
        <v>36.842442634410446</v>
      </c>
      <c r="T205" s="21">
        <f t="shared" si="165"/>
        <v>8.9129935606385917</v>
      </c>
      <c r="U205" s="88">
        <f t="shared" si="166"/>
        <v>-35.748064633737023</v>
      </c>
      <c r="V205" s="86">
        <f t="shared" si="167"/>
        <v>-43785.532890000002</v>
      </c>
      <c r="W205" s="85">
        <f t="shared" si="168"/>
        <v>-4225.3239992296285</v>
      </c>
      <c r="X205" s="85">
        <f t="shared" si="169"/>
        <v>-17496.006611863868</v>
      </c>
      <c r="Y205" s="90">
        <f t="shared" si="170"/>
        <v>4225.3239992296285</v>
      </c>
      <c r="Z205" s="86">
        <f t="shared" si="171"/>
        <v>9155.7402700000002</v>
      </c>
      <c r="AA205" s="85">
        <f t="shared" si="172"/>
        <v>-913.46204712425447</v>
      </c>
      <c r="AB205" s="85">
        <f t="shared" si="173"/>
        <v>951.3524457449746</v>
      </c>
      <c r="AC205" s="90">
        <f t="shared" si="174"/>
        <v>913.46204712425447</v>
      </c>
      <c r="AD205" s="86">
        <f t="shared" si="175"/>
        <v>43175.419730000001</v>
      </c>
      <c r="AE205" s="85">
        <f t="shared" si="176"/>
        <v>4140.4375383844126</v>
      </c>
      <c r="AF205" s="85">
        <f t="shared" si="177"/>
        <v>17086.856033539829</v>
      </c>
      <c r="AG205" s="90">
        <f t="shared" si="178"/>
        <v>4140.4375383844126</v>
      </c>
      <c r="AH205" s="86">
        <f t="shared" si="179"/>
        <v>-9432.9015999999992</v>
      </c>
      <c r="AI205" s="85">
        <f t="shared" si="180"/>
        <v>6238.0466047659793</v>
      </c>
      <c r="AJ205" s="85">
        <f t="shared" si="181"/>
        <v>-6409.6573643842876</v>
      </c>
      <c r="AK205" s="90">
        <f t="shared" si="182"/>
        <v>6238.0466047659793</v>
      </c>
      <c r="AM205" s="95">
        <f t="shared" si="147"/>
        <v>0</v>
      </c>
      <c r="AN205" s="95">
        <f t="shared" si="148"/>
        <v>0</v>
      </c>
      <c r="AO205" s="95">
        <f t="shared" si="149"/>
        <v>0</v>
      </c>
      <c r="AP205" s="95">
        <f t="shared" si="150"/>
        <v>0</v>
      </c>
      <c r="AQ205"/>
      <c r="AR205" s="95">
        <f t="shared" si="183"/>
        <v>0</v>
      </c>
      <c r="AS205" s="95">
        <f t="shared" si="184"/>
        <v>0</v>
      </c>
      <c r="AT205" s="95">
        <f>Geraetedaten!$B$94*ABS(SIN(RADIANS($A205)))</f>
        <v>37.255971922348827</v>
      </c>
      <c r="AU205" s="95">
        <f>Geraetedaten!$B$94*ABS(COS(RADIANS($A205)))</f>
        <v>149.42554184650345</v>
      </c>
      <c r="AV205" s="95">
        <f>((h_Aw_Sw+Geraetedaten!$B$18)/1000)*(AR205*AT205+AS205*AU205)/100</f>
        <v>0</v>
      </c>
      <c r="AX205" s="18">
        <f>(IF($X$19="ja",1,0))*Geraetedaten!$D$142*COS(RADIANS(2*A205))*(Geraetedaten!$B$154*r_K_D+r_K_SSw*F_SSw/10)/1000+Geraetedaten!$B$152</f>
        <v>594.79999999999995</v>
      </c>
      <c r="AY205" s="18">
        <f>(IF($X$19="ja",1,0))*Geraetedaten!$D$142*COS(RADIANS(2*A205))*(Geraetedaten!$B$157*r_K_D+r_K_SSw*F_SSw/10)/1000+Geraetedaten!$B$155</f>
        <v>537.4</v>
      </c>
      <c r="AZ205" s="201"/>
    </row>
    <row r="206" spans="1:52" ht="13.5" x14ac:dyDescent="0.25">
      <c r="A206" s="16">
        <v>167</v>
      </c>
      <c r="B206" s="16">
        <f t="shared" si="157"/>
        <v>283</v>
      </c>
      <c r="C206" s="19">
        <f t="shared" si="158"/>
        <v>43.474516527462455</v>
      </c>
      <c r="D206" s="17">
        <f t="shared" si="153"/>
        <v>-47138.835786527467</v>
      </c>
      <c r="E206" s="17">
        <f t="shared" si="159"/>
        <v>9067.3826434725379</v>
      </c>
      <c r="F206" s="17">
        <f t="shared" si="160"/>
        <v>46383.146523472533</v>
      </c>
      <c r="G206" s="17">
        <f t="shared" si="161"/>
        <v>-9439.0804965274619</v>
      </c>
      <c r="H206" s="17">
        <f t="shared" si="156"/>
        <v>9067.3826434725379</v>
      </c>
      <c r="I206" s="17">
        <f t="shared" si="162"/>
        <v>946.68874207425199</v>
      </c>
      <c r="J206" s="20">
        <f>(Geraetedaten!$B$152+(Geraetedaten!$B$153*(Geraetedaten!$B$18+d_y_Sw)/1000))*10</f>
        <v>6051.0442000000003</v>
      </c>
      <c r="K206" s="20">
        <f>(Geraetedaten!$B$165+(Geraetedaten!$B$166*(Geraetedaten!$B$18+d_y_Sw)/1000))*10</f>
        <v>10816.164000000001</v>
      </c>
      <c r="L206" s="20">
        <f>(Geraetedaten!$B$158+(Geraetedaten!$B$159*(Geraetedaten!$B$18+d_y_Sw)/1000)-(Geraetedaten!$B$160*I206/1000))*10</f>
        <v>532.11591454369477</v>
      </c>
      <c r="M206" s="20">
        <f>(Geraetedaten!$B$171+(Geraetedaten!$B$172*(Geraetedaten!$B$18+d_y_Sw)/1000)-(Geraetedaten!$B$173*I206/1000))*10</f>
        <v>994.39549003999355</v>
      </c>
      <c r="N206" s="20">
        <f>IF((H206-J206)/(K206-J206)*(Geraetedaten!$B$174-Geraetedaten!$B$161)&lt;Geraetedaten!$B$174,(H206-J206)/(K206-J206)*(Geraetedaten!$B$174-Geraetedaten!$B$161),Geraetedaten!$B$174)</f>
        <v>253.20147824804215</v>
      </c>
      <c r="O206" s="20">
        <f>N206/Geraetedaten!$B$174*(M206-L206)+L206+C206</f>
        <v>868.21511077000787</v>
      </c>
      <c r="P206" s="20">
        <f t="shared" si="163"/>
        <v>247.31161010159525</v>
      </c>
      <c r="Q206" s="20"/>
      <c r="R206" s="21">
        <f>(N206-Geraetedaten!$B$161)/(Geraetedaten!$B$174-Geraetedaten!$B$161)*(Geraetedaten!$B$175-Geraetedaten!$B$162)+Geraetedaten!$B$162</f>
        <v>36.732743977879252</v>
      </c>
      <c r="S206" s="21">
        <f t="shared" si="164"/>
        <v>36.732743977879252</v>
      </c>
      <c r="T206" s="21">
        <f t="shared" si="165"/>
        <v>8.2630694867672023</v>
      </c>
      <c r="U206" s="88">
        <f t="shared" si="166"/>
        <v>-35.791286129465661</v>
      </c>
      <c r="V206" s="86">
        <f t="shared" si="167"/>
        <v>-47095.361270000001</v>
      </c>
      <c r="W206" s="85">
        <f t="shared" si="168"/>
        <v>-4225.3239992296285</v>
      </c>
      <c r="X206" s="85">
        <f t="shared" si="169"/>
        <v>-18818.561699306123</v>
      </c>
      <c r="Y206" s="90">
        <f t="shared" si="170"/>
        <v>4225.3239992296285</v>
      </c>
      <c r="Z206" s="86">
        <f t="shared" si="171"/>
        <v>9110.8571599999996</v>
      </c>
      <c r="AA206" s="85">
        <f t="shared" si="172"/>
        <v>-913.46204712425447</v>
      </c>
      <c r="AB206" s="85">
        <f t="shared" si="173"/>
        <v>946.68874207425199</v>
      </c>
      <c r="AC206" s="90">
        <f t="shared" si="174"/>
        <v>913.46204712425447</v>
      </c>
      <c r="AD206" s="86">
        <f t="shared" si="175"/>
        <v>46426.621039999998</v>
      </c>
      <c r="AE206" s="85">
        <f t="shared" si="176"/>
        <v>4140.4375383844126</v>
      </c>
      <c r="AF206" s="85">
        <f t="shared" si="177"/>
        <v>18373.532785708558</v>
      </c>
      <c r="AG206" s="90">
        <f t="shared" si="178"/>
        <v>4140.4375383844126</v>
      </c>
      <c r="AH206" s="86">
        <f t="shared" si="179"/>
        <v>-9395.6059800000003</v>
      </c>
      <c r="AI206" s="85">
        <f t="shared" si="180"/>
        <v>6238.0466047659793</v>
      </c>
      <c r="AJ206" s="85">
        <f t="shared" si="181"/>
        <v>-6384.3149847469886</v>
      </c>
      <c r="AK206" s="90">
        <f t="shared" si="182"/>
        <v>6238.0466047659793</v>
      </c>
      <c r="AM206" s="95">
        <f t="shared" si="147"/>
        <v>0</v>
      </c>
      <c r="AN206" s="95">
        <f t="shared" si="148"/>
        <v>0</v>
      </c>
      <c r="AO206" s="95">
        <f t="shared" si="149"/>
        <v>0</v>
      </c>
      <c r="AP206" s="95">
        <f t="shared" si="150"/>
        <v>0</v>
      </c>
      <c r="AQ206"/>
      <c r="AR206" s="95">
        <f t="shared" si="183"/>
        <v>0</v>
      </c>
      <c r="AS206" s="95">
        <f t="shared" si="184"/>
        <v>0</v>
      </c>
      <c r="AT206" s="95">
        <f>Geraetedaten!$B$94*ABS(SIN(RADIANS($A206)))</f>
        <v>34.642462368955243</v>
      </c>
      <c r="AU206" s="95">
        <f>Geraetedaten!$B$94*ABS(COS(RADIANS($A206)))</f>
        <v>150.0529899769262</v>
      </c>
      <c r="AV206" s="95">
        <f>((h_Aw_Sw+Geraetedaten!$B$18)/1000)*(AR206*AT206+AS206*AU206)/100</f>
        <v>0</v>
      </c>
      <c r="AX206" s="18">
        <f>(IF($X$19="ja",1,0))*Geraetedaten!$D$142*COS(RADIANS(2*A206))*(Geraetedaten!$B$154*r_K_D+r_K_SSw*F_SSw/10)/1000+Geraetedaten!$B$152</f>
        <v>594.79999999999995</v>
      </c>
      <c r="AY206" s="18">
        <f>(IF($X$19="ja",1,0))*Geraetedaten!$D$142*COS(RADIANS(2*A206))*(Geraetedaten!$B$157*r_K_D+r_K_SSw*F_SSw/10)/1000+Geraetedaten!$B$155</f>
        <v>537.4</v>
      </c>
      <c r="AZ206" s="201"/>
    </row>
    <row r="207" spans="1:52" ht="13.5" x14ac:dyDescent="0.25">
      <c r="A207" s="16">
        <v>168</v>
      </c>
      <c r="B207" s="16">
        <f t="shared" si="157"/>
        <v>282</v>
      </c>
      <c r="C207" s="19">
        <f t="shared" si="158"/>
        <v>42.504822614815211</v>
      </c>
      <c r="D207" s="17">
        <f t="shared" si="153"/>
        <v>-51005.798432614814</v>
      </c>
      <c r="E207" s="17">
        <f t="shared" si="159"/>
        <v>9026.6562073851837</v>
      </c>
      <c r="F207" s="17">
        <f t="shared" si="160"/>
        <v>50181.380747385185</v>
      </c>
      <c r="G207" s="17">
        <f t="shared" si="161"/>
        <v>-9403.9492926148159</v>
      </c>
      <c r="H207" s="17">
        <f t="shared" si="156"/>
        <v>9026.6562073851837</v>
      </c>
      <c r="I207" s="17">
        <f t="shared" si="162"/>
        <v>942.35619051632023</v>
      </c>
      <c r="J207" s="20">
        <f>(Geraetedaten!$B$152+(Geraetedaten!$B$153*(Geraetedaten!$B$18+d_y_Sw)/1000))*10</f>
        <v>6051.0442000000003</v>
      </c>
      <c r="K207" s="20">
        <f>(Geraetedaten!$B$165+(Geraetedaten!$B$166*(Geraetedaten!$B$18+d_y_Sw)/1000))*10</f>
        <v>10816.164000000001</v>
      </c>
      <c r="L207" s="20">
        <f>(Geraetedaten!$B$158+(Geraetedaten!$B$159*(Geraetedaten!$B$18+d_y_Sw)/1000)-(Geraetedaten!$B$160*I207/1000))*10</f>
        <v>532.43362054943805</v>
      </c>
      <c r="M207" s="20">
        <f>(Geraetedaten!$B$171+(Geraetedaten!$B$172*(Geraetedaten!$B$18+d_y_Sw)/1000)-(Geraetedaten!$B$173*I207/1000))*10</f>
        <v>994.71800517796612</v>
      </c>
      <c r="N207" s="20">
        <f>IF((H207-J207)/(K207-J207)*(Geraetedaten!$B$174-Geraetedaten!$B$161)&lt;Geraetedaten!$B$174,(H207-J207)/(K207-J207)*(Geraetedaten!$B$174-Geraetedaten!$B$161),Geraetedaten!$B$174)</f>
        <v>249.78276578777164</v>
      </c>
      <c r="O207" s="20">
        <f>N207/Geraetedaten!$B$174*(M207-L207)+L207+C207</f>
        <v>863.61512359678261</v>
      </c>
      <c r="P207" s="20">
        <f t="shared" si="163"/>
        <v>246.67249876974387</v>
      </c>
      <c r="Q207" s="20"/>
      <c r="R207" s="21">
        <f>(N207-Geraetedaten!$B$161)/(Geraetedaten!$B$174-Geraetedaten!$B$161)*(Geraetedaten!$B$175-Geraetedaten!$B$162)+Geraetedaten!$B$162</f>
        <v>36.631037282186206</v>
      </c>
      <c r="S207" s="21">
        <f t="shared" si="164"/>
        <v>36.631037282186206</v>
      </c>
      <c r="T207" s="21">
        <f t="shared" si="165"/>
        <v>7.6160208977477133</v>
      </c>
      <c r="U207" s="88">
        <f t="shared" si="166"/>
        <v>-35.83056122996102</v>
      </c>
      <c r="V207" s="86">
        <f t="shared" si="167"/>
        <v>-50963.293610000001</v>
      </c>
      <c r="W207" s="85">
        <f t="shared" si="168"/>
        <v>-4225.3239992296285</v>
      </c>
      <c r="X207" s="85">
        <f t="shared" si="169"/>
        <v>-20364.126301400924</v>
      </c>
      <c r="Y207" s="90">
        <f t="shared" si="170"/>
        <v>4225.3239992296285</v>
      </c>
      <c r="Z207" s="86">
        <f t="shared" si="171"/>
        <v>9069.1610299999993</v>
      </c>
      <c r="AA207" s="85">
        <f t="shared" si="172"/>
        <v>-913.46204712425447</v>
      </c>
      <c r="AB207" s="85">
        <f t="shared" si="173"/>
        <v>942.35619051632023</v>
      </c>
      <c r="AC207" s="90">
        <f t="shared" si="174"/>
        <v>913.46204712425447</v>
      </c>
      <c r="AD207" s="86">
        <f t="shared" si="175"/>
        <v>50223.885569999999</v>
      </c>
      <c r="AE207" s="85">
        <f t="shared" si="176"/>
        <v>4140.4375383844126</v>
      </c>
      <c r="AF207" s="85">
        <f t="shared" si="177"/>
        <v>19876.316377841085</v>
      </c>
      <c r="AG207" s="90">
        <f t="shared" si="178"/>
        <v>4140.4375383844126</v>
      </c>
      <c r="AH207" s="86">
        <f t="shared" si="179"/>
        <v>-9361.4444700000004</v>
      </c>
      <c r="AI207" s="85">
        <f t="shared" si="180"/>
        <v>6238.0466047659793</v>
      </c>
      <c r="AJ207" s="85">
        <f t="shared" si="181"/>
        <v>-6361.1022348064307</v>
      </c>
      <c r="AK207" s="90">
        <f t="shared" si="182"/>
        <v>6238.0466047659793</v>
      </c>
      <c r="AM207" s="95">
        <f t="shared" si="147"/>
        <v>0</v>
      </c>
      <c r="AN207" s="95">
        <f t="shared" si="148"/>
        <v>0</v>
      </c>
      <c r="AO207" s="95">
        <f t="shared" si="149"/>
        <v>0</v>
      </c>
      <c r="AP207" s="95">
        <f t="shared" si="150"/>
        <v>0</v>
      </c>
      <c r="AQ207"/>
      <c r="AR207" s="95">
        <f t="shared" si="183"/>
        <v>0</v>
      </c>
      <c r="AS207" s="95">
        <f t="shared" si="184"/>
        <v>0</v>
      </c>
      <c r="AT207" s="95">
        <f>Geraetedaten!$B$94*ABS(SIN(RADIANS($A207)))</f>
        <v>32.018400385934932</v>
      </c>
      <c r="AU207" s="95">
        <f>Geraetedaten!$B$94*ABS(COS(RADIANS($A207)))</f>
        <v>150.63473051300608</v>
      </c>
      <c r="AV207" s="95">
        <f>((h_Aw_Sw+Geraetedaten!$B$18)/1000)*(AR207*AT207+AS207*AU207)/100</f>
        <v>0</v>
      </c>
      <c r="AX207" s="18">
        <f>(IF($X$19="ja",1,0))*Geraetedaten!$D$142*COS(RADIANS(2*A207))*(Geraetedaten!$B$154*r_K_D+r_K_SSw*F_SSw/10)/1000+Geraetedaten!$B$152</f>
        <v>594.79999999999995</v>
      </c>
      <c r="AY207" s="18">
        <f>(IF($X$19="ja",1,0))*Geraetedaten!$D$142*COS(RADIANS(2*A207))*(Geraetedaten!$B$157*r_K_D+r_K_SSw*F_SSw/10)/1000+Geraetedaten!$B$155</f>
        <v>537.4</v>
      </c>
      <c r="AZ207" s="201"/>
    </row>
    <row r="208" spans="1:52" ht="13.5" x14ac:dyDescent="0.25">
      <c r="A208" s="16">
        <v>169</v>
      </c>
      <c r="B208" s="16">
        <f t="shared" si="157"/>
        <v>281</v>
      </c>
      <c r="C208" s="19">
        <f t="shared" si="158"/>
        <v>41.522181321446062</v>
      </c>
      <c r="D208" s="17">
        <f t="shared" si="153"/>
        <v>-55583.375351321447</v>
      </c>
      <c r="E208" s="17">
        <f t="shared" si="159"/>
        <v>8989.060888678554</v>
      </c>
      <c r="F208" s="17">
        <f t="shared" si="160"/>
        <v>54674.271918678554</v>
      </c>
      <c r="G208" s="17">
        <f t="shared" si="161"/>
        <v>-9371.8844713214457</v>
      </c>
      <c r="H208" s="17">
        <f t="shared" si="156"/>
        <v>8989.060888678554</v>
      </c>
      <c r="I208" s="17">
        <f t="shared" si="162"/>
        <v>938.3476420533741</v>
      </c>
      <c r="J208" s="20">
        <f>(Geraetedaten!$B$152+(Geraetedaten!$B$153*(Geraetedaten!$B$18+d_y_Sw)/1000))*10</f>
        <v>6051.0442000000003</v>
      </c>
      <c r="K208" s="20">
        <f>(Geraetedaten!$B$165+(Geraetedaten!$B$166*(Geraetedaten!$B$18+d_y_Sw)/1000))*10</f>
        <v>10816.164000000001</v>
      </c>
      <c r="L208" s="20">
        <f>(Geraetedaten!$B$158+(Geraetedaten!$B$159*(Geraetedaten!$B$18+d_y_Sw)/1000)-(Geraetedaten!$B$160*I208/1000))*10</f>
        <v>532.72756740822581</v>
      </c>
      <c r="M208" s="20">
        <f>(Geraetedaten!$B$171+(Geraetedaten!$B$172*(Geraetedaten!$B$18+d_y_Sw)/1000)-(Geraetedaten!$B$173*I208/1000))*10</f>
        <v>995.01640152554785</v>
      </c>
      <c r="N208" s="20">
        <f>IF((H208-J208)/(K208-J208)*(Geraetedaten!$B$174-Geraetedaten!$B$161)&lt;Geraetedaten!$B$174,(H208-J208)/(K208-J208)*(Geraetedaten!$B$174-Geraetedaten!$B$161),Geraetedaten!$B$174)</f>
        <v>246.62688973138125</v>
      </c>
      <c r="O208" s="20">
        <f>N208/Geraetedaten!$B$174*(M208-L208)+L208+C208</f>
        <v>859.28189201942575</v>
      </c>
      <c r="P208" s="20">
        <f t="shared" si="163"/>
        <v>246.05447358579096</v>
      </c>
      <c r="Q208" s="20"/>
      <c r="R208" s="21">
        <f>(N208-Geraetedaten!$B$161)/(Geraetedaten!$B$174-Geraetedaten!$B$161)*(Geraetedaten!$B$175-Geraetedaten!$B$162)+Geraetedaten!$B$162</f>
        <v>36.53714996950859</v>
      </c>
      <c r="S208" s="21">
        <f t="shared" si="164"/>
        <v>36.53714996950859</v>
      </c>
      <c r="T208" s="21">
        <f t="shared" si="165"/>
        <v>6.9716168796040945</v>
      </c>
      <c r="U208" s="88">
        <f t="shared" si="166"/>
        <v>-35.865859615773616</v>
      </c>
      <c r="V208" s="86">
        <f t="shared" si="167"/>
        <v>-55541.853170000002</v>
      </c>
      <c r="W208" s="85">
        <f t="shared" si="168"/>
        <v>-4225.3239992296285</v>
      </c>
      <c r="X208" s="85">
        <f t="shared" si="169"/>
        <v>-22193.646307934654</v>
      </c>
      <c r="Y208" s="90">
        <f t="shared" si="170"/>
        <v>4225.3239992296285</v>
      </c>
      <c r="Z208" s="86">
        <f t="shared" si="171"/>
        <v>9030.5830700000006</v>
      </c>
      <c r="AA208" s="85">
        <f t="shared" si="172"/>
        <v>-913.46204712425447</v>
      </c>
      <c r="AB208" s="85">
        <f t="shared" si="173"/>
        <v>938.3476420533741</v>
      </c>
      <c r="AC208" s="90">
        <f t="shared" si="174"/>
        <v>913.46204712425447</v>
      </c>
      <c r="AD208" s="86">
        <f t="shared" si="175"/>
        <v>54715.794099999999</v>
      </c>
      <c r="AE208" s="85">
        <f t="shared" si="176"/>
        <v>4140.4375383844126</v>
      </c>
      <c r="AF208" s="85">
        <f t="shared" si="177"/>
        <v>21654.008286063883</v>
      </c>
      <c r="AG208" s="90">
        <f t="shared" si="178"/>
        <v>4140.4375383844126</v>
      </c>
      <c r="AH208" s="86">
        <f t="shared" si="179"/>
        <v>-9330.3622899999991</v>
      </c>
      <c r="AI208" s="85">
        <f t="shared" si="180"/>
        <v>6238.0466047659793</v>
      </c>
      <c r="AJ208" s="85">
        <f t="shared" si="181"/>
        <v>-6339.9818955794999</v>
      </c>
      <c r="AK208" s="90">
        <f t="shared" si="182"/>
        <v>6238.0466047659793</v>
      </c>
      <c r="AM208" s="95">
        <f t="shared" si="147"/>
        <v>0</v>
      </c>
      <c r="AN208" s="95">
        <f t="shared" si="148"/>
        <v>0</v>
      </c>
      <c r="AO208" s="95">
        <f t="shared" si="149"/>
        <v>0</v>
      </c>
      <c r="AP208" s="95">
        <f t="shared" si="150"/>
        <v>0</v>
      </c>
      <c r="AQ208"/>
      <c r="AR208" s="95">
        <f t="shared" si="183"/>
        <v>0</v>
      </c>
      <c r="AS208" s="95">
        <f t="shared" si="184"/>
        <v>0</v>
      </c>
      <c r="AT208" s="95">
        <f>Geraetedaten!$B$94*ABS(SIN(RADIANS($A208)))</f>
        <v>29.384585287987925</v>
      </c>
      <c r="AU208" s="95">
        <f>Geraetedaten!$B$94*ABS(COS(RADIANS($A208)))</f>
        <v>151.17058625094026</v>
      </c>
      <c r="AV208" s="95">
        <f>((h_Aw_Sw+Geraetedaten!$B$18)/1000)*(AR208*AT208+AS208*AU208)/100</f>
        <v>0</v>
      </c>
      <c r="AX208" s="18">
        <f>(IF($X$19="ja",1,0))*Geraetedaten!$D$142*COS(RADIANS(2*A208))*(Geraetedaten!$B$154*r_K_D+r_K_SSw*F_SSw/10)/1000+Geraetedaten!$B$152</f>
        <v>594.79999999999995</v>
      </c>
      <c r="AY208" s="18">
        <f>(IF($X$19="ja",1,0))*Geraetedaten!$D$142*COS(RADIANS(2*A208))*(Geraetedaten!$B$157*r_K_D+r_K_SSw*F_SSw/10)/1000+Geraetedaten!$B$155</f>
        <v>537.4</v>
      </c>
      <c r="AZ208" s="201"/>
    </row>
    <row r="209" spans="1:52" ht="13.5" x14ac:dyDescent="0.25">
      <c r="A209" s="16">
        <v>170</v>
      </c>
      <c r="B209" s="16">
        <f t="shared" si="157"/>
        <v>280</v>
      </c>
      <c r="C209" s="19">
        <f t="shared" si="158"/>
        <v>40.526891969411963</v>
      </c>
      <c r="D209" s="17">
        <f t="shared" si="153"/>
        <v>-61085.253831969414</v>
      </c>
      <c r="E209" s="17">
        <f t="shared" si="159"/>
        <v>8954.533418030589</v>
      </c>
      <c r="F209" s="17">
        <f t="shared" si="160"/>
        <v>60069.697208030586</v>
      </c>
      <c r="G209" s="17">
        <f t="shared" si="161"/>
        <v>-9342.8369219694123</v>
      </c>
      <c r="H209" s="17">
        <f t="shared" si="156"/>
        <v>8954.533418030589</v>
      </c>
      <c r="I209" s="17">
        <f t="shared" si="162"/>
        <v>934.65655137686781</v>
      </c>
      <c r="J209" s="20">
        <f>(Geraetedaten!$B$152+(Geraetedaten!$B$153*(Geraetedaten!$B$18+d_y_Sw)/1000))*10</f>
        <v>6051.0442000000003</v>
      </c>
      <c r="K209" s="20">
        <f>(Geraetedaten!$B$165+(Geraetedaten!$B$166*(Geraetedaten!$B$18+d_y_Sw)/1000))*10</f>
        <v>10816.164000000001</v>
      </c>
      <c r="L209" s="20">
        <f>(Geraetedaten!$B$158+(Geraetedaten!$B$159*(Geraetedaten!$B$18+d_y_Sw)/1000)-(Geraetedaten!$B$160*I209/1000))*10</f>
        <v>532.99823508753411</v>
      </c>
      <c r="M209" s="20">
        <f>(Geraetedaten!$B$171+(Geraetedaten!$B$172*(Geraetedaten!$B$18+d_y_Sw)/1000)-(Geraetedaten!$B$173*I209/1000))*10</f>
        <v>995.29116631550687</v>
      </c>
      <c r="N209" s="20">
        <f>IF((H209-J209)/(K209-J209)*(Geraetedaten!$B$174-Geraetedaten!$B$161)&lt;Geraetedaten!$B$174,(H209-J209)/(K209-J209)*(Geraetedaten!$B$174-Geraetedaten!$B$161),Geraetedaten!$B$174)</f>
        <v>243.72853904160715</v>
      </c>
      <c r="O209" s="20">
        <f>N209/Geraetedaten!$B$174*(M209-L209)+L209+C209</f>
        <v>855.21007890058604</v>
      </c>
      <c r="P209" s="20">
        <f t="shared" si="163"/>
        <v>245.45760083038161</v>
      </c>
      <c r="Q209" s="20"/>
      <c r="R209" s="21">
        <f>(N209-Geraetedaten!$B$161)/(Geraetedaten!$B$174-Geraetedaten!$B$161)*(Geraetedaten!$B$175-Geraetedaten!$B$162)+Geraetedaten!$B$162</f>
        <v>36.450924036487812</v>
      </c>
      <c r="S209" s="21">
        <f t="shared" si="164"/>
        <v>36.450924036487812</v>
      </c>
      <c r="T209" s="21">
        <f t="shared" si="165"/>
        <v>6.329636533211815</v>
      </c>
      <c r="U209" s="88">
        <f t="shared" si="166"/>
        <v>-35.897152595592246</v>
      </c>
      <c r="V209" s="86">
        <f t="shared" si="167"/>
        <v>-61044.72694</v>
      </c>
      <c r="W209" s="85">
        <f t="shared" si="168"/>
        <v>-4225.3239992296285</v>
      </c>
      <c r="X209" s="85">
        <f t="shared" si="169"/>
        <v>-24392.507654195539</v>
      </c>
      <c r="Y209" s="90">
        <f t="shared" si="170"/>
        <v>4225.3239992296285</v>
      </c>
      <c r="Z209" s="86">
        <f t="shared" si="171"/>
        <v>8995.0603100000008</v>
      </c>
      <c r="AA209" s="85">
        <f t="shared" si="172"/>
        <v>-913.46204712425447</v>
      </c>
      <c r="AB209" s="85">
        <f t="shared" si="173"/>
        <v>934.65655137686781</v>
      </c>
      <c r="AC209" s="90">
        <f t="shared" si="174"/>
        <v>913.46204712425447</v>
      </c>
      <c r="AD209" s="86">
        <f t="shared" si="175"/>
        <v>60110.224099999999</v>
      </c>
      <c r="AE209" s="85">
        <f t="shared" si="176"/>
        <v>4140.4375383844126</v>
      </c>
      <c r="AF209" s="85">
        <f t="shared" si="177"/>
        <v>23788.876909438208</v>
      </c>
      <c r="AG209" s="90">
        <f t="shared" si="178"/>
        <v>4140.4375383844126</v>
      </c>
      <c r="AH209" s="86">
        <f t="shared" si="179"/>
        <v>-9302.3100300000006</v>
      </c>
      <c r="AI209" s="85">
        <f t="shared" si="180"/>
        <v>6238.0466047659793</v>
      </c>
      <c r="AJ209" s="85">
        <f t="shared" si="181"/>
        <v>-6320.920383028928</v>
      </c>
      <c r="AK209" s="90">
        <f t="shared" si="182"/>
        <v>6238.0466047659793</v>
      </c>
      <c r="AM209" s="95">
        <f t="shared" si="147"/>
        <v>0</v>
      </c>
      <c r="AN209" s="95">
        <f t="shared" si="148"/>
        <v>0</v>
      </c>
      <c r="AO209" s="95">
        <f t="shared" si="149"/>
        <v>0</v>
      </c>
      <c r="AP209" s="95">
        <f t="shared" si="150"/>
        <v>0</v>
      </c>
      <c r="AQ209"/>
      <c r="AR209" s="95">
        <f t="shared" si="183"/>
        <v>0</v>
      </c>
      <c r="AS209" s="95">
        <f t="shared" si="184"/>
        <v>0</v>
      </c>
      <c r="AT209" s="95">
        <f>Geraetedaten!$B$94*ABS(SIN(RADIANS($A209)))</f>
        <v>26.741819360707261</v>
      </c>
      <c r="AU209" s="95">
        <f>Geraetedaten!$B$94*ABS(COS(RADIANS($A209)))</f>
        <v>151.66039396388004</v>
      </c>
      <c r="AV209" s="95">
        <f>((h_Aw_Sw+Geraetedaten!$B$18)/1000)*(AR209*AT209+AS209*AU209)/100</f>
        <v>0</v>
      </c>
      <c r="AX209" s="18">
        <f>(IF($X$19="ja",1,0))*Geraetedaten!$D$142*COS(RADIANS(2*A209))*(Geraetedaten!$B$154*r_K_D+r_K_SSw*F_SSw/10)/1000+Geraetedaten!$B$152</f>
        <v>594.79999999999995</v>
      </c>
      <c r="AY209" s="18">
        <f>(IF($X$19="ja",1,0))*Geraetedaten!$D$142*COS(RADIANS(2*A209))*(Geraetedaten!$B$157*r_K_D+r_K_SSw*F_SSw/10)/1000+Geraetedaten!$B$155</f>
        <v>537.4</v>
      </c>
      <c r="AZ209" s="201"/>
    </row>
    <row r="210" spans="1:52" ht="13.5" x14ac:dyDescent="0.25">
      <c r="A210" s="16">
        <v>171</v>
      </c>
      <c r="B210" s="16">
        <f t="shared" si="157"/>
        <v>279</v>
      </c>
      <c r="C210" s="19">
        <f t="shared" si="158"/>
        <v>39.519257733491195</v>
      </c>
      <c r="D210" s="17">
        <f t="shared" si="153"/>
        <v>-67820.358457733499</v>
      </c>
      <c r="E210" s="17">
        <f t="shared" si="159"/>
        <v>8923.0160422665085</v>
      </c>
      <c r="F210" s="17">
        <f t="shared" si="160"/>
        <v>66667.687892266506</v>
      </c>
      <c r="G210" s="17">
        <f t="shared" si="161"/>
        <v>-9316.7626777334917</v>
      </c>
      <c r="H210" s="17">
        <f t="shared" si="156"/>
        <v>8923.0160422665085</v>
      </c>
      <c r="I210" s="17">
        <f t="shared" si="162"/>
        <v>931.27695000322672</v>
      </c>
      <c r="J210" s="20">
        <f>(Geraetedaten!$B$152+(Geraetedaten!$B$153*(Geraetedaten!$B$18+d_y_Sw)/1000))*10</f>
        <v>6051.0442000000003</v>
      </c>
      <c r="K210" s="20">
        <f>(Geraetedaten!$B$165+(Geraetedaten!$B$166*(Geraetedaten!$B$18+d_y_Sw)/1000))*10</f>
        <v>10816.164000000001</v>
      </c>
      <c r="L210" s="20">
        <f>(Geraetedaten!$B$158+(Geraetedaten!$B$159*(Geraetedaten!$B$18+d_y_Sw)/1000)-(Geraetedaten!$B$160*I210/1000))*10</f>
        <v>533.24606125626315</v>
      </c>
      <c r="M210" s="20">
        <f>(Geraetedaten!$B$171+(Geraetedaten!$B$172*(Geraetedaten!$B$18+d_y_Sw)/1000)-(Geraetedaten!$B$173*I210/1000))*10</f>
        <v>995.54274384176085</v>
      </c>
      <c r="N210" s="20">
        <f>IF((H210-J210)/(K210-J210)*(Geraetedaten!$B$174-Geraetedaten!$B$161)&lt;Geraetedaten!$B$174,(H210-J210)/(K210-J210)*(Geraetedaten!$B$174-Geraetedaten!$B$161),Geraetedaten!$B$174)</f>
        <v>241.08286572492955</v>
      </c>
      <c r="O210" s="20">
        <f>N210/Geraetedaten!$B$174*(M210-L210)+L210+C210</f>
        <v>851.39484162185408</v>
      </c>
      <c r="P210" s="20">
        <f t="shared" si="163"/>
        <v>244.88196178519146</v>
      </c>
      <c r="Q210" s="20"/>
      <c r="R210" s="21">
        <f>(N210-Geraetedaten!$B$161)/(Geraetedaten!$B$174-Geraetedaten!$B$161)*(Geraetedaten!$B$175-Geraetedaten!$B$162)+Geraetedaten!$B$162</f>
        <v>36.372215255316654</v>
      </c>
      <c r="S210" s="21">
        <f t="shared" si="164"/>
        <v>36.372215255316654</v>
      </c>
      <c r="T210" s="21">
        <f t="shared" si="165"/>
        <v>5.6898680357935891</v>
      </c>
      <c r="U210" s="88">
        <f t="shared" si="166"/>
        <v>-35.924412929292856</v>
      </c>
      <c r="V210" s="86">
        <f t="shared" si="167"/>
        <v>-67780.839200000002</v>
      </c>
      <c r="W210" s="85">
        <f t="shared" si="168"/>
        <v>-4225.3239992296285</v>
      </c>
      <c r="X210" s="85">
        <f t="shared" si="169"/>
        <v>-27084.151600935591</v>
      </c>
      <c r="Y210" s="90">
        <f t="shared" si="170"/>
        <v>4225.3239992296285</v>
      </c>
      <c r="Z210" s="86">
        <f t="shared" si="171"/>
        <v>8962.5352999999996</v>
      </c>
      <c r="AA210" s="85">
        <f t="shared" si="172"/>
        <v>-913.46204712425447</v>
      </c>
      <c r="AB210" s="85">
        <f t="shared" si="173"/>
        <v>931.27695000322672</v>
      </c>
      <c r="AC210" s="90">
        <f t="shared" si="174"/>
        <v>913.46204712425447</v>
      </c>
      <c r="AD210" s="86">
        <f t="shared" si="175"/>
        <v>66707.207150000002</v>
      </c>
      <c r="AE210" s="85">
        <f t="shared" si="176"/>
        <v>4140.4375383844126</v>
      </c>
      <c r="AF210" s="85">
        <f t="shared" si="177"/>
        <v>26399.661016228569</v>
      </c>
      <c r="AG210" s="90">
        <f t="shared" si="178"/>
        <v>4140.4375383844126</v>
      </c>
      <c r="AH210" s="86">
        <f t="shared" si="179"/>
        <v>-9277.2434200000007</v>
      </c>
      <c r="AI210" s="85">
        <f t="shared" si="180"/>
        <v>6238.0466047659793</v>
      </c>
      <c r="AJ210" s="85">
        <f t="shared" si="181"/>
        <v>-6303.8876151993773</v>
      </c>
      <c r="AK210" s="90">
        <f t="shared" si="182"/>
        <v>6238.0466047659793</v>
      </c>
      <c r="AM210" s="95">
        <f t="shared" si="147"/>
        <v>0</v>
      </c>
      <c r="AN210" s="95">
        <f t="shared" si="148"/>
        <v>0</v>
      </c>
      <c r="AO210" s="95">
        <f t="shared" si="149"/>
        <v>0</v>
      </c>
      <c r="AP210" s="95">
        <f t="shared" si="150"/>
        <v>0</v>
      </c>
      <c r="AQ210"/>
      <c r="AR210" s="95">
        <f t="shared" si="183"/>
        <v>0</v>
      </c>
      <c r="AS210" s="95">
        <f t="shared" si="184"/>
        <v>0</v>
      </c>
      <c r="AT210" s="95">
        <f>Geraetedaten!$B$94*ABS(SIN(RADIANS($A210)))</f>
        <v>24.090907616195572</v>
      </c>
      <c r="AU210" s="95">
        <f>Geraetedaten!$B$94*ABS(COS(RADIANS($A210)))</f>
        <v>152.10400445165121</v>
      </c>
      <c r="AV210" s="95">
        <f>((h_Aw_Sw+Geraetedaten!$B$18)/1000)*(AR210*AT210+AS210*AU210)/100</f>
        <v>0</v>
      </c>
      <c r="AX210" s="18">
        <f>(IF($X$19="ja",1,0))*Geraetedaten!$D$142*COS(RADIANS(2*A210))*(Geraetedaten!$B$154*r_K_D+r_K_SSw*F_SSw/10)/1000+Geraetedaten!$B$152</f>
        <v>594.79999999999995</v>
      </c>
      <c r="AY210" s="18">
        <f>(IF($X$19="ja",1,0))*Geraetedaten!$D$142*COS(RADIANS(2*A210))*(Geraetedaten!$B$157*r_K_D+r_K_SSw*F_SSw/10)/1000+Geraetedaten!$B$155</f>
        <v>537.4</v>
      </c>
      <c r="AZ210" s="201"/>
    </row>
    <row r="211" spans="1:52" ht="13.5" x14ac:dyDescent="0.25">
      <c r="A211" s="16">
        <v>172</v>
      </c>
      <c r="B211" s="16">
        <f t="shared" si="157"/>
        <v>278</v>
      </c>
      <c r="C211" s="19">
        <f t="shared" si="158"/>
        <v>38.499585548833139</v>
      </c>
      <c r="D211" s="17">
        <f t="shared" si="153"/>
        <v>-76252.559375548837</v>
      </c>
      <c r="E211" s="17">
        <f t="shared" si="159"/>
        <v>8894.4563244511683</v>
      </c>
      <c r="F211" s="17">
        <f t="shared" si="160"/>
        <v>74917.858034451157</v>
      </c>
      <c r="G211" s="17">
        <f t="shared" si="161"/>
        <v>-9293.6227355488318</v>
      </c>
      <c r="H211" s="17">
        <f t="shared" si="156"/>
        <v>8894.4563244511683</v>
      </c>
      <c r="I211" s="17">
        <f t="shared" si="162"/>
        <v>928.20342209331227</v>
      </c>
      <c r="J211" s="20">
        <f>(Geraetedaten!$B$152+(Geraetedaten!$B$153*(Geraetedaten!$B$18+d_y_Sw)/1000))*10</f>
        <v>6051.0442000000003</v>
      </c>
      <c r="K211" s="20">
        <f>(Geraetedaten!$B$165+(Geraetedaten!$B$166*(Geraetedaten!$B$18+d_y_Sw)/1000))*10</f>
        <v>10816.164000000001</v>
      </c>
      <c r="L211" s="20">
        <f>(Geraetedaten!$B$158+(Geraetedaten!$B$159*(Geraetedaten!$B$18+d_y_Sw)/1000)-(Geraetedaten!$B$160*I211/1000))*10</f>
        <v>533.4714430578972</v>
      </c>
      <c r="M211" s="20">
        <f>(Geraetedaten!$B$171+(Geraetedaten!$B$172*(Geraetedaten!$B$18+d_y_Sw)/1000)-(Geraetedaten!$B$173*I211/1000))*10</f>
        <v>995.77153725937478</v>
      </c>
      <c r="N211" s="20">
        <f>IF((H211-J211)/(K211-J211)*(Geraetedaten!$B$174-Geraetedaten!$B$161)&lt;Geraetedaten!$B$174,(H211-J211)/(K211-J211)*(Geraetedaten!$B$174-Geraetedaten!$B$161),Geraetedaten!$B$174)</f>
        <v>238.68546805065995</v>
      </c>
      <c r="O211" s="20">
        <f>N211/Geraetedaten!$B$174*(M211-L211)+L211+C211</f>
        <v>847.83181451759003</v>
      </c>
      <c r="P211" s="20">
        <f t="shared" si="163"/>
        <v>244.32765290192617</v>
      </c>
      <c r="Q211" s="20"/>
      <c r="R211" s="21">
        <f>(N211-Geraetedaten!$B$161)/(Geraetedaten!$B$174-Geraetedaten!$B$161)*(Geraetedaten!$B$175-Geraetedaten!$B$162)+Geraetedaten!$B$162</f>
        <v>36.300892674507132</v>
      </c>
      <c r="S211" s="21">
        <f t="shared" si="164"/>
        <v>36.300892674507132</v>
      </c>
      <c r="T211" s="21">
        <f t="shared" si="165"/>
        <v>5.0521078011296767</v>
      </c>
      <c r="U211" s="88">
        <f t="shared" si="166"/>
        <v>-35.947614882379199</v>
      </c>
      <c r="V211" s="86">
        <f t="shared" si="167"/>
        <v>-76214.059789999999</v>
      </c>
      <c r="W211" s="85">
        <f t="shared" si="168"/>
        <v>-4225.3239992296285</v>
      </c>
      <c r="X211" s="85">
        <f t="shared" si="169"/>
        <v>-30453.933206438294</v>
      </c>
      <c r="Y211" s="90">
        <f t="shared" si="170"/>
        <v>4225.3239992296285</v>
      </c>
      <c r="Z211" s="86">
        <f t="shared" si="171"/>
        <v>8932.9559100000006</v>
      </c>
      <c r="AA211" s="85">
        <f t="shared" si="172"/>
        <v>-913.46204712425447</v>
      </c>
      <c r="AB211" s="85">
        <f t="shared" si="173"/>
        <v>928.20342209331227</v>
      </c>
      <c r="AC211" s="90">
        <f t="shared" si="174"/>
        <v>913.46204712425447</v>
      </c>
      <c r="AD211" s="86">
        <f t="shared" si="175"/>
        <v>74956.357619999995</v>
      </c>
      <c r="AE211" s="85">
        <f t="shared" si="176"/>
        <v>4140.4375383844126</v>
      </c>
      <c r="AF211" s="85">
        <f t="shared" si="177"/>
        <v>29664.297407784146</v>
      </c>
      <c r="AG211" s="90">
        <f t="shared" si="178"/>
        <v>4140.4375383844126</v>
      </c>
      <c r="AH211" s="86">
        <f t="shared" si="179"/>
        <v>-9255.1231499999994</v>
      </c>
      <c r="AI211" s="85">
        <f t="shared" si="180"/>
        <v>6238.0466047659793</v>
      </c>
      <c r="AJ211" s="85">
        <f t="shared" si="181"/>
        <v>-6288.8568944866493</v>
      </c>
      <c r="AK211" s="90">
        <f t="shared" si="182"/>
        <v>6238.0466047659793</v>
      </c>
      <c r="AM211" s="95">
        <f t="shared" si="147"/>
        <v>0</v>
      </c>
      <c r="AN211" s="95">
        <f t="shared" si="148"/>
        <v>0</v>
      </c>
      <c r="AO211" s="95">
        <f t="shared" si="149"/>
        <v>0</v>
      </c>
      <c r="AP211" s="95">
        <f t="shared" si="150"/>
        <v>0</v>
      </c>
      <c r="AQ211"/>
      <c r="AR211" s="95">
        <f t="shared" si="183"/>
        <v>0</v>
      </c>
      <c r="AS211" s="95">
        <f t="shared" si="184"/>
        <v>0</v>
      </c>
      <c r="AT211" s="95">
        <f>Geraetedaten!$B$94*ABS(SIN(RADIANS($A211)))</f>
        <v>21.432657547850059</v>
      </c>
      <c r="AU211" s="95">
        <f>Geraetedaten!$B$94*ABS(COS(RADIANS($A211)))</f>
        <v>152.50128258620182</v>
      </c>
      <c r="AV211" s="95">
        <f>((h_Aw_Sw+Geraetedaten!$B$18)/1000)*(AR211*AT211+AS211*AU211)/100</f>
        <v>0</v>
      </c>
      <c r="AX211" s="18">
        <f>(IF($X$19="ja",1,0))*Geraetedaten!$D$142*COS(RADIANS(2*A211))*(Geraetedaten!$B$154*r_K_D+r_K_SSw*F_SSw/10)/1000+Geraetedaten!$B$152</f>
        <v>594.79999999999995</v>
      </c>
      <c r="AY211" s="18">
        <f>(IF($X$19="ja",1,0))*Geraetedaten!$D$142*COS(RADIANS(2*A211))*(Geraetedaten!$B$157*r_K_D+r_K_SSw*F_SSw/10)/1000+Geraetedaten!$B$155</f>
        <v>537.4</v>
      </c>
      <c r="AZ211" s="201"/>
    </row>
    <row r="212" spans="1:52" ht="13.5" x14ac:dyDescent="0.25">
      <c r="A212" s="16">
        <v>173</v>
      </c>
      <c r="B212" s="16">
        <f t="shared" si="157"/>
        <v>277</v>
      </c>
      <c r="C212" s="19">
        <f t="shared" si="158"/>
        <v>37.468186017463069</v>
      </c>
      <c r="D212" s="17">
        <f t="shared" si="153"/>
        <v>-87111.740916017457</v>
      </c>
      <c r="E212" s="17">
        <f t="shared" si="159"/>
        <v>8868.8069539825374</v>
      </c>
      <c r="F212" s="17">
        <f t="shared" si="160"/>
        <v>85525.894293982536</v>
      </c>
      <c r="G212" s="17">
        <f t="shared" si="161"/>
        <v>-9273.3829660174615</v>
      </c>
      <c r="H212" s="17">
        <f t="shared" si="156"/>
        <v>8868.8069539825374</v>
      </c>
      <c r="I212" s="17">
        <f t="shared" si="162"/>
        <v>925.43108278877708</v>
      </c>
      <c r="J212" s="20">
        <f>(Geraetedaten!$B$152+(Geraetedaten!$B$153*(Geraetedaten!$B$18+d_y_Sw)/1000))*10</f>
        <v>6051.0442000000003</v>
      </c>
      <c r="K212" s="20">
        <f>(Geraetedaten!$B$165+(Geraetedaten!$B$166*(Geraetedaten!$B$18+d_y_Sw)/1000))*10</f>
        <v>10816.164000000001</v>
      </c>
      <c r="L212" s="20">
        <f>(Geraetedaten!$B$158+(Geraetedaten!$B$159*(Geraetedaten!$B$18+d_y_Sw)/1000)-(Geraetedaten!$B$160*I212/1000))*10</f>
        <v>533.67473869909873</v>
      </c>
      <c r="M212" s="20">
        <f>(Geraetedaten!$B$171+(Geraetedaten!$B$172*(Geraetedaten!$B$18+d_y_Sw)/1000)-(Geraetedaten!$B$173*I212/1000))*10</f>
        <v>995.97791019720432</v>
      </c>
      <c r="N212" s="20">
        <f>IF((H212-J212)/(K212-J212)*(Geraetedaten!$B$174-Geraetedaten!$B$161)&lt;Geraetedaten!$B$174,(H212-J212)/(K212-J212)*(Geraetedaten!$B$174-Geraetedaten!$B$161),Geraetedaten!$B$174)</f>
        <v>236.53237460955646</v>
      </c>
      <c r="O212" s="20">
        <f>N212/Geraetedaten!$B$174*(M212-L212)+L212+C212</f>
        <v>844.51709207650163</v>
      </c>
      <c r="P212" s="20">
        <f t="shared" si="163"/>
        <v>243.79478583821029</v>
      </c>
      <c r="Q212" s="20"/>
      <c r="R212" s="21">
        <f>(N212-Geraetedaten!$B$161)/(Geraetedaten!$B$174-Geraetedaten!$B$161)*(Geraetedaten!$B$175-Geraetedaten!$B$162)+Geraetedaten!$B$162</f>
        <v>36.236838144634305</v>
      </c>
      <c r="S212" s="21">
        <f t="shared" si="164"/>
        <v>36.236838144634305</v>
      </c>
      <c r="T212" s="21">
        <f t="shared" si="165"/>
        <v>4.4161596717651879</v>
      </c>
      <c r="U212" s="88">
        <f t="shared" si="166"/>
        <v>-35.966734248106242</v>
      </c>
      <c r="V212" s="86">
        <f t="shared" si="167"/>
        <v>-87074.272729999997</v>
      </c>
      <c r="W212" s="85">
        <f t="shared" si="168"/>
        <v>-4225.3239992296285</v>
      </c>
      <c r="X212" s="85">
        <f t="shared" si="169"/>
        <v>-34793.502575301551</v>
      </c>
      <c r="Y212" s="90">
        <f t="shared" si="170"/>
        <v>4225.3239992296285</v>
      </c>
      <c r="Z212" s="86">
        <f t="shared" si="171"/>
        <v>8906.2751399999997</v>
      </c>
      <c r="AA212" s="85">
        <f t="shared" si="172"/>
        <v>-913.46204712425447</v>
      </c>
      <c r="AB212" s="85">
        <f t="shared" si="173"/>
        <v>925.43108278877708</v>
      </c>
      <c r="AC212" s="90">
        <f t="shared" si="174"/>
        <v>913.46204712425447</v>
      </c>
      <c r="AD212" s="86">
        <f t="shared" si="175"/>
        <v>85563.362479999996</v>
      </c>
      <c r="AE212" s="85">
        <f t="shared" si="176"/>
        <v>4140.4375383844126</v>
      </c>
      <c r="AF212" s="85">
        <f t="shared" si="177"/>
        <v>33862.064704251643</v>
      </c>
      <c r="AG212" s="90">
        <f t="shared" si="178"/>
        <v>4140.4375383844126</v>
      </c>
      <c r="AH212" s="86">
        <f t="shared" si="179"/>
        <v>-9235.9147799999992</v>
      </c>
      <c r="AI212" s="85">
        <f t="shared" si="180"/>
        <v>6238.0466047659793</v>
      </c>
      <c r="AJ212" s="85">
        <f t="shared" si="181"/>
        <v>-6275.8048041689963</v>
      </c>
      <c r="AK212" s="90">
        <f t="shared" si="182"/>
        <v>6238.0466047659793</v>
      </c>
      <c r="AM212" s="95">
        <f t="shared" si="147"/>
        <v>0</v>
      </c>
      <c r="AN212" s="95">
        <f t="shared" si="148"/>
        <v>0</v>
      </c>
      <c r="AO212" s="95">
        <f t="shared" si="149"/>
        <v>0</v>
      </c>
      <c r="AP212" s="95">
        <f t="shared" si="150"/>
        <v>0</v>
      </c>
      <c r="AQ212"/>
      <c r="AR212" s="95">
        <f t="shared" si="183"/>
        <v>0</v>
      </c>
      <c r="AS212" s="95">
        <f t="shared" si="184"/>
        <v>0</v>
      </c>
      <c r="AT212" s="95">
        <f>Geraetedaten!$B$94*ABS(SIN(RADIANS($A212)))</f>
        <v>18.767878884392722</v>
      </c>
      <c r="AU212" s="95">
        <f>Geraetedaten!$B$94*ABS(COS(RADIANS($A212)))</f>
        <v>152.8521073527636</v>
      </c>
      <c r="AV212" s="95">
        <f>((h_Aw_Sw+Geraetedaten!$B$18)/1000)*(AR212*AT212+AS212*AU212)/100</f>
        <v>0</v>
      </c>
      <c r="AX212" s="18">
        <f>(IF($X$19="ja",1,0))*Geraetedaten!$D$142*COS(RADIANS(2*A212))*(Geraetedaten!$B$154*r_K_D+r_K_SSw*F_SSw/10)/1000+Geraetedaten!$B$152</f>
        <v>594.79999999999995</v>
      </c>
      <c r="AY212" s="18">
        <f>(IF($X$19="ja",1,0))*Geraetedaten!$D$142*COS(RADIANS(2*A212))*(Geraetedaten!$B$157*r_K_D+r_K_SSw*F_SSw/10)/1000+Geraetedaten!$B$155</f>
        <v>537.4</v>
      </c>
      <c r="AZ212" s="201"/>
    </row>
    <row r="213" spans="1:52" ht="13.5" x14ac:dyDescent="0.25">
      <c r="A213" s="16">
        <v>174</v>
      </c>
      <c r="B213" s="16">
        <f t="shared" si="157"/>
        <v>276</v>
      </c>
      <c r="C213" s="19">
        <f t="shared" si="158"/>
        <v>36.42537331366961</v>
      </c>
      <c r="D213" s="17">
        <f t="shared" si="153"/>
        <v>-101616.39933331368</v>
      </c>
      <c r="E213" s="17">
        <f t="shared" si="159"/>
        <v>8846.0255166863299</v>
      </c>
      <c r="F213" s="17">
        <f t="shared" si="160"/>
        <v>99666.122876686335</v>
      </c>
      <c r="G213" s="17">
        <f t="shared" si="161"/>
        <v>-9256.0139033136711</v>
      </c>
      <c r="H213" s="17">
        <f t="shared" si="156"/>
        <v>8846.0255166863299</v>
      </c>
      <c r="I213" s="17">
        <f t="shared" si="162"/>
        <v>922.95555890054504</v>
      </c>
      <c r="J213" s="20">
        <f>(Geraetedaten!$B$152+(Geraetedaten!$B$153*(Geraetedaten!$B$18+d_y_Sw)/1000))*10</f>
        <v>6051.0442000000003</v>
      </c>
      <c r="K213" s="20">
        <f>(Geraetedaten!$B$165+(Geraetedaten!$B$166*(Geraetedaten!$B$18+d_y_Sw)/1000))*10</f>
        <v>10816.164000000001</v>
      </c>
      <c r="L213" s="20">
        <f>(Geraetedaten!$B$158+(Geraetedaten!$B$159*(Geraetedaten!$B$18+d_y_Sw)/1000)-(Geraetedaten!$B$160*I213/1000))*10</f>
        <v>533.85626886582281</v>
      </c>
      <c r="M213" s="20">
        <f>(Geraetedaten!$B$171+(Geraetedaten!$B$172*(Geraetedaten!$B$18+d_y_Sw)/1000)-(Geraetedaten!$B$173*I213/1000))*10</f>
        <v>996.1621881954444</v>
      </c>
      <c r="N213" s="20">
        <f>IF((H213-J213)/(K213-J213)*(Geraetedaten!$B$174-Geraetedaten!$B$161)&lt;Geraetedaten!$B$174,(H213-J213)/(K213-J213)*(Geraetedaten!$B$174-Geraetedaten!$B$161),Geraetedaten!$B$174)</f>
        <v>234.62002501480274</v>
      </c>
      <c r="O213" s="20">
        <f>N213/Geraetedaten!$B$174*(M213-L213)+L213+C213</f>
        <v>841.44720807351041</v>
      </c>
      <c r="P213" s="20">
        <f t="shared" si="163"/>
        <v>243.28348682905931</v>
      </c>
      <c r="Q213" s="20"/>
      <c r="R213" s="21">
        <f>(N213-Geraetedaten!$B$161)/(Geraetedaten!$B$174-Geraetedaten!$B$161)*(Geraetedaten!$B$175-Geraetedaten!$B$162)+Geraetedaten!$B$162</f>
        <v>36.179945744190384</v>
      </c>
      <c r="S213" s="21">
        <f t="shared" si="164"/>
        <v>36.179945744190384</v>
      </c>
      <c r="T213" s="21">
        <f t="shared" si="165"/>
        <v>3.7818341297473097</v>
      </c>
      <c r="U213" s="88">
        <f t="shared" si="166"/>
        <v>-35.981748215833512</v>
      </c>
      <c r="V213" s="86">
        <f t="shared" si="167"/>
        <v>-101579.97396</v>
      </c>
      <c r="W213" s="85">
        <f t="shared" si="168"/>
        <v>-4225.3239992296285</v>
      </c>
      <c r="X213" s="85">
        <f t="shared" si="169"/>
        <v>-40589.751426766838</v>
      </c>
      <c r="Y213" s="90">
        <f t="shared" si="170"/>
        <v>4225.3239992296285</v>
      </c>
      <c r="Z213" s="86">
        <f t="shared" si="171"/>
        <v>8882.4508900000001</v>
      </c>
      <c r="AA213" s="85">
        <f t="shared" si="172"/>
        <v>-913.46204712425447</v>
      </c>
      <c r="AB213" s="85">
        <f t="shared" si="173"/>
        <v>922.95555890054504</v>
      </c>
      <c r="AC213" s="90">
        <f t="shared" si="174"/>
        <v>913.46204712425447</v>
      </c>
      <c r="AD213" s="86">
        <f t="shared" si="175"/>
        <v>99702.548250000007</v>
      </c>
      <c r="AE213" s="85">
        <f t="shared" si="176"/>
        <v>4140.4375383844126</v>
      </c>
      <c r="AF213" s="85">
        <f t="shared" si="177"/>
        <v>39457.707624831652</v>
      </c>
      <c r="AG213" s="90">
        <f t="shared" si="178"/>
        <v>4140.4375383844126</v>
      </c>
      <c r="AH213" s="86">
        <f t="shared" si="179"/>
        <v>-9219.5885300000009</v>
      </c>
      <c r="AI213" s="85">
        <f t="shared" si="180"/>
        <v>6238.0466047659793</v>
      </c>
      <c r="AJ213" s="85">
        <f t="shared" si="181"/>
        <v>-6264.7111184445321</v>
      </c>
      <c r="AK213" s="90">
        <f t="shared" si="182"/>
        <v>6238.0466047659793</v>
      </c>
      <c r="AM213" s="95">
        <f t="shared" si="147"/>
        <v>0</v>
      </c>
      <c r="AN213" s="95">
        <f t="shared" si="148"/>
        <v>0</v>
      </c>
      <c r="AO213" s="95">
        <f t="shared" si="149"/>
        <v>0</v>
      </c>
      <c r="AP213" s="95">
        <f t="shared" si="150"/>
        <v>0</v>
      </c>
      <c r="AQ213"/>
      <c r="AR213" s="95">
        <f t="shared" si="183"/>
        <v>0</v>
      </c>
      <c r="AS213" s="95">
        <f t="shared" si="184"/>
        <v>0</v>
      </c>
      <c r="AT213" s="95">
        <f>Geraetedaten!$B$94*ABS(SIN(RADIANS($A213)))</f>
        <v>16.097383343218674</v>
      </c>
      <c r="AU213" s="95">
        <f>Geraetedaten!$B$94*ABS(COS(RADIANS($A213)))</f>
        <v>153.15637188671408</v>
      </c>
      <c r="AV213" s="95">
        <f>((h_Aw_Sw+Geraetedaten!$B$18)/1000)*(AR213*AT213+AS213*AU213)/100</f>
        <v>0</v>
      </c>
      <c r="AX213" s="18">
        <f>(IF($X$19="ja",1,0))*Geraetedaten!$D$142*COS(RADIANS(2*A213))*(Geraetedaten!$B$154*r_K_D+r_K_SSw*F_SSw/10)/1000+Geraetedaten!$B$152</f>
        <v>594.79999999999995</v>
      </c>
      <c r="AY213" s="18">
        <f>(IF($X$19="ja",1,0))*Geraetedaten!$D$142*COS(RADIANS(2*A213))*(Geraetedaten!$B$157*r_K_D+r_K_SSw*F_SSw/10)/1000+Geraetedaten!$B$155</f>
        <v>537.4</v>
      </c>
      <c r="AZ213" s="201"/>
    </row>
    <row r="214" spans="1:52" ht="13.5" x14ac:dyDescent="0.25">
      <c r="A214" s="16">
        <v>175</v>
      </c>
      <c r="B214" s="16">
        <f t="shared" si="157"/>
        <v>275</v>
      </c>
      <c r="C214" s="19">
        <f t="shared" si="158"/>
        <v>35.371465088304269</v>
      </c>
      <c r="D214" s="17">
        <f t="shared" si="153"/>
        <v>-121964.68862508831</v>
      </c>
      <c r="E214" s="17">
        <f t="shared" si="159"/>
        <v>8826.0743849116952</v>
      </c>
      <c r="F214" s="17">
        <f t="shared" si="160"/>
        <v>119447.9717849117</v>
      </c>
      <c r="G214" s="17">
        <f t="shared" si="161"/>
        <v>-9241.4906950883051</v>
      </c>
      <c r="H214" s="17">
        <f t="shared" si="156"/>
        <v>8826.0743849116952</v>
      </c>
      <c r="I214" s="17">
        <f t="shared" si="162"/>
        <v>920.7729718047018</v>
      </c>
      <c r="J214" s="20">
        <f>(Geraetedaten!$B$152+(Geraetedaten!$B$153*(Geraetedaten!$B$18+d_y_Sw)/1000))*10</f>
        <v>6051.0442000000003</v>
      </c>
      <c r="K214" s="20">
        <f>(Geraetedaten!$B$165+(Geraetedaten!$B$166*(Geraetedaten!$B$18+d_y_Sw)/1000))*10</f>
        <v>10816.164000000001</v>
      </c>
      <c r="L214" s="20">
        <f>(Geraetedaten!$B$158+(Geraetedaten!$B$159*(Geraetedaten!$B$18+d_y_Sw)/1000)-(Geraetedaten!$B$160*I214/1000))*10</f>
        <v>534.0163179775609</v>
      </c>
      <c r="M214" s="20">
        <f>(Geraetedaten!$B$171+(Geraetedaten!$B$172*(Geraetedaten!$B$18+d_y_Sw)/1000)-(Geraetedaten!$B$173*I214/1000))*10</f>
        <v>996.32465997885902</v>
      </c>
      <c r="N214" s="20">
        <f>IF((H214-J214)/(K214-J214)*(Geraetedaten!$B$174-Geraetedaten!$B$161)&lt;Geraetedaten!$B$174,(H214-J214)/(K214-J214)*(Geraetedaten!$B$174-Geraetedaten!$B$161),Geraetedaten!$B$174)</f>
        <v>232.9452606762747</v>
      </c>
      <c r="O214" s="20">
        <f>N214/Geraetedaten!$B$174*(M214-L214)+L214+C214</f>
        <v>838.6191261666371</v>
      </c>
      <c r="P214" s="20">
        <f t="shared" si="163"/>
        <v>242.79389712493136</v>
      </c>
      <c r="Q214" s="20"/>
      <c r="R214" s="21">
        <f>(N214-Geraetedaten!$B$161)/(Geraetedaten!$B$174-Geraetedaten!$B$161)*(Geraetedaten!$B$175-Geraetedaten!$B$162)+Geraetedaten!$B$162</f>
        <v>36.13012150511917</v>
      </c>
      <c r="S214" s="21">
        <f t="shared" si="164"/>
        <v>36.13012150511917</v>
      </c>
      <c r="T214" s="21">
        <f t="shared" si="165"/>
        <v>3.1489475753417997</v>
      </c>
      <c r="U214" s="88">
        <f t="shared" si="166"/>
        <v>-35.992635484810272</v>
      </c>
      <c r="V214" s="86">
        <f t="shared" si="167"/>
        <v>-121929.31716000001</v>
      </c>
      <c r="W214" s="85">
        <f t="shared" si="168"/>
        <v>-4225.3239992296285</v>
      </c>
      <c r="X214" s="85">
        <f t="shared" si="169"/>
        <v>-48721.027206096966</v>
      </c>
      <c r="Y214" s="90">
        <f t="shared" si="170"/>
        <v>4225.3239992296285</v>
      </c>
      <c r="Z214" s="86">
        <f t="shared" si="171"/>
        <v>8861.4458500000001</v>
      </c>
      <c r="AA214" s="85">
        <f t="shared" si="172"/>
        <v>-913.46204712425447</v>
      </c>
      <c r="AB214" s="85">
        <f t="shared" si="173"/>
        <v>920.7729718047018</v>
      </c>
      <c r="AC214" s="90">
        <f t="shared" si="174"/>
        <v>913.46204712425447</v>
      </c>
      <c r="AD214" s="86">
        <f t="shared" si="175"/>
        <v>119483.34325000001</v>
      </c>
      <c r="AE214" s="85">
        <f t="shared" si="176"/>
        <v>4140.4375383844126</v>
      </c>
      <c r="AF214" s="85">
        <f t="shared" si="177"/>
        <v>47286.041397308465</v>
      </c>
      <c r="AG214" s="90">
        <f t="shared" si="178"/>
        <v>4140.4375383844126</v>
      </c>
      <c r="AH214" s="86">
        <f t="shared" si="179"/>
        <v>-9206.1192300000002</v>
      </c>
      <c r="AI214" s="85">
        <f t="shared" si="180"/>
        <v>6238.0466047659793</v>
      </c>
      <c r="AJ214" s="85">
        <f t="shared" si="181"/>
        <v>-6255.558725324745</v>
      </c>
      <c r="AK214" s="90">
        <f t="shared" si="182"/>
        <v>6238.0466047659793</v>
      </c>
      <c r="AM214" s="95">
        <f t="shared" si="147"/>
        <v>0</v>
      </c>
      <c r="AN214" s="95">
        <f t="shared" si="148"/>
        <v>0</v>
      </c>
      <c r="AO214" s="95">
        <f t="shared" si="149"/>
        <v>0</v>
      </c>
      <c r="AP214" s="95">
        <f t="shared" si="150"/>
        <v>0</v>
      </c>
      <c r="AQ214"/>
      <c r="AR214" s="95">
        <f t="shared" si="183"/>
        <v>0</v>
      </c>
      <c r="AS214" s="95">
        <f t="shared" si="184"/>
        <v>0</v>
      </c>
      <c r="AT214" s="95">
        <f>Geraetedaten!$B$94*ABS(SIN(RADIANS($A214)))</f>
        <v>13.421984383139362</v>
      </c>
      <c r="AU214" s="95">
        <f>Geraetedaten!$B$94*ABS(COS(RADIANS($A214)))</f>
        <v>153.4139835061288</v>
      </c>
      <c r="AV214" s="95">
        <f>((h_Aw_Sw+Geraetedaten!$B$18)/1000)*(AR214*AT214+AS214*AU214)/100</f>
        <v>0</v>
      </c>
      <c r="AX214" s="18">
        <f>(IF($X$19="ja",1,0))*Geraetedaten!$D$142*COS(RADIANS(2*A214))*(Geraetedaten!$B$154*r_K_D+r_K_SSw*F_SSw/10)/1000+Geraetedaten!$B$152</f>
        <v>594.79999999999995</v>
      </c>
      <c r="AY214" s="18">
        <f>(IF($X$19="ja",1,0))*Geraetedaten!$D$142*COS(RADIANS(2*A214))*(Geraetedaten!$B$157*r_K_D+r_K_SSw*F_SSw/10)/1000+Geraetedaten!$B$155</f>
        <v>537.4</v>
      </c>
      <c r="AZ214" s="201"/>
    </row>
    <row r="215" spans="1:52" ht="13.5" x14ac:dyDescent="0.25">
      <c r="A215" s="16">
        <v>176</v>
      </c>
      <c r="B215" s="16">
        <f t="shared" si="157"/>
        <v>274</v>
      </c>
      <c r="C215" s="19">
        <f t="shared" si="158"/>
        <v>34.306782372021978</v>
      </c>
      <c r="D215" s="17">
        <f t="shared" si="153"/>
        <v>-152566.62663237203</v>
      </c>
      <c r="E215" s="17">
        <f t="shared" si="159"/>
        <v>8808.9205076279795</v>
      </c>
      <c r="F215" s="17">
        <f t="shared" si="160"/>
        <v>149078.06760762798</v>
      </c>
      <c r="G215" s="17">
        <f t="shared" si="161"/>
        <v>-9229.7929523720213</v>
      </c>
      <c r="H215" s="17">
        <f t="shared" si="156"/>
        <v>8808.9205076279795</v>
      </c>
      <c r="I215" s="17">
        <f t="shared" si="162"/>
        <v>918.87992241935581</v>
      </c>
      <c r="J215" s="20">
        <f>(Geraetedaten!$B$152+(Geraetedaten!$B$153*(Geraetedaten!$B$18+d_y_Sw)/1000))*10</f>
        <v>6051.0442000000003</v>
      </c>
      <c r="K215" s="20">
        <f>(Geraetedaten!$B$165+(Geraetedaten!$B$166*(Geraetedaten!$B$18+d_y_Sw)/1000))*10</f>
        <v>10816.164000000001</v>
      </c>
      <c r="L215" s="20">
        <f>(Geraetedaten!$B$158+(Geraetedaten!$B$159*(Geraetedaten!$B$18+d_y_Sw)/1000)-(Geraetedaten!$B$160*I215/1000))*10</f>
        <v>534.15513528898839</v>
      </c>
      <c r="M215" s="20">
        <f>(Geraetedaten!$B$171+(Geraetedaten!$B$172*(Geraetedaten!$B$18+d_y_Sw)/1000)-(Geraetedaten!$B$173*I215/1000))*10</f>
        <v>996.46557857510413</v>
      </c>
      <c r="N215" s="20">
        <f>IF((H215-J215)/(K215-J215)*(Geraetedaten!$B$174-Geraetedaten!$B$161)&lt;Geraetedaten!$B$174,(H215-J215)/(K215-J215)*(Geraetedaten!$B$174-Geraetedaten!$B$161),Geraetedaten!$B$174)</f>
        <v>231.50530718056484</v>
      </c>
      <c r="O215" s="20">
        <f>N215/Geraetedaten!$B$174*(M215-L215)+L215+C215</f>
        <v>836.03022062534876</v>
      </c>
      <c r="P215" s="20">
        <f t="shared" si="163"/>
        <v>242.32617214368364</v>
      </c>
      <c r="Q215" s="20"/>
      <c r="R215" s="21">
        <f>(N215-Geraetedaten!$B$161)/(Geraetedaten!$B$174-Geraetedaten!$B$161)*(Geraetedaten!$B$175-Geraetedaten!$B$162)+Geraetedaten!$B$162</f>
        <v>36.087282888621807</v>
      </c>
      <c r="S215" s="21">
        <f t="shared" si="164"/>
        <v>36.087282888621807</v>
      </c>
      <c r="T215" s="21">
        <f t="shared" si="165"/>
        <v>2.5173216013169775</v>
      </c>
      <c r="U215" s="88">
        <f t="shared" si="166"/>
        <v>-35.999376081245622</v>
      </c>
      <c r="V215" s="86">
        <f t="shared" si="167"/>
        <v>-152532.31985</v>
      </c>
      <c r="W215" s="85">
        <f t="shared" si="168"/>
        <v>-4225.3239992296285</v>
      </c>
      <c r="X215" s="85">
        <f t="shared" si="169"/>
        <v>-60949.50319347484</v>
      </c>
      <c r="Y215" s="90">
        <f t="shared" si="170"/>
        <v>4225.3239992296285</v>
      </c>
      <c r="Z215" s="86">
        <f t="shared" si="171"/>
        <v>8843.2272900000007</v>
      </c>
      <c r="AA215" s="85">
        <f t="shared" si="172"/>
        <v>-913.46204712425447</v>
      </c>
      <c r="AB215" s="85">
        <f t="shared" si="173"/>
        <v>918.87992241935581</v>
      </c>
      <c r="AC215" s="90">
        <f t="shared" si="174"/>
        <v>913.46204712425447</v>
      </c>
      <c r="AD215" s="86">
        <f t="shared" si="175"/>
        <v>149112.37439000001</v>
      </c>
      <c r="AE215" s="85">
        <f t="shared" si="176"/>
        <v>4140.4375383844126</v>
      </c>
      <c r="AF215" s="85">
        <f t="shared" si="177"/>
        <v>59011.856516921762</v>
      </c>
      <c r="AG215" s="90">
        <f t="shared" si="178"/>
        <v>4140.4375383844126</v>
      </c>
      <c r="AH215" s="86">
        <f t="shared" si="179"/>
        <v>-9195.4861700000001</v>
      </c>
      <c r="AI215" s="85">
        <f t="shared" si="180"/>
        <v>6238.0466047659793</v>
      </c>
      <c r="AJ215" s="85">
        <f t="shared" si="181"/>
        <v>-6248.3335618325391</v>
      </c>
      <c r="AK215" s="90">
        <f t="shared" si="182"/>
        <v>6238.0466047659793</v>
      </c>
      <c r="AM215" s="95">
        <f t="shared" si="147"/>
        <v>0</v>
      </c>
      <c r="AN215" s="95">
        <f t="shared" si="148"/>
        <v>0</v>
      </c>
      <c r="AO215" s="95">
        <f t="shared" si="149"/>
        <v>0</v>
      </c>
      <c r="AP215" s="95">
        <f t="shared" si="150"/>
        <v>0</v>
      </c>
      <c r="AQ215"/>
      <c r="AR215" s="95">
        <f t="shared" si="183"/>
        <v>0</v>
      </c>
      <c r="AS215" s="95">
        <f t="shared" si="184"/>
        <v>0</v>
      </c>
      <c r="AT215" s="95">
        <f>Geraetedaten!$B$94*ABS(SIN(RADIANS($A215)))</f>
        <v>10.74249695659533</v>
      </c>
      <c r="AU215" s="95">
        <f>Geraetedaten!$B$94*ABS(COS(RADIANS($A215)))</f>
        <v>153.62486374001293</v>
      </c>
      <c r="AV215" s="95">
        <f>((h_Aw_Sw+Geraetedaten!$B$18)/1000)*(AR215*AT215+AS215*AU215)/100</f>
        <v>0</v>
      </c>
      <c r="AX215" s="18">
        <f>(IF($X$19="ja",1,0))*Geraetedaten!$D$142*COS(RADIANS(2*A215))*(Geraetedaten!$B$154*r_K_D+r_K_SSw*F_SSw/10)/1000+Geraetedaten!$B$152</f>
        <v>594.79999999999995</v>
      </c>
      <c r="AY215" s="18">
        <f>(IF($X$19="ja",1,0))*Geraetedaten!$D$142*COS(RADIANS(2*A215))*(Geraetedaten!$B$157*r_K_D+r_K_SSw*F_SSw/10)/1000+Geraetedaten!$B$155</f>
        <v>537.4</v>
      </c>
      <c r="AZ215" s="201"/>
    </row>
    <row r="216" spans="1:52" ht="13.5" x14ac:dyDescent="0.25">
      <c r="A216" s="16">
        <v>177</v>
      </c>
      <c r="B216" s="16">
        <f t="shared" si="157"/>
        <v>273</v>
      </c>
      <c r="C216" s="19">
        <f t="shared" si="158"/>
        <v>33.231649477491878</v>
      </c>
      <c r="D216" s="17">
        <f t="shared" si="153"/>
        <v>-203761.24088947751</v>
      </c>
      <c r="E216" s="17">
        <f t="shared" si="159"/>
        <v>8794.5353505225085</v>
      </c>
      <c r="F216" s="17">
        <f t="shared" si="160"/>
        <v>198328.58457052251</v>
      </c>
      <c r="G216" s="17">
        <f t="shared" si="161"/>
        <v>-9220.9047194774921</v>
      </c>
      <c r="H216" s="17">
        <f t="shared" si="156"/>
        <v>8794.5353505225085</v>
      </c>
      <c r="I216" s="17">
        <f t="shared" si="162"/>
        <v>917.27347815278517</v>
      </c>
      <c r="J216" s="20">
        <f>(Geraetedaten!$B$152+(Geraetedaten!$B$153*(Geraetedaten!$B$18+d_y_Sw)/1000))*10</f>
        <v>6051.0442000000003</v>
      </c>
      <c r="K216" s="20">
        <f>(Geraetedaten!$B$165+(Geraetedaten!$B$166*(Geraetedaten!$B$18+d_y_Sw)/1000))*10</f>
        <v>10816.164000000001</v>
      </c>
      <c r="L216" s="20">
        <f>(Geraetedaten!$B$158+(Geraetedaten!$B$159*(Geraetedaten!$B$18+d_y_Sw)/1000)-(Geraetedaten!$B$160*I216/1000))*10</f>
        <v>534.27293584705603</v>
      </c>
      <c r="M216" s="20">
        <f>(Geraetedaten!$B$171+(Geraetedaten!$B$172*(Geraetedaten!$B$18+d_y_Sw)/1000)-(Geraetedaten!$B$173*I216/1000))*10</f>
        <v>996.58516228630765</v>
      </c>
      <c r="N216" s="20">
        <f>IF((H216-J216)/(K216-J216)*(Geraetedaten!$B$174-Geraetedaten!$B$161)&lt;Geraetedaten!$B$174,(H216-J216)/(K216-J216)*(Geraetedaten!$B$174-Geraetedaten!$B$161),Geraetedaten!$B$174)</f>
        <v>230.29776926259089</v>
      </c>
      <c r="O216" s="20">
        <f>N216/Geraetedaten!$B$174*(M216-L216)+L216+C216</f>
        <v>833.67827145400145</v>
      </c>
      <c r="P216" s="20">
        <f t="shared" si="163"/>
        <v>241.88048204741904</v>
      </c>
      <c r="Q216" s="20"/>
      <c r="R216" s="21">
        <f>(N216-Geraetedaten!$B$161)/(Geraetedaten!$B$174-Geraetedaten!$B$161)*(Geraetedaten!$B$175-Geraetedaten!$B$162)+Geraetedaten!$B$162</f>
        <v>36.051358635562082</v>
      </c>
      <c r="S216" s="21">
        <f t="shared" si="164"/>
        <v>36.051358635562082</v>
      </c>
      <c r="T216" s="21">
        <f t="shared" si="165"/>
        <v>1.8867823280494513</v>
      </c>
      <c r="U216" s="88">
        <f t="shared" si="166"/>
        <v>-36.001951501501651</v>
      </c>
      <c r="V216" s="86">
        <f t="shared" si="167"/>
        <v>-203728.00924000001</v>
      </c>
      <c r="W216" s="85">
        <f t="shared" si="168"/>
        <v>-4225.3239992296285</v>
      </c>
      <c r="X216" s="85">
        <f t="shared" si="169"/>
        <v>-81406.491171892034</v>
      </c>
      <c r="Y216" s="90">
        <f t="shared" si="170"/>
        <v>4225.3239992296285</v>
      </c>
      <c r="Z216" s="86">
        <f t="shared" si="171"/>
        <v>8827.7669999999998</v>
      </c>
      <c r="AA216" s="85">
        <f t="shared" si="172"/>
        <v>-913.46204712425447</v>
      </c>
      <c r="AB216" s="85">
        <f t="shared" si="173"/>
        <v>917.27347815278517</v>
      </c>
      <c r="AC216" s="90">
        <f t="shared" si="174"/>
        <v>913.46204712425447</v>
      </c>
      <c r="AD216" s="86">
        <f t="shared" si="175"/>
        <v>198361.81622000001</v>
      </c>
      <c r="AE216" s="85">
        <f t="shared" si="176"/>
        <v>4140.4375383844126</v>
      </c>
      <c r="AF216" s="85">
        <f t="shared" si="177"/>
        <v>78502.532635588344</v>
      </c>
      <c r="AG216" s="90">
        <f t="shared" si="178"/>
        <v>4140.4375383844126</v>
      </c>
      <c r="AH216" s="86">
        <f t="shared" si="179"/>
        <v>-9187.6730700000007</v>
      </c>
      <c r="AI216" s="85">
        <f t="shared" si="180"/>
        <v>6238.0466047659793</v>
      </c>
      <c r="AJ216" s="85">
        <f t="shared" si="181"/>
        <v>-6243.0245610452102</v>
      </c>
      <c r="AK216" s="90">
        <f t="shared" si="182"/>
        <v>6238.0466047659793</v>
      </c>
      <c r="AM216" s="95">
        <f t="shared" si="147"/>
        <v>0</v>
      </c>
      <c r="AN216" s="95">
        <f t="shared" si="148"/>
        <v>0</v>
      </c>
      <c r="AO216" s="95">
        <f t="shared" si="149"/>
        <v>0</v>
      </c>
      <c r="AP216" s="95">
        <f t="shared" si="150"/>
        <v>0</v>
      </c>
      <c r="AQ216"/>
      <c r="AR216" s="95">
        <f t="shared" si="183"/>
        <v>0</v>
      </c>
      <c r="AS216" s="95">
        <f t="shared" si="184"/>
        <v>0</v>
      </c>
      <c r="AT216" s="95">
        <f>Geraetedaten!$B$94*ABS(SIN(RADIANS($A216)))</f>
        <v>8.0597372614133462</v>
      </c>
      <c r="AU216" s="95">
        <f>Geraetedaten!$B$94*ABS(COS(RADIANS($A216)))</f>
        <v>153.78894835220436</v>
      </c>
      <c r="AV216" s="95">
        <f>((h_Aw_Sw+Geraetedaten!$B$18)/1000)*(AR216*AT216+AS216*AU216)/100</f>
        <v>0</v>
      </c>
      <c r="AX216" s="18">
        <f>(IF($X$19="ja",1,0))*Geraetedaten!$D$142*COS(RADIANS(2*A216))*(Geraetedaten!$B$154*r_K_D+r_K_SSw*F_SSw/10)/1000+Geraetedaten!$B$152</f>
        <v>594.79999999999995</v>
      </c>
      <c r="AY216" s="18">
        <f>(IF($X$19="ja",1,0))*Geraetedaten!$D$142*COS(RADIANS(2*A216))*(Geraetedaten!$B$157*r_K_D+r_K_SSw*F_SSw/10)/1000+Geraetedaten!$B$155</f>
        <v>537.4</v>
      </c>
      <c r="AZ216" s="201"/>
    </row>
    <row r="217" spans="1:52" ht="13.5" x14ac:dyDescent="0.25">
      <c r="A217" s="16">
        <v>178</v>
      </c>
      <c r="B217" s="16">
        <f t="shared" si="157"/>
        <v>272</v>
      </c>
      <c r="C217" s="19">
        <f t="shared" si="158"/>
        <v>32.14639390060875</v>
      </c>
      <c r="D217" s="17">
        <f t="shared" si="153"/>
        <v>-306825.06213390065</v>
      </c>
      <c r="E217" s="17">
        <f t="shared" si="159"/>
        <v>8782.8947360993916</v>
      </c>
      <c r="F217" s="17">
        <f t="shared" si="160"/>
        <v>296290.62265609938</v>
      </c>
      <c r="G217" s="17">
        <f t="shared" si="161"/>
        <v>-9214.8143939006077</v>
      </c>
      <c r="H217" s="17">
        <f t="shared" si="156"/>
        <v>8782.8947360993916</v>
      </c>
      <c r="I217" s="17">
        <f t="shared" si="162"/>
        <v>915.95116172863004</v>
      </c>
      <c r="J217" s="20">
        <f>(Geraetedaten!$B$152+(Geraetedaten!$B$153*(Geraetedaten!$B$18+d_y_Sw)/1000))*10</f>
        <v>6051.0442000000003</v>
      </c>
      <c r="K217" s="20">
        <f>(Geraetedaten!$B$165+(Geraetedaten!$B$166*(Geraetedaten!$B$18+d_y_Sw)/1000))*10</f>
        <v>10816.164000000001</v>
      </c>
      <c r="L217" s="20">
        <f>(Geraetedaten!$B$158+(Geraetedaten!$B$159*(Geraetedaten!$B$18+d_y_Sw)/1000)-(Geraetedaten!$B$160*I217/1000))*10</f>
        <v>534.36990131043922</v>
      </c>
      <c r="M217" s="20">
        <f>(Geraetedaten!$B$171+(Geraetedaten!$B$172*(Geraetedaten!$B$18+d_y_Sw)/1000)-(Geraetedaten!$B$173*I217/1000))*10</f>
        <v>996.6835955209217</v>
      </c>
      <c r="N217" s="20">
        <f>IF((H217-J217)/(K217-J217)*(Geraetedaten!$B$174-Geraetedaten!$B$161)&lt;Geraetedaten!$B$174,(H217-J217)/(K217-J217)*(Geraetedaten!$B$174-Geraetedaten!$B$161),Geraetedaten!$B$174)</f>
        <v>229.32061738295778</v>
      </c>
      <c r="O217" s="20">
        <f>N217/Geraetedaten!$B$174*(M217-L217)+L217+C217</f>
        <v>831.56144966340742</v>
      </c>
      <c r="P217" s="20">
        <f t="shared" si="163"/>
        <v>241.45701104597654</v>
      </c>
      <c r="Q217" s="20"/>
      <c r="R217" s="21">
        <f>(N217-Geraetedaten!$B$161)/(Geraetedaten!$B$174-Geraetedaten!$B$161)*(Geraetedaten!$B$175-Geraetedaten!$B$162)+Geraetedaten!$B$162</f>
        <v>36.022288367142991</v>
      </c>
      <c r="S217" s="21">
        <f t="shared" si="164"/>
        <v>36.022288367142991</v>
      </c>
      <c r="T217" s="21">
        <f t="shared" si="165"/>
        <v>1.2571597340856522</v>
      </c>
      <c r="U217" s="88">
        <f t="shared" si="166"/>
        <v>-36.000344562359388</v>
      </c>
      <c r="V217" s="86">
        <f t="shared" si="167"/>
        <v>-306792.91574000003</v>
      </c>
      <c r="W217" s="85">
        <f t="shared" si="168"/>
        <v>-4225.3239992296285</v>
      </c>
      <c r="X217" s="85">
        <f t="shared" si="169"/>
        <v>-122589.59816065973</v>
      </c>
      <c r="Y217" s="90">
        <f t="shared" si="170"/>
        <v>4225.3239992296285</v>
      </c>
      <c r="Z217" s="86">
        <f t="shared" si="171"/>
        <v>8815.0411299999996</v>
      </c>
      <c r="AA217" s="85">
        <f t="shared" si="172"/>
        <v>-913.46204712425447</v>
      </c>
      <c r="AB217" s="85">
        <f t="shared" si="173"/>
        <v>915.95116172863004</v>
      </c>
      <c r="AC217" s="90">
        <f t="shared" si="174"/>
        <v>913.46204712425447</v>
      </c>
      <c r="AD217" s="86">
        <f t="shared" si="175"/>
        <v>296322.76905</v>
      </c>
      <c r="AE217" s="85">
        <f t="shared" si="176"/>
        <v>4140.4375383844126</v>
      </c>
      <c r="AF217" s="85">
        <f t="shared" si="177"/>
        <v>117270.99646192855</v>
      </c>
      <c r="AG217" s="90">
        <f t="shared" si="178"/>
        <v>4140.4375383844126</v>
      </c>
      <c r="AH217" s="86">
        <f t="shared" si="179"/>
        <v>-9182.6679999999997</v>
      </c>
      <c r="AI217" s="85">
        <f t="shared" si="180"/>
        <v>6238.0466047659793</v>
      </c>
      <c r="AJ217" s="85">
        <f t="shared" si="181"/>
        <v>-6239.6236106095403</v>
      </c>
      <c r="AK217" s="90">
        <f t="shared" si="182"/>
        <v>6238.0466047659793</v>
      </c>
      <c r="AM217" s="95">
        <f t="shared" si="147"/>
        <v>0</v>
      </c>
      <c r="AN217" s="95">
        <f t="shared" si="148"/>
        <v>0</v>
      </c>
      <c r="AO217" s="95">
        <f t="shared" si="149"/>
        <v>0</v>
      </c>
      <c r="AP217" s="95">
        <f t="shared" si="150"/>
        <v>0</v>
      </c>
      <c r="AQ217"/>
      <c r="AR217" s="95">
        <f t="shared" si="183"/>
        <v>0</v>
      </c>
      <c r="AS217" s="95">
        <f t="shared" si="184"/>
        <v>0</v>
      </c>
      <c r="AT217" s="95">
        <f>Geraetedaten!$B$94*ABS(SIN(RADIANS($A217)))</f>
        <v>5.374522492185176</v>
      </c>
      <c r="AU217" s="95">
        <f>Geraetedaten!$B$94*ABS(COS(RADIANS($A217)))</f>
        <v>153.90618736094075</v>
      </c>
      <c r="AV217" s="95">
        <f>((h_Aw_Sw+Geraetedaten!$B$18)/1000)*(AR217*AT217+AS217*AU217)/100</f>
        <v>0</v>
      </c>
      <c r="AX217" s="18">
        <f>(IF($X$19="ja",1,0))*Geraetedaten!$D$142*COS(RADIANS(2*A217))*(Geraetedaten!$B$154*r_K_D+r_K_SSw*F_SSw/10)/1000+Geraetedaten!$B$152</f>
        <v>594.79999999999995</v>
      </c>
      <c r="AY217" s="18">
        <f>(IF($X$19="ja",1,0))*Geraetedaten!$D$142*COS(RADIANS(2*A217))*(Geraetedaten!$B$157*r_K_D+r_K_SSw*F_SSw/10)/1000+Geraetedaten!$B$155</f>
        <v>537.4</v>
      </c>
      <c r="AZ217" s="201"/>
    </row>
    <row r="218" spans="1:52" ht="13.5" x14ac:dyDescent="0.25">
      <c r="A218" s="16">
        <v>179</v>
      </c>
      <c r="B218" s="16">
        <f t="shared" si="157"/>
        <v>271</v>
      </c>
      <c r="C218" s="19">
        <f t="shared" si="158"/>
        <v>31.051346220734359</v>
      </c>
      <c r="D218" s="17">
        <f t="shared" si="153"/>
        <v>-621319.9240262208</v>
      </c>
      <c r="E218" s="17">
        <f t="shared" si="159"/>
        <v>8773.9787937792662</v>
      </c>
      <c r="F218" s="17">
        <f t="shared" si="160"/>
        <v>585765.88543377921</v>
      </c>
      <c r="G218" s="17">
        <f t="shared" si="161"/>
        <v>-9211.5146562207337</v>
      </c>
      <c r="H218" s="17">
        <f t="shared" si="156"/>
        <v>8773.9787937792662</v>
      </c>
      <c r="I218" s="17">
        <f t="shared" si="162"/>
        <v>914.9109418082387</v>
      </c>
      <c r="J218" s="20">
        <f>(Geraetedaten!$B$152+(Geraetedaten!$B$153*(Geraetedaten!$B$18+d_y_Sw)/1000))*10</f>
        <v>6051.0442000000003</v>
      </c>
      <c r="K218" s="20">
        <f>(Geraetedaten!$B$165+(Geraetedaten!$B$166*(Geraetedaten!$B$18+d_y_Sw)/1000))*10</f>
        <v>10816.164000000001</v>
      </c>
      <c r="L218" s="20">
        <f>(Geraetedaten!$B$158+(Geraetedaten!$B$159*(Geraetedaten!$B$18+d_y_Sw)/1000)-(Geraetedaten!$B$160*I218/1000))*10</f>
        <v>534.44618063720168</v>
      </c>
      <c r="M218" s="20">
        <f>(Geraetedaten!$B$171+(Geraetedaten!$B$172*(Geraetedaten!$B$18+d_y_Sw)/1000)-(Geraetedaten!$B$173*I218/1000))*10</f>
        <v>996.76102949179563</v>
      </c>
      <c r="N218" s="20">
        <f>IF((H218-J218)/(K218-J218)*(Geraetedaten!$B$174-Geraetedaten!$B$161)&lt;Geraetedaten!$B$174,(H218-J218)/(K218-J218)*(Geraetedaten!$B$174-Geraetedaten!$B$161),Geraetedaten!$B$174)</f>
        <v>228.5721835391644</v>
      </c>
      <c r="O218" s="20">
        <f>N218/Geraetedaten!$B$174*(M218-L218)+L218+C218</f>
        <v>829.67831307111919</v>
      </c>
      <c r="P218" s="20">
        <f t="shared" si="163"/>
        <v>241.0559577179007</v>
      </c>
      <c r="Q218" s="20"/>
      <c r="R218" s="21">
        <f>(N218-Geraetedaten!$B$161)/(Geraetedaten!$B$174-Geraetedaten!$B$161)*(Geraetedaten!$B$175-Geraetedaten!$B$162)+Geraetedaten!$B$162</f>
        <v>36.00002246029014</v>
      </c>
      <c r="S218" s="21">
        <f t="shared" si="164"/>
        <v>36.00002246029014</v>
      </c>
      <c r="T218" s="21">
        <f t="shared" si="165"/>
        <v>0.62828702372831602</v>
      </c>
      <c r="U218" s="88">
        <f t="shared" si="166"/>
        <v>-35.994539482499412</v>
      </c>
      <c r="V218" s="86">
        <f t="shared" si="167"/>
        <v>-621288.87268000003</v>
      </c>
      <c r="W218" s="85">
        <f t="shared" si="168"/>
        <v>-4225.3239992296285</v>
      </c>
      <c r="X218" s="85">
        <f t="shared" si="169"/>
        <v>-248257.20978860557</v>
      </c>
      <c r="Y218" s="90">
        <f t="shared" si="170"/>
        <v>4225.3239992296285</v>
      </c>
      <c r="Z218" s="86">
        <f t="shared" si="171"/>
        <v>8805.0301400000008</v>
      </c>
      <c r="AA218" s="85">
        <f t="shared" si="172"/>
        <v>-913.46204712425447</v>
      </c>
      <c r="AB218" s="85">
        <f t="shared" si="173"/>
        <v>914.9109418082387</v>
      </c>
      <c r="AC218" s="90">
        <f t="shared" si="174"/>
        <v>913.46204712425447</v>
      </c>
      <c r="AD218" s="86">
        <f t="shared" si="175"/>
        <v>585796.93677999999</v>
      </c>
      <c r="AE218" s="85">
        <f t="shared" si="176"/>
        <v>4140.4375383844126</v>
      </c>
      <c r="AF218" s="85">
        <f t="shared" si="177"/>
        <v>231831.62981903509</v>
      </c>
      <c r="AG218" s="90">
        <f t="shared" si="178"/>
        <v>4140.4375383844126</v>
      </c>
      <c r="AH218" s="86">
        <f t="shared" si="179"/>
        <v>-9180.4633099999992</v>
      </c>
      <c r="AI218" s="85">
        <f t="shared" si="180"/>
        <v>6238.0466047659793</v>
      </c>
      <c r="AJ218" s="85">
        <f t="shared" si="181"/>
        <v>-6238.1255224386496</v>
      </c>
      <c r="AK218" s="90">
        <f t="shared" si="182"/>
        <v>6238.0466047659793</v>
      </c>
      <c r="AM218" s="95">
        <f t="shared" si="147"/>
        <v>0</v>
      </c>
      <c r="AN218" s="95">
        <f t="shared" si="148"/>
        <v>0</v>
      </c>
      <c r="AO218" s="95">
        <f t="shared" si="149"/>
        <v>0</v>
      </c>
      <c r="AP218" s="95">
        <f t="shared" si="150"/>
        <v>0</v>
      </c>
      <c r="AQ218"/>
      <c r="AR218" s="95">
        <f t="shared" si="183"/>
        <v>0</v>
      </c>
      <c r="AS218" s="95">
        <f t="shared" si="184"/>
        <v>0</v>
      </c>
      <c r="AT218" s="95">
        <f>Geraetedaten!$B$94*ABS(SIN(RADIANS($A218)))</f>
        <v>2.6876705913416497</v>
      </c>
      <c r="AU218" s="95">
        <f>Geraetedaten!$B$94*ABS(COS(RADIANS($A218)))</f>
        <v>153.97654505408426</v>
      </c>
      <c r="AV218" s="95">
        <f>((h_Aw_Sw+Geraetedaten!$B$18)/1000)*(AR218*AT218+AS218*AU218)/100</f>
        <v>0</v>
      </c>
      <c r="AX218" s="18">
        <f>(IF($X$19="ja",1,0))*Geraetedaten!$D$142*COS(RADIANS(2*A218))*(Geraetedaten!$B$154*r_K_D+r_K_SSw*F_SSw/10)/1000+Geraetedaten!$B$152</f>
        <v>594.79999999999995</v>
      </c>
      <c r="AY218" s="18">
        <f>(IF($X$19="ja",1,0))*Geraetedaten!$D$142*COS(RADIANS(2*A218))*(Geraetedaten!$B$157*r_K_D+r_K_SSw*F_SSw/10)/1000+Geraetedaten!$B$155</f>
        <v>537.4</v>
      </c>
      <c r="AZ218" s="201"/>
    </row>
    <row r="219" spans="1:52" s="3" customFormat="1" ht="13.5" x14ac:dyDescent="0.25">
      <c r="A219" s="59" t="s">
        <v>76</v>
      </c>
      <c r="B219" s="60"/>
      <c r="C219" s="22"/>
      <c r="D219" s="17"/>
      <c r="E219" s="17"/>
      <c r="F219" s="17"/>
      <c r="G219" s="17"/>
      <c r="H219" s="17"/>
      <c r="I219" s="17"/>
      <c r="J219" s="22"/>
      <c r="K219" s="22"/>
      <c r="L219" s="22"/>
      <c r="M219" s="22"/>
      <c r="N219" s="22"/>
      <c r="O219" s="22"/>
      <c r="P219" s="20"/>
      <c r="Q219" s="20"/>
      <c r="R219" s="61"/>
      <c r="S219" s="61"/>
      <c r="T219" s="61">
        <f>Geraetedaten!B175*(-1)</f>
        <v>-41.1</v>
      </c>
      <c r="U219" s="87">
        <f>Geraetedaten!B175</f>
        <v>41.1</v>
      </c>
      <c r="V219" s="86"/>
      <c r="W219" s="85"/>
      <c r="X219" s="85"/>
      <c r="Y219" s="90"/>
      <c r="Z219" s="86"/>
      <c r="AA219" s="85"/>
      <c r="AB219" s="85"/>
      <c r="AC219" s="90"/>
      <c r="AD219" s="86"/>
      <c r="AE219" s="85"/>
      <c r="AF219" s="85"/>
      <c r="AG219" s="90"/>
      <c r="AH219" s="86"/>
      <c r="AI219" s="85"/>
      <c r="AJ219" s="85"/>
      <c r="AK219" s="90"/>
      <c r="AM219" s="95"/>
      <c r="AN219" s="95"/>
      <c r="AO219" s="95"/>
      <c r="AP219" s="95"/>
      <c r="AR219" s="95"/>
      <c r="AS219" s="95"/>
      <c r="AT219" s="95"/>
      <c r="AU219" s="95"/>
      <c r="AV219" s="95"/>
      <c r="AX219" s="206"/>
      <c r="AY219" s="206"/>
    </row>
    <row r="220" spans="1:52" s="3" customFormat="1" ht="13.5" x14ac:dyDescent="0.25">
      <c r="A220" s="59" t="s">
        <v>76</v>
      </c>
      <c r="B220" s="60"/>
      <c r="C220" s="22"/>
      <c r="D220" s="17"/>
      <c r="E220" s="17"/>
      <c r="F220" s="17"/>
      <c r="G220" s="17"/>
      <c r="H220" s="17"/>
      <c r="I220" s="17"/>
      <c r="J220" s="22"/>
      <c r="K220" s="22"/>
      <c r="L220" s="22"/>
      <c r="M220" s="22"/>
      <c r="N220" s="22"/>
      <c r="O220" s="22"/>
      <c r="P220" s="20"/>
      <c r="Q220" s="20"/>
      <c r="R220" s="61"/>
      <c r="S220" s="61"/>
      <c r="T220" s="61">
        <f>Geraetedaten!B175*(-1)</f>
        <v>-41.1</v>
      </c>
      <c r="U220" s="87">
        <f>Geraetedaten!B175*(-1)</f>
        <v>-41.1</v>
      </c>
      <c r="V220" s="86"/>
      <c r="W220" s="85"/>
      <c r="X220" s="85"/>
      <c r="Y220" s="90"/>
      <c r="Z220" s="86"/>
      <c r="AA220" s="85"/>
      <c r="AB220" s="85"/>
      <c r="AC220" s="90"/>
      <c r="AD220" s="86"/>
      <c r="AE220" s="85"/>
      <c r="AF220" s="85"/>
      <c r="AG220" s="90"/>
      <c r="AH220" s="86"/>
      <c r="AI220" s="85"/>
      <c r="AJ220" s="85"/>
      <c r="AK220" s="90"/>
      <c r="AM220" s="95"/>
      <c r="AN220" s="95"/>
      <c r="AO220" s="95"/>
      <c r="AP220" s="95"/>
      <c r="AR220" s="95"/>
      <c r="AS220" s="95"/>
      <c r="AT220" s="95"/>
      <c r="AU220" s="95"/>
      <c r="AV220" s="95"/>
      <c r="AX220" s="206"/>
      <c r="AY220" s="206"/>
    </row>
    <row r="221" spans="1:52" ht="13.5" x14ac:dyDescent="0.25">
      <c r="A221" s="16">
        <v>180</v>
      </c>
      <c r="B221" s="16">
        <f t="shared" ref="B221:B252" si="185">360-A221+90</f>
        <v>270</v>
      </c>
      <c r="C221" s="19">
        <f t="shared" ref="C221:C252" si="186">$AF$16*ABS(COS(RADIANS(A221)))+$AF$17*ABS(SIN(RADIANS(A221)))+AV221</f>
        <v>29.946840000000009</v>
      </c>
      <c r="D221" s="17">
        <f t="shared" si="153"/>
        <v>24447759.255270001</v>
      </c>
      <c r="E221" s="17">
        <f t="shared" ref="E221:E252" si="187">IF(ISNUMBER(Z221),Z221-C221,"unendlich")</f>
        <v>8767.7718399999994</v>
      </c>
      <c r="F221" s="17">
        <f t="shared" ref="F221:F252" si="188">IF(ISNUMBER(AD221),AD221-C221,"unendlich")</f>
        <v>25684532.86583</v>
      </c>
      <c r="G221" s="17">
        <f t="shared" ref="G221:G252" si="189">IF(ISNUMBER(AH221),AH221-C221,"unendlich")</f>
        <v>-9211.002480000001</v>
      </c>
      <c r="H221" s="17">
        <f t="shared" si="156"/>
        <v>8767.7718399999994</v>
      </c>
      <c r="I221" s="17">
        <f t="shared" ref="I221:I252" si="190">IF(H221+C221=V221,X221,IF(H221+C221=Z221,AB221,IF(H221+C221=AD221,AF221,IF(H221+C221=AH221,AJ221,"???"))))</f>
        <v>914.15122534369402</v>
      </c>
      <c r="J221" s="20">
        <f>(Geraetedaten!$B$152+(Geraetedaten!$B$153*(Geraetedaten!$B$18+d_y_Sw)/1000))*10</f>
        <v>6051.0442000000003</v>
      </c>
      <c r="K221" s="20">
        <f>(Geraetedaten!$B$165+(Geraetedaten!$B$166*(Geraetedaten!$B$18+d_y_Sw)/1000))*10</f>
        <v>10816.164000000001</v>
      </c>
      <c r="L221" s="20">
        <f>(Geraetedaten!$B$158+(Geraetedaten!$B$159*(Geraetedaten!$B$18+d_y_Sw)/1000)-(Geraetedaten!$B$160*I221/1000))*10</f>
        <v>534.50189064554661</v>
      </c>
      <c r="M221" s="20">
        <f>(Geraetedaten!$B$171+(Geraetedaten!$B$172*(Geraetedaten!$B$18+d_y_Sw)/1000)-(Geraetedaten!$B$173*I221/1000))*10</f>
        <v>996.81758278541633</v>
      </c>
      <c r="N221" s="20">
        <f>IF((H221-J221)/(K221-J221)*(Geraetedaten!$B$174-Geraetedaten!$B$161)&lt;Geraetedaten!$B$174,(H221-J221)/(K221-J221)*(Geraetedaten!$B$174-Geraetedaten!$B$161),Geraetedaten!$B$174)</f>
        <v>228.05115120085745</v>
      </c>
      <c r="O221" s="20">
        <f>N221/Geraetedaten!$B$174*(M221-L221)+L221+C221</f>
        <v>828.02779517234285</v>
      </c>
      <c r="P221" s="20">
        <f t="shared" si="163"/>
        <v>240.67753438932345</v>
      </c>
      <c r="Q221" s="20"/>
      <c r="R221" s="21">
        <f>(N221-Geraetedaten!$B$161)/(Geraetedaten!$B$174-Geraetedaten!$B$161)*(Geraetedaten!$B$175-Geraetedaten!$B$162)+Geraetedaten!$B$162</f>
        <v>35.984521748225511</v>
      </c>
      <c r="S221" s="21">
        <f t="shared" ref="S221:S252" si="191">SQRT((r_K_D/1000)^2+R221^2-(2*(r_K_D/1000)*R221*COS(RADIANS(2*A221))))</f>
        <v>35.984521748225511</v>
      </c>
      <c r="T221" s="21">
        <f t="shared" ref="T221:T252" si="192">S221*SIN(A221*Const_2)</f>
        <v>4.4086381220464118E-15</v>
      </c>
      <c r="U221" s="88">
        <f t="shared" ref="U221:U252" si="193">S221*COS(A221*Const_2)</f>
        <v>-35.984521748225511</v>
      </c>
      <c r="V221" s="86">
        <f t="shared" ref="V221:V252" si="194">ROUND((F_S*r_Su_L-F_G*W221+F_SSw*Y221)/(SIN(RADIANS(270+g_L-A221)))/1000,5)</f>
        <v>24447789.20211</v>
      </c>
      <c r="W221" s="85">
        <f t="shared" ref="W221:W252" si="195">(SIN(RADIANS(g_L)))*(((VL_Z-HL_Z)/(VL_X-HL_X))*(-HL_X+AN221)+HL_Z-AM221)</f>
        <v>-4225.3239992296285</v>
      </c>
      <c r="X221" s="85">
        <f t="shared" ref="X221:X252" si="196">W221/(SIN(RADIANS(180-g_L-(90-$A221))))</f>
        <v>9768950.0000074357</v>
      </c>
      <c r="Y221" s="90">
        <f t="shared" ref="Y221:Y252" si="197">SIN(RADIANS(g_L))*(((VL_Z-HL_Z)/(VL_X-HL_X))*(-AP221+HL_X)-HL_Z+AO221)</f>
        <v>4225.3239992296285</v>
      </c>
      <c r="Z221" s="86">
        <f t="shared" ref="Z221:Z252" si="198">ROUND((F_S*r_Su_H-F_G*AA221+F_SSw*AC221)/(SIN(RADIANS(180+g_H-A221)))/1000,5)</f>
        <v>8797.7186799999999</v>
      </c>
      <c r="AA221" s="85">
        <f t="shared" ref="AA221:AA252" si="199">(SIN(RADIANS(g_H)))*(((HL_X-HR_X)/(HL_Z-HR_Z))*(-HR_Z+AM221)+HR_X-AN221)</f>
        <v>-913.46204712425447</v>
      </c>
      <c r="AB221" s="85">
        <f t="shared" ref="AB221:AB252" si="200">AA221/(SIN(RADIANS(g_H-$A221)))</f>
        <v>914.15122534369402</v>
      </c>
      <c r="AC221" s="90">
        <f t="shared" ref="AC221:AC252" si="201">SIN(RADIANS(g_H))*(((HL_X-HR_X)/(HL_Z-HR_Z))*(-AO221+HR_Z)-HR_X+AP221)</f>
        <v>913.46204712425447</v>
      </c>
      <c r="AD221" s="86">
        <f t="shared" ref="AD221:AD252" si="202">ROUND((F_S*r_Su_R+F_G*AE221+F_SSw*AG221)/(SIN(RADIANS(90+g_R-A221)))/1000,5)</f>
        <v>25684562.81267</v>
      </c>
      <c r="AE221" s="85">
        <f t="shared" ref="AE221:AE252" si="203">(SIN(RADIANS(g_R)))*(((HR_Z-VR_Z)/(HR_X-VR_X))*(-VR_X+AN221)+VR_Z-AM221)</f>
        <v>4140.4375383844126</v>
      </c>
      <c r="AF221" s="85">
        <f t="shared" ref="AF221:AF252" si="204">AE221/(SIN(RADIANS(180-g_R-(90-$A221))))</f>
        <v>10164775.000002541</v>
      </c>
      <c r="AG221" s="90">
        <f t="shared" ref="AG221:AG252" si="205">(SIN(RADIANS(g_R)))*(((HR_Z-VR_Z)/(HR_X-VR_X))*(-VR_X+AP221)+VR_Z-AO221)</f>
        <v>4140.4375383844126</v>
      </c>
      <c r="AH221" s="86">
        <f t="shared" ref="AH221:AH252" si="206">ROUND((F_S*r_Su_V+F_G*AI221+F_SSw*AK221)/(SIN(RADIANS(g_V-A221)))/1000,5)</f>
        <v>-9181.0556400000005</v>
      </c>
      <c r="AI221" s="85">
        <f t="shared" ref="AI221:AI252" si="207">(SIN(RADIANS(g_V)))*(((VR_X-VL_X)/(VR_Z-VL_Z))*(AM221-VL_Z)+VL_X-AN221)</f>
        <v>6238.0466047659793</v>
      </c>
      <c r="AJ221" s="85">
        <f t="shared" ref="AJ221:AJ252" si="208">AI221/(SIN(RADIANS(g_V-$A221)))</f>
        <v>-6238.528013379525</v>
      </c>
      <c r="AK221" s="90">
        <f t="shared" ref="AK221:AK252" si="209">(SIN(RADIANS(g_V)))*(((VR_X-VL_X)/(VR_Z-VL_Z))*(-VL_Z+AO221)+VL_X-AP221)</f>
        <v>6238.0466047659793</v>
      </c>
      <c r="AM221" s="95">
        <f t="shared" si="147"/>
        <v>0</v>
      </c>
      <c r="AN221" s="95">
        <f t="shared" si="148"/>
        <v>0</v>
      </c>
      <c r="AO221" s="95">
        <f t="shared" si="149"/>
        <v>0</v>
      </c>
      <c r="AP221" s="95">
        <f t="shared" si="150"/>
        <v>0</v>
      </c>
      <c r="AQ221"/>
      <c r="AR221" s="95">
        <f t="shared" ref="AR221:AR252" si="210">MAX(d_y_Sw*(r_K_D*ABS(COS(RADIANS($A221)))+_r1_Sw+_r2_Sw), 2*_r1_Sw*d_y_Sw)/1000000</f>
        <v>0</v>
      </c>
      <c r="AS221" s="95">
        <f t="shared" ref="AS221:AS252" si="211">MAX(d_y_Sw*(r_K_D*ABS(SIN(RADIANS($A221)))+_r1_Sw+_r2_Sw), 2*_r1_Sw*d_y_Sw)/1000000</f>
        <v>0</v>
      </c>
      <c r="AT221" s="95">
        <f>Geraetedaten!$B$94*ABS(SIN(RADIANS($A221)))</f>
        <v>1.8867286205592748E-14</v>
      </c>
      <c r="AU221" s="95">
        <f>Geraetedaten!$B$94*ABS(COS(RADIANS($A221)))</f>
        <v>154</v>
      </c>
      <c r="AV221" s="95">
        <f>((h_Aw_Sw+Geraetedaten!$B$18)/1000)*(AR221*AT221+AS221*AU221)/100</f>
        <v>0</v>
      </c>
      <c r="AX221" s="18">
        <f t="shared" ref="AX221:AX284" si="212">ABS(COS(RADIANS(A221)))</f>
        <v>1</v>
      </c>
    </row>
    <row r="222" spans="1:52" ht="13.5" x14ac:dyDescent="0.25">
      <c r="A222" s="16">
        <v>181</v>
      </c>
      <c r="B222" s="16">
        <f t="shared" si="185"/>
        <v>269</v>
      </c>
      <c r="C222" s="19">
        <f t="shared" si="186"/>
        <v>31.05134622073437</v>
      </c>
      <c r="D222" s="17">
        <f t="shared" si="153"/>
        <v>591212.01330377918</v>
      </c>
      <c r="E222" s="17">
        <f t="shared" si="187"/>
        <v>8762.0442637792657</v>
      </c>
      <c r="F222" s="17">
        <f t="shared" si="188"/>
        <v>-613821.60160622082</v>
      </c>
      <c r="G222" s="17">
        <f t="shared" si="189"/>
        <v>-9215.4972462207352</v>
      </c>
      <c r="H222" s="17">
        <f t="shared" si="156"/>
        <v>8762.0442637792657</v>
      </c>
      <c r="I222" s="17">
        <f t="shared" si="190"/>
        <v>913.67085160770614</v>
      </c>
      <c r="J222" s="20">
        <f>(Geraetedaten!$B$152+(Geraetedaten!$B$153*(Geraetedaten!$B$18+d_y_Sw)/1000))*10</f>
        <v>6051.0442000000003</v>
      </c>
      <c r="K222" s="20">
        <f>(Geraetedaten!$B$165+(Geraetedaten!$B$166*(Geraetedaten!$B$18+d_y_Sw)/1000))*10</f>
        <v>10816.164000000001</v>
      </c>
      <c r="L222" s="20">
        <f>(Geraetedaten!$B$158+(Geraetedaten!$B$159*(Geraetedaten!$B$18+d_y_Sw)/1000)-(Geraetedaten!$B$160*I222/1000))*10</f>
        <v>534.53711645160661</v>
      </c>
      <c r="M222" s="20">
        <f>(Geraetedaten!$B$171+(Geraetedaten!$B$172*(Geraetedaten!$B$18+d_y_Sw)/1000)-(Geraetedaten!$B$173*I222/1000))*10</f>
        <v>996.85334180632344</v>
      </c>
      <c r="N222" s="20">
        <f>IF((H222-J222)/(K222-J222)*(Geraetedaten!$B$174-Geraetedaten!$B$161)&lt;Geraetedaten!$B$174,(H222-J222)/(K222-J222)*(Geraetedaten!$B$174-Geraetedaten!$B$161),Geraetedaten!$B$174)</f>
        <v>227.57035940874059</v>
      </c>
      <c r="O222" s="20">
        <f>N222/Geraetedaten!$B$174*(M222-L222)+L222+C222</f>
        <v>828.61213658350403</v>
      </c>
      <c r="P222" s="20">
        <f t="shared" si="163"/>
        <v>240.94234993429228</v>
      </c>
      <c r="Q222" s="20"/>
      <c r="R222" s="21">
        <f>(N222-Geraetedaten!$B$161)/(Geraetedaten!$B$174-Geraetedaten!$B$161)*(Geraetedaten!$B$175-Geraetedaten!$B$162)+Geraetedaten!$B$162</f>
        <v>35.97021819241003</v>
      </c>
      <c r="S222" s="21">
        <f t="shared" si="191"/>
        <v>35.97021819241003</v>
      </c>
      <c r="T222" s="21">
        <f t="shared" si="192"/>
        <v>-0.62776686753171373</v>
      </c>
      <c r="U222" s="88">
        <f t="shared" si="193"/>
        <v>-35.964739753953666</v>
      </c>
      <c r="V222" s="86">
        <f t="shared" si="194"/>
        <v>591243.06464999996</v>
      </c>
      <c r="W222" s="85">
        <f t="shared" si="195"/>
        <v>-4225.3239992296285</v>
      </c>
      <c r="X222" s="85">
        <f t="shared" si="196"/>
        <v>236251.37997995198</v>
      </c>
      <c r="Y222" s="90">
        <f t="shared" si="197"/>
        <v>4225.3239992296285</v>
      </c>
      <c r="Z222" s="86">
        <f t="shared" si="198"/>
        <v>8793.0956100000003</v>
      </c>
      <c r="AA222" s="85">
        <f t="shared" si="199"/>
        <v>-913.46204712425447</v>
      </c>
      <c r="AB222" s="85">
        <f t="shared" si="200"/>
        <v>913.67085160770614</v>
      </c>
      <c r="AC222" s="90">
        <f t="shared" si="201"/>
        <v>913.46204712425447</v>
      </c>
      <c r="AD222" s="86">
        <f t="shared" si="202"/>
        <v>-613790.55026000005</v>
      </c>
      <c r="AE222" s="85">
        <f t="shared" si="203"/>
        <v>4140.4375383844126</v>
      </c>
      <c r="AF222" s="85">
        <f t="shared" si="204"/>
        <v>-242910.22144569518</v>
      </c>
      <c r="AG222" s="90">
        <f t="shared" si="205"/>
        <v>4140.4375383844126</v>
      </c>
      <c r="AH222" s="86">
        <f t="shared" si="206"/>
        <v>-9184.4459000000006</v>
      </c>
      <c r="AI222" s="85">
        <f t="shared" si="207"/>
        <v>6238.0466047659793</v>
      </c>
      <c r="AJ222" s="85">
        <f t="shared" si="208"/>
        <v>-6240.8316967169512</v>
      </c>
      <c r="AK222" s="90">
        <f t="shared" si="209"/>
        <v>6238.0466047659793</v>
      </c>
      <c r="AM222" s="95">
        <f t="shared" si="147"/>
        <v>0</v>
      </c>
      <c r="AN222" s="95">
        <f t="shared" si="148"/>
        <v>0</v>
      </c>
      <c r="AO222" s="95">
        <f t="shared" si="149"/>
        <v>0</v>
      </c>
      <c r="AP222" s="95">
        <f t="shared" si="150"/>
        <v>0</v>
      </c>
      <c r="AQ222"/>
      <c r="AR222" s="95">
        <f t="shared" si="210"/>
        <v>0</v>
      </c>
      <c r="AS222" s="95">
        <f t="shared" si="211"/>
        <v>0</v>
      </c>
      <c r="AT222" s="95">
        <f>Geraetedaten!$B$94*ABS(SIN(RADIANS($A222)))</f>
        <v>2.6876705913416798</v>
      </c>
      <c r="AU222" s="95">
        <f>Geraetedaten!$B$94*ABS(COS(RADIANS($A222)))</f>
        <v>153.97654505408426</v>
      </c>
      <c r="AV222" s="95">
        <f>((h_Aw_Sw+Geraetedaten!$B$18)/1000)*(AR222*AT222+AS222*AU222)/100</f>
        <v>0</v>
      </c>
      <c r="AX222" s="18">
        <f t="shared" si="212"/>
        <v>0.99984769515639127</v>
      </c>
    </row>
    <row r="223" spans="1:52" ht="13.5" x14ac:dyDescent="0.25">
      <c r="A223" s="16">
        <v>182</v>
      </c>
      <c r="B223" s="16">
        <f t="shared" si="185"/>
        <v>268</v>
      </c>
      <c r="C223" s="19">
        <f t="shared" si="186"/>
        <v>32.146393900608736</v>
      </c>
      <c r="D223" s="17">
        <f t="shared" si="153"/>
        <v>299253.9218960994</v>
      </c>
      <c r="E223" s="17">
        <f t="shared" si="187"/>
        <v>8759.0074560993926</v>
      </c>
      <c r="F223" s="17">
        <f t="shared" si="188"/>
        <v>-303349.39339390059</v>
      </c>
      <c r="G223" s="17">
        <f t="shared" si="189"/>
        <v>-9222.7856539006079</v>
      </c>
      <c r="H223" s="17">
        <f t="shared" si="156"/>
        <v>8759.0074560993926</v>
      </c>
      <c r="I223" s="17">
        <f t="shared" si="190"/>
        <v>913.4690878586008</v>
      </c>
      <c r="J223" s="20">
        <f>(Geraetedaten!$B$152+(Geraetedaten!$B$153*(Geraetedaten!$B$18+d_y_Sw)/1000))*10</f>
        <v>6051.0442000000003</v>
      </c>
      <c r="K223" s="20">
        <f>(Geraetedaten!$B$165+(Geraetedaten!$B$166*(Geraetedaten!$B$18+d_y_Sw)/1000))*10</f>
        <v>10816.164000000001</v>
      </c>
      <c r="L223" s="20">
        <f>(Geraetedaten!$B$158+(Geraetedaten!$B$159*(Geraetedaten!$B$18+d_y_Sw)/1000)-(Geraetedaten!$B$160*I223/1000))*10</f>
        <v>534.55191178732855</v>
      </c>
      <c r="M223" s="20">
        <f>(Geraetedaten!$B$171+(Geraetedaten!$B$172*(Geraetedaten!$B$18+d_y_Sw)/1000)-(Geraetedaten!$B$173*I223/1000))*10</f>
        <v>996.86836109980675</v>
      </c>
      <c r="N223" s="20">
        <f>IF((H223-J223)/(K223-J223)*(Geraetedaten!$B$174-Geraetedaten!$B$161)&lt;Geraetedaten!$B$174,(H223-J223)/(K223-J223)*(Geraetedaten!$B$174-Geraetedaten!$B$161),Geraetedaten!$B$174)</f>
        <v>227.31543967472899</v>
      </c>
      <c r="O223" s="20">
        <f>N223/Geraetedaten!$B$174*(M223-L223)+L223+C223</f>
        <v>829.42747304875115</v>
      </c>
      <c r="P223" s="20">
        <f t="shared" si="163"/>
        <v>241.23022951726409</v>
      </c>
      <c r="Q223" s="20"/>
      <c r="R223" s="21">
        <f>(N223-Geraetedaten!$B$161)/(Geraetedaten!$B$174-Geraetedaten!$B$161)*(Geraetedaten!$B$175-Geraetedaten!$B$162)+Geraetedaten!$B$162</f>
        <v>35.962634330323191</v>
      </c>
      <c r="S223" s="21">
        <f t="shared" si="191"/>
        <v>35.962634330323191</v>
      </c>
      <c r="T223" s="21">
        <f t="shared" si="192"/>
        <v>-1.2550778382243599</v>
      </c>
      <c r="U223" s="88">
        <f t="shared" si="193"/>
        <v>-35.940726865167015</v>
      </c>
      <c r="V223" s="86">
        <f t="shared" si="194"/>
        <v>299286.06829000002</v>
      </c>
      <c r="W223" s="85">
        <f t="shared" si="195"/>
        <v>-4225.3239992296285</v>
      </c>
      <c r="X223" s="85">
        <f t="shared" si="196"/>
        <v>119589.98061833288</v>
      </c>
      <c r="Y223" s="90">
        <f t="shared" si="197"/>
        <v>4225.3239992296285</v>
      </c>
      <c r="Z223" s="86">
        <f t="shared" si="198"/>
        <v>8791.1538500000006</v>
      </c>
      <c r="AA223" s="85">
        <f t="shared" si="199"/>
        <v>-913.46204712425447</v>
      </c>
      <c r="AB223" s="85">
        <f t="shared" si="200"/>
        <v>913.4690878586008</v>
      </c>
      <c r="AC223" s="90">
        <f t="shared" si="201"/>
        <v>913.46204712425447</v>
      </c>
      <c r="AD223" s="86">
        <f t="shared" si="202"/>
        <v>-303317.24699999997</v>
      </c>
      <c r="AE223" s="85">
        <f t="shared" si="203"/>
        <v>4140.4375383844126</v>
      </c>
      <c r="AF223" s="85">
        <f t="shared" si="204"/>
        <v>-120039.09086818952</v>
      </c>
      <c r="AG223" s="90">
        <f t="shared" si="205"/>
        <v>4140.4375383844126</v>
      </c>
      <c r="AH223" s="86">
        <f t="shared" si="206"/>
        <v>-9190.6392599999999</v>
      </c>
      <c r="AI223" s="85">
        <f t="shared" si="207"/>
        <v>6238.0466047659793</v>
      </c>
      <c r="AJ223" s="85">
        <f t="shared" si="208"/>
        <v>-6245.040084454964</v>
      </c>
      <c r="AK223" s="90">
        <f t="shared" si="209"/>
        <v>6238.0466047659793</v>
      </c>
      <c r="AM223" s="95">
        <f t="shared" si="147"/>
        <v>0</v>
      </c>
      <c r="AN223" s="95">
        <f t="shared" si="148"/>
        <v>0</v>
      </c>
      <c r="AO223" s="95">
        <f t="shared" si="149"/>
        <v>0</v>
      </c>
      <c r="AP223" s="95">
        <f t="shared" si="150"/>
        <v>0</v>
      </c>
      <c r="AQ223"/>
      <c r="AR223" s="95">
        <f t="shared" si="210"/>
        <v>0</v>
      </c>
      <c r="AS223" s="95">
        <f t="shared" si="211"/>
        <v>0</v>
      </c>
      <c r="AT223" s="95">
        <f>Geraetedaten!$B$94*ABS(SIN(RADIANS($A223)))</f>
        <v>5.3745224921851387</v>
      </c>
      <c r="AU223" s="95">
        <f>Geraetedaten!$B$94*ABS(COS(RADIANS($A223)))</f>
        <v>153.90618736094075</v>
      </c>
      <c r="AV223" s="95">
        <f>((h_Aw_Sw+Geraetedaten!$B$18)/1000)*(AR223*AT223+AS223*AU223)/100</f>
        <v>0</v>
      </c>
      <c r="AX223" s="18">
        <f t="shared" si="212"/>
        <v>0.99939082701909576</v>
      </c>
    </row>
    <row r="224" spans="1:52" ht="13.5" x14ac:dyDescent="0.25">
      <c r="A224" s="16">
        <v>183</v>
      </c>
      <c r="B224" s="16">
        <f t="shared" si="185"/>
        <v>267</v>
      </c>
      <c r="C224" s="19">
        <f t="shared" si="186"/>
        <v>33.231649477491864</v>
      </c>
      <c r="D224" s="17">
        <f t="shared" si="153"/>
        <v>200359.53376052249</v>
      </c>
      <c r="E224" s="17">
        <f t="shared" si="187"/>
        <v>8758.6588005225094</v>
      </c>
      <c r="F224" s="17">
        <f t="shared" si="188"/>
        <v>-201502.67922947751</v>
      </c>
      <c r="G224" s="17">
        <f t="shared" si="189"/>
        <v>-9232.8768194774912</v>
      </c>
      <c r="H224" s="17">
        <f t="shared" si="156"/>
        <v>8758.6588005225094</v>
      </c>
      <c r="I224" s="17">
        <f t="shared" si="190"/>
        <v>913.54562661021282</v>
      </c>
      <c r="J224" s="20">
        <f>(Geraetedaten!$B$152+(Geraetedaten!$B$153*(Geraetedaten!$B$18+d_y_Sw)/1000))*10</f>
        <v>6051.0442000000003</v>
      </c>
      <c r="K224" s="20">
        <f>(Geraetedaten!$B$165+(Geraetedaten!$B$166*(Geraetedaten!$B$18+d_y_Sw)/1000))*10</f>
        <v>10816.164000000001</v>
      </c>
      <c r="L224" s="20">
        <f>(Geraetedaten!$B$158+(Geraetedaten!$B$159*(Geraetedaten!$B$18+d_y_Sw)/1000)-(Geraetedaten!$B$160*I224/1000))*10</f>
        <v>534.54629920067282</v>
      </c>
      <c r="M224" s="20">
        <f>(Geraetedaten!$B$171+(Geraetedaten!$B$172*(Geraetedaten!$B$18+d_y_Sw)/1000)-(Geraetedaten!$B$173*I224/1000))*10</f>
        <v>996.86266355513669</v>
      </c>
      <c r="N224" s="20">
        <f>IF((H224-J224)/(K224-J224)*(Geraetedaten!$B$174-Geraetedaten!$B$161)&lt;Geraetedaten!$B$174,(H224-J224)/(K224-J224)*(Geraetedaten!$B$174-Geraetedaten!$B$161),Geraetedaten!$B$174)</f>
        <v>227.28617236632823</v>
      </c>
      <c r="O224" s="20">
        <f>N224/Geraetedaten!$B$174*(M224-L224)+L224+C224</f>
        <v>830.47324086927188</v>
      </c>
      <c r="P224" s="20">
        <f t="shared" si="163"/>
        <v>241.54090795567794</v>
      </c>
      <c r="Q224" s="20"/>
      <c r="R224" s="21">
        <f>(N224-Geraetedaten!$B$161)/(Geraetedaten!$B$174-Geraetedaten!$B$161)*(Geraetedaten!$B$175-Geraetedaten!$B$162)+Geraetedaten!$B$162</f>
        <v>35.961763627898264</v>
      </c>
      <c r="S224" s="21">
        <f t="shared" si="191"/>
        <v>35.961763627898264</v>
      </c>
      <c r="T224" s="21">
        <f t="shared" si="192"/>
        <v>-1.8820932876487626</v>
      </c>
      <c r="U224" s="88">
        <f t="shared" si="193"/>
        <v>-35.912479280682</v>
      </c>
      <c r="V224" s="86">
        <f t="shared" si="194"/>
        <v>200392.76540999999</v>
      </c>
      <c r="W224" s="85">
        <f t="shared" si="195"/>
        <v>-4225.3239992296285</v>
      </c>
      <c r="X224" s="85">
        <f t="shared" si="196"/>
        <v>80073.780473091392</v>
      </c>
      <c r="Y224" s="90">
        <f t="shared" si="197"/>
        <v>4225.3239992296285</v>
      </c>
      <c r="Z224" s="86">
        <f t="shared" si="198"/>
        <v>8791.8904500000008</v>
      </c>
      <c r="AA224" s="85">
        <f t="shared" si="199"/>
        <v>-913.46204712425447</v>
      </c>
      <c r="AB224" s="85">
        <f t="shared" si="200"/>
        <v>913.54562661021282</v>
      </c>
      <c r="AC224" s="90">
        <f t="shared" si="201"/>
        <v>913.46204712425447</v>
      </c>
      <c r="AD224" s="86">
        <f t="shared" si="202"/>
        <v>-201469.44758000001</v>
      </c>
      <c r="AE224" s="85">
        <f t="shared" si="203"/>
        <v>4140.4375383844126</v>
      </c>
      <c r="AF224" s="85">
        <f t="shared" si="204"/>
        <v>-79732.390967991494</v>
      </c>
      <c r="AG224" s="90">
        <f t="shared" si="205"/>
        <v>4140.4375383844126</v>
      </c>
      <c r="AH224" s="86">
        <f t="shared" si="206"/>
        <v>-9199.6451699999998</v>
      </c>
      <c r="AI224" s="85">
        <f t="shared" si="207"/>
        <v>6238.0466047659793</v>
      </c>
      <c r="AJ224" s="85">
        <f t="shared" si="208"/>
        <v>-6251.1596003916256</v>
      </c>
      <c r="AK224" s="90">
        <f t="shared" si="209"/>
        <v>6238.0466047659793</v>
      </c>
      <c r="AM224" s="95">
        <f t="shared" si="147"/>
        <v>0</v>
      </c>
      <c r="AN224" s="95">
        <f t="shared" si="148"/>
        <v>0</v>
      </c>
      <c r="AO224" s="95">
        <f t="shared" si="149"/>
        <v>0</v>
      </c>
      <c r="AP224" s="95">
        <f t="shared" si="150"/>
        <v>0</v>
      </c>
      <c r="AQ224"/>
      <c r="AR224" s="95">
        <f t="shared" si="210"/>
        <v>0</v>
      </c>
      <c r="AS224" s="95">
        <f t="shared" si="211"/>
        <v>0</v>
      </c>
      <c r="AT224" s="95">
        <f>Geraetedaten!$B$94*ABS(SIN(RADIANS($A224)))</f>
        <v>8.0597372614133072</v>
      </c>
      <c r="AU224" s="95">
        <f>Geraetedaten!$B$94*ABS(COS(RADIANS($A224)))</f>
        <v>153.78894835220436</v>
      </c>
      <c r="AV224" s="95">
        <f>((h_Aw_Sw+Geraetedaten!$B$18)/1000)*(AR224*AT224+AS224*AU224)/100</f>
        <v>0</v>
      </c>
      <c r="AX224" s="18">
        <f t="shared" si="212"/>
        <v>0.99862953475457383</v>
      </c>
    </row>
    <row r="225" spans="1:50" ht="13.5" x14ac:dyDescent="0.25">
      <c r="A225" s="16">
        <v>184</v>
      </c>
      <c r="B225" s="16">
        <f t="shared" si="185"/>
        <v>266</v>
      </c>
      <c r="C225" s="19">
        <f t="shared" si="186"/>
        <v>34.306782372021964</v>
      </c>
      <c r="D225" s="17">
        <f t="shared" si="153"/>
        <v>150622.66322762796</v>
      </c>
      <c r="E225" s="17">
        <f t="shared" si="187"/>
        <v>8760.9997576279784</v>
      </c>
      <c r="F225" s="17">
        <f t="shared" si="188"/>
        <v>-150894.05437237205</v>
      </c>
      <c r="G225" s="17">
        <f t="shared" si="189"/>
        <v>-9245.784182372021</v>
      </c>
      <c r="H225" s="17">
        <f t="shared" si="156"/>
        <v>8760.9997576279784</v>
      </c>
      <c r="I225" s="17">
        <f t="shared" si="190"/>
        <v>913.90058448772731</v>
      </c>
      <c r="J225" s="20">
        <f>(Geraetedaten!$B$152+(Geraetedaten!$B$153*(Geraetedaten!$B$18+d_y_Sw)/1000))*10</f>
        <v>6051.0442000000003</v>
      </c>
      <c r="K225" s="20">
        <f>(Geraetedaten!$B$165+(Geraetedaten!$B$166*(Geraetedaten!$B$18+d_y_Sw)/1000))*10</f>
        <v>10816.164000000001</v>
      </c>
      <c r="L225" s="20">
        <f>(Geraetedaten!$B$158+(Geraetedaten!$B$159*(Geraetedaten!$B$18+d_y_Sw)/1000)-(Geraetedaten!$B$160*I225/1000))*10</f>
        <v>534.52027013951476</v>
      </c>
      <c r="M225" s="20">
        <f>(Geraetedaten!$B$171+(Geraetedaten!$B$172*(Geraetedaten!$B$18+d_y_Sw)/1000)-(Geraetedaten!$B$173*I225/1000))*10</f>
        <v>996.83624049073455</v>
      </c>
      <c r="N225" s="20">
        <f>IF((H225-J225)/(K225-J225)*(Geraetedaten!$B$174-Geraetedaten!$B$161)&lt;Geraetedaten!$B$174,(H225-J225)/(K225-J225)*(Geraetedaten!$B$174-Geraetedaten!$B$161),Geraetedaten!$B$174)</f>
        <v>227.48268008942634</v>
      </c>
      <c r="O225" s="20">
        <f>N225/Geraetedaten!$B$174*(M225-L225)+L225+C225</f>
        <v>831.74924247063484</v>
      </c>
      <c r="P225" s="20">
        <f t="shared" si="163"/>
        <v>241.87413418420945</v>
      </c>
      <c r="Q225" s="20"/>
      <c r="R225" s="21">
        <f>(N225-Geraetedaten!$B$161)/(Geraetedaten!$B$174-Geraetedaten!$B$161)*(Geraetedaten!$B$175-Geraetedaten!$B$162)+Geraetedaten!$B$162</f>
        <v>35.967609732660435</v>
      </c>
      <c r="S225" s="21">
        <f t="shared" si="191"/>
        <v>35.967609732660435</v>
      </c>
      <c r="T225" s="21">
        <f t="shared" si="192"/>
        <v>-2.5089736239552725</v>
      </c>
      <c r="U225" s="88">
        <f t="shared" si="193"/>
        <v>-35.879994443077415</v>
      </c>
      <c r="V225" s="86">
        <f t="shared" si="194"/>
        <v>150656.97000999999</v>
      </c>
      <c r="W225" s="85">
        <f t="shared" si="195"/>
        <v>-4225.3239992296285</v>
      </c>
      <c r="X225" s="85">
        <f t="shared" si="196"/>
        <v>60200.143047278296</v>
      </c>
      <c r="Y225" s="90">
        <f t="shared" si="197"/>
        <v>4225.3239992296285</v>
      </c>
      <c r="Z225" s="86">
        <f t="shared" si="198"/>
        <v>8795.3065399999996</v>
      </c>
      <c r="AA225" s="85">
        <f t="shared" si="199"/>
        <v>-913.46204712425447</v>
      </c>
      <c r="AB225" s="85">
        <f t="shared" si="200"/>
        <v>913.90058448772731</v>
      </c>
      <c r="AC225" s="90">
        <f t="shared" si="201"/>
        <v>913.46204712425447</v>
      </c>
      <c r="AD225" s="86">
        <f t="shared" si="202"/>
        <v>-150859.74759000001</v>
      </c>
      <c r="AE225" s="85">
        <f t="shared" si="203"/>
        <v>4140.4375383844126</v>
      </c>
      <c r="AF225" s="85">
        <f t="shared" si="204"/>
        <v>-59703.386893948984</v>
      </c>
      <c r="AG225" s="90">
        <f t="shared" si="205"/>
        <v>4140.4375383844126</v>
      </c>
      <c r="AH225" s="86">
        <f t="shared" si="206"/>
        <v>-9211.4773999999998</v>
      </c>
      <c r="AI225" s="85">
        <f t="shared" si="207"/>
        <v>6238.0466047659793</v>
      </c>
      <c r="AJ225" s="85">
        <f t="shared" si="208"/>
        <v>-6259.1996040778213</v>
      </c>
      <c r="AK225" s="90">
        <f t="shared" si="209"/>
        <v>6238.0466047659793</v>
      </c>
      <c r="AM225" s="95">
        <f t="shared" si="147"/>
        <v>0</v>
      </c>
      <c r="AN225" s="95">
        <f t="shared" si="148"/>
        <v>0</v>
      </c>
      <c r="AO225" s="95">
        <f t="shared" si="149"/>
        <v>0</v>
      </c>
      <c r="AP225" s="95">
        <f t="shared" si="150"/>
        <v>0</v>
      </c>
      <c r="AQ225"/>
      <c r="AR225" s="95">
        <f t="shared" si="210"/>
        <v>0</v>
      </c>
      <c r="AS225" s="95">
        <f t="shared" si="211"/>
        <v>0</v>
      </c>
      <c r="AT225" s="95">
        <f>Geraetedaten!$B$94*ABS(SIN(RADIANS($A225)))</f>
        <v>10.742496956595293</v>
      </c>
      <c r="AU225" s="95">
        <f>Geraetedaten!$B$94*ABS(COS(RADIANS($A225)))</f>
        <v>153.62486374001293</v>
      </c>
      <c r="AV225" s="95">
        <f>((h_Aw_Sw+Geraetedaten!$B$18)/1000)*(AR225*AT225+AS225*AU225)/100</f>
        <v>0</v>
      </c>
      <c r="AX225" s="18">
        <f t="shared" si="212"/>
        <v>0.9975640502598242</v>
      </c>
    </row>
    <row r="226" spans="1:50" ht="13.5" x14ac:dyDescent="0.25">
      <c r="A226" s="16">
        <v>185</v>
      </c>
      <c r="B226" s="16">
        <f t="shared" si="185"/>
        <v>265</v>
      </c>
      <c r="C226" s="19">
        <f t="shared" si="186"/>
        <v>35.371465088304255</v>
      </c>
      <c r="D226" s="17">
        <f t="shared" si="153"/>
        <v>120694.28963491169</v>
      </c>
      <c r="E226" s="17">
        <f t="shared" si="187"/>
        <v>8766.0358449116957</v>
      </c>
      <c r="F226" s="17">
        <f t="shared" si="188"/>
        <v>-120636.50622508831</v>
      </c>
      <c r="G226" s="17">
        <f t="shared" si="189"/>
        <v>-9261.5255750883043</v>
      </c>
      <c r="H226" s="17">
        <f t="shared" si="156"/>
        <v>8766.0358449116957</v>
      </c>
      <c r="I226" s="17">
        <f t="shared" si="190"/>
        <v>914.53450266153834</v>
      </c>
      <c r="J226" s="20">
        <f>(Geraetedaten!$B$152+(Geraetedaten!$B$153*(Geraetedaten!$B$18+d_y_Sw)/1000))*10</f>
        <v>6051.0442000000003</v>
      </c>
      <c r="K226" s="20">
        <f>(Geraetedaten!$B$165+(Geraetedaten!$B$166*(Geraetedaten!$B$18+d_y_Sw)/1000))*10</f>
        <v>10816.164000000001</v>
      </c>
      <c r="L226" s="20">
        <f>(Geraetedaten!$B$158+(Geraetedaten!$B$159*(Geraetedaten!$B$18+d_y_Sw)/1000)-(Geraetedaten!$B$160*I226/1000))*10</f>
        <v>534.4737849198292</v>
      </c>
      <c r="M226" s="20">
        <f>(Geraetedaten!$B$171+(Geraetedaten!$B$172*(Geraetedaten!$B$18+d_y_Sw)/1000)-(Geraetedaten!$B$173*I226/1000))*10</f>
        <v>996.78905162187607</v>
      </c>
      <c r="N226" s="20">
        <f>IF((H226-J226)/(K226-J226)*(Geraetedaten!$B$174-Geraetedaten!$B$161)&lt;Geraetedaten!$B$174,(H226-J226)/(K226-J226)*(Geraetedaten!$B$174-Geraetedaten!$B$161),Geraetedaten!$B$174)</f>
        <v>227.90542600097444</v>
      </c>
      <c r="O226" s="20">
        <f>N226/Geraetedaten!$B$174*(M226-L226)+L226+C226</f>
        <v>833.25564451934372</v>
      </c>
      <c r="P226" s="20">
        <f t="shared" si="163"/>
        <v>242.2296710650258</v>
      </c>
      <c r="Q226" s="20"/>
      <c r="R226" s="21">
        <f>(N226-Geraetedaten!$B$161)/(Geraetedaten!$B$174-Geraetedaten!$B$161)*(Geraetedaten!$B$175-Geraetedaten!$B$162)+Geraetedaten!$B$162</f>
        <v>35.980186423528991</v>
      </c>
      <c r="S226" s="21">
        <f t="shared" si="191"/>
        <v>35.980186423528991</v>
      </c>
      <c r="T226" s="21">
        <f t="shared" si="192"/>
        <v>-3.1358798719418677</v>
      </c>
      <c r="U226" s="88">
        <f t="shared" si="193"/>
        <v>-35.843270951472185</v>
      </c>
      <c r="V226" s="86">
        <f t="shared" si="194"/>
        <v>120729.6611</v>
      </c>
      <c r="W226" s="85">
        <f t="shared" si="195"/>
        <v>-4225.3239992296285</v>
      </c>
      <c r="X226" s="85">
        <f t="shared" si="196"/>
        <v>48241.663612897682</v>
      </c>
      <c r="Y226" s="90">
        <f t="shared" si="197"/>
        <v>4225.3239992296285</v>
      </c>
      <c r="Z226" s="86">
        <f t="shared" si="198"/>
        <v>8801.4073100000005</v>
      </c>
      <c r="AA226" s="85">
        <f t="shared" si="199"/>
        <v>-913.46204712425447</v>
      </c>
      <c r="AB226" s="85">
        <f t="shared" si="200"/>
        <v>914.53450266153834</v>
      </c>
      <c r="AC226" s="90">
        <f t="shared" si="201"/>
        <v>913.46204712425447</v>
      </c>
      <c r="AD226" s="86">
        <f t="shared" si="202"/>
        <v>-120601.13476</v>
      </c>
      <c r="AE226" s="85">
        <f t="shared" si="203"/>
        <v>4140.4375383844126</v>
      </c>
      <c r="AF226" s="85">
        <f t="shared" si="204"/>
        <v>-47728.412140057764</v>
      </c>
      <c r="AG226" s="90">
        <f t="shared" si="205"/>
        <v>4140.4375383844126</v>
      </c>
      <c r="AH226" s="86">
        <f t="shared" si="206"/>
        <v>-9226.1541099999995</v>
      </c>
      <c r="AI226" s="85">
        <f t="shared" si="207"/>
        <v>6238.0466047659793</v>
      </c>
      <c r="AJ226" s="85">
        <f t="shared" si="208"/>
        <v>-6269.1724258266349</v>
      </c>
      <c r="AK226" s="90">
        <f t="shared" si="209"/>
        <v>6238.0466047659793</v>
      </c>
      <c r="AM226" s="95">
        <f t="shared" si="147"/>
        <v>0</v>
      </c>
      <c r="AN226" s="95">
        <f t="shared" si="148"/>
        <v>0</v>
      </c>
      <c r="AO226" s="95">
        <f t="shared" si="149"/>
        <v>0</v>
      </c>
      <c r="AP226" s="95">
        <f t="shared" si="150"/>
        <v>0</v>
      </c>
      <c r="AQ226"/>
      <c r="AR226" s="95">
        <f t="shared" si="210"/>
        <v>0</v>
      </c>
      <c r="AS226" s="95">
        <f t="shared" si="211"/>
        <v>0</v>
      </c>
      <c r="AT226" s="95">
        <f>Geraetedaten!$B$94*ABS(SIN(RADIANS($A226)))</f>
        <v>13.421984383139323</v>
      </c>
      <c r="AU226" s="95">
        <f>Geraetedaten!$B$94*ABS(COS(RADIANS($A226)))</f>
        <v>153.4139835061288</v>
      </c>
      <c r="AV226" s="95">
        <f>((h_Aw_Sw+Geraetedaten!$B$18)/1000)*(AR226*AT226+AS226*AU226)/100</f>
        <v>0</v>
      </c>
      <c r="AX226" s="18">
        <f t="shared" si="212"/>
        <v>0.99619469809174555</v>
      </c>
    </row>
    <row r="227" spans="1:50" ht="13.5" x14ac:dyDescent="0.25">
      <c r="A227" s="16">
        <v>186</v>
      </c>
      <c r="B227" s="16">
        <f t="shared" si="185"/>
        <v>264</v>
      </c>
      <c r="C227" s="19">
        <f t="shared" si="186"/>
        <v>36.425373313669596</v>
      </c>
      <c r="D227" s="17">
        <f t="shared" si="153"/>
        <v>100710.92923668632</v>
      </c>
      <c r="E227" s="17">
        <f t="shared" si="187"/>
        <v>8773.7767266863302</v>
      </c>
      <c r="F227" s="17">
        <f t="shared" si="188"/>
        <v>-100514.77567331368</v>
      </c>
      <c r="G227" s="17">
        <f t="shared" si="189"/>
        <v>-9280.1232433136702</v>
      </c>
      <c r="H227" s="17">
        <f t="shared" si="156"/>
        <v>8773.7767266863302</v>
      </c>
      <c r="I227" s="17">
        <f t="shared" si="190"/>
        <v>915.44834886213278</v>
      </c>
      <c r="J227" s="20">
        <f>(Geraetedaten!$B$152+(Geraetedaten!$B$153*(Geraetedaten!$B$18+d_y_Sw)/1000))*10</f>
        <v>6051.0442000000003</v>
      </c>
      <c r="K227" s="20">
        <f>(Geraetedaten!$B$165+(Geraetedaten!$B$166*(Geraetedaten!$B$18+d_y_Sw)/1000))*10</f>
        <v>10816.164000000001</v>
      </c>
      <c r="L227" s="20">
        <f>(Geraetedaten!$B$158+(Geraetedaten!$B$159*(Geraetedaten!$B$18+d_y_Sw)/1000)-(Geraetedaten!$B$160*I227/1000))*10</f>
        <v>534.40677257793959</v>
      </c>
      <c r="M227" s="20">
        <f>(Geraetedaten!$B$171+(Geraetedaten!$B$172*(Geraetedaten!$B$18+d_y_Sw)/1000)-(Geraetedaten!$B$173*I227/1000))*10</f>
        <v>996.72102491070382</v>
      </c>
      <c r="N227" s="20">
        <f>IF((H227-J227)/(K227-J227)*(Geraetedaten!$B$174-Geraetedaten!$B$161)&lt;Geraetedaten!$B$174,(H227-J227)/(K227-J227)*(Geraetedaten!$B$174-Geraetedaten!$B$161),Geraetedaten!$B$174)</f>
        <v>228.55522135551178</v>
      </c>
      <c r="O227" s="20">
        <f>N227/Geraetedaten!$B$174*(M227-L227)+L227+C227</f>
        <v>834.99298658591636</v>
      </c>
      <c r="P227" s="20">
        <f t="shared" si="163"/>
        <v>242.60729624571528</v>
      </c>
      <c r="Q227" s="20"/>
      <c r="R227" s="21">
        <f>(N227-Geraetedaten!$B$161)/(Geraetedaten!$B$174-Geraetedaten!$B$161)*(Geraetedaten!$B$175-Geraetedaten!$B$162)+Geraetedaten!$B$162</f>
        <v>35.999517835326472</v>
      </c>
      <c r="S227" s="21">
        <f t="shared" si="191"/>
        <v>35.999517835326472</v>
      </c>
      <c r="T227" s="21">
        <f t="shared" si="192"/>
        <v>-3.7629742777031603</v>
      </c>
      <c r="U227" s="88">
        <f t="shared" si="193"/>
        <v>-35.802308709932845</v>
      </c>
      <c r="V227" s="86">
        <f t="shared" si="194"/>
        <v>100747.35460999999</v>
      </c>
      <c r="W227" s="85">
        <f t="shared" si="195"/>
        <v>-4225.3239992296285</v>
      </c>
      <c r="X227" s="85">
        <f t="shared" si="196"/>
        <v>40257.049898752768</v>
      </c>
      <c r="Y227" s="90">
        <f t="shared" si="197"/>
        <v>4225.3239992296285</v>
      </c>
      <c r="Z227" s="86">
        <f t="shared" si="198"/>
        <v>8810.2021000000004</v>
      </c>
      <c r="AA227" s="85">
        <f t="shared" si="199"/>
        <v>-913.46204712425447</v>
      </c>
      <c r="AB227" s="85">
        <f t="shared" si="200"/>
        <v>915.44834886213278</v>
      </c>
      <c r="AC227" s="90">
        <f t="shared" si="201"/>
        <v>913.46204712425447</v>
      </c>
      <c r="AD227" s="86">
        <f t="shared" si="202"/>
        <v>-100478.35030000001</v>
      </c>
      <c r="AE227" s="85">
        <f t="shared" si="203"/>
        <v>4140.4375383844126</v>
      </c>
      <c r="AF227" s="85">
        <f t="shared" si="204"/>
        <v>-39764.734585377853</v>
      </c>
      <c r="AG227" s="90">
        <f t="shared" si="205"/>
        <v>4140.4375383844126</v>
      </c>
      <c r="AH227" s="86">
        <f t="shared" si="206"/>
        <v>-9243.69787</v>
      </c>
      <c r="AI227" s="85">
        <f t="shared" si="207"/>
        <v>6238.0466047659793</v>
      </c>
      <c r="AJ227" s="85">
        <f t="shared" si="208"/>
        <v>-6281.0934130176402</v>
      </c>
      <c r="AK227" s="90">
        <f t="shared" si="209"/>
        <v>6238.0466047659793</v>
      </c>
      <c r="AM227" s="95">
        <f t="shared" si="147"/>
        <v>0</v>
      </c>
      <c r="AN227" s="95">
        <f t="shared" si="148"/>
        <v>0</v>
      </c>
      <c r="AO227" s="95">
        <f t="shared" si="149"/>
        <v>0</v>
      </c>
      <c r="AP227" s="95">
        <f t="shared" si="150"/>
        <v>0</v>
      </c>
      <c r="AQ227"/>
      <c r="AR227" s="95">
        <f t="shared" si="210"/>
        <v>0</v>
      </c>
      <c r="AS227" s="95">
        <f t="shared" si="211"/>
        <v>0</v>
      </c>
      <c r="AT227" s="95">
        <f>Geraetedaten!$B$94*ABS(SIN(RADIANS($A227)))</f>
        <v>16.097383343218638</v>
      </c>
      <c r="AU227" s="95">
        <f>Geraetedaten!$B$94*ABS(COS(RADIANS($A227)))</f>
        <v>153.15637188671408</v>
      </c>
      <c r="AV227" s="95">
        <f>((h_Aw_Sw+Geraetedaten!$B$18)/1000)*(AR227*AT227+AS227*AU227)/100</f>
        <v>0</v>
      </c>
      <c r="AX227" s="18">
        <f t="shared" si="212"/>
        <v>0.99452189536827329</v>
      </c>
    </row>
    <row r="228" spans="1:50" ht="13.5" x14ac:dyDescent="0.25">
      <c r="A228" s="16">
        <v>187</v>
      </c>
      <c r="B228" s="16">
        <f t="shared" si="185"/>
        <v>263</v>
      </c>
      <c r="C228" s="19">
        <f t="shared" si="186"/>
        <v>37.468186017463054</v>
      </c>
      <c r="D228" s="17">
        <f t="shared" si="153"/>
        <v>86425.495123982546</v>
      </c>
      <c r="E228" s="17">
        <f t="shared" si="187"/>
        <v>8784.2361539825379</v>
      </c>
      <c r="F228" s="17">
        <f t="shared" si="188"/>
        <v>-86170.425086017465</v>
      </c>
      <c r="G228" s="17">
        <f t="shared" si="189"/>
        <v>-9301.6039860174624</v>
      </c>
      <c r="H228" s="17">
        <f t="shared" si="156"/>
        <v>8784.2361539825379</v>
      </c>
      <c r="I228" s="17">
        <f t="shared" si="190"/>
        <v>916.64352098997324</v>
      </c>
      <c r="J228" s="20">
        <f>(Geraetedaten!$B$152+(Geraetedaten!$B$153*(Geraetedaten!$B$18+d_y_Sw)/1000))*10</f>
        <v>6051.0442000000003</v>
      </c>
      <c r="K228" s="20">
        <f>(Geraetedaten!$B$165+(Geraetedaten!$B$166*(Geraetedaten!$B$18+d_y_Sw)/1000))*10</f>
        <v>10816.164000000001</v>
      </c>
      <c r="L228" s="20">
        <f>(Geraetedaten!$B$158+(Geraetedaten!$B$159*(Geraetedaten!$B$18+d_y_Sw)/1000)-(Geraetedaten!$B$160*I228/1000))*10</f>
        <v>534.31913060580496</v>
      </c>
      <c r="M228" s="20">
        <f>(Geraetedaten!$B$171+(Geraetedaten!$B$172*(Geraetedaten!$B$18+d_y_Sw)/1000)-(Geraetedaten!$B$173*I228/1000))*10</f>
        <v>996.63205629750735</v>
      </c>
      <c r="N228" s="20">
        <f>IF((H228-J228)/(K228-J228)*(Geraetedaten!$B$174-Geraetedaten!$B$161)&lt;Geraetedaten!$B$174,(H228-J228)/(K228-J228)*(Geraetedaten!$B$174-Geraetedaten!$B$161),Geraetedaten!$B$174)</f>
        <v>229.43322046027365</v>
      </c>
      <c r="O228" s="20">
        <f>N228/Geraetedaten!$B$174*(M228-L228)+L228+C228</f>
        <v>836.96217512791418</v>
      </c>
      <c r="P228" s="20">
        <f t="shared" si="163"/>
        <v>243.00680121130478</v>
      </c>
      <c r="Q228" s="20"/>
      <c r="R228" s="21">
        <f>(N228-Geraetedaten!$B$161)/(Geraetedaten!$B$174-Geraetedaten!$B$161)*(Geraetedaten!$B$175-Geraetedaten!$B$162)+Geraetedaten!$B$162</f>
        <v>36.025638308693139</v>
      </c>
      <c r="S228" s="21">
        <f t="shared" si="191"/>
        <v>36.025638308693139</v>
      </c>
      <c r="T228" s="21">
        <f t="shared" si="192"/>
        <v>-4.3904208864317544</v>
      </c>
      <c r="U228" s="88">
        <f t="shared" si="193"/>
        <v>-35.757108663715563</v>
      </c>
      <c r="V228" s="86">
        <f t="shared" si="194"/>
        <v>86462.963310000006</v>
      </c>
      <c r="W228" s="85">
        <f t="shared" si="195"/>
        <v>-4225.3239992296285</v>
      </c>
      <c r="X228" s="85">
        <f t="shared" si="196"/>
        <v>34549.232998840125</v>
      </c>
      <c r="Y228" s="90">
        <f t="shared" si="197"/>
        <v>4225.3239992296285</v>
      </c>
      <c r="Z228" s="86">
        <f t="shared" si="198"/>
        <v>8821.7043400000002</v>
      </c>
      <c r="AA228" s="85">
        <f t="shared" si="199"/>
        <v>-913.46204712425447</v>
      </c>
      <c r="AB228" s="85">
        <f t="shared" si="200"/>
        <v>916.64352098997324</v>
      </c>
      <c r="AC228" s="90">
        <f t="shared" si="201"/>
        <v>913.46204712425447</v>
      </c>
      <c r="AD228" s="86">
        <f t="shared" si="202"/>
        <v>-86132.956900000005</v>
      </c>
      <c r="AE228" s="85">
        <f t="shared" si="203"/>
        <v>4140.4375383844126</v>
      </c>
      <c r="AF228" s="85">
        <f t="shared" si="204"/>
        <v>-34087.484119831053</v>
      </c>
      <c r="AG228" s="90">
        <f t="shared" si="205"/>
        <v>4140.4375383844126</v>
      </c>
      <c r="AH228" s="86">
        <f t="shared" si="206"/>
        <v>-9264.1358</v>
      </c>
      <c r="AI228" s="85">
        <f t="shared" si="207"/>
        <v>6238.0466047659793</v>
      </c>
      <c r="AJ228" s="85">
        <f t="shared" si="208"/>
        <v>-6294.9809880209432</v>
      </c>
      <c r="AK228" s="90">
        <f t="shared" si="209"/>
        <v>6238.0466047659793</v>
      </c>
      <c r="AM228" s="95">
        <f t="shared" si="147"/>
        <v>0</v>
      </c>
      <c r="AN228" s="95">
        <f t="shared" si="148"/>
        <v>0</v>
      </c>
      <c r="AO228" s="95">
        <f t="shared" si="149"/>
        <v>0</v>
      </c>
      <c r="AP228" s="95">
        <f t="shared" si="150"/>
        <v>0</v>
      </c>
      <c r="AQ228"/>
      <c r="AR228" s="95">
        <f t="shared" si="210"/>
        <v>0</v>
      </c>
      <c r="AS228" s="95">
        <f t="shared" si="211"/>
        <v>0</v>
      </c>
      <c r="AT228" s="95">
        <f>Geraetedaten!$B$94*ABS(SIN(RADIANS($A228)))</f>
        <v>18.767878884392687</v>
      </c>
      <c r="AU228" s="95">
        <f>Geraetedaten!$B$94*ABS(COS(RADIANS($A228)))</f>
        <v>152.8521073527636</v>
      </c>
      <c r="AV228" s="95">
        <f>((h_Aw_Sw+Geraetedaten!$B$18)/1000)*(AR228*AT228+AS228*AU228)/100</f>
        <v>0</v>
      </c>
      <c r="AX228" s="18">
        <f t="shared" si="212"/>
        <v>0.99254615164132209</v>
      </c>
    </row>
    <row r="229" spans="1:50" ht="13.5" x14ac:dyDescent="0.25">
      <c r="A229" s="16">
        <v>188</v>
      </c>
      <c r="B229" s="16">
        <f t="shared" si="185"/>
        <v>262</v>
      </c>
      <c r="C229" s="19">
        <f t="shared" si="186"/>
        <v>38.499585548833146</v>
      </c>
      <c r="D229" s="17">
        <f t="shared" si="153"/>
        <v>75707.889454451157</v>
      </c>
      <c r="E229" s="17">
        <f t="shared" si="187"/>
        <v>8797.4320944511674</v>
      </c>
      <c r="F229" s="17">
        <f t="shared" si="188"/>
        <v>-75430.61483554884</v>
      </c>
      <c r="G229" s="17">
        <f t="shared" si="189"/>
        <v>-9325.9992255488323</v>
      </c>
      <c r="H229" s="17">
        <f t="shared" si="156"/>
        <v>8797.4320944511674</v>
      </c>
      <c r="I229" s="17">
        <f t="shared" si="190"/>
        <v>918.12185234548565</v>
      </c>
      <c r="J229" s="20">
        <f>(Geraetedaten!$B$152+(Geraetedaten!$B$153*(Geraetedaten!$B$18+d_y_Sw)/1000))*10</f>
        <v>6051.0442000000003</v>
      </c>
      <c r="K229" s="20">
        <f>(Geraetedaten!$B$165+(Geraetedaten!$B$166*(Geraetedaten!$B$18+d_y_Sw)/1000))*10</f>
        <v>10816.164000000001</v>
      </c>
      <c r="L229" s="20">
        <f>(Geraetedaten!$B$158+(Geraetedaten!$B$159*(Geraetedaten!$B$18+d_y_Sw)/1000)-(Geraetedaten!$B$160*I229/1000))*10</f>
        <v>534.21072456750528</v>
      </c>
      <c r="M229" s="20">
        <f>(Geraetedaten!$B$171+(Geraetedaten!$B$172*(Geraetedaten!$B$18+d_y_Sw)/1000)-(Geraetedaten!$B$173*I229/1000))*10</f>
        <v>996.52200931140305</v>
      </c>
      <c r="N229" s="20">
        <f>IF((H229-J229)/(K229-J229)*(Geraetedaten!$B$174-Geraetedaten!$B$161)&lt;Geraetedaten!$B$174,(H229-J229)/(K229-J229)*(Geraetedaten!$B$174-Geraetedaten!$B$161),Geraetedaten!$B$174)</f>
        <v>230.54093157961458</v>
      </c>
      <c r="O229" s="20">
        <f>N229/Geraetedaten!$B$174*(M229-L229)+L229+C229</f>
        <v>839.16449577790502</v>
      </c>
      <c r="P229" s="20">
        <f t="shared" si="163"/>
        <v>243.42799225556607</v>
      </c>
      <c r="Q229" s="20"/>
      <c r="R229" s="21">
        <f>(N229-Geraetedaten!$B$161)/(Geraetedaten!$B$174-Geraetedaten!$B$161)*(Geraetedaten!$B$175-Geraetedaten!$B$162)+Geraetedaten!$B$162</f>
        <v>36.058592714493535</v>
      </c>
      <c r="S229" s="21">
        <f t="shared" si="191"/>
        <v>36.058592714493535</v>
      </c>
      <c r="T229" s="21">
        <f t="shared" si="192"/>
        <v>-5.0183861643320915</v>
      </c>
      <c r="U229" s="88">
        <f t="shared" si="193"/>
        <v>-35.70767296892037</v>
      </c>
      <c r="V229" s="86">
        <f t="shared" si="194"/>
        <v>75746.389039999995</v>
      </c>
      <c r="W229" s="85">
        <f t="shared" si="195"/>
        <v>-4225.3239992296285</v>
      </c>
      <c r="X229" s="85">
        <f t="shared" si="196"/>
        <v>30267.059369031504</v>
      </c>
      <c r="Y229" s="90">
        <f t="shared" si="197"/>
        <v>4225.3239992296285</v>
      </c>
      <c r="Z229" s="86">
        <f t="shared" si="198"/>
        <v>8835.9316799999997</v>
      </c>
      <c r="AA229" s="85">
        <f t="shared" si="199"/>
        <v>-913.46204712425447</v>
      </c>
      <c r="AB229" s="85">
        <f t="shared" si="200"/>
        <v>918.12185234548565</v>
      </c>
      <c r="AC229" s="90">
        <f t="shared" si="201"/>
        <v>913.46204712425447</v>
      </c>
      <c r="AD229" s="86">
        <f t="shared" si="202"/>
        <v>-75392.115250000003</v>
      </c>
      <c r="AE229" s="85">
        <f t="shared" si="203"/>
        <v>4140.4375383844126</v>
      </c>
      <c r="AF229" s="85">
        <f t="shared" si="204"/>
        <v>-29836.750342044401</v>
      </c>
      <c r="AG229" s="90">
        <f t="shared" si="205"/>
        <v>4140.4375383844126</v>
      </c>
      <c r="AH229" s="86">
        <f t="shared" si="206"/>
        <v>-9287.49964</v>
      </c>
      <c r="AI229" s="85">
        <f t="shared" si="207"/>
        <v>6238.0466047659793</v>
      </c>
      <c r="AJ229" s="85">
        <f t="shared" si="208"/>
        <v>-6310.8567181499657</v>
      </c>
      <c r="AK229" s="90">
        <f t="shared" si="209"/>
        <v>6238.0466047659793</v>
      </c>
      <c r="AM229" s="95">
        <f t="shared" si="147"/>
        <v>0</v>
      </c>
      <c r="AN229" s="95">
        <f t="shared" si="148"/>
        <v>0</v>
      </c>
      <c r="AO229" s="95">
        <f t="shared" si="149"/>
        <v>0</v>
      </c>
      <c r="AP229" s="95">
        <f t="shared" si="150"/>
        <v>0</v>
      </c>
      <c r="AQ229"/>
      <c r="AR229" s="95">
        <f t="shared" si="210"/>
        <v>0</v>
      </c>
      <c r="AS229" s="95">
        <f t="shared" si="211"/>
        <v>0</v>
      </c>
      <c r="AT229" s="95">
        <f>Geraetedaten!$B$94*ABS(SIN(RADIANS($A229)))</f>
        <v>21.432657547850091</v>
      </c>
      <c r="AU229" s="95">
        <f>Geraetedaten!$B$94*ABS(COS(RADIANS($A229)))</f>
        <v>152.50128258620182</v>
      </c>
      <c r="AV229" s="95">
        <f>((h_Aw_Sw+Geraetedaten!$B$18)/1000)*(AR229*AT229+AS229*AU229)/100</f>
        <v>0</v>
      </c>
      <c r="AX229" s="18">
        <f t="shared" si="212"/>
        <v>0.99026806874157025</v>
      </c>
    </row>
    <row r="230" spans="1:50" ht="13.5" x14ac:dyDescent="0.25">
      <c r="A230" s="16">
        <v>189</v>
      </c>
      <c r="B230" s="16">
        <f t="shared" si="185"/>
        <v>261</v>
      </c>
      <c r="C230" s="19">
        <f t="shared" si="186"/>
        <v>39.519257733491187</v>
      </c>
      <c r="D230" s="17">
        <f t="shared" si="153"/>
        <v>67372.128002266501</v>
      </c>
      <c r="E230" s="17">
        <f t="shared" si="187"/>
        <v>8813.3867722665091</v>
      </c>
      <c r="F230" s="17">
        <f t="shared" si="188"/>
        <v>-67090.725347733503</v>
      </c>
      <c r="G230" s="17">
        <f t="shared" si="189"/>
        <v>-9353.3451277334916</v>
      </c>
      <c r="H230" s="17">
        <f t="shared" si="156"/>
        <v>8813.3867722665091</v>
      </c>
      <c r="I230" s="17">
        <f t="shared" si="190"/>
        <v>919.88561851566021</v>
      </c>
      <c r="J230" s="20">
        <f>(Geraetedaten!$B$152+(Geraetedaten!$B$153*(Geraetedaten!$B$18+d_y_Sw)/1000))*10</f>
        <v>6051.0442000000003</v>
      </c>
      <c r="K230" s="20">
        <f>(Geraetedaten!$B$165+(Geraetedaten!$B$166*(Geraetedaten!$B$18+d_y_Sw)/1000))*10</f>
        <v>10816.164000000001</v>
      </c>
      <c r="L230" s="20">
        <f>(Geraetedaten!$B$158+(Geraetedaten!$B$159*(Geraetedaten!$B$18+d_y_Sw)/1000)-(Geraetedaten!$B$160*I230/1000))*10</f>
        <v>534.08138759424639</v>
      </c>
      <c r="M230" s="20">
        <f>(Geraetedaten!$B$171+(Geraetedaten!$B$172*(Geraetedaten!$B$18+d_y_Sw)/1000)-(Geraetedaten!$B$173*I230/1000))*10</f>
        <v>996.39071455769522</v>
      </c>
      <c r="N230" s="20">
        <f>IF((H230-J230)/(K230-J230)*(Geraetedaten!$B$174-Geraetedaten!$B$161)&lt;Geraetedaten!$B$174,(H230-J230)/(K230-J230)*(Geraetedaten!$B$174-Geraetedaten!$B$161),Geraetedaten!$B$174)</f>
        <v>231.88022028461978</v>
      </c>
      <c r="O230" s="20">
        <f>N230/Geraetedaten!$B$174*(M230-L230)+L230+C230</f>
        <v>841.60161676753467</v>
      </c>
      <c r="P230" s="20">
        <f t="shared" si="163"/>
        <v>243.87069029767875</v>
      </c>
      <c r="Q230" s="20"/>
      <c r="R230" s="21">
        <f>(N230-Geraetedaten!$B$161)/(Geraetedaten!$B$174-Geraetedaten!$B$161)*(Geraetedaten!$B$175-Geraetedaten!$B$162)+Geraetedaten!$B$162</f>
        <v>36.098436553467437</v>
      </c>
      <c r="S230" s="21">
        <f t="shared" si="191"/>
        <v>36.098436553467437</v>
      </c>
      <c r="T230" s="21">
        <f t="shared" si="192"/>
        <v>-5.6470396110303884</v>
      </c>
      <c r="U230" s="88">
        <f t="shared" si="193"/>
        <v>-35.654004897573117</v>
      </c>
      <c r="V230" s="86">
        <f t="shared" si="194"/>
        <v>67411.647259999998</v>
      </c>
      <c r="W230" s="85">
        <f t="shared" si="195"/>
        <v>-4225.3239992296285</v>
      </c>
      <c r="X230" s="85">
        <f t="shared" si="196"/>
        <v>26936.628339183604</v>
      </c>
      <c r="Y230" s="90">
        <f t="shared" si="197"/>
        <v>4225.3239992296285</v>
      </c>
      <c r="Z230" s="86">
        <f t="shared" si="198"/>
        <v>8852.9060300000001</v>
      </c>
      <c r="AA230" s="85">
        <f t="shared" si="199"/>
        <v>-913.46204712425447</v>
      </c>
      <c r="AB230" s="85">
        <f t="shared" si="200"/>
        <v>919.88561851566021</v>
      </c>
      <c r="AC230" s="90">
        <f t="shared" si="201"/>
        <v>913.46204712425447</v>
      </c>
      <c r="AD230" s="86">
        <f t="shared" si="202"/>
        <v>-67051.206090000007</v>
      </c>
      <c r="AE230" s="85">
        <f t="shared" si="203"/>
        <v>4140.4375383844126</v>
      </c>
      <c r="AF230" s="85">
        <f t="shared" si="204"/>
        <v>-26535.8000579953</v>
      </c>
      <c r="AG230" s="90">
        <f t="shared" si="205"/>
        <v>4140.4375383844126</v>
      </c>
      <c r="AH230" s="86">
        <f t="shared" si="206"/>
        <v>-9313.8258700000006</v>
      </c>
      <c r="AI230" s="85">
        <f t="shared" si="207"/>
        <v>6238.0466047659793</v>
      </c>
      <c r="AJ230" s="85">
        <f t="shared" si="208"/>
        <v>-6328.745398140828</v>
      </c>
      <c r="AK230" s="90">
        <f t="shared" si="209"/>
        <v>6238.0466047659793</v>
      </c>
      <c r="AM230" s="95">
        <f t="shared" si="147"/>
        <v>0</v>
      </c>
      <c r="AN230" s="95">
        <f t="shared" si="148"/>
        <v>0</v>
      </c>
      <c r="AO230" s="95">
        <f t="shared" si="149"/>
        <v>0</v>
      </c>
      <c r="AP230" s="95">
        <f t="shared" si="150"/>
        <v>0</v>
      </c>
      <c r="AQ230"/>
      <c r="AR230" s="95">
        <f t="shared" si="210"/>
        <v>0</v>
      </c>
      <c r="AS230" s="95">
        <f t="shared" si="211"/>
        <v>0</v>
      </c>
      <c r="AT230" s="95">
        <f>Geraetedaten!$B$94*ABS(SIN(RADIANS($A230)))</f>
        <v>24.090907616195533</v>
      </c>
      <c r="AU230" s="95">
        <f>Geraetedaten!$B$94*ABS(COS(RADIANS($A230)))</f>
        <v>152.10400445165121</v>
      </c>
      <c r="AV230" s="95">
        <f>((h_Aw_Sw+Geraetedaten!$B$18)/1000)*(AR230*AT230+AS230*AU230)/100</f>
        <v>0</v>
      </c>
      <c r="AX230" s="18">
        <f t="shared" si="212"/>
        <v>0.98768834059513777</v>
      </c>
    </row>
    <row r="231" spans="1:50" ht="13.5" x14ac:dyDescent="0.25">
      <c r="A231" s="16">
        <v>190</v>
      </c>
      <c r="B231" s="16">
        <f t="shared" si="185"/>
        <v>260</v>
      </c>
      <c r="C231" s="19">
        <f t="shared" si="186"/>
        <v>40.526891969411977</v>
      </c>
      <c r="D231" s="17">
        <f t="shared" si="153"/>
        <v>60705.450308030588</v>
      </c>
      <c r="E231" s="17">
        <f t="shared" si="187"/>
        <v>8832.1267180305877</v>
      </c>
      <c r="F231" s="17">
        <f t="shared" si="188"/>
        <v>-60429.114631969416</v>
      </c>
      <c r="G231" s="17">
        <f t="shared" si="189"/>
        <v>-9383.6827819694117</v>
      </c>
      <c r="H231" s="17">
        <f t="shared" si="156"/>
        <v>8832.1267180305877</v>
      </c>
      <c r="I231" s="17">
        <f t="shared" si="190"/>
        <v>921.93754596559404</v>
      </c>
      <c r="J231" s="20">
        <f>(Geraetedaten!$B$152+(Geraetedaten!$B$153*(Geraetedaten!$B$18+d_y_Sw)/1000))*10</f>
        <v>6051.0442000000003</v>
      </c>
      <c r="K231" s="20">
        <f>(Geraetedaten!$B$165+(Geraetedaten!$B$166*(Geraetedaten!$B$18+d_y_Sw)/1000))*10</f>
        <v>10816.164000000001</v>
      </c>
      <c r="L231" s="20">
        <f>(Geraetedaten!$B$158+(Geraetedaten!$B$159*(Geraetedaten!$B$18+d_y_Sw)/1000)-(Geraetedaten!$B$160*I231/1000))*10</f>
        <v>533.93091975434277</v>
      </c>
      <c r="M231" s="20">
        <f>(Geraetedaten!$B$171+(Geraetedaten!$B$172*(Geraetedaten!$B$18+d_y_Sw)/1000)-(Geraetedaten!$B$173*I231/1000))*10</f>
        <v>996.23796907832218</v>
      </c>
      <c r="N231" s="20">
        <f>IF((H231-J231)/(K231-J231)*(Geraetedaten!$B$174-Geraetedaten!$B$161)&lt;Geraetedaten!$B$174,(H231-J231)/(K231-J231)*(Geraetedaten!$B$174-Geraetedaten!$B$161),Geraetedaten!$B$174)</f>
        <v>233.45331364223725</v>
      </c>
      <c r="O231" s="20">
        <f>N231/Geraetedaten!$B$174*(M231-L231)+L231+C231</f>
        <v>844.27559318587532</v>
      </c>
      <c r="P231" s="20">
        <f t="shared" si="163"/>
        <v>244.3347306434608</v>
      </c>
      <c r="Q231" s="20"/>
      <c r="R231" s="21">
        <f>(N231-Geraetedaten!$B$161)/(Geraetedaten!$B$174-Geraetedaten!$B$161)*(Geraetedaten!$B$175-Geraetedaten!$B$162)+Geraetedaten!$B$162</f>
        <v>36.145236080856556</v>
      </c>
      <c r="S231" s="21">
        <f t="shared" si="191"/>
        <v>36.145236080856556</v>
      </c>
      <c r="T231" s="21">
        <f t="shared" si="192"/>
        <v>-6.2765543767817249</v>
      </c>
      <c r="U231" s="88">
        <f t="shared" si="193"/>
        <v>-35.596108726884133</v>
      </c>
      <c r="V231" s="86">
        <f t="shared" si="194"/>
        <v>60745.977200000001</v>
      </c>
      <c r="W231" s="85">
        <f t="shared" si="195"/>
        <v>-4225.3239992296285</v>
      </c>
      <c r="X231" s="85">
        <f t="shared" si="196"/>
        <v>24273.131980622464</v>
      </c>
      <c r="Y231" s="90">
        <f t="shared" si="197"/>
        <v>4225.3239992296285</v>
      </c>
      <c r="Z231" s="86">
        <f t="shared" si="198"/>
        <v>8872.6536099999994</v>
      </c>
      <c r="AA231" s="85">
        <f t="shared" si="199"/>
        <v>-913.46204712425447</v>
      </c>
      <c r="AB231" s="85">
        <f t="shared" si="200"/>
        <v>921.93754596559404</v>
      </c>
      <c r="AC231" s="90">
        <f t="shared" si="201"/>
        <v>913.46204712425447</v>
      </c>
      <c r="AD231" s="86">
        <f t="shared" si="202"/>
        <v>-60388.587740000003</v>
      </c>
      <c r="AE231" s="85">
        <f t="shared" si="203"/>
        <v>4140.4375383844126</v>
      </c>
      <c r="AF231" s="85">
        <f t="shared" si="204"/>
        <v>-23899.040501710741</v>
      </c>
      <c r="AG231" s="90">
        <f t="shared" si="205"/>
        <v>4140.4375383844126</v>
      </c>
      <c r="AH231" s="86">
        <f t="shared" si="206"/>
        <v>-9343.15589</v>
      </c>
      <c r="AI231" s="85">
        <f t="shared" si="207"/>
        <v>6238.0466047659793</v>
      </c>
      <c r="AJ231" s="85">
        <f t="shared" si="208"/>
        <v>-6348.6751457507362</v>
      </c>
      <c r="AK231" s="90">
        <f t="shared" si="209"/>
        <v>6238.0466047659793</v>
      </c>
      <c r="AM231" s="95">
        <f t="shared" ref="AM231:AM294" si="213">SIN(RADIANS(A231))*r_K_D</f>
        <v>0</v>
      </c>
      <c r="AN231" s="95">
        <f t="shared" ref="AN231:AN294" si="214">COS(RADIANS(A231-180))*r_K_D</f>
        <v>0</v>
      </c>
      <c r="AO231" s="95">
        <f t="shared" ref="AO231:AO294" si="215">SIN(RADIANS(A231))*r_K_SSw</f>
        <v>0</v>
      </c>
      <c r="AP231" s="95">
        <f t="shared" ref="AP231:AP294" si="216">-COS(RADIANS(A231))*r_K_SSw</f>
        <v>0</v>
      </c>
      <c r="AQ231"/>
      <c r="AR231" s="95">
        <f t="shared" si="210"/>
        <v>0</v>
      </c>
      <c r="AS231" s="95">
        <f t="shared" si="211"/>
        <v>0</v>
      </c>
      <c r="AT231" s="95">
        <f>Geraetedaten!$B$94*ABS(SIN(RADIANS($A231)))</f>
        <v>26.741819360707293</v>
      </c>
      <c r="AU231" s="95">
        <f>Geraetedaten!$B$94*ABS(COS(RADIANS($A231)))</f>
        <v>151.66039396388004</v>
      </c>
      <c r="AV231" s="95">
        <f>((h_Aw_Sw+Geraetedaten!$B$18)/1000)*(AR231*AT231+AS231*AU231)/100</f>
        <v>0</v>
      </c>
      <c r="AX231" s="18">
        <f t="shared" si="212"/>
        <v>0.98480775301220802</v>
      </c>
    </row>
    <row r="232" spans="1:50" ht="13.5" x14ac:dyDescent="0.25">
      <c r="A232" s="16">
        <v>191</v>
      </c>
      <c r="B232" s="16">
        <f t="shared" si="185"/>
        <v>259</v>
      </c>
      <c r="C232" s="19">
        <f t="shared" si="186"/>
        <v>41.522181321446041</v>
      </c>
      <c r="D232" s="17">
        <f t="shared" ref="D232:D295" si="217">IF(ISNUMBER(V232),V232-C232,"unendlich")</f>
        <v>55253.701528678554</v>
      </c>
      <c r="E232" s="17">
        <f t="shared" si="187"/>
        <v>8853.6829386785539</v>
      </c>
      <c r="F232" s="17">
        <f t="shared" si="188"/>
        <v>-54987.116251321444</v>
      </c>
      <c r="G232" s="17">
        <f t="shared" si="189"/>
        <v>-9417.0582913214457</v>
      </c>
      <c r="H232" s="17">
        <f t="shared" si="156"/>
        <v>8853.6829386785539</v>
      </c>
      <c r="I232" s="17">
        <f t="shared" si="190"/>
        <v>924.28082239566891</v>
      </c>
      <c r="J232" s="20">
        <f>(Geraetedaten!$B$152+(Geraetedaten!$B$153*(Geraetedaten!$B$18+d_y_Sw)/1000))*10</f>
        <v>6051.0442000000003</v>
      </c>
      <c r="K232" s="20">
        <f>(Geraetedaten!$B$165+(Geraetedaten!$B$166*(Geraetedaten!$B$18+d_y_Sw)/1000))*10</f>
        <v>10816.164000000001</v>
      </c>
      <c r="L232" s="20">
        <f>(Geraetedaten!$B$158+(Geraetedaten!$B$159*(Geraetedaten!$B$18+d_y_Sw)/1000)-(Geraetedaten!$B$160*I232/1000))*10</f>
        <v>533.75908729372532</v>
      </c>
      <c r="M232" s="20">
        <f>(Geraetedaten!$B$171+(Geraetedaten!$B$172*(Geraetedaten!$B$18+d_y_Sw)/1000)-(Geraetedaten!$B$173*I232/1000))*10</f>
        <v>996.06353558086744</v>
      </c>
      <c r="N232" s="20">
        <f>IF((H232-J232)/(K232-J232)*(Geraetedaten!$B$174-Geraetedaten!$B$161)&lt;Geraetedaten!$B$174,(H232-J232)/(K232-J232)*(Geraetedaten!$B$174-Geraetedaten!$B$161),Geraetedaten!$B$174)</f>
        <v>235.26281447770137</v>
      </c>
      <c r="O232" s="20">
        <f>N232/Geraetedaten!$B$174*(M232-L232)+L232+C232</f>
        <v>847.18888273915638</v>
      </c>
      <c r="P232" s="20">
        <f t="shared" si="163"/>
        <v>244.81996386650971</v>
      </c>
      <c r="Q232" s="20"/>
      <c r="R232" s="21">
        <f>(N232-Geraetedaten!$B$161)/(Geraetedaten!$B$174-Geraetedaten!$B$161)*(Geraetedaten!$B$175-Geraetedaten!$B$162)+Geraetedaten!$B$162</f>
        <v>36.199068730711616</v>
      </c>
      <c r="S232" s="21">
        <f t="shared" si="191"/>
        <v>36.199068730711616</v>
      </c>
      <c r="T232" s="21">
        <f t="shared" si="192"/>
        <v>-6.9071079380735769</v>
      </c>
      <c r="U232" s="88">
        <f t="shared" si="193"/>
        <v>-35.533989881556849</v>
      </c>
      <c r="V232" s="86">
        <f t="shared" si="194"/>
        <v>55295.223709999998</v>
      </c>
      <c r="W232" s="85">
        <f t="shared" si="195"/>
        <v>-4225.3239992296285</v>
      </c>
      <c r="X232" s="85">
        <f t="shared" si="196"/>
        <v>22095.09707237269</v>
      </c>
      <c r="Y232" s="90">
        <f t="shared" si="197"/>
        <v>4225.3239992296285</v>
      </c>
      <c r="Z232" s="86">
        <f t="shared" si="198"/>
        <v>8895.2051200000005</v>
      </c>
      <c r="AA232" s="85">
        <f t="shared" si="199"/>
        <v>-913.46204712425447</v>
      </c>
      <c r="AB232" s="85">
        <f t="shared" si="200"/>
        <v>924.28082239566891</v>
      </c>
      <c r="AC232" s="90">
        <f t="shared" si="201"/>
        <v>913.46204712425447</v>
      </c>
      <c r="AD232" s="86">
        <f t="shared" si="202"/>
        <v>-54945.594069999999</v>
      </c>
      <c r="AE232" s="85">
        <f t="shared" si="203"/>
        <v>4140.4375383844126</v>
      </c>
      <c r="AF232" s="85">
        <f t="shared" si="204"/>
        <v>-21744.952603184727</v>
      </c>
      <c r="AG232" s="90">
        <f t="shared" si="205"/>
        <v>4140.4375383844126</v>
      </c>
      <c r="AH232" s="86">
        <f t="shared" si="206"/>
        <v>-9375.5361099999991</v>
      </c>
      <c r="AI232" s="85">
        <f t="shared" si="207"/>
        <v>6238.0466047659793</v>
      </c>
      <c r="AJ232" s="85">
        <f t="shared" si="208"/>
        <v>-6370.6775111692878</v>
      </c>
      <c r="AK232" s="90">
        <f t="shared" si="209"/>
        <v>6238.0466047659793</v>
      </c>
      <c r="AM232" s="95">
        <f t="shared" si="213"/>
        <v>0</v>
      </c>
      <c r="AN232" s="95">
        <f t="shared" si="214"/>
        <v>0</v>
      </c>
      <c r="AO232" s="95">
        <f t="shared" si="215"/>
        <v>0</v>
      </c>
      <c r="AP232" s="95">
        <f t="shared" si="216"/>
        <v>0</v>
      </c>
      <c r="AQ232"/>
      <c r="AR232" s="95">
        <f t="shared" si="210"/>
        <v>0</v>
      </c>
      <c r="AS232" s="95">
        <f t="shared" si="211"/>
        <v>0</v>
      </c>
      <c r="AT232" s="95">
        <f>Geraetedaten!$B$94*ABS(SIN(RADIANS($A232)))</f>
        <v>29.384585287987885</v>
      </c>
      <c r="AU232" s="95">
        <f>Geraetedaten!$B$94*ABS(COS(RADIANS($A232)))</f>
        <v>151.17058625094026</v>
      </c>
      <c r="AV232" s="95">
        <f>((h_Aw_Sw+Geraetedaten!$B$18)/1000)*(AR232*AT232+AS232*AU232)/100</f>
        <v>0</v>
      </c>
      <c r="AX232" s="18">
        <f t="shared" si="212"/>
        <v>0.98162718344766398</v>
      </c>
    </row>
    <row r="233" spans="1:50" ht="13.5" x14ac:dyDescent="0.25">
      <c r="A233" s="16">
        <v>192</v>
      </c>
      <c r="B233" s="16">
        <f t="shared" si="185"/>
        <v>258</v>
      </c>
      <c r="C233" s="19">
        <f t="shared" si="186"/>
        <v>42.504822614815225</v>
      </c>
      <c r="D233" s="17">
        <f t="shared" si="217"/>
        <v>50713.802157385187</v>
      </c>
      <c r="E233" s="17">
        <f t="shared" si="187"/>
        <v>8878.0909573851841</v>
      </c>
      <c r="F233" s="17">
        <f t="shared" si="188"/>
        <v>-50459.252702614816</v>
      </c>
      <c r="G233" s="17">
        <f t="shared" si="189"/>
        <v>-9453.5230326148157</v>
      </c>
      <c r="H233" s="17">
        <f t="shared" si="156"/>
        <v>8878.0909573851841</v>
      </c>
      <c r="I233" s="17">
        <f t="shared" si="190"/>
        <v>926.91910893811473</v>
      </c>
      <c r="J233" s="20">
        <f>(Geraetedaten!$B$152+(Geraetedaten!$B$153*(Geraetedaten!$B$18+d_y_Sw)/1000))*10</f>
        <v>6051.0442000000003</v>
      </c>
      <c r="K233" s="20">
        <f>(Geraetedaten!$B$165+(Geraetedaten!$B$166*(Geraetedaten!$B$18+d_y_Sw)/1000))*10</f>
        <v>10816.164000000001</v>
      </c>
      <c r="L233" s="20">
        <f>(Geraetedaten!$B$158+(Geraetedaten!$B$159*(Geraetedaten!$B$18+d_y_Sw)/1000)-(Geraetedaten!$B$160*I233/1000))*10</f>
        <v>533.56562174156784</v>
      </c>
      <c r="M233" s="20">
        <f>(Geraetedaten!$B$171+(Geraetedaten!$B$172*(Geraetedaten!$B$18+d_y_Sw)/1000)-(Geraetedaten!$B$173*I233/1000))*10</f>
        <v>995.86714153064781</v>
      </c>
      <c r="N233" s="20">
        <f>IF((H233-J233)/(K233-J233)*(Geraetedaten!$B$174-Geraetedaten!$B$161)&lt;Geraetedaten!$B$174,(H233-J233)/(K233-J233)*(Geraetedaten!$B$174-Geraetedaten!$B$161),Geraetedaten!$B$174)</f>
        <v>237.3117047244171</v>
      </c>
      <c r="O233" s="20">
        <f>N233/Geraetedaten!$B$174*(M233-L233)+L233+C233</f>
        <v>850.34434875097156</v>
      </c>
      <c r="P233" s="20">
        <f t="shared" si="163"/>
        <v>245.32625510274045</v>
      </c>
      <c r="Q233" s="20"/>
      <c r="R233" s="21">
        <f>(N233-Geraetedaten!$B$161)/(Geraetedaten!$B$174-Geraetedaten!$B$161)*(Geraetedaten!$B$175-Geraetedaten!$B$162)+Geraetedaten!$B$162</f>
        <v>36.260023215551406</v>
      </c>
      <c r="S233" s="21">
        <f t="shared" si="191"/>
        <v>36.260023215551406</v>
      </c>
      <c r="T233" s="21">
        <f t="shared" si="192"/>
        <v>-7.5388827358365056</v>
      </c>
      <c r="U233" s="88">
        <f t="shared" si="193"/>
        <v>-35.467654710843696</v>
      </c>
      <c r="V233" s="86">
        <f t="shared" si="194"/>
        <v>50756.306980000001</v>
      </c>
      <c r="W233" s="85">
        <f t="shared" si="195"/>
        <v>-4225.3239992296285</v>
      </c>
      <c r="X233" s="85">
        <f t="shared" si="196"/>
        <v>20281.41771567483</v>
      </c>
      <c r="Y233" s="90">
        <f t="shared" si="197"/>
        <v>4225.3239992296285</v>
      </c>
      <c r="Z233" s="86">
        <f t="shared" si="198"/>
        <v>8920.5957799999996</v>
      </c>
      <c r="AA233" s="85">
        <f t="shared" si="199"/>
        <v>-913.46204712425447</v>
      </c>
      <c r="AB233" s="85">
        <f t="shared" si="200"/>
        <v>926.91910893811473</v>
      </c>
      <c r="AC233" s="90">
        <f t="shared" si="201"/>
        <v>913.46204712425447</v>
      </c>
      <c r="AD233" s="86">
        <f t="shared" si="202"/>
        <v>-50416.747880000003</v>
      </c>
      <c r="AE233" s="85">
        <f t="shared" si="203"/>
        <v>4140.4375383844126</v>
      </c>
      <c r="AF233" s="85">
        <f t="shared" si="204"/>
        <v>-19952.64245480773</v>
      </c>
      <c r="AG233" s="90">
        <f t="shared" si="205"/>
        <v>4140.4375383844126</v>
      </c>
      <c r="AH233" s="86">
        <f t="shared" si="206"/>
        <v>-9411.0182100000002</v>
      </c>
      <c r="AI233" s="85">
        <f t="shared" si="207"/>
        <v>6238.0466047659793</v>
      </c>
      <c r="AJ233" s="85">
        <f t="shared" si="208"/>
        <v>-6394.787601046216</v>
      </c>
      <c r="AK233" s="90">
        <f t="shared" si="209"/>
        <v>6238.0466047659793</v>
      </c>
      <c r="AM233" s="95">
        <f t="shared" si="213"/>
        <v>0</v>
      </c>
      <c r="AN233" s="95">
        <f t="shared" si="214"/>
        <v>0</v>
      </c>
      <c r="AO233" s="95">
        <f t="shared" si="215"/>
        <v>0</v>
      </c>
      <c r="AP233" s="95">
        <f t="shared" si="216"/>
        <v>0</v>
      </c>
      <c r="AQ233"/>
      <c r="AR233" s="95">
        <f t="shared" si="210"/>
        <v>0</v>
      </c>
      <c r="AS233" s="95">
        <f t="shared" si="211"/>
        <v>0</v>
      </c>
      <c r="AT233" s="95">
        <f>Geraetedaten!$B$94*ABS(SIN(RADIANS($A233)))</f>
        <v>32.018400385934967</v>
      </c>
      <c r="AU233" s="95">
        <f>Geraetedaten!$B$94*ABS(COS(RADIANS($A233)))</f>
        <v>150.63473051300605</v>
      </c>
      <c r="AV233" s="95">
        <f>((h_Aw_Sw+Geraetedaten!$B$18)/1000)*(AR233*AT233+AS233*AU233)/100</f>
        <v>0</v>
      </c>
      <c r="AX233" s="18">
        <f t="shared" si="212"/>
        <v>0.97814760073380558</v>
      </c>
    </row>
    <row r="234" spans="1:50" ht="13.5" x14ac:dyDescent="0.25">
      <c r="A234" s="16">
        <v>193</v>
      </c>
      <c r="B234" s="16">
        <f t="shared" si="185"/>
        <v>257</v>
      </c>
      <c r="C234" s="19">
        <f t="shared" si="186"/>
        <v>43.474516527462441</v>
      </c>
      <c r="D234" s="17">
        <f t="shared" si="217"/>
        <v>46875.752703472535</v>
      </c>
      <c r="E234" s="17">
        <f t="shared" si="187"/>
        <v>8905.3910034725377</v>
      </c>
      <c r="F234" s="17">
        <f t="shared" si="188"/>
        <v>-46634.210606527464</v>
      </c>
      <c r="G234" s="17">
        <f t="shared" si="189"/>
        <v>-9493.1338065274613</v>
      </c>
      <c r="H234" s="17">
        <f t="shared" si="156"/>
        <v>8905.3910034725377</v>
      </c>
      <c r="I234" s="17">
        <f t="shared" si="190"/>
        <v>929.85655428061716</v>
      </c>
      <c r="J234" s="20">
        <f>(Geraetedaten!$B$152+(Geraetedaten!$B$153*(Geraetedaten!$B$18+d_y_Sw)/1000))*10</f>
        <v>6051.0442000000003</v>
      </c>
      <c r="K234" s="20">
        <f>(Geraetedaten!$B$165+(Geraetedaten!$B$166*(Geraetedaten!$B$18+d_y_Sw)/1000))*10</f>
        <v>10816.164000000001</v>
      </c>
      <c r="L234" s="20">
        <f>(Geraetedaten!$B$158+(Geraetedaten!$B$159*(Geraetedaten!$B$18+d_y_Sw)/1000)-(Geraetedaten!$B$160*I234/1000))*10</f>
        <v>533.35021887460209</v>
      </c>
      <c r="M234" s="20">
        <f>(Geraetedaten!$B$171+(Geraetedaten!$B$172*(Geraetedaten!$B$18+d_y_Sw)/1000)-(Geraetedaten!$B$173*I234/1000))*10</f>
        <v>995.64847809935191</v>
      </c>
      <c r="N234" s="20">
        <f>IF((H234-J234)/(K234-J234)*(Geraetedaten!$B$174-Geraetedaten!$B$161)&lt;Geraetedaten!$B$174,(H234-J234)/(K234-J234)*(Geraetedaten!$B$174-Geraetedaten!$B$161),Geraetedaten!$B$174)</f>
        <v>239.60336136544035</v>
      </c>
      <c r="O234" s="20">
        <f>N234/Geraetedaten!$B$174*(M234-L234)+L234+C234</f>
        <v>853.7452775611689</v>
      </c>
      <c r="P234" s="20">
        <f t="shared" si="163"/>
        <v>245.85348476940689</v>
      </c>
      <c r="Q234" s="20"/>
      <c r="R234" s="21">
        <f>(N234-Geraetedaten!$B$161)/(Geraetedaten!$B$174-Geraetedaten!$B$161)*(Geraetedaten!$B$175-Geraetedaten!$B$162)+Geraetedaten!$B$162</f>
        <v>36.328200000621848</v>
      </c>
      <c r="S234" s="21">
        <f t="shared" si="191"/>
        <v>36.328200000621848</v>
      </c>
      <c r="T234" s="21">
        <f t="shared" si="192"/>
        <v>-8.1720668925546818</v>
      </c>
      <c r="U234" s="88">
        <f t="shared" si="193"/>
        <v>-35.39711058813689</v>
      </c>
      <c r="V234" s="86">
        <f t="shared" si="194"/>
        <v>46919.227220000001</v>
      </c>
      <c r="W234" s="85">
        <f t="shared" si="195"/>
        <v>-4225.3239992296285</v>
      </c>
      <c r="X234" s="85">
        <f t="shared" si="196"/>
        <v>18748.181318226645</v>
      </c>
      <c r="Y234" s="90">
        <f t="shared" si="197"/>
        <v>4225.3239992296285</v>
      </c>
      <c r="Z234" s="86">
        <f t="shared" si="198"/>
        <v>8948.8655199999994</v>
      </c>
      <c r="AA234" s="85">
        <f t="shared" si="199"/>
        <v>-913.46204712425447</v>
      </c>
      <c r="AB234" s="85">
        <f t="shared" si="200"/>
        <v>929.85655428061716</v>
      </c>
      <c r="AC234" s="90">
        <f t="shared" si="201"/>
        <v>913.46204712425447</v>
      </c>
      <c r="AD234" s="86">
        <f t="shared" si="202"/>
        <v>-46590.736089999999</v>
      </c>
      <c r="AE234" s="85">
        <f t="shared" si="203"/>
        <v>4140.4375383844126</v>
      </c>
      <c r="AF234" s="85">
        <f t="shared" si="204"/>
        <v>-18438.482013401434</v>
      </c>
      <c r="AG234" s="90">
        <f t="shared" si="205"/>
        <v>4140.4375383844126</v>
      </c>
      <c r="AH234" s="86">
        <f t="shared" si="206"/>
        <v>-9449.6592899999996</v>
      </c>
      <c r="AI234" s="85">
        <f t="shared" si="207"/>
        <v>6238.0466047659793</v>
      </c>
      <c r="AJ234" s="85">
        <f t="shared" si="208"/>
        <v>-6421.0442180584132</v>
      </c>
      <c r="AK234" s="90">
        <f t="shared" si="209"/>
        <v>6238.0466047659793</v>
      </c>
      <c r="AM234" s="95">
        <f t="shared" si="213"/>
        <v>0</v>
      </c>
      <c r="AN234" s="95">
        <f t="shared" si="214"/>
        <v>0</v>
      </c>
      <c r="AO234" s="95">
        <f t="shared" si="215"/>
        <v>0</v>
      </c>
      <c r="AP234" s="95">
        <f t="shared" si="216"/>
        <v>0</v>
      </c>
      <c r="AQ234"/>
      <c r="AR234" s="95">
        <f t="shared" si="210"/>
        <v>0</v>
      </c>
      <c r="AS234" s="95">
        <f t="shared" si="211"/>
        <v>0</v>
      </c>
      <c r="AT234" s="95">
        <f>Geraetedaten!$B$94*ABS(SIN(RADIANS($A234)))</f>
        <v>34.642462368955208</v>
      </c>
      <c r="AU234" s="95">
        <f>Geraetedaten!$B$94*ABS(COS(RADIANS($A234)))</f>
        <v>150.05298997692623</v>
      </c>
      <c r="AV234" s="95">
        <f>((h_Aw_Sw+Geraetedaten!$B$18)/1000)*(AR234*AT234+AS234*AU234)/100</f>
        <v>0</v>
      </c>
      <c r="AX234" s="18">
        <f t="shared" si="212"/>
        <v>0.97437006478523525</v>
      </c>
    </row>
    <row r="235" spans="1:50" ht="13.5" x14ac:dyDescent="0.25">
      <c r="A235" s="16">
        <v>194</v>
      </c>
      <c r="B235" s="16">
        <f t="shared" si="185"/>
        <v>256</v>
      </c>
      <c r="C235" s="19">
        <f t="shared" si="186"/>
        <v>44.430967681228296</v>
      </c>
      <c r="D235" s="17">
        <f t="shared" si="217"/>
        <v>43589.449622318774</v>
      </c>
      <c r="E235" s="17">
        <f t="shared" si="187"/>
        <v>8935.6281523187718</v>
      </c>
      <c r="F235" s="17">
        <f t="shared" si="188"/>
        <v>-43361.154577681227</v>
      </c>
      <c r="G235" s="17">
        <f t="shared" si="189"/>
        <v>-9535.9530976812275</v>
      </c>
      <c r="H235" s="17">
        <f t="shared" si="156"/>
        <v>8935.6281523187718</v>
      </c>
      <c r="I235" s="17">
        <f t="shared" si="190"/>
        <v>933.09781081955566</v>
      </c>
      <c r="J235" s="20">
        <f>(Geraetedaten!$B$152+(Geraetedaten!$B$153*(Geraetedaten!$B$18+d_y_Sw)/1000))*10</f>
        <v>6051.0442000000003</v>
      </c>
      <c r="K235" s="20">
        <f>(Geraetedaten!$B$165+(Geraetedaten!$B$166*(Geraetedaten!$B$18+d_y_Sw)/1000))*10</f>
        <v>10816.164000000001</v>
      </c>
      <c r="L235" s="20">
        <f>(Geraetedaten!$B$158+(Geraetedaten!$B$159*(Geraetedaten!$B$18+d_y_Sw)/1000)-(Geraetedaten!$B$160*I235/1000))*10</f>
        <v>533.11253753260178</v>
      </c>
      <c r="M235" s="20">
        <f>(Geraetedaten!$B$171+(Geraetedaten!$B$172*(Geraetedaten!$B$18+d_y_Sw)/1000)-(Geraetedaten!$B$173*I235/1000))*10</f>
        <v>995.40719896259316</v>
      </c>
      <c r="N235" s="20">
        <f>IF((H235-J235)/(K235-J235)*(Geraetedaten!$B$174-Geraetedaten!$B$161)&lt;Geraetedaten!$B$174,(H235-J235)/(K235-J235)*(Geraetedaten!$B$174-Geraetedaten!$B$161),Geraetedaten!$B$174)</f>
        <v>242.14156817788896</v>
      </c>
      <c r="O235" s="20">
        <f>N235/Geraetedaten!$B$174*(M235-L235)+L235+C235</f>
        <v>857.39539091114091</v>
      </c>
      <c r="P235" s="20">
        <f t="shared" si="163"/>
        <v>246.40154854150393</v>
      </c>
      <c r="Q235" s="20"/>
      <c r="R235" s="21">
        <f>(N235-Geraetedaten!$B$161)/(Geraetedaten!$B$174-Geraetedaten!$B$161)*(Geraetedaten!$B$175-Geraetedaten!$B$162)+Geraetedaten!$B$162</f>
        <v>36.403711653292198</v>
      </c>
      <c r="S235" s="21">
        <f t="shared" si="191"/>
        <v>36.403711653292198</v>
      </c>
      <c r="T235" s="21">
        <f t="shared" si="192"/>
        <v>-8.8068549300281553</v>
      </c>
      <c r="U235" s="88">
        <f t="shared" si="193"/>
        <v>-35.322365837773113</v>
      </c>
      <c r="V235" s="86">
        <f t="shared" si="194"/>
        <v>43633.880590000001</v>
      </c>
      <c r="W235" s="85">
        <f t="shared" si="195"/>
        <v>-4225.3239992296285</v>
      </c>
      <c r="X235" s="85">
        <f t="shared" si="196"/>
        <v>17435.408750826675</v>
      </c>
      <c r="Y235" s="90">
        <f t="shared" si="197"/>
        <v>4225.3239992296285</v>
      </c>
      <c r="Z235" s="86">
        <f t="shared" si="198"/>
        <v>8980.0591199999999</v>
      </c>
      <c r="AA235" s="85">
        <f t="shared" si="199"/>
        <v>-913.46204712425447</v>
      </c>
      <c r="AB235" s="85">
        <f t="shared" si="200"/>
        <v>933.09781081955566</v>
      </c>
      <c r="AC235" s="90">
        <f t="shared" si="201"/>
        <v>913.46204712425447</v>
      </c>
      <c r="AD235" s="86">
        <f t="shared" si="202"/>
        <v>-43316.723610000001</v>
      </c>
      <c r="AE235" s="85">
        <f t="shared" si="203"/>
        <v>4140.4375383844126</v>
      </c>
      <c r="AF235" s="85">
        <f t="shared" si="204"/>
        <v>-17142.777647441857</v>
      </c>
      <c r="AG235" s="90">
        <f t="shared" si="205"/>
        <v>4140.4375383844126</v>
      </c>
      <c r="AH235" s="86">
        <f t="shared" si="206"/>
        <v>-9491.5221299999994</v>
      </c>
      <c r="AI235" s="85">
        <f t="shared" si="207"/>
        <v>6238.0466047659793</v>
      </c>
      <c r="AJ235" s="85">
        <f t="shared" si="208"/>
        <v>-6449.4900170695018</v>
      </c>
      <c r="AK235" s="90">
        <f t="shared" si="209"/>
        <v>6238.0466047659793</v>
      </c>
      <c r="AM235" s="95">
        <f t="shared" si="213"/>
        <v>0</v>
      </c>
      <c r="AN235" s="95">
        <f t="shared" si="214"/>
        <v>0</v>
      </c>
      <c r="AO235" s="95">
        <f t="shared" si="215"/>
        <v>0</v>
      </c>
      <c r="AP235" s="95">
        <f t="shared" si="216"/>
        <v>0</v>
      </c>
      <c r="AQ235"/>
      <c r="AR235" s="95">
        <f t="shared" si="210"/>
        <v>0</v>
      </c>
      <c r="AS235" s="95">
        <f t="shared" si="211"/>
        <v>0</v>
      </c>
      <c r="AT235" s="95">
        <f>Geraetedaten!$B$94*ABS(SIN(RADIANS($A235)))</f>
        <v>37.255971922348799</v>
      </c>
      <c r="AU235" s="95">
        <f>Geraetedaten!$B$94*ABS(COS(RADIANS($A235)))</f>
        <v>149.42554184650345</v>
      </c>
      <c r="AV235" s="95">
        <f>((h_Aw_Sw+Geraetedaten!$B$18)/1000)*(AR235*AT235+AS235*AU235)/100</f>
        <v>0</v>
      </c>
      <c r="AX235" s="18">
        <f t="shared" si="212"/>
        <v>0.97029572627599647</v>
      </c>
    </row>
    <row r="236" spans="1:50" ht="13.5" x14ac:dyDescent="0.25">
      <c r="A236" s="16">
        <v>195</v>
      </c>
      <c r="B236" s="16">
        <f t="shared" si="185"/>
        <v>255</v>
      </c>
      <c r="C236" s="19">
        <f t="shared" si="186"/>
        <v>45.373884731826024</v>
      </c>
      <c r="D236" s="17">
        <f t="shared" si="217"/>
        <v>40744.752895268175</v>
      </c>
      <c r="E236" s="17">
        <f t="shared" si="187"/>
        <v>8968.8524752681751</v>
      </c>
      <c r="F236" s="17">
        <f t="shared" si="188"/>
        <v>-40529.536484731827</v>
      </c>
      <c r="G236" s="17">
        <f t="shared" si="189"/>
        <v>-9582.049304731825</v>
      </c>
      <c r="H236" s="17">
        <f t="shared" si="156"/>
        <v>8968.8524752681751</v>
      </c>
      <c r="I236" s="17">
        <f t="shared" si="190"/>
        <v>936.64805296160193</v>
      </c>
      <c r="J236" s="20">
        <f>(Geraetedaten!$B$152+(Geraetedaten!$B$153*(Geraetedaten!$B$18+d_y_Sw)/1000))*10</f>
        <v>6051.0442000000003</v>
      </c>
      <c r="K236" s="20">
        <f>(Geraetedaten!$B$165+(Geraetedaten!$B$166*(Geraetedaten!$B$18+d_y_Sw)/1000))*10</f>
        <v>10816.164000000001</v>
      </c>
      <c r="L236" s="20">
        <f>(Geraetedaten!$B$158+(Geraetedaten!$B$159*(Geraetedaten!$B$18+d_y_Sw)/1000)-(Geraetedaten!$B$160*I236/1000))*10</f>
        <v>532.85219827632545</v>
      </c>
      <c r="M236" s="20">
        <f>(Geraetedaten!$B$171+(Geraetedaten!$B$172*(Geraetedaten!$B$18+d_y_Sw)/1000)-(Geraetedaten!$B$173*I236/1000))*10</f>
        <v>995.14291893753932</v>
      </c>
      <c r="N236" s="20">
        <f>IF((H236-J236)/(K236-J236)*(Geraetedaten!$B$174-Geraetedaten!$B$161)&lt;Geraetedaten!$B$174,(H236-J236)/(K236-J236)*(Geraetedaten!$B$174-Geraetedaten!$B$161),Geraetedaten!$B$174)</f>
        <v>244.93052831688931</v>
      </c>
      <c r="O236" s="20">
        <f>N236/Geraetedaten!$B$174*(M236-L236)+L236+C236</f>
        <v>861.29885912701798</v>
      </c>
      <c r="P236" s="20">
        <f t="shared" si="163"/>
        <v>246.97035722888231</v>
      </c>
      <c r="Q236" s="20"/>
      <c r="R236" s="21">
        <f>(N236-Geraetedaten!$B$161)/(Geraetedaten!$B$174-Geraetedaten!$B$161)*(Geraetedaten!$B$175-Geraetedaten!$B$162)+Geraetedaten!$B$162</f>
        <v>36.486683217427455</v>
      </c>
      <c r="S236" s="21">
        <f t="shared" si="191"/>
        <v>36.486683217427455</v>
      </c>
      <c r="T236" s="21">
        <f t="shared" si="192"/>
        <v>-9.4434485092927449</v>
      </c>
      <c r="U236" s="88">
        <f t="shared" si="193"/>
        <v>-35.243429635341094</v>
      </c>
      <c r="V236" s="86">
        <f t="shared" si="194"/>
        <v>40790.126779999999</v>
      </c>
      <c r="W236" s="85">
        <f t="shared" si="195"/>
        <v>-4225.3239992296285</v>
      </c>
      <c r="X236" s="85">
        <f t="shared" si="196"/>
        <v>16299.089693794136</v>
      </c>
      <c r="Y236" s="90">
        <f t="shared" si="197"/>
        <v>4225.3239992296285</v>
      </c>
      <c r="Z236" s="86">
        <f t="shared" si="198"/>
        <v>9014.2263600000006</v>
      </c>
      <c r="AA236" s="85">
        <f t="shared" si="199"/>
        <v>-913.46204712425447</v>
      </c>
      <c r="AB236" s="85">
        <f t="shared" si="200"/>
        <v>936.64805296160193</v>
      </c>
      <c r="AC236" s="90">
        <f t="shared" si="201"/>
        <v>913.46204712425447</v>
      </c>
      <c r="AD236" s="86">
        <f t="shared" si="202"/>
        <v>-40484.162600000003</v>
      </c>
      <c r="AE236" s="85">
        <f t="shared" si="203"/>
        <v>4140.4375383844126</v>
      </c>
      <c r="AF236" s="85">
        <f t="shared" si="204"/>
        <v>-16021.779575998007</v>
      </c>
      <c r="AG236" s="90">
        <f t="shared" si="205"/>
        <v>4140.4375383844126</v>
      </c>
      <c r="AH236" s="86">
        <f t="shared" si="206"/>
        <v>-9536.6754199999996</v>
      </c>
      <c r="AI236" s="85">
        <f t="shared" si="207"/>
        <v>6238.0466047659793</v>
      </c>
      <c r="AJ236" s="85">
        <f t="shared" si="208"/>
        <v>-6480.1716790787495</v>
      </c>
      <c r="AK236" s="90">
        <f t="shared" si="209"/>
        <v>6238.0466047659793</v>
      </c>
      <c r="AM236" s="95">
        <f t="shared" si="213"/>
        <v>0</v>
      </c>
      <c r="AN236" s="95">
        <f t="shared" si="214"/>
        <v>0</v>
      </c>
      <c r="AO236" s="95">
        <f t="shared" si="215"/>
        <v>0</v>
      </c>
      <c r="AP236" s="95">
        <f t="shared" si="216"/>
        <v>0</v>
      </c>
      <c r="AQ236"/>
      <c r="AR236" s="95">
        <f t="shared" si="210"/>
        <v>0</v>
      </c>
      <c r="AS236" s="95">
        <f t="shared" si="211"/>
        <v>0</v>
      </c>
      <c r="AT236" s="95">
        <f>Geraetedaten!$B$94*ABS(SIN(RADIANS($A236)))</f>
        <v>39.858132945788199</v>
      </c>
      <c r="AU236" s="95">
        <f>Geraetedaten!$B$94*ABS(COS(RADIANS($A236)))</f>
        <v>148.75257724851653</v>
      </c>
      <c r="AV236" s="95">
        <f>((h_Aw_Sw+Geraetedaten!$B$18)/1000)*(AR236*AT236+AS236*AU236)/100</f>
        <v>0</v>
      </c>
      <c r="AX236" s="18">
        <f t="shared" si="212"/>
        <v>0.96592582628906831</v>
      </c>
    </row>
    <row r="237" spans="1:50" ht="13.5" x14ac:dyDescent="0.25">
      <c r="A237" s="16">
        <v>196</v>
      </c>
      <c r="B237" s="16">
        <f t="shared" si="185"/>
        <v>254</v>
      </c>
      <c r="C237" s="19">
        <f t="shared" si="186"/>
        <v>46.302980457587722</v>
      </c>
      <c r="D237" s="17">
        <f t="shared" si="217"/>
        <v>38259.016809542416</v>
      </c>
      <c r="E237" s="17">
        <f t="shared" si="187"/>
        <v>9005.1193095424132</v>
      </c>
      <c r="F237" s="17">
        <f t="shared" si="188"/>
        <v>-38056.487300457586</v>
      </c>
      <c r="G237" s="17">
        <f t="shared" si="189"/>
        <v>-9631.497040457587</v>
      </c>
      <c r="H237" s="17">
        <f t="shared" si="156"/>
        <v>9005.1193095424132</v>
      </c>
      <c r="I237" s="17">
        <f t="shared" si="190"/>
        <v>940.51299770996366</v>
      </c>
      <c r="J237" s="20">
        <f>(Geraetedaten!$B$152+(Geraetedaten!$B$153*(Geraetedaten!$B$18+d_y_Sw)/1000))*10</f>
        <v>6051.0442000000003</v>
      </c>
      <c r="K237" s="20">
        <f>(Geraetedaten!$B$165+(Geraetedaten!$B$166*(Geraetedaten!$B$18+d_y_Sw)/1000))*10</f>
        <v>10816.164000000001</v>
      </c>
      <c r="L237" s="20">
        <f>(Geraetedaten!$B$158+(Geraetedaten!$B$159*(Geraetedaten!$B$18+d_y_Sw)/1000)-(Geraetedaten!$B$160*I237/1000))*10</f>
        <v>532.56878187792813</v>
      </c>
      <c r="M237" s="20">
        <f>(Geraetedaten!$B$171+(Geraetedaten!$B$172*(Geraetedaten!$B$18+d_y_Sw)/1000)-(Geraetedaten!$B$173*I237/1000))*10</f>
        <v>994.8552124504713</v>
      </c>
      <c r="N237" s="20">
        <f>IF((H237-J237)/(K237-J237)*(Geraetedaten!$B$174-Geraetedaten!$B$161)&lt;Geraetedaten!$B$174,(H237-J237)/(K237-J237)*(Geraetedaten!$B$174-Geraetedaten!$B$161),Geraetedaten!$B$174)</f>
        <v>247.97488697282387</v>
      </c>
      <c r="O237" s="20">
        <f>N237/Geraetedaten!$B$174*(M237-L237)+L237+C237</f>
        <v>865.46032576125731</v>
      </c>
      <c r="P237" s="20">
        <f t="shared" si="163"/>
        <v>247.55983769071608</v>
      </c>
      <c r="Q237" s="20"/>
      <c r="R237" s="21">
        <f>(N237-Geraetedaten!$B$161)/(Geraetedaten!$B$174-Geraetedaten!$B$161)*(Geraetedaten!$B$175-Geraetedaten!$B$162)+Geraetedaten!$B$162</f>
        <v>36.57725288744151</v>
      </c>
      <c r="S237" s="21">
        <f t="shared" si="191"/>
        <v>36.57725288744151</v>
      </c>
      <c r="T237" s="21">
        <f t="shared" si="192"/>
        <v>-10.08205726894407</v>
      </c>
      <c r="U237" s="88">
        <f t="shared" si="193"/>
        <v>-35.1603121433468</v>
      </c>
      <c r="V237" s="86">
        <f t="shared" si="194"/>
        <v>38305.319790000001</v>
      </c>
      <c r="W237" s="85">
        <f t="shared" si="195"/>
        <v>-4225.3239992296285</v>
      </c>
      <c r="X237" s="85">
        <f t="shared" si="196"/>
        <v>15306.200110285767</v>
      </c>
      <c r="Y237" s="90">
        <f t="shared" si="197"/>
        <v>4225.3239992296285</v>
      </c>
      <c r="Z237" s="86">
        <f t="shared" si="198"/>
        <v>9051.4222900000004</v>
      </c>
      <c r="AA237" s="85">
        <f t="shared" si="199"/>
        <v>-913.46204712425447</v>
      </c>
      <c r="AB237" s="85">
        <f t="shared" si="200"/>
        <v>940.51299770996366</v>
      </c>
      <c r="AC237" s="90">
        <f t="shared" si="201"/>
        <v>913.46204712425447</v>
      </c>
      <c r="AD237" s="86">
        <f t="shared" si="202"/>
        <v>-38010.18432</v>
      </c>
      <c r="AE237" s="85">
        <f t="shared" si="203"/>
        <v>4140.4375383844126</v>
      </c>
      <c r="AF237" s="85">
        <f t="shared" si="204"/>
        <v>-15042.69214595477</v>
      </c>
      <c r="AG237" s="90">
        <f t="shared" si="205"/>
        <v>4140.4375383844126</v>
      </c>
      <c r="AH237" s="86">
        <f t="shared" si="206"/>
        <v>-9585.1940599999998</v>
      </c>
      <c r="AI237" s="85">
        <f t="shared" si="207"/>
        <v>6238.0466047659793</v>
      </c>
      <c r="AJ237" s="85">
        <f t="shared" si="208"/>
        <v>-6513.1401043146179</v>
      </c>
      <c r="AK237" s="90">
        <f t="shared" si="209"/>
        <v>6238.0466047659793</v>
      </c>
      <c r="AM237" s="95">
        <f t="shared" si="213"/>
        <v>0</v>
      </c>
      <c r="AN237" s="95">
        <f t="shared" si="214"/>
        <v>0</v>
      </c>
      <c r="AO237" s="95">
        <f t="shared" si="215"/>
        <v>0</v>
      </c>
      <c r="AP237" s="95">
        <f t="shared" si="216"/>
        <v>0</v>
      </c>
      <c r="AQ237"/>
      <c r="AR237" s="95">
        <f t="shared" si="210"/>
        <v>0</v>
      </c>
      <c r="AS237" s="95">
        <f t="shared" si="211"/>
        <v>0</v>
      </c>
      <c r="AT237" s="95">
        <f>Geraetedaten!$B$94*ABS(SIN(RADIANS($A237)))</f>
        <v>42.448152795817848</v>
      </c>
      <c r="AU237" s="95">
        <f>Geraetedaten!$B$94*ABS(COS(RADIANS($A237)))</f>
        <v>148.03430117450111</v>
      </c>
      <c r="AV237" s="95">
        <f>((h_Aw_Sw+Geraetedaten!$B$18)/1000)*(AR237*AT237+AS237*AU237)/100</f>
        <v>0</v>
      </c>
      <c r="AX237" s="18">
        <f t="shared" si="212"/>
        <v>0.96126169593831889</v>
      </c>
    </row>
    <row r="238" spans="1:50" ht="13.5" x14ac:dyDescent="0.25">
      <c r="A238" s="16">
        <v>197</v>
      </c>
      <c r="B238" s="16">
        <f t="shared" si="185"/>
        <v>253</v>
      </c>
      <c r="C238" s="19">
        <f t="shared" si="186"/>
        <v>47.217971846955017</v>
      </c>
      <c r="D238" s="17">
        <f t="shared" si="217"/>
        <v>36069.015168153041</v>
      </c>
      <c r="E238" s="17">
        <f t="shared" si="187"/>
        <v>9044.4893681530466</v>
      </c>
      <c r="F238" s="17">
        <f t="shared" si="188"/>
        <v>-35878.665031846955</v>
      </c>
      <c r="G238" s="17">
        <f t="shared" si="189"/>
        <v>-9684.3774818469537</v>
      </c>
      <c r="H238" s="17">
        <f t="shared" si="156"/>
        <v>9044.4893681530466</v>
      </c>
      <c r="I238" s="17">
        <f t="shared" si="190"/>
        <v>944.69892769078365</v>
      </c>
      <c r="J238" s="20">
        <f>(Geraetedaten!$B$152+(Geraetedaten!$B$153*(Geraetedaten!$B$18+d_y_Sw)/1000))*10</f>
        <v>6051.0442000000003</v>
      </c>
      <c r="K238" s="20">
        <f>(Geraetedaten!$B$165+(Geraetedaten!$B$166*(Geraetedaten!$B$18+d_y_Sw)/1000))*10</f>
        <v>10816.164000000001</v>
      </c>
      <c r="L238" s="20">
        <f>(Geraetedaten!$B$158+(Geraetedaten!$B$159*(Geraetedaten!$B$18+d_y_Sw)/1000)-(Geraetedaten!$B$160*I238/1000))*10</f>
        <v>532.26182763243457</v>
      </c>
      <c r="M238" s="20">
        <f>(Geraetedaten!$B$171+(Geraetedaten!$B$172*(Geraetedaten!$B$18+d_y_Sw)/1000)-(Geraetedaten!$B$173*I238/1000))*10</f>
        <v>994.54361182269906</v>
      </c>
      <c r="N238" s="20">
        <f>IF((H238-J238)/(K238-J238)*(Geraetedaten!$B$174-Geraetedaten!$B$161)&lt;Geraetedaten!$B$174,(H238-J238)/(K238-J238)*(Geraetedaten!$B$174-Geraetedaten!$B$161),Geraetedaten!$B$174)</f>
        <v>251.27974059775337</v>
      </c>
      <c r="O238" s="20">
        <f>N238/Geraetedaten!$B$174*(M238-L238)+L238+C238</f>
        <v>869.88491651538027</v>
      </c>
      <c r="P238" s="20">
        <f t="shared" si="163"/>
        <v>248.16993183241345</v>
      </c>
      <c r="Q238" s="20"/>
      <c r="R238" s="21">
        <f>(N238-Geraetedaten!$B$161)/(Geraetedaten!$B$174-Geraetedaten!$B$161)*(Geraetedaten!$B$175-Geraetedaten!$B$162)+Geraetedaten!$B$162</f>
        <v>36.675572282783165</v>
      </c>
      <c r="S238" s="21">
        <f t="shared" si="191"/>
        <v>36.675572282783165</v>
      </c>
      <c r="T238" s="21">
        <f t="shared" si="192"/>
        <v>-10.722899589999269</v>
      </c>
      <c r="U238" s="88">
        <f t="shared" si="193"/>
        <v>-35.073024201691624</v>
      </c>
      <c r="V238" s="86">
        <f t="shared" si="194"/>
        <v>36116.233139999997</v>
      </c>
      <c r="W238" s="85">
        <f t="shared" si="195"/>
        <v>-4225.3239992296285</v>
      </c>
      <c r="X238" s="85">
        <f t="shared" si="196"/>
        <v>14431.475699347069</v>
      </c>
      <c r="Y238" s="90">
        <f t="shared" si="197"/>
        <v>4225.3239992296285</v>
      </c>
      <c r="Z238" s="86">
        <f t="shared" si="198"/>
        <v>9091.7073400000008</v>
      </c>
      <c r="AA238" s="85">
        <f t="shared" si="199"/>
        <v>-913.46204712425447</v>
      </c>
      <c r="AB238" s="85">
        <f t="shared" si="200"/>
        <v>944.69892769078365</v>
      </c>
      <c r="AC238" s="90">
        <f t="shared" si="201"/>
        <v>913.46204712425447</v>
      </c>
      <c r="AD238" s="86">
        <f t="shared" si="202"/>
        <v>-35831.447059999999</v>
      </c>
      <c r="AE238" s="85">
        <f t="shared" si="203"/>
        <v>4140.4375383844126</v>
      </c>
      <c r="AF238" s="85">
        <f t="shared" si="204"/>
        <v>-14180.44760956648</v>
      </c>
      <c r="AG238" s="90">
        <f t="shared" si="205"/>
        <v>4140.4375383844126</v>
      </c>
      <c r="AH238" s="86">
        <f t="shared" si="206"/>
        <v>-9637.1595099999995</v>
      </c>
      <c r="AI238" s="85">
        <f t="shared" si="207"/>
        <v>6238.0466047659793</v>
      </c>
      <c r="AJ238" s="85">
        <f t="shared" si="208"/>
        <v>-6548.4506260042062</v>
      </c>
      <c r="AK238" s="90">
        <f t="shared" si="209"/>
        <v>6238.0466047659793</v>
      </c>
      <c r="AM238" s="95">
        <f t="shared" si="213"/>
        <v>0</v>
      </c>
      <c r="AN238" s="95">
        <f t="shared" si="214"/>
        <v>0</v>
      </c>
      <c r="AO238" s="95">
        <f t="shared" si="215"/>
        <v>0</v>
      </c>
      <c r="AP238" s="95">
        <f t="shared" si="216"/>
        <v>0</v>
      </c>
      <c r="AQ238"/>
      <c r="AR238" s="95">
        <f t="shared" si="210"/>
        <v>0</v>
      </c>
      <c r="AS238" s="95">
        <f t="shared" si="211"/>
        <v>0</v>
      </c>
      <c r="AT238" s="95">
        <f>Geraetedaten!$B$94*ABS(SIN(RADIANS($A238)))</f>
        <v>45.025242527301465</v>
      </c>
      <c r="AU238" s="95">
        <f>Geraetedaten!$B$94*ABS(COS(RADIANS($A238)))</f>
        <v>147.27093241830747</v>
      </c>
      <c r="AV238" s="95">
        <f>((h_Aw_Sw+Geraetedaten!$B$18)/1000)*(AR238*AT238+AS238*AU238)/100</f>
        <v>0</v>
      </c>
      <c r="AX238" s="18">
        <f t="shared" si="212"/>
        <v>0.95630475596303544</v>
      </c>
    </row>
    <row r="239" spans="1:50" ht="13.5" x14ac:dyDescent="0.25">
      <c r="A239" s="16">
        <v>198</v>
      </c>
      <c r="B239" s="16">
        <f t="shared" si="185"/>
        <v>252</v>
      </c>
      <c r="C239" s="19">
        <f t="shared" si="186"/>
        <v>48.118580184686948</v>
      </c>
      <c r="D239" s="17">
        <f t="shared" si="217"/>
        <v>34125.554429815311</v>
      </c>
      <c r="E239" s="17">
        <f t="shared" si="187"/>
        <v>9087.029109815312</v>
      </c>
      <c r="F239" s="17">
        <f t="shared" si="188"/>
        <v>-33946.82356018469</v>
      </c>
      <c r="G239" s="17">
        <f t="shared" si="189"/>
        <v>-9740.7786201846884</v>
      </c>
      <c r="H239" s="17">
        <f t="shared" si="156"/>
        <v>9087.029109815312</v>
      </c>
      <c r="I239" s="17">
        <f t="shared" si="190"/>
        <v>949.2127167963406</v>
      </c>
      <c r="J239" s="20">
        <f>(Geraetedaten!$B$152+(Geraetedaten!$B$153*(Geraetedaten!$B$18+d_y_Sw)/1000))*10</f>
        <v>6051.0442000000003</v>
      </c>
      <c r="K239" s="20">
        <f>(Geraetedaten!$B$165+(Geraetedaten!$B$166*(Geraetedaten!$B$18+d_y_Sw)/1000))*10</f>
        <v>10816.164000000001</v>
      </c>
      <c r="L239" s="20">
        <f>(Geraetedaten!$B$158+(Geraetedaten!$B$159*(Geraetedaten!$B$18+d_y_Sw)/1000)-(Geraetedaten!$B$160*I239/1000))*10</f>
        <v>531.93083147732409</v>
      </c>
      <c r="M239" s="20">
        <f>(Geraetedaten!$B$171+(Geraetedaten!$B$172*(Geraetedaten!$B$18+d_y_Sw)/1000)-(Geraetedaten!$B$173*I239/1000))*10</f>
        <v>994.20760536168132</v>
      </c>
      <c r="N239" s="20">
        <f>IF((H239-J239)/(K239-J239)*(Geraetedaten!$B$174-Geraetedaten!$B$161)&lt;Geraetedaten!$B$174,(H239-J239)/(K239-J239)*(Geraetedaten!$B$174-Geraetedaten!$B$161),Geraetedaten!$B$174)</f>
        <v>254.85066795720951</v>
      </c>
      <c r="O239" s="20">
        <f>N239/Geraetedaten!$B$174*(M239-L239)+L239+C239</f>
        <v>874.5782731758419</v>
      </c>
      <c r="P239" s="20">
        <f t="shared" si="163"/>
        <v>248.8005980655102</v>
      </c>
      <c r="Q239" s="20"/>
      <c r="R239" s="21">
        <f>(N239-Geraetedaten!$B$161)/(Geraetedaten!$B$174-Geraetedaten!$B$161)*(Geraetedaten!$B$175-Geraetedaten!$B$162)+Geraetedaten!$B$162</f>
        <v>36.781807371726984</v>
      </c>
      <c r="S239" s="21">
        <f t="shared" si="191"/>
        <v>36.781807371726984</v>
      </c>
      <c r="T239" s="21">
        <f t="shared" si="192"/>
        <v>-11.366203561689352</v>
      </c>
      <c r="U239" s="88">
        <f t="shared" si="193"/>
        <v>-34.981577581994067</v>
      </c>
      <c r="V239" s="86">
        <f t="shared" si="194"/>
        <v>34173.673009999999</v>
      </c>
      <c r="W239" s="85">
        <f t="shared" si="195"/>
        <v>-4225.3239992296285</v>
      </c>
      <c r="X239" s="85">
        <f t="shared" si="196"/>
        <v>13655.259386585923</v>
      </c>
      <c r="Y239" s="90">
        <f t="shared" si="197"/>
        <v>4225.3239992296285</v>
      </c>
      <c r="Z239" s="86">
        <f t="shared" si="198"/>
        <v>9135.1476899999998</v>
      </c>
      <c r="AA239" s="85">
        <f t="shared" si="199"/>
        <v>-913.46204712425447</v>
      </c>
      <c r="AB239" s="85">
        <f t="shared" si="200"/>
        <v>949.2127167963406</v>
      </c>
      <c r="AC239" s="90">
        <f t="shared" si="201"/>
        <v>913.46204712425447</v>
      </c>
      <c r="AD239" s="86">
        <f t="shared" si="202"/>
        <v>-33898.704980000002</v>
      </c>
      <c r="AE239" s="85">
        <f t="shared" si="203"/>
        <v>4140.4375383844126</v>
      </c>
      <c r="AF239" s="85">
        <f t="shared" si="204"/>
        <v>-13415.556706316693</v>
      </c>
      <c r="AG239" s="90">
        <f t="shared" si="205"/>
        <v>4140.4375383844126</v>
      </c>
      <c r="AH239" s="86">
        <f t="shared" si="206"/>
        <v>-9692.6600400000007</v>
      </c>
      <c r="AI239" s="85">
        <f t="shared" si="207"/>
        <v>6238.0466047659793</v>
      </c>
      <c r="AJ239" s="85">
        <f t="shared" si="208"/>
        <v>-6586.1632465457196</v>
      </c>
      <c r="AK239" s="90">
        <f t="shared" si="209"/>
        <v>6238.0466047659793</v>
      </c>
      <c r="AM239" s="95">
        <f t="shared" si="213"/>
        <v>0</v>
      </c>
      <c r="AN239" s="95">
        <f t="shared" si="214"/>
        <v>0</v>
      </c>
      <c r="AO239" s="95">
        <f t="shared" si="215"/>
        <v>0</v>
      </c>
      <c r="AP239" s="95">
        <f t="shared" si="216"/>
        <v>0</v>
      </c>
      <c r="AQ239"/>
      <c r="AR239" s="95">
        <f t="shared" si="210"/>
        <v>0</v>
      </c>
      <c r="AS239" s="95">
        <f t="shared" si="211"/>
        <v>0</v>
      </c>
      <c r="AT239" s="95">
        <f>Geraetedaten!$B$94*ABS(SIN(RADIANS($A239)))</f>
        <v>47.588617133741884</v>
      </c>
      <c r="AU239" s="95">
        <f>Geraetedaten!$B$94*ABS(COS(RADIANS($A239)))</f>
        <v>146.46270350945366</v>
      </c>
      <c r="AV239" s="95">
        <f>((h_Aw_Sw+Geraetedaten!$B$18)/1000)*(AR239*AT239+AS239*AU239)/100</f>
        <v>0</v>
      </c>
      <c r="AX239" s="18">
        <f t="shared" si="212"/>
        <v>0.95105651629515364</v>
      </c>
    </row>
    <row r="240" spans="1:50" ht="13.5" x14ac:dyDescent="0.25">
      <c r="A240" s="16">
        <v>199</v>
      </c>
      <c r="B240" s="16">
        <f t="shared" si="185"/>
        <v>251</v>
      </c>
      <c r="C240" s="19">
        <f t="shared" si="186"/>
        <v>49.004531136759482</v>
      </c>
      <c r="D240" s="17">
        <f t="shared" si="217"/>
        <v>32389.78572886324</v>
      </c>
      <c r="E240" s="17">
        <f t="shared" si="187"/>
        <v>9132.8109188632407</v>
      </c>
      <c r="F240" s="17">
        <f t="shared" si="188"/>
        <v>-32222.098591136761</v>
      </c>
      <c r="G240" s="17">
        <f t="shared" si="189"/>
        <v>-9800.7957711367599</v>
      </c>
      <c r="H240" s="17">
        <f t="shared" si="156"/>
        <v>9132.8109188632407</v>
      </c>
      <c r="I240" s="17">
        <f t="shared" si="190"/>
        <v>954.06185864506699</v>
      </c>
      <c r="J240" s="20">
        <f>(Geraetedaten!$B$152+(Geraetedaten!$B$153*(Geraetedaten!$B$18+d_y_Sw)/1000))*10</f>
        <v>6051.0442000000003</v>
      </c>
      <c r="K240" s="20">
        <f>(Geraetedaten!$B$165+(Geraetedaten!$B$166*(Geraetedaten!$B$18+d_y_Sw)/1000))*10</f>
        <v>10816.164000000001</v>
      </c>
      <c r="L240" s="20">
        <f>(Geraetedaten!$B$158+(Geraetedaten!$B$159*(Geraetedaten!$B$18+d_y_Sw)/1000)-(Geraetedaten!$B$160*I240/1000))*10</f>
        <v>531.57524390555704</v>
      </c>
      <c r="M240" s="20">
        <f>(Geraetedaten!$B$171+(Geraetedaten!$B$172*(Geraetedaten!$B$18+d_y_Sw)/1000)-(Geraetedaten!$B$173*I240/1000))*10</f>
        <v>993.84663524246218</v>
      </c>
      <c r="N240" s="20">
        <f>IF((H240-J240)/(K240-J240)*(Geraetedaten!$B$174-Geraetedaten!$B$161)&lt;Geraetedaten!$B$174,(H240-J240)/(K240-J240)*(Geraetedaten!$B$174-Geraetedaten!$B$161),Geraetedaten!$B$174)</f>
        <v>258.69374523286825</v>
      </c>
      <c r="O240" s="20">
        <f>N240/Geraetedaten!$B$174*(M240-L240)+L240+C240</f>
        <v>879.54656888969873</v>
      </c>
      <c r="P240" s="20">
        <f t="shared" si="163"/>
        <v>249.45181051052865</v>
      </c>
      <c r="Q240" s="20"/>
      <c r="R240" s="21">
        <f>(N240-Geraetedaten!$B$161)/(Geraetedaten!$B$174-Geraetedaten!$B$161)*(Geraetedaten!$B$175-Geraetedaten!$B$162)+Geraetedaten!$B$162</f>
        <v>36.896138920677828</v>
      </c>
      <c r="S240" s="21">
        <f t="shared" si="191"/>
        <v>36.896138920677828</v>
      </c>
      <c r="T240" s="21">
        <f t="shared" si="192"/>
        <v>-12.012207854999952</v>
      </c>
      <c r="U240" s="88">
        <f t="shared" si="193"/>
        <v>-34.885984717393811</v>
      </c>
      <c r="V240" s="86">
        <f t="shared" si="194"/>
        <v>32438.790260000002</v>
      </c>
      <c r="W240" s="85">
        <f t="shared" si="195"/>
        <v>-4225.3239992296285</v>
      </c>
      <c r="X240" s="85">
        <f t="shared" si="196"/>
        <v>12962.027669853655</v>
      </c>
      <c r="Y240" s="90">
        <f t="shared" si="197"/>
        <v>4225.3239992296285</v>
      </c>
      <c r="Z240" s="86">
        <f t="shared" si="198"/>
        <v>9181.8154500000001</v>
      </c>
      <c r="AA240" s="85">
        <f t="shared" si="199"/>
        <v>-913.46204712425447</v>
      </c>
      <c r="AB240" s="85">
        <f t="shared" si="200"/>
        <v>954.06185864506699</v>
      </c>
      <c r="AC240" s="90">
        <f t="shared" si="201"/>
        <v>913.46204712425447</v>
      </c>
      <c r="AD240" s="86">
        <f t="shared" si="202"/>
        <v>-32173.094059999999</v>
      </c>
      <c r="AE240" s="85">
        <f t="shared" si="203"/>
        <v>4140.4375383844126</v>
      </c>
      <c r="AF240" s="85">
        <f t="shared" si="204"/>
        <v>-12732.638843822633</v>
      </c>
      <c r="AG240" s="90">
        <f t="shared" si="205"/>
        <v>4140.4375383844126</v>
      </c>
      <c r="AH240" s="86">
        <f t="shared" si="206"/>
        <v>-9751.7912400000005</v>
      </c>
      <c r="AI240" s="85">
        <f t="shared" si="207"/>
        <v>6238.0466047659793</v>
      </c>
      <c r="AJ240" s="85">
        <f t="shared" si="208"/>
        <v>-6626.3428980302051</v>
      </c>
      <c r="AK240" s="90">
        <f t="shared" si="209"/>
        <v>6238.0466047659793</v>
      </c>
      <c r="AM240" s="95">
        <f t="shared" si="213"/>
        <v>0</v>
      </c>
      <c r="AN240" s="95">
        <f t="shared" si="214"/>
        <v>0</v>
      </c>
      <c r="AO240" s="95">
        <f t="shared" si="215"/>
        <v>0</v>
      </c>
      <c r="AP240" s="95">
        <f t="shared" si="216"/>
        <v>0</v>
      </c>
      <c r="AQ240"/>
      <c r="AR240" s="95">
        <f t="shared" si="210"/>
        <v>0</v>
      </c>
      <c r="AS240" s="95">
        <f t="shared" si="211"/>
        <v>0</v>
      </c>
      <c r="AT240" s="95">
        <f>Geraetedaten!$B$94*ABS(SIN(RADIANS($A240)))</f>
        <v>50.137495786402141</v>
      </c>
      <c r="AU240" s="95">
        <f>Geraetedaten!$B$94*ABS(COS(RADIANS($A240)))</f>
        <v>145.60986064229479</v>
      </c>
      <c r="AV240" s="95">
        <f>((h_Aw_Sw+Geraetedaten!$B$18)/1000)*(AR240*AT240+AS240*AU240)/100</f>
        <v>0</v>
      </c>
      <c r="AX240" s="18">
        <f t="shared" si="212"/>
        <v>0.94551857559931674</v>
      </c>
    </row>
    <row r="241" spans="1:50" ht="13.5" x14ac:dyDescent="0.25">
      <c r="A241" s="16">
        <v>200</v>
      </c>
      <c r="B241" s="16">
        <f t="shared" si="185"/>
        <v>250</v>
      </c>
      <c r="C241" s="19">
        <f t="shared" si="186"/>
        <v>49.875554833930195</v>
      </c>
      <c r="D241" s="17">
        <f t="shared" si="217"/>
        <v>30830.621925166073</v>
      </c>
      <c r="E241" s="17">
        <f t="shared" si="187"/>
        <v>9181.9134351660687</v>
      </c>
      <c r="F241" s="17">
        <f t="shared" si="188"/>
        <v>-30673.409254833929</v>
      </c>
      <c r="G241" s="17">
        <f t="shared" si="189"/>
        <v>-9864.5318848339302</v>
      </c>
      <c r="H241" s="17">
        <f t="shared" si="156"/>
        <v>9181.9134351660687</v>
      </c>
      <c r="I241" s="17">
        <f t="shared" si="190"/>
        <v>959.25449808433063</v>
      </c>
      <c r="J241" s="20">
        <f>(Geraetedaten!$B$152+(Geraetedaten!$B$153*(Geraetedaten!$B$18+d_y_Sw)/1000))*10</f>
        <v>6051.0442000000003</v>
      </c>
      <c r="K241" s="20">
        <f>(Geraetedaten!$B$165+(Geraetedaten!$B$166*(Geraetedaten!$B$18+d_y_Sw)/1000))*10</f>
        <v>10816.164000000001</v>
      </c>
      <c r="L241" s="20">
        <f>(Geraetedaten!$B$158+(Geraetedaten!$B$159*(Geraetedaten!$B$18+d_y_Sw)/1000)-(Geraetedaten!$B$160*I241/1000))*10</f>
        <v>531.19446765547582</v>
      </c>
      <c r="M241" s="20">
        <f>(Geraetedaten!$B$171+(Geraetedaten!$B$172*(Geraetedaten!$B$18+d_y_Sw)/1000)-(Geraetedaten!$B$173*I241/1000))*10</f>
        <v>993.46009516260335</v>
      </c>
      <c r="N241" s="20">
        <f>IF((H241-J241)/(K241-J241)*(Geraetedaten!$B$174-Geraetedaten!$B$161)&lt;Geraetedaten!$B$174,(H241-J241)/(K241-J241)*(Geraetedaten!$B$174-Geraetedaten!$B$161),Geraetedaten!$B$174)</f>
        <v>262.81557371683022</v>
      </c>
      <c r="O241" s="20">
        <f>N241/Geraetedaten!$B$174*(M241-L241)+L241+C241</f>
        <v>884.79653774654662</v>
      </c>
      <c r="P241" s="20">
        <f t="shared" si="163"/>
        <v>250.12355946848737</v>
      </c>
      <c r="Q241" s="20"/>
      <c r="R241" s="21">
        <f>(N241-Geraetedaten!$B$161)/(Geraetedaten!$B$174-Geraetedaten!$B$161)*(Geraetedaten!$B$175-Geraetedaten!$B$162)+Geraetedaten!$B$162</f>
        <v>37.018763318075699</v>
      </c>
      <c r="S241" s="21">
        <f t="shared" si="191"/>
        <v>37.018763318075699</v>
      </c>
      <c r="T241" s="21">
        <f t="shared" si="192"/>
        <v>-12.661162735787256</v>
      </c>
      <c r="U241" s="88">
        <f t="shared" si="193"/>
        <v>-34.786258720615805</v>
      </c>
      <c r="V241" s="86">
        <f t="shared" si="194"/>
        <v>30880.497480000002</v>
      </c>
      <c r="W241" s="85">
        <f t="shared" si="195"/>
        <v>-4225.3239992296285</v>
      </c>
      <c r="X241" s="85">
        <f t="shared" si="196"/>
        <v>12339.358514741958</v>
      </c>
      <c r="Y241" s="90">
        <f t="shared" si="197"/>
        <v>4225.3239992296285</v>
      </c>
      <c r="Z241" s="86">
        <f t="shared" si="198"/>
        <v>9231.7889899999991</v>
      </c>
      <c r="AA241" s="85">
        <f t="shared" si="199"/>
        <v>-913.46204712425447</v>
      </c>
      <c r="AB241" s="85">
        <f t="shared" si="200"/>
        <v>959.25449808433063</v>
      </c>
      <c r="AC241" s="90">
        <f t="shared" si="201"/>
        <v>913.46204712425447</v>
      </c>
      <c r="AD241" s="86">
        <f t="shared" si="202"/>
        <v>-30623.5337</v>
      </c>
      <c r="AE241" s="85">
        <f t="shared" si="203"/>
        <v>4140.4375383844126</v>
      </c>
      <c r="AF241" s="85">
        <f t="shared" si="204"/>
        <v>-12119.393740247064</v>
      </c>
      <c r="AG241" s="90">
        <f t="shared" si="205"/>
        <v>4140.4375383844126</v>
      </c>
      <c r="AH241" s="86">
        <f t="shared" si="206"/>
        <v>-9814.6563299999998</v>
      </c>
      <c r="AI241" s="85">
        <f t="shared" si="207"/>
        <v>6238.0466047659793</v>
      </c>
      <c r="AJ241" s="85">
        <f t="shared" si="208"/>
        <v>-6669.0597293043584</v>
      </c>
      <c r="AK241" s="90">
        <f t="shared" si="209"/>
        <v>6238.0466047659793</v>
      </c>
      <c r="AM241" s="95">
        <f t="shared" si="213"/>
        <v>0</v>
      </c>
      <c r="AN241" s="95">
        <f t="shared" si="214"/>
        <v>0</v>
      </c>
      <c r="AO241" s="95">
        <f t="shared" si="215"/>
        <v>0</v>
      </c>
      <c r="AP241" s="95">
        <f t="shared" si="216"/>
        <v>0</v>
      </c>
      <c r="AQ241"/>
      <c r="AR241" s="95">
        <f t="shared" si="210"/>
        <v>0</v>
      </c>
      <c r="AS241" s="95">
        <f t="shared" si="211"/>
        <v>0</v>
      </c>
      <c r="AT241" s="95">
        <f>Geraetedaten!$B$94*ABS(SIN(RADIANS($A241)))</f>
        <v>52.671102072152976</v>
      </c>
      <c r="AU241" s="95">
        <f>Geraetedaten!$B$94*ABS(COS(RADIANS($A241)))</f>
        <v>144.7126636010299</v>
      </c>
      <c r="AV241" s="95">
        <f>((h_Aw_Sw+Geraetedaten!$B$18)/1000)*(AR241*AT241+AS241*AU241)/100</f>
        <v>0</v>
      </c>
      <c r="AX241" s="18">
        <f t="shared" si="212"/>
        <v>0.93969262078590843</v>
      </c>
    </row>
    <row r="242" spans="1:50" ht="13.5" x14ac:dyDescent="0.25">
      <c r="A242" s="16">
        <v>201</v>
      </c>
      <c r="B242" s="16">
        <f t="shared" si="185"/>
        <v>249</v>
      </c>
      <c r="C242" s="19">
        <f t="shared" si="186"/>
        <v>50.731385953943175</v>
      </c>
      <c r="D242" s="17">
        <f t="shared" si="217"/>
        <v>29422.891794046056</v>
      </c>
      <c r="E242" s="17">
        <f t="shared" si="187"/>
        <v>9234.4219340460568</v>
      </c>
      <c r="F242" s="17">
        <f t="shared" si="188"/>
        <v>-29275.602855953941</v>
      </c>
      <c r="G242" s="17">
        <f t="shared" si="189"/>
        <v>-9932.0980659539418</v>
      </c>
      <c r="H242" s="17">
        <f t="shared" si="156"/>
        <v>9234.4219340460568</v>
      </c>
      <c r="I242" s="17">
        <f t="shared" si="190"/>
        <v>964.79946599081893</v>
      </c>
      <c r="J242" s="20">
        <f>(Geraetedaten!$B$152+(Geraetedaten!$B$153*(Geraetedaten!$B$18+d_y_Sw)/1000))*10</f>
        <v>6051.0442000000003</v>
      </c>
      <c r="K242" s="20">
        <f>(Geraetedaten!$B$165+(Geraetedaten!$B$166*(Geraetedaten!$B$18+d_y_Sw)/1000))*10</f>
        <v>10816.164000000001</v>
      </c>
      <c r="L242" s="20">
        <f>(Geraetedaten!$B$158+(Geraetedaten!$B$159*(Geraetedaten!$B$18+d_y_Sw)/1000)-(Geraetedaten!$B$160*I242/1000))*10</f>
        <v>530.78785515889297</v>
      </c>
      <c r="M242" s="20">
        <f>(Geraetedaten!$B$171+(Geraetedaten!$B$172*(Geraetedaten!$B$18+d_y_Sw)/1000)-(Geraetedaten!$B$173*I242/1000))*10</f>
        <v>993.04732775164439</v>
      </c>
      <c r="N242" s="20">
        <f>IF((H242-J242)/(K242-J242)*(Geraetedaten!$B$174-Geraetedaten!$B$161)&lt;Geraetedaten!$B$174,(H242-J242)/(K242-J242)*(Geraetedaten!$B$174-Geraetedaten!$B$161),Geraetedaten!$B$174)</f>
        <v>267.2233117031858</v>
      </c>
      <c r="O242" s="20">
        <f>N242/Geraetedaten!$B$174*(M242-L242)+L242+C242</f>
        <v>890.33550894384371</v>
      </c>
      <c r="P242" s="20">
        <f t="shared" si="163"/>
        <v>250.81585207054957</v>
      </c>
      <c r="Q242" s="20"/>
      <c r="R242" s="21">
        <f>(N242-Geraetedaten!$B$161)/(Geraetedaten!$B$174-Geraetedaten!$B$161)*(Geraetedaten!$B$175-Geraetedaten!$B$162)+Geraetedaten!$B$162</f>
        <v>37.14989352316978</v>
      </c>
      <c r="S242" s="21">
        <f t="shared" si="191"/>
        <v>37.14989352316978</v>
      </c>
      <c r="T242" s="21">
        <f t="shared" si="192"/>
        <v>-13.313331167724591</v>
      </c>
      <c r="U242" s="88">
        <f t="shared" si="193"/>
        <v>-34.682413439686478</v>
      </c>
      <c r="V242" s="86">
        <f t="shared" si="194"/>
        <v>29473.623179999999</v>
      </c>
      <c r="W242" s="85">
        <f t="shared" si="195"/>
        <v>-4225.3239992296285</v>
      </c>
      <c r="X242" s="85">
        <f t="shared" si="196"/>
        <v>11777.193790125011</v>
      </c>
      <c r="Y242" s="90">
        <f t="shared" si="197"/>
        <v>4225.3239992296285</v>
      </c>
      <c r="Z242" s="86">
        <f t="shared" si="198"/>
        <v>9285.1533199999994</v>
      </c>
      <c r="AA242" s="85">
        <f t="shared" si="199"/>
        <v>-913.46204712425447</v>
      </c>
      <c r="AB242" s="85">
        <f t="shared" si="200"/>
        <v>964.79946599081893</v>
      </c>
      <c r="AC242" s="90">
        <f t="shared" si="201"/>
        <v>913.46204712425447</v>
      </c>
      <c r="AD242" s="86">
        <f t="shared" si="202"/>
        <v>-29224.871469999998</v>
      </c>
      <c r="AE242" s="85">
        <f t="shared" si="203"/>
        <v>4140.4375383844126</v>
      </c>
      <c r="AF242" s="85">
        <f t="shared" si="204"/>
        <v>-11565.86721067661</v>
      </c>
      <c r="AG242" s="90">
        <f t="shared" si="205"/>
        <v>4140.4375383844126</v>
      </c>
      <c r="AH242" s="86">
        <f t="shared" si="206"/>
        <v>-9881.3666799999992</v>
      </c>
      <c r="AI242" s="85">
        <f t="shared" si="207"/>
        <v>6238.0466047659793</v>
      </c>
      <c r="AJ242" s="85">
        <f t="shared" si="208"/>
        <v>-6714.3894220425491</v>
      </c>
      <c r="AK242" s="90">
        <f t="shared" si="209"/>
        <v>6238.0466047659793</v>
      </c>
      <c r="AM242" s="95">
        <f t="shared" si="213"/>
        <v>0</v>
      </c>
      <c r="AN242" s="95">
        <f t="shared" si="214"/>
        <v>0</v>
      </c>
      <c r="AO242" s="95">
        <f t="shared" si="215"/>
        <v>0</v>
      </c>
      <c r="AP242" s="95">
        <f t="shared" si="216"/>
        <v>0</v>
      </c>
      <c r="AQ242"/>
      <c r="AR242" s="95">
        <f t="shared" si="210"/>
        <v>0</v>
      </c>
      <c r="AS242" s="95">
        <f t="shared" si="211"/>
        <v>0</v>
      </c>
      <c r="AT242" s="95">
        <f>Geraetedaten!$B$94*ABS(SIN(RADIANS($A242)))</f>
        <v>55.188664229976268</v>
      </c>
      <c r="AU242" s="95">
        <f>Geraetedaten!$B$94*ABS(COS(RADIANS($A242)))</f>
        <v>143.77138568056907</v>
      </c>
      <c r="AV242" s="95">
        <f>((h_Aw_Sw+Geraetedaten!$B$18)/1000)*(AR242*AT242+AS242*AU242)/100</f>
        <v>0</v>
      </c>
      <c r="AX242" s="18">
        <f t="shared" si="212"/>
        <v>0.93358042649720174</v>
      </c>
    </row>
    <row r="243" spans="1:50" ht="13.5" x14ac:dyDescent="0.25">
      <c r="A243" s="16">
        <v>202</v>
      </c>
      <c r="B243" s="16">
        <f t="shared" si="185"/>
        <v>248</v>
      </c>
      <c r="C243" s="19">
        <f t="shared" si="186"/>
        <v>51.57176380234857</v>
      </c>
      <c r="D243" s="17">
        <f t="shared" si="217"/>
        <v>28145.997026197652</v>
      </c>
      <c r="E243" s="17">
        <f t="shared" si="187"/>
        <v>9290.4286261976504</v>
      </c>
      <c r="F243" s="17">
        <f t="shared" si="188"/>
        <v>-28008.10612380235</v>
      </c>
      <c r="G243" s="17">
        <f t="shared" si="189"/>
        <v>-10003.614103802349</v>
      </c>
      <c r="H243" s="17">
        <f t="shared" si="156"/>
        <v>9290.4286261976504</v>
      </c>
      <c r="I243" s="17">
        <f t="shared" si="190"/>
        <v>970.70631765567214</v>
      </c>
      <c r="J243" s="20">
        <f>(Geraetedaten!$B$152+(Geraetedaten!$B$153*(Geraetedaten!$B$18+d_y_Sw)/1000))*10</f>
        <v>6051.0442000000003</v>
      </c>
      <c r="K243" s="20">
        <f>(Geraetedaten!$B$165+(Geraetedaten!$B$166*(Geraetedaten!$B$18+d_y_Sw)/1000))*10</f>
        <v>10816.164000000001</v>
      </c>
      <c r="L243" s="20">
        <f>(Geraetedaten!$B$158+(Geraetedaten!$B$159*(Geraetedaten!$B$18+d_y_Sw)/1000)-(Geraetedaten!$B$160*I243/1000))*10</f>
        <v>530.35470572630925</v>
      </c>
      <c r="M243" s="20">
        <f>(Geraetedaten!$B$171+(Geraetedaten!$B$172*(Geraetedaten!$B$18+d_y_Sw)/1000)-(Geraetedaten!$B$173*I243/1000))*10</f>
        <v>992.60762171371266</v>
      </c>
      <c r="N243" s="20">
        <f>IF((H243-J243)/(K243-J243)*(Geraetedaten!$B$174-Geraetedaten!$B$161)&lt;Geraetedaten!$B$174,(H243-J243)/(K243-J243)*(Geraetedaten!$B$174-Geraetedaten!$B$161),Geraetedaten!$B$174)</f>
        <v>271.92469966422669</v>
      </c>
      <c r="O243" s="20">
        <f>N243/Geraetedaten!$B$174*(M243-L243)+L243+C243</f>
        <v>896.171432900627</v>
      </c>
      <c r="P243" s="20">
        <f t="shared" si="163"/>
        <v>251.52871177420573</v>
      </c>
      <c r="Q243" s="20"/>
      <c r="R243" s="21">
        <f>(N243-Geraetedaten!$B$161)/(Geraetedaten!$B$174-Geraetedaten!$B$161)*(Geraetedaten!$B$175-Geraetedaten!$B$162)+Geraetedaten!$B$162</f>
        <v>37.289759815010747</v>
      </c>
      <c r="S243" s="21">
        <f t="shared" si="191"/>
        <v>37.289759815010747</v>
      </c>
      <c r="T243" s="21">
        <f t="shared" si="192"/>
        <v>-13.968989893598746</v>
      </c>
      <c r="U243" s="88">
        <f t="shared" si="193"/>
        <v>-34.574463241151356</v>
      </c>
      <c r="V243" s="86">
        <f t="shared" si="194"/>
        <v>28197.568790000001</v>
      </c>
      <c r="W243" s="85">
        <f t="shared" si="195"/>
        <v>-4225.3239992296285</v>
      </c>
      <c r="X243" s="85">
        <f t="shared" si="196"/>
        <v>11267.302631926605</v>
      </c>
      <c r="Y243" s="90">
        <f t="shared" si="197"/>
        <v>4225.3239992296285</v>
      </c>
      <c r="Z243" s="86">
        <f t="shared" si="198"/>
        <v>9342.0003899999992</v>
      </c>
      <c r="AA243" s="85">
        <f t="shared" si="199"/>
        <v>-913.46204712425447</v>
      </c>
      <c r="AB243" s="85">
        <f t="shared" si="200"/>
        <v>970.70631765567214</v>
      </c>
      <c r="AC243" s="90">
        <f t="shared" si="201"/>
        <v>913.46204712425447</v>
      </c>
      <c r="AD243" s="86">
        <f t="shared" si="202"/>
        <v>-27956.534360000001</v>
      </c>
      <c r="AE243" s="85">
        <f t="shared" si="203"/>
        <v>4140.4375383844126</v>
      </c>
      <c r="AF243" s="85">
        <f t="shared" si="204"/>
        <v>-11063.917406831322</v>
      </c>
      <c r="AG243" s="90">
        <f t="shared" si="205"/>
        <v>4140.4375383844126</v>
      </c>
      <c r="AH243" s="86">
        <f t="shared" si="206"/>
        <v>-9952.04234</v>
      </c>
      <c r="AI243" s="85">
        <f t="shared" si="207"/>
        <v>6238.0466047659793</v>
      </c>
      <c r="AJ243" s="85">
        <f t="shared" si="208"/>
        <v>-6762.413538607836</v>
      </c>
      <c r="AK243" s="90">
        <f t="shared" si="209"/>
        <v>6238.0466047659793</v>
      </c>
      <c r="AM243" s="95">
        <f t="shared" si="213"/>
        <v>0</v>
      </c>
      <c r="AN243" s="95">
        <f t="shared" si="214"/>
        <v>0</v>
      </c>
      <c r="AO243" s="95">
        <f t="shared" si="215"/>
        <v>0</v>
      </c>
      <c r="AP243" s="95">
        <f t="shared" si="216"/>
        <v>0</v>
      </c>
      <c r="AQ243"/>
      <c r="AR243" s="95">
        <f t="shared" si="210"/>
        <v>0</v>
      </c>
      <c r="AS243" s="95">
        <f t="shared" si="211"/>
        <v>0</v>
      </c>
      <c r="AT243" s="95">
        <f>Geraetedaten!$B$94*ABS(SIN(RADIANS($A243)))</f>
        <v>57.689415386050449</v>
      </c>
      <c r="AU243" s="95">
        <f>Geraetedaten!$B$94*ABS(COS(RADIANS($A243)))</f>
        <v>142.78631360328527</v>
      </c>
      <c r="AV243" s="95">
        <f>((h_Aw_Sw+Geraetedaten!$B$18)/1000)*(AR243*AT243+AS243*AU243)/100</f>
        <v>0</v>
      </c>
      <c r="AX243" s="18">
        <f t="shared" si="212"/>
        <v>0.92718385456678742</v>
      </c>
    </row>
    <row r="244" spans="1:50" ht="13.5" x14ac:dyDescent="0.25">
      <c r="A244" s="16">
        <v>203</v>
      </c>
      <c r="B244" s="16">
        <f t="shared" si="185"/>
        <v>247</v>
      </c>
      <c r="C244" s="19">
        <f t="shared" si="186"/>
        <v>52.396432391912882</v>
      </c>
      <c r="D244" s="17">
        <f t="shared" si="217"/>
        <v>26982.919197608087</v>
      </c>
      <c r="E244" s="17">
        <f t="shared" si="187"/>
        <v>9350.0331076080856</v>
      </c>
      <c r="F244" s="17">
        <f t="shared" si="188"/>
        <v>-26853.928772391915</v>
      </c>
      <c r="G244" s="17">
        <f t="shared" si="189"/>
        <v>-10079.208992391914</v>
      </c>
      <c r="H244" s="17">
        <f>SMALL(D244:G244,COUNTIF(D244:G244,"&lt;0")+1)</f>
        <v>9350.0331076080856</v>
      </c>
      <c r="I244" s="17">
        <f t="shared" si="190"/>
        <v>976.98537507774131</v>
      </c>
      <c r="J244" s="20">
        <f>(Geraetedaten!$B$152+(Geraetedaten!$B$153*(Geraetedaten!$B$18+d_y_Sw)/1000))*10</f>
        <v>6051.0442000000003</v>
      </c>
      <c r="K244" s="20">
        <f>(Geraetedaten!$B$165+(Geraetedaten!$B$166*(Geraetedaten!$B$18+d_y_Sw)/1000))*10</f>
        <v>10816.164000000001</v>
      </c>
      <c r="L244" s="20">
        <f>(Geraetedaten!$B$158+(Geraetedaten!$B$159*(Geraetedaten!$B$18+d_y_Sw)/1000)-(Geraetedaten!$B$160*I244/1000))*10</f>
        <v>529.89426244554897</v>
      </c>
      <c r="M244" s="20">
        <f>(Geraetedaten!$B$171+(Geraetedaten!$B$172*(Geraetedaten!$B$18+d_y_Sw)/1000)-(Geraetedaten!$B$173*I244/1000))*10</f>
        <v>992.14020867921386</v>
      </c>
      <c r="N244" s="20">
        <f>IF((H244-J244)/(K244-J244)*(Geraetedaten!$B$174-Geraetedaten!$B$161)&lt;Geraetedaten!$B$174,(H244-J244)/(K244-J244)*(Geraetedaten!$B$174-Geraetedaten!$B$161),Geraetedaten!$B$174)</f>
        <v>276.92809801827735</v>
      </c>
      <c r="O244" s="20">
        <f>N244/Geraetedaten!$B$174*(M244-L244)+L244+C244</f>
        <v>902.3129216053311</v>
      </c>
      <c r="P244" s="20">
        <f t="shared" si="163"/>
        <v>252.26217900769515</v>
      </c>
      <c r="Q244" s="20"/>
      <c r="R244" s="21">
        <f>(N244-Geraetedaten!$B$161)/(Geraetedaten!$B$174-Geraetedaten!$B$161)*(Geraetedaten!$B$175-Geraetedaten!$B$162)+Geraetedaten!$B$162</f>
        <v>37.43861091604375</v>
      </c>
      <c r="S244" s="21">
        <f t="shared" si="191"/>
        <v>37.43861091604375</v>
      </c>
      <c r="T244" s="21">
        <f t="shared" si="192"/>
        <v>-14.628430692296609</v>
      </c>
      <c r="U244" s="88">
        <f t="shared" si="193"/>
        <v>-34.462423054735787</v>
      </c>
      <c r="V244" s="86">
        <f t="shared" si="194"/>
        <v>27035.315630000001</v>
      </c>
      <c r="W244" s="85">
        <f t="shared" si="195"/>
        <v>-4225.3239992296285</v>
      </c>
      <c r="X244" s="85">
        <f t="shared" si="196"/>
        <v>10802.884648880337</v>
      </c>
      <c r="Y244" s="90">
        <f t="shared" si="197"/>
        <v>4225.3239992296285</v>
      </c>
      <c r="Z244" s="86">
        <f t="shared" si="198"/>
        <v>9402.4295399999992</v>
      </c>
      <c r="AA244" s="85">
        <f t="shared" si="199"/>
        <v>-913.46204712425447</v>
      </c>
      <c r="AB244" s="85">
        <f t="shared" si="200"/>
        <v>976.98537507774131</v>
      </c>
      <c r="AC244" s="90">
        <f t="shared" si="201"/>
        <v>913.46204712425447</v>
      </c>
      <c r="AD244" s="86">
        <f t="shared" si="202"/>
        <v>-26801.532340000002</v>
      </c>
      <c r="AE244" s="85">
        <f t="shared" si="203"/>
        <v>4140.4375383844126</v>
      </c>
      <c r="AF244" s="85">
        <f t="shared" si="204"/>
        <v>-10606.820440618958</v>
      </c>
      <c r="AG244" s="90">
        <f t="shared" si="205"/>
        <v>4140.4375383844126</v>
      </c>
      <c r="AH244" s="86">
        <f t="shared" si="206"/>
        <v>-10026.81256</v>
      </c>
      <c r="AI244" s="85">
        <f t="shared" si="207"/>
        <v>6238.0466047659793</v>
      </c>
      <c r="AJ244" s="85">
        <f t="shared" si="208"/>
        <v>-6813.2199048343064</v>
      </c>
      <c r="AK244" s="90">
        <f t="shared" si="209"/>
        <v>6238.0466047659793</v>
      </c>
      <c r="AM244" s="95">
        <f t="shared" si="213"/>
        <v>0</v>
      </c>
      <c r="AN244" s="95">
        <f t="shared" si="214"/>
        <v>0</v>
      </c>
      <c r="AO244" s="95">
        <f t="shared" si="215"/>
        <v>0</v>
      </c>
      <c r="AP244" s="95">
        <f t="shared" si="216"/>
        <v>0</v>
      </c>
      <c r="AQ244"/>
      <c r="AR244" s="95">
        <f t="shared" si="210"/>
        <v>0</v>
      </c>
      <c r="AS244" s="95">
        <f t="shared" si="211"/>
        <v>0</v>
      </c>
      <c r="AT244" s="95">
        <f>Geraetedaten!$B$94*ABS(SIN(RADIANS($A244)))</f>
        <v>60.172593787348127</v>
      </c>
      <c r="AU244" s="95">
        <f>Geraetedaten!$B$94*ABS(COS(RADIANS($A244)))</f>
        <v>141.75774743167582</v>
      </c>
      <c r="AV244" s="95">
        <f>((h_Aw_Sw+Geraetedaten!$B$18)/1000)*(AR244*AT244+AS244*AU244)/100</f>
        <v>0</v>
      </c>
      <c r="AX244" s="18">
        <f t="shared" si="212"/>
        <v>0.92050485345244037</v>
      </c>
    </row>
    <row r="245" spans="1:50" ht="13.5" x14ac:dyDescent="0.25">
      <c r="A245" s="16">
        <v>204</v>
      </c>
      <c r="B245" s="16">
        <f t="shared" si="185"/>
        <v>246</v>
      </c>
      <c r="C245" s="19">
        <f t="shared" si="186"/>
        <v>53.205140520595009</v>
      </c>
      <c r="D245" s="17">
        <f t="shared" si="217"/>
        <v>25919.474789479402</v>
      </c>
      <c r="E245" s="17">
        <f t="shared" si="187"/>
        <v>9413.3427994794056</v>
      </c>
      <c r="F245" s="17">
        <f t="shared" si="188"/>
        <v>-25798.916250520597</v>
      </c>
      <c r="G245" s="17">
        <f t="shared" si="189"/>
        <v>-10159.021550520594</v>
      </c>
      <c r="H245" s="17">
        <f t="shared" ref="H245:H308" si="218">SMALL(D245:G245,COUNTIF(D245:G245,"&lt;0")+1)</f>
        <v>9413.3427994794056</v>
      </c>
      <c r="I245" s="17">
        <f t="shared" si="190"/>
        <v>983.64777352911426</v>
      </c>
      <c r="J245" s="20">
        <f>(Geraetedaten!$B$152+(Geraetedaten!$B$153*(Geraetedaten!$B$18+d_y_Sw)/1000))*10</f>
        <v>6051.0442000000003</v>
      </c>
      <c r="K245" s="20">
        <f>(Geraetedaten!$B$165+(Geraetedaten!$B$166*(Geraetedaten!$B$18+d_y_Sw)/1000))*10</f>
        <v>10816.164000000001</v>
      </c>
      <c r="L245" s="20">
        <f>(Geraetedaten!$B$158+(Geraetedaten!$B$159*(Geraetedaten!$B$18+d_y_Sw)/1000)-(Geraetedaten!$B$160*I245/1000))*10</f>
        <v>529.40570876710979</v>
      </c>
      <c r="M245" s="20">
        <f>(Geraetedaten!$B$171+(Geraetedaten!$B$172*(Geraetedaten!$B$18+d_y_Sw)/1000)-(Geraetedaten!$B$173*I245/1000))*10</f>
        <v>991.6442597384937</v>
      </c>
      <c r="N245" s="20">
        <f>IF((H245-J245)/(K245-J245)*(Geraetedaten!$B$174-Geraetedaten!$B$161)&lt;Geraetedaten!$B$174,(H245-J245)/(K245-J245)*(Geraetedaten!$B$174-Geraetedaten!$B$161),Geraetedaten!$B$174)</f>
        <v>282.24252405821193</v>
      </c>
      <c r="O245" s="20">
        <f>N245/Geraetedaten!$B$174*(M245-L245)+L245+C245</f>
        <v>908.76928764563945</v>
      </c>
      <c r="P245" s="20">
        <f t="shared" si="163"/>
        <v>253.01631130002085</v>
      </c>
      <c r="Q245" s="20"/>
      <c r="R245" s="21">
        <f>(N245-Geraetedaten!$B$161)/(Geraetedaten!$B$174-Geraetedaten!$B$161)*(Geraetedaten!$B$175-Geraetedaten!$B$162)+Geraetedaten!$B$162</f>
        <v>37.596715090731806</v>
      </c>
      <c r="S245" s="21">
        <f t="shared" si="191"/>
        <v>37.596715090731806</v>
      </c>
      <c r="T245" s="21">
        <f t="shared" si="192"/>
        <v>-15.291961686681534</v>
      </c>
      <c r="U245" s="88">
        <f t="shared" si="193"/>
        <v>-34.346308293421068</v>
      </c>
      <c r="V245" s="86">
        <f t="shared" si="194"/>
        <v>25972.679929999998</v>
      </c>
      <c r="W245" s="85">
        <f t="shared" si="195"/>
        <v>-4225.3239992296285</v>
      </c>
      <c r="X245" s="85">
        <f t="shared" si="196"/>
        <v>10378.272225125753</v>
      </c>
      <c r="Y245" s="90">
        <f t="shared" si="197"/>
        <v>4225.3239992296285</v>
      </c>
      <c r="Z245" s="86">
        <f t="shared" si="198"/>
        <v>9466.5479400000004</v>
      </c>
      <c r="AA245" s="85">
        <f t="shared" si="199"/>
        <v>-913.46204712425447</v>
      </c>
      <c r="AB245" s="85">
        <f t="shared" si="200"/>
        <v>983.64777352911426</v>
      </c>
      <c r="AC245" s="90">
        <f t="shared" si="201"/>
        <v>913.46204712425447</v>
      </c>
      <c r="AD245" s="86">
        <f t="shared" si="202"/>
        <v>-25745.71111</v>
      </c>
      <c r="AE245" s="85">
        <f t="shared" si="203"/>
        <v>4140.4375383844126</v>
      </c>
      <c r="AF245" s="85">
        <f t="shared" si="204"/>
        <v>-10188.974698359474</v>
      </c>
      <c r="AG245" s="90">
        <f t="shared" si="205"/>
        <v>4140.4375383844126</v>
      </c>
      <c r="AH245" s="86">
        <f t="shared" si="206"/>
        <v>-10105.816409999999</v>
      </c>
      <c r="AI245" s="85">
        <f t="shared" si="207"/>
        <v>6238.0466047659793</v>
      </c>
      <c r="AJ245" s="85">
        <f t="shared" si="208"/>
        <v>-6866.9030312627847</v>
      </c>
      <c r="AK245" s="90">
        <f t="shared" si="209"/>
        <v>6238.0466047659793</v>
      </c>
      <c r="AM245" s="95">
        <f t="shared" si="213"/>
        <v>0</v>
      </c>
      <c r="AN245" s="95">
        <f t="shared" si="214"/>
        <v>0</v>
      </c>
      <c r="AO245" s="95">
        <f t="shared" si="215"/>
        <v>0</v>
      </c>
      <c r="AP245" s="95">
        <f t="shared" si="216"/>
        <v>0</v>
      </c>
      <c r="AQ245"/>
      <c r="AR245" s="95">
        <f t="shared" si="210"/>
        <v>0</v>
      </c>
      <c r="AS245" s="95">
        <f t="shared" si="211"/>
        <v>0</v>
      </c>
      <c r="AT245" s="95">
        <f>Geraetedaten!$B$94*ABS(SIN(RADIANS($A245)))</f>
        <v>62.637443033673229</v>
      </c>
      <c r="AU245" s="95">
        <f>Geraetedaten!$B$94*ABS(COS(RADIANS($A245)))</f>
        <v>140.68600047696054</v>
      </c>
      <c r="AV245" s="95">
        <f>((h_Aw_Sw+Geraetedaten!$B$18)/1000)*(AR245*AT245+AS245*AU245)/100</f>
        <v>0</v>
      </c>
      <c r="AX245" s="18">
        <f t="shared" si="212"/>
        <v>0.91354545764260087</v>
      </c>
    </row>
    <row r="246" spans="1:50" ht="13.5" x14ac:dyDescent="0.25">
      <c r="A246" s="16">
        <v>205</v>
      </c>
      <c r="B246" s="16">
        <f t="shared" si="185"/>
        <v>245</v>
      </c>
      <c r="C246" s="19">
        <f t="shared" si="186"/>
        <v>53.99764184806476</v>
      </c>
      <c r="D246" s="17">
        <f t="shared" si="217"/>
        <v>24943.748758151934</v>
      </c>
      <c r="E246" s="17">
        <f t="shared" si="187"/>
        <v>9480.4734181519343</v>
      </c>
      <c r="F246" s="17">
        <f t="shared" si="188"/>
        <v>-24831.182181848064</v>
      </c>
      <c r="G246" s="17">
        <f t="shared" si="189"/>
        <v>-10243.201161848065</v>
      </c>
      <c r="H246" s="17">
        <f t="shared" si="218"/>
        <v>9480.4734181519343</v>
      </c>
      <c r="I246" s="17">
        <f t="shared" si="190"/>
        <v>990.70551280304403</v>
      </c>
      <c r="J246" s="20">
        <f>(Geraetedaten!$B$152+(Geraetedaten!$B$153*(Geraetedaten!$B$18+d_y_Sw)/1000))*10</f>
        <v>6051.0442000000003</v>
      </c>
      <c r="K246" s="20">
        <f>(Geraetedaten!$B$165+(Geraetedaten!$B$166*(Geraetedaten!$B$18+d_y_Sw)/1000))*10</f>
        <v>10816.164000000001</v>
      </c>
      <c r="L246" s="20">
        <f>(Geraetedaten!$B$158+(Geraetedaten!$B$159*(Geraetedaten!$B$18+d_y_Sw)/1000)-(Geraetedaten!$B$160*I246/1000))*10</f>
        <v>528.8881647461526</v>
      </c>
      <c r="M246" s="20">
        <f>(Geraetedaten!$B$171+(Geraetedaten!$B$172*(Geraetedaten!$B$18+d_y_Sw)/1000)-(Geraetedaten!$B$173*I246/1000))*10</f>
        <v>991.11888162694243</v>
      </c>
      <c r="N246" s="20">
        <f>IF((H246-J246)/(K246-J246)*(Geraetedaten!$B$174-Geraetedaten!$B$161)&lt;Geraetedaten!$B$174,(H246-J246)/(K246-J246)*(Geraetedaten!$B$174-Geraetedaten!$B$161),Geraetedaten!$B$174)</f>
        <v>287.87769139839327</v>
      </c>
      <c r="O246" s="20">
        <f>N246/Geraetedaten!$B$174*(M246-L246)+L246+C246</f>
        <v>915.55058576688259</v>
      </c>
      <c r="P246" s="20">
        <f t="shared" si="163"/>
        <v>253.79118327579627</v>
      </c>
      <c r="Q246" s="20"/>
      <c r="R246" s="21">
        <f>(N246-Geraetedaten!$B$161)/(Geraetedaten!$B$174-Geraetedaten!$B$161)*(Geraetedaten!$B$175-Geraetedaten!$B$162)+Geraetedaten!$B$162</f>
        <v>37.7643613191022</v>
      </c>
      <c r="S246" s="21">
        <f t="shared" si="191"/>
        <v>37.7643613191022</v>
      </c>
      <c r="T246" s="21">
        <f t="shared" si="192"/>
        <v>-15.959908736426673</v>
      </c>
      <c r="U246" s="88">
        <f t="shared" si="193"/>
        <v>-34.226134735967982</v>
      </c>
      <c r="V246" s="86">
        <f t="shared" si="194"/>
        <v>24997.7464</v>
      </c>
      <c r="W246" s="85">
        <f t="shared" si="195"/>
        <v>-4225.3239992296285</v>
      </c>
      <c r="X246" s="85">
        <f t="shared" si="196"/>
        <v>9988.7042000232468</v>
      </c>
      <c r="Y246" s="90">
        <f t="shared" si="197"/>
        <v>4225.3239992296285</v>
      </c>
      <c r="Z246" s="86">
        <f t="shared" si="198"/>
        <v>9534.4710599999999</v>
      </c>
      <c r="AA246" s="85">
        <f t="shared" si="199"/>
        <v>-913.46204712425447</v>
      </c>
      <c r="AB246" s="85">
        <f t="shared" si="200"/>
        <v>990.70551280304403</v>
      </c>
      <c r="AC246" s="90">
        <f t="shared" si="201"/>
        <v>913.46204712425447</v>
      </c>
      <c r="AD246" s="86">
        <f t="shared" si="202"/>
        <v>-24777.184539999998</v>
      </c>
      <c r="AE246" s="85">
        <f t="shared" si="203"/>
        <v>4140.4375383844126</v>
      </c>
      <c r="AF246" s="85">
        <f t="shared" si="204"/>
        <v>-9805.6761864892505</v>
      </c>
      <c r="AG246" s="90">
        <f t="shared" si="205"/>
        <v>4140.4375383844126</v>
      </c>
      <c r="AH246" s="86">
        <f t="shared" si="206"/>
        <v>-10189.203519999999</v>
      </c>
      <c r="AI246" s="85">
        <f t="shared" si="207"/>
        <v>6238.0466047659793</v>
      </c>
      <c r="AJ246" s="85">
        <f t="shared" si="208"/>
        <v>-6923.5645768164713</v>
      </c>
      <c r="AK246" s="90">
        <f t="shared" si="209"/>
        <v>6238.0466047659793</v>
      </c>
      <c r="AM246" s="95">
        <f t="shared" si="213"/>
        <v>0</v>
      </c>
      <c r="AN246" s="95">
        <f t="shared" si="214"/>
        <v>0</v>
      </c>
      <c r="AO246" s="95">
        <f t="shared" si="215"/>
        <v>0</v>
      </c>
      <c r="AP246" s="95">
        <f t="shared" si="216"/>
        <v>0</v>
      </c>
      <c r="AQ246"/>
      <c r="AR246" s="95">
        <f t="shared" si="210"/>
        <v>0</v>
      </c>
      <c r="AS246" s="95">
        <f t="shared" si="211"/>
        <v>0</v>
      </c>
      <c r="AT246" s="95">
        <f>Geraetedaten!$B$94*ABS(SIN(RADIANS($A246)))</f>
        <v>65.083212308067687</v>
      </c>
      <c r="AU246" s="95">
        <f>Geraetedaten!$B$94*ABS(COS(RADIANS($A246)))</f>
        <v>139.57139920364412</v>
      </c>
      <c r="AV246" s="95">
        <f>((h_Aw_Sw+Geraetedaten!$B$18)/1000)*(AR246*AT246+AS246*AU246)/100</f>
        <v>0</v>
      </c>
      <c r="AX246" s="18">
        <f t="shared" si="212"/>
        <v>0.90630778703665005</v>
      </c>
    </row>
    <row r="247" spans="1:50" ht="13.5" x14ac:dyDescent="0.25">
      <c r="A247" s="16">
        <v>206</v>
      </c>
      <c r="B247" s="16">
        <f t="shared" si="185"/>
        <v>244</v>
      </c>
      <c r="C247" s="19">
        <f t="shared" si="186"/>
        <v>54.773694970740721</v>
      </c>
      <c r="D247" s="17">
        <f t="shared" si="217"/>
        <v>24045.658735029261</v>
      </c>
      <c r="E247" s="17">
        <f t="shared" si="187"/>
        <v>9551.5495650292578</v>
      </c>
      <c r="F247" s="17">
        <f t="shared" si="188"/>
        <v>-23940.671744970739</v>
      </c>
      <c r="G247" s="17">
        <f t="shared" si="189"/>
        <v>-10331.908454970742</v>
      </c>
      <c r="H247" s="17">
        <f t="shared" si="218"/>
        <v>9551.5495650292578</v>
      </c>
      <c r="I247" s="17">
        <f t="shared" si="190"/>
        <v>998.17151360644573</v>
      </c>
      <c r="J247" s="20">
        <f>(Geraetedaten!$B$152+(Geraetedaten!$B$153*(Geraetedaten!$B$18+d_y_Sw)/1000))*10</f>
        <v>6051.0442000000003</v>
      </c>
      <c r="K247" s="20">
        <f>(Geraetedaten!$B$165+(Geraetedaten!$B$166*(Geraetedaten!$B$18+d_y_Sw)/1000))*10</f>
        <v>10816.164000000001</v>
      </c>
      <c r="L247" s="20">
        <f>(Geraetedaten!$B$158+(Geraetedaten!$B$159*(Geraetedaten!$B$18+d_y_Sw)/1000)-(Geraetedaten!$B$160*I247/1000))*10</f>
        <v>528.34068290723906</v>
      </c>
      <c r="M247" s="20">
        <f>(Geraetedaten!$B$171+(Geraetedaten!$B$172*(Geraetedaten!$B$18+d_y_Sw)/1000)-(Geraetedaten!$B$173*I247/1000))*10</f>
        <v>990.56311252713715</v>
      </c>
      <c r="N247" s="20">
        <f>IF((H247-J247)/(K247-J247)*(Geraetedaten!$B$174-Geraetedaten!$B$161)&lt;Geraetedaten!$B$174,(H247-J247)/(K247-J247)*(Geraetedaten!$B$174-Geraetedaten!$B$161),Geraetedaten!$B$174)</f>
        <v>293.84405949493708</v>
      </c>
      <c r="O247" s="20">
        <f>N247/Geraetedaten!$B$174*(M247-L247)+L247+C247</f>
        <v>922.6676656507891</v>
      </c>
      <c r="P247" s="20">
        <f t="shared" si="163"/>
        <v>254.58688734306392</v>
      </c>
      <c r="Q247" s="20"/>
      <c r="R247" s="21">
        <f>(N247-Geraetedaten!$B$161)/(Geraetedaten!$B$174-Geraetedaten!$B$161)*(Geraetedaten!$B$175-Geraetedaten!$B$162)+Geraetedaten!$B$162</f>
        <v>37.941860769974383</v>
      </c>
      <c r="S247" s="21">
        <f t="shared" si="191"/>
        <v>37.941860769974383</v>
      </c>
      <c r="T247" s="21">
        <f t="shared" si="192"/>
        <v>-16.632617017045181</v>
      </c>
      <c r="U247" s="88">
        <f t="shared" si="193"/>
        <v>-34.101918565564901</v>
      </c>
      <c r="V247" s="86">
        <f t="shared" si="194"/>
        <v>24100.432430000001</v>
      </c>
      <c r="W247" s="85">
        <f t="shared" si="195"/>
        <v>-4225.3239992296285</v>
      </c>
      <c r="X247" s="85">
        <f t="shared" si="196"/>
        <v>9630.1517265623625</v>
      </c>
      <c r="Y247" s="90">
        <f t="shared" si="197"/>
        <v>4225.3239992296285</v>
      </c>
      <c r="Z247" s="86">
        <f t="shared" si="198"/>
        <v>9606.3232599999992</v>
      </c>
      <c r="AA247" s="85">
        <f t="shared" si="199"/>
        <v>-913.46204712425447</v>
      </c>
      <c r="AB247" s="85">
        <f t="shared" si="200"/>
        <v>998.17151360644573</v>
      </c>
      <c r="AC247" s="90">
        <f t="shared" si="201"/>
        <v>913.46204712425447</v>
      </c>
      <c r="AD247" s="86">
        <f t="shared" si="202"/>
        <v>-23885.89805</v>
      </c>
      <c r="AE247" s="85">
        <f t="shared" si="203"/>
        <v>4140.4375383844126</v>
      </c>
      <c r="AF247" s="85">
        <f t="shared" si="204"/>
        <v>-9452.9457677227401</v>
      </c>
      <c r="AG247" s="90">
        <f t="shared" si="205"/>
        <v>4140.4375383844126</v>
      </c>
      <c r="AH247" s="86">
        <f t="shared" si="206"/>
        <v>-10277.134760000001</v>
      </c>
      <c r="AI247" s="85">
        <f t="shared" si="207"/>
        <v>6238.0466047659793</v>
      </c>
      <c r="AJ247" s="85">
        <f t="shared" si="208"/>
        <v>-6983.3138594209295</v>
      </c>
      <c r="AK247" s="90">
        <f t="shared" si="209"/>
        <v>6238.0466047659793</v>
      </c>
      <c r="AM247" s="95">
        <f t="shared" si="213"/>
        <v>0</v>
      </c>
      <c r="AN247" s="95">
        <f t="shared" si="214"/>
        <v>0</v>
      </c>
      <c r="AO247" s="95">
        <f t="shared" si="215"/>
        <v>0</v>
      </c>
      <c r="AP247" s="95">
        <f t="shared" si="216"/>
        <v>0</v>
      </c>
      <c r="AQ247"/>
      <c r="AR247" s="95">
        <f t="shared" si="210"/>
        <v>0</v>
      </c>
      <c r="AS247" s="95">
        <f t="shared" si="211"/>
        <v>0</v>
      </c>
      <c r="AT247" s="95">
        <f>Geraetedaten!$B$94*ABS(SIN(RADIANS($A247)))</f>
        <v>67.50915660551793</v>
      </c>
      <c r="AU247" s="95">
        <f>Geraetedaten!$B$94*ABS(COS(RADIANS($A247)))</f>
        <v>138.41428313007171</v>
      </c>
      <c r="AV247" s="95">
        <f>((h_Aw_Sw+Geraetedaten!$B$18)/1000)*(AR247*AT247+AS247*AU247)/100</f>
        <v>0</v>
      </c>
      <c r="AX247" s="18">
        <f t="shared" si="212"/>
        <v>0.89879404629916693</v>
      </c>
    </row>
    <row r="248" spans="1:50" ht="13.5" x14ac:dyDescent="0.25">
      <c r="A248" s="16">
        <v>207</v>
      </c>
      <c r="B248" s="16">
        <f t="shared" si="185"/>
        <v>243</v>
      </c>
      <c r="C248" s="19">
        <f t="shared" si="186"/>
        <v>55.533063495323873</v>
      </c>
      <c r="D248" s="17">
        <f t="shared" si="217"/>
        <v>23216.616006504675</v>
      </c>
      <c r="E248" s="17">
        <f t="shared" si="187"/>
        <v>9626.7052765046756</v>
      </c>
      <c r="F248" s="17">
        <f t="shared" si="188"/>
        <v>-23118.822283495323</v>
      </c>
      <c r="G248" s="17">
        <f t="shared" si="189"/>
        <v>-10425.316173495325</v>
      </c>
      <c r="H248" s="17">
        <f t="shared" si="218"/>
        <v>9626.7052765046756</v>
      </c>
      <c r="I248" s="17">
        <f t="shared" si="190"/>
        <v>1006.0596796181311</v>
      </c>
      <c r="J248" s="20">
        <f>(Geraetedaten!$B$152+(Geraetedaten!$B$153*(Geraetedaten!$B$18+d_y_Sw)/1000))*10</f>
        <v>6051.0442000000003</v>
      </c>
      <c r="K248" s="20">
        <f>(Geraetedaten!$B$165+(Geraetedaten!$B$166*(Geraetedaten!$B$18+d_y_Sw)/1000))*10</f>
        <v>10816.164000000001</v>
      </c>
      <c r="L248" s="20">
        <f>(Geraetedaten!$B$158+(Geraetedaten!$B$159*(Geraetedaten!$B$18+d_y_Sw)/1000)-(Geraetedaten!$B$160*I248/1000))*10</f>
        <v>527.76224369360216</v>
      </c>
      <c r="M248" s="20">
        <f>(Geraetedaten!$B$171+(Geraetedaten!$B$172*(Geraetedaten!$B$18+d_y_Sw)/1000)-(Geraetedaten!$B$173*I248/1000))*10</f>
        <v>989.97591744922727</v>
      </c>
      <c r="N248" s="20">
        <f>IF((H248-J248)/(K248-J248)*(Geraetedaten!$B$174-Geraetedaten!$B$161)&lt;Geraetedaten!$B$174,(H248-J248)/(K248-J248)*(Geraetedaten!$B$174-Geraetedaten!$B$161),Geraetedaten!$B$174)</f>
        <v>300.152879808367</v>
      </c>
      <c r="O248" s="20">
        <f>N248/Geraetedaten!$B$174*(M248-L248)+L248+C248</f>
        <v>930.13222035031572</v>
      </c>
      <c r="P248" s="20">
        <f t="shared" si="163"/>
        <v>255.40353346500265</v>
      </c>
      <c r="Q248" s="20"/>
      <c r="R248" s="21">
        <f>(N248-Geraetedaten!$B$161)/(Geraetedaten!$B$174-Geraetedaten!$B$161)*(Geraetedaten!$B$175-Geraetedaten!$B$162)+Geraetedaten!$B$162</f>
        <v>38.129548174298918</v>
      </c>
      <c r="S248" s="21">
        <f t="shared" si="191"/>
        <v>38.129548174298918</v>
      </c>
      <c r="T248" s="21">
        <f t="shared" si="192"/>
        <v>-17.310452630493085</v>
      </c>
      <c r="U248" s="88">
        <f t="shared" si="193"/>
        <v>-33.973676187655009</v>
      </c>
      <c r="V248" s="86">
        <f t="shared" si="194"/>
        <v>23272.149069999999</v>
      </c>
      <c r="W248" s="85">
        <f t="shared" si="195"/>
        <v>-4225.3239992296285</v>
      </c>
      <c r="X248" s="85">
        <f t="shared" si="196"/>
        <v>9299.1827930052295</v>
      </c>
      <c r="Y248" s="90">
        <f t="shared" si="197"/>
        <v>4225.3239992296285</v>
      </c>
      <c r="Z248" s="86">
        <f t="shared" si="198"/>
        <v>9682.2383399999999</v>
      </c>
      <c r="AA248" s="85">
        <f t="shared" si="199"/>
        <v>-913.46204712425447</v>
      </c>
      <c r="AB248" s="85">
        <f t="shared" si="200"/>
        <v>1006.0596796181311</v>
      </c>
      <c r="AC248" s="90">
        <f t="shared" si="201"/>
        <v>913.46204712425447</v>
      </c>
      <c r="AD248" s="86">
        <f t="shared" si="202"/>
        <v>-23063.289219999999</v>
      </c>
      <c r="AE248" s="85">
        <f t="shared" si="203"/>
        <v>4140.4375383844126</v>
      </c>
      <c r="AF248" s="85">
        <f t="shared" si="204"/>
        <v>-9127.3948229703274</v>
      </c>
      <c r="AG248" s="90">
        <f t="shared" si="205"/>
        <v>4140.4375383844126</v>
      </c>
      <c r="AH248" s="86">
        <f t="shared" si="206"/>
        <v>-10369.78311</v>
      </c>
      <c r="AI248" s="85">
        <f t="shared" si="207"/>
        <v>6238.0466047659793</v>
      </c>
      <c r="AJ248" s="85">
        <f t="shared" si="208"/>
        <v>-7046.2684186645765</v>
      </c>
      <c r="AK248" s="90">
        <f t="shared" si="209"/>
        <v>6238.0466047659793</v>
      </c>
      <c r="AM248" s="95">
        <f t="shared" si="213"/>
        <v>0</v>
      </c>
      <c r="AN248" s="95">
        <f t="shared" si="214"/>
        <v>0</v>
      </c>
      <c r="AO248" s="95">
        <f t="shared" si="215"/>
        <v>0</v>
      </c>
      <c r="AP248" s="95">
        <f t="shared" si="216"/>
        <v>0</v>
      </c>
      <c r="AQ248"/>
      <c r="AR248" s="95">
        <f t="shared" si="210"/>
        <v>0</v>
      </c>
      <c r="AS248" s="95">
        <f t="shared" si="211"/>
        <v>0</v>
      </c>
      <c r="AT248" s="95">
        <f>Geraetedaten!$B$94*ABS(SIN(RADIANS($A248)))</f>
        <v>69.914536959890185</v>
      </c>
      <c r="AU248" s="95">
        <f>Geraetedaten!$B$94*ABS(COS(RADIANS($A248)))</f>
        <v>137.21500472500867</v>
      </c>
      <c r="AV248" s="95">
        <f>((h_Aw_Sw+Geraetedaten!$B$18)/1000)*(AR248*AT248+AS248*AU248)/100</f>
        <v>0</v>
      </c>
      <c r="AX248" s="18">
        <f t="shared" si="212"/>
        <v>0.8910065241883679</v>
      </c>
    </row>
    <row r="249" spans="1:50" ht="13.5" x14ac:dyDescent="0.25">
      <c r="A249" s="16">
        <v>208</v>
      </c>
      <c r="B249" s="16">
        <f t="shared" si="185"/>
        <v>242</v>
      </c>
      <c r="C249" s="19">
        <f t="shared" si="186"/>
        <v>56.275516110805498</v>
      </c>
      <c r="D249" s="17">
        <f t="shared" si="217"/>
        <v>22449.259033889193</v>
      </c>
      <c r="E249" s="17">
        <f t="shared" si="187"/>
        <v>9706.084713889195</v>
      </c>
      <c r="F249" s="17">
        <f t="shared" si="188"/>
        <v>-22358.296606110805</v>
      </c>
      <c r="G249" s="17">
        <f t="shared" si="189"/>
        <v>-10523.610076110805</v>
      </c>
      <c r="H249" s="17">
        <f t="shared" si="218"/>
        <v>9706.084713889195</v>
      </c>
      <c r="I249" s="17">
        <f t="shared" si="190"/>
        <v>1014.3849658010565</v>
      </c>
      <c r="J249" s="20">
        <f>(Geraetedaten!$B$152+(Geraetedaten!$B$153*(Geraetedaten!$B$18+d_y_Sw)/1000))*10</f>
        <v>6051.0442000000003</v>
      </c>
      <c r="K249" s="20">
        <f>(Geraetedaten!$B$165+(Geraetedaten!$B$166*(Geraetedaten!$B$18+d_y_Sw)/1000))*10</f>
        <v>10816.164000000001</v>
      </c>
      <c r="L249" s="20">
        <f>(Geraetedaten!$B$158+(Geraetedaten!$B$159*(Geraetedaten!$B$18+d_y_Sw)/1000)-(Geraetedaten!$B$160*I249/1000))*10</f>
        <v>527.15175045780825</v>
      </c>
      <c r="M249" s="20">
        <f>(Geraetedaten!$B$171+(Geraetedaten!$B$172*(Geraetedaten!$B$18+d_y_Sw)/1000)-(Geraetedaten!$B$173*I249/1000))*10</f>
        <v>989.35618314577027</v>
      </c>
      <c r="N249" s="20">
        <f>IF((H249-J249)/(K249-J249)*(Geraetedaten!$B$174-Geraetedaten!$B$161)&lt;Geraetedaten!$B$174,(H249-J249)/(K249-J249)*(Geraetedaten!$B$174-Geraetedaten!$B$161),Geraetedaten!$B$174)</f>
        <v>306.81625371846428</v>
      </c>
      <c r="O249" s="20">
        <f>N249/Geraetedaten!$B$174*(M249-L249)+L249+C249</f>
        <v>937.95684779208523</v>
      </c>
      <c r="P249" s="20">
        <f t="shared" si="163"/>
        <v>256.24124971132693</v>
      </c>
      <c r="Q249" s="20"/>
      <c r="R249" s="21">
        <f>(N249-Geraetedaten!$B$161)/(Geraetedaten!$B$174-Geraetedaten!$B$161)*(Geraetedaten!$B$175-Geraetedaten!$B$162)+Geraetedaten!$B$162</f>
        <v>38.327783548124316</v>
      </c>
      <c r="S249" s="21">
        <f t="shared" si="191"/>
        <v>38.327783548124316</v>
      </c>
      <c r="T249" s="21">
        <f t="shared" si="192"/>
        <v>-17.993804440457279</v>
      </c>
      <c r="U249" s="88">
        <f t="shared" si="193"/>
        <v>-33.841424223434345</v>
      </c>
      <c r="V249" s="86">
        <f t="shared" si="194"/>
        <v>22505.53455</v>
      </c>
      <c r="W249" s="85">
        <f t="shared" si="195"/>
        <v>-4225.3239992296285</v>
      </c>
      <c r="X249" s="85">
        <f t="shared" si="196"/>
        <v>8992.8557505237422</v>
      </c>
      <c r="Y249" s="90">
        <f t="shared" si="197"/>
        <v>4225.3239992296285</v>
      </c>
      <c r="Z249" s="86">
        <f t="shared" si="198"/>
        <v>9762.3602300000002</v>
      </c>
      <c r="AA249" s="85">
        <f t="shared" si="199"/>
        <v>-913.46204712425447</v>
      </c>
      <c r="AB249" s="85">
        <f t="shared" si="200"/>
        <v>1014.3849658010565</v>
      </c>
      <c r="AC249" s="90">
        <f t="shared" si="201"/>
        <v>913.46204712425447</v>
      </c>
      <c r="AD249" s="86">
        <f t="shared" si="202"/>
        <v>-22302.021089999998</v>
      </c>
      <c r="AE249" s="85">
        <f t="shared" si="203"/>
        <v>4140.4375383844126</v>
      </c>
      <c r="AF249" s="85">
        <f t="shared" si="204"/>
        <v>-8826.1197245797848</v>
      </c>
      <c r="AG249" s="90">
        <f t="shared" si="205"/>
        <v>4140.4375383844126</v>
      </c>
      <c r="AH249" s="86">
        <f t="shared" si="206"/>
        <v>-10467.334559999999</v>
      </c>
      <c r="AI249" s="85">
        <f t="shared" si="207"/>
        <v>6238.0466047659793</v>
      </c>
      <c r="AJ249" s="85">
        <f t="shared" si="208"/>
        <v>-7112.554636273333</v>
      </c>
      <c r="AK249" s="90">
        <f t="shared" si="209"/>
        <v>6238.0466047659793</v>
      </c>
      <c r="AM249" s="95">
        <f t="shared" si="213"/>
        <v>0</v>
      </c>
      <c r="AN249" s="95">
        <f t="shared" si="214"/>
        <v>0</v>
      </c>
      <c r="AO249" s="95">
        <f t="shared" si="215"/>
        <v>0</v>
      </c>
      <c r="AP249" s="95">
        <f t="shared" si="216"/>
        <v>0</v>
      </c>
      <c r="AQ249"/>
      <c r="AR249" s="95">
        <f t="shared" si="210"/>
        <v>0</v>
      </c>
      <c r="AS249" s="95">
        <f t="shared" si="211"/>
        <v>0</v>
      </c>
      <c r="AT249" s="95">
        <f>Geraetedaten!$B$94*ABS(SIN(RADIANS($A249)))</f>
        <v>72.298620669027187</v>
      </c>
      <c r="AU249" s="95">
        <f>Geraetedaten!$B$94*ABS(COS(RADIANS($A249)))</f>
        <v>135.97392930027473</v>
      </c>
      <c r="AV249" s="95">
        <f>((h_Aw_Sw+Geraetedaten!$B$18)/1000)*(AR249*AT249+AS249*AU249)/100</f>
        <v>0</v>
      </c>
      <c r="AX249" s="18">
        <f t="shared" si="212"/>
        <v>0.88294759285892688</v>
      </c>
    </row>
    <row r="250" spans="1:50" ht="13.5" x14ac:dyDescent="0.25">
      <c r="A250" s="16">
        <v>209</v>
      </c>
      <c r="B250" s="16">
        <f t="shared" si="185"/>
        <v>241</v>
      </c>
      <c r="C250" s="19">
        <f t="shared" si="186"/>
        <v>57.000826658926592</v>
      </c>
      <c r="D250" s="17">
        <f t="shared" si="217"/>
        <v>21737.242063341077</v>
      </c>
      <c r="E250" s="17">
        <f t="shared" si="187"/>
        <v>9789.8428733410728</v>
      </c>
      <c r="F250" s="17">
        <f t="shared" si="188"/>
        <v>-21652.771616658923</v>
      </c>
      <c r="G250" s="17">
        <f t="shared" si="189"/>
        <v>-10626.989946658927</v>
      </c>
      <c r="H250" s="17">
        <f t="shared" si="218"/>
        <v>9789.8428733410728</v>
      </c>
      <c r="I250" s="17">
        <f t="shared" si="190"/>
        <v>1023.1634536333281</v>
      </c>
      <c r="J250" s="20">
        <f>(Geraetedaten!$B$152+(Geraetedaten!$B$153*(Geraetedaten!$B$18+d_y_Sw)/1000))*10</f>
        <v>6051.0442000000003</v>
      </c>
      <c r="K250" s="20">
        <f>(Geraetedaten!$B$165+(Geraetedaten!$B$166*(Geraetedaten!$B$18+d_y_Sw)/1000))*10</f>
        <v>10816.164000000001</v>
      </c>
      <c r="L250" s="20">
        <f>(Geraetedaten!$B$158+(Geraetedaten!$B$159*(Geraetedaten!$B$18+d_y_Sw)/1000)-(Geraetedaten!$B$160*I250/1000))*10</f>
        <v>526.50802394506786</v>
      </c>
      <c r="M250" s="20">
        <f>(Geraetedaten!$B$171+(Geraetedaten!$B$172*(Geraetedaten!$B$18+d_y_Sw)/1000)-(Geraetedaten!$B$173*I250/1000))*10</f>
        <v>988.70271251153599</v>
      </c>
      <c r="N250" s="20">
        <f>IF((H250-J250)/(K250-J250)*(Geraetedaten!$B$174-Geraetedaten!$B$161)&lt;Geraetedaten!$B$174,(H250-J250)/(K250-J250)*(Geraetedaten!$B$174-Geraetedaten!$B$161),Geraetedaten!$B$174)</f>
        <v>313.84719211811398</v>
      </c>
      <c r="O250" s="20">
        <f>N250/Geraetedaten!$B$174*(M250-L250)+L250+C250</f>
        <v>946.15511365022485</v>
      </c>
      <c r="P250" s="20">
        <f t="shared" si="163"/>
        <v>257.10018236363265</v>
      </c>
      <c r="Q250" s="20"/>
      <c r="R250" s="21">
        <f>(N250-Geraetedaten!$B$161)/(Geraetedaten!$B$174-Geraetedaten!$B$161)*(Geraetedaten!$B$175-Geraetedaten!$B$162)+Geraetedaten!$B$162</f>
        <v>38.536953965513888</v>
      </c>
      <c r="S250" s="21">
        <f t="shared" si="191"/>
        <v>38.536953965513888</v>
      </c>
      <c r="T250" s="21">
        <f t="shared" si="192"/>
        <v>-18.683086017471357</v>
      </c>
      <c r="U250" s="88">
        <f t="shared" si="193"/>
        <v>-33.705179391362137</v>
      </c>
      <c r="V250" s="86">
        <f t="shared" si="194"/>
        <v>21794.242890000001</v>
      </c>
      <c r="W250" s="85">
        <f t="shared" si="195"/>
        <v>-4225.3239992296285</v>
      </c>
      <c r="X250" s="85">
        <f t="shared" si="196"/>
        <v>8708.6348513828489</v>
      </c>
      <c r="Y250" s="90">
        <f t="shared" si="197"/>
        <v>4225.3239992296285</v>
      </c>
      <c r="Z250" s="86">
        <f t="shared" si="198"/>
        <v>9846.8436999999994</v>
      </c>
      <c r="AA250" s="85">
        <f t="shared" si="199"/>
        <v>-913.46204712425447</v>
      </c>
      <c r="AB250" s="85">
        <f t="shared" si="200"/>
        <v>1023.1634536333281</v>
      </c>
      <c r="AC250" s="90">
        <f t="shared" si="201"/>
        <v>913.46204712425447</v>
      </c>
      <c r="AD250" s="86">
        <f t="shared" si="202"/>
        <v>-21595.770789999999</v>
      </c>
      <c r="AE250" s="85">
        <f t="shared" si="203"/>
        <v>4140.4375383844126</v>
      </c>
      <c r="AF250" s="85">
        <f t="shared" si="204"/>
        <v>-8546.6181608629304</v>
      </c>
      <c r="AG250" s="90">
        <f t="shared" si="205"/>
        <v>4140.4375383844126</v>
      </c>
      <c r="AH250" s="86">
        <f t="shared" si="206"/>
        <v>-10569.98912</v>
      </c>
      <c r="AI250" s="85">
        <f t="shared" si="207"/>
        <v>6238.0466047659793</v>
      </c>
      <c r="AJ250" s="85">
        <f t="shared" si="208"/>
        <v>-7182.3084209508215</v>
      </c>
      <c r="AK250" s="90">
        <f t="shared" si="209"/>
        <v>6238.0466047659793</v>
      </c>
      <c r="AM250" s="95">
        <f t="shared" si="213"/>
        <v>0</v>
      </c>
      <c r="AN250" s="95">
        <f t="shared" si="214"/>
        <v>0</v>
      </c>
      <c r="AO250" s="95">
        <f t="shared" si="215"/>
        <v>0</v>
      </c>
      <c r="AP250" s="95">
        <f t="shared" si="216"/>
        <v>0</v>
      </c>
      <c r="AQ250"/>
      <c r="AR250" s="95">
        <f t="shared" si="210"/>
        <v>0</v>
      </c>
      <c r="AS250" s="95">
        <f t="shared" si="211"/>
        <v>0</v>
      </c>
      <c r="AT250" s="95">
        <f>Geraetedaten!$B$94*ABS(SIN(RADIANS($A250)))</f>
        <v>74.660681517935885</v>
      </c>
      <c r="AU250" s="95">
        <f>Geraetedaten!$B$94*ABS(COS(RADIANS($A250)))</f>
        <v>134.69143489946697</v>
      </c>
      <c r="AV250" s="95">
        <f>((h_Aw_Sw+Geraetedaten!$B$18)/1000)*(AR250*AT250+AS250*AU250)/100</f>
        <v>0</v>
      </c>
      <c r="AX250" s="18">
        <f t="shared" si="212"/>
        <v>0.87461970713939585</v>
      </c>
    </row>
    <row r="251" spans="1:50" ht="13.5" x14ac:dyDescent="0.25">
      <c r="A251" s="16">
        <v>210</v>
      </c>
      <c r="B251" s="16">
        <f t="shared" si="185"/>
        <v>240</v>
      </c>
      <c r="C251" s="19">
        <f t="shared" si="186"/>
        <v>57.708774203067989</v>
      </c>
      <c r="D251" s="17">
        <f t="shared" si="217"/>
        <v>21075.066035796932</v>
      </c>
      <c r="E251" s="17">
        <f t="shared" si="187"/>
        <v>9878.1463757969323</v>
      </c>
      <c r="F251" s="17">
        <f t="shared" si="188"/>
        <v>-20996.769114203067</v>
      </c>
      <c r="G251" s="17">
        <f t="shared" si="189"/>
        <v>-10735.670724203068</v>
      </c>
      <c r="H251" s="17">
        <f t="shared" si="218"/>
        <v>9878.1463757969323</v>
      </c>
      <c r="I251" s="17">
        <f t="shared" si="190"/>
        <v>1032.4124340100948</v>
      </c>
      <c r="J251" s="20">
        <f>(Geraetedaten!$B$152+(Geraetedaten!$B$153*(Geraetedaten!$B$18+d_y_Sw)/1000))*10</f>
        <v>6051.0442000000003</v>
      </c>
      <c r="K251" s="20">
        <f>(Geraetedaten!$B$165+(Geraetedaten!$B$166*(Geraetedaten!$B$18+d_y_Sw)/1000))*10</f>
        <v>10816.164000000001</v>
      </c>
      <c r="L251" s="20">
        <f>(Geraetedaten!$B$158+(Geraetedaten!$B$159*(Geraetedaten!$B$18+d_y_Sw)/1000)-(Geraetedaten!$B$160*I251/1000))*10</f>
        <v>525.82979621403956</v>
      </c>
      <c r="M251" s="20">
        <f>(Geraetedaten!$B$171+(Geraetedaten!$B$172*(Geraetedaten!$B$18+d_y_Sw)/1000)-(Geraetedaten!$B$173*I251/1000))*10</f>
        <v>988.01421841228944</v>
      </c>
      <c r="N251" s="20">
        <f>IF((H251-J251)/(K251-J251)*(Geraetedaten!$B$174-Geraetedaten!$B$161)&lt;Geraetedaten!$B$174,(H251-J251)/(K251-J251)*(Geraetedaten!$B$174-Geraetedaten!$B$161),Geraetedaten!$B$174)</f>
        <v>321.25968172274969</v>
      </c>
      <c r="O251" s="20">
        <f>N251/Geraetedaten!$B$174*(M251-L251)+L251+C251</f>
        <v>954.74162134866435</v>
      </c>
      <c r="P251" s="20">
        <f t="shared" si="163"/>
        <v>257.98049608994273</v>
      </c>
      <c r="Q251" s="20"/>
      <c r="R251" s="21">
        <f>(N251-Geraetedaten!$B$161)/(Geraetedaten!$B$174-Geraetedaten!$B$161)*(Geraetedaten!$B$175-Geraetedaten!$B$162)+Geraetedaten!$B$162</f>
        <v>38.757475531251806</v>
      </c>
      <c r="S251" s="21">
        <f t="shared" si="191"/>
        <v>38.757475531251806</v>
      </c>
      <c r="T251" s="21">
        <f t="shared" si="192"/>
        <v>-19.378737765625907</v>
      </c>
      <c r="U251" s="88">
        <f t="shared" si="193"/>
        <v>-33.564958396617847</v>
      </c>
      <c r="V251" s="86">
        <f t="shared" si="194"/>
        <v>21132.774809999999</v>
      </c>
      <c r="W251" s="85">
        <f t="shared" si="195"/>
        <v>-4225.3239992296285</v>
      </c>
      <c r="X251" s="85">
        <f t="shared" si="196"/>
        <v>8444.3226661361441</v>
      </c>
      <c r="Y251" s="90">
        <f t="shared" si="197"/>
        <v>4225.3239992296285</v>
      </c>
      <c r="Z251" s="86">
        <f t="shared" si="198"/>
        <v>9935.8551499999994</v>
      </c>
      <c r="AA251" s="85">
        <f t="shared" si="199"/>
        <v>-913.46204712425447</v>
      </c>
      <c r="AB251" s="85">
        <f t="shared" si="200"/>
        <v>1032.4124340100948</v>
      </c>
      <c r="AC251" s="90">
        <f t="shared" si="201"/>
        <v>913.46204712425447</v>
      </c>
      <c r="AD251" s="86">
        <f t="shared" si="202"/>
        <v>-20939.06034</v>
      </c>
      <c r="AE251" s="85">
        <f t="shared" si="203"/>
        <v>4140.4375383844126</v>
      </c>
      <c r="AF251" s="85">
        <f t="shared" si="204"/>
        <v>-8286.7222093257624</v>
      </c>
      <c r="AG251" s="90">
        <f t="shared" si="205"/>
        <v>4140.4375383844126</v>
      </c>
      <c r="AH251" s="86">
        <f t="shared" si="206"/>
        <v>-10677.961950000001</v>
      </c>
      <c r="AI251" s="85">
        <f t="shared" si="207"/>
        <v>6238.0466047659793</v>
      </c>
      <c r="AJ251" s="85">
        <f t="shared" si="208"/>
        <v>-7255.6759650305075</v>
      </c>
      <c r="AK251" s="90">
        <f t="shared" si="209"/>
        <v>6238.0466047659793</v>
      </c>
      <c r="AM251" s="95">
        <f t="shared" si="213"/>
        <v>0</v>
      </c>
      <c r="AN251" s="95">
        <f t="shared" si="214"/>
        <v>0</v>
      </c>
      <c r="AO251" s="95">
        <f t="shared" si="215"/>
        <v>0</v>
      </c>
      <c r="AP251" s="95">
        <f t="shared" si="216"/>
        <v>0</v>
      </c>
      <c r="AQ251"/>
      <c r="AR251" s="95">
        <f t="shared" si="210"/>
        <v>0</v>
      </c>
      <c r="AS251" s="95">
        <f t="shared" si="211"/>
        <v>0</v>
      </c>
      <c r="AT251" s="95">
        <f>Geraetedaten!$B$94*ABS(SIN(RADIANS($A251)))</f>
        <v>77.000000000000014</v>
      </c>
      <c r="AU251" s="95">
        <f>Geraetedaten!$B$94*ABS(COS(RADIANS($A251)))</f>
        <v>133.36791218280354</v>
      </c>
      <c r="AV251" s="95">
        <f>((h_Aw_Sw+Geraetedaten!$B$18)/1000)*(AR251*AT251+AS251*AU251)/100</f>
        <v>0</v>
      </c>
      <c r="AX251" s="18">
        <f t="shared" si="212"/>
        <v>0.8660254037844386</v>
      </c>
    </row>
    <row r="252" spans="1:50" ht="13.5" x14ac:dyDescent="0.25">
      <c r="A252" s="16">
        <v>211</v>
      </c>
      <c r="B252" s="16">
        <f t="shared" si="185"/>
        <v>239</v>
      </c>
      <c r="C252" s="19">
        <f t="shared" si="186"/>
        <v>58.399143095549661</v>
      </c>
      <c r="D252" s="17">
        <f t="shared" si="217"/>
        <v>20457.942126904451</v>
      </c>
      <c r="E252" s="17">
        <f t="shared" si="187"/>
        <v>9971.1743669044499</v>
      </c>
      <c r="F252" s="17">
        <f t="shared" si="188"/>
        <v>-20385.51954309555</v>
      </c>
      <c r="G252" s="17">
        <f t="shared" si="189"/>
        <v>-10849.883693095549</v>
      </c>
      <c r="H252" s="17">
        <f t="shared" si="218"/>
        <v>9971.1743669044499</v>
      </c>
      <c r="I252" s="17">
        <f t="shared" si="190"/>
        <v>1042.1504986685329</v>
      </c>
      <c r="J252" s="20">
        <f>(Geraetedaten!$B$152+(Geraetedaten!$B$153*(Geraetedaten!$B$18+d_y_Sw)/1000))*10</f>
        <v>6051.0442000000003</v>
      </c>
      <c r="K252" s="20">
        <f>(Geraetedaten!$B$165+(Geraetedaten!$B$166*(Geraetedaten!$B$18+d_y_Sw)/1000))*10</f>
        <v>10816.164000000001</v>
      </c>
      <c r="L252" s="20">
        <f>(Geraetedaten!$B$158+(Geraetedaten!$B$159*(Geraetedaten!$B$18+d_y_Sw)/1000)-(Geraetedaten!$B$160*I252/1000))*10</f>
        <v>525.11570393263628</v>
      </c>
      <c r="M252" s="20">
        <f>(Geraetedaten!$B$171+(Geraetedaten!$B$172*(Geraetedaten!$B$18+d_y_Sw)/1000)-(Geraetedaten!$B$173*I252/1000))*10</f>
        <v>987.2893168791154</v>
      </c>
      <c r="N252" s="20">
        <f>IF((H252-J252)/(K252-J252)*(Geraetedaten!$B$174-Geraetedaten!$B$161)&lt;Geraetedaten!$B$174,(H252-J252)/(K252-J252)*(Geraetedaten!$B$174-Geraetedaten!$B$161),Geraetedaten!$B$174)</f>
        <v>329.0687606136953</v>
      </c>
      <c r="O252" s="20">
        <f>N252/Geraetedaten!$B$174*(M252-L252)+L252+C252</f>
        <v>963.73209202981502</v>
      </c>
      <c r="P252" s="20">
        <f t="shared" si="163"/>
        <v>258.88237438034395</v>
      </c>
      <c r="Q252" s="20"/>
      <c r="R252" s="21">
        <f>(N252-Geraetedaten!$B$161)/(Geraetedaten!$B$174-Geraetedaten!$B$161)*(Geraetedaten!$B$175-Geraetedaten!$B$162)+Geraetedaten!$B$162</f>
        <v>38.98979562825744</v>
      </c>
      <c r="S252" s="21">
        <f t="shared" si="191"/>
        <v>38.98979562825744</v>
      </c>
      <c r="T252" s="21">
        <f t="shared" si="192"/>
        <v>-20.081229281514158</v>
      </c>
      <c r="U252" s="88">
        <f t="shared" si="193"/>
        <v>-33.42077787360045</v>
      </c>
      <c r="V252" s="86">
        <f t="shared" si="194"/>
        <v>20516.341270000001</v>
      </c>
      <c r="W252" s="85">
        <f t="shared" si="195"/>
        <v>-4225.3239992296285</v>
      </c>
      <c r="X252" s="85">
        <f t="shared" si="196"/>
        <v>8198.0055715106391</v>
      </c>
      <c r="Y252" s="90">
        <f t="shared" si="197"/>
        <v>4225.3239992296285</v>
      </c>
      <c r="Z252" s="86">
        <f t="shared" si="198"/>
        <v>10029.57351</v>
      </c>
      <c r="AA252" s="85">
        <f t="shared" si="199"/>
        <v>-913.46204712425447</v>
      </c>
      <c r="AB252" s="85">
        <f t="shared" si="200"/>
        <v>1042.1504986685329</v>
      </c>
      <c r="AC252" s="90">
        <f t="shared" si="201"/>
        <v>913.46204712425447</v>
      </c>
      <c r="AD252" s="86">
        <f t="shared" si="202"/>
        <v>-20327.1204</v>
      </c>
      <c r="AE252" s="85">
        <f t="shared" si="203"/>
        <v>4140.4375383844126</v>
      </c>
      <c r="AF252" s="85">
        <f t="shared" si="204"/>
        <v>-8044.5443738091699</v>
      </c>
      <c r="AG252" s="90">
        <f t="shared" si="205"/>
        <v>4140.4375383844126</v>
      </c>
      <c r="AH252" s="86">
        <f t="shared" si="206"/>
        <v>-10791.484549999999</v>
      </c>
      <c r="AI252" s="85">
        <f t="shared" si="207"/>
        <v>6238.0466047659793</v>
      </c>
      <c r="AJ252" s="85">
        <f t="shared" si="208"/>
        <v>-7332.8145814183672</v>
      </c>
      <c r="AK252" s="90">
        <f t="shared" si="209"/>
        <v>6238.0466047659793</v>
      </c>
      <c r="AM252" s="95">
        <f t="shared" si="213"/>
        <v>0</v>
      </c>
      <c r="AN252" s="95">
        <f t="shared" si="214"/>
        <v>0</v>
      </c>
      <c r="AO252" s="95">
        <f t="shared" si="215"/>
        <v>0</v>
      </c>
      <c r="AP252" s="95">
        <f t="shared" si="216"/>
        <v>0</v>
      </c>
      <c r="AQ252"/>
      <c r="AR252" s="95">
        <f t="shared" si="210"/>
        <v>0</v>
      </c>
      <c r="AS252" s="95">
        <f t="shared" si="211"/>
        <v>0</v>
      </c>
      <c r="AT252" s="95">
        <f>Geraetedaten!$B$94*ABS(SIN(RADIANS($A252)))</f>
        <v>79.315863536148342</v>
      </c>
      <c r="AU252" s="95">
        <f>Geraetedaten!$B$94*ABS(COS(RADIANS($A252)))</f>
        <v>132.00376430812531</v>
      </c>
      <c r="AV252" s="95">
        <f>((h_Aw_Sw+Geraetedaten!$B$18)/1000)*(AR252*AT252+AS252*AU252)/100</f>
        <v>0</v>
      </c>
      <c r="AX252" s="18">
        <f t="shared" si="212"/>
        <v>0.85716730070211233</v>
      </c>
    </row>
    <row r="253" spans="1:50" ht="13.5" x14ac:dyDescent="0.25">
      <c r="A253" s="16">
        <v>212</v>
      </c>
      <c r="B253" s="16">
        <f t="shared" ref="B253:B284" si="219">360-A253+90</f>
        <v>238</v>
      </c>
      <c r="C253" s="19">
        <f t="shared" ref="C253:C284" si="220">$AF$16*ABS(COS(RADIANS(A253)))+$AF$17*ABS(SIN(RADIANS(A253)))+AV253</f>
        <v>59.071723043319224</v>
      </c>
      <c r="D253" s="17">
        <f t="shared" si="217"/>
        <v>19881.680906956681</v>
      </c>
      <c r="E253" s="17">
        <f t="shared" ref="E253:E284" si="221">IF(ISNUMBER(Z253),Z253-C253,"unendlich")</f>
        <v>10069.119466956681</v>
      </c>
      <c r="F253" s="17">
        <f t="shared" ref="F253:F284" si="222">IF(ISNUMBER(AD253),AD253-C253,"unendlich")</f>
        <v>-19814.851133043318</v>
      </c>
      <c r="G253" s="17">
        <f t="shared" ref="G253:G284" si="223">IF(ISNUMBER(AH253),AH253-C253,"unendlich")</f>
        <v>-10969.877893043318</v>
      </c>
      <c r="H253" s="17">
        <f t="shared" si="218"/>
        <v>10069.119466956681</v>
      </c>
      <c r="I253" s="17">
        <f t="shared" ref="I253:I284" si="224">IF(H253+C253=V253,X253,IF(H253+C253=Z253,AB253,IF(H253+C253=AD253,AF253,IF(H253+C253=AH253,AJ253,"???"))))</f>
        <v>1052.3976411030212</v>
      </c>
      <c r="J253" s="20">
        <f>(Geraetedaten!$B$152+(Geraetedaten!$B$153*(Geraetedaten!$B$18+d_y_Sw)/1000))*10</f>
        <v>6051.0442000000003</v>
      </c>
      <c r="K253" s="20">
        <f>(Geraetedaten!$B$165+(Geraetedaten!$B$166*(Geraetedaten!$B$18+d_y_Sw)/1000))*10</f>
        <v>10816.164000000001</v>
      </c>
      <c r="L253" s="20">
        <f>(Geraetedaten!$B$158+(Geraetedaten!$B$159*(Geraetedaten!$B$18+d_y_Sw)/1000)-(Geraetedaten!$B$160*I253/1000))*10</f>
        <v>524.3642809779152</v>
      </c>
      <c r="M253" s="20">
        <f>(Geraetedaten!$B$171+(Geraetedaten!$B$172*(Geraetedaten!$B$18+d_y_Sw)/1000)-(Geraetedaten!$B$173*I253/1000))*10</f>
        <v>986.52651959629213</v>
      </c>
      <c r="N253" s="20">
        <f>IF((H253-J253)/(K253-J253)*(Geraetedaten!$B$174-Geraetedaten!$B$161)&lt;Geraetedaten!$B$174,(H253-J253)/(K253-J253)*(Geraetedaten!$B$174-Geraetedaten!$B$161),Geraetedaten!$B$174)</f>
        <v>337.29059797881098</v>
      </c>
      <c r="O253" s="20">
        <f>N253/Geraetedaten!$B$174*(M253-L253)+L253+C253</f>
        <v>973.14344858828008</v>
      </c>
      <c r="P253" s="20">
        <f t="shared" si="163"/>
        <v>259.80601960375736</v>
      </c>
      <c r="Q253" s="20"/>
      <c r="R253" s="21">
        <f>(N253-Geraetedaten!$B$161)/(Geraetedaten!$B$174-Geraetedaten!$B$161)*(Geraetedaten!$B$175-Geraetedaten!$B$162)+Geraetedaten!$B$162</f>
        <v>39.234395289869624</v>
      </c>
      <c r="S253" s="21">
        <f t="shared" ref="S253:S284" si="225">SQRT((r_K_D/1000)^2+R253^2-(2*(r_K_D/1000)*R253*COS(RADIANS(2*A253))))</f>
        <v>39.234395289869624</v>
      </c>
      <c r="T253" s="21">
        <f t="shared" ref="T253:T284" si="226">S253*SIN(A253*Const_2)</f>
        <v>-20.791061884642428</v>
      </c>
      <c r="U253" s="88">
        <f t="shared" ref="U253:U284" si="227">S253*COS(A253*Const_2)</f>
        <v>-33.272654229422585</v>
      </c>
      <c r="V253" s="86">
        <f t="shared" ref="V253:V284" si="228">ROUND((F_S*r_Su_L-F_G*W253+F_SSw*Y253)/(SIN(RADIANS(270+g_L-A253)))/1000,5)</f>
        <v>19940.752629999999</v>
      </c>
      <c r="W253" s="85">
        <f t="shared" ref="W253:W284" si="229">(SIN(RADIANS(g_L)))*(((VL_Z-HL_Z)/(VL_X-HL_X))*(-HL_X+AN253)+HL_Z-AM253)</f>
        <v>-4225.3239992296285</v>
      </c>
      <c r="X253" s="85">
        <f t="shared" ref="X253:X284" si="230">W253/(SIN(RADIANS(180-g_L-(90-$A253))))</f>
        <v>7968.0094520027351</v>
      </c>
      <c r="Y253" s="90">
        <f t="shared" ref="Y253:Y284" si="231">SIN(RADIANS(g_L))*(((VL_Z-HL_Z)/(VL_X-HL_X))*(-AP253+HL_X)-HL_Z+AO253)</f>
        <v>4225.3239992296285</v>
      </c>
      <c r="Z253" s="86">
        <f t="shared" ref="Z253:Z284" si="232">ROUND((F_S*r_Su_H-F_G*AA253+F_SSw*AC253)/(SIN(RADIANS(180+g_H-A253)))/1000,5)</f>
        <v>10128.19119</v>
      </c>
      <c r="AA253" s="85">
        <f t="shared" ref="AA253:AA284" si="233">(SIN(RADIANS(g_H)))*(((HL_X-HR_X)/(HL_Z-HR_Z))*(-HR_Z+AM253)+HR_X-AN253)</f>
        <v>-913.46204712425447</v>
      </c>
      <c r="AB253" s="85">
        <f t="shared" ref="AB253:AB284" si="234">AA253/(SIN(RADIANS(g_H-$A253)))</f>
        <v>1052.3976411030212</v>
      </c>
      <c r="AC253" s="90">
        <f t="shared" ref="AC253:AC284" si="235">SIN(RADIANS(g_H))*(((HL_X-HR_X)/(HL_Z-HR_Z))*(-AO253+HR_Z)-HR_X+AP253)</f>
        <v>913.46204712425447</v>
      </c>
      <c r="AD253" s="86">
        <f t="shared" ref="AD253:AD284" si="236">ROUND((F_S*r_Su_R+F_G*AE253+F_SSw*AG253)/(SIN(RADIANS(90+g_R-A253)))/1000,5)</f>
        <v>-19755.779409999999</v>
      </c>
      <c r="AE253" s="85">
        <f t="shared" ref="AE253:AE284" si="237">(SIN(RADIANS(g_R)))*(((HR_Z-VR_Z)/(HR_X-VR_X))*(-VR_X+AN253)+VR_Z-AM253)</f>
        <v>4140.4375383844126</v>
      </c>
      <c r="AF253" s="85">
        <f t="shared" ref="AF253:AF284" si="238">AE253/(SIN(RADIANS(180-g_R-(90-$A253))))</f>
        <v>-7818.4337476370983</v>
      </c>
      <c r="AG253" s="90">
        <f t="shared" ref="AG253:AG284" si="239">(SIN(RADIANS(g_R)))*(((HR_Z-VR_Z)/(HR_X-VR_X))*(-VR_X+AP253)+VR_Z-AO253)</f>
        <v>4140.4375383844126</v>
      </c>
      <c r="AH253" s="86">
        <f t="shared" ref="AH253:AH284" si="240">ROUND((F_S*r_Su_V+F_G*AI253+F_SSw*AK253)/(SIN(RADIANS(g_V-A253)))/1000,5)</f>
        <v>-10910.80617</v>
      </c>
      <c r="AI253" s="85">
        <f t="shared" ref="AI253:AI284" si="241">(SIN(RADIANS(g_V)))*(((VR_X-VL_X)/(VR_Z-VL_Z))*(AM253-VL_Z)+VL_X-AN253)</f>
        <v>6238.0466047659793</v>
      </c>
      <c r="AJ253" s="85">
        <f t="shared" ref="AJ253:AJ284" si="242">AI253/(SIN(RADIANS(g_V-$A253)))</f>
        <v>-7413.8936304984463</v>
      </c>
      <c r="AK253" s="90">
        <f t="shared" ref="AK253:AK284" si="243">(SIN(RADIANS(g_V)))*(((VR_X-VL_X)/(VR_Z-VL_Z))*(-VL_Z+AO253)+VL_X-AP253)</f>
        <v>6238.0466047659793</v>
      </c>
      <c r="AM253" s="95">
        <f t="shared" si="213"/>
        <v>0</v>
      </c>
      <c r="AN253" s="95">
        <f t="shared" si="214"/>
        <v>0</v>
      </c>
      <c r="AO253" s="95">
        <f t="shared" si="215"/>
        <v>0</v>
      </c>
      <c r="AP253" s="95">
        <f t="shared" si="216"/>
        <v>0</v>
      </c>
      <c r="AQ253"/>
      <c r="AR253" s="95">
        <f t="shared" ref="AR253:AR284" si="244">MAX(d_y_Sw*(r_K_D*ABS(COS(RADIANS($A253)))+_r1_Sw+_r2_Sw), 2*_r1_Sw*d_y_Sw)/1000000</f>
        <v>0</v>
      </c>
      <c r="AS253" s="95">
        <f t="shared" ref="AS253:AS284" si="245">MAX(d_y_Sw*(r_K_D*ABS(SIN(RADIANS($A253)))+_r1_Sw+_r2_Sw), 2*_r1_Sw*d_y_Sw)/1000000</f>
        <v>0</v>
      </c>
      <c r="AT253" s="95">
        <f>Geraetedaten!$B$94*ABS(SIN(RADIANS($A253)))</f>
        <v>81.607566691913533</v>
      </c>
      <c r="AU253" s="95">
        <f>Geraetedaten!$B$94*ABS(COS(RADIANS($A253)))</f>
        <v>130.59940680808961</v>
      </c>
      <c r="AV253" s="95">
        <f>((h_Aw_Sw+Geraetedaten!$B$18)/1000)*(AR253*AT253+AS253*AU253)/100</f>
        <v>0</v>
      </c>
      <c r="AX253" s="18">
        <f t="shared" si="212"/>
        <v>0.84804809615642607</v>
      </c>
    </row>
    <row r="254" spans="1:50" ht="13.5" x14ac:dyDescent="0.25">
      <c r="A254" s="16">
        <v>213</v>
      </c>
      <c r="B254" s="16">
        <f t="shared" si="219"/>
        <v>237</v>
      </c>
      <c r="C254" s="19">
        <f t="shared" si="220"/>
        <v>59.726309172009181</v>
      </c>
      <c r="D254" s="17">
        <f t="shared" si="217"/>
        <v>19342.601610827991</v>
      </c>
      <c r="E254" s="17">
        <f t="shared" si="221"/>
        <v>10172.188870827991</v>
      </c>
      <c r="F254" s="17">
        <f t="shared" si="222"/>
        <v>-19281.099349172007</v>
      </c>
      <c r="G254" s="17">
        <f t="shared" si="223"/>
        <v>-11095.921599172008</v>
      </c>
      <c r="H254" s="17">
        <f t="shared" si="218"/>
        <v>10172.188870827991</v>
      </c>
      <c r="I254" s="17">
        <f t="shared" si="224"/>
        <v>1063.1753680698414</v>
      </c>
      <c r="J254" s="20">
        <f>(Geraetedaten!$B$152+(Geraetedaten!$B$153*(Geraetedaten!$B$18+d_y_Sw)/1000))*10</f>
        <v>6051.0442000000003</v>
      </c>
      <c r="K254" s="20">
        <f>(Geraetedaten!$B$165+(Geraetedaten!$B$166*(Geraetedaten!$B$18+d_y_Sw)/1000))*10</f>
        <v>10816.164000000001</v>
      </c>
      <c r="L254" s="20">
        <f>(Geraetedaten!$B$158+(Geraetedaten!$B$159*(Geraetedaten!$B$18+d_y_Sw)/1000)-(Geraetedaten!$B$160*I254/1000))*10</f>
        <v>523.57395025943833</v>
      </c>
      <c r="M254" s="20">
        <f>(Geraetedaten!$B$171+(Geraetedaten!$B$172*(Geraetedaten!$B$18+d_y_Sw)/1000)-(Geraetedaten!$B$173*I254/1000))*10</f>
        <v>985.72422560088194</v>
      </c>
      <c r="N254" s="20">
        <f>IF((H254-J254)/(K254-J254)*(Geraetedaten!$B$174-Geraetedaten!$B$161)&lt;Geraetedaten!$B$174,(H254-J254)/(K254-J254)*(Geraetedaten!$B$174-Geraetedaten!$B$161),Geraetedaten!$B$174)</f>
        <v>345.9425864447723</v>
      </c>
      <c r="O254" s="20">
        <f>N254/Geraetedaten!$B$174*(M254-L254)+L254+C254</f>
        <v>982.99391337590419</v>
      </c>
      <c r="P254" s="20">
        <f t="shared" si="163"/>
        <v>260.75165350352393</v>
      </c>
      <c r="Q254" s="20"/>
      <c r="R254" s="21">
        <f>(N254-Geraetedaten!$B$161)/(Geraetedaten!$B$174-Geraetedaten!$B$161)*(Geraetedaten!$B$175-Geraetedaten!$B$162)+Geraetedaten!$B$162</f>
        <v>39.491791946731979</v>
      </c>
      <c r="S254" s="21">
        <f t="shared" si="225"/>
        <v>39.491791946731979</v>
      </c>
      <c r="T254" s="21">
        <f t="shared" si="226"/>
        <v>-21.508771456882322</v>
      </c>
      <c r="U254" s="88">
        <f t="shared" si="227"/>
        <v>-33.120603581148231</v>
      </c>
      <c r="V254" s="86">
        <f t="shared" si="228"/>
        <v>19402.32792</v>
      </c>
      <c r="W254" s="85">
        <f t="shared" si="229"/>
        <v>-4225.3239992296285</v>
      </c>
      <c r="X254" s="85">
        <f t="shared" si="230"/>
        <v>7752.8634502897703</v>
      </c>
      <c r="Y254" s="90">
        <f t="shared" si="231"/>
        <v>4225.3239992296285</v>
      </c>
      <c r="Z254" s="86">
        <f t="shared" si="232"/>
        <v>10231.91518</v>
      </c>
      <c r="AA254" s="85">
        <f t="shared" si="233"/>
        <v>-913.46204712425447</v>
      </c>
      <c r="AB254" s="85">
        <f t="shared" si="234"/>
        <v>1063.1753680698414</v>
      </c>
      <c r="AC254" s="90">
        <f t="shared" si="235"/>
        <v>913.46204712425447</v>
      </c>
      <c r="AD254" s="86">
        <f t="shared" si="236"/>
        <v>-19221.373039999999</v>
      </c>
      <c r="AE254" s="85">
        <f t="shared" si="237"/>
        <v>4140.4375383844126</v>
      </c>
      <c r="AF254" s="85">
        <f t="shared" si="238"/>
        <v>-7606.940153334217</v>
      </c>
      <c r="AG254" s="90">
        <f t="shared" si="239"/>
        <v>4140.4375383844126</v>
      </c>
      <c r="AH254" s="86">
        <f t="shared" si="240"/>
        <v>-11036.19529</v>
      </c>
      <c r="AI254" s="85">
        <f t="shared" si="241"/>
        <v>6238.0466047659793</v>
      </c>
      <c r="AJ254" s="85">
        <f t="shared" si="242"/>
        <v>-7499.0955480575103</v>
      </c>
      <c r="AK254" s="90">
        <f t="shared" si="243"/>
        <v>6238.0466047659793</v>
      </c>
      <c r="AM254" s="95">
        <f t="shared" si="213"/>
        <v>0</v>
      </c>
      <c r="AN254" s="95">
        <f t="shared" si="214"/>
        <v>0</v>
      </c>
      <c r="AO254" s="95">
        <f t="shared" si="215"/>
        <v>0</v>
      </c>
      <c r="AP254" s="95">
        <f t="shared" si="216"/>
        <v>0</v>
      </c>
      <c r="AQ254"/>
      <c r="AR254" s="95">
        <f t="shared" si="244"/>
        <v>0</v>
      </c>
      <c r="AS254" s="95">
        <f t="shared" si="245"/>
        <v>0</v>
      </c>
      <c r="AT254" s="95">
        <f>Geraetedaten!$B$94*ABS(SIN(RADIANS($A254)))</f>
        <v>83.874411392314173</v>
      </c>
      <c r="AU254" s="95">
        <f>Geraetedaten!$B$94*ABS(COS(RADIANS($A254)))</f>
        <v>129.15526746359529</v>
      </c>
      <c r="AV254" s="95">
        <f>((h_Aw_Sw+Geraetedaten!$B$18)/1000)*(AR254*AT254+AS254*AU254)/100</f>
        <v>0</v>
      </c>
      <c r="AX254" s="18">
        <f t="shared" si="212"/>
        <v>0.83867056794542405</v>
      </c>
    </row>
    <row r="255" spans="1:50" ht="13.5" x14ac:dyDescent="0.25">
      <c r="A255" s="16">
        <v>214</v>
      </c>
      <c r="B255" s="16">
        <f t="shared" si="219"/>
        <v>236</v>
      </c>
      <c r="C255" s="19">
        <f t="shared" si="220"/>
        <v>60.362702088343582</v>
      </c>
      <c r="D255" s="17">
        <f t="shared" si="217"/>
        <v>18837.457417911657</v>
      </c>
      <c r="E255" s="17">
        <f t="shared" si="221"/>
        <v>10280.605497911656</v>
      </c>
      <c r="F255" s="17">
        <f t="shared" si="222"/>
        <v>-18781.032252088342</v>
      </c>
      <c r="G255" s="17">
        <f t="shared" si="223"/>
        <v>-11228.304022088343</v>
      </c>
      <c r="H255" s="17">
        <f t="shared" si="218"/>
        <v>10280.605497911656</v>
      </c>
      <c r="I255" s="17">
        <f t="shared" si="224"/>
        <v>1074.5068229332719</v>
      </c>
      <c r="J255" s="20">
        <f>(Geraetedaten!$B$152+(Geraetedaten!$B$153*(Geraetedaten!$B$18+d_y_Sw)/1000))*10</f>
        <v>6051.0442000000003</v>
      </c>
      <c r="K255" s="20">
        <f>(Geraetedaten!$B$165+(Geraetedaten!$B$166*(Geraetedaten!$B$18+d_y_Sw)/1000))*10</f>
        <v>10816.164000000001</v>
      </c>
      <c r="L255" s="20">
        <f>(Geraetedaten!$B$158+(Geraetedaten!$B$159*(Geraetedaten!$B$18+d_y_Sw)/1000)-(Geraetedaten!$B$160*I255/1000))*10</f>
        <v>522.74301467430291</v>
      </c>
      <c r="M255" s="20">
        <f>(Geraetedaten!$B$171+(Geraetedaten!$B$172*(Geraetedaten!$B$18+d_y_Sw)/1000)-(Geraetedaten!$B$173*I255/1000))*10</f>
        <v>984.88071210084831</v>
      </c>
      <c r="N255" s="20">
        <f>IF((H255-J255)/(K255-J255)*(Geraetedaten!$B$174-Geraetedaten!$B$161)&lt;Geraetedaten!$B$174,(H255-J255)/(K255-J255)*(Geraetedaten!$B$174-Geraetedaten!$B$161),Geraetedaten!$B$174)</f>
        <v>355.04343860665631</v>
      </c>
      <c r="O255" s="20">
        <f>N255/Geraetedaten!$B$174*(M255-L255)+L255+C255</f>
        <v>993.30310977285444</v>
      </c>
      <c r="P255" s="20">
        <f t="shared" si="163"/>
        <v>261.71951712069051</v>
      </c>
      <c r="Q255" s="20"/>
      <c r="R255" s="21">
        <f>(N255-Geraetedaten!$B$161)/(Geraetedaten!$B$174-Geraetedaten!$B$161)*(Geraetedaten!$B$175-Geraetedaten!$B$162)+Geraetedaten!$B$162</f>
        <v>39.762542298548027</v>
      </c>
      <c r="S255" s="21">
        <f t="shared" si="225"/>
        <v>39.762542298548027</v>
      </c>
      <c r="T255" s="21">
        <f t="shared" si="226"/>
        <v>-22.234931477303448</v>
      </c>
      <c r="U255" s="88">
        <f t="shared" si="227"/>
        <v>-32.964641545805428</v>
      </c>
      <c r="V255" s="86">
        <f t="shared" si="228"/>
        <v>18897.82012</v>
      </c>
      <c r="W255" s="85">
        <f t="shared" si="229"/>
        <v>-4225.3239992296285</v>
      </c>
      <c r="X255" s="85">
        <f t="shared" si="230"/>
        <v>7551.2701105793612</v>
      </c>
      <c r="Y255" s="90">
        <f t="shared" si="231"/>
        <v>4225.3239992296285</v>
      </c>
      <c r="Z255" s="86">
        <f t="shared" si="232"/>
        <v>10340.968199999999</v>
      </c>
      <c r="AA255" s="85">
        <f t="shared" si="233"/>
        <v>-913.46204712425447</v>
      </c>
      <c r="AB255" s="85">
        <f t="shared" si="234"/>
        <v>1074.5068229332719</v>
      </c>
      <c r="AC255" s="90">
        <f t="shared" si="235"/>
        <v>913.46204712425447</v>
      </c>
      <c r="AD255" s="86">
        <f t="shared" si="236"/>
        <v>-18720.669549999999</v>
      </c>
      <c r="AE255" s="85">
        <f t="shared" si="237"/>
        <v>4140.4375383844126</v>
      </c>
      <c r="AF255" s="85">
        <f t="shared" si="238"/>
        <v>-7408.7846155736042</v>
      </c>
      <c r="AG255" s="90">
        <f t="shared" si="239"/>
        <v>4140.4375383844126</v>
      </c>
      <c r="AH255" s="86">
        <f t="shared" si="240"/>
        <v>-11167.94132</v>
      </c>
      <c r="AI255" s="85">
        <f t="shared" si="241"/>
        <v>6238.0466047659793</v>
      </c>
      <c r="AJ255" s="85">
        <f t="shared" si="242"/>
        <v>-7588.6169868933566</v>
      </c>
      <c r="AK255" s="90">
        <f t="shared" si="243"/>
        <v>6238.0466047659793</v>
      </c>
      <c r="AM255" s="95">
        <f t="shared" si="213"/>
        <v>0</v>
      </c>
      <c r="AN255" s="95">
        <f t="shared" si="214"/>
        <v>0</v>
      </c>
      <c r="AO255" s="95">
        <f t="shared" si="215"/>
        <v>0</v>
      </c>
      <c r="AP255" s="95">
        <f t="shared" si="216"/>
        <v>0</v>
      </c>
      <c r="AQ255"/>
      <c r="AR255" s="95">
        <f t="shared" si="244"/>
        <v>0</v>
      </c>
      <c r="AS255" s="95">
        <f t="shared" si="245"/>
        <v>0</v>
      </c>
      <c r="AT255" s="95">
        <f>Geraetedaten!$B$94*ABS(SIN(RADIANS($A255)))</f>
        <v>86.115707134494983</v>
      </c>
      <c r="AU255" s="95">
        <f>Geraetedaten!$B$94*ABS(COS(RADIANS($A255)))</f>
        <v>127.67178617347645</v>
      </c>
      <c r="AV255" s="95">
        <f>((h_Aw_Sw+Geraetedaten!$B$18)/1000)*(AR255*AT255+AS255*AU255)/100</f>
        <v>0</v>
      </c>
      <c r="AX255" s="18">
        <f t="shared" si="212"/>
        <v>0.82903757255504185</v>
      </c>
    </row>
    <row r="256" spans="1:50" ht="13.5" x14ac:dyDescent="0.25">
      <c r="A256" s="16">
        <v>215</v>
      </c>
      <c r="B256" s="16">
        <f t="shared" si="219"/>
        <v>235</v>
      </c>
      <c r="C256" s="19">
        <f t="shared" si="220"/>
        <v>60.98070794087527</v>
      </c>
      <c r="D256" s="17">
        <f t="shared" si="217"/>
        <v>18363.373552059125</v>
      </c>
      <c r="E256" s="17">
        <f t="shared" si="221"/>
        <v>10394.609342059126</v>
      </c>
      <c r="F256" s="17">
        <f t="shared" si="222"/>
        <v>-18311.788687940876</v>
      </c>
      <c r="G256" s="17">
        <f t="shared" si="223"/>
        <v>-11367.337167940876</v>
      </c>
      <c r="H256" s="17">
        <f t="shared" si="218"/>
        <v>10394.609342059126</v>
      </c>
      <c r="I256" s="17">
        <f t="shared" si="224"/>
        <v>1086.4169222813814</v>
      </c>
      <c r="J256" s="20">
        <f>(Geraetedaten!$B$152+(Geraetedaten!$B$153*(Geraetedaten!$B$18+d_y_Sw)/1000))*10</f>
        <v>6051.0442000000003</v>
      </c>
      <c r="K256" s="20">
        <f>(Geraetedaten!$B$165+(Geraetedaten!$B$166*(Geraetedaten!$B$18+d_y_Sw)/1000))*10</f>
        <v>10816.164000000001</v>
      </c>
      <c r="L256" s="20">
        <f>(Geraetedaten!$B$158+(Geraetedaten!$B$159*(Geraetedaten!$B$18+d_y_Sw)/1000)-(Geraetedaten!$B$160*I256/1000))*10</f>
        <v>521.86964708910614</v>
      </c>
      <c r="M256" s="20">
        <f>(Geraetedaten!$B$171+(Geraetedaten!$B$172*(Geraetedaten!$B$18+d_y_Sw)/1000)-(Geraetedaten!$B$173*I256/1000))*10</f>
        <v>983.99412430537495</v>
      </c>
      <c r="N256" s="20">
        <f>IF((H256-J256)/(K256-J256)*(Geraetedaten!$B$174-Geraetedaten!$B$161)&lt;Geraetedaten!$B$174,(H256-J256)/(K256-J256)*(Geraetedaten!$B$174-Geraetedaten!$B$161),Geraetedaten!$B$174)</f>
        <v>364.6133003463313</v>
      </c>
      <c r="O256" s="20">
        <f>N256/Geraetedaten!$B$174*(M256-L256)+L256+C256</f>
        <v>1004.0921820515983</v>
      </c>
      <c r="P256" s="20">
        <f t="shared" si="163"/>
        <v>262.70987136102895</v>
      </c>
      <c r="Q256" s="20"/>
      <c r="R256" s="21">
        <f>(N256-Geraetedaten!$B$161)/(Geraetedaten!$B$174-Geraetedaten!$B$161)*(Geraetedaten!$B$175-Geraetedaten!$B$162)+Geraetedaten!$B$162</f>
        <v>40.047245685303359</v>
      </c>
      <c r="S256" s="21">
        <f t="shared" si="225"/>
        <v>40.047245685303359</v>
      </c>
      <c r="T256" s="21">
        <f t="shared" si="226"/>
        <v>-22.970156465851112</v>
      </c>
      <c r="U256" s="88">
        <f t="shared" si="227"/>
        <v>-32.80478317125975</v>
      </c>
      <c r="V256" s="86">
        <f t="shared" si="228"/>
        <v>18424.35426</v>
      </c>
      <c r="W256" s="85">
        <f t="shared" si="229"/>
        <v>-4225.3239992296285</v>
      </c>
      <c r="X256" s="85">
        <f t="shared" si="230"/>
        <v>7362.0806372384004</v>
      </c>
      <c r="Y256" s="90">
        <f t="shared" si="231"/>
        <v>4225.3239992296285</v>
      </c>
      <c r="Z256" s="86">
        <f t="shared" si="232"/>
        <v>10455.590050000001</v>
      </c>
      <c r="AA256" s="85">
        <f t="shared" si="233"/>
        <v>-913.46204712425447</v>
      </c>
      <c r="AB256" s="85">
        <f t="shared" si="234"/>
        <v>1086.4169222813814</v>
      </c>
      <c r="AC256" s="90">
        <f t="shared" si="235"/>
        <v>913.46204712425447</v>
      </c>
      <c r="AD256" s="86">
        <f t="shared" si="236"/>
        <v>-18250.807980000001</v>
      </c>
      <c r="AE256" s="85">
        <f t="shared" si="237"/>
        <v>4140.4375383844126</v>
      </c>
      <c r="AF256" s="85">
        <f t="shared" si="238"/>
        <v>-7222.8348998878782</v>
      </c>
      <c r="AG256" s="90">
        <f t="shared" si="239"/>
        <v>4140.4375383844126</v>
      </c>
      <c r="AH256" s="86">
        <f t="shared" si="240"/>
        <v>-11306.356460000001</v>
      </c>
      <c r="AI256" s="85">
        <f t="shared" si="241"/>
        <v>6238.0466047659793</v>
      </c>
      <c r="AJ256" s="85">
        <f t="shared" si="242"/>
        <v>-7682.6700866459505</v>
      </c>
      <c r="AK256" s="90">
        <f t="shared" si="243"/>
        <v>6238.0466047659793</v>
      </c>
      <c r="AM256" s="95">
        <f t="shared" si="213"/>
        <v>0</v>
      </c>
      <c r="AN256" s="95">
        <f t="shared" si="214"/>
        <v>0</v>
      </c>
      <c r="AO256" s="95">
        <f t="shared" si="215"/>
        <v>0</v>
      </c>
      <c r="AP256" s="95">
        <f t="shared" si="216"/>
        <v>0</v>
      </c>
      <c r="AQ256"/>
      <c r="AR256" s="95">
        <f t="shared" si="244"/>
        <v>0</v>
      </c>
      <c r="AS256" s="95">
        <f t="shared" si="245"/>
        <v>0</v>
      </c>
      <c r="AT256" s="95">
        <f>Geraetedaten!$B$94*ABS(SIN(RADIANS($A256)))</f>
        <v>88.330771198061115</v>
      </c>
      <c r="AU256" s="95">
        <f>Geraetedaten!$B$94*ABS(COS(RADIANS($A256)))</f>
        <v>126.14941482050473</v>
      </c>
      <c r="AV256" s="95">
        <f>((h_Aw_Sw+Geraetedaten!$B$18)/1000)*(AR256*AT256+AS256*AU256)/100</f>
        <v>0</v>
      </c>
      <c r="AX256" s="18">
        <f t="shared" si="212"/>
        <v>0.8191520442889918</v>
      </c>
    </row>
    <row r="257" spans="1:50" ht="13.5" x14ac:dyDescent="0.25">
      <c r="A257" s="16">
        <v>216</v>
      </c>
      <c r="B257" s="16">
        <f t="shared" si="219"/>
        <v>234</v>
      </c>
      <c r="C257" s="19">
        <f t="shared" si="220"/>
        <v>61.580138479034758</v>
      </c>
      <c r="D257" s="17">
        <f t="shared" si="217"/>
        <v>17917.795641520963</v>
      </c>
      <c r="E257" s="17">
        <f t="shared" si="221"/>
        <v>10514.458911520964</v>
      </c>
      <c r="F257" s="17">
        <f t="shared" si="222"/>
        <v>-17870.826808479036</v>
      </c>
      <c r="G257" s="17">
        <f t="shared" si="223"/>
        <v>-11513.357928479036</v>
      </c>
      <c r="H257" s="17">
        <f t="shared" si="218"/>
        <v>10514.458911520964</v>
      </c>
      <c r="I257" s="17">
        <f t="shared" si="224"/>
        <v>1098.9325074443852</v>
      </c>
      <c r="J257" s="20">
        <f>(Geraetedaten!$B$152+(Geraetedaten!$B$153*(Geraetedaten!$B$18+d_y_Sw)/1000))*10</f>
        <v>6051.0442000000003</v>
      </c>
      <c r="K257" s="20">
        <f>(Geraetedaten!$B$165+(Geraetedaten!$B$166*(Geraetedaten!$B$18+d_y_Sw)/1000))*10</f>
        <v>10816.164000000001</v>
      </c>
      <c r="L257" s="20">
        <f>(Geraetedaten!$B$158+(Geraetedaten!$B$159*(Geraetedaten!$B$18+d_y_Sw)/1000)-(Geraetedaten!$B$160*I257/1000))*10</f>
        <v>520.95187922910304</v>
      </c>
      <c r="M257" s="20">
        <f>(Geraetedaten!$B$171+(Geraetedaten!$B$172*(Geraetedaten!$B$18+d_y_Sw)/1000)-(Geraetedaten!$B$173*I257/1000))*10</f>
        <v>983.06246414584098</v>
      </c>
      <c r="N257" s="20">
        <f>IF((H257-J257)/(K257-J257)*(Geraetedaten!$B$174-Geraetedaten!$B$161)&lt;Geraetedaten!$B$174,(H257-J257)/(K257-J257)*(Geraetedaten!$B$174-Geraetedaten!$B$161),Geraetedaten!$B$174)</f>
        <v>374.67387170588768</v>
      </c>
      <c r="O257" s="20">
        <f>N257/Geraetedaten!$B$174*(M257-L257)+L257+C257</f>
        <v>1015.3839227257042</v>
      </c>
      <c r="P257" s="20">
        <f t="shared" si="163"/>
        <v>263.72299708511059</v>
      </c>
      <c r="Q257" s="20"/>
      <c r="R257" s="21">
        <f>(N257-Geraetedaten!$B$161)/(Geraetedaten!$B$174-Geraetedaten!$B$161)*(Geraetedaten!$B$175-Geraetedaten!$B$162)+Geraetedaten!$B$162</f>
        <v>40.346547683250158</v>
      </c>
      <c r="S257" s="21">
        <f t="shared" si="225"/>
        <v>40.346547683250158</v>
      </c>
      <c r="T257" s="21">
        <f t="shared" si="226"/>
        <v>-23.715105709129489</v>
      </c>
      <c r="U257" s="88">
        <f t="shared" si="227"/>
        <v>-32.641042740108546</v>
      </c>
      <c r="V257" s="86">
        <f t="shared" si="228"/>
        <v>17979.375779999998</v>
      </c>
      <c r="W257" s="85">
        <f t="shared" si="229"/>
        <v>-4225.3239992296285</v>
      </c>
      <c r="X257" s="85">
        <f t="shared" si="230"/>
        <v>7184.2742747741459</v>
      </c>
      <c r="Y257" s="90">
        <f t="shared" si="231"/>
        <v>4225.3239992296285</v>
      </c>
      <c r="Z257" s="86">
        <f t="shared" si="232"/>
        <v>10576.039049999999</v>
      </c>
      <c r="AA257" s="85">
        <f t="shared" si="233"/>
        <v>-913.46204712425447</v>
      </c>
      <c r="AB257" s="85">
        <f t="shared" si="234"/>
        <v>1098.9325074443852</v>
      </c>
      <c r="AC257" s="90">
        <f t="shared" si="235"/>
        <v>913.46204712425447</v>
      </c>
      <c r="AD257" s="86">
        <f t="shared" si="236"/>
        <v>-17809.24667</v>
      </c>
      <c r="AE257" s="85">
        <f t="shared" si="237"/>
        <v>4140.4375383844126</v>
      </c>
      <c r="AF257" s="85">
        <f t="shared" si="238"/>
        <v>-7048.0851315202344</v>
      </c>
      <c r="AG257" s="90">
        <f t="shared" si="239"/>
        <v>4140.4375383844126</v>
      </c>
      <c r="AH257" s="86">
        <f t="shared" si="240"/>
        <v>-11451.77779</v>
      </c>
      <c r="AI257" s="85">
        <f t="shared" si="241"/>
        <v>6238.0466047659793</v>
      </c>
      <c r="AJ257" s="85">
        <f t="shared" si="242"/>
        <v>-7781.4838885808485</v>
      </c>
      <c r="AK257" s="90">
        <f t="shared" si="243"/>
        <v>6238.0466047659793</v>
      </c>
      <c r="AM257" s="95">
        <f t="shared" si="213"/>
        <v>0</v>
      </c>
      <c r="AN257" s="95">
        <f t="shared" si="214"/>
        <v>0</v>
      </c>
      <c r="AO257" s="95">
        <f t="shared" si="215"/>
        <v>0</v>
      </c>
      <c r="AP257" s="95">
        <f t="shared" si="216"/>
        <v>0</v>
      </c>
      <c r="AQ257"/>
      <c r="AR257" s="95">
        <f t="shared" si="244"/>
        <v>0</v>
      </c>
      <c r="AS257" s="95">
        <f t="shared" si="245"/>
        <v>0</v>
      </c>
      <c r="AT257" s="95">
        <f>Geraetedaten!$B$94*ABS(SIN(RADIANS($A257)))</f>
        <v>90.518928853040848</v>
      </c>
      <c r="AU257" s="95">
        <f>Geraetedaten!$B$94*ABS(COS(RADIANS($A257)))</f>
        <v>124.58861713374192</v>
      </c>
      <c r="AV257" s="95">
        <f>((h_Aw_Sw+Geraetedaten!$B$18)/1000)*(AR257*AT257+AS257*AU257)/100</f>
        <v>0</v>
      </c>
      <c r="AX257" s="18">
        <f t="shared" si="212"/>
        <v>0.80901699437494756</v>
      </c>
    </row>
    <row r="258" spans="1:50" ht="13.5" x14ac:dyDescent="0.25">
      <c r="A258" s="16">
        <v>217</v>
      </c>
      <c r="B258" s="16">
        <f t="shared" si="219"/>
        <v>233</v>
      </c>
      <c r="C258" s="19">
        <f t="shared" si="220"/>
        <v>62.160811110473361</v>
      </c>
      <c r="D258" s="17">
        <f t="shared" si="217"/>
        <v>17498.446538889526</v>
      </c>
      <c r="E258" s="17">
        <f t="shared" si="221"/>
        <v>10640.432838889526</v>
      </c>
      <c r="F258" s="17">
        <f t="shared" si="222"/>
        <v>-17455.880901110471</v>
      </c>
      <c r="G258" s="17">
        <f t="shared" si="223"/>
        <v>-11666.730381110474</v>
      </c>
      <c r="H258" s="17">
        <f t="shared" si="218"/>
        <v>10640.432838889526</v>
      </c>
      <c r="I258" s="17">
        <f t="shared" si="224"/>
        <v>1112.0825127862352</v>
      </c>
      <c r="J258" s="20">
        <f>(Geraetedaten!$B$152+(Geraetedaten!$B$153*(Geraetedaten!$B$18+d_y_Sw)/1000))*10</f>
        <v>6051.0442000000003</v>
      </c>
      <c r="K258" s="20">
        <f>(Geraetedaten!$B$165+(Geraetedaten!$B$166*(Geraetedaten!$B$18+d_y_Sw)/1000))*10</f>
        <v>10816.164000000001</v>
      </c>
      <c r="L258" s="20">
        <f>(Geraetedaten!$B$158+(Geraetedaten!$B$159*(Geraetedaten!$B$18+d_y_Sw)/1000)-(Geraetedaten!$B$160*I258/1000))*10</f>
        <v>519.98758933738509</v>
      </c>
      <c r="M258" s="20">
        <f>(Geraetedaten!$B$171+(Geraetedaten!$B$172*(Geraetedaten!$B$18+d_y_Sw)/1000)-(Geraetedaten!$B$173*I258/1000))*10</f>
        <v>982.08357774819365</v>
      </c>
      <c r="N258" s="20">
        <f>IF((H258-J258)/(K258-J258)*(Geraetedaten!$B$174-Geraetedaten!$B$161)&lt;Geraetedaten!$B$174,(H258-J258)/(K258-J258)*(Geraetedaten!$B$174-Geraetedaten!$B$161),Geraetedaten!$B$174)</f>
        <v>385.24854203157923</v>
      </c>
      <c r="O258" s="20">
        <f>N258/Geraetedaten!$B$174*(M258-L258)+L258+C258</f>
        <v>1027.2029149826224</v>
      </c>
      <c r="P258" s="20">
        <f t="shared" si="163"/>
        <v>264.75919527967181</v>
      </c>
      <c r="Q258" s="20"/>
      <c r="R258" s="21">
        <f>(N258-Geraetedaten!$B$161)/(Geraetedaten!$B$174-Geraetedaten!$B$161)*(Geraetedaten!$B$175-Geraetedaten!$B$162)+Geraetedaten!$B$162</f>
        <v>40.661144125439485</v>
      </c>
      <c r="S258" s="21">
        <f t="shared" si="225"/>
        <v>40.661144125439485</v>
      </c>
      <c r="T258" s="21">
        <f t="shared" si="226"/>
        <v>-24.470487393240138</v>
      </c>
      <c r="U258" s="88">
        <f t="shared" si="227"/>
        <v>-32.473433577726844</v>
      </c>
      <c r="V258" s="86">
        <f t="shared" si="228"/>
        <v>17560.607349999998</v>
      </c>
      <c r="W258" s="85">
        <f t="shared" si="229"/>
        <v>-4225.3239992296285</v>
      </c>
      <c r="X258" s="85">
        <f t="shared" si="230"/>
        <v>7016.9410300004356</v>
      </c>
      <c r="Y258" s="90">
        <f t="shared" si="231"/>
        <v>4225.3239992296285</v>
      </c>
      <c r="Z258" s="86">
        <f t="shared" si="232"/>
        <v>10702.593650000001</v>
      </c>
      <c r="AA258" s="85">
        <f t="shared" si="233"/>
        <v>-913.46204712425447</v>
      </c>
      <c r="AB258" s="85">
        <f t="shared" si="234"/>
        <v>1112.0825127862352</v>
      </c>
      <c r="AC258" s="90">
        <f t="shared" si="235"/>
        <v>913.46204712425447</v>
      </c>
      <c r="AD258" s="86">
        <f t="shared" si="236"/>
        <v>-17393.720089999999</v>
      </c>
      <c r="AE258" s="85">
        <f t="shared" si="237"/>
        <v>4140.4375383844126</v>
      </c>
      <c r="AF258" s="85">
        <f t="shared" si="238"/>
        <v>-6883.6387220359529</v>
      </c>
      <c r="AG258" s="90">
        <f t="shared" si="239"/>
        <v>4140.4375383844126</v>
      </c>
      <c r="AH258" s="86">
        <f t="shared" si="240"/>
        <v>-11604.56957</v>
      </c>
      <c r="AI258" s="85">
        <f t="shared" si="241"/>
        <v>6238.0466047659793</v>
      </c>
      <c r="AJ258" s="85">
        <f t="shared" si="242"/>
        <v>-7885.3059146214646</v>
      </c>
      <c r="AK258" s="90">
        <f t="shared" si="243"/>
        <v>6238.0466047659793</v>
      </c>
      <c r="AM258" s="95">
        <f t="shared" si="213"/>
        <v>0</v>
      </c>
      <c r="AN258" s="95">
        <f t="shared" si="214"/>
        <v>0</v>
      </c>
      <c r="AO258" s="95">
        <f t="shared" si="215"/>
        <v>0</v>
      </c>
      <c r="AP258" s="95">
        <f t="shared" si="216"/>
        <v>0</v>
      </c>
      <c r="AQ258"/>
      <c r="AR258" s="95">
        <f t="shared" si="244"/>
        <v>0</v>
      </c>
      <c r="AS258" s="95">
        <f t="shared" si="245"/>
        <v>0</v>
      </c>
      <c r="AT258" s="95">
        <f>Geraetedaten!$B$94*ABS(SIN(RADIANS($A258)))</f>
        <v>92.679513565415448</v>
      </c>
      <c r="AU258" s="95">
        <f>Geraetedaten!$B$94*ABS(COS(RADIANS($A258)))</f>
        <v>122.98986854728309</v>
      </c>
      <c r="AV258" s="95">
        <f>((h_Aw_Sw+Geraetedaten!$B$18)/1000)*(AR258*AT258+AS258*AU258)/100</f>
        <v>0</v>
      </c>
      <c r="AX258" s="18">
        <f t="shared" si="212"/>
        <v>0.79863551004729283</v>
      </c>
    </row>
    <row r="259" spans="1:50" ht="13.5" x14ac:dyDescent="0.25">
      <c r="A259" s="16">
        <v>218</v>
      </c>
      <c r="B259" s="16">
        <f t="shared" si="219"/>
        <v>232</v>
      </c>
      <c r="C259" s="19">
        <f t="shared" si="220"/>
        <v>62.722548956682388</v>
      </c>
      <c r="D259" s="17">
        <f t="shared" si="217"/>
        <v>17103.289831043319</v>
      </c>
      <c r="E259" s="17">
        <f t="shared" si="221"/>
        <v>10772.831721043318</v>
      </c>
      <c r="F259" s="17">
        <f t="shared" si="222"/>
        <v>-17064.925108956682</v>
      </c>
      <c r="G259" s="17">
        <f t="shared" si="223"/>
        <v>-11827.848418956683</v>
      </c>
      <c r="H259" s="17">
        <f t="shared" si="218"/>
        <v>10772.831721043318</v>
      </c>
      <c r="I259" s="17">
        <f t="shared" si="224"/>
        <v>1125.8981529172847</v>
      </c>
      <c r="J259" s="20">
        <f>(Geraetedaten!$B$152+(Geraetedaten!$B$153*(Geraetedaten!$B$18+d_y_Sw)/1000))*10</f>
        <v>6051.0442000000003</v>
      </c>
      <c r="K259" s="20">
        <f>(Geraetedaten!$B$165+(Geraetedaten!$B$166*(Geraetedaten!$B$18+d_y_Sw)/1000))*10</f>
        <v>10816.164000000001</v>
      </c>
      <c r="L259" s="20">
        <f>(Geraetedaten!$B$158+(Geraetedaten!$B$159*(Geraetedaten!$B$18+d_y_Sw)/1000)-(Geraetedaten!$B$160*I259/1000))*10</f>
        <v>518.97448844657526</v>
      </c>
      <c r="M259" s="20">
        <f>(Geraetedaten!$B$171+(Geraetedaten!$B$172*(Geraetedaten!$B$18+d_y_Sw)/1000)-(Geraetedaten!$B$173*I259/1000))*10</f>
        <v>981.05514149683825</v>
      </c>
      <c r="N259" s="20">
        <f>IF((H259-J259)/(K259-J259)*(Geraetedaten!$B$174-Geraetedaten!$B$161)&lt;Geraetedaten!$B$174,(H259-J259)/(K259-J259)*(Geraetedaten!$B$174-Geraetedaten!$B$161),Geraetedaten!$B$174)</f>
        <v>396.36254442486984</v>
      </c>
      <c r="O259" s="20">
        <f>N259/Geraetedaten!$B$174*(M259-L259)+L259+C259</f>
        <v>1039.5756958345269</v>
      </c>
      <c r="P259" s="20">
        <f t="shared" si="163"/>
        <v>265.81878762175802</v>
      </c>
      <c r="Q259" s="20"/>
      <c r="R259" s="21">
        <f>(N259-Geraetedaten!$B$161)/(Geraetedaten!$B$174-Geraetedaten!$B$161)*(Geraetedaten!$B$175-Geraetedaten!$B$162)+Geraetedaten!$B$162</f>
        <v>40.99178569663988</v>
      </c>
      <c r="S259" s="21">
        <f t="shared" si="225"/>
        <v>40.99178569663988</v>
      </c>
      <c r="T259" s="21">
        <f t="shared" si="226"/>
        <v>-25.23706325822652</v>
      </c>
      <c r="U259" s="88">
        <f t="shared" si="227"/>
        <v>-32.301967938494442</v>
      </c>
      <c r="V259" s="86">
        <f t="shared" si="228"/>
        <v>17166.01238</v>
      </c>
      <c r="W259" s="85">
        <f t="shared" si="229"/>
        <v>-4225.3239992296285</v>
      </c>
      <c r="X259" s="85">
        <f t="shared" si="230"/>
        <v>6859.2671211522329</v>
      </c>
      <c r="Y259" s="90">
        <f t="shared" si="231"/>
        <v>4225.3239992296285</v>
      </c>
      <c r="Z259" s="86">
        <f t="shared" si="232"/>
        <v>10835.554270000001</v>
      </c>
      <c r="AA259" s="85">
        <f t="shared" si="233"/>
        <v>-913.46204712425447</v>
      </c>
      <c r="AB259" s="85">
        <f t="shared" si="234"/>
        <v>1125.8981529172847</v>
      </c>
      <c r="AC259" s="90">
        <f t="shared" si="235"/>
        <v>913.46204712425447</v>
      </c>
      <c r="AD259" s="86">
        <f t="shared" si="236"/>
        <v>-17002.202560000002</v>
      </c>
      <c r="AE259" s="85">
        <f t="shared" si="237"/>
        <v>4140.4375383844126</v>
      </c>
      <c r="AF259" s="85">
        <f t="shared" si="238"/>
        <v>-6728.6939940224402</v>
      </c>
      <c r="AG259" s="90">
        <f t="shared" si="239"/>
        <v>4140.4375383844126</v>
      </c>
      <c r="AH259" s="86">
        <f t="shared" si="240"/>
        <v>-11765.12587</v>
      </c>
      <c r="AI259" s="85">
        <f t="shared" si="241"/>
        <v>6238.0466047659793</v>
      </c>
      <c r="AJ259" s="85">
        <f t="shared" si="242"/>
        <v>-7994.4039329434436</v>
      </c>
      <c r="AK259" s="90">
        <f t="shared" si="243"/>
        <v>6238.0466047659793</v>
      </c>
      <c r="AM259" s="95">
        <f t="shared" si="213"/>
        <v>0</v>
      </c>
      <c r="AN259" s="95">
        <f t="shared" si="214"/>
        <v>0</v>
      </c>
      <c r="AO259" s="95">
        <f t="shared" si="215"/>
        <v>0</v>
      </c>
      <c r="AP259" s="95">
        <f t="shared" si="216"/>
        <v>0</v>
      </c>
      <c r="AQ259"/>
      <c r="AR259" s="95">
        <f t="shared" si="244"/>
        <v>0</v>
      </c>
      <c r="AS259" s="95">
        <f t="shared" si="245"/>
        <v>0</v>
      </c>
      <c r="AT259" s="95">
        <f>Geraetedaten!$B$94*ABS(SIN(RADIANS($A259)))</f>
        <v>94.811867200151354</v>
      </c>
      <c r="AU259" s="95">
        <f>Geraetedaten!$B$94*ABS(COS(RADIANS($A259)))</f>
        <v>121.3536560554352</v>
      </c>
      <c r="AV259" s="95">
        <f>((h_Aw_Sw+Geraetedaten!$B$18)/1000)*(AR259*AT259+AS259*AU259)/100</f>
        <v>0</v>
      </c>
      <c r="AX259" s="18">
        <f t="shared" si="212"/>
        <v>0.78801075360672201</v>
      </c>
    </row>
    <row r="260" spans="1:50" ht="13.5" x14ac:dyDescent="0.25">
      <c r="A260" s="16">
        <v>219</v>
      </c>
      <c r="B260" s="16">
        <f t="shared" si="219"/>
        <v>231</v>
      </c>
      <c r="C260" s="19">
        <f t="shared" si="220"/>
        <v>63.26518090687226</v>
      </c>
      <c r="D260" s="17">
        <f t="shared" si="217"/>
        <v>16730.499099093126</v>
      </c>
      <c r="E260" s="17">
        <f t="shared" si="221"/>
        <v>10911.980089093127</v>
      </c>
      <c r="F260" s="17">
        <f t="shared" si="222"/>
        <v>-16696.142650906873</v>
      </c>
      <c r="G260" s="17">
        <f t="shared" si="223"/>
        <v>-11997.138640906873</v>
      </c>
      <c r="H260" s="17">
        <f t="shared" si="218"/>
        <v>10911.980089093127</v>
      </c>
      <c r="I260" s="17">
        <f t="shared" si="224"/>
        <v>1140.4131312998491</v>
      </c>
      <c r="J260" s="20">
        <f>(Geraetedaten!$B$152+(Geraetedaten!$B$153*(Geraetedaten!$B$18+d_y_Sw)/1000))*10</f>
        <v>6051.0442000000003</v>
      </c>
      <c r="K260" s="20">
        <f>(Geraetedaten!$B$165+(Geraetedaten!$B$166*(Geraetedaten!$B$18+d_y_Sw)/1000))*10</f>
        <v>10816.164000000001</v>
      </c>
      <c r="L260" s="20">
        <f>(Geraetedaten!$B$158+(Geraetedaten!$B$159*(Geraetedaten!$B$18+d_y_Sw)/1000)-(Geraetedaten!$B$160*I260/1000))*10</f>
        <v>517.91010508178181</v>
      </c>
      <c r="M260" s="20">
        <f>(Geraetedaten!$B$171+(Geraetedaten!$B$172*(Geraetedaten!$B$18+d_y_Sw)/1000)-(Geraetedaten!$B$173*I260/1000))*10</f>
        <v>979.97464650604013</v>
      </c>
      <c r="N260" s="20">
        <f>IF((H260-J260)/(K260-J260)*(Geraetedaten!$B$174-Geraetedaten!$B$161)&lt;Geraetedaten!$B$174,(H260-J260)/(K260-J260)*(Geraetedaten!$B$174-Geraetedaten!$B$161),Geraetedaten!$B$174)</f>
        <v>400</v>
      </c>
      <c r="O260" s="20">
        <f>N260/Geraetedaten!$B$174*(M260-L260)+L260+C260</f>
        <v>1043.2398274129123</v>
      </c>
      <c r="P260" s="20">
        <f t="shared" si="163"/>
        <v>266.13020083940529</v>
      </c>
      <c r="Q260" s="20"/>
      <c r="R260" s="21">
        <f>(N260-Geraetedaten!$B$161)/(Geraetedaten!$B$174-Geraetedaten!$B$161)*(Geraetedaten!$B$175-Geraetedaten!$B$162)+Geraetedaten!$B$162</f>
        <v>41.1</v>
      </c>
      <c r="S260" s="21">
        <f t="shared" si="225"/>
        <v>41.1</v>
      </c>
      <c r="T260" s="21">
        <f t="shared" si="226"/>
        <v>-25.865068072148325</v>
      </c>
      <c r="U260" s="88">
        <f t="shared" si="227"/>
        <v>-31.940699015881499</v>
      </c>
      <c r="V260" s="86">
        <f t="shared" si="228"/>
        <v>16793.764279999999</v>
      </c>
      <c r="W260" s="85">
        <f t="shared" si="229"/>
        <v>-4225.3239992296285</v>
      </c>
      <c r="X260" s="85">
        <f t="shared" si="230"/>
        <v>6710.5226648352918</v>
      </c>
      <c r="Y260" s="90">
        <f t="shared" si="231"/>
        <v>4225.3239992296285</v>
      </c>
      <c r="Z260" s="86">
        <f t="shared" si="232"/>
        <v>10975.245269999999</v>
      </c>
      <c r="AA260" s="85">
        <f t="shared" si="233"/>
        <v>-913.46204712425447</v>
      </c>
      <c r="AB260" s="85">
        <f t="shared" si="234"/>
        <v>1140.4131312998491</v>
      </c>
      <c r="AC260" s="90">
        <f t="shared" si="235"/>
        <v>913.46204712425447</v>
      </c>
      <c r="AD260" s="86">
        <f t="shared" si="236"/>
        <v>-16632.877469999999</v>
      </c>
      <c r="AE260" s="85">
        <f t="shared" si="237"/>
        <v>4140.4375383844126</v>
      </c>
      <c r="AF260" s="85">
        <f t="shared" si="238"/>
        <v>-6582.5320193432926</v>
      </c>
      <c r="AG260" s="90">
        <f t="shared" si="239"/>
        <v>4140.4375383844126</v>
      </c>
      <c r="AH260" s="86">
        <f t="shared" si="240"/>
        <v>-11933.873460000001</v>
      </c>
      <c r="AI260" s="85">
        <f t="shared" si="241"/>
        <v>6238.0466047659793</v>
      </c>
      <c r="AJ260" s="85">
        <f t="shared" si="242"/>
        <v>-8109.0679360007953</v>
      </c>
      <c r="AK260" s="90">
        <f t="shared" si="243"/>
        <v>6238.0466047659793</v>
      </c>
      <c r="AM260" s="95">
        <f t="shared" si="213"/>
        <v>0</v>
      </c>
      <c r="AN260" s="95">
        <f t="shared" si="214"/>
        <v>0</v>
      </c>
      <c r="AO260" s="95">
        <f t="shared" si="215"/>
        <v>0</v>
      </c>
      <c r="AP260" s="95">
        <f t="shared" si="216"/>
        <v>0</v>
      </c>
      <c r="AQ260"/>
      <c r="AR260" s="95">
        <f t="shared" si="244"/>
        <v>0</v>
      </c>
      <c r="AS260" s="95">
        <f t="shared" si="245"/>
        <v>0</v>
      </c>
      <c r="AT260" s="95">
        <f>Geraetedaten!$B$94*ABS(SIN(RADIANS($A260)))</f>
        <v>96.915340221674995</v>
      </c>
      <c r="AU260" s="95">
        <f>Geraetedaten!$B$94*ABS(COS(RADIANS($A260)))</f>
        <v>119.6804780643735</v>
      </c>
      <c r="AV260" s="95">
        <f>((h_Aw_Sw+Geraetedaten!$B$18)/1000)*(AR260*AT260+AS260*AU260)/100</f>
        <v>0</v>
      </c>
      <c r="AX260" s="18">
        <f t="shared" si="212"/>
        <v>0.77714596145697079</v>
      </c>
    </row>
    <row r="261" spans="1:50" ht="13.5" x14ac:dyDescent="0.25">
      <c r="A261" s="16">
        <v>220</v>
      </c>
      <c r="B261" s="16">
        <f t="shared" si="219"/>
        <v>230</v>
      </c>
      <c r="C261" s="19">
        <f t="shared" si="220"/>
        <v>63.788541670094304</v>
      </c>
      <c r="D261" s="17">
        <f t="shared" si="217"/>
        <v>16378.431658329906</v>
      </c>
      <c r="E261" s="17">
        <f t="shared" si="221"/>
        <v>11058.228658329906</v>
      </c>
      <c r="F261" s="17">
        <f t="shared" si="222"/>
        <v>-16347.899741670093</v>
      </c>
      <c r="G261" s="17">
        <f t="shared" si="223"/>
        <v>-12175.063641670095</v>
      </c>
      <c r="H261" s="17">
        <f t="shared" si="218"/>
        <v>11058.228658329906</v>
      </c>
      <c r="I261" s="17">
        <f t="shared" si="224"/>
        <v>1155.6638730981772</v>
      </c>
      <c r="J261" s="20">
        <f>(Geraetedaten!$B$152+(Geraetedaten!$B$153*(Geraetedaten!$B$18+d_y_Sw)/1000))*10</f>
        <v>6051.0442000000003</v>
      </c>
      <c r="K261" s="20">
        <f>(Geraetedaten!$B$165+(Geraetedaten!$B$166*(Geraetedaten!$B$18+d_y_Sw)/1000))*10</f>
        <v>10816.164000000001</v>
      </c>
      <c r="L261" s="20">
        <f>(Geraetedaten!$B$158+(Geraetedaten!$B$159*(Geraetedaten!$B$18+d_y_Sw)/1000)-(Geraetedaten!$B$160*I261/1000))*10</f>
        <v>516.79176818571045</v>
      </c>
      <c r="M261" s="20">
        <f>(Geraetedaten!$B$171+(Geraetedaten!$B$172*(Geraetedaten!$B$18+d_y_Sw)/1000)-(Geraetedaten!$B$173*I261/1000))*10</f>
        <v>978.83938128657269</v>
      </c>
      <c r="N261" s="20">
        <f>IF((H261-J261)/(K261-J261)*(Geraetedaten!$B$174-Geraetedaten!$B$161)&lt;Geraetedaten!$B$174,(H261-J261)/(K261-J261)*(Geraetedaten!$B$174-Geraetedaten!$B$161),Geraetedaten!$B$174)</f>
        <v>400</v>
      </c>
      <c r="O261" s="20">
        <f>N261/Geraetedaten!$B$174*(M261-L261)+L261+C261</f>
        <v>1042.6279229566669</v>
      </c>
      <c r="P261" s="20">
        <f t="shared" si="163"/>
        <v>266.07565305112865</v>
      </c>
      <c r="Q261" s="20"/>
      <c r="R261" s="21">
        <f>(N261-Geraetedaten!$B$161)/(Geraetedaten!$B$174-Geraetedaten!$B$161)*(Geraetedaten!$B$175-Geraetedaten!$B$162)+Geraetedaten!$B$162</f>
        <v>41.1</v>
      </c>
      <c r="S261" s="21">
        <f t="shared" si="225"/>
        <v>41.1</v>
      </c>
      <c r="T261" s="21">
        <f t="shared" si="226"/>
        <v>-26.418570758116765</v>
      </c>
      <c r="U261" s="88">
        <f t="shared" si="227"/>
        <v>-31.484426612189999</v>
      </c>
      <c r="V261" s="86">
        <f t="shared" si="228"/>
        <v>16442.2202</v>
      </c>
      <c r="W261" s="85">
        <f t="shared" si="229"/>
        <v>-4225.3239992296285</v>
      </c>
      <c r="X261" s="85">
        <f t="shared" si="230"/>
        <v>6570.0512094617752</v>
      </c>
      <c r="Y261" s="90">
        <f t="shared" si="231"/>
        <v>4225.3239992296285</v>
      </c>
      <c r="Z261" s="86">
        <f t="shared" si="232"/>
        <v>11122.0172</v>
      </c>
      <c r="AA261" s="85">
        <f t="shared" si="233"/>
        <v>-913.46204712425447</v>
      </c>
      <c r="AB261" s="85">
        <f t="shared" si="234"/>
        <v>1155.6638730981772</v>
      </c>
      <c r="AC261" s="90">
        <f t="shared" si="235"/>
        <v>913.46204712425447</v>
      </c>
      <c r="AD261" s="86">
        <f t="shared" si="236"/>
        <v>-16284.111199999999</v>
      </c>
      <c r="AE261" s="85">
        <f t="shared" si="237"/>
        <v>4140.4375383844126</v>
      </c>
      <c r="AF261" s="85">
        <f t="shared" si="238"/>
        <v>-6444.5062833770889</v>
      </c>
      <c r="AG261" s="90">
        <f t="shared" si="239"/>
        <v>4140.4375383844126</v>
      </c>
      <c r="AH261" s="86">
        <f t="shared" si="240"/>
        <v>-12111.275100000001</v>
      </c>
      <c r="AI261" s="85">
        <f t="shared" si="241"/>
        <v>6238.0466047659793</v>
      </c>
      <c r="AJ261" s="85">
        <f t="shared" si="242"/>
        <v>-8229.6123610585601</v>
      </c>
      <c r="AK261" s="90">
        <f t="shared" si="243"/>
        <v>6238.0466047659793</v>
      </c>
      <c r="AM261" s="95">
        <f t="shared" si="213"/>
        <v>0</v>
      </c>
      <c r="AN261" s="95">
        <f t="shared" si="214"/>
        <v>0</v>
      </c>
      <c r="AO261" s="95">
        <f t="shared" si="215"/>
        <v>0</v>
      </c>
      <c r="AP261" s="95">
        <f t="shared" si="216"/>
        <v>0</v>
      </c>
      <c r="AQ261"/>
      <c r="AR261" s="95">
        <f t="shared" si="244"/>
        <v>0</v>
      </c>
      <c r="AS261" s="95">
        <f t="shared" si="245"/>
        <v>0</v>
      </c>
      <c r="AT261" s="95">
        <f>Geraetedaten!$B$94*ABS(SIN(RADIANS($A261)))</f>
        <v>98.989291891727049</v>
      </c>
      <c r="AU261" s="95">
        <f>Geraetedaten!$B$94*ABS(COS(RADIANS($A261)))</f>
        <v>117.97084424032262</v>
      </c>
      <c r="AV261" s="95">
        <f>((h_Aw_Sw+Geraetedaten!$B$18)/1000)*(AR261*AT261+AS261*AU261)/100</f>
        <v>0</v>
      </c>
      <c r="AX261" s="18">
        <f t="shared" si="212"/>
        <v>0.76604444311897801</v>
      </c>
    </row>
    <row r="262" spans="1:50" ht="13.5" x14ac:dyDescent="0.25">
      <c r="A262" s="16">
        <v>221</v>
      </c>
      <c r="B262" s="16">
        <f t="shared" si="219"/>
        <v>229</v>
      </c>
      <c r="C262" s="19">
        <f t="shared" si="220"/>
        <v>64.292471825590169</v>
      </c>
      <c r="D262" s="17">
        <f t="shared" si="217"/>
        <v>16045.606248174408</v>
      </c>
      <c r="E262" s="17">
        <f t="shared" si="221"/>
        <v>11211.956828174409</v>
      </c>
      <c r="F262" s="17">
        <f t="shared" si="222"/>
        <v>-16018.723271825591</v>
      </c>
      <c r="G262" s="17">
        <f t="shared" si="223"/>
        <v>-12362.125641825591</v>
      </c>
      <c r="H262" s="17">
        <f t="shared" si="218"/>
        <v>11211.956828174409</v>
      </c>
      <c r="I262" s="17">
        <f t="shared" si="224"/>
        <v>1171.6897855707111</v>
      </c>
      <c r="J262" s="20">
        <f>(Geraetedaten!$B$152+(Geraetedaten!$B$153*(Geraetedaten!$B$18+d_y_Sw)/1000))*10</f>
        <v>6051.0442000000003</v>
      </c>
      <c r="K262" s="20">
        <f>(Geraetedaten!$B$165+(Geraetedaten!$B$166*(Geraetedaten!$B$18+d_y_Sw)/1000))*10</f>
        <v>10816.164000000001</v>
      </c>
      <c r="L262" s="20">
        <f>(Geraetedaten!$B$158+(Geraetedaten!$B$159*(Geraetedaten!$B$18+d_y_Sw)/1000)-(Geraetedaten!$B$160*I262/1000))*10</f>
        <v>515.61658802409954</v>
      </c>
      <c r="M262" s="20">
        <f>(Geraetedaten!$B$171+(Geraetedaten!$B$172*(Geraetedaten!$B$18+d_y_Sw)/1000)-(Geraetedaten!$B$173*I262/1000))*10</f>
        <v>977.64641236211719</v>
      </c>
      <c r="N262" s="20">
        <f>IF((H262-J262)/(K262-J262)*(Geraetedaten!$B$174-Geraetedaten!$B$161)&lt;Geraetedaten!$B$174,(H262-J262)/(K262-J262)*(Geraetedaten!$B$174-Geraetedaten!$B$161),Geraetedaten!$B$174)</f>
        <v>400</v>
      </c>
      <c r="O262" s="20">
        <f>N262/Geraetedaten!$B$174*(M262-L262)+L262+C262</f>
        <v>1041.9388841877073</v>
      </c>
      <c r="P262" s="20">
        <f t="shared" si="163"/>
        <v>266.00653578770113</v>
      </c>
      <c r="Q262" s="20"/>
      <c r="R262" s="21">
        <f>(N262-Geraetedaten!$B$161)/(Geraetedaten!$B$174-Geraetedaten!$B$161)*(Geraetedaten!$B$175-Geraetedaten!$B$162)+Geraetedaten!$B$162</f>
        <v>41.1</v>
      </c>
      <c r="S262" s="21">
        <f t="shared" si="225"/>
        <v>41.1</v>
      </c>
      <c r="T262" s="21">
        <f t="shared" si="226"/>
        <v>-26.96402609150984</v>
      </c>
      <c r="U262" s="88">
        <f t="shared" si="227"/>
        <v>-31.018563747155934</v>
      </c>
      <c r="V262" s="86">
        <f t="shared" si="228"/>
        <v>16109.898719999999</v>
      </c>
      <c r="W262" s="85">
        <f t="shared" si="229"/>
        <v>-4225.3239992296285</v>
      </c>
      <c r="X262" s="85">
        <f t="shared" si="230"/>
        <v>6437.2608001389481</v>
      </c>
      <c r="Y262" s="90">
        <f t="shared" si="231"/>
        <v>4225.3239992296285</v>
      </c>
      <c r="Z262" s="86">
        <f t="shared" si="232"/>
        <v>11276.249299999999</v>
      </c>
      <c r="AA262" s="85">
        <f t="shared" si="233"/>
        <v>-913.46204712425447</v>
      </c>
      <c r="AB262" s="85">
        <f t="shared" si="234"/>
        <v>1171.6897855707111</v>
      </c>
      <c r="AC262" s="90">
        <f t="shared" si="235"/>
        <v>913.46204712425447</v>
      </c>
      <c r="AD262" s="86">
        <f t="shared" si="236"/>
        <v>-15954.4308</v>
      </c>
      <c r="AE262" s="85">
        <f t="shared" si="237"/>
        <v>4140.4375383844126</v>
      </c>
      <c r="AF262" s="85">
        <f t="shared" si="238"/>
        <v>-6314.0338633395495</v>
      </c>
      <c r="AG262" s="90">
        <f t="shared" si="239"/>
        <v>4140.4375383844126</v>
      </c>
      <c r="AH262" s="86">
        <f t="shared" si="240"/>
        <v>-12297.83317</v>
      </c>
      <c r="AI262" s="85">
        <f t="shared" si="241"/>
        <v>6238.0466047659793</v>
      </c>
      <c r="AJ262" s="85">
        <f t="shared" si="242"/>
        <v>-8356.3785882953543</v>
      </c>
      <c r="AK262" s="90">
        <f t="shared" si="243"/>
        <v>6238.0466047659793</v>
      </c>
      <c r="AM262" s="95">
        <f t="shared" si="213"/>
        <v>0</v>
      </c>
      <c r="AN262" s="95">
        <f t="shared" si="214"/>
        <v>0</v>
      </c>
      <c r="AO262" s="95">
        <f t="shared" si="215"/>
        <v>0</v>
      </c>
      <c r="AP262" s="95">
        <f t="shared" si="216"/>
        <v>0</v>
      </c>
      <c r="AQ262"/>
      <c r="AR262" s="95">
        <f t="shared" si="244"/>
        <v>0</v>
      </c>
      <c r="AS262" s="95">
        <f t="shared" si="245"/>
        <v>0</v>
      </c>
      <c r="AT262" s="95">
        <f>Geraetedaten!$B$94*ABS(SIN(RADIANS($A262)))</f>
        <v>101.03309046453809</v>
      </c>
      <c r="AU262" s="95">
        <f>Geraetedaten!$B$94*ABS(COS(RADIANS($A262)))</f>
        <v>116.2252753543069</v>
      </c>
      <c r="AV262" s="95">
        <f>((h_Aw_Sw+Geraetedaten!$B$18)/1000)*(AR262*AT262+AS262*AU262)/100</f>
        <v>0</v>
      </c>
      <c r="AX262" s="18">
        <f t="shared" si="212"/>
        <v>0.75470958022277213</v>
      </c>
    </row>
    <row r="263" spans="1:50" ht="13.5" x14ac:dyDescent="0.25">
      <c r="A263" s="16">
        <v>222</v>
      </c>
      <c r="B263" s="16">
        <f t="shared" si="219"/>
        <v>228</v>
      </c>
      <c r="C263" s="19">
        <f t="shared" si="220"/>
        <v>64.776817871352804</v>
      </c>
      <c r="D263" s="17">
        <f t="shared" si="217"/>
        <v>15730.683832128649</v>
      </c>
      <c r="E263" s="17">
        <f t="shared" si="221"/>
        <v>11373.575532128647</v>
      </c>
      <c r="F263" s="17">
        <f t="shared" si="222"/>
        <v>-15707.281737871352</v>
      </c>
      <c r="G263" s="17">
        <f t="shared" si="223"/>
        <v>-12558.870707871352</v>
      </c>
      <c r="H263" s="17">
        <f t="shared" si="218"/>
        <v>11373.575532128647</v>
      </c>
      <c r="I263" s="17">
        <f t="shared" si="224"/>
        <v>1188.5335498287711</v>
      </c>
      <c r="J263" s="20">
        <f>(Geraetedaten!$B$152+(Geraetedaten!$B$153*(Geraetedaten!$B$18+d_y_Sw)/1000))*10</f>
        <v>6051.0442000000003</v>
      </c>
      <c r="K263" s="20">
        <f>(Geraetedaten!$B$165+(Geraetedaten!$B$166*(Geraetedaten!$B$18+d_y_Sw)/1000))*10</f>
        <v>10816.164000000001</v>
      </c>
      <c r="L263" s="20">
        <f>(Geraetedaten!$B$158+(Geraetedaten!$B$159*(Geraetedaten!$B$18+d_y_Sw)/1000)-(Geraetedaten!$B$160*I263/1000))*10</f>
        <v>514.38143479105599</v>
      </c>
      <c r="M263" s="20">
        <f>(Geraetedaten!$B$171+(Geraetedaten!$B$172*(Geraetedaten!$B$18+d_y_Sw)/1000)-(Geraetedaten!$B$173*I263/1000))*10</f>
        <v>976.39256255074724</v>
      </c>
      <c r="N263" s="20">
        <f>IF((H263-J263)/(K263-J263)*(Geraetedaten!$B$174-Geraetedaten!$B$161)&lt;Geraetedaten!$B$174,(H263-J263)/(K263-J263)*(Geraetedaten!$B$174-Geraetedaten!$B$161),Geraetedaten!$B$174)</f>
        <v>400</v>
      </c>
      <c r="O263" s="20">
        <f>N263/Geraetedaten!$B$174*(M263-L263)+L263+C263</f>
        <v>1041.1693804220999</v>
      </c>
      <c r="P263" s="20">
        <f t="shared" ref="P263:P312" si="246">O263*100/9.81/(R263-(I263/1000))</f>
        <v>265.92226116684913</v>
      </c>
      <c r="Q263" s="20"/>
      <c r="R263" s="21">
        <f>(N263-Geraetedaten!$B$161)/(Geraetedaten!$B$174-Geraetedaten!$B$161)*(Geraetedaten!$B$175-Geraetedaten!$B$162)+Geraetedaten!$B$162</f>
        <v>41.1</v>
      </c>
      <c r="S263" s="21">
        <f t="shared" si="225"/>
        <v>41.1</v>
      </c>
      <c r="T263" s="21">
        <f t="shared" si="226"/>
        <v>-27.501267921349076</v>
      </c>
      <c r="U263" s="88">
        <f t="shared" si="227"/>
        <v>-30.543252327120904</v>
      </c>
      <c r="V263" s="86">
        <f t="shared" si="228"/>
        <v>15795.460650000001</v>
      </c>
      <c r="W263" s="85">
        <f t="shared" si="229"/>
        <v>-4225.3239992296285</v>
      </c>
      <c r="X263" s="85">
        <f t="shared" si="230"/>
        <v>6311.61631995075</v>
      </c>
      <c r="Y263" s="90">
        <f t="shared" si="231"/>
        <v>4225.3239992296285</v>
      </c>
      <c r="Z263" s="86">
        <f t="shared" si="232"/>
        <v>11438.352349999999</v>
      </c>
      <c r="AA263" s="85">
        <f t="shared" si="233"/>
        <v>-913.46204712425447</v>
      </c>
      <c r="AB263" s="85">
        <f t="shared" si="234"/>
        <v>1188.5335498287711</v>
      </c>
      <c r="AC263" s="90">
        <f t="shared" si="235"/>
        <v>913.46204712425447</v>
      </c>
      <c r="AD263" s="86">
        <f t="shared" si="236"/>
        <v>-15642.504919999999</v>
      </c>
      <c r="AE263" s="85">
        <f t="shared" si="237"/>
        <v>4140.4375383844126</v>
      </c>
      <c r="AF263" s="85">
        <f t="shared" si="238"/>
        <v>-6190.5878682324364</v>
      </c>
      <c r="AG263" s="90">
        <f t="shared" si="239"/>
        <v>4140.4375383844126</v>
      </c>
      <c r="AH263" s="86">
        <f t="shared" si="240"/>
        <v>-12494.09389</v>
      </c>
      <c r="AI263" s="85">
        <f t="shared" si="241"/>
        <v>6238.0466047659793</v>
      </c>
      <c r="AJ263" s="85">
        <f t="shared" si="242"/>
        <v>-8489.7377574767033</v>
      </c>
      <c r="AK263" s="90">
        <f t="shared" si="243"/>
        <v>6238.0466047659793</v>
      </c>
      <c r="AM263" s="95">
        <f t="shared" si="213"/>
        <v>0</v>
      </c>
      <c r="AN263" s="95">
        <f t="shared" si="214"/>
        <v>0</v>
      </c>
      <c r="AO263" s="95">
        <f t="shared" si="215"/>
        <v>0</v>
      </c>
      <c r="AP263" s="95">
        <f t="shared" si="216"/>
        <v>0</v>
      </c>
      <c r="AQ263"/>
      <c r="AR263" s="95">
        <f t="shared" si="244"/>
        <v>0</v>
      </c>
      <c r="AS263" s="95">
        <f t="shared" si="245"/>
        <v>0</v>
      </c>
      <c r="AT263" s="95">
        <f>Geraetedaten!$B$94*ABS(SIN(RADIANS($A263)))</f>
        <v>103.04611337926417</v>
      </c>
      <c r="AU263" s="95">
        <f>Geraetedaten!$B$94*ABS(COS(RADIANS($A263)))</f>
        <v>114.44430312351871</v>
      </c>
      <c r="AV263" s="95">
        <f>((h_Aw_Sw+Geraetedaten!$B$18)/1000)*(AR263*AT263+AS263*AU263)/100</f>
        <v>0</v>
      </c>
      <c r="AX263" s="18">
        <f t="shared" si="212"/>
        <v>0.74314482547739424</v>
      </c>
    </row>
    <row r="264" spans="1:50" ht="13.5" x14ac:dyDescent="0.25">
      <c r="A264" s="16">
        <v>223</v>
      </c>
      <c r="B264" s="16">
        <f t="shared" si="219"/>
        <v>227</v>
      </c>
      <c r="C264" s="19">
        <f t="shared" si="220"/>
        <v>65.241432270884687</v>
      </c>
      <c r="D264" s="17">
        <f t="shared" si="217"/>
        <v>15432.451127729115</v>
      </c>
      <c r="E264" s="17">
        <f t="shared" si="221"/>
        <v>11543.530327729115</v>
      </c>
      <c r="F264" s="17">
        <f t="shared" si="222"/>
        <v>-15412.368772270884</v>
      </c>
      <c r="G264" s="17">
        <f t="shared" si="223"/>
        <v>-12765.893342270885</v>
      </c>
      <c r="H264" s="17">
        <f t="shared" si="218"/>
        <v>11543.530327729115</v>
      </c>
      <c r="I264" s="17">
        <f t="shared" si="224"/>
        <v>1206.2414484082046</v>
      </c>
      <c r="J264" s="20">
        <f>(Geraetedaten!$B$152+(Geraetedaten!$B$153*(Geraetedaten!$B$18+d_y_Sw)/1000))*10</f>
        <v>6051.0442000000003</v>
      </c>
      <c r="K264" s="20">
        <f>(Geraetedaten!$B$165+(Geraetedaten!$B$166*(Geraetedaten!$B$18+d_y_Sw)/1000))*10</f>
        <v>10816.164000000001</v>
      </c>
      <c r="L264" s="20">
        <f>(Geraetedaten!$B$158+(Geraetedaten!$B$159*(Geraetedaten!$B$18+d_y_Sw)/1000)-(Geraetedaten!$B$160*I264/1000))*10</f>
        <v>513.08291458822612</v>
      </c>
      <c r="M264" s="20">
        <f>(Geraetedaten!$B$171+(Geraetedaten!$B$172*(Geraetedaten!$B$18+d_y_Sw)/1000)-(Geraetedaten!$B$173*I264/1000))*10</f>
        <v>975.07438658049421</v>
      </c>
      <c r="N264" s="20">
        <f>IF((H264-J264)/(K264-J264)*(Geraetedaten!$B$174-Geraetedaten!$B$161)&lt;Geraetedaten!$B$174,(H264-J264)/(K264-J264)*(Geraetedaten!$B$174-Geraetedaten!$B$161),Geraetedaten!$B$174)</f>
        <v>400</v>
      </c>
      <c r="O264" s="20">
        <f>N264/Geraetedaten!$B$174*(M264-L264)+L264+C264</f>
        <v>1040.3158188513789</v>
      </c>
      <c r="P264" s="20">
        <f t="shared" si="246"/>
        <v>265.82219516262194</v>
      </c>
      <c r="Q264" s="20"/>
      <c r="R264" s="21">
        <f>(N264-Geraetedaten!$B$161)/(Geraetedaten!$B$174-Geraetedaten!$B$161)*(Geraetedaten!$B$175-Geraetedaten!$B$162)+Geraetedaten!$B$162</f>
        <v>41.1</v>
      </c>
      <c r="S264" s="21">
        <f t="shared" si="225"/>
        <v>41.1</v>
      </c>
      <c r="T264" s="21">
        <f t="shared" si="226"/>
        <v>-28.030132598568684</v>
      </c>
      <c r="U264" s="88">
        <f t="shared" si="227"/>
        <v>-30.058637136547912</v>
      </c>
      <c r="V264" s="86">
        <f t="shared" si="228"/>
        <v>15497.69256</v>
      </c>
      <c r="W264" s="85">
        <f t="shared" si="229"/>
        <v>-4225.3239992296285</v>
      </c>
      <c r="X264" s="85">
        <f t="shared" si="230"/>
        <v>6192.6328999998232</v>
      </c>
      <c r="Y264" s="90">
        <f t="shared" si="231"/>
        <v>4225.3239992296285</v>
      </c>
      <c r="Z264" s="86">
        <f t="shared" si="232"/>
        <v>11608.77176</v>
      </c>
      <c r="AA264" s="85">
        <f t="shared" si="233"/>
        <v>-913.46204712425447</v>
      </c>
      <c r="AB264" s="85">
        <f t="shared" si="234"/>
        <v>1206.2414484082046</v>
      </c>
      <c r="AC264" s="90">
        <f t="shared" si="235"/>
        <v>913.46204712425447</v>
      </c>
      <c r="AD264" s="86">
        <f t="shared" si="236"/>
        <v>-15347.127339999999</v>
      </c>
      <c r="AE264" s="85">
        <f t="shared" si="237"/>
        <v>4140.4375383844126</v>
      </c>
      <c r="AF264" s="85">
        <f t="shared" si="238"/>
        <v>-6073.6909349584603</v>
      </c>
      <c r="AG264" s="90">
        <f t="shared" si="239"/>
        <v>4140.4375383844126</v>
      </c>
      <c r="AH264" s="86">
        <f t="shared" si="240"/>
        <v>-12700.65191</v>
      </c>
      <c r="AI264" s="85">
        <f t="shared" si="241"/>
        <v>6238.0466047659793</v>
      </c>
      <c r="AJ264" s="85">
        <f t="shared" si="242"/>
        <v>-8630.0939512915829</v>
      </c>
      <c r="AK264" s="90">
        <f t="shared" si="243"/>
        <v>6238.0466047659793</v>
      </c>
      <c r="AM264" s="95">
        <f t="shared" si="213"/>
        <v>0</v>
      </c>
      <c r="AN264" s="95">
        <f t="shared" si="214"/>
        <v>0</v>
      </c>
      <c r="AO264" s="95">
        <f t="shared" si="215"/>
        <v>0</v>
      </c>
      <c r="AP264" s="95">
        <f t="shared" si="216"/>
        <v>0</v>
      </c>
      <c r="AQ264"/>
      <c r="AR264" s="95">
        <f t="shared" si="244"/>
        <v>0</v>
      </c>
      <c r="AS264" s="95">
        <f t="shared" si="245"/>
        <v>0</v>
      </c>
      <c r="AT264" s="95">
        <f>Geraetedaten!$B$94*ABS(SIN(RADIANS($A264)))</f>
        <v>105.02774744962475</v>
      </c>
      <c r="AU264" s="95">
        <f>Geraetedaten!$B$94*ABS(COS(RADIANS($A264)))</f>
        <v>112.62847004935227</v>
      </c>
      <c r="AV264" s="95">
        <f>((h_Aw_Sw+Geraetedaten!$B$18)/1000)*(AR264*AT264+AS264*AU264)/100</f>
        <v>0</v>
      </c>
      <c r="AX264" s="18">
        <f t="shared" si="212"/>
        <v>0.73135370161917057</v>
      </c>
    </row>
    <row r="265" spans="1:50" ht="13.5" x14ac:dyDescent="0.25">
      <c r="A265" s="16">
        <v>224</v>
      </c>
      <c r="B265" s="16">
        <f t="shared" si="219"/>
        <v>226</v>
      </c>
      <c r="C265" s="19">
        <f t="shared" si="220"/>
        <v>65.686173498138942</v>
      </c>
      <c r="D265" s="17">
        <f t="shared" si="217"/>
        <v>15149.80635650186</v>
      </c>
      <c r="E265" s="17">
        <f t="shared" si="221"/>
        <v>11722.30497650186</v>
      </c>
      <c r="F265" s="17">
        <f t="shared" si="222"/>
        <v>-15132.88898349814</v>
      </c>
      <c r="G265" s="17">
        <f t="shared" si="223"/>
        <v>-12983.84188349814</v>
      </c>
      <c r="H265" s="17">
        <f t="shared" si="218"/>
        <v>11722.30497650186</v>
      </c>
      <c r="I265" s="17">
        <f t="shared" si="224"/>
        <v>1224.8637338390613</v>
      </c>
      <c r="J265" s="20">
        <f>(Geraetedaten!$B$152+(Geraetedaten!$B$153*(Geraetedaten!$B$18+d_y_Sw)/1000))*10</f>
        <v>6051.0442000000003</v>
      </c>
      <c r="K265" s="20">
        <f>(Geraetedaten!$B$165+(Geraetedaten!$B$166*(Geraetedaten!$B$18+d_y_Sw)/1000))*10</f>
        <v>10816.164000000001</v>
      </c>
      <c r="L265" s="20">
        <f>(Geraetedaten!$B$158+(Geraetedaten!$B$159*(Geraetedaten!$B$18+d_y_Sw)/1000)-(Geraetedaten!$B$160*I265/1000))*10</f>
        <v>511.71734239758138</v>
      </c>
      <c r="M265" s="20">
        <f>(Geraetedaten!$B$171+(Geraetedaten!$B$172*(Geraetedaten!$B$18+d_y_Sw)/1000)-(Geraetedaten!$B$173*I265/1000))*10</f>
        <v>973.68814365302126</v>
      </c>
      <c r="N265" s="20">
        <f>IF((H265-J265)/(K265-J265)*(Geraetedaten!$B$174-Geraetedaten!$B$161)&lt;Geraetedaten!$B$174,(H265-J265)/(K265-J265)*(Geraetedaten!$B$174-Geraetedaten!$B$161),Geraetedaten!$B$174)</f>
        <v>400</v>
      </c>
      <c r="O265" s="20">
        <f>N265/Geraetedaten!$B$174*(M265-L265)+L265+C265</f>
        <v>1039.3743171511601</v>
      </c>
      <c r="P265" s="20">
        <f t="shared" si="246"/>
        <v>265.70565260960058</v>
      </c>
      <c r="Q265" s="20"/>
      <c r="R265" s="21">
        <f>(N265-Geraetedaten!$B$161)/(Geraetedaten!$B$174-Geraetedaten!$B$161)*(Geraetedaten!$B$175-Geraetedaten!$B$162)+Geraetedaten!$B$162</f>
        <v>41.1</v>
      </c>
      <c r="S265" s="21">
        <f t="shared" si="225"/>
        <v>41.1</v>
      </c>
      <c r="T265" s="21">
        <f t="shared" si="226"/>
        <v>-28.550459025864793</v>
      </c>
      <c r="U265" s="88">
        <f t="shared" si="227"/>
        <v>-29.56486579391856</v>
      </c>
      <c r="V265" s="86">
        <f t="shared" si="228"/>
        <v>15215.49253</v>
      </c>
      <c r="W265" s="85">
        <f t="shared" si="229"/>
        <v>-4225.3239992296285</v>
      </c>
      <c r="X265" s="85">
        <f t="shared" si="230"/>
        <v>6079.8702283094353</v>
      </c>
      <c r="Y265" s="90">
        <f t="shared" si="231"/>
        <v>4225.3239992296285</v>
      </c>
      <c r="Z265" s="86">
        <f t="shared" si="232"/>
        <v>11787.99115</v>
      </c>
      <c r="AA265" s="85">
        <f t="shared" si="233"/>
        <v>-913.46204712425447</v>
      </c>
      <c r="AB265" s="85">
        <f t="shared" si="234"/>
        <v>1224.8637338390613</v>
      </c>
      <c r="AC265" s="90">
        <f t="shared" si="235"/>
        <v>913.46204712425447</v>
      </c>
      <c r="AD265" s="86">
        <f t="shared" si="236"/>
        <v>-15067.202810000001</v>
      </c>
      <c r="AE265" s="85">
        <f t="shared" si="237"/>
        <v>4140.4375383844126</v>
      </c>
      <c r="AF265" s="85">
        <f t="shared" si="238"/>
        <v>-5962.9096125198548</v>
      </c>
      <c r="AG265" s="90">
        <f t="shared" si="239"/>
        <v>4140.4375383844126</v>
      </c>
      <c r="AH265" s="86">
        <f t="shared" si="240"/>
        <v>-12918.155710000001</v>
      </c>
      <c r="AI265" s="85">
        <f t="shared" si="241"/>
        <v>6238.0466047659793</v>
      </c>
      <c r="AJ265" s="85">
        <f t="shared" si="242"/>
        <v>-8777.887801945315</v>
      </c>
      <c r="AK265" s="90">
        <f t="shared" si="243"/>
        <v>6238.0466047659793</v>
      </c>
      <c r="AM265" s="95">
        <f t="shared" si="213"/>
        <v>0</v>
      </c>
      <c r="AN265" s="95">
        <f t="shared" si="214"/>
        <v>0</v>
      </c>
      <c r="AO265" s="95">
        <f t="shared" si="215"/>
        <v>0</v>
      </c>
      <c r="AP265" s="95">
        <f t="shared" si="216"/>
        <v>0</v>
      </c>
      <c r="AQ265"/>
      <c r="AR265" s="95">
        <f t="shared" si="244"/>
        <v>0</v>
      </c>
      <c r="AS265" s="95">
        <f t="shared" si="245"/>
        <v>0</v>
      </c>
      <c r="AT265" s="95">
        <f>Geraetedaten!$B$94*ABS(SIN(RADIANS($A265)))</f>
        <v>106.97738905068559</v>
      </c>
      <c r="AU265" s="95">
        <f>Geraetedaten!$B$94*ABS(COS(RADIANS($A265)))</f>
        <v>110.77832925215226</v>
      </c>
      <c r="AV265" s="95">
        <f>((h_Aw_Sw+Geraetedaten!$B$18)/1000)*(AR265*AT265+AS265*AU265)/100</f>
        <v>0</v>
      </c>
      <c r="AX265" s="18">
        <f t="shared" si="212"/>
        <v>0.71933980033865108</v>
      </c>
    </row>
    <row r="266" spans="1:50" ht="13.5" x14ac:dyDescent="0.25">
      <c r="A266" s="16">
        <v>225</v>
      </c>
      <c r="B266" s="16">
        <f t="shared" si="219"/>
        <v>225</v>
      </c>
      <c r="C266" s="19">
        <f t="shared" si="220"/>
        <v>66.110906080629391</v>
      </c>
      <c r="D266" s="17">
        <f t="shared" si="217"/>
        <v>14881.74688391937</v>
      </c>
      <c r="E266" s="17">
        <f t="shared" si="221"/>
        <v>11910.42546391937</v>
      </c>
      <c r="F266" s="17">
        <f t="shared" si="222"/>
        <v>-14867.84565608063</v>
      </c>
      <c r="G266" s="17">
        <f t="shared" si="223"/>
        <v>-13213.42448608063</v>
      </c>
      <c r="H266" s="17">
        <f t="shared" si="218"/>
        <v>11910.42546391937</v>
      </c>
      <c r="I266" s="17">
        <f t="shared" si="224"/>
        <v>1244.455044277533</v>
      </c>
      <c r="J266" s="20">
        <f>(Geraetedaten!$B$152+(Geraetedaten!$B$153*(Geraetedaten!$B$18+d_y_Sw)/1000))*10</f>
        <v>6051.0442000000003</v>
      </c>
      <c r="K266" s="20">
        <f>(Geraetedaten!$B$165+(Geraetedaten!$B$166*(Geraetedaten!$B$18+d_y_Sw)/1000))*10</f>
        <v>10816.164000000001</v>
      </c>
      <c r="L266" s="20">
        <f>(Geraetedaten!$B$158+(Geraetedaten!$B$159*(Geraetedaten!$B$18+d_y_Sw)/1000)-(Geraetedaten!$B$160*I266/1000))*10</f>
        <v>510.28071160312828</v>
      </c>
      <c r="M266" s="20">
        <f>(Geraetedaten!$B$171+(Geraetedaten!$B$172*(Geraetedaten!$B$18+d_y_Sw)/1000)-(Geraetedaten!$B$173*I266/1000))*10</f>
        <v>972.22976650398141</v>
      </c>
      <c r="N266" s="20">
        <f>IF((H266-J266)/(K266-J266)*(Geraetedaten!$B$174-Geraetedaten!$B$161)&lt;Geraetedaten!$B$174,(H266-J266)/(K266-J266)*(Geraetedaten!$B$174-Geraetedaten!$B$161),Geraetedaten!$B$174)</f>
        <v>400</v>
      </c>
      <c r="O266" s="20">
        <f>N266/Geraetedaten!$B$174*(M266-L266)+L266+C266</f>
        <v>1038.3406725846107</v>
      </c>
      <c r="P266" s="20">
        <f t="shared" si="246"/>
        <v>265.57189154972195</v>
      </c>
      <c r="Q266" s="20"/>
      <c r="R266" s="21">
        <f>(N266-Geraetedaten!$B$161)/(Geraetedaten!$B$174-Geraetedaten!$B$161)*(Geraetedaten!$B$175-Geraetedaten!$B$162)+Geraetedaten!$B$162</f>
        <v>41.1</v>
      </c>
      <c r="S266" s="21">
        <f t="shared" si="225"/>
        <v>41.1</v>
      </c>
      <c r="T266" s="21">
        <f t="shared" si="226"/>
        <v>-29.062088706767103</v>
      </c>
      <c r="U266" s="88">
        <f t="shared" si="227"/>
        <v>-29.06208870676711</v>
      </c>
      <c r="V266" s="86">
        <f t="shared" si="228"/>
        <v>14947.85779</v>
      </c>
      <c r="W266" s="85">
        <f t="shared" si="229"/>
        <v>-4225.3239992296285</v>
      </c>
      <c r="X266" s="85">
        <f t="shared" si="230"/>
        <v>5972.9276178749042</v>
      </c>
      <c r="Y266" s="90">
        <f t="shared" si="231"/>
        <v>4225.3239992296285</v>
      </c>
      <c r="Z266" s="86">
        <f t="shared" si="232"/>
        <v>11976.53637</v>
      </c>
      <c r="AA266" s="85">
        <f t="shared" si="233"/>
        <v>-913.46204712425447</v>
      </c>
      <c r="AB266" s="85">
        <f t="shared" si="234"/>
        <v>1244.455044277533</v>
      </c>
      <c r="AC266" s="90">
        <f t="shared" si="235"/>
        <v>913.46204712425447</v>
      </c>
      <c r="AD266" s="86">
        <f t="shared" si="236"/>
        <v>-14801.73475</v>
      </c>
      <c r="AE266" s="85">
        <f t="shared" si="237"/>
        <v>4140.4375383844126</v>
      </c>
      <c r="AF266" s="85">
        <f t="shared" si="238"/>
        <v>-5857.8494961169417</v>
      </c>
      <c r="AG266" s="90">
        <f t="shared" si="239"/>
        <v>4140.4375383844126</v>
      </c>
      <c r="AH266" s="86">
        <f t="shared" si="240"/>
        <v>-13147.31358</v>
      </c>
      <c r="AI266" s="85">
        <f t="shared" si="241"/>
        <v>6238.0466047659793</v>
      </c>
      <c r="AJ266" s="85">
        <f t="shared" si="242"/>
        <v>-8933.6005878293872</v>
      </c>
      <c r="AK266" s="90">
        <f t="shared" si="243"/>
        <v>6238.0466047659793</v>
      </c>
      <c r="AM266" s="95">
        <f t="shared" si="213"/>
        <v>0</v>
      </c>
      <c r="AN266" s="95">
        <f t="shared" si="214"/>
        <v>0</v>
      </c>
      <c r="AO266" s="95">
        <f t="shared" si="215"/>
        <v>0</v>
      </c>
      <c r="AP266" s="95">
        <f t="shared" si="216"/>
        <v>0</v>
      </c>
      <c r="AQ266"/>
      <c r="AR266" s="95">
        <f t="shared" si="244"/>
        <v>0</v>
      </c>
      <c r="AS266" s="95">
        <f t="shared" si="245"/>
        <v>0</v>
      </c>
      <c r="AT266" s="95">
        <f>Geraetedaten!$B$94*ABS(SIN(RADIANS($A266)))</f>
        <v>108.8944443027283</v>
      </c>
      <c r="AU266" s="95">
        <f>Geraetedaten!$B$94*ABS(COS(RADIANS($A266)))</f>
        <v>108.89444430272835</v>
      </c>
      <c r="AV266" s="95">
        <f>((h_Aw_Sw+Geraetedaten!$B$18)/1000)*(AR266*AT266+AS266*AU266)/100</f>
        <v>0</v>
      </c>
      <c r="AX266" s="18">
        <f t="shared" si="212"/>
        <v>0.70710678118654768</v>
      </c>
    </row>
    <row r="267" spans="1:50" ht="13.5" x14ac:dyDescent="0.25">
      <c r="A267" s="16">
        <v>226</v>
      </c>
      <c r="B267" s="16">
        <f t="shared" si="219"/>
        <v>224</v>
      </c>
      <c r="C267" s="19">
        <f t="shared" si="220"/>
        <v>66.515500640696956</v>
      </c>
      <c r="D267" s="17">
        <f t="shared" si="217"/>
        <v>14627.358509359303</v>
      </c>
      <c r="E267" s="17">
        <f t="shared" si="221"/>
        <v>12108.464459359304</v>
      </c>
      <c r="F267" s="17">
        <f t="shared" si="222"/>
        <v>-14616.330030640696</v>
      </c>
      <c r="G267" s="17">
        <f t="shared" si="223"/>
        <v>-13455.415970640697</v>
      </c>
      <c r="H267" s="17">
        <f t="shared" si="218"/>
        <v>12108.464459359304</v>
      </c>
      <c r="I267" s="17">
        <f t="shared" si="224"/>
        <v>1265.0748733147072</v>
      </c>
      <c r="J267" s="20">
        <f>(Geraetedaten!$B$152+(Geraetedaten!$B$153*(Geraetedaten!$B$18+d_y_Sw)/1000))*10</f>
        <v>6051.0442000000003</v>
      </c>
      <c r="K267" s="20">
        <f>(Geraetedaten!$B$165+(Geraetedaten!$B$166*(Geraetedaten!$B$18+d_y_Sw)/1000))*10</f>
        <v>10816.164000000001</v>
      </c>
      <c r="L267" s="20">
        <f>(Geraetedaten!$B$158+(Geraetedaten!$B$159*(Geraetedaten!$B$18+d_y_Sw)/1000)-(Geraetedaten!$B$160*I267/1000))*10</f>
        <v>508.76865953983224</v>
      </c>
      <c r="M267" s="20">
        <f>(Geraetedaten!$B$171+(Geraetedaten!$B$172*(Geraetedaten!$B$18+d_y_Sw)/1000)-(Geraetedaten!$B$173*I267/1000))*10</f>
        <v>970.69482643045421</v>
      </c>
      <c r="N267" s="20">
        <f>IF((H267-J267)/(K267-J267)*(Geraetedaten!$B$174-Geraetedaten!$B$161)&lt;Geraetedaten!$B$174,(H267-J267)/(K267-J267)*(Geraetedaten!$B$174-Geraetedaten!$B$161),Geraetedaten!$B$174)</f>
        <v>400</v>
      </c>
      <c r="O267" s="20">
        <f>N267/Geraetedaten!$B$174*(M267-L267)+L267+C267</f>
        <v>1037.2103270711511</v>
      </c>
      <c r="P267" s="20">
        <f t="shared" si="246"/>
        <v>265.42010681957873</v>
      </c>
      <c r="Q267" s="20"/>
      <c r="R267" s="21">
        <f>(N267-Geraetedaten!$B$161)/(Geraetedaten!$B$174-Geraetedaten!$B$161)*(Geraetedaten!$B$175-Geraetedaten!$B$162)+Geraetedaten!$B$162</f>
        <v>41.1</v>
      </c>
      <c r="S267" s="21">
        <f t="shared" si="225"/>
        <v>41.1</v>
      </c>
      <c r="T267" s="21">
        <f t="shared" si="226"/>
        <v>-29.564865793918564</v>
      </c>
      <c r="U267" s="88">
        <f t="shared" si="227"/>
        <v>-28.550459025864789</v>
      </c>
      <c r="V267" s="86">
        <f t="shared" si="228"/>
        <v>14693.87401</v>
      </c>
      <c r="W267" s="85">
        <f t="shared" si="229"/>
        <v>-4225.3239992296285</v>
      </c>
      <c r="X267" s="85">
        <f t="shared" si="230"/>
        <v>5871.4397184404543</v>
      </c>
      <c r="Y267" s="90">
        <f t="shared" si="231"/>
        <v>4225.3239992296285</v>
      </c>
      <c r="Z267" s="86">
        <f t="shared" si="232"/>
        <v>12174.979960000001</v>
      </c>
      <c r="AA267" s="85">
        <f t="shared" si="233"/>
        <v>-913.46204712425447</v>
      </c>
      <c r="AB267" s="85">
        <f t="shared" si="234"/>
        <v>1265.0748733147072</v>
      </c>
      <c r="AC267" s="90">
        <f t="shared" si="235"/>
        <v>913.46204712425447</v>
      </c>
      <c r="AD267" s="86">
        <f t="shared" si="236"/>
        <v>-14549.81453</v>
      </c>
      <c r="AE267" s="85">
        <f t="shared" si="237"/>
        <v>4140.4375383844126</v>
      </c>
      <c r="AF267" s="85">
        <f t="shared" si="238"/>
        <v>-5758.150997009373</v>
      </c>
      <c r="AG267" s="90">
        <f t="shared" si="239"/>
        <v>4140.4375383844126</v>
      </c>
      <c r="AH267" s="86">
        <f t="shared" si="240"/>
        <v>-13388.90047</v>
      </c>
      <c r="AI267" s="85">
        <f t="shared" si="241"/>
        <v>6238.0466047659793</v>
      </c>
      <c r="AJ267" s="85">
        <f t="shared" si="242"/>
        <v>-9097.7588994427115</v>
      </c>
      <c r="AK267" s="90">
        <f t="shared" si="243"/>
        <v>6238.0466047659793</v>
      </c>
      <c r="AM267" s="95">
        <f t="shared" si="213"/>
        <v>0</v>
      </c>
      <c r="AN267" s="95">
        <f t="shared" si="214"/>
        <v>0</v>
      </c>
      <c r="AO267" s="95">
        <f t="shared" si="215"/>
        <v>0</v>
      </c>
      <c r="AP267" s="95">
        <f t="shared" si="216"/>
        <v>0</v>
      </c>
      <c r="AQ267"/>
      <c r="AR267" s="95">
        <f t="shared" si="244"/>
        <v>0</v>
      </c>
      <c r="AS267" s="95">
        <f t="shared" si="245"/>
        <v>0</v>
      </c>
      <c r="AT267" s="95">
        <f>Geraetedaten!$B$94*ABS(SIN(RADIANS($A267)))</f>
        <v>110.77832925215229</v>
      </c>
      <c r="AU267" s="95">
        <f>Geraetedaten!$B$94*ABS(COS(RADIANS($A267)))</f>
        <v>106.97738905068557</v>
      </c>
      <c r="AV267" s="95">
        <f>((h_Aw_Sw+Geraetedaten!$B$18)/1000)*(AR267*AT267+AS267*AU267)/100</f>
        <v>0</v>
      </c>
      <c r="AX267" s="18">
        <f t="shared" si="212"/>
        <v>0.69465837045899725</v>
      </c>
    </row>
    <row r="268" spans="1:50" ht="13.5" x14ac:dyDescent="0.25">
      <c r="A268" s="16">
        <v>227</v>
      </c>
      <c r="B268" s="16">
        <f t="shared" si="219"/>
        <v>223</v>
      </c>
      <c r="C268" s="19">
        <f t="shared" si="220"/>
        <v>66.899833934919243</v>
      </c>
      <c r="D268" s="17">
        <f t="shared" si="217"/>
        <v>14385.806126065079</v>
      </c>
      <c r="E268" s="17">
        <f t="shared" si="221"/>
        <v>12317.04651606508</v>
      </c>
      <c r="F268" s="17">
        <f t="shared" si="222"/>
        <v>-14377.51202393492</v>
      </c>
      <c r="G268" s="17">
        <f t="shared" si="223"/>
        <v>-13710.665713934921</v>
      </c>
      <c r="H268" s="17">
        <f t="shared" si="218"/>
        <v>12317.04651606508</v>
      </c>
      <c r="I268" s="17">
        <f t="shared" si="224"/>
        <v>1286.7881023359753</v>
      </c>
      <c r="J268" s="20">
        <f>(Geraetedaten!$B$152+(Geraetedaten!$B$153*(Geraetedaten!$B$18+d_y_Sw)/1000))*10</f>
        <v>6051.0442000000003</v>
      </c>
      <c r="K268" s="20">
        <f>(Geraetedaten!$B$165+(Geraetedaten!$B$166*(Geraetedaten!$B$18+d_y_Sw)/1000))*10</f>
        <v>10816.164000000001</v>
      </c>
      <c r="L268" s="20">
        <f>(Geraetedaten!$B$158+(Geraetedaten!$B$159*(Geraetedaten!$B$18+d_y_Sw)/1000)-(Geraetedaten!$B$160*I268/1000))*10</f>
        <v>507.17642845570265</v>
      </c>
      <c r="M268" s="20">
        <f>(Geraetedaten!$B$171+(Geraetedaten!$B$172*(Geraetedaten!$B$18+d_y_Sw)/1000)-(Geraetedaten!$B$173*I268/1000))*10</f>
        <v>969.07849366211099</v>
      </c>
      <c r="N268" s="20">
        <f>IF((H268-J268)/(K268-J268)*(Geraetedaten!$B$174-Geraetedaten!$B$161)&lt;Geraetedaten!$B$174,(H268-J268)/(K268-J268)*(Geraetedaten!$B$174-Geraetedaten!$B$161),Geraetedaten!$B$174)</f>
        <v>400</v>
      </c>
      <c r="O268" s="20">
        <f>N268/Geraetedaten!$B$174*(M268-L268)+L268+C268</f>
        <v>1035.9783275970303</v>
      </c>
      <c r="P268" s="20">
        <f t="shared" si="246"/>
        <v>265.24942275746054</v>
      </c>
      <c r="Q268" s="20"/>
      <c r="R268" s="21">
        <f>(N268-Geraetedaten!$B$161)/(Geraetedaten!$B$174-Geraetedaten!$B$161)*(Geraetedaten!$B$175-Geraetedaten!$B$162)+Geraetedaten!$B$162</f>
        <v>41.1</v>
      </c>
      <c r="S268" s="21">
        <f t="shared" si="225"/>
        <v>41.1</v>
      </c>
      <c r="T268" s="21">
        <f t="shared" si="226"/>
        <v>-30.058637136547908</v>
      </c>
      <c r="U268" s="88">
        <f t="shared" si="227"/>
        <v>-28.030132598568692</v>
      </c>
      <c r="V268" s="86">
        <f t="shared" si="228"/>
        <v>14452.705959999999</v>
      </c>
      <c r="W268" s="85">
        <f t="shared" si="229"/>
        <v>-4225.3239992296285</v>
      </c>
      <c r="X268" s="85">
        <f t="shared" si="230"/>
        <v>5775.0727762161605</v>
      </c>
      <c r="Y268" s="90">
        <f t="shared" si="231"/>
        <v>4225.3239992296285</v>
      </c>
      <c r="Z268" s="86">
        <f t="shared" si="232"/>
        <v>12383.94635</v>
      </c>
      <c r="AA268" s="85">
        <f t="shared" si="233"/>
        <v>-913.46204712425447</v>
      </c>
      <c r="AB268" s="85">
        <f t="shared" si="234"/>
        <v>1286.7881023359753</v>
      </c>
      <c r="AC268" s="90">
        <f t="shared" si="235"/>
        <v>913.46204712425447</v>
      </c>
      <c r="AD268" s="86">
        <f t="shared" si="236"/>
        <v>-14310.61219</v>
      </c>
      <c r="AE268" s="85">
        <f t="shared" si="237"/>
        <v>4140.4375383844126</v>
      </c>
      <c r="AF268" s="85">
        <f t="shared" si="238"/>
        <v>-5663.4856534421297</v>
      </c>
      <c r="AG268" s="90">
        <f t="shared" si="239"/>
        <v>4140.4375383844126</v>
      </c>
      <c r="AH268" s="86">
        <f t="shared" si="240"/>
        <v>-13643.765880000001</v>
      </c>
      <c r="AI268" s="85">
        <f t="shared" si="241"/>
        <v>6238.0466047659793</v>
      </c>
      <c r="AJ268" s="85">
        <f t="shared" si="242"/>
        <v>-9270.9399687211862</v>
      </c>
      <c r="AK268" s="90">
        <f t="shared" si="243"/>
        <v>6238.0466047659793</v>
      </c>
      <c r="AM268" s="95">
        <f t="shared" si="213"/>
        <v>0</v>
      </c>
      <c r="AN268" s="95">
        <f t="shared" si="214"/>
        <v>0</v>
      </c>
      <c r="AO268" s="95">
        <f t="shared" si="215"/>
        <v>0</v>
      </c>
      <c r="AP268" s="95">
        <f t="shared" si="216"/>
        <v>0</v>
      </c>
      <c r="AQ268"/>
      <c r="AR268" s="95">
        <f t="shared" si="244"/>
        <v>0</v>
      </c>
      <c r="AS268" s="95">
        <f t="shared" si="245"/>
        <v>0</v>
      </c>
      <c r="AT268" s="95">
        <f>Geraetedaten!$B$94*ABS(SIN(RADIANS($A268)))</f>
        <v>112.62847004935225</v>
      </c>
      <c r="AU268" s="95">
        <f>Geraetedaten!$B$94*ABS(COS(RADIANS($A268)))</f>
        <v>105.02774744962478</v>
      </c>
      <c r="AV268" s="95">
        <f>((h_Aw_Sw+Geraetedaten!$B$18)/1000)*(AR268*AT268+AS268*AU268)/100</f>
        <v>0</v>
      </c>
      <c r="AX268" s="18">
        <f t="shared" si="212"/>
        <v>0.68199836006249859</v>
      </c>
    </row>
    <row r="269" spans="1:50" ht="13.5" x14ac:dyDescent="0.25">
      <c r="A269" s="16">
        <v>228</v>
      </c>
      <c r="B269" s="16">
        <f t="shared" si="219"/>
        <v>222</v>
      </c>
      <c r="C269" s="19">
        <f t="shared" si="220"/>
        <v>67.263788891651714</v>
      </c>
      <c r="D269" s="17">
        <f t="shared" si="217"/>
        <v>14156.325461108348</v>
      </c>
      <c r="E269" s="17">
        <f t="shared" si="221"/>
        <v>12536.853831108348</v>
      </c>
      <c r="F269" s="17">
        <f t="shared" si="222"/>
        <v>-14150.632048891652</v>
      </c>
      <c r="G269" s="17">
        <f t="shared" si="223"/>
        <v>-13980.106618891652</v>
      </c>
      <c r="H269" s="17">
        <f t="shared" si="218"/>
        <v>12536.853831108348</v>
      </c>
      <c r="I269" s="17">
        <f t="shared" si="224"/>
        <v>1309.6656053203965</v>
      </c>
      <c r="J269" s="20">
        <f>(Geraetedaten!$B$152+(Geraetedaten!$B$153*(Geraetedaten!$B$18+d_y_Sw)/1000))*10</f>
        <v>6051.0442000000003</v>
      </c>
      <c r="K269" s="20">
        <f>(Geraetedaten!$B$165+(Geraetedaten!$B$166*(Geraetedaten!$B$18+d_y_Sw)/1000))*10</f>
        <v>10816.164000000001</v>
      </c>
      <c r="L269" s="20">
        <f>(Geraetedaten!$B$158+(Geraetedaten!$B$159*(Geraetedaten!$B$18+d_y_Sw)/1000)-(Geraetedaten!$B$160*I269/1000))*10</f>
        <v>505.49882116185506</v>
      </c>
      <c r="M269" s="20">
        <f>(Geraetedaten!$B$171+(Geraetedaten!$B$172*(Geraetedaten!$B$18+d_y_Sw)/1000)-(Geraetedaten!$B$173*I269/1000))*10</f>
        <v>967.37549233995071</v>
      </c>
      <c r="N269" s="20">
        <f>IF((H269-J269)/(K269-J269)*(Geraetedaten!$B$174-Geraetedaten!$B$161)&lt;Geraetedaten!$B$174,(H269-J269)/(K269-J269)*(Geraetedaten!$B$174-Geraetedaten!$B$161),Geraetedaten!$B$174)</f>
        <v>400</v>
      </c>
      <c r="O269" s="20">
        <f>N269/Geraetedaten!$B$174*(M269-L269)+L269+C269</f>
        <v>1034.6392812316024</v>
      </c>
      <c r="P269" s="20">
        <f t="shared" si="246"/>
        <v>265.05888488690169</v>
      </c>
      <c r="Q269" s="20"/>
      <c r="R269" s="21">
        <f>(N269-Geraetedaten!$B$161)/(Geraetedaten!$B$174-Geraetedaten!$B$161)*(Geraetedaten!$B$175-Geraetedaten!$B$162)+Geraetedaten!$B$162</f>
        <v>41.1</v>
      </c>
      <c r="S269" s="21">
        <f t="shared" si="225"/>
        <v>41.1</v>
      </c>
      <c r="T269" s="21">
        <f t="shared" si="226"/>
        <v>-30.543252327120911</v>
      </c>
      <c r="U269" s="88">
        <f t="shared" si="227"/>
        <v>-27.501267921349069</v>
      </c>
      <c r="V269" s="86">
        <f t="shared" si="228"/>
        <v>14223.589250000001</v>
      </c>
      <c r="W269" s="85">
        <f t="shared" si="229"/>
        <v>-4225.3239992296285</v>
      </c>
      <c r="X269" s="85">
        <f t="shared" si="230"/>
        <v>5683.5213617077334</v>
      </c>
      <c r="Y269" s="90">
        <f t="shared" si="231"/>
        <v>4225.3239992296285</v>
      </c>
      <c r="Z269" s="86">
        <f t="shared" si="232"/>
        <v>12604.117620000001</v>
      </c>
      <c r="AA269" s="85">
        <f t="shared" si="233"/>
        <v>-913.46204712425447</v>
      </c>
      <c r="AB269" s="85">
        <f t="shared" si="234"/>
        <v>1309.6656053203965</v>
      </c>
      <c r="AC269" s="90">
        <f t="shared" si="235"/>
        <v>913.46204712425447</v>
      </c>
      <c r="AD269" s="86">
        <f t="shared" si="236"/>
        <v>-14083.368259999999</v>
      </c>
      <c r="AE269" s="85">
        <f t="shared" si="237"/>
        <v>4140.4375383844126</v>
      </c>
      <c r="AF269" s="85">
        <f t="shared" si="238"/>
        <v>-5573.5529037312717</v>
      </c>
      <c r="AG269" s="90">
        <f t="shared" si="239"/>
        <v>4140.4375383844126</v>
      </c>
      <c r="AH269" s="86">
        <f t="shared" si="240"/>
        <v>-13912.84283</v>
      </c>
      <c r="AI269" s="85">
        <f t="shared" si="241"/>
        <v>6238.0466047659793</v>
      </c>
      <c r="AJ269" s="85">
        <f t="shared" si="242"/>
        <v>-9453.7777741808604</v>
      </c>
      <c r="AK269" s="90">
        <f t="shared" si="243"/>
        <v>6238.0466047659793</v>
      </c>
      <c r="AM269" s="95">
        <f t="shared" si="213"/>
        <v>0</v>
      </c>
      <c r="AN269" s="95">
        <f t="shared" si="214"/>
        <v>0</v>
      </c>
      <c r="AO269" s="95">
        <f t="shared" si="215"/>
        <v>0</v>
      </c>
      <c r="AP269" s="95">
        <f t="shared" si="216"/>
        <v>0</v>
      </c>
      <c r="AQ269"/>
      <c r="AR269" s="95">
        <f t="shared" si="244"/>
        <v>0</v>
      </c>
      <c r="AS269" s="95">
        <f t="shared" si="245"/>
        <v>0</v>
      </c>
      <c r="AT269" s="95">
        <f>Geraetedaten!$B$94*ABS(SIN(RADIANS($A269)))</f>
        <v>114.44430312351874</v>
      </c>
      <c r="AU269" s="95">
        <f>Geraetedaten!$B$94*ABS(COS(RADIANS($A269)))</f>
        <v>103.04611337926416</v>
      </c>
      <c r="AV269" s="95">
        <f>((h_Aw_Sw+Geraetedaten!$B$18)/1000)*(AR269*AT269+AS269*AU269)/100</f>
        <v>0</v>
      </c>
      <c r="AX269" s="18">
        <f t="shared" si="212"/>
        <v>0.66913060635885813</v>
      </c>
    </row>
    <row r="270" spans="1:50" ht="13.5" x14ac:dyDescent="0.25">
      <c r="A270" s="16">
        <v>229</v>
      </c>
      <c r="B270" s="16">
        <f t="shared" si="219"/>
        <v>221</v>
      </c>
      <c r="C270" s="19">
        <f t="shared" si="220"/>
        <v>67.60725464668883</v>
      </c>
      <c r="D270" s="17">
        <f t="shared" si="217"/>
        <v>13938.215965353311</v>
      </c>
      <c r="E270" s="17">
        <f t="shared" si="221"/>
        <v>12768.63290535331</v>
      </c>
      <c r="F270" s="17">
        <f t="shared" si="222"/>
        <v>-13934.99389464669</v>
      </c>
      <c r="G270" s="17">
        <f t="shared" si="223"/>
        <v>-14264.765404646689</v>
      </c>
      <c r="H270" s="17">
        <f t="shared" si="218"/>
        <v>12768.63290535331</v>
      </c>
      <c r="I270" s="17">
        <f t="shared" si="224"/>
        <v>1333.7849378003434</v>
      </c>
      <c r="J270" s="20">
        <f>(Geraetedaten!$B$152+(Geraetedaten!$B$153*(Geraetedaten!$B$18+d_y_Sw)/1000))*10</f>
        <v>6051.0442000000003</v>
      </c>
      <c r="K270" s="20">
        <f>(Geraetedaten!$B$165+(Geraetedaten!$B$166*(Geraetedaten!$B$18+d_y_Sw)/1000))*10</f>
        <v>10816.164000000001</v>
      </c>
      <c r="L270" s="20">
        <f>(Geraetedaten!$B$158+(Geraetedaten!$B$159*(Geraetedaten!$B$18+d_y_Sw)/1000)-(Geraetedaten!$B$160*I270/1000))*10</f>
        <v>503.73015051110059</v>
      </c>
      <c r="M270" s="20">
        <f>(Geraetedaten!$B$171+(Geraetedaten!$B$172*(Geraetedaten!$B$18+d_y_Sw)/1000)-(Geraetedaten!$B$173*I270/1000))*10</f>
        <v>965.58004923014335</v>
      </c>
      <c r="N270" s="20">
        <f>IF((H270-J270)/(K270-J270)*(Geraetedaten!$B$174-Geraetedaten!$B$161)&lt;Geraetedaten!$B$174,(H270-J270)/(K270-J270)*(Geraetedaten!$B$174-Geraetedaten!$B$161),Geraetedaten!$B$174)</f>
        <v>400</v>
      </c>
      <c r="O270" s="20">
        <f>N270/Geraetedaten!$B$174*(M270-L270)+L270+C270</f>
        <v>1033.1873038768322</v>
      </c>
      <c r="P270" s="20">
        <f t="shared" si="246"/>
        <v>264.84745040617821</v>
      </c>
      <c r="Q270" s="20"/>
      <c r="R270" s="21">
        <f>(N270-Geraetedaten!$B$161)/(Geraetedaten!$B$174-Geraetedaten!$B$161)*(Geraetedaten!$B$175-Geraetedaten!$B$162)+Geraetedaten!$B$162</f>
        <v>41.1</v>
      </c>
      <c r="S270" s="21">
        <f t="shared" si="225"/>
        <v>41.1</v>
      </c>
      <c r="T270" s="21">
        <f t="shared" si="226"/>
        <v>-31.01856374715593</v>
      </c>
      <c r="U270" s="88">
        <f t="shared" si="227"/>
        <v>-26.964026091509851</v>
      </c>
      <c r="V270" s="86">
        <f t="shared" si="228"/>
        <v>14005.82322</v>
      </c>
      <c r="W270" s="85">
        <f t="shared" si="229"/>
        <v>-4225.3239992296285</v>
      </c>
      <c r="X270" s="85">
        <f t="shared" si="230"/>
        <v>5596.5054988609854</v>
      </c>
      <c r="Y270" s="90">
        <f t="shared" si="231"/>
        <v>4225.3239992296285</v>
      </c>
      <c r="Z270" s="86">
        <f t="shared" si="232"/>
        <v>12836.240159999999</v>
      </c>
      <c r="AA270" s="85">
        <f t="shared" si="233"/>
        <v>-913.46204712425447</v>
      </c>
      <c r="AB270" s="85">
        <f t="shared" si="234"/>
        <v>1333.7849378003434</v>
      </c>
      <c r="AC270" s="90">
        <f t="shared" si="235"/>
        <v>913.46204712425447</v>
      </c>
      <c r="AD270" s="86">
        <f t="shared" si="236"/>
        <v>-13867.386640000001</v>
      </c>
      <c r="AE270" s="85">
        <f t="shared" si="237"/>
        <v>4140.4375383844126</v>
      </c>
      <c r="AF270" s="85">
        <f t="shared" si="238"/>
        <v>-5488.0772554955083</v>
      </c>
      <c r="AG270" s="90">
        <f t="shared" si="239"/>
        <v>4140.4375383844126</v>
      </c>
      <c r="AH270" s="86">
        <f t="shared" si="240"/>
        <v>-14197.158149999999</v>
      </c>
      <c r="AI270" s="85">
        <f t="shared" si="241"/>
        <v>6238.0466047659793</v>
      </c>
      <c r="AJ270" s="85">
        <f t="shared" si="242"/>
        <v>-9646.9700566042084</v>
      </c>
      <c r="AK270" s="90">
        <f t="shared" si="243"/>
        <v>6238.0466047659793</v>
      </c>
      <c r="AM270" s="95">
        <f t="shared" si="213"/>
        <v>0</v>
      </c>
      <c r="AN270" s="95">
        <f t="shared" si="214"/>
        <v>0</v>
      </c>
      <c r="AO270" s="95">
        <f t="shared" si="215"/>
        <v>0</v>
      </c>
      <c r="AP270" s="95">
        <f t="shared" si="216"/>
        <v>0</v>
      </c>
      <c r="AQ270"/>
      <c r="AR270" s="95">
        <f t="shared" si="244"/>
        <v>0</v>
      </c>
      <c r="AS270" s="95">
        <f t="shared" si="245"/>
        <v>0</v>
      </c>
      <c r="AT270" s="95">
        <f>Geraetedaten!$B$94*ABS(SIN(RADIANS($A270)))</f>
        <v>116.22527535430689</v>
      </c>
      <c r="AU270" s="95">
        <f>Geraetedaten!$B$94*ABS(COS(RADIANS($A270)))</f>
        <v>101.03309046453812</v>
      </c>
      <c r="AV270" s="95">
        <f>((h_Aw_Sw+Geraetedaten!$B$18)/1000)*(AR270*AT270+AS270*AU270)/100</f>
        <v>0</v>
      </c>
      <c r="AX270" s="18">
        <f t="shared" si="212"/>
        <v>0.65605902899050728</v>
      </c>
    </row>
    <row r="271" spans="1:50" ht="13.5" x14ac:dyDescent="0.25">
      <c r="A271" s="16">
        <v>230</v>
      </c>
      <c r="B271" s="16">
        <f t="shared" si="219"/>
        <v>220</v>
      </c>
      <c r="C271" s="19">
        <f t="shared" si="220"/>
        <v>67.930126577034372</v>
      </c>
      <c r="D271" s="17">
        <f t="shared" si="217"/>
        <v>13730.834443422966</v>
      </c>
      <c r="E271" s="17">
        <f t="shared" si="221"/>
        <v>13013.202103422966</v>
      </c>
      <c r="F271" s="17">
        <f t="shared" si="222"/>
        <v>-13729.958366577033</v>
      </c>
      <c r="G271" s="17">
        <f t="shared" si="223"/>
        <v>-14565.774556577033</v>
      </c>
      <c r="H271" s="17">
        <f t="shared" si="218"/>
        <v>13013.202103422966</v>
      </c>
      <c r="I271" s="17">
        <f t="shared" si="224"/>
        <v>1359.2311239229384</v>
      </c>
      <c r="J271" s="20">
        <f>(Geraetedaten!$B$152+(Geraetedaten!$B$153*(Geraetedaten!$B$18+d_y_Sw)/1000))*10</f>
        <v>6051.0442000000003</v>
      </c>
      <c r="K271" s="20">
        <f>(Geraetedaten!$B$165+(Geraetedaten!$B$166*(Geraetedaten!$B$18+d_y_Sw)/1000))*10</f>
        <v>10816.164000000001</v>
      </c>
      <c r="L271" s="20">
        <f>(Geraetedaten!$B$158+(Geraetedaten!$B$159*(Geraetedaten!$B$18+d_y_Sw)/1000)-(Geraetedaten!$B$160*I271/1000))*10</f>
        <v>501.86418168273065</v>
      </c>
      <c r="M271" s="20">
        <f>(Geraetedaten!$B$171+(Geraetedaten!$B$172*(Geraetedaten!$B$18+d_y_Sw)/1000)-(Geraetedaten!$B$173*I271/1000))*10</f>
        <v>963.68583513517729</v>
      </c>
      <c r="N271" s="20">
        <f>IF((H271-J271)/(K271-J271)*(Geraetedaten!$B$174-Geraetedaten!$B$161)&lt;Geraetedaten!$B$174,(H271-J271)/(K271-J271)*(Geraetedaten!$B$174-Geraetedaten!$B$161),Geraetedaten!$B$174)</f>
        <v>400</v>
      </c>
      <c r="O271" s="20">
        <f>N271/Geraetedaten!$B$174*(M271-L271)+L271+C271</f>
        <v>1031.6159617122116</v>
      </c>
      <c r="P271" s="20">
        <f t="shared" si="246"/>
        <v>264.61397727987031</v>
      </c>
      <c r="Q271" s="20"/>
      <c r="R271" s="21">
        <f>(N271-Geraetedaten!$B$161)/(Geraetedaten!$B$174-Geraetedaten!$B$161)*(Geraetedaten!$B$175-Geraetedaten!$B$162)+Geraetedaten!$B$162</f>
        <v>41.1</v>
      </c>
      <c r="S271" s="21">
        <f t="shared" si="225"/>
        <v>41.1</v>
      </c>
      <c r="T271" s="21">
        <f t="shared" si="226"/>
        <v>-31.484426612189992</v>
      </c>
      <c r="U271" s="88">
        <f t="shared" si="227"/>
        <v>-26.418570758116772</v>
      </c>
      <c r="V271" s="86">
        <f t="shared" si="228"/>
        <v>13798.764569999999</v>
      </c>
      <c r="W271" s="85">
        <f t="shared" si="229"/>
        <v>-4225.3239992296285</v>
      </c>
      <c r="X271" s="85">
        <f t="shared" si="230"/>
        <v>5513.7681394076099</v>
      </c>
      <c r="Y271" s="90">
        <f t="shared" si="231"/>
        <v>4225.3239992296285</v>
      </c>
      <c r="Z271" s="86">
        <f t="shared" si="232"/>
        <v>13081.132229999999</v>
      </c>
      <c r="AA271" s="85">
        <f t="shared" si="233"/>
        <v>-913.46204712425447</v>
      </c>
      <c r="AB271" s="85">
        <f t="shared" si="234"/>
        <v>1359.2311239229384</v>
      </c>
      <c r="AC271" s="90">
        <f t="shared" si="235"/>
        <v>913.46204712425447</v>
      </c>
      <c r="AD271" s="86">
        <f t="shared" si="236"/>
        <v>-13662.02824</v>
      </c>
      <c r="AE271" s="85">
        <f t="shared" si="237"/>
        <v>4140.4375383844126</v>
      </c>
      <c r="AF271" s="85">
        <f t="shared" si="238"/>
        <v>-5406.8057955891782</v>
      </c>
      <c r="AG271" s="90">
        <f t="shared" si="239"/>
        <v>4140.4375383844126</v>
      </c>
      <c r="AH271" s="86">
        <f t="shared" si="240"/>
        <v>-14497.844429999999</v>
      </c>
      <c r="AI271" s="85">
        <f t="shared" si="241"/>
        <v>6238.0466047659793</v>
      </c>
      <c r="AJ271" s="85">
        <f t="shared" si="242"/>
        <v>-9851.2864074372046</v>
      </c>
      <c r="AK271" s="90">
        <f t="shared" si="243"/>
        <v>6238.0466047659793</v>
      </c>
      <c r="AM271" s="95">
        <f t="shared" si="213"/>
        <v>0</v>
      </c>
      <c r="AN271" s="95">
        <f t="shared" si="214"/>
        <v>0</v>
      </c>
      <c r="AO271" s="95">
        <f t="shared" si="215"/>
        <v>0</v>
      </c>
      <c r="AP271" s="95">
        <f t="shared" si="216"/>
        <v>0</v>
      </c>
      <c r="AQ271"/>
      <c r="AR271" s="95">
        <f t="shared" si="244"/>
        <v>0</v>
      </c>
      <c r="AS271" s="95">
        <f t="shared" si="245"/>
        <v>0</v>
      </c>
      <c r="AT271" s="95">
        <f>Geraetedaten!$B$94*ABS(SIN(RADIANS($A271)))</f>
        <v>117.97084424032259</v>
      </c>
      <c r="AU271" s="95">
        <f>Geraetedaten!$B$94*ABS(COS(RADIANS($A271)))</f>
        <v>98.989291891727078</v>
      </c>
      <c r="AV271" s="95">
        <f>((h_Aw_Sw+Geraetedaten!$B$18)/1000)*(AR271*AT271+AS271*AU271)/100</f>
        <v>0</v>
      </c>
      <c r="AX271" s="18">
        <f t="shared" si="212"/>
        <v>0.64278760968653947</v>
      </c>
    </row>
    <row r="272" spans="1:50" ht="13.5" x14ac:dyDescent="0.25">
      <c r="A272" s="16">
        <v>231</v>
      </c>
      <c r="B272" s="16">
        <f t="shared" si="219"/>
        <v>219</v>
      </c>
      <c r="C272" s="19">
        <f t="shared" si="220"/>
        <v>68.232306332770634</v>
      </c>
      <c r="D272" s="17">
        <f t="shared" si="217"/>
        <v>13533.589533667229</v>
      </c>
      <c r="E272" s="17">
        <f t="shared" si="221"/>
        <v>13271.460353667229</v>
      </c>
      <c r="F272" s="17">
        <f t="shared" si="222"/>
        <v>-13534.937816332771</v>
      </c>
      <c r="G272" s="17">
        <f t="shared" si="223"/>
        <v>-14884.386076332772</v>
      </c>
      <c r="H272" s="17">
        <f t="shared" si="218"/>
        <v>13271.460353667229</v>
      </c>
      <c r="I272" s="17">
        <f t="shared" si="224"/>
        <v>1386.0975582608814</v>
      </c>
      <c r="J272" s="20">
        <f>(Geraetedaten!$B$152+(Geraetedaten!$B$153*(Geraetedaten!$B$18+d_y_Sw)/1000))*10</f>
        <v>6051.0442000000003</v>
      </c>
      <c r="K272" s="20">
        <f>(Geraetedaten!$B$165+(Geraetedaten!$B$166*(Geraetedaten!$B$18+d_y_Sw)/1000))*10</f>
        <v>10816.164000000001</v>
      </c>
      <c r="L272" s="20">
        <f>(Geraetedaten!$B$158+(Geraetedaten!$B$159*(Geraetedaten!$B$18+d_y_Sw)/1000)-(Geraetedaten!$B$160*I272/1000))*10</f>
        <v>499.89406605272933</v>
      </c>
      <c r="M272" s="20">
        <f>(Geraetedaten!$B$171+(Geraetedaten!$B$172*(Geraetedaten!$B$18+d_y_Sw)/1000)-(Geraetedaten!$B$173*I272/1000))*10</f>
        <v>961.68589776306089</v>
      </c>
      <c r="N272" s="20">
        <f>IF((H272-J272)/(K272-J272)*(Geraetedaten!$B$174-Geraetedaten!$B$161)&lt;Geraetedaten!$B$174,(H272-J272)/(K272-J272)*(Geraetedaten!$B$174-Geraetedaten!$B$161),Geraetedaten!$B$174)</f>
        <v>400</v>
      </c>
      <c r="O272" s="20">
        <f>N272/Geraetedaten!$B$174*(M272-L272)+L272+C272</f>
        <v>1029.9182040958315</v>
      </c>
      <c r="P272" s="20">
        <f t="shared" si="246"/>
        <v>264.35721168777172</v>
      </c>
      <c r="Q272" s="20"/>
      <c r="R272" s="21">
        <f>(N272-Geraetedaten!$B$161)/(Geraetedaten!$B$174-Geraetedaten!$B$161)*(Geraetedaten!$B$175-Geraetedaten!$B$162)+Geraetedaten!$B$162</f>
        <v>41.1</v>
      </c>
      <c r="S272" s="21">
        <f t="shared" si="225"/>
        <v>41.1</v>
      </c>
      <c r="T272" s="21">
        <f t="shared" si="226"/>
        <v>-31.940699015881492</v>
      </c>
      <c r="U272" s="88">
        <f t="shared" si="227"/>
        <v>-25.865068072148336</v>
      </c>
      <c r="V272" s="86">
        <f t="shared" si="228"/>
        <v>13601.821840000001</v>
      </c>
      <c r="W272" s="85">
        <f t="shared" si="229"/>
        <v>-4225.3239992296285</v>
      </c>
      <c r="X272" s="85">
        <f t="shared" si="230"/>
        <v>5435.0729350994679</v>
      </c>
      <c r="Y272" s="90">
        <f t="shared" si="231"/>
        <v>4225.3239992296285</v>
      </c>
      <c r="Z272" s="86">
        <f t="shared" si="232"/>
        <v>13339.692660000001</v>
      </c>
      <c r="AA272" s="85">
        <f t="shared" si="233"/>
        <v>-913.46204712425447</v>
      </c>
      <c r="AB272" s="85">
        <f t="shared" si="234"/>
        <v>1386.0975582608814</v>
      </c>
      <c r="AC272" s="90">
        <f t="shared" si="235"/>
        <v>913.46204712425447</v>
      </c>
      <c r="AD272" s="86">
        <f t="shared" si="236"/>
        <v>-13466.70551</v>
      </c>
      <c r="AE272" s="85">
        <f t="shared" si="237"/>
        <v>4140.4375383844126</v>
      </c>
      <c r="AF272" s="85">
        <f t="shared" si="238"/>
        <v>-5329.5059939961193</v>
      </c>
      <c r="AG272" s="90">
        <f t="shared" si="239"/>
        <v>4140.4375383844126</v>
      </c>
      <c r="AH272" s="86">
        <f t="shared" si="240"/>
        <v>-14816.153770000001</v>
      </c>
      <c r="AI272" s="85">
        <f t="shared" si="241"/>
        <v>6238.0466047659793</v>
      </c>
      <c r="AJ272" s="85">
        <f t="shared" si="242"/>
        <v>-10067.577625952385</v>
      </c>
      <c r="AK272" s="90">
        <f t="shared" si="243"/>
        <v>6238.0466047659793</v>
      </c>
      <c r="AM272" s="95">
        <f t="shared" si="213"/>
        <v>0</v>
      </c>
      <c r="AN272" s="95">
        <f t="shared" si="214"/>
        <v>0</v>
      </c>
      <c r="AO272" s="95">
        <f t="shared" si="215"/>
        <v>0</v>
      </c>
      <c r="AP272" s="95">
        <f t="shared" si="216"/>
        <v>0</v>
      </c>
      <c r="AQ272"/>
      <c r="AR272" s="95">
        <f t="shared" si="244"/>
        <v>0</v>
      </c>
      <c r="AS272" s="95">
        <f t="shared" si="245"/>
        <v>0</v>
      </c>
      <c r="AT272" s="95">
        <f>Geraetedaten!$B$94*ABS(SIN(RADIANS($A272)))</f>
        <v>119.68047806437347</v>
      </c>
      <c r="AU272" s="95">
        <f>Geraetedaten!$B$94*ABS(COS(RADIANS($A272)))</f>
        <v>96.915340221675024</v>
      </c>
      <c r="AV272" s="95">
        <f>((h_Aw_Sw+Geraetedaten!$B$18)/1000)*(AR272*AT272+AS272*AU272)/100</f>
        <v>0</v>
      </c>
      <c r="AX272" s="18">
        <f t="shared" si="212"/>
        <v>0.62932039104983784</v>
      </c>
    </row>
    <row r="273" spans="1:50" ht="13.5" x14ac:dyDescent="0.25">
      <c r="A273" s="16">
        <v>232</v>
      </c>
      <c r="B273" s="16">
        <f t="shared" si="219"/>
        <v>218</v>
      </c>
      <c r="C273" s="19">
        <f t="shared" si="220"/>
        <v>68.513701867016778</v>
      </c>
      <c r="D273" s="17">
        <f t="shared" si="217"/>
        <v>13345.936688132982</v>
      </c>
      <c r="E273" s="17">
        <f t="shared" si="221"/>
        <v>13544.397088132982</v>
      </c>
      <c r="F273" s="17">
        <f t="shared" si="222"/>
        <v>-13349.391181867017</v>
      </c>
      <c r="G273" s="17">
        <f t="shared" si="223"/>
        <v>-15221.987461867018</v>
      </c>
      <c r="H273" s="17">
        <f t="shared" si="218"/>
        <v>13345.936688132982</v>
      </c>
      <c r="I273" s="17">
        <f t="shared" si="224"/>
        <v>5360.2022677968298</v>
      </c>
      <c r="J273" s="20">
        <f>(Geraetedaten!$B$152+(Geraetedaten!$B$153*(Geraetedaten!$B$18+d_y_Sw)/1000))*10</f>
        <v>6051.0442000000003</v>
      </c>
      <c r="K273" s="20">
        <f>(Geraetedaten!$B$165+(Geraetedaten!$B$166*(Geraetedaten!$B$18+d_y_Sw)/1000))*10</f>
        <v>10816.164000000001</v>
      </c>
      <c r="L273" s="20">
        <f>(Geraetedaten!$B$158+(Geraetedaten!$B$159*(Geraetedaten!$B$18+d_y_Sw)/1000)-(Geraetedaten!$B$160*I273/1000))*10</f>
        <v>208.47296770245833</v>
      </c>
      <c r="M273" s="20">
        <f>(Geraetedaten!$B$171+(Geraetedaten!$B$172*(Geraetedaten!$B$18+d_y_Sw)/1000)-(Geraetedaten!$B$173*I273/1000))*10</f>
        <v>665.85354318520467</v>
      </c>
      <c r="N273" s="20">
        <f>IF((H273-J273)/(K273-J273)*(Geraetedaten!$B$174-Geraetedaten!$B$161)&lt;Geraetedaten!$B$174,(H273-J273)/(K273-J273)*(Geraetedaten!$B$174-Geraetedaten!$B$161),Geraetedaten!$B$174)</f>
        <v>400</v>
      </c>
      <c r="O273" s="20">
        <f>N273/Geraetedaten!$B$174*(M273-L273)+L273+C273</f>
        <v>734.36724505222151</v>
      </c>
      <c r="P273" s="20">
        <f t="shared" si="246"/>
        <v>209.45570802465829</v>
      </c>
      <c r="Q273" s="20"/>
      <c r="R273" s="21">
        <f>(N273-Geraetedaten!$B$161)/(Geraetedaten!$B$174-Geraetedaten!$B$161)*(Geraetedaten!$B$175-Geraetedaten!$B$162)+Geraetedaten!$B$162</f>
        <v>41.1</v>
      </c>
      <c r="S273" s="21">
        <f t="shared" si="225"/>
        <v>41.1</v>
      </c>
      <c r="T273" s="21">
        <f t="shared" si="226"/>
        <v>-32.387241973236279</v>
      </c>
      <c r="U273" s="88">
        <f t="shared" si="227"/>
        <v>-25.303686635884546</v>
      </c>
      <c r="V273" s="86">
        <f t="shared" si="228"/>
        <v>13414.45039</v>
      </c>
      <c r="W273" s="85">
        <f t="shared" si="229"/>
        <v>-4225.3239992296285</v>
      </c>
      <c r="X273" s="85">
        <f t="shared" si="230"/>
        <v>5360.2022677968298</v>
      </c>
      <c r="Y273" s="90">
        <f t="shared" si="231"/>
        <v>4225.3239992296285</v>
      </c>
      <c r="Z273" s="86">
        <f t="shared" si="232"/>
        <v>13612.91079</v>
      </c>
      <c r="AA273" s="85">
        <f t="shared" si="233"/>
        <v>-913.46204712425447</v>
      </c>
      <c r="AB273" s="85">
        <f t="shared" si="234"/>
        <v>1414.4870423317952</v>
      </c>
      <c r="AC273" s="90">
        <f t="shared" si="235"/>
        <v>913.46204712425447</v>
      </c>
      <c r="AD273" s="86">
        <f t="shared" si="236"/>
        <v>-13280.877479999999</v>
      </c>
      <c r="AE273" s="85">
        <f t="shared" si="237"/>
        <v>4140.4375383844126</v>
      </c>
      <c r="AF273" s="85">
        <f t="shared" si="238"/>
        <v>-5255.9637621405991</v>
      </c>
      <c r="AG273" s="90">
        <f t="shared" si="239"/>
        <v>4140.4375383844126</v>
      </c>
      <c r="AH273" s="86">
        <f t="shared" si="240"/>
        <v>-15153.473760000001</v>
      </c>
      <c r="AI273" s="85">
        <f t="shared" si="241"/>
        <v>6238.0466047659793</v>
      </c>
      <c r="AJ273" s="85">
        <f t="shared" si="242"/>
        <v>-10296.78658329929</v>
      </c>
      <c r="AK273" s="90">
        <f t="shared" si="243"/>
        <v>6238.0466047659793</v>
      </c>
      <c r="AM273" s="95">
        <f t="shared" si="213"/>
        <v>0</v>
      </c>
      <c r="AN273" s="95">
        <f t="shared" si="214"/>
        <v>0</v>
      </c>
      <c r="AO273" s="95">
        <f t="shared" si="215"/>
        <v>0</v>
      </c>
      <c r="AP273" s="95">
        <f t="shared" si="216"/>
        <v>0</v>
      </c>
      <c r="AQ273"/>
      <c r="AR273" s="95">
        <f t="shared" si="244"/>
        <v>0</v>
      </c>
      <c r="AS273" s="95">
        <f t="shared" si="245"/>
        <v>0</v>
      </c>
      <c r="AT273" s="95">
        <f>Geraetedaten!$B$94*ABS(SIN(RADIANS($A273)))</f>
        <v>121.35365605543521</v>
      </c>
      <c r="AU273" s="95">
        <f>Geraetedaten!$B$94*ABS(COS(RADIANS($A273)))</f>
        <v>94.81186720015134</v>
      </c>
      <c r="AV273" s="95">
        <f>((h_Aw_Sw+Geraetedaten!$B$18)/1000)*(AR273*AT273+AS273*AU273)/100</f>
        <v>0</v>
      </c>
      <c r="AX273" s="18">
        <f t="shared" si="212"/>
        <v>0.61566147532565807</v>
      </c>
    </row>
    <row r="274" spans="1:50" ht="13.5" x14ac:dyDescent="0.25">
      <c r="A274" s="16">
        <v>233</v>
      </c>
      <c r="B274" s="16">
        <f t="shared" si="219"/>
        <v>217</v>
      </c>
      <c r="C274" s="19">
        <f t="shared" si="220"/>
        <v>68.774227463967051</v>
      </c>
      <c r="D274" s="17">
        <f t="shared" si="217"/>
        <v>13167.373902536032</v>
      </c>
      <c r="E274" s="17">
        <f t="shared" si="221"/>
        <v>13833.103802536032</v>
      </c>
      <c r="F274" s="17">
        <f t="shared" si="222"/>
        <v>-13172.819677463967</v>
      </c>
      <c r="G274" s="17">
        <f t="shared" si="223"/>
        <v>-15580.120347463968</v>
      </c>
      <c r="H274" s="17">
        <f t="shared" si="218"/>
        <v>13167.373902536032</v>
      </c>
      <c r="I274" s="17">
        <f t="shared" si="224"/>
        <v>5288.9555034190516</v>
      </c>
      <c r="J274" s="20">
        <f>(Geraetedaten!$B$152+(Geraetedaten!$B$153*(Geraetedaten!$B$18+d_y_Sw)/1000))*10</f>
        <v>6051.0442000000003</v>
      </c>
      <c r="K274" s="20">
        <f>(Geraetedaten!$B$165+(Geraetedaten!$B$166*(Geraetedaten!$B$18+d_y_Sw)/1000))*10</f>
        <v>10816.164000000001</v>
      </c>
      <c r="L274" s="20">
        <f>(Geraetedaten!$B$158+(Geraetedaten!$B$159*(Geraetedaten!$B$18+d_y_Sw)/1000)-(Geraetedaten!$B$160*I274/1000))*10</f>
        <v>213.69749293428072</v>
      </c>
      <c r="M274" s="20">
        <f>(Geraetedaten!$B$171+(Geraetedaten!$B$172*(Geraetedaten!$B$18+d_y_Sw)/1000)-(Geraetedaten!$B$173*I274/1000))*10</f>
        <v>671.15715232548666</v>
      </c>
      <c r="N274" s="20">
        <f>IF((H274-J274)/(K274-J274)*(Geraetedaten!$B$174-Geraetedaten!$B$161)&lt;Geraetedaten!$B$174,(H274-J274)/(K274-J274)*(Geraetedaten!$B$174-Geraetedaten!$B$161),Geraetedaten!$B$174)</f>
        <v>400</v>
      </c>
      <c r="O274" s="20">
        <f>N274/Geraetedaten!$B$174*(M274-L274)+L274+C274</f>
        <v>739.93137978945367</v>
      </c>
      <c r="P274" s="20">
        <f t="shared" si="246"/>
        <v>210.6228330735033</v>
      </c>
      <c r="Q274" s="20"/>
      <c r="R274" s="21">
        <f>(N274-Geraetedaten!$B$161)/(Geraetedaten!$B$174-Geraetedaten!$B$161)*(Geraetedaten!$B$175-Geraetedaten!$B$162)+Geraetedaten!$B$162</f>
        <v>41.1</v>
      </c>
      <c r="S274" s="21">
        <f t="shared" si="225"/>
        <v>41.1</v>
      </c>
      <c r="T274" s="21">
        <f t="shared" si="226"/>
        <v>-32.823919462943735</v>
      </c>
      <c r="U274" s="88">
        <f t="shared" si="227"/>
        <v>-24.734597451549185</v>
      </c>
      <c r="V274" s="86">
        <f t="shared" si="228"/>
        <v>13236.14813</v>
      </c>
      <c r="W274" s="85">
        <f t="shared" si="229"/>
        <v>-4225.3239992296285</v>
      </c>
      <c r="X274" s="85">
        <f t="shared" si="230"/>
        <v>5288.9555034190516</v>
      </c>
      <c r="Y274" s="90">
        <f t="shared" si="231"/>
        <v>4225.3239992296285</v>
      </c>
      <c r="Z274" s="86">
        <f t="shared" si="232"/>
        <v>13901.87803</v>
      </c>
      <c r="AA274" s="85">
        <f t="shared" si="233"/>
        <v>-913.46204712425447</v>
      </c>
      <c r="AB274" s="85">
        <f t="shared" si="234"/>
        <v>1444.5129798564658</v>
      </c>
      <c r="AC274" s="90">
        <f t="shared" si="235"/>
        <v>913.46204712425447</v>
      </c>
      <c r="AD274" s="86">
        <f t="shared" si="236"/>
        <v>-13104.04545</v>
      </c>
      <c r="AE274" s="85">
        <f t="shared" si="237"/>
        <v>4140.4375383844126</v>
      </c>
      <c r="AF274" s="85">
        <f t="shared" si="238"/>
        <v>-5185.9817320459842</v>
      </c>
      <c r="AG274" s="90">
        <f t="shared" si="239"/>
        <v>4140.4375383844126</v>
      </c>
      <c r="AH274" s="86">
        <f t="shared" si="240"/>
        <v>-15511.34612</v>
      </c>
      <c r="AI274" s="85">
        <f t="shared" si="241"/>
        <v>6238.0466047659793</v>
      </c>
      <c r="AJ274" s="85">
        <f t="shared" si="242"/>
        <v>-10539.960884063137</v>
      </c>
      <c r="AK274" s="90">
        <f t="shared" si="243"/>
        <v>6238.0466047659793</v>
      </c>
      <c r="AM274" s="95">
        <f t="shared" si="213"/>
        <v>0</v>
      </c>
      <c r="AN274" s="95">
        <f t="shared" si="214"/>
        <v>0</v>
      </c>
      <c r="AO274" s="95">
        <f t="shared" si="215"/>
        <v>0</v>
      </c>
      <c r="AP274" s="95">
        <f t="shared" si="216"/>
        <v>0</v>
      </c>
      <c r="AQ274"/>
      <c r="AR274" s="95">
        <f t="shared" si="244"/>
        <v>0</v>
      </c>
      <c r="AS274" s="95">
        <f t="shared" si="245"/>
        <v>0</v>
      </c>
      <c r="AT274" s="95">
        <f>Geraetedaten!$B$94*ABS(SIN(RADIANS($A274)))</f>
        <v>122.98986854728309</v>
      </c>
      <c r="AU274" s="95">
        <f>Geraetedaten!$B$94*ABS(COS(RADIANS($A274)))</f>
        <v>92.679513565415434</v>
      </c>
      <c r="AV274" s="95">
        <f>((h_Aw_Sw+Geraetedaten!$B$18)/1000)*(AR274*AT274+AS274*AU274)/100</f>
        <v>0</v>
      </c>
      <c r="AX274" s="18">
        <f t="shared" si="212"/>
        <v>0.60181502315204827</v>
      </c>
    </row>
    <row r="275" spans="1:50" ht="13.5" x14ac:dyDescent="0.25">
      <c r="A275" s="16">
        <v>234</v>
      </c>
      <c r="B275" s="16">
        <f t="shared" si="219"/>
        <v>216</v>
      </c>
      <c r="C275" s="19">
        <f t="shared" si="220"/>
        <v>69.013803765000915</v>
      </c>
      <c r="D275" s="17">
        <f t="shared" si="217"/>
        <v>12997.437766234998</v>
      </c>
      <c r="E275" s="17">
        <f t="shared" si="221"/>
        <v>14138.787286235</v>
      </c>
      <c r="F275" s="17">
        <f t="shared" si="222"/>
        <v>-13004.762883765001</v>
      </c>
      <c r="G275" s="17">
        <f t="shared" si="223"/>
        <v>-15960.502333765002</v>
      </c>
      <c r="H275" s="17">
        <f t="shared" si="218"/>
        <v>12997.437766234998</v>
      </c>
      <c r="I275" s="17">
        <f t="shared" si="224"/>
        <v>5221.1474408027007</v>
      </c>
      <c r="J275" s="20">
        <f>(Geraetedaten!$B$152+(Geraetedaten!$B$153*(Geraetedaten!$B$18+d_y_Sw)/1000))*10</f>
        <v>6051.0442000000003</v>
      </c>
      <c r="K275" s="20">
        <f>(Geraetedaten!$B$165+(Geraetedaten!$B$166*(Geraetedaten!$B$18+d_y_Sw)/1000))*10</f>
        <v>10816.164000000001</v>
      </c>
      <c r="L275" s="20">
        <f>(Geraetedaten!$B$158+(Geraetedaten!$B$159*(Geraetedaten!$B$18+d_y_Sw)/1000)-(Geraetedaten!$B$160*I275/1000))*10</f>
        <v>218.66985816593774</v>
      </c>
      <c r="M275" s="20">
        <f>(Geraetedaten!$B$171+(Geraetedaten!$B$172*(Geraetedaten!$B$18+d_y_Sw)/1000)-(Geraetedaten!$B$173*I275/1000))*10</f>
        <v>676.20478450664791</v>
      </c>
      <c r="N275" s="20">
        <f>IF((H275-J275)/(K275-J275)*(Geraetedaten!$B$174-Geraetedaten!$B$161)&lt;Geraetedaten!$B$174,(H275-J275)/(K275-J275)*(Geraetedaten!$B$174-Geraetedaten!$B$161),Geraetedaten!$B$174)</f>
        <v>400</v>
      </c>
      <c r="O275" s="20">
        <f>N275/Geraetedaten!$B$174*(M275-L275)+L275+C275</f>
        <v>745.21858827164885</v>
      </c>
      <c r="P275" s="20">
        <f t="shared" si="246"/>
        <v>211.72694264921435</v>
      </c>
      <c r="Q275" s="20"/>
      <c r="R275" s="21">
        <f>(N275-Geraetedaten!$B$161)/(Geraetedaten!$B$174-Geraetedaten!$B$161)*(Geraetedaten!$B$175-Geraetedaten!$B$162)+Geraetedaten!$B$162</f>
        <v>41.1</v>
      </c>
      <c r="S275" s="21">
        <f t="shared" si="225"/>
        <v>41.1</v>
      </c>
      <c r="T275" s="21">
        <f t="shared" si="226"/>
        <v>-33.250598468810338</v>
      </c>
      <c r="U275" s="88">
        <f t="shared" si="227"/>
        <v>-24.157973869220651</v>
      </c>
      <c r="V275" s="86">
        <f t="shared" si="228"/>
        <v>13066.451569999999</v>
      </c>
      <c r="W275" s="85">
        <f t="shared" si="229"/>
        <v>-4225.3239992296285</v>
      </c>
      <c r="X275" s="85">
        <f t="shared" si="230"/>
        <v>5221.1474408027007</v>
      </c>
      <c r="Y275" s="90">
        <f t="shared" si="231"/>
        <v>4225.3239992296285</v>
      </c>
      <c r="Z275" s="86">
        <f t="shared" si="232"/>
        <v>14207.801090000001</v>
      </c>
      <c r="AA275" s="85">
        <f t="shared" si="233"/>
        <v>-913.46204712425447</v>
      </c>
      <c r="AB275" s="85">
        <f t="shared" si="234"/>
        <v>1476.3007598162126</v>
      </c>
      <c r="AC275" s="90">
        <f t="shared" si="235"/>
        <v>913.46204712425447</v>
      </c>
      <c r="AD275" s="86">
        <f t="shared" si="236"/>
        <v>-12935.74908</v>
      </c>
      <c r="AE275" s="85">
        <f t="shared" si="237"/>
        <v>4140.4375383844126</v>
      </c>
      <c r="AF275" s="85">
        <f t="shared" si="238"/>
        <v>-5119.377727750124</v>
      </c>
      <c r="AG275" s="90">
        <f t="shared" si="239"/>
        <v>4140.4375383844126</v>
      </c>
      <c r="AH275" s="86">
        <f t="shared" si="240"/>
        <v>-15891.488530000001</v>
      </c>
      <c r="AI275" s="85">
        <f t="shared" si="241"/>
        <v>6238.0466047659793</v>
      </c>
      <c r="AJ275" s="85">
        <f t="shared" si="242"/>
        <v>-10798.267681840805</v>
      </c>
      <c r="AK275" s="90">
        <f t="shared" si="243"/>
        <v>6238.0466047659793</v>
      </c>
      <c r="AM275" s="95">
        <f t="shared" si="213"/>
        <v>0</v>
      </c>
      <c r="AN275" s="95">
        <f t="shared" si="214"/>
        <v>0</v>
      </c>
      <c r="AO275" s="95">
        <f t="shared" si="215"/>
        <v>0</v>
      </c>
      <c r="AP275" s="95">
        <f t="shared" si="216"/>
        <v>0</v>
      </c>
      <c r="AQ275"/>
      <c r="AR275" s="95">
        <f t="shared" si="244"/>
        <v>0</v>
      </c>
      <c r="AS275" s="95">
        <f t="shared" si="245"/>
        <v>0</v>
      </c>
      <c r="AT275" s="95">
        <f>Geraetedaten!$B$94*ABS(SIN(RADIANS($A275)))</f>
        <v>124.58861713374189</v>
      </c>
      <c r="AU275" s="95">
        <f>Geraetedaten!$B$94*ABS(COS(RADIANS($A275)))</f>
        <v>90.518928853040876</v>
      </c>
      <c r="AV275" s="95">
        <f>((h_Aw_Sw+Geraetedaten!$B$18)/1000)*(AR275*AT275+AS275*AU275)/100</f>
        <v>0</v>
      </c>
      <c r="AX275" s="18">
        <f t="shared" si="212"/>
        <v>0.58778525229247325</v>
      </c>
    </row>
    <row r="276" spans="1:50" ht="13.5" x14ac:dyDescent="0.25">
      <c r="A276" s="16">
        <v>235</v>
      </c>
      <c r="B276" s="16">
        <f t="shared" si="219"/>
        <v>215</v>
      </c>
      <c r="C276" s="19">
        <f t="shared" si="220"/>
        <v>69.232357792856234</v>
      </c>
      <c r="D276" s="17">
        <f t="shared" si="217"/>
        <v>12835.700032207144</v>
      </c>
      <c r="E276" s="17">
        <f t="shared" si="221"/>
        <v>14462.785172207143</v>
      </c>
      <c r="F276" s="17">
        <f t="shared" si="222"/>
        <v>-12844.795347792857</v>
      </c>
      <c r="G276" s="17">
        <f t="shared" si="223"/>
        <v>-16365.052567792856</v>
      </c>
      <c r="H276" s="17">
        <f t="shared" si="218"/>
        <v>12835.700032207144</v>
      </c>
      <c r="I276" s="17">
        <f t="shared" si="224"/>
        <v>5156.6069307252392</v>
      </c>
      <c r="J276" s="20">
        <f>(Geraetedaten!$B$152+(Geraetedaten!$B$153*(Geraetedaten!$B$18+d_y_Sw)/1000))*10</f>
        <v>6051.0442000000003</v>
      </c>
      <c r="K276" s="20">
        <f>(Geraetedaten!$B$165+(Geraetedaten!$B$166*(Geraetedaten!$B$18+d_y_Sw)/1000))*10</f>
        <v>10816.164000000001</v>
      </c>
      <c r="L276" s="20">
        <f>(Geraetedaten!$B$158+(Geraetedaten!$B$159*(Geraetedaten!$B$18+d_y_Sw)/1000)-(Geraetedaten!$B$160*I276/1000))*10</f>
        <v>223.40261376991805</v>
      </c>
      <c r="M276" s="20">
        <f>(Geraetedaten!$B$171+(Geraetedaten!$B$172*(Geraetedaten!$B$18+d_y_Sw)/1000)-(Geraetedaten!$B$173*I276/1000))*10</f>
        <v>681.009180076814</v>
      </c>
      <c r="N276" s="20">
        <f>IF((H276-J276)/(K276-J276)*(Geraetedaten!$B$174-Geraetedaten!$B$161)&lt;Geraetedaten!$B$174,(H276-J276)/(K276-J276)*(Geraetedaten!$B$174-Geraetedaten!$B$161),Geraetedaten!$B$174)</f>
        <v>400</v>
      </c>
      <c r="O276" s="20">
        <f>N276/Geraetedaten!$B$174*(M276-L276)+L276+C276</f>
        <v>750.2415378696702</v>
      </c>
      <c r="P276" s="20">
        <f t="shared" si="246"/>
        <v>212.77128967289877</v>
      </c>
      <c r="Q276" s="20"/>
      <c r="R276" s="21">
        <f>(N276-Geraetedaten!$B$161)/(Geraetedaten!$B$174-Geraetedaten!$B$161)*(Geraetedaten!$B$175-Geraetedaten!$B$162)+Geraetedaten!$B$162</f>
        <v>41.1</v>
      </c>
      <c r="S276" s="21">
        <f t="shared" si="225"/>
        <v>41.1</v>
      </c>
      <c r="T276" s="21">
        <f t="shared" si="226"/>
        <v>-33.667149020277556</v>
      </c>
      <c r="U276" s="88">
        <f t="shared" si="227"/>
        <v>-23.573991534028007</v>
      </c>
      <c r="V276" s="86">
        <f t="shared" si="228"/>
        <v>12904.93239</v>
      </c>
      <c r="W276" s="85">
        <f t="shared" si="229"/>
        <v>-4225.3239992296285</v>
      </c>
      <c r="X276" s="85">
        <f t="shared" si="230"/>
        <v>5156.6069307252392</v>
      </c>
      <c r="Y276" s="90">
        <f t="shared" si="231"/>
        <v>4225.3239992296285</v>
      </c>
      <c r="Z276" s="86">
        <f t="shared" si="232"/>
        <v>14532.017529999999</v>
      </c>
      <c r="AA276" s="85">
        <f t="shared" si="233"/>
        <v>-913.46204712425447</v>
      </c>
      <c r="AB276" s="85">
        <f t="shared" si="234"/>
        <v>1509.9893626154499</v>
      </c>
      <c r="AC276" s="90">
        <f t="shared" si="235"/>
        <v>913.46204712425447</v>
      </c>
      <c r="AD276" s="86">
        <f t="shared" si="236"/>
        <v>-12775.56299</v>
      </c>
      <c r="AE276" s="85">
        <f t="shared" si="237"/>
        <v>4140.4375383844126</v>
      </c>
      <c r="AF276" s="85">
        <f t="shared" si="238"/>
        <v>-5055.9834045501648</v>
      </c>
      <c r="AG276" s="90">
        <f t="shared" si="239"/>
        <v>4140.4375383844126</v>
      </c>
      <c r="AH276" s="86">
        <f t="shared" si="240"/>
        <v>-16295.82021</v>
      </c>
      <c r="AI276" s="85">
        <f t="shared" si="241"/>
        <v>6238.0466047659793</v>
      </c>
      <c r="AJ276" s="85">
        <f t="shared" si="242"/>
        <v>-11073.01108852638</v>
      </c>
      <c r="AK276" s="90">
        <f t="shared" si="243"/>
        <v>6238.0466047659793</v>
      </c>
      <c r="AM276" s="95">
        <f t="shared" si="213"/>
        <v>0</v>
      </c>
      <c r="AN276" s="95">
        <f t="shared" si="214"/>
        <v>0</v>
      </c>
      <c r="AO276" s="95">
        <f t="shared" si="215"/>
        <v>0</v>
      </c>
      <c r="AP276" s="95">
        <f t="shared" si="216"/>
        <v>0</v>
      </c>
      <c r="AQ276"/>
      <c r="AR276" s="95">
        <f t="shared" si="244"/>
        <v>0</v>
      </c>
      <c r="AS276" s="95">
        <f t="shared" si="245"/>
        <v>0</v>
      </c>
      <c r="AT276" s="95">
        <f>Geraetedaten!$B$94*ABS(SIN(RADIANS($A276)))</f>
        <v>126.1494148205047</v>
      </c>
      <c r="AU276" s="95">
        <f>Geraetedaten!$B$94*ABS(COS(RADIANS($A276)))</f>
        <v>88.330771198061143</v>
      </c>
      <c r="AV276" s="95">
        <f>((h_Aw_Sw+Geraetedaten!$B$18)/1000)*(AR276*AT276+AS276*AU276)/100</f>
        <v>0</v>
      </c>
      <c r="AX276" s="18">
        <f t="shared" si="212"/>
        <v>0.57357643635104638</v>
      </c>
    </row>
    <row r="277" spans="1:50" ht="13.5" x14ac:dyDescent="0.25">
      <c r="A277" s="16">
        <v>236</v>
      </c>
      <c r="B277" s="16">
        <f t="shared" si="219"/>
        <v>214</v>
      </c>
      <c r="C277" s="19">
        <f t="shared" si="220"/>
        <v>69.429822973858947</v>
      </c>
      <c r="D277" s="17">
        <f t="shared" si="217"/>
        <v>12681.76452702614</v>
      </c>
      <c r="E277" s="17">
        <f t="shared" si="221"/>
        <v>14806.58386702614</v>
      </c>
      <c r="F277" s="17">
        <f t="shared" si="222"/>
        <v>-12692.523532973859</v>
      </c>
      <c r="G277" s="17">
        <f t="shared" si="223"/>
        <v>-16795.922002973861</v>
      </c>
      <c r="H277" s="17">
        <f t="shared" si="218"/>
        <v>12681.76452702614</v>
      </c>
      <c r="I277" s="17">
        <f t="shared" si="224"/>
        <v>5095.1756438886741</v>
      </c>
      <c r="J277" s="20">
        <f>(Geraetedaten!$B$152+(Geraetedaten!$B$153*(Geraetedaten!$B$18+d_y_Sw)/1000))*10</f>
        <v>6051.0442000000003</v>
      </c>
      <c r="K277" s="20">
        <f>(Geraetedaten!$B$165+(Geraetedaten!$B$166*(Geraetedaten!$B$18+d_y_Sw)/1000))*10</f>
        <v>10816.164000000001</v>
      </c>
      <c r="L277" s="20">
        <f>(Geraetedaten!$B$158+(Geraetedaten!$B$159*(Geraetedaten!$B$18+d_y_Sw)/1000)-(Geraetedaten!$B$160*I277/1000))*10</f>
        <v>227.90737003364336</v>
      </c>
      <c r="M277" s="20">
        <f>(Geraetedaten!$B$171+(Geraetedaten!$B$172*(Geraetedaten!$B$18+d_y_Sw)/1000)-(Geraetedaten!$B$173*I277/1000))*10</f>
        <v>685.58212506892801</v>
      </c>
      <c r="N277" s="20">
        <f>IF((H277-J277)/(K277-J277)*(Geraetedaten!$B$174-Geraetedaten!$B$161)&lt;Geraetedaten!$B$174,(H277-J277)/(K277-J277)*(Geraetedaten!$B$174-Geraetedaten!$B$161),Geraetedaten!$B$174)</f>
        <v>400</v>
      </c>
      <c r="O277" s="20">
        <f>N277/Geraetedaten!$B$174*(M277-L277)+L277+C277</f>
        <v>755.01194804278691</v>
      </c>
      <c r="P277" s="20">
        <f t="shared" si="246"/>
        <v>213.75885789171039</v>
      </c>
      <c r="Q277" s="20"/>
      <c r="R277" s="21">
        <f>(N277-Geraetedaten!$B$161)/(Geraetedaten!$B$174-Geraetedaten!$B$161)*(Geraetedaten!$B$175-Geraetedaten!$B$162)+Geraetedaten!$B$162</f>
        <v>41.1</v>
      </c>
      <c r="S277" s="21">
        <f t="shared" si="225"/>
        <v>41.1</v>
      </c>
      <c r="T277" s="21">
        <f t="shared" si="226"/>
        <v>-34.073444232012221</v>
      </c>
      <c r="U277" s="88">
        <f t="shared" si="227"/>
        <v>-22.982828332647685</v>
      </c>
      <c r="V277" s="86">
        <f t="shared" si="228"/>
        <v>12751.19435</v>
      </c>
      <c r="W277" s="85">
        <f t="shared" si="229"/>
        <v>-4225.3239992296285</v>
      </c>
      <c r="X277" s="85">
        <f t="shared" si="230"/>
        <v>5095.1756438886741</v>
      </c>
      <c r="Y277" s="90">
        <f t="shared" si="231"/>
        <v>4225.3239992296285</v>
      </c>
      <c r="Z277" s="86">
        <f t="shared" si="232"/>
        <v>14876.01369</v>
      </c>
      <c r="AA277" s="85">
        <f t="shared" si="233"/>
        <v>-913.46204712425447</v>
      </c>
      <c r="AB277" s="85">
        <f t="shared" si="234"/>
        <v>1545.7332324531299</v>
      </c>
      <c r="AC277" s="90">
        <f t="shared" si="235"/>
        <v>913.46204712425447</v>
      </c>
      <c r="AD277" s="86">
        <f t="shared" si="236"/>
        <v>-12623.093709999999</v>
      </c>
      <c r="AE277" s="85">
        <f t="shared" si="237"/>
        <v>4140.4375383844126</v>
      </c>
      <c r="AF277" s="85">
        <f t="shared" si="238"/>
        <v>-4995.6430351438257</v>
      </c>
      <c r="AG277" s="90">
        <f t="shared" si="239"/>
        <v>4140.4375383844126</v>
      </c>
      <c r="AH277" s="86">
        <f t="shared" si="240"/>
        <v>-16726.492180000001</v>
      </c>
      <c r="AI277" s="85">
        <f t="shared" si="241"/>
        <v>6238.0466047659793</v>
      </c>
      <c r="AJ277" s="85">
        <f t="shared" si="242"/>
        <v>-11365.652722670473</v>
      </c>
      <c r="AK277" s="90">
        <f t="shared" si="243"/>
        <v>6238.0466047659793</v>
      </c>
      <c r="AM277" s="95">
        <f t="shared" si="213"/>
        <v>0</v>
      </c>
      <c r="AN277" s="95">
        <f t="shared" si="214"/>
        <v>0</v>
      </c>
      <c r="AO277" s="95">
        <f t="shared" si="215"/>
        <v>0</v>
      </c>
      <c r="AP277" s="95">
        <f t="shared" si="216"/>
        <v>0</v>
      </c>
      <c r="AQ277"/>
      <c r="AR277" s="95">
        <f t="shared" si="244"/>
        <v>0</v>
      </c>
      <c r="AS277" s="95">
        <f t="shared" si="245"/>
        <v>0</v>
      </c>
      <c r="AT277" s="95">
        <f>Geraetedaten!$B$94*ABS(SIN(RADIANS($A277)))</f>
        <v>127.67178617347645</v>
      </c>
      <c r="AU277" s="95">
        <f>Geraetedaten!$B$94*ABS(COS(RADIANS($A277)))</f>
        <v>86.115707134494968</v>
      </c>
      <c r="AV277" s="95">
        <f>((h_Aw_Sw+Geraetedaten!$B$18)/1000)*(AR277*AT277+AS277*AU277)/100</f>
        <v>0</v>
      </c>
      <c r="AX277" s="18">
        <f t="shared" si="212"/>
        <v>0.55919290347074657</v>
      </c>
    </row>
    <row r="278" spans="1:50" ht="13.5" x14ac:dyDescent="0.25">
      <c r="A278" s="16">
        <v>237</v>
      </c>
      <c r="B278" s="16">
        <f t="shared" si="219"/>
        <v>213</v>
      </c>
      <c r="C278" s="19">
        <f t="shared" si="220"/>
        <v>69.606139158202012</v>
      </c>
      <c r="D278" s="17">
        <f t="shared" si="217"/>
        <v>12535.264420841797</v>
      </c>
      <c r="E278" s="17">
        <f t="shared" si="221"/>
        <v>15171.839710841798</v>
      </c>
      <c r="F278" s="17">
        <f t="shared" si="222"/>
        <v>-12547.582999158203</v>
      </c>
      <c r="G278" s="17">
        <f t="shared" si="223"/>
        <v>-17255.5292491582</v>
      </c>
      <c r="H278" s="17">
        <f t="shared" si="218"/>
        <v>12535.264420841797</v>
      </c>
      <c r="I278" s="17">
        <f t="shared" si="224"/>
        <v>5036.7069696362187</v>
      </c>
      <c r="J278" s="20">
        <f>(Geraetedaten!$B$152+(Geraetedaten!$B$153*(Geraetedaten!$B$18+d_y_Sw)/1000))*10</f>
        <v>6051.0442000000003</v>
      </c>
      <c r="K278" s="20">
        <f>(Geraetedaten!$B$165+(Geraetedaten!$B$166*(Geraetedaten!$B$18+d_y_Sw)/1000))*10</f>
        <v>10816.164000000001</v>
      </c>
      <c r="L278" s="20">
        <f>(Geraetedaten!$B$158+(Geraetedaten!$B$159*(Geraetedaten!$B$18+d_y_Sw)/1000)-(Geraetedaten!$B$160*I278/1000))*10</f>
        <v>232.19487791657593</v>
      </c>
      <c r="M278" s="20">
        <f>(Geraetedaten!$B$171+(Geraetedaten!$B$172*(Geraetedaten!$B$18+d_y_Sw)/1000)-(Geraetedaten!$B$173*I278/1000))*10</f>
        <v>689.9345331802806</v>
      </c>
      <c r="N278" s="20">
        <f>IF((H278-J278)/(K278-J278)*(Geraetedaten!$B$174-Geraetedaten!$B$161)&lt;Geraetedaten!$B$174,(H278-J278)/(K278-J278)*(Geraetedaten!$B$174-Geraetedaten!$B$161),Geraetedaten!$B$174)</f>
        <v>400</v>
      </c>
      <c r="O278" s="20">
        <f>N278/Geraetedaten!$B$174*(M278-L278)+L278+C278</f>
        <v>759.54067233848264</v>
      </c>
      <c r="P278" s="20">
        <f t="shared" si="246"/>
        <v>214.69238797312147</v>
      </c>
      <c r="Q278" s="20"/>
      <c r="R278" s="21">
        <f>(N278-Geraetedaten!$B$161)/(Geraetedaten!$B$174-Geraetedaten!$B$161)*(Geraetedaten!$B$175-Geraetedaten!$B$162)+Geraetedaten!$B$162</f>
        <v>41.1</v>
      </c>
      <c r="S278" s="21">
        <f t="shared" si="225"/>
        <v>41.1</v>
      </c>
      <c r="T278" s="21">
        <f t="shared" si="226"/>
        <v>-34.469360342556932</v>
      </c>
      <c r="U278" s="88">
        <f t="shared" si="227"/>
        <v>-22.384664339117609</v>
      </c>
      <c r="V278" s="86">
        <f t="shared" si="228"/>
        <v>12604.870559999999</v>
      </c>
      <c r="W278" s="85">
        <f t="shared" si="229"/>
        <v>-4225.3239992296285</v>
      </c>
      <c r="X278" s="85">
        <f t="shared" si="230"/>
        <v>5036.7069696362187</v>
      </c>
      <c r="Y278" s="90">
        <f t="shared" si="231"/>
        <v>4225.3239992296285</v>
      </c>
      <c r="Z278" s="86">
        <f t="shared" si="232"/>
        <v>15241.44585</v>
      </c>
      <c r="AA278" s="85">
        <f t="shared" si="233"/>
        <v>-913.46204712425447</v>
      </c>
      <c r="AB278" s="85">
        <f t="shared" si="234"/>
        <v>1583.7044687965865</v>
      </c>
      <c r="AC278" s="90">
        <f t="shared" si="235"/>
        <v>913.46204712425447</v>
      </c>
      <c r="AD278" s="86">
        <f t="shared" si="236"/>
        <v>-12477.976860000001</v>
      </c>
      <c r="AE278" s="85">
        <f t="shared" si="237"/>
        <v>4140.4375383844126</v>
      </c>
      <c r="AF278" s="85">
        <f t="shared" si="238"/>
        <v>-4938.2124246769554</v>
      </c>
      <c r="AG278" s="90">
        <f t="shared" si="239"/>
        <v>4140.4375383844126</v>
      </c>
      <c r="AH278" s="86">
        <f t="shared" si="240"/>
        <v>-17185.92311</v>
      </c>
      <c r="AI278" s="85">
        <f t="shared" si="241"/>
        <v>6238.0466047659793</v>
      </c>
      <c r="AJ278" s="85">
        <f t="shared" si="242"/>
        <v>-11677.836077405322</v>
      </c>
      <c r="AK278" s="90">
        <f t="shared" si="243"/>
        <v>6238.0466047659793</v>
      </c>
      <c r="AM278" s="95">
        <f t="shared" si="213"/>
        <v>0</v>
      </c>
      <c r="AN278" s="95">
        <f t="shared" si="214"/>
        <v>0</v>
      </c>
      <c r="AO278" s="95">
        <f t="shared" si="215"/>
        <v>0</v>
      </c>
      <c r="AP278" s="95">
        <f t="shared" si="216"/>
        <v>0</v>
      </c>
      <c r="AQ278"/>
      <c r="AR278" s="95">
        <f t="shared" si="244"/>
        <v>0</v>
      </c>
      <c r="AS278" s="95">
        <f t="shared" si="245"/>
        <v>0</v>
      </c>
      <c r="AT278" s="95">
        <f>Geraetedaten!$B$94*ABS(SIN(RADIANS($A278)))</f>
        <v>129.15526746359529</v>
      </c>
      <c r="AU278" s="95">
        <f>Geraetedaten!$B$94*ABS(COS(RADIANS($A278)))</f>
        <v>83.874411392314158</v>
      </c>
      <c r="AV278" s="95">
        <f>((h_Aw_Sw+Geraetedaten!$B$18)/1000)*(AR278*AT278+AS278*AU278)/100</f>
        <v>0</v>
      </c>
      <c r="AX278" s="18">
        <f t="shared" si="212"/>
        <v>0.54463903501502697</v>
      </c>
    </row>
    <row r="279" spans="1:50" ht="13.5" x14ac:dyDescent="0.25">
      <c r="A279" s="16">
        <v>238</v>
      </c>
      <c r="B279" s="16">
        <f t="shared" si="219"/>
        <v>212</v>
      </c>
      <c r="C279" s="19">
        <f t="shared" si="220"/>
        <v>69.761252638267678</v>
      </c>
      <c r="D279" s="17">
        <f t="shared" si="217"/>
        <v>12395.859707361733</v>
      </c>
      <c r="E279" s="17">
        <f t="shared" si="221"/>
        <v>15560.403727361732</v>
      </c>
      <c r="F279" s="17">
        <f t="shared" si="222"/>
        <v>-12409.636032638267</v>
      </c>
      <c r="G279" s="17">
        <f t="shared" si="223"/>
        <v>-17746.603342638267</v>
      </c>
      <c r="H279" s="17">
        <f t="shared" si="218"/>
        <v>12395.859707361733</v>
      </c>
      <c r="I279" s="17">
        <f t="shared" si="224"/>
        <v>4981.0650296917092</v>
      </c>
      <c r="J279" s="20">
        <f>(Geraetedaten!$B$152+(Geraetedaten!$B$153*(Geraetedaten!$B$18+d_y_Sw)/1000))*10</f>
        <v>6051.0442000000003</v>
      </c>
      <c r="K279" s="20">
        <f>(Geraetedaten!$B$165+(Geraetedaten!$B$166*(Geraetedaten!$B$18+d_y_Sw)/1000))*10</f>
        <v>10816.164000000001</v>
      </c>
      <c r="L279" s="20">
        <f>(Geraetedaten!$B$158+(Geraetedaten!$B$159*(Geraetedaten!$B$18+d_y_Sw)/1000)-(Geraetedaten!$B$160*I279/1000))*10</f>
        <v>236.27510137270676</v>
      </c>
      <c r="M279" s="20">
        <f>(Geraetedaten!$B$171+(Geraetedaten!$B$172*(Geraetedaten!$B$18+d_y_Sw)/1000)-(Geraetedaten!$B$173*I279/1000))*10</f>
        <v>694.07651918975012</v>
      </c>
      <c r="N279" s="20">
        <f>IF((H279-J279)/(K279-J279)*(Geraetedaten!$B$174-Geraetedaten!$B$161)&lt;Geraetedaten!$B$174,(H279-J279)/(K279-J279)*(Geraetedaten!$B$174-Geraetedaten!$B$161),Geraetedaten!$B$174)</f>
        <v>400</v>
      </c>
      <c r="O279" s="20">
        <f>N279/Geraetedaten!$B$174*(M279-L279)+L279+C279</f>
        <v>763.83777182801782</v>
      </c>
      <c r="P279" s="20">
        <f t="shared" si="246"/>
        <v>215.57440057515703</v>
      </c>
      <c r="Q279" s="20"/>
      <c r="R279" s="21">
        <f>(N279-Geraetedaten!$B$161)/(Geraetedaten!$B$174-Geraetedaten!$B$161)*(Geraetedaten!$B$175-Geraetedaten!$B$162)+Geraetedaten!$B$162</f>
        <v>41.1</v>
      </c>
      <c r="S279" s="21">
        <f t="shared" si="225"/>
        <v>41.1</v>
      </c>
      <c r="T279" s="21">
        <f t="shared" si="226"/>
        <v>-34.85477675202911</v>
      </c>
      <c r="U279" s="88">
        <f t="shared" si="227"/>
        <v>-21.779681759984726</v>
      </c>
      <c r="V279" s="86">
        <f t="shared" si="228"/>
        <v>12465.62096</v>
      </c>
      <c r="W279" s="85">
        <f t="shared" si="229"/>
        <v>-4225.3239992296285</v>
      </c>
      <c r="X279" s="85">
        <f t="shared" si="230"/>
        <v>4981.0650296917092</v>
      </c>
      <c r="Y279" s="90">
        <f t="shared" si="231"/>
        <v>4225.3239992296285</v>
      </c>
      <c r="Z279" s="86">
        <f t="shared" si="232"/>
        <v>15630.16498</v>
      </c>
      <c r="AA279" s="85">
        <f t="shared" si="233"/>
        <v>-913.46204712425447</v>
      </c>
      <c r="AB279" s="85">
        <f t="shared" si="234"/>
        <v>1624.0954022155292</v>
      </c>
      <c r="AC279" s="90">
        <f t="shared" si="235"/>
        <v>913.46204712425447</v>
      </c>
      <c r="AD279" s="86">
        <f t="shared" si="236"/>
        <v>-12339.87478</v>
      </c>
      <c r="AE279" s="85">
        <f t="shared" si="237"/>
        <v>4140.4375383844126</v>
      </c>
      <c r="AF279" s="85">
        <f t="shared" si="238"/>
        <v>-4883.5579391932479</v>
      </c>
      <c r="AG279" s="90">
        <f t="shared" si="239"/>
        <v>4140.4375383844126</v>
      </c>
      <c r="AH279" s="86">
        <f t="shared" si="240"/>
        <v>-17676.842089999998</v>
      </c>
      <c r="AI279" s="85">
        <f t="shared" si="241"/>
        <v>6238.0466047659793</v>
      </c>
      <c r="AJ279" s="85">
        <f t="shared" si="242"/>
        <v>-12011.415562423434</v>
      </c>
      <c r="AK279" s="90">
        <f t="shared" si="243"/>
        <v>6238.0466047659793</v>
      </c>
      <c r="AM279" s="95">
        <f t="shared" si="213"/>
        <v>0</v>
      </c>
      <c r="AN279" s="95">
        <f t="shared" si="214"/>
        <v>0</v>
      </c>
      <c r="AO279" s="95">
        <f t="shared" si="215"/>
        <v>0</v>
      </c>
      <c r="AP279" s="95">
        <f t="shared" si="216"/>
        <v>0</v>
      </c>
      <c r="AQ279"/>
      <c r="AR279" s="95">
        <f t="shared" si="244"/>
        <v>0</v>
      </c>
      <c r="AS279" s="95">
        <f t="shared" si="245"/>
        <v>0</v>
      </c>
      <c r="AT279" s="95">
        <f>Geraetedaten!$B$94*ABS(SIN(RADIANS($A279)))</f>
        <v>130.59940680808961</v>
      </c>
      <c r="AU279" s="95">
        <f>Geraetedaten!$B$94*ABS(COS(RADIANS($A279)))</f>
        <v>81.607566691913576</v>
      </c>
      <c r="AV279" s="95">
        <f>((h_Aw_Sw+Geraetedaten!$B$18)/1000)*(AR279*AT279+AS279*AU279)/100</f>
        <v>0</v>
      </c>
      <c r="AX279" s="18">
        <f t="shared" si="212"/>
        <v>0.52991926423320501</v>
      </c>
    </row>
    <row r="280" spans="1:50" ht="13.5" x14ac:dyDescent="0.25">
      <c r="A280" s="16">
        <v>239</v>
      </c>
      <c r="B280" s="16">
        <f t="shared" si="219"/>
        <v>211</v>
      </c>
      <c r="C280" s="19">
        <f t="shared" si="220"/>
        <v>69.8951161649873</v>
      </c>
      <c r="D280" s="17">
        <f t="shared" si="217"/>
        <v>12263.235023835012</v>
      </c>
      <c r="E280" s="17">
        <f t="shared" si="221"/>
        <v>15974.350903835013</v>
      </c>
      <c r="F280" s="17">
        <f t="shared" si="222"/>
        <v>-12278.369396164988</v>
      </c>
      <c r="G280" s="17">
        <f t="shared" si="223"/>
        <v>-18272.234926164987</v>
      </c>
      <c r="H280" s="17">
        <f t="shared" si="218"/>
        <v>12263.235023835012</v>
      </c>
      <c r="I280" s="17">
        <f t="shared" si="224"/>
        <v>4928.1237933449793</v>
      </c>
      <c r="J280" s="20">
        <f>(Geraetedaten!$B$152+(Geraetedaten!$B$153*(Geraetedaten!$B$18+d_y_Sw)/1000))*10</f>
        <v>6051.0442000000003</v>
      </c>
      <c r="K280" s="20">
        <f>(Geraetedaten!$B$165+(Geraetedaten!$B$166*(Geraetedaten!$B$18+d_y_Sw)/1000))*10</f>
        <v>10816.164000000001</v>
      </c>
      <c r="L280" s="20">
        <f>(Geraetedaten!$B$158+(Geraetedaten!$B$159*(Geraetedaten!$B$18+d_y_Sw)/1000)-(Geraetedaten!$B$160*I280/1000))*10</f>
        <v>240.15728223401254</v>
      </c>
      <c r="M280" s="20">
        <f>(Geraetedaten!$B$171+(Geraetedaten!$B$172*(Geraetedaten!$B$18+d_y_Sw)/1000)-(Geraetedaten!$B$173*I280/1000))*10</f>
        <v>698.01746482340059</v>
      </c>
      <c r="N280" s="20">
        <f>IF((H280-J280)/(K280-J280)*(Geraetedaten!$B$174-Geraetedaten!$B$161)&lt;Geraetedaten!$B$174,(H280-J280)/(K280-J280)*(Geraetedaten!$B$174-Geraetedaten!$B$161),Geraetedaten!$B$174)</f>
        <v>400</v>
      </c>
      <c r="O280" s="20">
        <f>N280/Geraetedaten!$B$174*(M280-L280)+L280+C280</f>
        <v>767.91258098838784</v>
      </c>
      <c r="P280" s="20">
        <f t="shared" si="246"/>
        <v>216.40721678978522</v>
      </c>
      <c r="Q280" s="20"/>
      <c r="R280" s="21">
        <f>(N280-Geraetedaten!$B$161)/(Geraetedaten!$B$174-Geraetedaten!$B$161)*(Geraetedaten!$B$175-Geraetedaten!$B$162)+Geraetedaten!$B$162</f>
        <v>41.1</v>
      </c>
      <c r="S280" s="21">
        <f t="shared" si="225"/>
        <v>41.1</v>
      </c>
      <c r="T280" s="21">
        <f t="shared" si="226"/>
        <v>-35.229576058856807</v>
      </c>
      <c r="U280" s="88">
        <f t="shared" si="227"/>
        <v>-21.168064878803239</v>
      </c>
      <c r="V280" s="86">
        <f t="shared" si="228"/>
        <v>12333.130139999999</v>
      </c>
      <c r="W280" s="85">
        <f t="shared" si="229"/>
        <v>-4225.3239992296285</v>
      </c>
      <c r="X280" s="85">
        <f t="shared" si="230"/>
        <v>4928.1237933449793</v>
      </c>
      <c r="Y280" s="90">
        <f t="shared" si="231"/>
        <v>4225.3239992296285</v>
      </c>
      <c r="Z280" s="86">
        <f t="shared" si="232"/>
        <v>16044.24602</v>
      </c>
      <c r="AA280" s="85">
        <f t="shared" si="233"/>
        <v>-913.46204712425447</v>
      </c>
      <c r="AB280" s="85">
        <f t="shared" si="234"/>
        <v>1667.1216355473812</v>
      </c>
      <c r="AC280" s="90">
        <f t="shared" si="235"/>
        <v>913.46204712425447</v>
      </c>
      <c r="AD280" s="86">
        <f t="shared" si="236"/>
        <v>-12208.47428</v>
      </c>
      <c r="AE280" s="85">
        <f t="shared" si="237"/>
        <v>4140.4375383844126</v>
      </c>
      <c r="AF280" s="85">
        <f t="shared" si="238"/>
        <v>-4831.5556340890516</v>
      </c>
      <c r="AG280" s="90">
        <f t="shared" si="239"/>
        <v>4140.4375383844126</v>
      </c>
      <c r="AH280" s="86">
        <f t="shared" si="240"/>
        <v>-18202.339810000001</v>
      </c>
      <c r="AI280" s="85">
        <f t="shared" si="241"/>
        <v>6238.0466047659793</v>
      </c>
      <c r="AJ280" s="85">
        <f t="shared" si="242"/>
        <v>-12368.491300196089</v>
      </c>
      <c r="AK280" s="90">
        <f t="shared" si="243"/>
        <v>6238.0466047659793</v>
      </c>
      <c r="AM280" s="95">
        <f t="shared" si="213"/>
        <v>0</v>
      </c>
      <c r="AN280" s="95">
        <f t="shared" si="214"/>
        <v>0</v>
      </c>
      <c r="AO280" s="95">
        <f t="shared" si="215"/>
        <v>0</v>
      </c>
      <c r="AP280" s="95">
        <f t="shared" si="216"/>
        <v>0</v>
      </c>
      <c r="AQ280"/>
      <c r="AR280" s="95">
        <f t="shared" si="244"/>
        <v>0</v>
      </c>
      <c r="AS280" s="95">
        <f t="shared" si="245"/>
        <v>0</v>
      </c>
      <c r="AT280" s="95">
        <f>Geraetedaten!$B$94*ABS(SIN(RADIANS($A280)))</f>
        <v>132.00376430812526</v>
      </c>
      <c r="AU280" s="95">
        <f>Geraetedaten!$B$94*ABS(COS(RADIANS($A280)))</f>
        <v>79.315863536148385</v>
      </c>
      <c r="AV280" s="95">
        <f>((h_Aw_Sw+Geraetedaten!$B$18)/1000)*(AR280*AT280+AS280*AU280)/100</f>
        <v>0</v>
      </c>
      <c r="AX280" s="18">
        <f t="shared" si="212"/>
        <v>0.51503807491005449</v>
      </c>
    </row>
    <row r="281" spans="1:50" ht="13.5" x14ac:dyDescent="0.25">
      <c r="A281" s="16">
        <v>240</v>
      </c>
      <c r="B281" s="16">
        <f t="shared" si="219"/>
        <v>210</v>
      </c>
      <c r="C281" s="19">
        <f t="shared" si="220"/>
        <v>70.007688962233885</v>
      </c>
      <c r="D281" s="17">
        <f t="shared" si="217"/>
        <v>12137.097661037766</v>
      </c>
      <c r="E281" s="17">
        <f t="shared" si="221"/>
        <v>16416.014931037767</v>
      </c>
      <c r="F281" s="17">
        <f t="shared" si="222"/>
        <v>-12153.492378962233</v>
      </c>
      <c r="G281" s="17">
        <f t="shared" si="223"/>
        <v>-18835.937938962234</v>
      </c>
      <c r="H281" s="17">
        <f t="shared" si="218"/>
        <v>12137.097661037766</v>
      </c>
      <c r="I281" s="17">
        <f t="shared" si="224"/>
        <v>4877.7662823200053</v>
      </c>
      <c r="J281" s="20">
        <f>(Geraetedaten!$B$152+(Geraetedaten!$B$153*(Geraetedaten!$B$18+d_y_Sw)/1000))*10</f>
        <v>6051.0442000000003</v>
      </c>
      <c r="K281" s="20">
        <f>(Geraetedaten!$B$165+(Geraetedaten!$B$166*(Geraetedaten!$B$18+d_y_Sw)/1000))*10</f>
        <v>10816.164000000001</v>
      </c>
      <c r="L281" s="20">
        <f>(Geraetedaten!$B$158+(Geraetedaten!$B$159*(Geraetedaten!$B$18+d_y_Sw)/1000)-(Geraetedaten!$B$160*I281/1000))*10</f>
        <v>243.84999851747386</v>
      </c>
      <c r="M281" s="20">
        <f>(Geraetedaten!$B$171+(Geraetedaten!$B$172*(Geraetedaten!$B$18+d_y_Sw)/1000)-(Geraetedaten!$B$173*I281/1000))*10</f>
        <v>701.76607794409961</v>
      </c>
      <c r="N281" s="20">
        <f>IF((H281-J281)/(K281-J281)*(Geraetedaten!$B$174-Geraetedaten!$B$161)&lt;Geraetedaten!$B$174,(H281-J281)/(K281-J281)*(Geraetedaten!$B$174-Geraetedaten!$B$161),Geraetedaten!$B$174)</f>
        <v>400</v>
      </c>
      <c r="O281" s="20">
        <f>N281/Geraetedaten!$B$174*(M281-L281)+L281+C281</f>
        <v>771.77376690633355</v>
      </c>
      <c r="P281" s="20">
        <f t="shared" si="246"/>
        <v>217.19297629787158</v>
      </c>
      <c r="Q281" s="20"/>
      <c r="R281" s="21">
        <f>(N281-Geraetedaten!$B$161)/(Geraetedaten!$B$174-Geraetedaten!$B$161)*(Geraetedaten!$B$175-Geraetedaten!$B$162)+Geraetedaten!$B$162</f>
        <v>41.1</v>
      </c>
      <c r="S281" s="21">
        <f t="shared" si="225"/>
        <v>41.1</v>
      </c>
      <c r="T281" s="21">
        <f t="shared" si="226"/>
        <v>-35.593644095540419</v>
      </c>
      <c r="U281" s="88">
        <f t="shared" si="227"/>
        <v>-20.550000000000018</v>
      </c>
      <c r="V281" s="86">
        <f t="shared" si="228"/>
        <v>12207.10535</v>
      </c>
      <c r="W281" s="85">
        <f t="shared" si="229"/>
        <v>-4225.3239992296285</v>
      </c>
      <c r="X281" s="85">
        <f t="shared" si="230"/>
        <v>4877.7662823200053</v>
      </c>
      <c r="Y281" s="90">
        <f t="shared" si="231"/>
        <v>4225.3239992296285</v>
      </c>
      <c r="Z281" s="86">
        <f t="shared" si="232"/>
        <v>16486.02262</v>
      </c>
      <c r="AA281" s="85">
        <f t="shared" si="233"/>
        <v>-913.46204712425447</v>
      </c>
      <c r="AB281" s="85">
        <f t="shared" si="234"/>
        <v>1713.0256514670461</v>
      </c>
      <c r="AC281" s="90">
        <f t="shared" si="235"/>
        <v>913.46204712425447</v>
      </c>
      <c r="AD281" s="86">
        <f t="shared" si="236"/>
        <v>-12083.484689999999</v>
      </c>
      <c r="AE281" s="85">
        <f t="shared" si="237"/>
        <v>4140.4375383844126</v>
      </c>
      <c r="AF281" s="85">
        <f t="shared" si="238"/>
        <v>-4782.0904709672732</v>
      </c>
      <c r="AG281" s="90">
        <f t="shared" si="239"/>
        <v>4140.4375383844126</v>
      </c>
      <c r="AH281" s="86">
        <f t="shared" si="240"/>
        <v>-18765.930250000001</v>
      </c>
      <c r="AI281" s="85">
        <f t="shared" si="241"/>
        <v>6238.0466047659793</v>
      </c>
      <c r="AJ281" s="85">
        <f t="shared" si="242"/>
        <v>-12751.451051671136</v>
      </c>
      <c r="AK281" s="90">
        <f t="shared" si="243"/>
        <v>6238.0466047659793</v>
      </c>
      <c r="AM281" s="95">
        <f t="shared" si="213"/>
        <v>0</v>
      </c>
      <c r="AN281" s="95">
        <f t="shared" si="214"/>
        <v>0</v>
      </c>
      <c r="AO281" s="95">
        <f t="shared" si="215"/>
        <v>0</v>
      </c>
      <c r="AP281" s="95">
        <f t="shared" si="216"/>
        <v>0</v>
      </c>
      <c r="AQ281"/>
      <c r="AR281" s="95">
        <f t="shared" si="244"/>
        <v>0</v>
      </c>
      <c r="AS281" s="95">
        <f t="shared" si="245"/>
        <v>0</v>
      </c>
      <c r="AT281" s="95">
        <f>Geraetedaten!$B$94*ABS(SIN(RADIANS($A281)))</f>
        <v>133.36791218280351</v>
      </c>
      <c r="AU281" s="95">
        <f>Geraetedaten!$B$94*ABS(COS(RADIANS($A281)))</f>
        <v>77.000000000000071</v>
      </c>
      <c r="AV281" s="95">
        <f>((h_Aw_Sw+Geraetedaten!$B$18)/1000)*(AR281*AT281+AS281*AU281)/100</f>
        <v>0</v>
      </c>
      <c r="AX281" s="18">
        <f t="shared" si="212"/>
        <v>0.50000000000000044</v>
      </c>
    </row>
    <row r="282" spans="1:50" ht="13.5" x14ac:dyDescent="0.25">
      <c r="A282" s="16">
        <v>241</v>
      </c>
      <c r="B282" s="16">
        <f t="shared" si="219"/>
        <v>209</v>
      </c>
      <c r="C282" s="19">
        <f t="shared" si="220"/>
        <v>70.098936739242859</v>
      </c>
      <c r="D282" s="17">
        <f t="shared" si="217"/>
        <v>12017.175783260756</v>
      </c>
      <c r="E282" s="17">
        <f t="shared" si="221"/>
        <v>16888.029553260756</v>
      </c>
      <c r="F282" s="17">
        <f t="shared" si="222"/>
        <v>-12034.734976739242</v>
      </c>
      <c r="G282" s="17">
        <f t="shared" si="223"/>
        <v>-19441.724466739244</v>
      </c>
      <c r="H282" s="17">
        <f t="shared" si="218"/>
        <v>12017.175783260756</v>
      </c>
      <c r="I282" s="17">
        <f t="shared" si="224"/>
        <v>4829.8838551093068</v>
      </c>
      <c r="J282" s="20">
        <f>(Geraetedaten!$B$152+(Geraetedaten!$B$153*(Geraetedaten!$B$18+d_y_Sw)/1000))*10</f>
        <v>6051.0442000000003</v>
      </c>
      <c r="K282" s="20">
        <f>(Geraetedaten!$B$165+(Geraetedaten!$B$166*(Geraetedaten!$B$18+d_y_Sw)/1000))*10</f>
        <v>10816.164000000001</v>
      </c>
      <c r="L282" s="20">
        <f>(Geraetedaten!$B$158+(Geraetedaten!$B$159*(Geraetedaten!$B$18+d_y_Sw)/1000)-(Geraetedaten!$B$160*I282/1000))*10</f>
        <v>247.36121690483435</v>
      </c>
      <c r="M282" s="20">
        <f>(Geraetedaten!$B$171+(Geraetedaten!$B$172*(Geraetedaten!$B$18+d_y_Sw)/1000)-(Geraetedaten!$B$173*I282/1000))*10</f>
        <v>705.33044582566401</v>
      </c>
      <c r="N282" s="20">
        <f>IF((H282-J282)/(K282-J282)*(Geraetedaten!$B$174-Geraetedaten!$B$161)&lt;Geraetedaten!$B$174,(H282-J282)/(K282-J282)*(Geraetedaten!$B$174-Geraetedaten!$B$161),Geraetedaten!$B$174)</f>
        <v>400</v>
      </c>
      <c r="O282" s="20">
        <f>N282/Geraetedaten!$B$174*(M282-L282)+L282+C282</f>
        <v>775.42938256490686</v>
      </c>
      <c r="P282" s="20">
        <f t="shared" si="246"/>
        <v>217.93365352489775</v>
      </c>
      <c r="Q282" s="20"/>
      <c r="R282" s="21">
        <f>(N282-Geraetedaten!$B$161)/(Geraetedaten!$B$174-Geraetedaten!$B$161)*(Geraetedaten!$B$175-Geraetedaten!$B$162)+Geraetedaten!$B$162</f>
        <v>41.1</v>
      </c>
      <c r="S282" s="21">
        <f t="shared" si="225"/>
        <v>41.1</v>
      </c>
      <c r="T282" s="21">
        <f t="shared" si="226"/>
        <v>-35.946869963429172</v>
      </c>
      <c r="U282" s="88">
        <f t="shared" si="227"/>
        <v>-19.925675392124443</v>
      </c>
      <c r="V282" s="86">
        <f t="shared" si="228"/>
        <v>12087.274719999999</v>
      </c>
      <c r="W282" s="85">
        <f t="shared" si="229"/>
        <v>-4225.3239992296285</v>
      </c>
      <c r="X282" s="85">
        <f t="shared" si="230"/>
        <v>4829.8838551093068</v>
      </c>
      <c r="Y282" s="90">
        <f t="shared" si="231"/>
        <v>4225.3239992296285</v>
      </c>
      <c r="Z282" s="86">
        <f t="shared" si="232"/>
        <v>16958.128489999999</v>
      </c>
      <c r="AA282" s="85">
        <f t="shared" si="233"/>
        <v>-913.46204712425447</v>
      </c>
      <c r="AB282" s="85">
        <f t="shared" si="234"/>
        <v>1762.0811134301741</v>
      </c>
      <c r="AC282" s="90">
        <f t="shared" si="235"/>
        <v>913.46204712425447</v>
      </c>
      <c r="AD282" s="86">
        <f t="shared" si="236"/>
        <v>-11964.636039999999</v>
      </c>
      <c r="AE282" s="85">
        <f t="shared" si="237"/>
        <v>4140.4375383844126</v>
      </c>
      <c r="AF282" s="85">
        <f t="shared" si="238"/>
        <v>-4735.0556128115431</v>
      </c>
      <c r="AG282" s="90">
        <f t="shared" si="239"/>
        <v>4140.4375383844126</v>
      </c>
      <c r="AH282" s="86">
        <f t="shared" si="240"/>
        <v>-19371.625530000001</v>
      </c>
      <c r="AI282" s="85">
        <f t="shared" si="241"/>
        <v>6238.0466047659793</v>
      </c>
      <c r="AJ282" s="85">
        <f t="shared" si="242"/>
        <v>-13163.021035614387</v>
      </c>
      <c r="AK282" s="90">
        <f t="shared" si="243"/>
        <v>6238.0466047659793</v>
      </c>
      <c r="AM282" s="95">
        <f t="shared" si="213"/>
        <v>0</v>
      </c>
      <c r="AN282" s="95">
        <f t="shared" si="214"/>
        <v>0</v>
      </c>
      <c r="AO282" s="95">
        <f t="shared" si="215"/>
        <v>0</v>
      </c>
      <c r="AP282" s="95">
        <f t="shared" si="216"/>
        <v>0</v>
      </c>
      <c r="AQ282"/>
      <c r="AR282" s="95">
        <f t="shared" si="244"/>
        <v>0</v>
      </c>
      <c r="AS282" s="95">
        <f t="shared" si="245"/>
        <v>0</v>
      </c>
      <c r="AT282" s="95">
        <f>Geraetedaten!$B$94*ABS(SIN(RADIANS($A282)))</f>
        <v>134.69143489946697</v>
      </c>
      <c r="AU282" s="95">
        <f>Geraetedaten!$B$94*ABS(COS(RADIANS($A282)))</f>
        <v>74.66068151793587</v>
      </c>
      <c r="AV282" s="95">
        <f>((h_Aw_Sw+Geraetedaten!$B$18)/1000)*(AR282*AT282+AS282*AU282)/100</f>
        <v>0</v>
      </c>
      <c r="AX282" s="18">
        <f t="shared" si="212"/>
        <v>0.48480962024633684</v>
      </c>
    </row>
    <row r="283" spans="1:50" ht="13.5" x14ac:dyDescent="0.25">
      <c r="A283" s="16">
        <v>242</v>
      </c>
      <c r="B283" s="16">
        <f t="shared" si="219"/>
        <v>208</v>
      </c>
      <c r="C283" s="19">
        <f t="shared" si="220"/>
        <v>70.1688317010574</v>
      </c>
      <c r="D283" s="17">
        <f t="shared" si="217"/>
        <v>11903.216758298942</v>
      </c>
      <c r="E283" s="17">
        <f t="shared" si="221"/>
        <v>17393.378188298946</v>
      </c>
      <c r="F283" s="17">
        <f t="shared" si="222"/>
        <v>-11921.846331701057</v>
      </c>
      <c r="G283" s="17">
        <f t="shared" si="223"/>
        <v>-20094.195881701056</v>
      </c>
      <c r="H283" s="17">
        <f t="shared" si="218"/>
        <v>11903.216758298942</v>
      </c>
      <c r="I283" s="17">
        <f t="shared" si="224"/>
        <v>4784.375561880548</v>
      </c>
      <c r="J283" s="20">
        <f>(Geraetedaten!$B$152+(Geraetedaten!$B$153*(Geraetedaten!$B$18+d_y_Sw)/1000))*10</f>
        <v>6051.0442000000003</v>
      </c>
      <c r="K283" s="20">
        <f>(Geraetedaten!$B$165+(Geraetedaten!$B$166*(Geraetedaten!$B$18+d_y_Sw)/1000))*10</f>
        <v>10816.164000000001</v>
      </c>
      <c r="L283" s="20">
        <f>(Geraetedaten!$B$158+(Geraetedaten!$B$159*(Geraetedaten!$B$18+d_y_Sw)/1000)-(Geraetedaten!$B$160*I283/1000))*10</f>
        <v>250.69834004729921</v>
      </c>
      <c r="M283" s="20">
        <f>(Geraetedaten!$B$171+(Geraetedaten!$B$172*(Geraetedaten!$B$18+d_y_Sw)/1000)-(Geraetedaten!$B$173*I283/1000))*10</f>
        <v>708.71808317361285</v>
      </c>
      <c r="N283" s="20">
        <f>IF((H283-J283)/(K283-J283)*(Geraetedaten!$B$174-Geraetedaten!$B$161)&lt;Geraetedaten!$B$174,(H283-J283)/(K283-J283)*(Geraetedaten!$B$174-Geraetedaten!$B$161),Geraetedaten!$B$174)</f>
        <v>400</v>
      </c>
      <c r="O283" s="20">
        <f>N283/Geraetedaten!$B$174*(M283-L283)+L283+C283</f>
        <v>778.88691487467031</v>
      </c>
      <c r="P283" s="20">
        <f t="shared" si="246"/>
        <v>218.6310720453354</v>
      </c>
      <c r="Q283" s="20"/>
      <c r="R283" s="21">
        <f>(N283-Geraetedaten!$B$161)/(Geraetedaten!$B$174-Geraetedaten!$B$161)*(Geraetedaten!$B$175-Geraetedaten!$B$162)+Geraetedaten!$B$162</f>
        <v>41.1</v>
      </c>
      <c r="S283" s="21">
        <f t="shared" si="225"/>
        <v>41.1</v>
      </c>
      <c r="T283" s="21">
        <f t="shared" si="226"/>
        <v>-36.2891460665019</v>
      </c>
      <c r="U283" s="88">
        <f t="shared" si="227"/>
        <v>-19.295281230500109</v>
      </c>
      <c r="V283" s="86">
        <f t="shared" si="228"/>
        <v>11973.38559</v>
      </c>
      <c r="W283" s="85">
        <f t="shared" si="229"/>
        <v>-4225.3239992296285</v>
      </c>
      <c r="X283" s="85">
        <f t="shared" si="230"/>
        <v>4784.375561880548</v>
      </c>
      <c r="Y283" s="90">
        <f t="shared" si="231"/>
        <v>4225.3239992296285</v>
      </c>
      <c r="Z283" s="86">
        <f t="shared" si="232"/>
        <v>17463.547020000002</v>
      </c>
      <c r="AA283" s="85">
        <f t="shared" si="233"/>
        <v>-913.46204712425447</v>
      </c>
      <c r="AB283" s="85">
        <f t="shared" si="234"/>
        <v>1814.5980205657693</v>
      </c>
      <c r="AC283" s="90">
        <f t="shared" si="235"/>
        <v>913.46204712425447</v>
      </c>
      <c r="AD283" s="86">
        <f t="shared" si="236"/>
        <v>-11851.6775</v>
      </c>
      <c r="AE283" s="85">
        <f t="shared" si="237"/>
        <v>4140.4375383844126</v>
      </c>
      <c r="AF283" s="85">
        <f t="shared" si="238"/>
        <v>-4690.3517887073476</v>
      </c>
      <c r="AG283" s="90">
        <f t="shared" si="239"/>
        <v>4140.4375383844126</v>
      </c>
      <c r="AH283" s="86">
        <f t="shared" si="240"/>
        <v>-20024.027050000001</v>
      </c>
      <c r="AI283" s="85">
        <f t="shared" si="241"/>
        <v>6238.0466047659793</v>
      </c>
      <c r="AJ283" s="85">
        <f t="shared" si="242"/>
        <v>-13606.327922957</v>
      </c>
      <c r="AK283" s="90">
        <f t="shared" si="243"/>
        <v>6238.0466047659793</v>
      </c>
      <c r="AM283" s="95">
        <f t="shared" si="213"/>
        <v>0</v>
      </c>
      <c r="AN283" s="95">
        <f t="shared" si="214"/>
        <v>0</v>
      </c>
      <c r="AO283" s="95">
        <f t="shared" si="215"/>
        <v>0</v>
      </c>
      <c r="AP283" s="95">
        <f t="shared" si="216"/>
        <v>0</v>
      </c>
      <c r="AQ283"/>
      <c r="AR283" s="95">
        <f t="shared" si="244"/>
        <v>0</v>
      </c>
      <c r="AS283" s="95">
        <f t="shared" si="245"/>
        <v>0</v>
      </c>
      <c r="AT283" s="95">
        <f>Geraetedaten!$B$94*ABS(SIN(RADIANS($A283)))</f>
        <v>135.97392930027476</v>
      </c>
      <c r="AU283" s="95">
        <f>Geraetedaten!$B$94*ABS(COS(RADIANS($A283)))</f>
        <v>72.298620669027173</v>
      </c>
      <c r="AV283" s="95">
        <f>((h_Aw_Sw+Geraetedaten!$B$18)/1000)*(AR283*AT283+AS283*AU283)/100</f>
        <v>0</v>
      </c>
      <c r="AX283" s="18">
        <f t="shared" si="212"/>
        <v>0.46947156278589075</v>
      </c>
    </row>
    <row r="284" spans="1:50" ht="13.5" x14ac:dyDescent="0.25">
      <c r="A284" s="16">
        <v>243</v>
      </c>
      <c r="B284" s="16">
        <f t="shared" si="219"/>
        <v>207</v>
      </c>
      <c r="C284" s="19">
        <f t="shared" si="220"/>
        <v>70.217352556995067</v>
      </c>
      <c r="D284" s="17">
        <f t="shared" si="217"/>
        <v>11794.985787443005</v>
      </c>
      <c r="E284" s="17">
        <f t="shared" si="221"/>
        <v>17935.453777443003</v>
      </c>
      <c r="F284" s="17">
        <f t="shared" si="222"/>
        <v>-11814.593242556994</v>
      </c>
      <c r="G284" s="17">
        <f t="shared" si="223"/>
        <v>-20798.655002556996</v>
      </c>
      <c r="H284" s="17">
        <f t="shared" si="218"/>
        <v>11794.985787443005</v>
      </c>
      <c r="I284" s="17">
        <f t="shared" si="224"/>
        <v>4741.1475621952613</v>
      </c>
      <c r="J284" s="20">
        <f>(Geraetedaten!$B$152+(Geraetedaten!$B$153*(Geraetedaten!$B$18+d_y_Sw)/1000))*10</f>
        <v>6051.0442000000003</v>
      </c>
      <c r="K284" s="20">
        <f>(Geraetedaten!$B$165+(Geraetedaten!$B$166*(Geraetedaten!$B$18+d_y_Sw)/1000))*10</f>
        <v>10816.164000000001</v>
      </c>
      <c r="L284" s="20">
        <f>(Geraetedaten!$B$158+(Geraetedaten!$B$159*(Geraetedaten!$B$18+d_y_Sw)/1000)-(Geraetedaten!$B$160*I284/1000))*10</f>
        <v>253.86824926422128</v>
      </c>
      <c r="M284" s="20">
        <f>(Geraetedaten!$B$171+(Geraetedaten!$B$172*(Geraetedaten!$B$18+d_y_Sw)/1000)-(Geraetedaten!$B$173*I284/1000))*10</f>
        <v>711.93597547018555</v>
      </c>
      <c r="N284" s="20">
        <f>IF((H284-J284)/(K284-J284)*(Geraetedaten!$B$174-Geraetedaten!$B$161)&lt;Geraetedaten!$B$174,(H284-J284)/(K284-J284)*(Geraetedaten!$B$174-Geraetedaten!$B$161),Geraetedaten!$B$174)</f>
        <v>400</v>
      </c>
      <c r="O284" s="20">
        <f>N284/Geraetedaten!$B$174*(M284-L284)+L284+C284</f>
        <v>782.15332802718058</v>
      </c>
      <c r="P284" s="20">
        <f t="shared" si="246"/>
        <v>219.28691744874374</v>
      </c>
      <c r="Q284" s="20"/>
      <c r="R284" s="21">
        <f>(N284-Geraetedaten!$B$161)/(Geraetedaten!$B$174-Geraetedaten!$B$161)*(Geraetedaten!$B$175-Geraetedaten!$B$162)+Geraetedaten!$B$162</f>
        <v>41.1</v>
      </c>
      <c r="S284" s="21">
        <f t="shared" si="225"/>
        <v>41.1</v>
      </c>
      <c r="T284" s="21">
        <f t="shared" si="226"/>
        <v>-36.620368144141921</v>
      </c>
      <c r="U284" s="88">
        <f t="shared" si="227"/>
        <v>-18.659009539295379</v>
      </c>
      <c r="V284" s="86">
        <f t="shared" si="228"/>
        <v>11865.20314</v>
      </c>
      <c r="W284" s="85">
        <f t="shared" si="229"/>
        <v>-4225.3239992296285</v>
      </c>
      <c r="X284" s="85">
        <f t="shared" si="230"/>
        <v>4741.1475621952613</v>
      </c>
      <c r="Y284" s="90">
        <f t="shared" si="231"/>
        <v>4225.3239992296285</v>
      </c>
      <c r="Z284" s="86">
        <f t="shared" si="232"/>
        <v>18005.671129999999</v>
      </c>
      <c r="AA284" s="85">
        <f t="shared" si="233"/>
        <v>-913.46204712425447</v>
      </c>
      <c r="AB284" s="85">
        <f t="shared" si="234"/>
        <v>1870.9289210503011</v>
      </c>
      <c r="AC284" s="90">
        <f t="shared" si="235"/>
        <v>913.46204712425447</v>
      </c>
      <c r="AD284" s="86">
        <f t="shared" si="236"/>
        <v>-11744.375889999999</v>
      </c>
      <c r="AE284" s="85">
        <f t="shared" si="237"/>
        <v>4140.4375383844126</v>
      </c>
      <c r="AF284" s="85">
        <f t="shared" si="238"/>
        <v>-4647.8867204563112</v>
      </c>
      <c r="AG284" s="90">
        <f t="shared" si="239"/>
        <v>4140.4375383844126</v>
      </c>
      <c r="AH284" s="86">
        <f t="shared" si="240"/>
        <v>-20728.43765</v>
      </c>
      <c r="AI284" s="85">
        <f t="shared" si="241"/>
        <v>6238.0466047659793</v>
      </c>
      <c r="AJ284" s="85">
        <f t="shared" si="242"/>
        <v>-14084.974981775258</v>
      </c>
      <c r="AK284" s="90">
        <f t="shared" si="243"/>
        <v>6238.0466047659793</v>
      </c>
      <c r="AM284" s="95">
        <f t="shared" si="213"/>
        <v>0</v>
      </c>
      <c r="AN284" s="95">
        <f t="shared" si="214"/>
        <v>0</v>
      </c>
      <c r="AO284" s="95">
        <f t="shared" si="215"/>
        <v>0</v>
      </c>
      <c r="AP284" s="95">
        <f t="shared" si="216"/>
        <v>0</v>
      </c>
      <c r="AQ284"/>
      <c r="AR284" s="95">
        <f t="shared" si="244"/>
        <v>0</v>
      </c>
      <c r="AS284" s="95">
        <f t="shared" si="245"/>
        <v>0</v>
      </c>
      <c r="AT284" s="95">
        <f>Geraetedaten!$B$94*ABS(SIN(RADIANS($A284)))</f>
        <v>137.21500472500864</v>
      </c>
      <c r="AU284" s="95">
        <f>Geraetedaten!$B$94*ABS(COS(RADIANS($A284)))</f>
        <v>69.914536959890228</v>
      </c>
      <c r="AV284" s="95">
        <f>((h_Aw_Sw+Geraetedaten!$B$18)/1000)*(AR284*AT284+AS284*AU284)/100</f>
        <v>0</v>
      </c>
      <c r="AX284" s="18">
        <f t="shared" si="212"/>
        <v>0.45399049973954692</v>
      </c>
    </row>
    <row r="285" spans="1:50" ht="13.5" x14ac:dyDescent="0.25">
      <c r="A285" s="16">
        <v>244</v>
      </c>
      <c r="B285" s="16">
        <f t="shared" ref="B285:B316" si="247">360-A285+90</f>
        <v>206</v>
      </c>
      <c r="C285" s="19">
        <f t="shared" ref="C285:C316" si="248">$AF$16*ABS(COS(RADIANS(A285)))+$AF$17*ABS(SIN(RADIANS(A285)))+AV285</f>
        <v>70.24448452713311</v>
      </c>
      <c r="D285" s="17">
        <f t="shared" si="217"/>
        <v>11692.264485472868</v>
      </c>
      <c r="E285" s="17">
        <f t="shared" ref="E285:E316" si="249">IF(ISNUMBER(Z285),Z285-C285,"unendlich")</f>
        <v>18518.131215472866</v>
      </c>
      <c r="F285" s="17">
        <f t="shared" ref="F285:F316" si="250">IF(ISNUMBER(AD285),AD285-C285,"unendlich")</f>
        <v>-11712.758884527133</v>
      </c>
      <c r="G285" s="17">
        <f t="shared" ref="G285:G316" si="251">IF(ISNUMBER(AH285),AH285-C285,"unendlich")</f>
        <v>-21561.244684527133</v>
      </c>
      <c r="H285" s="17">
        <f t="shared" si="218"/>
        <v>11692.264485472868</v>
      </c>
      <c r="I285" s="17">
        <f t="shared" ref="I285:I316" si="252">IF(H285+C285=V285,X285,IF(H285+C285=Z285,AB285,IF(H285+C285=AD285,AF285,IF(H285+C285=AH285,AJ285,"???"))))</f>
        <v>4700.1125987546529</v>
      </c>
      <c r="J285" s="20">
        <f>(Geraetedaten!$B$152+(Geraetedaten!$B$153*(Geraetedaten!$B$18+d_y_Sw)/1000))*10</f>
        <v>6051.0442000000003</v>
      </c>
      <c r="K285" s="20">
        <f>(Geraetedaten!$B$165+(Geraetedaten!$B$166*(Geraetedaten!$B$18+d_y_Sw)/1000))*10</f>
        <v>10816.164000000001</v>
      </c>
      <c r="L285" s="20">
        <f>(Geraetedaten!$B$158+(Geraetedaten!$B$159*(Geraetedaten!$B$18+d_y_Sw)/1000)-(Geraetedaten!$B$160*I285/1000))*10</f>
        <v>256.87734313332112</v>
      </c>
      <c r="M285" s="20">
        <f>(Geraetedaten!$B$171+(Geraetedaten!$B$172*(Geraetedaten!$B$18+d_y_Sw)/1000)-(Geraetedaten!$B$173*I285/1000))*10</f>
        <v>714.99061814870458</v>
      </c>
      <c r="N285" s="20">
        <f>IF((H285-J285)/(K285-J285)*(Geraetedaten!$B$174-Geraetedaten!$B$161)&lt;Geraetedaten!$B$174,(H285-J285)/(K285-J285)*(Geraetedaten!$B$174-Geraetedaten!$B$161),Geraetedaten!$B$174)</f>
        <v>400</v>
      </c>
      <c r="O285" s="20">
        <f>N285/Geraetedaten!$B$174*(M285-L285)+L285+C285</f>
        <v>785.23510267583765</v>
      </c>
      <c r="P285" s="20">
        <f t="shared" si="246"/>
        <v>219.90274885123119</v>
      </c>
      <c r="Q285" s="20"/>
      <c r="R285" s="21">
        <f>(N285-Geraetedaten!$B$161)/(Geraetedaten!$B$174-Geraetedaten!$B$161)*(Geraetedaten!$B$175-Geraetedaten!$B$162)+Geraetedaten!$B$162</f>
        <v>41.1</v>
      </c>
      <c r="S285" s="21">
        <f t="shared" ref="S285:S316" si="253">SQRT((r_K_D/1000)^2+R285^2-(2*(r_K_D/1000)*R285*COS(RADIANS(2*A285))))</f>
        <v>41.1</v>
      </c>
      <c r="T285" s="21">
        <f t="shared" ref="T285:T316" si="254">S285*SIN(A285*Const_2)</f>
        <v>-36.940435302895757</v>
      </c>
      <c r="U285" s="88">
        <f t="shared" ref="U285:U316" si="255">S285*COS(A285*Const_2)</f>
        <v>-18.017054133031095</v>
      </c>
      <c r="V285" s="86">
        <f t="shared" ref="V285:V316" si="256">ROUND((F_S*r_Su_L-F_G*W285+F_SSw*Y285)/(SIN(RADIANS(270+g_L-A285)))/1000,5)</f>
        <v>11762.508970000001</v>
      </c>
      <c r="W285" s="85">
        <f t="shared" ref="W285:W316" si="257">(SIN(RADIANS(g_L)))*(((VL_Z-HL_Z)/(VL_X-HL_X))*(-HL_X+AN285)+HL_Z-AM285)</f>
        <v>-4225.3239992296285</v>
      </c>
      <c r="X285" s="85">
        <f t="shared" ref="X285:X316" si="258">W285/(SIN(RADIANS(180-g_L-(90-$A285))))</f>
        <v>4700.1125987546529</v>
      </c>
      <c r="Y285" s="90">
        <f t="shared" ref="Y285:Y316" si="259">SIN(RADIANS(g_L))*(((VL_Z-HL_Z)/(VL_X-HL_X))*(-AP285+HL_X)-HL_Z+AO285)</f>
        <v>4225.3239992296285</v>
      </c>
      <c r="Z285" s="86">
        <f t="shared" ref="Z285:Z316" si="260">ROUND((F_S*r_Su_H-F_G*AA285+F_SSw*AC285)/(SIN(RADIANS(180+g_H-A285)))/1000,5)</f>
        <v>18588.375700000001</v>
      </c>
      <c r="AA285" s="85">
        <f t="shared" ref="AA285:AA316" si="261">(SIN(RADIANS(g_H)))*(((HL_X-HR_X)/(HL_Z-HR_Z))*(-HR_Z+AM285)+HR_X-AN285)</f>
        <v>-913.46204712425447</v>
      </c>
      <c r="AB285" s="85">
        <f t="shared" ref="AB285:AB316" si="262">AA285/(SIN(RADIANS(g_H-$A285)))</f>
        <v>1931.4764464678151</v>
      </c>
      <c r="AC285" s="90">
        <f t="shared" ref="AC285:AC316" si="263">SIN(RADIANS(g_H))*(((HL_X-HR_X)/(HL_Z-HR_Z))*(-AO285+HR_Z)-HR_X+AP285)</f>
        <v>913.46204712425447</v>
      </c>
      <c r="AD285" s="86">
        <f t="shared" ref="AD285:AD316" si="264">ROUND((F_S*r_Su_R+F_G*AE285+F_SSw*AG285)/(SIN(RADIANS(90+g_R-A285)))/1000,5)</f>
        <v>-11642.5144</v>
      </c>
      <c r="AE285" s="85">
        <f t="shared" ref="AE285:AE316" si="265">(SIN(RADIANS(g_R)))*(((HR_Z-VR_Z)/(HR_X-VR_X))*(-VR_X+AN285)+VR_Z-AM285)</f>
        <v>4140.4375383844126</v>
      </c>
      <c r="AF285" s="85">
        <f t="shared" ref="AF285:AF316" si="266">AE285/(SIN(RADIANS(180-g_R-(90-$A285))))</f>
        <v>-4607.5746043920553</v>
      </c>
      <c r="AG285" s="90">
        <f t="shared" ref="AG285:AG316" si="267">(SIN(RADIANS(g_R)))*(((HR_Z-VR_Z)/(HR_X-VR_X))*(-VR_X+AP285)+VR_Z-AO285)</f>
        <v>4140.4375383844126</v>
      </c>
      <c r="AH285" s="86">
        <f t="shared" ref="AH285:AH316" si="268">ROUND((F_S*r_Su_V+F_G*AI285+F_SSw*AK285)/(SIN(RADIANS(g_V-A285)))/1000,5)</f>
        <v>-21491.000199999999</v>
      </c>
      <c r="AI285" s="85">
        <f t="shared" ref="AI285:AI316" si="269">(SIN(RADIANS(g_V)))*(((VR_X-VL_X)/(VR_Z-VL_Z))*(AM285-VL_Z)+VL_X-AN285)</f>
        <v>6238.0466047659793</v>
      </c>
      <c r="AJ285" s="85">
        <f t="shared" ref="AJ285:AJ316" si="270">AI285/(SIN(RADIANS(g_V-$A285)))</f>
        <v>-14603.136289881086</v>
      </c>
      <c r="AK285" s="90">
        <f t="shared" ref="AK285:AK316" si="271">(SIN(RADIANS(g_V)))*(((VR_X-VL_X)/(VR_Z-VL_Z))*(-VL_Z+AO285)+VL_X-AP285)</f>
        <v>6238.0466047659793</v>
      </c>
      <c r="AM285" s="95">
        <f t="shared" si="213"/>
        <v>0</v>
      </c>
      <c r="AN285" s="95">
        <f t="shared" si="214"/>
        <v>0</v>
      </c>
      <c r="AO285" s="95">
        <f t="shared" si="215"/>
        <v>0</v>
      </c>
      <c r="AP285" s="95">
        <f t="shared" si="216"/>
        <v>0</v>
      </c>
      <c r="AQ285"/>
      <c r="AR285" s="95">
        <f t="shared" ref="AR285:AR316" si="272">MAX(d_y_Sw*(r_K_D*ABS(COS(RADIANS($A285)))+_r1_Sw+_r2_Sw), 2*_r1_Sw*d_y_Sw)/1000000</f>
        <v>0</v>
      </c>
      <c r="AS285" s="95">
        <f t="shared" ref="AS285:AS316" si="273">MAX(d_y_Sw*(r_K_D*ABS(SIN(RADIANS($A285)))+_r1_Sw+_r2_Sw), 2*_r1_Sw*d_y_Sw)/1000000</f>
        <v>0</v>
      </c>
      <c r="AT285" s="95">
        <f>Geraetedaten!$B$94*ABS(SIN(RADIANS($A285)))</f>
        <v>138.41428313007168</v>
      </c>
      <c r="AU285" s="95">
        <f>Geraetedaten!$B$94*ABS(COS(RADIANS($A285)))</f>
        <v>67.509156605517973</v>
      </c>
      <c r="AV285" s="95">
        <f>((h_Aw_Sw+Geraetedaten!$B$18)/1000)*(AR285*AT285+AS285*AU285)/100</f>
        <v>0</v>
      </c>
      <c r="AX285" s="18">
        <f t="shared" ref="AX285:AX348" si="274">ABS(COS(RADIANS(A285)))</f>
        <v>0.43837114678907774</v>
      </c>
    </row>
    <row r="286" spans="1:50" ht="13.5" x14ac:dyDescent="0.25">
      <c r="A286" s="16">
        <v>245</v>
      </c>
      <c r="B286" s="16">
        <f t="shared" si="247"/>
        <v>205</v>
      </c>
      <c r="C286" s="19">
        <f t="shared" si="248"/>
        <v>70.250219346810582</v>
      </c>
      <c r="D286" s="17">
        <f t="shared" si="217"/>
        <v>11594.84980065319</v>
      </c>
      <c r="E286" s="17">
        <f t="shared" si="249"/>
        <v>19145.85590065319</v>
      </c>
      <c r="F286" s="17">
        <f t="shared" si="250"/>
        <v>-11616.14162934681</v>
      </c>
      <c r="G286" s="17">
        <f t="shared" si="251"/>
        <v>-22389.120719346811</v>
      </c>
      <c r="H286" s="17">
        <f t="shared" si="218"/>
        <v>11594.84980065319</v>
      </c>
      <c r="I286" s="17">
        <f t="shared" si="252"/>
        <v>4661.1895212278432</v>
      </c>
      <c r="J286" s="20">
        <f>(Geraetedaten!$B$152+(Geraetedaten!$B$153*(Geraetedaten!$B$18+d_y_Sw)/1000))*10</f>
        <v>6051.0442000000003</v>
      </c>
      <c r="K286" s="20">
        <f>(Geraetedaten!$B$165+(Geraetedaten!$B$166*(Geraetedaten!$B$18+d_y_Sw)/1000))*10</f>
        <v>10816.164000000001</v>
      </c>
      <c r="L286" s="20">
        <f>(Geraetedaten!$B$158+(Geraetedaten!$B$159*(Geraetedaten!$B$18+d_y_Sw)/1000)-(Geraetedaten!$B$160*I286/1000))*10</f>
        <v>259.73157240836201</v>
      </c>
      <c r="M286" s="20">
        <f>(Geraetedaten!$B$171+(Geraetedaten!$B$172*(Geraetedaten!$B$18+d_y_Sw)/1000)-(Geraetedaten!$B$173*I286/1000))*10</f>
        <v>717.88805203980019</v>
      </c>
      <c r="N286" s="20">
        <f>IF((H286-J286)/(K286-J286)*(Geraetedaten!$B$174-Geraetedaten!$B$161)&lt;Geraetedaten!$B$174,(H286-J286)/(K286-J286)*(Geraetedaten!$B$174-Geraetedaten!$B$161),Geraetedaten!$B$174)</f>
        <v>400</v>
      </c>
      <c r="O286" s="20">
        <f>N286/Geraetedaten!$B$174*(M286-L286)+L286+C286</f>
        <v>788.13827138661077</v>
      </c>
      <c r="P286" s="20">
        <f t="shared" si="246"/>
        <v>220.48000921095783</v>
      </c>
      <c r="Q286" s="20"/>
      <c r="R286" s="21">
        <f>(N286-Geraetedaten!$B$161)/(Geraetedaten!$B$174-Geraetedaten!$B$161)*(Geraetedaten!$B$175-Geraetedaten!$B$162)+Geraetedaten!$B$162</f>
        <v>41.1</v>
      </c>
      <c r="S286" s="21">
        <f t="shared" si="253"/>
        <v>41.1</v>
      </c>
      <c r="T286" s="21">
        <f t="shared" si="254"/>
        <v>-37.249250047206317</v>
      </c>
      <c r="U286" s="88">
        <f t="shared" si="255"/>
        <v>-17.369610557542735</v>
      </c>
      <c r="V286" s="86">
        <f t="shared" si="256"/>
        <v>11665.10002</v>
      </c>
      <c r="W286" s="85">
        <f t="shared" si="257"/>
        <v>-4225.3239992296285</v>
      </c>
      <c r="X286" s="85">
        <f t="shared" si="258"/>
        <v>4661.1895212278432</v>
      </c>
      <c r="Y286" s="90">
        <f t="shared" si="259"/>
        <v>4225.3239992296285</v>
      </c>
      <c r="Z286" s="86">
        <f t="shared" si="260"/>
        <v>19216.10612</v>
      </c>
      <c r="AA286" s="85">
        <f t="shared" si="261"/>
        <v>-913.46204712425447</v>
      </c>
      <c r="AB286" s="85">
        <f t="shared" si="262"/>
        <v>1996.7025067974685</v>
      </c>
      <c r="AC286" s="90">
        <f t="shared" si="263"/>
        <v>913.46204712425447</v>
      </c>
      <c r="AD286" s="86">
        <f t="shared" si="264"/>
        <v>-11545.89141</v>
      </c>
      <c r="AE286" s="85">
        <f t="shared" si="265"/>
        <v>4140.4375383844126</v>
      </c>
      <c r="AF286" s="85">
        <f t="shared" si="266"/>
        <v>-4569.3356425355414</v>
      </c>
      <c r="AG286" s="90">
        <f t="shared" si="267"/>
        <v>4140.4375383844126</v>
      </c>
      <c r="AH286" s="86">
        <f t="shared" si="268"/>
        <v>-22318.870500000001</v>
      </c>
      <c r="AI286" s="85">
        <f t="shared" si="269"/>
        <v>6238.0466047659793</v>
      </c>
      <c r="AJ286" s="85">
        <f t="shared" si="270"/>
        <v>-15165.674222169951</v>
      </c>
      <c r="AK286" s="90">
        <f t="shared" si="271"/>
        <v>6238.0466047659793</v>
      </c>
      <c r="AM286" s="95">
        <f t="shared" si="213"/>
        <v>0</v>
      </c>
      <c r="AN286" s="95">
        <f t="shared" si="214"/>
        <v>0</v>
      </c>
      <c r="AO286" s="95">
        <f t="shared" si="215"/>
        <v>0</v>
      </c>
      <c r="AP286" s="95">
        <f t="shared" si="216"/>
        <v>0</v>
      </c>
      <c r="AQ286"/>
      <c r="AR286" s="95">
        <f t="shared" si="272"/>
        <v>0</v>
      </c>
      <c r="AS286" s="95">
        <f t="shared" si="273"/>
        <v>0</v>
      </c>
      <c r="AT286" s="95">
        <f>Geraetedaten!$B$94*ABS(SIN(RADIANS($A286)))</f>
        <v>139.57139920364412</v>
      </c>
      <c r="AU286" s="95">
        <f>Geraetedaten!$B$94*ABS(COS(RADIANS($A286)))</f>
        <v>65.083212308067672</v>
      </c>
      <c r="AV286" s="95">
        <f>((h_Aw_Sw+Geraetedaten!$B$18)/1000)*(AR286*AT286+AS286*AU286)/100</f>
        <v>0</v>
      </c>
      <c r="AX286" s="18">
        <f t="shared" si="274"/>
        <v>0.42261826174069916</v>
      </c>
    </row>
    <row r="287" spans="1:50" ht="13.5" x14ac:dyDescent="0.25">
      <c r="A287" s="16">
        <v>246</v>
      </c>
      <c r="B287" s="16">
        <f t="shared" si="247"/>
        <v>204</v>
      </c>
      <c r="C287" s="19">
        <f t="shared" si="248"/>
        <v>70.234555269145858</v>
      </c>
      <c r="D287" s="17">
        <f t="shared" si="217"/>
        <v>11502.552834730854</v>
      </c>
      <c r="E287" s="17">
        <f t="shared" si="249"/>
        <v>19823.752434730857</v>
      </c>
      <c r="F287" s="17">
        <f t="shared" si="250"/>
        <v>-11524.553925269145</v>
      </c>
      <c r="G287" s="17">
        <f t="shared" si="251"/>
        <v>-23290.669315269144</v>
      </c>
      <c r="H287" s="17">
        <f t="shared" si="218"/>
        <v>11502.552834730854</v>
      </c>
      <c r="I287" s="17">
        <f t="shared" si="252"/>
        <v>4624.3028549442342</v>
      </c>
      <c r="J287" s="20">
        <f>(Geraetedaten!$B$152+(Geraetedaten!$B$153*(Geraetedaten!$B$18+d_y_Sw)/1000))*10</f>
        <v>6051.0442000000003</v>
      </c>
      <c r="K287" s="20">
        <f>(Geraetedaten!$B$165+(Geraetedaten!$B$166*(Geraetedaten!$B$18+d_y_Sw)/1000))*10</f>
        <v>10816.164000000001</v>
      </c>
      <c r="L287" s="20">
        <f>(Geraetedaten!$B$158+(Geraetedaten!$B$159*(Geraetedaten!$B$18+d_y_Sw)/1000)-(Geraetedaten!$B$160*I287/1000))*10</f>
        <v>262.43647164693914</v>
      </c>
      <c r="M287" s="20">
        <f>(Geraetedaten!$B$171+(Geraetedaten!$B$172*(Geraetedaten!$B$18+d_y_Sw)/1000)-(Geraetedaten!$B$173*I287/1000))*10</f>
        <v>720.63389547795214</v>
      </c>
      <c r="N287" s="20">
        <f>IF((H287-J287)/(K287-J287)*(Geraetedaten!$B$174-Geraetedaten!$B$161)&lt;Geraetedaten!$B$174,(H287-J287)/(K287-J287)*(Geraetedaten!$B$174-Geraetedaten!$B$161),Geraetedaten!$B$174)</f>
        <v>400</v>
      </c>
      <c r="O287" s="20">
        <f>N287/Geraetedaten!$B$174*(M287-L287)+L287+C287</f>
        <v>790.868450747098</v>
      </c>
      <c r="P287" s="20">
        <f t="shared" si="246"/>
        <v>221.02003458512573</v>
      </c>
      <c r="Q287" s="20"/>
      <c r="R287" s="21">
        <f>(N287-Geraetedaten!$B$161)/(Geraetedaten!$B$174-Geraetedaten!$B$161)*(Geraetedaten!$B$175-Geraetedaten!$B$162)+Geraetedaten!$B$162</f>
        <v>41.1</v>
      </c>
      <c r="S287" s="21">
        <f t="shared" si="253"/>
        <v>41.1</v>
      </c>
      <c r="T287" s="21">
        <f t="shared" si="254"/>
        <v>-37.546718309110901</v>
      </c>
      <c r="U287" s="88">
        <f t="shared" si="255"/>
        <v>-16.716876030415385</v>
      </c>
      <c r="V287" s="86">
        <f t="shared" si="256"/>
        <v>11572.78739</v>
      </c>
      <c r="W287" s="85">
        <f t="shared" si="257"/>
        <v>-4225.3239992296285</v>
      </c>
      <c r="X287" s="85">
        <f t="shared" si="258"/>
        <v>4624.3028549442342</v>
      </c>
      <c r="Y287" s="90">
        <f t="shared" si="259"/>
        <v>4225.3239992296285</v>
      </c>
      <c r="Z287" s="86">
        <f t="shared" si="260"/>
        <v>19893.986990000001</v>
      </c>
      <c r="AA287" s="85">
        <f t="shared" si="261"/>
        <v>-913.46204712425447</v>
      </c>
      <c r="AB287" s="85">
        <f t="shared" si="262"/>
        <v>2067.1395892788232</v>
      </c>
      <c r="AC287" s="90">
        <f t="shared" si="263"/>
        <v>913.46204712425447</v>
      </c>
      <c r="AD287" s="86">
        <f t="shared" si="264"/>
        <v>-11454.319369999999</v>
      </c>
      <c r="AE287" s="85">
        <f t="shared" si="265"/>
        <v>4140.4375383844126</v>
      </c>
      <c r="AF287" s="85">
        <f t="shared" si="266"/>
        <v>-4533.0956179444629</v>
      </c>
      <c r="AG287" s="90">
        <f t="shared" si="267"/>
        <v>4140.4375383844126</v>
      </c>
      <c r="AH287" s="86">
        <f t="shared" si="268"/>
        <v>-23220.43476</v>
      </c>
      <c r="AI287" s="85">
        <f t="shared" si="269"/>
        <v>6238.0466047659793</v>
      </c>
      <c r="AJ287" s="85">
        <f t="shared" si="270"/>
        <v>-15778.287208643609</v>
      </c>
      <c r="AK287" s="90">
        <f t="shared" si="271"/>
        <v>6238.0466047659793</v>
      </c>
      <c r="AM287" s="95">
        <f t="shared" si="213"/>
        <v>0</v>
      </c>
      <c r="AN287" s="95">
        <f t="shared" si="214"/>
        <v>0</v>
      </c>
      <c r="AO287" s="95">
        <f t="shared" si="215"/>
        <v>0</v>
      </c>
      <c r="AP287" s="95">
        <f t="shared" si="216"/>
        <v>0</v>
      </c>
      <c r="AQ287"/>
      <c r="AR287" s="95">
        <f t="shared" si="272"/>
        <v>0</v>
      </c>
      <c r="AS287" s="95">
        <f t="shared" si="273"/>
        <v>0</v>
      </c>
      <c r="AT287" s="95">
        <f>Geraetedaten!$B$94*ABS(SIN(RADIANS($A287)))</f>
        <v>140.68600047696054</v>
      </c>
      <c r="AU287" s="95">
        <f>Geraetedaten!$B$94*ABS(COS(RADIANS($A287)))</f>
        <v>62.637443033673215</v>
      </c>
      <c r="AV287" s="95">
        <f>((h_Aw_Sw+Geraetedaten!$B$18)/1000)*(AR287*AT287+AS287*AU287)/100</f>
        <v>0</v>
      </c>
      <c r="AX287" s="18">
        <f t="shared" si="274"/>
        <v>0.4067366430758001</v>
      </c>
    </row>
    <row r="288" spans="1:50" ht="13.5" x14ac:dyDescent="0.25">
      <c r="A288" s="16">
        <v>247</v>
      </c>
      <c r="B288" s="16">
        <f t="shared" si="247"/>
        <v>203</v>
      </c>
      <c r="C288" s="19">
        <f t="shared" si="248"/>
        <v>70.19749706556874</v>
      </c>
      <c r="D288" s="17">
        <f t="shared" si="217"/>
        <v>11415.197932934432</v>
      </c>
      <c r="E288" s="17">
        <f t="shared" si="249"/>
        <v>20557.759292934432</v>
      </c>
      <c r="F288" s="17">
        <f t="shared" si="250"/>
        <v>-11437.821377065568</v>
      </c>
      <c r="G288" s="17">
        <f t="shared" si="251"/>
        <v>-24275.783087065567</v>
      </c>
      <c r="H288" s="17">
        <f t="shared" si="218"/>
        <v>11415.197932934432</v>
      </c>
      <c r="I288" s="17">
        <f t="shared" si="252"/>
        <v>4589.3824098609557</v>
      </c>
      <c r="J288" s="20">
        <f>(Geraetedaten!$B$152+(Geraetedaten!$B$153*(Geraetedaten!$B$18+d_y_Sw)/1000))*10</f>
        <v>6051.0442000000003</v>
      </c>
      <c r="K288" s="20">
        <f>(Geraetedaten!$B$165+(Geraetedaten!$B$166*(Geraetedaten!$B$18+d_y_Sw)/1000))*10</f>
        <v>10816.164000000001</v>
      </c>
      <c r="L288" s="20">
        <f>(Geraetedaten!$B$158+(Geraetedaten!$B$159*(Geraetedaten!$B$18+d_y_Sw)/1000)-(Geraetedaten!$B$160*I288/1000))*10</f>
        <v>264.99718788489588</v>
      </c>
      <c r="M288" s="20">
        <f>(Geraetedaten!$B$171+(Geraetedaten!$B$172*(Geraetedaten!$B$18+d_y_Sw)/1000)-(Geraetedaten!$B$173*I288/1000))*10</f>
        <v>723.23337340995124</v>
      </c>
      <c r="N288" s="20">
        <f>IF((H288-J288)/(K288-J288)*(Geraetedaten!$B$174-Geraetedaten!$B$161)&lt;Geraetedaten!$B$174,(H288-J288)/(K288-J288)*(Geraetedaten!$B$174-Geraetedaten!$B$161),Geraetedaten!$B$174)</f>
        <v>400</v>
      </c>
      <c r="O288" s="20">
        <f>N288/Geraetedaten!$B$174*(M288-L288)+L288+C288</f>
        <v>793.43087047552001</v>
      </c>
      <c r="P288" s="20">
        <f t="shared" si="246"/>
        <v>221.52406244778214</v>
      </c>
      <c r="Q288" s="20"/>
      <c r="R288" s="21">
        <f>(N288-Geraetedaten!$B$161)/(Geraetedaten!$B$174-Geraetedaten!$B$161)*(Geraetedaten!$B$175-Geraetedaten!$B$162)+Geraetedaten!$B$162</f>
        <v>41.1</v>
      </c>
      <c r="S288" s="21">
        <f t="shared" si="253"/>
        <v>41.1</v>
      </c>
      <c r="T288" s="21">
        <f t="shared" si="254"/>
        <v>-37.832749476895295</v>
      </c>
      <c r="U288" s="88">
        <f t="shared" si="255"/>
        <v>-16.059049380909155</v>
      </c>
      <c r="V288" s="86">
        <f t="shared" si="256"/>
        <v>11485.39543</v>
      </c>
      <c r="W288" s="85">
        <f t="shared" si="257"/>
        <v>-4225.3239992296285</v>
      </c>
      <c r="X288" s="85">
        <f t="shared" si="258"/>
        <v>4589.3824098609557</v>
      </c>
      <c r="Y288" s="90">
        <f t="shared" si="259"/>
        <v>4225.3239992296285</v>
      </c>
      <c r="Z288" s="86">
        <f t="shared" si="260"/>
        <v>20627.95679</v>
      </c>
      <c r="AA288" s="85">
        <f t="shared" si="261"/>
        <v>-913.46204712425447</v>
      </c>
      <c r="AB288" s="85">
        <f t="shared" si="262"/>
        <v>2143.4047449809004</v>
      </c>
      <c r="AC288" s="90">
        <f t="shared" si="263"/>
        <v>913.46204712425447</v>
      </c>
      <c r="AD288" s="86">
        <f t="shared" si="264"/>
        <v>-11367.623879999999</v>
      </c>
      <c r="AE288" s="85">
        <f t="shared" si="265"/>
        <v>4140.4375383844126</v>
      </c>
      <c r="AF288" s="85">
        <f t="shared" si="266"/>
        <v>-4498.7855097321089</v>
      </c>
      <c r="AG288" s="90">
        <f t="shared" si="267"/>
        <v>4140.4375383844126</v>
      </c>
      <c r="AH288" s="86">
        <f t="shared" si="268"/>
        <v>-24205.585589999999</v>
      </c>
      <c r="AI288" s="85">
        <f t="shared" si="269"/>
        <v>6238.0466047659793</v>
      </c>
      <c r="AJ288" s="85">
        <f t="shared" si="270"/>
        <v>-16447.697270101384</v>
      </c>
      <c r="AK288" s="90">
        <f t="shared" si="271"/>
        <v>6238.0466047659793</v>
      </c>
      <c r="AM288" s="95">
        <f t="shared" si="213"/>
        <v>0</v>
      </c>
      <c r="AN288" s="95">
        <f t="shared" si="214"/>
        <v>0</v>
      </c>
      <c r="AO288" s="95">
        <f t="shared" si="215"/>
        <v>0</v>
      </c>
      <c r="AP288" s="95">
        <f t="shared" si="216"/>
        <v>0</v>
      </c>
      <c r="AQ288"/>
      <c r="AR288" s="95">
        <f t="shared" si="272"/>
        <v>0</v>
      </c>
      <c r="AS288" s="95">
        <f t="shared" si="273"/>
        <v>0</v>
      </c>
      <c r="AT288" s="95">
        <f>Geraetedaten!$B$94*ABS(SIN(RADIANS($A288)))</f>
        <v>141.7577474316758</v>
      </c>
      <c r="AU288" s="95">
        <f>Geraetedaten!$B$94*ABS(COS(RADIANS($A288)))</f>
        <v>60.17259378734817</v>
      </c>
      <c r="AV288" s="95">
        <f>((h_Aw_Sw+Geraetedaten!$B$18)/1000)*(AR288*AT288+AS288*AU288)/100</f>
        <v>0</v>
      </c>
      <c r="AX288" s="18">
        <f t="shared" si="274"/>
        <v>0.39073112848927383</v>
      </c>
    </row>
    <row r="289" spans="1:50" ht="13.5" x14ac:dyDescent="0.25">
      <c r="A289" s="16">
        <v>248</v>
      </c>
      <c r="B289" s="16">
        <f t="shared" si="247"/>
        <v>202</v>
      </c>
      <c r="C289" s="19">
        <f t="shared" si="248"/>
        <v>70.139056024367036</v>
      </c>
      <c r="D289" s="17">
        <f t="shared" si="217"/>
        <v>11332.621763975632</v>
      </c>
      <c r="E289" s="17">
        <f t="shared" si="249"/>
        <v>21354.796663975634</v>
      </c>
      <c r="F289" s="17">
        <f t="shared" si="250"/>
        <v>-11355.781846024367</v>
      </c>
      <c r="G289" s="17">
        <f t="shared" si="251"/>
        <v>-25356.214796024367</v>
      </c>
      <c r="H289" s="17">
        <f t="shared" si="218"/>
        <v>11332.621763975632</v>
      </c>
      <c r="I289" s="17">
        <f t="shared" si="252"/>
        <v>4556.3629257628672</v>
      </c>
      <c r="J289" s="20">
        <f>(Geraetedaten!$B$152+(Geraetedaten!$B$153*(Geraetedaten!$B$18+d_y_Sw)/1000))*10</f>
        <v>6051.0442000000003</v>
      </c>
      <c r="K289" s="20">
        <f>(Geraetedaten!$B$165+(Geraetedaten!$B$166*(Geraetedaten!$B$18+d_y_Sw)/1000))*10</f>
        <v>10816.164000000001</v>
      </c>
      <c r="L289" s="20">
        <f>(Geraetedaten!$B$158+(Geraetedaten!$B$159*(Geraetedaten!$B$18+d_y_Sw)/1000)-(Geraetedaten!$B$160*I289/1000))*10</f>
        <v>267.41850665380872</v>
      </c>
      <c r="M289" s="20">
        <f>(Geraetedaten!$B$171+(Geraetedaten!$B$172*(Geraetedaten!$B$18+d_y_Sw)/1000)-(Geraetedaten!$B$173*I289/1000))*10</f>
        <v>725.69134380621313</v>
      </c>
      <c r="N289" s="20">
        <f>IF((H289-J289)/(K289-J289)*(Geraetedaten!$B$174-Geraetedaten!$B$161)&lt;Geraetedaten!$B$174,(H289-J289)/(K289-J289)*(Geraetedaten!$B$174-Geraetedaten!$B$161),Geraetedaten!$B$174)</f>
        <v>400</v>
      </c>
      <c r="O289" s="20">
        <f>N289/Geraetedaten!$B$174*(M289-L289)+L289+C289</f>
        <v>795.83039983058018</v>
      </c>
      <c r="P289" s="20">
        <f t="shared" si="246"/>
        <v>221.99323917226201</v>
      </c>
      <c r="Q289" s="20"/>
      <c r="R289" s="21">
        <f>(N289-Geraetedaten!$B$161)/(Geraetedaten!$B$174-Geraetedaten!$B$161)*(Geraetedaten!$B$175-Geraetedaten!$B$162)+Geraetedaten!$B$162</f>
        <v>41.1</v>
      </c>
      <c r="S289" s="21">
        <f t="shared" si="253"/>
        <v>41.1</v>
      </c>
      <c r="T289" s="21">
        <f t="shared" si="254"/>
        <v>-38.107256422694959</v>
      </c>
      <c r="U289" s="88">
        <f t="shared" si="255"/>
        <v>-15.396330989393995</v>
      </c>
      <c r="V289" s="86">
        <f t="shared" si="256"/>
        <v>11402.76082</v>
      </c>
      <c r="W289" s="85">
        <f t="shared" si="257"/>
        <v>-4225.3239992296285</v>
      </c>
      <c r="X289" s="85">
        <f t="shared" si="258"/>
        <v>4556.3629257628672</v>
      </c>
      <c r="Y289" s="90">
        <f t="shared" si="259"/>
        <v>4225.3239992296285</v>
      </c>
      <c r="Z289" s="86">
        <f t="shared" si="260"/>
        <v>21424.935720000001</v>
      </c>
      <c r="AA289" s="85">
        <f t="shared" si="261"/>
        <v>-913.46204712425447</v>
      </c>
      <c r="AB289" s="85">
        <f t="shared" si="262"/>
        <v>2226.2170397027871</v>
      </c>
      <c r="AC289" s="90">
        <f t="shared" si="263"/>
        <v>913.46204712425447</v>
      </c>
      <c r="AD289" s="86">
        <f t="shared" si="264"/>
        <v>-11285.64279</v>
      </c>
      <c r="AE289" s="85">
        <f t="shared" si="265"/>
        <v>4140.4375383844126</v>
      </c>
      <c r="AF289" s="85">
        <f t="shared" si="266"/>
        <v>-4466.3411437703226</v>
      </c>
      <c r="AG289" s="90">
        <f t="shared" si="267"/>
        <v>4140.4375383844126</v>
      </c>
      <c r="AH289" s="86">
        <f t="shared" si="268"/>
        <v>-25286.07574</v>
      </c>
      <c r="AI289" s="85">
        <f t="shared" si="269"/>
        <v>6238.0466047659793</v>
      </c>
      <c r="AJ289" s="85">
        <f t="shared" si="270"/>
        <v>-17181.890411177519</v>
      </c>
      <c r="AK289" s="90">
        <f t="shared" si="271"/>
        <v>6238.0466047659793</v>
      </c>
      <c r="AM289" s="95">
        <f t="shared" si="213"/>
        <v>0</v>
      </c>
      <c r="AN289" s="95">
        <f t="shared" si="214"/>
        <v>0</v>
      </c>
      <c r="AO289" s="95">
        <f t="shared" si="215"/>
        <v>0</v>
      </c>
      <c r="AP289" s="95">
        <f t="shared" si="216"/>
        <v>0</v>
      </c>
      <c r="AQ289"/>
      <c r="AR289" s="95">
        <f t="shared" si="272"/>
        <v>0</v>
      </c>
      <c r="AS289" s="95">
        <f t="shared" si="273"/>
        <v>0</v>
      </c>
      <c r="AT289" s="95">
        <f>Geraetedaten!$B$94*ABS(SIN(RADIANS($A289)))</f>
        <v>142.78631360328524</v>
      </c>
      <c r="AU289" s="95">
        <f>Geraetedaten!$B$94*ABS(COS(RADIANS($A289)))</f>
        <v>57.689415386050491</v>
      </c>
      <c r="AV289" s="95">
        <f>((h_Aw_Sw+Geraetedaten!$B$18)/1000)*(AR289*AT289+AS289*AU289)/100</f>
        <v>0</v>
      </c>
      <c r="AX289" s="18">
        <f t="shared" si="274"/>
        <v>0.37460659341591229</v>
      </c>
    </row>
    <row r="290" spans="1:50" ht="13.5" x14ac:dyDescent="0.25">
      <c r="A290" s="16">
        <v>249</v>
      </c>
      <c r="B290" s="16">
        <f t="shared" si="247"/>
        <v>201</v>
      </c>
      <c r="C290" s="19">
        <f t="shared" si="248"/>
        <v>70.05924994724802</v>
      </c>
      <c r="D290" s="17">
        <f t="shared" si="217"/>
        <v>11254.672520052753</v>
      </c>
      <c r="E290" s="17">
        <f t="shared" si="249"/>
        <v>22222.977910052752</v>
      </c>
      <c r="F290" s="17">
        <f t="shared" si="250"/>
        <v>-11278.284629947248</v>
      </c>
      <c r="G290" s="17">
        <f t="shared" si="251"/>
        <v>-26546.035809947247</v>
      </c>
      <c r="H290" s="17">
        <f t="shared" si="218"/>
        <v>11254.672520052753</v>
      </c>
      <c r="I290" s="17">
        <f t="shared" si="252"/>
        <v>4525.1837501283981</v>
      </c>
      <c r="J290" s="20">
        <f>(Geraetedaten!$B$152+(Geraetedaten!$B$153*(Geraetedaten!$B$18+d_y_Sw)/1000))*10</f>
        <v>6051.0442000000003</v>
      </c>
      <c r="K290" s="20">
        <f>(Geraetedaten!$B$165+(Geraetedaten!$B$166*(Geraetedaten!$B$18+d_y_Sw)/1000))*10</f>
        <v>10816.164000000001</v>
      </c>
      <c r="L290" s="20">
        <f>(Geraetedaten!$B$158+(Geraetedaten!$B$159*(Geraetedaten!$B$18+d_y_Sw)/1000)-(Geraetedaten!$B$160*I290/1000))*10</f>
        <v>269.70487560308436</v>
      </c>
      <c r="M290" s="20">
        <f>(Geraetedaten!$B$171+(Geraetedaten!$B$172*(Geraetedaten!$B$18+d_y_Sw)/1000)-(Geraetedaten!$B$173*I290/1000))*10</f>
        <v>728.01232164044279</v>
      </c>
      <c r="N290" s="20">
        <f>IF((H290-J290)/(K290-J290)*(Geraetedaten!$B$174-Geraetedaten!$B$161)&lt;Geraetedaten!$B$174,(H290-J290)/(K290-J290)*(Geraetedaten!$B$174-Geraetedaten!$B$161),Geraetedaten!$B$174)</f>
        <v>400</v>
      </c>
      <c r="O290" s="20">
        <f>N290/Geraetedaten!$B$174*(M290-L290)+L290+C290</f>
        <v>798.07157158769087</v>
      </c>
      <c r="P290" s="20">
        <f t="shared" si="246"/>
        <v>222.42862676878883</v>
      </c>
      <c r="Q290" s="20"/>
      <c r="R290" s="21">
        <f>(N290-Geraetedaten!$B$161)/(Geraetedaten!$B$174-Geraetedaten!$B$161)*(Geraetedaten!$B$175-Geraetedaten!$B$162)+Geraetedaten!$B$162</f>
        <v>41.1</v>
      </c>
      <c r="S290" s="21">
        <f t="shared" si="253"/>
        <v>41.1</v>
      </c>
      <c r="T290" s="21">
        <f t="shared" si="254"/>
        <v>-38.370155529034989</v>
      </c>
      <c r="U290" s="88">
        <f t="shared" si="255"/>
        <v>-14.728922726311859</v>
      </c>
      <c r="V290" s="86">
        <f t="shared" si="256"/>
        <v>11324.73177</v>
      </c>
      <c r="W290" s="85">
        <f t="shared" si="257"/>
        <v>-4225.3239992296285</v>
      </c>
      <c r="X290" s="85">
        <f t="shared" si="258"/>
        <v>4525.1837501283981</v>
      </c>
      <c r="Y290" s="90">
        <f t="shared" si="259"/>
        <v>4225.3239992296285</v>
      </c>
      <c r="Z290" s="86">
        <f t="shared" si="260"/>
        <v>22293.03716</v>
      </c>
      <c r="AA290" s="85">
        <f t="shared" si="261"/>
        <v>-913.46204712425447</v>
      </c>
      <c r="AB290" s="85">
        <f t="shared" si="262"/>
        <v>2316.4195133489425</v>
      </c>
      <c r="AC290" s="90">
        <f t="shared" si="263"/>
        <v>913.46204712425447</v>
      </c>
      <c r="AD290" s="86">
        <f t="shared" si="264"/>
        <v>-11208.22538</v>
      </c>
      <c r="AE290" s="85">
        <f t="shared" si="265"/>
        <v>4140.4375383844126</v>
      </c>
      <c r="AF290" s="85">
        <f t="shared" si="266"/>
        <v>-4435.7028755604315</v>
      </c>
      <c r="AG290" s="90">
        <f t="shared" si="267"/>
        <v>4140.4375383844126</v>
      </c>
      <c r="AH290" s="86">
        <f t="shared" si="268"/>
        <v>-26475.976559999999</v>
      </c>
      <c r="AI290" s="85">
        <f t="shared" si="269"/>
        <v>6238.0466047659793</v>
      </c>
      <c r="AJ290" s="85">
        <f t="shared" si="270"/>
        <v>-17990.428107954729</v>
      </c>
      <c r="AK290" s="90">
        <f t="shared" si="271"/>
        <v>6238.0466047659793</v>
      </c>
      <c r="AM290" s="95">
        <f t="shared" si="213"/>
        <v>0</v>
      </c>
      <c r="AN290" s="95">
        <f t="shared" si="214"/>
        <v>0</v>
      </c>
      <c r="AO290" s="95">
        <f t="shared" si="215"/>
        <v>0</v>
      </c>
      <c r="AP290" s="95">
        <f t="shared" si="216"/>
        <v>0</v>
      </c>
      <c r="AQ290"/>
      <c r="AR290" s="95">
        <f t="shared" si="272"/>
        <v>0</v>
      </c>
      <c r="AS290" s="95">
        <f t="shared" si="273"/>
        <v>0</v>
      </c>
      <c r="AT290" s="95">
        <f>Geraetedaten!$B$94*ABS(SIN(RADIANS($A290)))</f>
        <v>143.77138568056904</v>
      </c>
      <c r="AU290" s="95">
        <f>Geraetedaten!$B$94*ABS(COS(RADIANS($A290)))</f>
        <v>55.188664229976311</v>
      </c>
      <c r="AV290" s="95">
        <f>((h_Aw_Sw+Geraetedaten!$B$18)/1000)*(AR290*AT290+AS290*AU290)/100</f>
        <v>0</v>
      </c>
      <c r="AX290" s="18">
        <f t="shared" si="274"/>
        <v>0.35836794954530071</v>
      </c>
    </row>
    <row r="291" spans="1:50" ht="13.5" x14ac:dyDescent="0.25">
      <c r="A291" s="16">
        <v>250</v>
      </c>
      <c r="B291" s="16">
        <f t="shared" si="247"/>
        <v>200</v>
      </c>
      <c r="C291" s="19">
        <f t="shared" si="248"/>
        <v>69.958103143915849</v>
      </c>
      <c r="D291" s="17">
        <f t="shared" si="217"/>
        <v>11181.209186856084</v>
      </c>
      <c r="E291" s="17">
        <f t="shared" si="249"/>
        <v>23171.877836856085</v>
      </c>
      <c r="F291" s="17">
        <f t="shared" si="250"/>
        <v>-11205.189763143915</v>
      </c>
      <c r="G291" s="17">
        <f t="shared" si="251"/>
        <v>-27862.237063143915</v>
      </c>
      <c r="H291" s="17">
        <f t="shared" si="218"/>
        <v>11181.209186856084</v>
      </c>
      <c r="I291" s="17">
        <f t="shared" si="252"/>
        <v>4495.7885455097066</v>
      </c>
      <c r="J291" s="20">
        <f>(Geraetedaten!$B$152+(Geraetedaten!$B$153*(Geraetedaten!$B$18+d_y_Sw)/1000))*10</f>
        <v>6051.0442000000003</v>
      </c>
      <c r="K291" s="20">
        <f>(Geraetedaten!$B$165+(Geraetedaten!$B$166*(Geraetedaten!$B$18+d_y_Sw)/1000))*10</f>
        <v>10816.164000000001</v>
      </c>
      <c r="L291" s="20">
        <f>(Geraetedaten!$B$158+(Geraetedaten!$B$159*(Geraetedaten!$B$18+d_y_Sw)/1000)-(Geraetedaten!$B$160*I291/1000))*10</f>
        <v>271.86042595777303</v>
      </c>
      <c r="M291" s="20">
        <f>(Geraetedaten!$B$171+(Geraetedaten!$B$172*(Geraetedaten!$B$18+d_y_Sw)/1000)-(Geraetedaten!$B$173*I291/1000))*10</f>
        <v>730.20050067225827</v>
      </c>
      <c r="N291" s="20">
        <f>IF((H291-J291)/(K291-J291)*(Geraetedaten!$B$174-Geraetedaten!$B$161)&lt;Geraetedaten!$B$174,(H291-J291)/(K291-J291)*(Geraetedaten!$B$174-Geraetedaten!$B$161),Geraetedaten!$B$174)</f>
        <v>400</v>
      </c>
      <c r="O291" s="20">
        <f>N291/Geraetedaten!$B$174*(M291-L291)+L291+C291</f>
        <v>800.15860381617415</v>
      </c>
      <c r="P291" s="20">
        <f t="shared" si="246"/>
        <v>222.83120895630697</v>
      </c>
      <c r="Q291" s="20"/>
      <c r="R291" s="21">
        <f>(N291-Geraetedaten!$B$161)/(Geraetedaten!$B$174-Geraetedaten!$B$161)*(Geraetedaten!$B$175-Geraetedaten!$B$162)+Geraetedaten!$B$162</f>
        <v>41.1</v>
      </c>
      <c r="S291" s="21">
        <f t="shared" si="253"/>
        <v>41.1</v>
      </c>
      <c r="T291" s="21">
        <f t="shared" si="254"/>
        <v>-38.621366714300841</v>
      </c>
      <c r="U291" s="88">
        <f t="shared" si="255"/>
        <v>-14.057027890684978</v>
      </c>
      <c r="V291" s="86">
        <f t="shared" si="256"/>
        <v>11251.167289999999</v>
      </c>
      <c r="W291" s="85">
        <f t="shared" si="257"/>
        <v>-4225.3239992296285</v>
      </c>
      <c r="X291" s="85">
        <f t="shared" si="258"/>
        <v>4495.7885455097066</v>
      </c>
      <c r="Y291" s="90">
        <f t="shared" si="259"/>
        <v>4225.3239992296285</v>
      </c>
      <c r="Z291" s="86">
        <f t="shared" si="260"/>
        <v>23241.835940000001</v>
      </c>
      <c r="AA291" s="85">
        <f t="shared" si="261"/>
        <v>-913.46204712425447</v>
      </c>
      <c r="AB291" s="85">
        <f t="shared" si="262"/>
        <v>2415.0070677680119</v>
      </c>
      <c r="AC291" s="90">
        <f t="shared" si="263"/>
        <v>913.46204712425447</v>
      </c>
      <c r="AD291" s="86">
        <f t="shared" si="264"/>
        <v>-11135.231659999999</v>
      </c>
      <c r="AE291" s="85">
        <f t="shared" si="265"/>
        <v>4140.4375383844126</v>
      </c>
      <c r="AF291" s="85">
        <f t="shared" si="266"/>
        <v>-4406.8153021656763</v>
      </c>
      <c r="AG291" s="90">
        <f t="shared" si="267"/>
        <v>4140.4375383844126</v>
      </c>
      <c r="AH291" s="86">
        <f t="shared" si="268"/>
        <v>-27792.27896</v>
      </c>
      <c r="AI291" s="85">
        <f t="shared" si="269"/>
        <v>6238.0466047659793</v>
      </c>
      <c r="AJ291" s="85">
        <f t="shared" si="270"/>
        <v>-18884.855691483081</v>
      </c>
      <c r="AK291" s="90">
        <f t="shared" si="271"/>
        <v>6238.0466047659793</v>
      </c>
      <c r="AM291" s="95">
        <f t="shared" si="213"/>
        <v>0</v>
      </c>
      <c r="AN291" s="95">
        <f t="shared" si="214"/>
        <v>0</v>
      </c>
      <c r="AO291" s="95">
        <f t="shared" si="215"/>
        <v>0</v>
      </c>
      <c r="AP291" s="95">
        <f t="shared" si="216"/>
        <v>0</v>
      </c>
      <c r="AQ291"/>
      <c r="AR291" s="95">
        <f t="shared" si="272"/>
        <v>0</v>
      </c>
      <c r="AS291" s="95">
        <f t="shared" si="273"/>
        <v>0</v>
      </c>
      <c r="AT291" s="95">
        <f>Geraetedaten!$B$94*ABS(SIN(RADIANS($A291)))</f>
        <v>144.7126636010299</v>
      </c>
      <c r="AU291" s="95">
        <f>Geraetedaten!$B$94*ABS(COS(RADIANS($A291)))</f>
        <v>52.671102072152955</v>
      </c>
      <c r="AV291" s="95">
        <f>((h_Aw_Sw+Geraetedaten!$B$18)/1000)*(AR291*AT291+AS291*AU291)/100</f>
        <v>0</v>
      </c>
      <c r="AX291" s="18">
        <f t="shared" si="274"/>
        <v>0.34202014332566855</v>
      </c>
    </row>
    <row r="292" spans="1:50" ht="13.5" x14ac:dyDescent="0.25">
      <c r="A292" s="16">
        <v>251</v>
      </c>
      <c r="B292" s="16">
        <f t="shared" si="247"/>
        <v>199</v>
      </c>
      <c r="C292" s="19">
        <f t="shared" si="248"/>
        <v>69.835646424666706</v>
      </c>
      <c r="D292" s="17">
        <f t="shared" si="217"/>
        <v>11112.100863575333</v>
      </c>
      <c r="E292" s="17">
        <f t="shared" si="249"/>
        <v>24212.877053575332</v>
      </c>
      <c r="F292" s="17">
        <f t="shared" si="250"/>
        <v>-11136.367346424666</v>
      </c>
      <c r="G292" s="17">
        <f t="shared" si="251"/>
        <v>-29325.527276424669</v>
      </c>
      <c r="H292" s="17">
        <f t="shared" si="218"/>
        <v>11112.100863575333</v>
      </c>
      <c r="I292" s="17">
        <f t="shared" si="252"/>
        <v>4468.1250236389524</v>
      </c>
      <c r="J292" s="20">
        <f>(Geraetedaten!$B$152+(Geraetedaten!$B$153*(Geraetedaten!$B$18+d_y_Sw)/1000))*10</f>
        <v>6051.0442000000003</v>
      </c>
      <c r="K292" s="20">
        <f>(Geraetedaten!$B$165+(Geraetedaten!$B$166*(Geraetedaten!$B$18+d_y_Sw)/1000))*10</f>
        <v>10816.164000000001</v>
      </c>
      <c r="L292" s="20">
        <f>(Geraetedaten!$B$158+(Geraetedaten!$B$159*(Geraetedaten!$B$18+d_y_Sw)/1000)-(Geraetedaten!$B$160*I292/1000))*10</f>
        <v>273.88899201655539</v>
      </c>
      <c r="M292" s="20">
        <f>(Geraetedaten!$B$171+(Geraetedaten!$B$172*(Geraetedaten!$B$18+d_y_Sw)/1000)-(Geraetedaten!$B$173*I292/1000))*10</f>
        <v>732.25977324031737</v>
      </c>
      <c r="N292" s="20">
        <f>IF((H292-J292)/(K292-J292)*(Geraetedaten!$B$174-Geraetedaten!$B$161)&lt;Geraetedaten!$B$174,(H292-J292)/(K292-J292)*(Geraetedaten!$B$174-Geraetedaten!$B$161),Geraetedaten!$B$174)</f>
        <v>400</v>
      </c>
      <c r="O292" s="20">
        <f>N292/Geraetedaten!$B$174*(M292-L292)+L292+C292</f>
        <v>802.09541966498409</v>
      </c>
      <c r="P292" s="20">
        <f t="shared" si="246"/>
        <v>223.20189663773374</v>
      </c>
      <c r="Q292" s="20"/>
      <c r="R292" s="21">
        <f>(N292-Geraetedaten!$B$161)/(Geraetedaten!$B$174-Geraetedaten!$B$161)*(Geraetedaten!$B$175-Geraetedaten!$B$162)+Geraetedaten!$B$162</f>
        <v>41.1</v>
      </c>
      <c r="S292" s="21">
        <f t="shared" si="253"/>
        <v>41.1</v>
      </c>
      <c r="T292" s="21">
        <f t="shared" si="254"/>
        <v>-38.860813457131925</v>
      </c>
      <c r="U292" s="88">
        <f t="shared" si="255"/>
        <v>-13.380851148189139</v>
      </c>
      <c r="V292" s="86">
        <f t="shared" si="256"/>
        <v>11181.93651</v>
      </c>
      <c r="W292" s="85">
        <f t="shared" si="257"/>
        <v>-4225.3239992296285</v>
      </c>
      <c r="X292" s="85">
        <f t="shared" si="258"/>
        <v>4468.1250236389524</v>
      </c>
      <c r="Y292" s="90">
        <f t="shared" si="259"/>
        <v>4225.3239992296285</v>
      </c>
      <c r="Z292" s="86">
        <f t="shared" si="260"/>
        <v>24282.7127</v>
      </c>
      <c r="AA292" s="85">
        <f t="shared" si="261"/>
        <v>-913.46204712425447</v>
      </c>
      <c r="AB292" s="85">
        <f t="shared" si="262"/>
        <v>2523.1622382590122</v>
      </c>
      <c r="AC292" s="90">
        <f t="shared" si="263"/>
        <v>913.46204712425447</v>
      </c>
      <c r="AD292" s="86">
        <f t="shared" si="264"/>
        <v>-11066.5317</v>
      </c>
      <c r="AE292" s="85">
        <f t="shared" si="265"/>
        <v>4140.4375383844126</v>
      </c>
      <c r="AF292" s="85">
        <f t="shared" si="266"/>
        <v>-4379.6270004567832</v>
      </c>
      <c r="AG292" s="90">
        <f t="shared" si="267"/>
        <v>4140.4375383844126</v>
      </c>
      <c r="AH292" s="86">
        <f t="shared" si="268"/>
        <v>-29255.691630000001</v>
      </c>
      <c r="AI292" s="85">
        <f t="shared" si="269"/>
        <v>6238.0466047659793</v>
      </c>
      <c r="AJ292" s="85">
        <f t="shared" si="270"/>
        <v>-19879.244715082859</v>
      </c>
      <c r="AK292" s="90">
        <f t="shared" si="271"/>
        <v>6238.0466047659793</v>
      </c>
      <c r="AM292" s="95">
        <f t="shared" si="213"/>
        <v>0</v>
      </c>
      <c r="AN292" s="95">
        <f t="shared" si="214"/>
        <v>0</v>
      </c>
      <c r="AO292" s="95">
        <f t="shared" si="215"/>
        <v>0</v>
      </c>
      <c r="AP292" s="95">
        <f t="shared" si="216"/>
        <v>0</v>
      </c>
      <c r="AQ292"/>
      <c r="AR292" s="95">
        <f t="shared" si="272"/>
        <v>0</v>
      </c>
      <c r="AS292" s="95">
        <f t="shared" si="273"/>
        <v>0</v>
      </c>
      <c r="AT292" s="95">
        <f>Geraetedaten!$B$94*ABS(SIN(RADIANS($A292)))</f>
        <v>145.60986064229479</v>
      </c>
      <c r="AU292" s="95">
        <f>Geraetedaten!$B$94*ABS(COS(RADIANS($A292)))</f>
        <v>50.13749578640212</v>
      </c>
      <c r="AV292" s="95">
        <f>((h_Aw_Sw+Geraetedaten!$B$18)/1000)*(AR292*AT292+AS292*AU292)/100</f>
        <v>0</v>
      </c>
      <c r="AX292" s="18">
        <f t="shared" si="274"/>
        <v>0.32556815445715664</v>
      </c>
    </row>
    <row r="293" spans="1:50" ht="13.5" x14ac:dyDescent="0.25">
      <c r="A293" s="16">
        <v>252</v>
      </c>
      <c r="B293" s="16">
        <f t="shared" si="247"/>
        <v>198</v>
      </c>
      <c r="C293" s="19">
        <f t="shared" si="248"/>
        <v>69.691917091003504</v>
      </c>
      <c r="D293" s="17">
        <f t="shared" si="217"/>
        <v>11047.226212908996</v>
      </c>
      <c r="E293" s="17">
        <f t="shared" si="249"/>
        <v>25359.608302908997</v>
      </c>
      <c r="F293" s="17">
        <f t="shared" si="250"/>
        <v>-11071.696927091005</v>
      </c>
      <c r="G293" s="17">
        <f t="shared" si="251"/>
        <v>-30961.408147091006</v>
      </c>
      <c r="H293" s="17">
        <f t="shared" si="218"/>
        <v>11047.226212908996</v>
      </c>
      <c r="I293" s="17">
        <f t="shared" si="252"/>
        <v>4442.1447037909356</v>
      </c>
      <c r="J293" s="20">
        <f>(Geraetedaten!$B$152+(Geraetedaten!$B$153*(Geraetedaten!$B$18+d_y_Sw)/1000))*10</f>
        <v>6051.0442000000003</v>
      </c>
      <c r="K293" s="20">
        <f>(Geraetedaten!$B$165+(Geraetedaten!$B$166*(Geraetedaten!$B$18+d_y_Sw)/1000))*10</f>
        <v>10816.164000000001</v>
      </c>
      <c r="L293" s="20">
        <f>(Geraetedaten!$B$158+(Geraetedaten!$B$159*(Geraetedaten!$B$18+d_y_Sw)/1000)-(Geraetedaten!$B$160*I293/1000))*10</f>
        <v>275.79412887101051</v>
      </c>
      <c r="M293" s="20">
        <f>(Geraetedaten!$B$171+(Geraetedaten!$B$172*(Geraetedaten!$B$18+d_y_Sw)/1000)-(Geraetedaten!$B$173*I293/1000))*10</f>
        <v>734.19374824980366</v>
      </c>
      <c r="N293" s="20">
        <f>IF((H293-J293)/(K293-J293)*(Geraetedaten!$B$174-Geraetedaten!$B$161)&lt;Geraetedaten!$B$174,(H293-J293)/(K293-J293)*(Geraetedaten!$B$174-Geraetedaten!$B$161),Geraetedaten!$B$174)</f>
        <v>400</v>
      </c>
      <c r="O293" s="20">
        <f>N293/Geraetedaten!$B$174*(M293-L293)+L293+C293</f>
        <v>803.88566534080712</v>
      </c>
      <c r="P293" s="20">
        <f t="shared" si="246"/>
        <v>223.54153283927346</v>
      </c>
      <c r="Q293" s="20"/>
      <c r="R293" s="21">
        <f>(N293-Geraetedaten!$B$161)/(Geraetedaten!$B$174-Geraetedaten!$B$161)*(Geraetedaten!$B$175-Geraetedaten!$B$162)+Geraetedaten!$B$162</f>
        <v>41.1</v>
      </c>
      <c r="S293" s="21">
        <f t="shared" si="253"/>
        <v>41.1</v>
      </c>
      <c r="T293" s="21">
        <f t="shared" si="254"/>
        <v>-39.088422819730809</v>
      </c>
      <c r="U293" s="88">
        <f t="shared" si="255"/>
        <v>-12.700598468810345</v>
      </c>
      <c r="V293" s="86">
        <f t="shared" si="256"/>
        <v>11116.91813</v>
      </c>
      <c r="W293" s="85">
        <f t="shared" si="257"/>
        <v>-4225.3239992296285</v>
      </c>
      <c r="X293" s="85">
        <f t="shared" si="258"/>
        <v>4442.1447037909356</v>
      </c>
      <c r="Y293" s="90">
        <f t="shared" si="259"/>
        <v>4225.3239992296285</v>
      </c>
      <c r="Z293" s="86">
        <f t="shared" si="260"/>
        <v>25429.300220000001</v>
      </c>
      <c r="AA293" s="85">
        <f t="shared" si="261"/>
        <v>-913.46204712425447</v>
      </c>
      <c r="AB293" s="85">
        <f t="shared" si="262"/>
        <v>2642.3015773319225</v>
      </c>
      <c r="AC293" s="90">
        <f t="shared" si="263"/>
        <v>913.46204712425447</v>
      </c>
      <c r="AD293" s="86">
        <f t="shared" si="264"/>
        <v>-11002.005010000001</v>
      </c>
      <c r="AE293" s="85">
        <f t="shared" si="265"/>
        <v>4140.4375383844126</v>
      </c>
      <c r="AF293" s="85">
        <f t="shared" si="266"/>
        <v>-4354.0902892365293</v>
      </c>
      <c r="AG293" s="90">
        <f t="shared" si="267"/>
        <v>4140.4375383844126</v>
      </c>
      <c r="AH293" s="86">
        <f t="shared" si="268"/>
        <v>-30891.716230000002</v>
      </c>
      <c r="AI293" s="85">
        <f t="shared" si="269"/>
        <v>6238.0466047659793</v>
      </c>
      <c r="AJ293" s="85">
        <f t="shared" si="270"/>
        <v>-20990.923555478308</v>
      </c>
      <c r="AK293" s="90">
        <f t="shared" si="271"/>
        <v>6238.0466047659793</v>
      </c>
      <c r="AM293" s="95">
        <f t="shared" si="213"/>
        <v>0</v>
      </c>
      <c r="AN293" s="95">
        <f t="shared" si="214"/>
        <v>0</v>
      </c>
      <c r="AO293" s="95">
        <f t="shared" si="215"/>
        <v>0</v>
      </c>
      <c r="AP293" s="95">
        <f t="shared" si="216"/>
        <v>0</v>
      </c>
      <c r="AQ293"/>
      <c r="AR293" s="95">
        <f t="shared" si="272"/>
        <v>0</v>
      </c>
      <c r="AS293" s="95">
        <f t="shared" si="273"/>
        <v>0</v>
      </c>
      <c r="AT293" s="95">
        <f>Geraetedaten!$B$94*ABS(SIN(RADIANS($A293)))</f>
        <v>146.46270350945363</v>
      </c>
      <c r="AU293" s="95">
        <f>Geraetedaten!$B$94*ABS(COS(RADIANS($A293)))</f>
        <v>47.588617133741927</v>
      </c>
      <c r="AV293" s="95">
        <f>((h_Aw_Sw+Geraetedaten!$B$18)/1000)*(AR293*AT293+AS293*AU293)/100</f>
        <v>0</v>
      </c>
      <c r="AX293" s="18">
        <f t="shared" si="274"/>
        <v>0.30901699437494756</v>
      </c>
    </row>
    <row r="294" spans="1:50" ht="13.5" x14ac:dyDescent="0.25">
      <c r="A294" s="16">
        <v>253</v>
      </c>
      <c r="B294" s="16">
        <f t="shared" si="247"/>
        <v>197</v>
      </c>
      <c r="C294" s="19">
        <f t="shared" si="248"/>
        <v>69.526958924273615</v>
      </c>
      <c r="D294" s="17">
        <f t="shared" si="217"/>
        <v>10986.472811075726</v>
      </c>
      <c r="E294" s="17">
        <f t="shared" si="249"/>
        <v>26628.542211075724</v>
      </c>
      <c r="F294" s="17">
        <f t="shared" si="250"/>
        <v>-11011.066988924274</v>
      </c>
      <c r="G294" s="17">
        <f t="shared" si="251"/>
        <v>-32801.645608924271</v>
      </c>
      <c r="H294" s="17">
        <f t="shared" si="218"/>
        <v>10986.472811075726</v>
      </c>
      <c r="I294" s="17">
        <f t="shared" si="252"/>
        <v>4417.8026932124485</v>
      </c>
      <c r="J294" s="20">
        <f>(Geraetedaten!$B$152+(Geraetedaten!$B$153*(Geraetedaten!$B$18+d_y_Sw)/1000))*10</f>
        <v>6051.0442000000003</v>
      </c>
      <c r="K294" s="20">
        <f>(Geraetedaten!$B$165+(Geraetedaten!$B$166*(Geraetedaten!$B$18+d_y_Sw)/1000))*10</f>
        <v>10816.164000000001</v>
      </c>
      <c r="L294" s="20">
        <f>(Geraetedaten!$B$158+(Geraetedaten!$B$159*(Geraetedaten!$B$18+d_y_Sw)/1000)-(Geraetedaten!$B$160*I294/1000))*10</f>
        <v>277.57912850673097</v>
      </c>
      <c r="M294" s="20">
        <f>(Geraetedaten!$B$171+(Geraetedaten!$B$172*(Geraetedaten!$B$18+d_y_Sw)/1000)-(Geraetedaten!$B$173*I294/1000))*10</f>
        <v>736.00576751726624</v>
      </c>
      <c r="N294" s="20">
        <f>IF((H294-J294)/(K294-J294)*(Geraetedaten!$B$174-Geraetedaten!$B$161)&lt;Geraetedaten!$B$174,(H294-J294)/(K294-J294)*(Geraetedaten!$B$174-Geraetedaten!$B$161),Geraetedaten!$B$174)</f>
        <v>400</v>
      </c>
      <c r="O294" s="20">
        <f>N294/Geraetedaten!$B$174*(M294-L294)+L294+C294</f>
        <v>805.53272644153981</v>
      </c>
      <c r="P294" s="20">
        <f t="shared" si="246"/>
        <v>223.85089716701498</v>
      </c>
      <c r="Q294" s="20"/>
      <c r="R294" s="21">
        <f>(N294-Geraetedaten!$B$161)/(Geraetedaten!$B$174-Geraetedaten!$B$161)*(Geraetedaten!$B$175-Geraetedaten!$B$162)+Geraetedaten!$B$162</f>
        <v>41.1</v>
      </c>
      <c r="S294" s="21">
        <f t="shared" si="253"/>
        <v>41.1</v>
      </c>
      <c r="T294" s="21">
        <f t="shared" si="254"/>
        <v>-39.304125470080756</v>
      </c>
      <c r="U294" s="88">
        <f t="shared" si="255"/>
        <v>-12.016477064104496</v>
      </c>
      <c r="V294" s="86">
        <f t="shared" si="256"/>
        <v>11055.99977</v>
      </c>
      <c r="W294" s="85">
        <f t="shared" si="257"/>
        <v>-4225.3239992296285</v>
      </c>
      <c r="X294" s="85">
        <f t="shared" si="258"/>
        <v>4417.8026932124485</v>
      </c>
      <c r="Y294" s="90">
        <f t="shared" si="259"/>
        <v>4225.3239992296285</v>
      </c>
      <c r="Z294" s="86">
        <f t="shared" si="260"/>
        <v>26698.069169999999</v>
      </c>
      <c r="AA294" s="85">
        <f t="shared" si="261"/>
        <v>-913.46204712425447</v>
      </c>
      <c r="AB294" s="85">
        <f t="shared" si="262"/>
        <v>2774.1365147452734</v>
      </c>
      <c r="AC294" s="90">
        <f t="shared" si="263"/>
        <v>913.46204712425447</v>
      </c>
      <c r="AD294" s="86">
        <f t="shared" si="264"/>
        <v>-10941.54003</v>
      </c>
      <c r="AE294" s="85">
        <f t="shared" si="265"/>
        <v>4140.4375383844126</v>
      </c>
      <c r="AF294" s="85">
        <f t="shared" si="266"/>
        <v>-4330.1610130851341</v>
      </c>
      <c r="AG294" s="90">
        <f t="shared" si="267"/>
        <v>4140.4375383844126</v>
      </c>
      <c r="AH294" s="86">
        <f t="shared" si="268"/>
        <v>-32732.11865</v>
      </c>
      <c r="AI294" s="85">
        <f t="shared" si="269"/>
        <v>6238.0466047659793</v>
      </c>
      <c r="AJ294" s="85">
        <f t="shared" si="270"/>
        <v>-22241.477142888085</v>
      </c>
      <c r="AK294" s="90">
        <f t="shared" si="271"/>
        <v>6238.0466047659793</v>
      </c>
      <c r="AM294" s="95">
        <f t="shared" si="213"/>
        <v>0</v>
      </c>
      <c r="AN294" s="95">
        <f t="shared" si="214"/>
        <v>0</v>
      </c>
      <c r="AO294" s="95">
        <f t="shared" si="215"/>
        <v>0</v>
      </c>
      <c r="AP294" s="95">
        <f t="shared" si="216"/>
        <v>0</v>
      </c>
      <c r="AQ294"/>
      <c r="AR294" s="95">
        <f t="shared" si="272"/>
        <v>0</v>
      </c>
      <c r="AS294" s="95">
        <f t="shared" si="273"/>
        <v>0</v>
      </c>
      <c r="AT294" s="95">
        <f>Geraetedaten!$B$94*ABS(SIN(RADIANS($A294)))</f>
        <v>147.27093241830744</v>
      </c>
      <c r="AU294" s="95">
        <f>Geraetedaten!$B$94*ABS(COS(RADIANS($A294)))</f>
        <v>45.025242527301515</v>
      </c>
      <c r="AV294" s="95">
        <f>((h_Aw_Sw+Geraetedaten!$B$18)/1000)*(AR294*AT294+AS294*AU294)/100</f>
        <v>0</v>
      </c>
      <c r="AX294" s="18">
        <f t="shared" si="274"/>
        <v>0.2923717047227371</v>
      </c>
    </row>
    <row r="295" spans="1:50" ht="13.5" x14ac:dyDescent="0.25">
      <c r="A295" s="16">
        <v>254</v>
      </c>
      <c r="B295" s="16">
        <f t="shared" si="247"/>
        <v>196</v>
      </c>
      <c r="C295" s="19">
        <f t="shared" si="248"/>
        <v>69.340822172332622</v>
      </c>
      <c r="D295" s="17">
        <f t="shared" si="217"/>
        <v>10929.736767827668</v>
      </c>
      <c r="E295" s="17">
        <f t="shared" si="249"/>
        <v>28039.765807827665</v>
      </c>
      <c r="F295" s="17">
        <f t="shared" si="250"/>
        <v>-10954.374402172332</v>
      </c>
      <c r="G295" s="17">
        <f t="shared" si="251"/>
        <v>-34886.318552172328</v>
      </c>
      <c r="H295" s="17">
        <f t="shared" si="218"/>
        <v>10929.736767827668</v>
      </c>
      <c r="I295" s="17">
        <f t="shared" si="252"/>
        <v>4395.0574876753726</v>
      </c>
      <c r="J295" s="20">
        <f>(Geraetedaten!$B$152+(Geraetedaten!$B$153*(Geraetedaten!$B$18+d_y_Sw)/1000))*10</f>
        <v>6051.0442000000003</v>
      </c>
      <c r="K295" s="20">
        <f>(Geraetedaten!$B$165+(Geraetedaten!$B$166*(Geraetedaten!$B$18+d_y_Sw)/1000))*10</f>
        <v>10816.164000000001</v>
      </c>
      <c r="L295" s="20">
        <f>(Geraetedaten!$B$158+(Geraetedaten!$B$159*(Geraetedaten!$B$18+d_y_Sw)/1000)-(Geraetedaten!$B$160*I295/1000))*10</f>
        <v>279.24703442876472</v>
      </c>
      <c r="M295" s="20">
        <f>(Geraetedaten!$B$171+(Geraetedaten!$B$172*(Geraetedaten!$B$18+d_y_Sw)/1000)-(Geraetedaten!$B$173*I295/1000))*10</f>
        <v>737.69892061744611</v>
      </c>
      <c r="N295" s="20">
        <f>IF((H295-J295)/(K295-J295)*(Geraetedaten!$B$174-Geraetedaten!$B$161)&lt;Geraetedaten!$B$174,(H295-J295)/(K295-J295)*(Geraetedaten!$B$174-Geraetedaten!$B$161),Geraetedaten!$B$174)</f>
        <v>400</v>
      </c>
      <c r="O295" s="20">
        <f>N295/Geraetedaten!$B$174*(M295-L295)+L295+C295</f>
        <v>807.03974278977876</v>
      </c>
      <c r="P295" s="20">
        <f t="shared" si="246"/>
        <v>224.13070982757552</v>
      </c>
      <c r="Q295" s="20"/>
      <c r="R295" s="21">
        <f>(N295-Geraetedaten!$B$161)/(Geraetedaten!$B$174-Geraetedaten!$B$161)*(Geraetedaten!$B$175-Geraetedaten!$B$162)+Geraetedaten!$B$162</f>
        <v>41.1</v>
      </c>
      <c r="S295" s="21">
        <f t="shared" si="253"/>
        <v>41.1</v>
      </c>
      <c r="T295" s="21">
        <f t="shared" si="254"/>
        <v>-39.507855703064912</v>
      </c>
      <c r="U295" s="88">
        <f t="shared" si="255"/>
        <v>-11.328695324078655</v>
      </c>
      <c r="V295" s="86">
        <f t="shared" si="256"/>
        <v>10999.077590000001</v>
      </c>
      <c r="W295" s="85">
        <f t="shared" si="257"/>
        <v>-4225.3239992296285</v>
      </c>
      <c r="X295" s="85">
        <f t="shared" si="258"/>
        <v>4395.0574876753726</v>
      </c>
      <c r="Y295" s="90">
        <f t="shared" si="259"/>
        <v>4225.3239992296285</v>
      </c>
      <c r="Z295" s="86">
        <f t="shared" si="260"/>
        <v>28109.106629999998</v>
      </c>
      <c r="AA295" s="85">
        <f t="shared" si="261"/>
        <v>-913.46204712425447</v>
      </c>
      <c r="AB295" s="85">
        <f t="shared" si="262"/>
        <v>2920.754253989498</v>
      </c>
      <c r="AC295" s="90">
        <f t="shared" si="263"/>
        <v>913.46204712425447</v>
      </c>
      <c r="AD295" s="86">
        <f t="shared" si="264"/>
        <v>-10885.033579999999</v>
      </c>
      <c r="AE295" s="85">
        <f t="shared" si="265"/>
        <v>4140.4375383844126</v>
      </c>
      <c r="AF295" s="85">
        <f t="shared" si="266"/>
        <v>-4307.7983460116557</v>
      </c>
      <c r="AG295" s="90">
        <f t="shared" si="267"/>
        <v>4140.4375383844126</v>
      </c>
      <c r="AH295" s="86">
        <f t="shared" si="268"/>
        <v>-34816.977729999999</v>
      </c>
      <c r="AI295" s="85">
        <f t="shared" si="269"/>
        <v>6238.0466047659793</v>
      </c>
      <c r="AJ295" s="85">
        <f t="shared" si="270"/>
        <v>-23658.139045943488</v>
      </c>
      <c r="AK295" s="90">
        <f t="shared" si="271"/>
        <v>6238.0466047659793</v>
      </c>
      <c r="AM295" s="95">
        <f t="shared" ref="AM295:AM358" si="275">SIN(RADIANS(A295))*r_K_D</f>
        <v>0</v>
      </c>
      <c r="AN295" s="95">
        <f t="shared" ref="AN295:AN358" si="276">COS(RADIANS(A295-180))*r_K_D</f>
        <v>0</v>
      </c>
      <c r="AO295" s="95">
        <f t="shared" ref="AO295:AO358" si="277">SIN(RADIANS(A295))*r_K_SSw</f>
        <v>0</v>
      </c>
      <c r="AP295" s="95">
        <f t="shared" ref="AP295:AP358" si="278">-COS(RADIANS(A295))*r_K_SSw</f>
        <v>0</v>
      </c>
      <c r="AQ295"/>
      <c r="AR295" s="95">
        <f t="shared" si="272"/>
        <v>0</v>
      </c>
      <c r="AS295" s="95">
        <f t="shared" si="273"/>
        <v>0</v>
      </c>
      <c r="AT295" s="95">
        <f>Geraetedaten!$B$94*ABS(SIN(RADIANS($A295)))</f>
        <v>148.03430117450114</v>
      </c>
      <c r="AU295" s="95">
        <f>Geraetedaten!$B$94*ABS(COS(RADIANS($A295)))</f>
        <v>42.448152795817826</v>
      </c>
      <c r="AV295" s="95">
        <f>((h_Aw_Sw+Geraetedaten!$B$18)/1000)*(AR295*AT295+AS295*AU295)/100</f>
        <v>0</v>
      </c>
      <c r="AX295" s="18">
        <f t="shared" si="274"/>
        <v>0.27563735581699889</v>
      </c>
    </row>
    <row r="296" spans="1:50" ht="13.5" x14ac:dyDescent="0.25">
      <c r="A296" s="16">
        <v>255</v>
      </c>
      <c r="B296" s="16">
        <f t="shared" si="247"/>
        <v>195</v>
      </c>
      <c r="C296" s="19">
        <f t="shared" si="248"/>
        <v>69.133563534238306</v>
      </c>
      <c r="D296" s="17">
        <f t="shared" ref="D296:D359" si="279">IF(ISNUMBER(V296),V296-C296,"unendlich")</f>
        <v>10876.922166465762</v>
      </c>
      <c r="E296" s="17">
        <f t="shared" si="249"/>
        <v>29618.032276465765</v>
      </c>
      <c r="F296" s="17">
        <f t="shared" si="250"/>
        <v>-10901.524033534239</v>
      </c>
      <c r="G296" s="17">
        <f t="shared" si="251"/>
        <v>-37266.727773534243</v>
      </c>
      <c r="H296" s="17">
        <f t="shared" si="218"/>
        <v>10876.922166465762</v>
      </c>
      <c r="I296" s="17">
        <f t="shared" si="252"/>
        <v>4373.8707904286284</v>
      </c>
      <c r="J296" s="20">
        <f>(Geraetedaten!$B$152+(Geraetedaten!$B$153*(Geraetedaten!$B$18+d_y_Sw)/1000))*10</f>
        <v>6051.0442000000003</v>
      </c>
      <c r="K296" s="20">
        <f>(Geraetedaten!$B$165+(Geraetedaten!$B$166*(Geraetedaten!$B$18+d_y_Sw)/1000))*10</f>
        <v>10816.164000000001</v>
      </c>
      <c r="L296" s="20">
        <f>(Geraetedaten!$B$158+(Geraetedaten!$B$159*(Geraetedaten!$B$18+d_y_Sw)/1000)-(Geraetedaten!$B$160*I296/1000))*10</f>
        <v>280.80065493786844</v>
      </c>
      <c r="M296" s="20">
        <f>(Geraetedaten!$B$171+(Geraetedaten!$B$172*(Geraetedaten!$B$18+d_y_Sw)/1000)-(Geraetedaten!$B$173*I296/1000))*10</f>
        <v>739.27605836049361</v>
      </c>
      <c r="N296" s="20">
        <f>IF((H296-J296)/(K296-J296)*(Geraetedaten!$B$174-Geraetedaten!$B$161)&lt;Geraetedaten!$B$174,(H296-J296)/(K296-J296)*(Geraetedaten!$B$174-Geraetedaten!$B$161),Geraetedaten!$B$174)</f>
        <v>400</v>
      </c>
      <c r="O296" s="20">
        <f>N296/Geraetedaten!$B$174*(M296-L296)+L296+C296</f>
        <v>808.40962189473191</v>
      </c>
      <c r="P296" s="20">
        <f t="shared" si="246"/>
        <v>224.38163525392429</v>
      </c>
      <c r="Q296" s="20"/>
      <c r="R296" s="21">
        <f>(N296-Geraetedaten!$B$161)/(Geraetedaten!$B$174-Geraetedaten!$B$161)*(Geraetedaten!$B$175-Geraetedaten!$B$162)+Geraetedaten!$B$162</f>
        <v>41.1</v>
      </c>
      <c r="S296" s="21">
        <f t="shared" si="253"/>
        <v>41.1</v>
      </c>
      <c r="T296" s="21">
        <f t="shared" si="254"/>
        <v>-39.699551460480706</v>
      </c>
      <c r="U296" s="88">
        <f t="shared" si="255"/>
        <v>-10.637462753713598</v>
      </c>
      <c r="V296" s="86">
        <f t="shared" si="256"/>
        <v>10946.05573</v>
      </c>
      <c r="W296" s="85">
        <f t="shared" si="257"/>
        <v>-4225.3239992296285</v>
      </c>
      <c r="X296" s="85">
        <f t="shared" si="258"/>
        <v>4373.8707904286284</v>
      </c>
      <c r="Y296" s="90">
        <f t="shared" si="259"/>
        <v>4225.3239992296285</v>
      </c>
      <c r="Z296" s="86">
        <f t="shared" si="260"/>
        <v>29687.165840000001</v>
      </c>
      <c r="AA296" s="85">
        <f t="shared" si="261"/>
        <v>-913.46204712425447</v>
      </c>
      <c r="AB296" s="85">
        <f t="shared" si="262"/>
        <v>3084.726847762925</v>
      </c>
      <c r="AC296" s="90">
        <f t="shared" si="263"/>
        <v>913.46204712425447</v>
      </c>
      <c r="AD296" s="86">
        <f t="shared" si="264"/>
        <v>-10832.39047</v>
      </c>
      <c r="AE296" s="85">
        <f t="shared" si="265"/>
        <v>4140.4375383844126</v>
      </c>
      <c r="AF296" s="85">
        <f t="shared" si="266"/>
        <v>-4286.9646132114021</v>
      </c>
      <c r="AG296" s="90">
        <f t="shared" si="267"/>
        <v>4140.4375383844126</v>
      </c>
      <c r="AH296" s="86">
        <f t="shared" si="268"/>
        <v>-37197.594210000003</v>
      </c>
      <c r="AI296" s="85">
        <f t="shared" si="269"/>
        <v>6238.0466047659793</v>
      </c>
      <c r="AJ296" s="85">
        <f t="shared" si="270"/>
        <v>-25275.768131779896</v>
      </c>
      <c r="AK296" s="90">
        <f t="shared" si="271"/>
        <v>6238.0466047659793</v>
      </c>
      <c r="AM296" s="95">
        <f t="shared" si="275"/>
        <v>0</v>
      </c>
      <c r="AN296" s="95">
        <f t="shared" si="276"/>
        <v>0</v>
      </c>
      <c r="AO296" s="95">
        <f t="shared" si="277"/>
        <v>0</v>
      </c>
      <c r="AP296" s="95">
        <f t="shared" si="278"/>
        <v>0</v>
      </c>
      <c r="AQ296"/>
      <c r="AR296" s="95">
        <f t="shared" si="272"/>
        <v>0</v>
      </c>
      <c r="AS296" s="95">
        <f t="shared" si="273"/>
        <v>0</v>
      </c>
      <c r="AT296" s="95">
        <f>Geraetedaten!$B$94*ABS(SIN(RADIANS($A296)))</f>
        <v>148.75257724851653</v>
      </c>
      <c r="AU296" s="95">
        <f>Geraetedaten!$B$94*ABS(COS(RADIANS($A296)))</f>
        <v>39.858132945788178</v>
      </c>
      <c r="AV296" s="95">
        <f>((h_Aw_Sw+Geraetedaten!$B$18)/1000)*(AR296*AT296+AS296*AU296)/100</f>
        <v>0</v>
      </c>
      <c r="AX296" s="18">
        <f t="shared" si="274"/>
        <v>0.25881904510252063</v>
      </c>
    </row>
    <row r="297" spans="1:50" ht="13.5" x14ac:dyDescent="0.25">
      <c r="A297" s="16">
        <v>256</v>
      </c>
      <c r="B297" s="16">
        <f t="shared" si="247"/>
        <v>194</v>
      </c>
      <c r="C297" s="19">
        <f t="shared" si="248"/>
        <v>68.905246142979607</v>
      </c>
      <c r="D297" s="17">
        <f t="shared" si="279"/>
        <v>10827.94071385702</v>
      </c>
      <c r="E297" s="17">
        <f t="shared" si="249"/>
        <v>31394.198833857023</v>
      </c>
      <c r="F297" s="17">
        <f t="shared" si="250"/>
        <v>-10852.428316142979</v>
      </c>
      <c r="G297" s="17">
        <f t="shared" si="251"/>
        <v>-40009.618526142986</v>
      </c>
      <c r="H297" s="17">
        <f t="shared" si="218"/>
        <v>10827.94071385702</v>
      </c>
      <c r="I297" s="17">
        <f t="shared" si="252"/>
        <v>4354.2073480171457</v>
      </c>
      <c r="J297" s="20">
        <f>(Geraetedaten!$B$152+(Geraetedaten!$B$153*(Geraetedaten!$B$18+d_y_Sw)/1000))*10</f>
        <v>6051.0442000000003</v>
      </c>
      <c r="K297" s="20">
        <f>(Geraetedaten!$B$165+(Geraetedaten!$B$166*(Geraetedaten!$B$18+d_y_Sw)/1000))*10</f>
        <v>10816.164000000001</v>
      </c>
      <c r="L297" s="20">
        <f>(Geraetedaten!$B$158+(Geraetedaten!$B$159*(Geraetedaten!$B$18+d_y_Sw)/1000)-(Geraetedaten!$B$160*I297/1000))*10</f>
        <v>282.24257516990252</v>
      </c>
      <c r="M297" s="20">
        <f>(Geraetedaten!$B$171+(Geraetedaten!$B$172*(Geraetedaten!$B$18+d_y_Sw)/1000)-(Geraetedaten!$B$173*I297/1000))*10</f>
        <v>740.7398050136045</v>
      </c>
      <c r="N297" s="20">
        <f>IF((H297-J297)/(K297-J297)*(Geraetedaten!$B$174-Geraetedaten!$B$161)&lt;Geraetedaten!$B$174,(H297-J297)/(K297-J297)*(Geraetedaten!$B$174-Geraetedaten!$B$161),Geraetedaten!$B$174)</f>
        <v>400</v>
      </c>
      <c r="O297" s="20">
        <f>N297/Geraetedaten!$B$174*(M297-L297)+L297+C297</f>
        <v>809.64505115658415</v>
      </c>
      <c r="P297" s="20">
        <f t="shared" si="246"/>
        <v>224.60428537258372</v>
      </c>
      <c r="Q297" s="20"/>
      <c r="R297" s="21">
        <f>(N297-Geraetedaten!$B$161)/(Geraetedaten!$B$174-Geraetedaten!$B$161)*(Geraetedaten!$B$175-Geraetedaten!$B$162)+Geraetedaten!$B$162</f>
        <v>41.1</v>
      </c>
      <c r="S297" s="21">
        <f t="shared" si="253"/>
        <v>41.1</v>
      </c>
      <c r="T297" s="21">
        <f t="shared" si="254"/>
        <v>-39.879154349943455</v>
      </c>
      <c r="U297" s="88">
        <f t="shared" si="255"/>
        <v>-9.9429899091463465</v>
      </c>
      <c r="V297" s="86">
        <f t="shared" si="256"/>
        <v>10896.845960000001</v>
      </c>
      <c r="W297" s="85">
        <f t="shared" si="257"/>
        <v>-4225.3239992296285</v>
      </c>
      <c r="X297" s="85">
        <f t="shared" si="258"/>
        <v>4354.2073480171457</v>
      </c>
      <c r="Y297" s="90">
        <f t="shared" si="259"/>
        <v>4225.3239992296285</v>
      </c>
      <c r="Z297" s="86">
        <f t="shared" si="260"/>
        <v>31463.104080000001</v>
      </c>
      <c r="AA297" s="85">
        <f t="shared" si="261"/>
        <v>-913.46204712425447</v>
      </c>
      <c r="AB297" s="85">
        <f t="shared" si="262"/>
        <v>3269.2606098136462</v>
      </c>
      <c r="AC297" s="90">
        <f t="shared" si="263"/>
        <v>913.46204712425447</v>
      </c>
      <c r="AD297" s="86">
        <f t="shared" si="264"/>
        <v>-10783.523069999999</v>
      </c>
      <c r="AE297" s="85">
        <f t="shared" si="265"/>
        <v>4140.4375383844126</v>
      </c>
      <c r="AF297" s="85">
        <f t="shared" si="266"/>
        <v>-4267.6251294197591</v>
      </c>
      <c r="AG297" s="90">
        <f t="shared" si="267"/>
        <v>4140.4375383844126</v>
      </c>
      <c r="AH297" s="86">
        <f t="shared" si="268"/>
        <v>-39940.713280000004</v>
      </c>
      <c r="AI297" s="85">
        <f t="shared" si="269"/>
        <v>6238.0466047659793</v>
      </c>
      <c r="AJ297" s="85">
        <f t="shared" si="270"/>
        <v>-27139.717745555965</v>
      </c>
      <c r="AK297" s="90">
        <f t="shared" si="271"/>
        <v>6238.0466047659793</v>
      </c>
      <c r="AM297" s="95">
        <f t="shared" si="275"/>
        <v>0</v>
      </c>
      <c r="AN297" s="95">
        <f t="shared" si="276"/>
        <v>0</v>
      </c>
      <c r="AO297" s="95">
        <f t="shared" si="277"/>
        <v>0</v>
      </c>
      <c r="AP297" s="95">
        <f t="shared" si="278"/>
        <v>0</v>
      </c>
      <c r="AQ297"/>
      <c r="AR297" s="95">
        <f t="shared" si="272"/>
        <v>0</v>
      </c>
      <c r="AS297" s="95">
        <f t="shared" si="273"/>
        <v>0</v>
      </c>
      <c r="AT297" s="95">
        <f>Geraetedaten!$B$94*ABS(SIN(RADIANS($A297)))</f>
        <v>149.42554184650345</v>
      </c>
      <c r="AU297" s="95">
        <f>Geraetedaten!$B$94*ABS(COS(RADIANS($A297)))</f>
        <v>37.255971922348841</v>
      </c>
      <c r="AV297" s="95">
        <f>((h_Aw_Sw+Geraetedaten!$B$18)/1000)*(AR297*AT297+AS297*AU297)/100</f>
        <v>0</v>
      </c>
      <c r="AX297" s="18">
        <f t="shared" si="274"/>
        <v>0.24192189559966779</v>
      </c>
    </row>
    <row r="298" spans="1:50" ht="13.5" x14ac:dyDescent="0.25">
      <c r="A298" s="16">
        <v>257</v>
      </c>
      <c r="B298" s="16">
        <f t="shared" si="247"/>
        <v>193</v>
      </c>
      <c r="C298" s="19">
        <f t="shared" si="248"/>
        <v>68.655939546245634</v>
      </c>
      <c r="D298" s="17">
        <f t="shared" si="279"/>
        <v>10782.711380453753</v>
      </c>
      <c r="E298" s="17">
        <f t="shared" si="249"/>
        <v>33407.23143045375</v>
      </c>
      <c r="F298" s="17">
        <f t="shared" si="250"/>
        <v>-10807.006839546246</v>
      </c>
      <c r="G298" s="17">
        <f t="shared" si="251"/>
        <v>-43203.464639546248</v>
      </c>
      <c r="H298" s="17">
        <f t="shared" si="218"/>
        <v>10782.711380453753</v>
      </c>
      <c r="I298" s="17">
        <f t="shared" si="252"/>
        <v>4336.0348016076769</v>
      </c>
      <c r="J298" s="20">
        <f>(Geraetedaten!$B$152+(Geraetedaten!$B$153*(Geraetedaten!$B$18+d_y_Sw)/1000))*10</f>
        <v>6051.0442000000003</v>
      </c>
      <c r="K298" s="20">
        <f>(Geraetedaten!$B$165+(Geraetedaten!$B$166*(Geraetedaten!$B$18+d_y_Sw)/1000))*10</f>
        <v>10816.164000000001</v>
      </c>
      <c r="L298" s="20">
        <f>(Geraetedaten!$B$158+(Geraetedaten!$B$159*(Geraetedaten!$B$18+d_y_Sw)/1000)-(Geraetedaten!$B$160*I298/1000))*10</f>
        <v>283.5751679981089</v>
      </c>
      <c r="M298" s="20">
        <f>(Geraetedaten!$B$171+(Geraetedaten!$B$172*(Geraetedaten!$B$18+d_y_Sw)/1000)-(Geraetedaten!$B$173*I298/1000))*10</f>
        <v>742.09256936832526</v>
      </c>
      <c r="N298" s="20">
        <f>IF((H298-J298)/(K298-J298)*(Geraetedaten!$B$174-Geraetedaten!$B$161)&lt;Geraetedaten!$B$174,(H298-J298)/(K298-J298)*(Geraetedaten!$B$174-Geraetedaten!$B$161),Geraetedaten!$B$174)</f>
        <v>397.19187588557605</v>
      </c>
      <c r="O298" s="20">
        <f>N298/Geraetedaten!$B$174*(M298-L298)+L298+C298</f>
        <v>807.52957448539405</v>
      </c>
      <c r="P298" s="20">
        <f t="shared" si="246"/>
        <v>224.41665663000953</v>
      </c>
      <c r="Q298" s="20"/>
      <c r="R298" s="21">
        <f>(N298-Geraetedaten!$B$161)/(Geraetedaten!$B$174-Geraetedaten!$B$161)*(Geraetedaten!$B$175-Geraetedaten!$B$162)+Geraetedaten!$B$162</f>
        <v>41.01645830759589</v>
      </c>
      <c r="S298" s="21">
        <f t="shared" si="253"/>
        <v>41.01645830759589</v>
      </c>
      <c r="T298" s="21">
        <f t="shared" si="254"/>
        <v>-39.965209138433103</v>
      </c>
      <c r="U298" s="88">
        <f t="shared" si="255"/>
        <v>-9.2266955417448866</v>
      </c>
      <c r="V298" s="86">
        <f t="shared" si="256"/>
        <v>10851.367319999999</v>
      </c>
      <c r="W298" s="85">
        <f t="shared" si="257"/>
        <v>-4225.3239992296285</v>
      </c>
      <c r="X298" s="85">
        <f t="shared" si="258"/>
        <v>4336.0348016076769</v>
      </c>
      <c r="Y298" s="90">
        <f t="shared" si="259"/>
        <v>4225.3239992296285</v>
      </c>
      <c r="Z298" s="86">
        <f t="shared" si="260"/>
        <v>33475.887369999997</v>
      </c>
      <c r="AA298" s="85">
        <f t="shared" si="261"/>
        <v>-913.46204712425447</v>
      </c>
      <c r="AB298" s="85">
        <f t="shared" si="262"/>
        <v>3478.404408649274</v>
      </c>
      <c r="AC298" s="90">
        <f t="shared" si="263"/>
        <v>913.46204712425447</v>
      </c>
      <c r="AD298" s="86">
        <f t="shared" si="264"/>
        <v>-10738.350899999999</v>
      </c>
      <c r="AE298" s="85">
        <f t="shared" si="265"/>
        <v>4140.4375383844126</v>
      </c>
      <c r="AF298" s="85">
        <f t="shared" si="266"/>
        <v>-4249.7480525218716</v>
      </c>
      <c r="AG298" s="90">
        <f t="shared" si="267"/>
        <v>4140.4375383844126</v>
      </c>
      <c r="AH298" s="86">
        <f t="shared" si="268"/>
        <v>-43134.808700000001</v>
      </c>
      <c r="AI298" s="85">
        <f t="shared" si="269"/>
        <v>6238.0466047659793</v>
      </c>
      <c r="AJ298" s="85">
        <f t="shared" si="270"/>
        <v>-29310.105834892016</v>
      </c>
      <c r="AK298" s="90">
        <f t="shared" si="271"/>
        <v>6238.0466047659793</v>
      </c>
      <c r="AM298" s="95">
        <f t="shared" si="275"/>
        <v>0</v>
      </c>
      <c r="AN298" s="95">
        <f t="shared" si="276"/>
        <v>0</v>
      </c>
      <c r="AO298" s="95">
        <f t="shared" si="277"/>
        <v>0</v>
      </c>
      <c r="AP298" s="95">
        <f t="shared" si="278"/>
        <v>0</v>
      </c>
      <c r="AQ298"/>
      <c r="AR298" s="95">
        <f t="shared" si="272"/>
        <v>0</v>
      </c>
      <c r="AS298" s="95">
        <f t="shared" si="273"/>
        <v>0</v>
      </c>
      <c r="AT298" s="95">
        <f>Geraetedaten!$B$94*ABS(SIN(RADIANS($A298)))</f>
        <v>150.0529899769262</v>
      </c>
      <c r="AU298" s="95">
        <f>Geraetedaten!$B$94*ABS(COS(RADIANS($A298)))</f>
        <v>34.64246236895525</v>
      </c>
      <c r="AV298" s="95">
        <f>((h_Aw_Sw+Geraetedaten!$B$18)/1000)*(AR298*AT298+AS298*AU298)/100</f>
        <v>0</v>
      </c>
      <c r="AX298" s="18">
        <f t="shared" si="274"/>
        <v>0.22495105434386525</v>
      </c>
    </row>
    <row r="299" spans="1:50" ht="13.5" x14ac:dyDescent="0.25">
      <c r="A299" s="16">
        <v>258</v>
      </c>
      <c r="B299" s="16">
        <f t="shared" si="247"/>
        <v>192</v>
      </c>
      <c r="C299" s="19">
        <f t="shared" si="248"/>
        <v>68.385719685240872</v>
      </c>
      <c r="D299" s="17">
        <f t="shared" si="279"/>
        <v>10741.16000031476</v>
      </c>
      <c r="E299" s="17">
        <f t="shared" si="249"/>
        <v>35707.05477031476</v>
      </c>
      <c r="F299" s="17">
        <f t="shared" si="250"/>
        <v>-10765.186089685241</v>
      </c>
      <c r="G299" s="17">
        <f t="shared" si="251"/>
        <v>-46968.093089685237</v>
      </c>
      <c r="H299" s="17">
        <f t="shared" si="218"/>
        <v>10741.16000031476</v>
      </c>
      <c r="I299" s="17">
        <f t="shared" si="252"/>
        <v>4319.3235526140334</v>
      </c>
      <c r="J299" s="20">
        <f>(Geraetedaten!$B$152+(Geraetedaten!$B$153*(Geraetedaten!$B$18+d_y_Sw)/1000))*10</f>
        <v>6051.0442000000003</v>
      </c>
      <c r="K299" s="20">
        <f>(Geraetedaten!$B$165+(Geraetedaten!$B$166*(Geraetedaten!$B$18+d_y_Sw)/1000))*10</f>
        <v>10816.164000000001</v>
      </c>
      <c r="L299" s="20">
        <f>(Geraetedaten!$B$158+(Geraetedaten!$B$159*(Geraetedaten!$B$18+d_y_Sw)/1000)-(Geraetedaten!$B$160*I299/1000))*10</f>
        <v>284.80060388681272</v>
      </c>
      <c r="M299" s="20">
        <f>(Geraetedaten!$B$171+(Geraetedaten!$B$172*(Geraetedaten!$B$18+d_y_Sw)/1000)-(Geraetedaten!$B$173*I299/1000))*10</f>
        <v>743.33655474341208</v>
      </c>
      <c r="N299" s="20">
        <f>IF((H299-J299)/(K299-J299)*(Geraetedaten!$B$174-Geraetedaten!$B$161)&lt;Geraetedaten!$B$174,(H299-J299)/(K299-J299)*(Geraetedaten!$B$174-Geraetedaten!$B$161),Geraetedaten!$B$174)</f>
        <v>393.70391487867812</v>
      </c>
      <c r="O299" s="20">
        <f>N299/Geraetedaten!$B$174*(M299-L299)+L299+C299</f>
        <v>804.50482098420434</v>
      </c>
      <c r="P299" s="20">
        <f t="shared" si="246"/>
        <v>224.10794920561972</v>
      </c>
      <c r="Q299" s="20"/>
      <c r="R299" s="21">
        <f>(N299-Geraetedaten!$B$161)/(Geraetedaten!$B$174-Geraetedaten!$B$161)*(Geraetedaten!$B$175-Geraetedaten!$B$162)+Geraetedaten!$B$162</f>
        <v>40.912691467640677</v>
      </c>
      <c r="S299" s="21">
        <f t="shared" si="253"/>
        <v>40.912691467640677</v>
      </c>
      <c r="T299" s="21">
        <f t="shared" si="254"/>
        <v>-40.018650998635167</v>
      </c>
      <c r="U299" s="88">
        <f t="shared" si="255"/>
        <v>-8.5062268589425081</v>
      </c>
      <c r="V299" s="86">
        <f t="shared" si="256"/>
        <v>10809.54572</v>
      </c>
      <c r="W299" s="85">
        <f t="shared" si="257"/>
        <v>-4225.3239992296285</v>
      </c>
      <c r="X299" s="85">
        <f t="shared" si="258"/>
        <v>4319.3235526140334</v>
      </c>
      <c r="Y299" s="90">
        <f t="shared" si="259"/>
        <v>4225.3239992296285</v>
      </c>
      <c r="Z299" s="86">
        <f t="shared" si="260"/>
        <v>35775.440490000001</v>
      </c>
      <c r="AA299" s="85">
        <f t="shared" si="261"/>
        <v>-913.46204712425447</v>
      </c>
      <c r="AB299" s="85">
        <f t="shared" si="262"/>
        <v>3717.3458184563938</v>
      </c>
      <c r="AC299" s="90">
        <f t="shared" si="263"/>
        <v>913.46204712425447</v>
      </c>
      <c r="AD299" s="86">
        <f t="shared" si="264"/>
        <v>-10696.800370000001</v>
      </c>
      <c r="AE299" s="85">
        <f t="shared" si="265"/>
        <v>4140.4375383844126</v>
      </c>
      <c r="AF299" s="85">
        <f t="shared" si="266"/>
        <v>-4233.3042512282364</v>
      </c>
      <c r="AG299" s="90">
        <f t="shared" si="267"/>
        <v>4140.4375383844126</v>
      </c>
      <c r="AH299" s="86">
        <f t="shared" si="268"/>
        <v>-46899.707369999996</v>
      </c>
      <c r="AI299" s="85">
        <f t="shared" si="269"/>
        <v>6238.0466047659793</v>
      </c>
      <c r="AJ299" s="85">
        <f t="shared" si="270"/>
        <v>-31868.354768151123</v>
      </c>
      <c r="AK299" s="90">
        <f t="shared" si="271"/>
        <v>6238.0466047659793</v>
      </c>
      <c r="AM299" s="95">
        <f t="shared" si="275"/>
        <v>0</v>
      </c>
      <c r="AN299" s="95">
        <f t="shared" si="276"/>
        <v>0</v>
      </c>
      <c r="AO299" s="95">
        <f t="shared" si="277"/>
        <v>0</v>
      </c>
      <c r="AP299" s="95">
        <f t="shared" si="278"/>
        <v>0</v>
      </c>
      <c r="AQ299"/>
      <c r="AR299" s="95">
        <f t="shared" si="272"/>
        <v>0</v>
      </c>
      <c r="AS299" s="95">
        <f t="shared" si="273"/>
        <v>0</v>
      </c>
      <c r="AT299" s="95">
        <f>Geraetedaten!$B$94*ABS(SIN(RADIANS($A299)))</f>
        <v>150.63473051300605</v>
      </c>
      <c r="AU299" s="95">
        <f>Geraetedaten!$B$94*ABS(COS(RADIANS($A299)))</f>
        <v>32.01840038593501</v>
      </c>
      <c r="AV299" s="95">
        <f>((h_Aw_Sw+Geraetedaten!$B$18)/1000)*(AR299*AT299+AS299*AU299)/100</f>
        <v>0</v>
      </c>
      <c r="AX299" s="18">
        <f t="shared" si="274"/>
        <v>0.20791169081775979</v>
      </c>
    </row>
    <row r="300" spans="1:50" ht="13.5" x14ac:dyDescent="0.25">
      <c r="A300" s="16">
        <v>259</v>
      </c>
      <c r="B300" s="16">
        <f t="shared" si="247"/>
        <v>191</v>
      </c>
      <c r="C300" s="19">
        <f t="shared" si="248"/>
        <v>68.094668871552614</v>
      </c>
      <c r="D300" s="17">
        <f t="shared" si="279"/>
        <v>10703.219031128448</v>
      </c>
      <c r="E300" s="17">
        <f t="shared" si="249"/>
        <v>38358.695601128442</v>
      </c>
      <c r="F300" s="17">
        <f t="shared" si="250"/>
        <v>-10726.899068871553</v>
      </c>
      <c r="G300" s="17">
        <f t="shared" si="251"/>
        <v>-51469.921258871553</v>
      </c>
      <c r="H300" s="17">
        <f t="shared" si="218"/>
        <v>10703.219031128448</v>
      </c>
      <c r="I300" s="17">
        <f t="shared" si="252"/>
        <v>4304.0466415510436</v>
      </c>
      <c r="J300" s="20">
        <f>(Geraetedaten!$B$152+(Geraetedaten!$B$153*(Geraetedaten!$B$18+d_y_Sw)/1000))*10</f>
        <v>6051.0442000000003</v>
      </c>
      <c r="K300" s="20">
        <f>(Geraetedaten!$B$165+(Geraetedaten!$B$166*(Geraetedaten!$B$18+d_y_Sw)/1000))*10</f>
        <v>10816.164000000001</v>
      </c>
      <c r="L300" s="20">
        <f>(Geraetedaten!$B$158+(Geraetedaten!$B$159*(Geraetedaten!$B$18+d_y_Sw)/1000)-(Geraetedaten!$B$160*I300/1000))*10</f>
        <v>285.92085977506179</v>
      </c>
      <c r="M300" s="20">
        <f>(Geraetedaten!$B$171+(Geraetedaten!$B$172*(Geraetedaten!$B$18+d_y_Sw)/1000)-(Geraetedaten!$B$173*I300/1000))*10</f>
        <v>744.47376800294114</v>
      </c>
      <c r="N300" s="20">
        <f>IF((H300-J300)/(K300-J300)*(Geraetedaten!$B$174-Geraetedaten!$B$161)&lt;Geraetedaten!$B$174,(H300-J300)/(K300-J300)*(Geraetedaten!$B$174-Geraetedaten!$B$161),Geraetedaten!$B$174)</f>
        <v>390.51902377173792</v>
      </c>
      <c r="O300" s="20">
        <f>N300/Geraetedaten!$B$174*(M300-L300)+L300+C300</f>
        <v>801.69961381872133</v>
      </c>
      <c r="P300" s="20">
        <f t="shared" si="246"/>
        <v>223.81258989701834</v>
      </c>
      <c r="Q300" s="20"/>
      <c r="R300" s="21">
        <f>(N300-Geraetedaten!$B$161)/(Geraetedaten!$B$174-Geraetedaten!$B$161)*(Geraetedaten!$B$175-Geraetedaten!$B$162)+Geraetedaten!$B$162</f>
        <v>40.817940957209203</v>
      </c>
      <c r="S300" s="21">
        <f t="shared" si="253"/>
        <v>40.817940957209203</v>
      </c>
      <c r="T300" s="21">
        <f t="shared" si="254"/>
        <v>-40.068000415958316</v>
      </c>
      <c r="U300" s="88">
        <f t="shared" si="255"/>
        <v>-7.7884303073842016</v>
      </c>
      <c r="V300" s="86">
        <f t="shared" si="256"/>
        <v>10771.313700000001</v>
      </c>
      <c r="W300" s="85">
        <f t="shared" si="257"/>
        <v>-4225.3239992296285</v>
      </c>
      <c r="X300" s="85">
        <f t="shared" si="258"/>
        <v>4304.0466415510436</v>
      </c>
      <c r="Y300" s="90">
        <f t="shared" si="259"/>
        <v>4225.3239992296285</v>
      </c>
      <c r="Z300" s="86">
        <f t="shared" si="260"/>
        <v>38426.790269999998</v>
      </c>
      <c r="AA300" s="85">
        <f t="shared" si="261"/>
        <v>-913.46204712425447</v>
      </c>
      <c r="AB300" s="85">
        <f t="shared" si="262"/>
        <v>3992.841630245568</v>
      </c>
      <c r="AC300" s="90">
        <f t="shared" si="263"/>
        <v>913.46204712425447</v>
      </c>
      <c r="AD300" s="86">
        <f t="shared" si="264"/>
        <v>-10658.804400000001</v>
      </c>
      <c r="AE300" s="85">
        <f t="shared" si="265"/>
        <v>4140.4375383844126</v>
      </c>
      <c r="AF300" s="85">
        <f t="shared" si="266"/>
        <v>-4218.2671857608884</v>
      </c>
      <c r="AG300" s="90">
        <f t="shared" si="267"/>
        <v>4140.4375383844126</v>
      </c>
      <c r="AH300" s="86">
        <f t="shared" si="268"/>
        <v>-51401.826589999997</v>
      </c>
      <c r="AI300" s="85">
        <f t="shared" si="269"/>
        <v>6238.0466047659793</v>
      </c>
      <c r="AJ300" s="85">
        <f t="shared" si="270"/>
        <v>-34927.545125658697</v>
      </c>
      <c r="AK300" s="90">
        <f t="shared" si="271"/>
        <v>6238.0466047659793</v>
      </c>
      <c r="AM300" s="95">
        <f t="shared" si="275"/>
        <v>0</v>
      </c>
      <c r="AN300" s="95">
        <f t="shared" si="276"/>
        <v>0</v>
      </c>
      <c r="AO300" s="95">
        <f t="shared" si="277"/>
        <v>0</v>
      </c>
      <c r="AP300" s="95">
        <f t="shared" si="278"/>
        <v>0</v>
      </c>
      <c r="AQ300"/>
      <c r="AR300" s="95">
        <f t="shared" si="272"/>
        <v>0</v>
      </c>
      <c r="AS300" s="95">
        <f t="shared" si="273"/>
        <v>0</v>
      </c>
      <c r="AT300" s="95">
        <f>Geraetedaten!$B$94*ABS(SIN(RADIANS($A300)))</f>
        <v>151.17058625094026</v>
      </c>
      <c r="AU300" s="95">
        <f>Geraetedaten!$B$94*ABS(COS(RADIANS($A300)))</f>
        <v>29.384585287987871</v>
      </c>
      <c r="AV300" s="95">
        <f>((h_Aw_Sw+Geraetedaten!$B$18)/1000)*(AR300*AT300+AS300*AU300)/100</f>
        <v>0</v>
      </c>
      <c r="AX300" s="18">
        <f t="shared" si="274"/>
        <v>0.19080899537654461</v>
      </c>
    </row>
    <row r="301" spans="1:50" ht="13.5" x14ac:dyDescent="0.25">
      <c r="A301" s="16">
        <v>260</v>
      </c>
      <c r="B301" s="16">
        <f t="shared" si="247"/>
        <v>190</v>
      </c>
      <c r="C301" s="19">
        <f t="shared" si="248"/>
        <v>67.782875762078234</v>
      </c>
      <c r="D301" s="17">
        <f t="shared" si="279"/>
        <v>10668.82724423792</v>
      </c>
      <c r="E301" s="17">
        <f t="shared" si="249"/>
        <v>41448.459364237919</v>
      </c>
      <c r="F301" s="17">
        <f t="shared" si="250"/>
        <v>-10692.085095762079</v>
      </c>
      <c r="G301" s="17">
        <f t="shared" si="251"/>
        <v>-56947.037425762079</v>
      </c>
      <c r="H301" s="17">
        <f t="shared" si="218"/>
        <v>10668.82724423792</v>
      </c>
      <c r="I301" s="17">
        <f t="shared" si="252"/>
        <v>4290.1796391690214</v>
      </c>
      <c r="J301" s="20">
        <f>(Geraetedaten!$B$152+(Geraetedaten!$B$153*(Geraetedaten!$B$18+d_y_Sw)/1000))*10</f>
        <v>6051.0442000000003</v>
      </c>
      <c r="K301" s="20">
        <f>(Geraetedaten!$B$165+(Geraetedaten!$B$166*(Geraetedaten!$B$18+d_y_Sw)/1000))*10</f>
        <v>10816.164000000001</v>
      </c>
      <c r="L301" s="20">
        <f>(Geraetedaten!$B$158+(Geraetedaten!$B$159*(Geraetedaten!$B$18+d_y_Sw)/1000)-(Geraetedaten!$B$160*I301/1000))*10</f>
        <v>286.93772705973549</v>
      </c>
      <c r="M301" s="20">
        <f>(Geraetedaten!$B$171+(Geraetedaten!$B$172*(Geraetedaten!$B$18+d_y_Sw)/1000)-(Geraetedaten!$B$173*I301/1000))*10</f>
        <v>745.50602766025895</v>
      </c>
      <c r="N301" s="20">
        <f>IF((H301-J301)/(K301-J301)*(Geraetedaten!$B$174-Geraetedaten!$B$161)&lt;Geraetedaten!$B$174,(H301-J301)/(K301-J301)*(Geraetedaten!$B$174-Geraetedaten!$B$161),Geraetedaten!$B$174)</f>
        <v>387.63206282771063</v>
      </c>
      <c r="O301" s="20">
        <f>N301/Geraetedaten!$B$174*(M301-L301)+L301+C301</f>
        <v>799.11004359476021</v>
      </c>
      <c r="P301" s="20">
        <f t="shared" si="246"/>
        <v>223.53054490617055</v>
      </c>
      <c r="Q301" s="20"/>
      <c r="R301" s="21">
        <f>(N301-Geraetedaten!$B$161)/(Geraetedaten!$B$174-Geraetedaten!$B$161)*(Geraetedaten!$B$175-Geraetedaten!$B$162)+Geraetedaten!$B$162</f>
        <v>40.732053869124393</v>
      </c>
      <c r="S301" s="21">
        <f t="shared" si="253"/>
        <v>40.732053869124393</v>
      </c>
      <c r="T301" s="21">
        <f t="shared" si="254"/>
        <v>-40.113242446424607</v>
      </c>
      <c r="U301" s="88">
        <f t="shared" si="255"/>
        <v>-7.0730469270046896</v>
      </c>
      <c r="V301" s="86">
        <f t="shared" si="256"/>
        <v>10736.610119999999</v>
      </c>
      <c r="W301" s="85">
        <f t="shared" si="257"/>
        <v>-4225.3239992296285</v>
      </c>
      <c r="X301" s="85">
        <f t="shared" si="258"/>
        <v>4290.1796391690214</v>
      </c>
      <c r="Y301" s="90">
        <f t="shared" si="259"/>
        <v>4225.3239992296285</v>
      </c>
      <c r="Z301" s="86">
        <f t="shared" si="260"/>
        <v>41516.24224</v>
      </c>
      <c r="AA301" s="85">
        <f t="shared" si="261"/>
        <v>-913.46204712425447</v>
      </c>
      <c r="AB301" s="85">
        <f t="shared" si="262"/>
        <v>4313.85965776584</v>
      </c>
      <c r="AC301" s="90">
        <f t="shared" si="263"/>
        <v>913.46204712425447</v>
      </c>
      <c r="AD301" s="86">
        <f t="shared" si="264"/>
        <v>-10624.30222</v>
      </c>
      <c r="AE301" s="85">
        <f t="shared" si="265"/>
        <v>4140.4375383844126</v>
      </c>
      <c r="AF301" s="85">
        <f t="shared" si="266"/>
        <v>-4204.6128006155204</v>
      </c>
      <c r="AG301" s="90">
        <f t="shared" si="267"/>
        <v>4140.4375383844126</v>
      </c>
      <c r="AH301" s="86">
        <f t="shared" si="268"/>
        <v>-56879.254549999998</v>
      </c>
      <c r="AI301" s="85">
        <f t="shared" si="269"/>
        <v>6238.0466047659793</v>
      </c>
      <c r="AJ301" s="85">
        <f t="shared" si="270"/>
        <v>-38649.457842344797</v>
      </c>
      <c r="AK301" s="90">
        <f t="shared" si="271"/>
        <v>6238.0466047659793</v>
      </c>
      <c r="AM301" s="95">
        <f t="shared" si="275"/>
        <v>0</v>
      </c>
      <c r="AN301" s="95">
        <f t="shared" si="276"/>
        <v>0</v>
      </c>
      <c r="AO301" s="95">
        <f t="shared" si="277"/>
        <v>0</v>
      </c>
      <c r="AP301" s="95">
        <f t="shared" si="278"/>
        <v>0</v>
      </c>
      <c r="AQ301"/>
      <c r="AR301" s="95">
        <f t="shared" si="272"/>
        <v>0</v>
      </c>
      <c r="AS301" s="95">
        <f t="shared" si="273"/>
        <v>0</v>
      </c>
      <c r="AT301" s="95">
        <f>Geraetedaten!$B$94*ABS(SIN(RADIANS($A301)))</f>
        <v>151.66039396388004</v>
      </c>
      <c r="AU301" s="95">
        <f>Geraetedaten!$B$94*ABS(COS(RADIANS($A301)))</f>
        <v>26.741819360707272</v>
      </c>
      <c r="AV301" s="95">
        <f>((h_Aw_Sw+Geraetedaten!$B$18)/1000)*(AR301*AT301+AS301*AU301)/100</f>
        <v>0</v>
      </c>
      <c r="AX301" s="18">
        <f t="shared" si="274"/>
        <v>0.17364817766693033</v>
      </c>
    </row>
    <row r="302" spans="1:50" ht="13.5" x14ac:dyDescent="0.25">
      <c r="A302" s="16">
        <v>261</v>
      </c>
      <c r="B302" s="16">
        <f t="shared" si="247"/>
        <v>189</v>
      </c>
      <c r="C302" s="19">
        <f t="shared" si="248"/>
        <v>67.450435332019254</v>
      </c>
      <c r="D302" s="17">
        <f t="shared" si="279"/>
        <v>10637.92949466798</v>
      </c>
      <c r="E302" s="17">
        <f t="shared" si="249"/>
        <v>45093.408454667981</v>
      </c>
      <c r="F302" s="17">
        <f t="shared" si="250"/>
        <v>-10660.689505332019</v>
      </c>
      <c r="G302" s="17">
        <f t="shared" si="251"/>
        <v>-63752.437345332022</v>
      </c>
      <c r="H302" s="17">
        <f t="shared" si="218"/>
        <v>10637.92949466798</v>
      </c>
      <c r="I302" s="17">
        <f t="shared" si="252"/>
        <v>4277.7005490308729</v>
      </c>
      <c r="J302" s="20">
        <f>(Geraetedaten!$B$152+(Geraetedaten!$B$153*(Geraetedaten!$B$18+d_y_Sw)/1000))*10</f>
        <v>6051.0442000000003</v>
      </c>
      <c r="K302" s="20">
        <f>(Geraetedaten!$B$165+(Geraetedaten!$B$166*(Geraetedaten!$B$18+d_y_Sw)/1000))*10</f>
        <v>10816.164000000001</v>
      </c>
      <c r="L302" s="20">
        <f>(Geraetedaten!$B$158+(Geraetedaten!$B$159*(Geraetedaten!$B$18+d_y_Sw)/1000)-(Geraetedaten!$B$160*I302/1000))*10</f>
        <v>287.85281873956586</v>
      </c>
      <c r="M302" s="20">
        <f>(Geraetedaten!$B$171+(Geraetedaten!$B$172*(Geraetedaten!$B$18+d_y_Sw)/1000)-(Geraetedaten!$B$173*I302/1000))*10</f>
        <v>746.43497113014269</v>
      </c>
      <c r="N302" s="20">
        <f>IF((H302-J302)/(K302-J302)*(Geraetedaten!$B$174-Geraetedaten!$B$161)&lt;Geraetedaten!$B$174,(H302-J302)/(K302-J302)*(Geraetedaten!$B$174-Geraetedaten!$B$161),Geraetedaten!$B$174)</f>
        <v>385.03840299402168</v>
      </c>
      <c r="O302" s="20">
        <f>N302/Geraetedaten!$B$174*(M302-L302)+L302+C302</f>
        <v>796.73260306665702</v>
      </c>
      <c r="P302" s="20">
        <f t="shared" si="246"/>
        <v>223.26179408355424</v>
      </c>
      <c r="Q302" s="20"/>
      <c r="R302" s="21">
        <f>(N302-Geraetedaten!$B$161)/(Geraetedaten!$B$174-Geraetedaten!$B$161)*(Geraetedaten!$B$175-Geraetedaten!$B$162)+Geraetedaten!$B$162</f>
        <v>40.654892489072147</v>
      </c>
      <c r="S302" s="21">
        <f t="shared" si="253"/>
        <v>40.654892489072147</v>
      </c>
      <c r="T302" s="21">
        <f t="shared" si="254"/>
        <v>-40.154363299605393</v>
      </c>
      <c r="U302" s="88">
        <f t="shared" si="255"/>
        <v>-6.3598263577961083</v>
      </c>
      <c r="V302" s="86">
        <f t="shared" si="256"/>
        <v>10705.379929999999</v>
      </c>
      <c r="W302" s="85">
        <f t="shared" si="257"/>
        <v>-4225.3239992296285</v>
      </c>
      <c r="X302" s="85">
        <f t="shared" si="258"/>
        <v>4277.7005490308729</v>
      </c>
      <c r="Y302" s="90">
        <f t="shared" si="259"/>
        <v>4225.3239992296285</v>
      </c>
      <c r="Z302" s="86">
        <f t="shared" si="260"/>
        <v>45160.858890000003</v>
      </c>
      <c r="AA302" s="85">
        <f t="shared" si="261"/>
        <v>-913.46204712425447</v>
      </c>
      <c r="AB302" s="85">
        <f t="shared" si="262"/>
        <v>4692.5636037978684</v>
      </c>
      <c r="AC302" s="90">
        <f t="shared" si="263"/>
        <v>913.46204712425447</v>
      </c>
      <c r="AD302" s="86">
        <f t="shared" si="264"/>
        <v>-10593.23907</v>
      </c>
      <c r="AE302" s="85">
        <f t="shared" si="265"/>
        <v>4140.4375383844126</v>
      </c>
      <c r="AF302" s="85">
        <f t="shared" si="266"/>
        <v>-4192.3194285735653</v>
      </c>
      <c r="AG302" s="90">
        <f t="shared" si="267"/>
        <v>4140.4375383844126</v>
      </c>
      <c r="AH302" s="86">
        <f t="shared" si="268"/>
        <v>-63684.98691</v>
      </c>
      <c r="AI302" s="85">
        <f t="shared" si="269"/>
        <v>6238.0466047659793</v>
      </c>
      <c r="AJ302" s="85">
        <f t="shared" si="270"/>
        <v>-43273.953509016224</v>
      </c>
      <c r="AK302" s="90">
        <f t="shared" si="271"/>
        <v>6238.0466047659793</v>
      </c>
      <c r="AM302" s="95">
        <f t="shared" si="275"/>
        <v>0</v>
      </c>
      <c r="AN302" s="95">
        <f t="shared" si="276"/>
        <v>0</v>
      </c>
      <c r="AO302" s="95">
        <f t="shared" si="277"/>
        <v>0</v>
      </c>
      <c r="AP302" s="95">
        <f t="shared" si="278"/>
        <v>0</v>
      </c>
      <c r="AQ302"/>
      <c r="AR302" s="95">
        <f t="shared" si="272"/>
        <v>0</v>
      </c>
      <c r="AS302" s="95">
        <f t="shared" si="273"/>
        <v>0</v>
      </c>
      <c r="AT302" s="95">
        <f>Geraetedaten!$B$94*ABS(SIN(RADIANS($A302)))</f>
        <v>152.10400445165121</v>
      </c>
      <c r="AU302" s="95">
        <f>Geraetedaten!$B$94*ABS(COS(RADIANS($A302)))</f>
        <v>24.09090761619558</v>
      </c>
      <c r="AV302" s="95">
        <f>((h_Aw_Sw+Geraetedaten!$B$18)/1000)*(AR302*AT302+AS302*AU302)/100</f>
        <v>0</v>
      </c>
      <c r="AX302" s="18">
        <f t="shared" si="274"/>
        <v>0.15643446504023104</v>
      </c>
    </row>
    <row r="303" spans="1:50" ht="13.5" x14ac:dyDescent="0.25">
      <c r="A303" s="16">
        <v>262</v>
      </c>
      <c r="B303" s="16">
        <f t="shared" si="247"/>
        <v>188</v>
      </c>
      <c r="C303" s="19">
        <f t="shared" si="248"/>
        <v>67.097448845951121</v>
      </c>
      <c r="D303" s="17">
        <f t="shared" si="279"/>
        <v>10610.476511154049</v>
      </c>
      <c r="E303" s="17">
        <f t="shared" si="249"/>
        <v>49456.402411154049</v>
      </c>
      <c r="F303" s="17">
        <f t="shared" si="250"/>
        <v>-10632.663478845951</v>
      </c>
      <c r="G303" s="17">
        <f t="shared" si="251"/>
        <v>-72432.855448845949</v>
      </c>
      <c r="H303" s="17">
        <f t="shared" si="218"/>
        <v>10610.476511154049</v>
      </c>
      <c r="I303" s="17">
        <f t="shared" si="252"/>
        <v>4266.5897207937123</v>
      </c>
      <c r="J303" s="20">
        <f>(Geraetedaten!$B$152+(Geraetedaten!$B$153*(Geraetedaten!$B$18+d_y_Sw)/1000))*10</f>
        <v>6051.0442000000003</v>
      </c>
      <c r="K303" s="20">
        <f>(Geraetedaten!$B$165+(Geraetedaten!$B$166*(Geraetedaten!$B$18+d_y_Sw)/1000))*10</f>
        <v>10816.164000000001</v>
      </c>
      <c r="L303" s="20">
        <f>(Geraetedaten!$B$158+(Geraetedaten!$B$159*(Geraetedaten!$B$18+d_y_Sw)/1000)-(Geraetedaten!$B$160*I303/1000))*10</f>
        <v>288.66757577419685</v>
      </c>
      <c r="M303" s="20">
        <f>(Geraetedaten!$B$171+(Geraetedaten!$B$172*(Geraetedaten!$B$18+d_y_Sw)/1000)-(Geraetedaten!$B$173*I303/1000))*10</f>
        <v>747.26206118411699</v>
      </c>
      <c r="N303" s="20">
        <f>IF((H303-J303)/(K303-J303)*(Geraetedaten!$B$174-Geraetedaten!$B$161)&lt;Geraetedaten!$B$174,(H303-J303)/(K303-J303)*(Geraetedaten!$B$174-Geraetedaten!$B$161),Geraetedaten!$B$174)</f>
        <v>382.73390827689565</v>
      </c>
      <c r="O303" s="20">
        <f>N303/Geraetedaten!$B$174*(M303-L303)+L303+C303</f>
        <v>794.56417390807439</v>
      </c>
      <c r="P303" s="20">
        <f t="shared" si="246"/>
        <v>223.00633099830438</v>
      </c>
      <c r="Q303" s="20"/>
      <c r="R303" s="21">
        <f>(N303-Geraetedaten!$B$161)/(Geraetedaten!$B$174-Geraetedaten!$B$161)*(Geraetedaten!$B$175-Geraetedaten!$B$162)+Geraetedaten!$B$162</f>
        <v>40.586333771237648</v>
      </c>
      <c r="S303" s="21">
        <f t="shared" si="253"/>
        <v>40.586333771237648</v>
      </c>
      <c r="T303" s="21">
        <f t="shared" si="254"/>
        <v>-40.191350360944277</v>
      </c>
      <c r="U303" s="88">
        <f t="shared" si="255"/>
        <v>-5.6485259275433863</v>
      </c>
      <c r="V303" s="86">
        <f t="shared" si="256"/>
        <v>10677.57396</v>
      </c>
      <c r="W303" s="85">
        <f t="shared" si="257"/>
        <v>-4225.3239992296285</v>
      </c>
      <c r="X303" s="85">
        <f t="shared" si="258"/>
        <v>4266.5897207937123</v>
      </c>
      <c r="Y303" s="90">
        <f t="shared" si="259"/>
        <v>4225.3239992296285</v>
      </c>
      <c r="Z303" s="86">
        <f t="shared" si="260"/>
        <v>49523.499860000004</v>
      </c>
      <c r="AA303" s="85">
        <f t="shared" si="261"/>
        <v>-913.46204712425447</v>
      </c>
      <c r="AB303" s="85">
        <f t="shared" si="262"/>
        <v>5145.875845763032</v>
      </c>
      <c r="AC303" s="90">
        <f t="shared" si="263"/>
        <v>913.46204712425447</v>
      </c>
      <c r="AD303" s="86">
        <f t="shared" si="264"/>
        <v>-10565.56603</v>
      </c>
      <c r="AE303" s="85">
        <f t="shared" si="265"/>
        <v>4140.4375383844126</v>
      </c>
      <c r="AF303" s="85">
        <f t="shared" si="266"/>
        <v>-4181.3677052364264</v>
      </c>
      <c r="AG303" s="90">
        <f t="shared" si="267"/>
        <v>4140.4375383844126</v>
      </c>
      <c r="AH303" s="86">
        <f t="shared" si="268"/>
        <v>-72365.758000000002</v>
      </c>
      <c r="AI303" s="85">
        <f t="shared" si="269"/>
        <v>6238.0466047659793</v>
      </c>
      <c r="AJ303" s="85">
        <f t="shared" si="270"/>
        <v>-49172.538133482405</v>
      </c>
      <c r="AK303" s="90">
        <f t="shared" si="271"/>
        <v>6238.0466047659793</v>
      </c>
      <c r="AM303" s="95">
        <f t="shared" si="275"/>
        <v>0</v>
      </c>
      <c r="AN303" s="95">
        <f t="shared" si="276"/>
        <v>0</v>
      </c>
      <c r="AO303" s="95">
        <f t="shared" si="277"/>
        <v>0</v>
      </c>
      <c r="AP303" s="95">
        <f t="shared" si="278"/>
        <v>0</v>
      </c>
      <c r="AQ303"/>
      <c r="AR303" s="95">
        <f t="shared" si="272"/>
        <v>0</v>
      </c>
      <c r="AS303" s="95">
        <f t="shared" si="273"/>
        <v>0</v>
      </c>
      <c r="AT303" s="95">
        <f>Geraetedaten!$B$94*ABS(SIN(RADIANS($A303)))</f>
        <v>152.50128258620182</v>
      </c>
      <c r="AU303" s="95">
        <f>Geraetedaten!$B$94*ABS(COS(RADIANS($A303)))</f>
        <v>21.432657547850138</v>
      </c>
      <c r="AV303" s="95">
        <f>((h_Aw_Sw+Geraetedaten!$B$18)/1000)*(AR303*AT303+AS303*AU303)/100</f>
        <v>0</v>
      </c>
      <c r="AX303" s="18">
        <f t="shared" si="274"/>
        <v>0.13917310096006583</v>
      </c>
    </row>
    <row r="304" spans="1:50" ht="13.5" x14ac:dyDescent="0.25">
      <c r="A304" s="16">
        <v>263</v>
      </c>
      <c r="B304" s="16">
        <f t="shared" si="247"/>
        <v>187</v>
      </c>
      <c r="C304" s="19">
        <f t="shared" si="248"/>
        <v>66.724023826976889</v>
      </c>
      <c r="D304" s="17">
        <f t="shared" si="279"/>
        <v>10586.424676173023</v>
      </c>
      <c r="E304" s="17">
        <f t="shared" si="249"/>
        <v>54770.920186173025</v>
      </c>
      <c r="F304" s="17">
        <f t="shared" si="250"/>
        <v>-10607.963823826976</v>
      </c>
      <c r="G304" s="17">
        <f t="shared" si="251"/>
        <v>-83882.81405382698</v>
      </c>
      <c r="H304" s="17">
        <f t="shared" si="218"/>
        <v>10586.424676173023</v>
      </c>
      <c r="I304" s="17">
        <f t="shared" si="252"/>
        <v>4256.8297735474189</v>
      </c>
      <c r="J304" s="20">
        <f>(Geraetedaten!$B$152+(Geraetedaten!$B$153*(Geraetedaten!$B$18+d_y_Sw)/1000))*10</f>
        <v>6051.0442000000003</v>
      </c>
      <c r="K304" s="20">
        <f>(Geraetedaten!$B$165+(Geraetedaten!$B$166*(Geraetedaten!$B$18+d_y_Sw)/1000))*10</f>
        <v>10816.164000000001</v>
      </c>
      <c r="L304" s="20">
        <f>(Geraetedaten!$B$158+(Geraetedaten!$B$159*(Geraetedaten!$B$18+d_y_Sw)/1000)-(Geraetedaten!$B$160*I304/1000))*10</f>
        <v>289.38327270576758</v>
      </c>
      <c r="M304" s="20">
        <f>(Geraetedaten!$B$171+(Geraetedaten!$B$172*(Geraetedaten!$B$18+d_y_Sw)/1000)-(Geraetedaten!$B$173*I304/1000))*10</f>
        <v>747.988591657131</v>
      </c>
      <c r="N304" s="20">
        <f>IF((H304-J304)/(K304-J304)*(Geraetedaten!$B$174-Geraetedaten!$B$161)&lt;Geraetedaten!$B$174,(H304-J304)/(K304-J304)*(Geraetedaten!$B$174-Geraetedaten!$B$161),Geraetedaten!$B$174)</f>
        <v>380.71491727641535</v>
      </c>
      <c r="O304" s="20">
        <f>N304/Geraetedaten!$B$174*(M304-L304)+L304+C304</f>
        <v>792.60201170047549</v>
      </c>
      <c r="P304" s="20">
        <f t="shared" si="246"/>
        <v>222.76416259314919</v>
      </c>
      <c r="Q304" s="20"/>
      <c r="R304" s="21">
        <f>(N304-Geraetedaten!$B$161)/(Geraetedaten!$B$174-Geraetedaten!$B$161)*(Geraetedaten!$B$175-Geraetedaten!$B$162)+Geraetedaten!$B$162</f>
        <v>40.526268788973354</v>
      </c>
      <c r="S304" s="21">
        <f t="shared" si="253"/>
        <v>40.526268788973354</v>
      </c>
      <c r="T304" s="21">
        <f t="shared" si="254"/>
        <v>-40.224192126877327</v>
      </c>
      <c r="U304" s="88">
        <f t="shared" si="255"/>
        <v>-4.9389097679726914</v>
      </c>
      <c r="V304" s="86">
        <f t="shared" si="256"/>
        <v>10653.1487</v>
      </c>
      <c r="W304" s="85">
        <f t="shared" si="257"/>
        <v>-4225.3239992296285</v>
      </c>
      <c r="X304" s="85">
        <f t="shared" si="258"/>
        <v>4256.8297735474189</v>
      </c>
      <c r="Y304" s="90">
        <f t="shared" si="259"/>
        <v>4225.3239992296285</v>
      </c>
      <c r="Z304" s="86">
        <f t="shared" si="260"/>
        <v>54837.644209999999</v>
      </c>
      <c r="AA304" s="85">
        <f t="shared" si="261"/>
        <v>-913.46204712425447</v>
      </c>
      <c r="AB304" s="85">
        <f t="shared" si="262"/>
        <v>5698.0566722385083</v>
      </c>
      <c r="AC304" s="90">
        <f t="shared" si="263"/>
        <v>913.46204712425447</v>
      </c>
      <c r="AD304" s="86">
        <f t="shared" si="264"/>
        <v>-10541.239799999999</v>
      </c>
      <c r="AE304" s="85">
        <f t="shared" si="265"/>
        <v>4140.4375383844126</v>
      </c>
      <c r="AF304" s="85">
        <f t="shared" si="266"/>
        <v>-4171.7404934432398</v>
      </c>
      <c r="AG304" s="90">
        <f t="shared" si="267"/>
        <v>4140.4375383844126</v>
      </c>
      <c r="AH304" s="86">
        <f t="shared" si="268"/>
        <v>-83816.090030000007</v>
      </c>
      <c r="AI304" s="85">
        <f t="shared" si="269"/>
        <v>6238.0466047659793</v>
      </c>
      <c r="AJ304" s="85">
        <f t="shared" si="270"/>
        <v>-56953.03962345211</v>
      </c>
      <c r="AK304" s="90">
        <f t="shared" si="271"/>
        <v>6238.0466047659793</v>
      </c>
      <c r="AM304" s="95">
        <f t="shared" si="275"/>
        <v>0</v>
      </c>
      <c r="AN304" s="95">
        <f t="shared" si="276"/>
        <v>0</v>
      </c>
      <c r="AO304" s="95">
        <f t="shared" si="277"/>
        <v>0</v>
      </c>
      <c r="AP304" s="95">
        <f t="shared" si="278"/>
        <v>0</v>
      </c>
      <c r="AQ304"/>
      <c r="AR304" s="95">
        <f t="shared" si="272"/>
        <v>0</v>
      </c>
      <c r="AS304" s="95">
        <f t="shared" si="273"/>
        <v>0</v>
      </c>
      <c r="AT304" s="95">
        <f>Geraetedaten!$B$94*ABS(SIN(RADIANS($A304)))</f>
        <v>152.8521073527636</v>
      </c>
      <c r="AU304" s="95">
        <f>Geraetedaten!$B$94*ABS(COS(RADIANS($A304)))</f>
        <v>18.767878884392665</v>
      </c>
      <c r="AV304" s="95">
        <f>((h_Aw_Sw+Geraetedaten!$B$18)/1000)*(AR304*AT304+AS304*AU304)/100</f>
        <v>0</v>
      </c>
      <c r="AX304" s="18">
        <f t="shared" si="274"/>
        <v>0.12186934340514717</v>
      </c>
    </row>
    <row r="305" spans="1:50" ht="13.5" x14ac:dyDescent="0.25">
      <c r="A305" s="16">
        <v>264</v>
      </c>
      <c r="B305" s="16">
        <f t="shared" si="247"/>
        <v>186</v>
      </c>
      <c r="C305" s="19">
        <f t="shared" si="248"/>
        <v>66.330274023974866</v>
      </c>
      <c r="D305" s="17">
        <f t="shared" si="279"/>
        <v>10565.735895976026</v>
      </c>
      <c r="E305" s="17">
        <f t="shared" si="249"/>
        <v>61383.990215976024</v>
      </c>
      <c r="F305" s="17">
        <f t="shared" si="250"/>
        <v>-10586.552794023974</v>
      </c>
      <c r="G305" s="17">
        <f t="shared" si="251"/>
        <v>-99673.45705402398</v>
      </c>
      <c r="H305" s="17">
        <f t="shared" si="218"/>
        <v>10565.735895976026</v>
      </c>
      <c r="I305" s="17">
        <f t="shared" si="252"/>
        <v>4248.405528645254</v>
      </c>
      <c r="J305" s="20">
        <f>(Geraetedaten!$B$152+(Geraetedaten!$B$153*(Geraetedaten!$B$18+d_y_Sw)/1000))*10</f>
        <v>6051.0442000000003</v>
      </c>
      <c r="K305" s="20">
        <f>(Geraetedaten!$B$165+(Geraetedaten!$B$166*(Geraetedaten!$B$18+d_y_Sw)/1000))*10</f>
        <v>10816.164000000001</v>
      </c>
      <c r="L305" s="20">
        <f>(Geraetedaten!$B$158+(Geraetedaten!$B$159*(Geraetedaten!$B$18+d_y_Sw)/1000)-(Geraetedaten!$B$160*I305/1000))*10</f>
        <v>290.00102258444332</v>
      </c>
      <c r="M305" s="20">
        <f>(Geraetedaten!$B$171+(Geraetedaten!$B$172*(Geraetedaten!$B$18+d_y_Sw)/1000)-(Geraetedaten!$B$173*I305/1000))*10</f>
        <v>748.61569244764814</v>
      </c>
      <c r="N305" s="20">
        <f>IF((H305-J305)/(K305-J305)*(Geraetedaten!$B$174-Geraetedaten!$B$161)&lt;Geraetedaten!$B$174,(H305-J305)/(K305-J305)*(Geraetedaten!$B$174-Geraetedaten!$B$161),Geraetedaten!$B$174)</f>
        <v>378.97823227663866</v>
      </c>
      <c r="O305" s="20">
        <f>N305/Geraetedaten!$B$174*(M305-L305)+L305+C305</f>
        <v>790.84373881064721</v>
      </c>
      <c r="P305" s="20">
        <f t="shared" si="246"/>
        <v>222.53530960752042</v>
      </c>
      <c r="Q305" s="20"/>
      <c r="R305" s="21">
        <f>(N305-Geraetedaten!$B$161)/(Geraetedaten!$B$174-Geraetedaten!$B$161)*(Geraetedaten!$B$175-Geraetedaten!$B$162)+Geraetedaten!$B$162</f>
        <v>40.474602410230005</v>
      </c>
      <c r="S305" s="21">
        <f t="shared" si="253"/>
        <v>40.474602410230005</v>
      </c>
      <c r="T305" s="21">
        <f t="shared" si="254"/>
        <v>-40.252878303299234</v>
      </c>
      <c r="U305" s="88">
        <f t="shared" si="255"/>
        <v>-4.2307479913106016</v>
      </c>
      <c r="V305" s="86">
        <f t="shared" si="256"/>
        <v>10632.06617</v>
      </c>
      <c r="W305" s="85">
        <f t="shared" si="257"/>
        <v>-4225.3239992296285</v>
      </c>
      <c r="X305" s="85">
        <f t="shared" si="258"/>
        <v>4248.405528645254</v>
      </c>
      <c r="Y305" s="90">
        <f t="shared" si="259"/>
        <v>4225.3239992296285</v>
      </c>
      <c r="Z305" s="86">
        <f t="shared" si="260"/>
        <v>61450.320489999998</v>
      </c>
      <c r="AA305" s="85">
        <f t="shared" si="261"/>
        <v>-913.46204712425447</v>
      </c>
      <c r="AB305" s="85">
        <f t="shared" si="262"/>
        <v>6385.1650394709823</v>
      </c>
      <c r="AC305" s="90">
        <f t="shared" si="263"/>
        <v>913.46204712425447</v>
      </c>
      <c r="AD305" s="86">
        <f t="shared" si="264"/>
        <v>-10520.222519999999</v>
      </c>
      <c r="AE305" s="85">
        <f t="shared" si="265"/>
        <v>4140.4375383844126</v>
      </c>
      <c r="AF305" s="85">
        <f t="shared" si="266"/>
        <v>-4163.4228170148726</v>
      </c>
      <c r="AG305" s="90">
        <f t="shared" si="267"/>
        <v>4140.4375383844126</v>
      </c>
      <c r="AH305" s="86">
        <f t="shared" si="268"/>
        <v>-99607.126780000006</v>
      </c>
      <c r="AI305" s="85">
        <f t="shared" si="269"/>
        <v>6238.0466047659793</v>
      </c>
      <c r="AJ305" s="85">
        <f t="shared" si="270"/>
        <v>-67683.050311349085</v>
      </c>
      <c r="AK305" s="90">
        <f t="shared" si="271"/>
        <v>6238.0466047659793</v>
      </c>
      <c r="AM305" s="95">
        <f t="shared" si="275"/>
        <v>0</v>
      </c>
      <c r="AN305" s="95">
        <f t="shared" si="276"/>
        <v>0</v>
      </c>
      <c r="AO305" s="95">
        <f t="shared" si="277"/>
        <v>0</v>
      </c>
      <c r="AP305" s="95">
        <f t="shared" si="278"/>
        <v>0</v>
      </c>
      <c r="AQ305"/>
      <c r="AR305" s="95">
        <f t="shared" si="272"/>
        <v>0</v>
      </c>
      <c r="AS305" s="95">
        <f t="shared" si="273"/>
        <v>0</v>
      </c>
      <c r="AT305" s="95">
        <f>Geraetedaten!$B$94*ABS(SIN(RADIANS($A305)))</f>
        <v>153.15637188671411</v>
      </c>
      <c r="AU305" s="95">
        <f>Geraetedaten!$B$94*ABS(COS(RADIANS($A305)))</f>
        <v>16.097383343218617</v>
      </c>
      <c r="AV305" s="95">
        <f>((h_Aw_Sw+Geraetedaten!$B$18)/1000)*(AR305*AT305+AS305*AU305)/100</f>
        <v>0</v>
      </c>
      <c r="AX305" s="18">
        <f t="shared" si="274"/>
        <v>0.10452846326765336</v>
      </c>
    </row>
    <row r="306" spans="1:50" ht="13.5" x14ac:dyDescent="0.25">
      <c r="A306" s="16">
        <v>265</v>
      </c>
      <c r="B306" s="16">
        <f t="shared" si="247"/>
        <v>185</v>
      </c>
      <c r="C306" s="19">
        <f t="shared" si="248"/>
        <v>65.916319376949332</v>
      </c>
      <c r="D306" s="17">
        <f t="shared" si="279"/>
        <v>10548.377430623052</v>
      </c>
      <c r="E306" s="17">
        <f t="shared" si="249"/>
        <v>69834.771690623049</v>
      </c>
      <c r="F306" s="17">
        <f t="shared" si="250"/>
        <v>-10568.39799937695</v>
      </c>
      <c r="G306" s="17">
        <f t="shared" si="251"/>
        <v>-122841.48369937694</v>
      </c>
      <c r="H306" s="17">
        <f t="shared" si="218"/>
        <v>10548.377430623052</v>
      </c>
      <c r="I306" s="17">
        <f t="shared" si="252"/>
        <v>4241.303951537524</v>
      </c>
      <c r="J306" s="20">
        <f>(Geraetedaten!$B$152+(Geraetedaten!$B$153*(Geraetedaten!$B$18+d_y_Sw)/1000))*10</f>
        <v>6051.0442000000003</v>
      </c>
      <c r="K306" s="20">
        <f>(Geraetedaten!$B$165+(Geraetedaten!$B$166*(Geraetedaten!$B$18+d_y_Sw)/1000))*10</f>
        <v>10816.164000000001</v>
      </c>
      <c r="L306" s="20">
        <f>(Geraetedaten!$B$158+(Geraetedaten!$B$159*(Geraetedaten!$B$18+d_y_Sw)/1000)-(Geraetedaten!$B$160*I306/1000))*10</f>
        <v>290.52178123375319</v>
      </c>
      <c r="M306" s="20">
        <f>(Geraetedaten!$B$171+(Geraetedaten!$B$172*(Geraetedaten!$B$18+d_y_Sw)/1000)-(Geraetedaten!$B$173*I306/1000))*10</f>
        <v>749.14433384754761</v>
      </c>
      <c r="N306" s="20">
        <f>IF((H306-J306)/(K306-J306)*(Geraetedaten!$B$174-Geraetedaten!$B$161)&lt;Geraetedaten!$B$174,(H306-J306)/(K306-J306)*(Geraetedaten!$B$174-Geraetedaten!$B$161),Geraetedaten!$B$174)</f>
        <v>377.52110497814147</v>
      </c>
      <c r="O306" s="20">
        <f>N306/Geraetedaten!$B$174*(M306-L306)+L306+C306</f>
        <v>789.28733268734118</v>
      </c>
      <c r="P306" s="20">
        <f t="shared" si="246"/>
        <v>222.31980626832703</v>
      </c>
      <c r="Q306" s="20"/>
      <c r="R306" s="21">
        <f>(N306-Geraetedaten!$B$161)/(Geraetedaten!$B$174-Geraetedaten!$B$161)*(Geraetedaten!$B$175-Geraetedaten!$B$162)+Geraetedaten!$B$162</f>
        <v>40.431252873099709</v>
      </c>
      <c r="S306" s="21">
        <f t="shared" si="253"/>
        <v>40.431252873099709</v>
      </c>
      <c r="T306" s="21">
        <f t="shared" si="254"/>
        <v>-40.277399749388586</v>
      </c>
      <c r="U306" s="88">
        <f t="shared" si="255"/>
        <v>-3.5238158743733967</v>
      </c>
      <c r="V306" s="86">
        <f t="shared" si="256"/>
        <v>10614.293750000001</v>
      </c>
      <c r="W306" s="85">
        <f t="shared" si="257"/>
        <v>-4225.3239992296285</v>
      </c>
      <c r="X306" s="85">
        <f t="shared" si="258"/>
        <v>4241.303951537524</v>
      </c>
      <c r="Y306" s="90">
        <f t="shared" si="259"/>
        <v>4225.3239992296285</v>
      </c>
      <c r="Z306" s="86">
        <f t="shared" si="260"/>
        <v>69900.688009999998</v>
      </c>
      <c r="AA306" s="85">
        <f t="shared" si="261"/>
        <v>-913.46204712425447</v>
      </c>
      <c r="AB306" s="85">
        <f t="shared" si="262"/>
        <v>7263.2237846244152</v>
      </c>
      <c r="AC306" s="90">
        <f t="shared" si="263"/>
        <v>913.46204712425447</v>
      </c>
      <c r="AD306" s="86">
        <f t="shared" si="264"/>
        <v>-10502.481680000001</v>
      </c>
      <c r="AE306" s="85">
        <f t="shared" si="265"/>
        <v>4140.4375383844126</v>
      </c>
      <c r="AF306" s="85">
        <f t="shared" si="266"/>
        <v>-4156.4018033415596</v>
      </c>
      <c r="AG306" s="90">
        <f t="shared" si="267"/>
        <v>4140.4375383844126</v>
      </c>
      <c r="AH306" s="86">
        <f t="shared" si="268"/>
        <v>-122775.56737999999</v>
      </c>
      <c r="AI306" s="85">
        <f t="shared" si="269"/>
        <v>6238.0466047659793</v>
      </c>
      <c r="AJ306" s="85">
        <f t="shared" si="270"/>
        <v>-83426.007484556234</v>
      </c>
      <c r="AK306" s="90">
        <f t="shared" si="271"/>
        <v>6238.0466047659793</v>
      </c>
      <c r="AM306" s="95">
        <f t="shared" si="275"/>
        <v>0</v>
      </c>
      <c r="AN306" s="95">
        <f t="shared" si="276"/>
        <v>0</v>
      </c>
      <c r="AO306" s="95">
        <f t="shared" si="277"/>
        <v>0</v>
      </c>
      <c r="AP306" s="95">
        <f t="shared" si="278"/>
        <v>0</v>
      </c>
      <c r="AQ306"/>
      <c r="AR306" s="95">
        <f t="shared" si="272"/>
        <v>0</v>
      </c>
      <c r="AS306" s="95">
        <f t="shared" si="273"/>
        <v>0</v>
      </c>
      <c r="AT306" s="95">
        <f>Geraetedaten!$B$94*ABS(SIN(RADIANS($A306)))</f>
        <v>153.4139835061288</v>
      </c>
      <c r="AU306" s="95">
        <f>Geraetedaten!$B$94*ABS(COS(RADIANS($A306)))</f>
        <v>13.421984383139371</v>
      </c>
      <c r="AV306" s="95">
        <f>((h_Aw_Sw+Geraetedaten!$B$18)/1000)*(AR306*AT306+AS306*AU306)/100</f>
        <v>0</v>
      </c>
      <c r="AX306" s="18">
        <f t="shared" si="274"/>
        <v>8.7155742747658249E-2</v>
      </c>
    </row>
    <row r="307" spans="1:50" ht="13.5" x14ac:dyDescent="0.25">
      <c r="A307" s="16">
        <v>266</v>
      </c>
      <c r="B307" s="16">
        <f t="shared" si="247"/>
        <v>184</v>
      </c>
      <c r="C307" s="19">
        <f t="shared" si="248"/>
        <v>65.48228598049586</v>
      </c>
      <c r="D307" s="17">
        <f t="shared" si="279"/>
        <v>10534.321784019505</v>
      </c>
      <c r="E307" s="17">
        <f t="shared" si="249"/>
        <v>81008.877594019505</v>
      </c>
      <c r="F307" s="17">
        <f t="shared" si="250"/>
        <v>-10553.472215980495</v>
      </c>
      <c r="G307" s="17">
        <f t="shared" si="251"/>
        <v>-160117.6536159805</v>
      </c>
      <c r="H307" s="17">
        <f t="shared" si="218"/>
        <v>10534.321784019505</v>
      </c>
      <c r="I307" s="17">
        <f t="shared" si="252"/>
        <v>4235.5141021894287</v>
      </c>
      <c r="J307" s="20">
        <f>(Geraetedaten!$B$152+(Geraetedaten!$B$153*(Geraetedaten!$B$18+d_y_Sw)/1000))*10</f>
        <v>6051.0442000000003</v>
      </c>
      <c r="K307" s="20">
        <f>(Geraetedaten!$B$165+(Geraetedaten!$B$166*(Geraetedaten!$B$18+d_y_Sw)/1000))*10</f>
        <v>10816.164000000001</v>
      </c>
      <c r="L307" s="20">
        <f>(Geraetedaten!$B$158+(Geraetedaten!$B$159*(Geraetedaten!$B$18+d_y_Sw)/1000)-(Geraetedaten!$B$160*I307/1000))*10</f>
        <v>290.94635088644901</v>
      </c>
      <c r="M307" s="20">
        <f>(Geraetedaten!$B$171+(Geraetedaten!$B$172*(Geraetedaten!$B$18+d_y_Sw)/1000)-(Geraetedaten!$B$173*I307/1000))*10</f>
        <v>749.57533023301971</v>
      </c>
      <c r="N307" s="20">
        <f>IF((H307-J307)/(K307-J307)*(Geraetedaten!$B$174-Geraetedaten!$B$161)&lt;Geraetedaten!$B$174,(H307-J307)/(K307-J307)*(Geraetedaten!$B$174-Geraetedaten!$B$161),Geraetedaten!$B$174)</f>
        <v>376.34122726731903</v>
      </c>
      <c r="O307" s="20">
        <f>N307/Geraetedaten!$B$174*(M307-L307)+L307+C307</f>
        <v>787.93111923606068</v>
      </c>
      <c r="P307" s="20">
        <f t="shared" si="246"/>
        <v>222.1177004273959</v>
      </c>
      <c r="Q307" s="20"/>
      <c r="R307" s="21">
        <f>(N307-Geraetedaten!$B$161)/(Geraetedaten!$B$174-Geraetedaten!$B$161)*(Geraetedaten!$B$175-Geraetedaten!$B$162)+Geraetedaten!$B$162</f>
        <v>40.396151511202746</v>
      </c>
      <c r="S307" s="21">
        <f t="shared" si="253"/>
        <v>40.396151511202746</v>
      </c>
      <c r="T307" s="21">
        <f t="shared" si="254"/>
        <v>-40.297748516424932</v>
      </c>
      <c r="U307" s="88">
        <f t="shared" si="255"/>
        <v>-2.8178930822549333</v>
      </c>
      <c r="V307" s="86">
        <f t="shared" si="256"/>
        <v>10599.80407</v>
      </c>
      <c r="W307" s="85">
        <f t="shared" si="257"/>
        <v>-4225.3239992296285</v>
      </c>
      <c r="X307" s="85">
        <f t="shared" si="258"/>
        <v>4235.5141021894287</v>
      </c>
      <c r="Y307" s="90">
        <f t="shared" si="259"/>
        <v>4225.3239992296285</v>
      </c>
      <c r="Z307" s="86">
        <f t="shared" si="260"/>
        <v>81074.359880000004</v>
      </c>
      <c r="AA307" s="85">
        <f t="shared" si="261"/>
        <v>-913.46204712425447</v>
      </c>
      <c r="AB307" s="85">
        <f t="shared" si="262"/>
        <v>8424.254978533234</v>
      </c>
      <c r="AC307" s="90">
        <f t="shared" si="263"/>
        <v>913.46204712425447</v>
      </c>
      <c r="AD307" s="86">
        <f t="shared" si="264"/>
        <v>-10487.98993</v>
      </c>
      <c r="AE307" s="85">
        <f t="shared" si="265"/>
        <v>4140.4375383844126</v>
      </c>
      <c r="AF307" s="85">
        <f t="shared" si="266"/>
        <v>-4150.6666344005007</v>
      </c>
      <c r="AG307" s="90">
        <f t="shared" si="267"/>
        <v>4140.4375383844126</v>
      </c>
      <c r="AH307" s="86">
        <f t="shared" si="268"/>
        <v>-160052.17133000001</v>
      </c>
      <c r="AI307" s="85">
        <f t="shared" si="269"/>
        <v>6238.0466047659793</v>
      </c>
      <c r="AJ307" s="85">
        <f t="shared" si="270"/>
        <v>-108755.46273509068</v>
      </c>
      <c r="AK307" s="90">
        <f t="shared" si="271"/>
        <v>6238.0466047659793</v>
      </c>
      <c r="AM307" s="95">
        <f t="shared" si="275"/>
        <v>0</v>
      </c>
      <c r="AN307" s="95">
        <f t="shared" si="276"/>
        <v>0</v>
      </c>
      <c r="AO307" s="95">
        <f t="shared" si="277"/>
        <v>0</v>
      </c>
      <c r="AP307" s="95">
        <f t="shared" si="278"/>
        <v>0</v>
      </c>
      <c r="AQ307"/>
      <c r="AR307" s="95">
        <f t="shared" si="272"/>
        <v>0</v>
      </c>
      <c r="AS307" s="95">
        <f t="shared" si="273"/>
        <v>0</v>
      </c>
      <c r="AT307" s="95">
        <f>Geraetedaten!$B$94*ABS(SIN(RADIANS($A307)))</f>
        <v>153.62486374001293</v>
      </c>
      <c r="AU307" s="95">
        <f>Geraetedaten!$B$94*ABS(COS(RADIANS($A307)))</f>
        <v>10.742496956595339</v>
      </c>
      <c r="AV307" s="95">
        <f>((h_Aw_Sw+Geraetedaten!$B$18)/1000)*(AR307*AT307+AS307*AU307)/100</f>
        <v>0</v>
      </c>
      <c r="AX307" s="18">
        <f t="shared" si="274"/>
        <v>6.975647374412558E-2</v>
      </c>
    </row>
    <row r="308" spans="1:50" ht="13.5" x14ac:dyDescent="0.25">
      <c r="A308" s="16">
        <v>267</v>
      </c>
      <c r="B308" s="16">
        <f t="shared" si="247"/>
        <v>183</v>
      </c>
      <c r="C308" s="19">
        <f t="shared" si="248"/>
        <v>65.028306045391588</v>
      </c>
      <c r="D308" s="17">
        <f t="shared" si="279"/>
        <v>10523.546563954609</v>
      </c>
      <c r="E308" s="17">
        <f t="shared" si="249"/>
        <v>96469.912013954599</v>
      </c>
      <c r="F308" s="17">
        <f t="shared" si="250"/>
        <v>-10541.753346045391</v>
      </c>
      <c r="G308" s="17">
        <f t="shared" si="251"/>
        <v>-229998.75569604538</v>
      </c>
      <c r="H308" s="17">
        <f t="shared" si="218"/>
        <v>10523.546563954609</v>
      </c>
      <c r="I308" s="17">
        <f t="shared" si="252"/>
        <v>4231.0270937293781</v>
      </c>
      <c r="J308" s="20">
        <f>(Geraetedaten!$B$152+(Geraetedaten!$B$153*(Geraetedaten!$B$18+d_y_Sw)/1000))*10</f>
        <v>6051.0442000000003</v>
      </c>
      <c r="K308" s="20">
        <f>(Geraetedaten!$B$165+(Geraetedaten!$B$166*(Geraetedaten!$B$18+d_y_Sw)/1000))*10</f>
        <v>10816.164000000001</v>
      </c>
      <c r="L308" s="20">
        <f>(Geraetedaten!$B$158+(Geraetedaten!$B$159*(Geraetedaten!$B$18+d_y_Sw)/1000)-(Geraetedaten!$B$160*I308/1000))*10</f>
        <v>291.27538321682448</v>
      </c>
      <c r="M308" s="20">
        <f>(Geraetedaten!$B$171+(Geraetedaten!$B$172*(Geraetedaten!$B$18+d_y_Sw)/1000)-(Geraetedaten!$B$173*I308/1000))*10</f>
        <v>749.90934314278604</v>
      </c>
      <c r="N308" s="20">
        <f>IF((H308-J308)/(K308-J308)*(Geraetedaten!$B$174-Geraetedaten!$B$161)&lt;Geraetedaten!$B$174,(H308-J308)/(K308-J308)*(Geraetedaten!$B$174-Geraetedaten!$B$161),Geraetedaten!$B$174)</f>
        <v>375.43671946754483</v>
      </c>
      <c r="O308" s="20">
        <f>N308/Geraetedaten!$B$174*(M308-L308)+L308+C308</f>
        <v>786.77376263974713</v>
      </c>
      <c r="P308" s="20">
        <f t="shared" si="246"/>
        <v>221.92905310046788</v>
      </c>
      <c r="Q308" s="20"/>
      <c r="R308" s="21">
        <f>(N308-Geraetedaten!$B$161)/(Geraetedaten!$B$174-Geraetedaten!$B$161)*(Geraetedaten!$B$175-Geraetedaten!$B$162)+Geraetedaten!$B$162</f>
        <v>40.369242404159458</v>
      </c>
      <c r="S308" s="21">
        <f t="shared" si="253"/>
        <v>40.369242404159458</v>
      </c>
      <c r="T308" s="21">
        <f t="shared" si="254"/>
        <v>-40.31391776046037</v>
      </c>
      <c r="U308" s="88">
        <f t="shared" si="255"/>
        <v>-2.1127629040249012</v>
      </c>
      <c r="V308" s="86">
        <f t="shared" si="256"/>
        <v>10588.57487</v>
      </c>
      <c r="W308" s="85">
        <f t="shared" si="257"/>
        <v>-4225.3239992296285</v>
      </c>
      <c r="X308" s="85">
        <f t="shared" si="258"/>
        <v>4231.0270937293781</v>
      </c>
      <c r="Y308" s="90">
        <f t="shared" si="259"/>
        <v>4225.3239992296285</v>
      </c>
      <c r="Z308" s="86">
        <f t="shared" si="260"/>
        <v>96534.940319999994</v>
      </c>
      <c r="AA308" s="85">
        <f t="shared" si="261"/>
        <v>-913.46204712425447</v>
      </c>
      <c r="AB308" s="85">
        <f t="shared" si="262"/>
        <v>10030.729231824313</v>
      </c>
      <c r="AC308" s="90">
        <f t="shared" si="263"/>
        <v>913.46204712425447</v>
      </c>
      <c r="AD308" s="86">
        <f t="shared" si="264"/>
        <v>-10476.725039999999</v>
      </c>
      <c r="AE308" s="85">
        <f t="shared" si="265"/>
        <v>4140.4375383844126</v>
      </c>
      <c r="AF308" s="85">
        <f t="shared" si="266"/>
        <v>-4146.2085058538705</v>
      </c>
      <c r="AG308" s="90">
        <f t="shared" si="267"/>
        <v>4140.4375383844126</v>
      </c>
      <c r="AH308" s="86">
        <f t="shared" si="268"/>
        <v>-229933.72738999999</v>
      </c>
      <c r="AI308" s="85">
        <f t="shared" si="269"/>
        <v>6238.0466047659793</v>
      </c>
      <c r="AJ308" s="85">
        <f t="shared" si="270"/>
        <v>-156239.98546225415</v>
      </c>
      <c r="AK308" s="90">
        <f t="shared" si="271"/>
        <v>6238.0466047659793</v>
      </c>
      <c r="AM308" s="95">
        <f t="shared" si="275"/>
        <v>0</v>
      </c>
      <c r="AN308" s="95">
        <f t="shared" si="276"/>
        <v>0</v>
      </c>
      <c r="AO308" s="95">
        <f t="shared" si="277"/>
        <v>0</v>
      </c>
      <c r="AP308" s="95">
        <f t="shared" si="278"/>
        <v>0</v>
      </c>
      <c r="AQ308"/>
      <c r="AR308" s="95">
        <f t="shared" si="272"/>
        <v>0</v>
      </c>
      <c r="AS308" s="95">
        <f t="shared" si="273"/>
        <v>0</v>
      </c>
      <c r="AT308" s="95">
        <f>Geraetedaten!$B$94*ABS(SIN(RADIANS($A308)))</f>
        <v>153.78894835220436</v>
      </c>
      <c r="AU308" s="95">
        <f>Geraetedaten!$B$94*ABS(COS(RADIANS($A308)))</f>
        <v>8.0597372614134226</v>
      </c>
      <c r="AV308" s="95">
        <f>((h_Aw_Sw+Geraetedaten!$B$18)/1000)*(AR308*AT308+AS308*AU308)/100</f>
        <v>0</v>
      </c>
      <c r="AX308" s="18">
        <f t="shared" si="274"/>
        <v>5.2335956242944306E-2</v>
      </c>
    </row>
    <row r="309" spans="1:50" ht="13.5" x14ac:dyDescent="0.25">
      <c r="A309" s="16">
        <v>268</v>
      </c>
      <c r="B309" s="16">
        <f t="shared" si="247"/>
        <v>182</v>
      </c>
      <c r="C309" s="19">
        <f t="shared" si="248"/>
        <v>64.554517858322512</v>
      </c>
      <c r="D309" s="17">
        <f t="shared" si="279"/>
        <v>10516.034462141677</v>
      </c>
      <c r="E309" s="17">
        <f t="shared" si="249"/>
        <v>119261.83466214167</v>
      </c>
      <c r="F309" s="17">
        <f t="shared" si="250"/>
        <v>-10533.224277858324</v>
      </c>
      <c r="G309" s="17">
        <f t="shared" si="251"/>
        <v>-408415.99764785834</v>
      </c>
      <c r="H309" s="17">
        <f t="shared" ref="H309:H323" si="280">SMALL(D309:G309,COUNTIF(D309:G309,"&lt;0")+1)</f>
        <v>10516.034462141677</v>
      </c>
      <c r="I309" s="17">
        <f t="shared" si="252"/>
        <v>4227.8360590352549</v>
      </c>
      <c r="J309" s="20">
        <f>(Geraetedaten!$B$152+(Geraetedaten!$B$153*(Geraetedaten!$B$18+d_y_Sw)/1000))*10</f>
        <v>6051.0442000000003</v>
      </c>
      <c r="K309" s="20">
        <f>(Geraetedaten!$B$165+(Geraetedaten!$B$166*(Geraetedaten!$B$18+d_y_Sw)/1000))*10</f>
        <v>10816.164000000001</v>
      </c>
      <c r="L309" s="20">
        <f>(Geraetedaten!$B$158+(Geraetedaten!$B$159*(Geraetedaten!$B$18+d_y_Sw)/1000)-(Geraetedaten!$B$160*I309/1000))*10</f>
        <v>291.50938179094459</v>
      </c>
      <c r="M309" s="20">
        <f>(Geraetedaten!$B$171+(Geraetedaten!$B$172*(Geraetedaten!$B$18+d_y_Sw)/1000)-(Geraetedaten!$B$173*I309/1000))*10</f>
        <v>750.14688376541642</v>
      </c>
      <c r="N309" s="20">
        <f>IF((H309-J309)/(K309-J309)*(Geraetedaten!$B$174-Geraetedaten!$B$161)&lt;Geraetedaten!$B$174,(H309-J309)/(K309-J309)*(Geraetedaten!$B$174-Geraetedaten!$B$161),Geraetedaten!$B$174)</f>
        <v>374.80612866368455</v>
      </c>
      <c r="O309" s="20">
        <f>N309/Geraetedaten!$B$174*(M309-L309)+L309+C309</f>
        <v>785.81426608685399</v>
      </c>
      <c r="P309" s="20">
        <f t="shared" si="246"/>
        <v>221.75393918413869</v>
      </c>
      <c r="Q309" s="20"/>
      <c r="R309" s="21">
        <f>(N309-Geraetedaten!$B$161)/(Geraetedaten!$B$174-Geraetedaten!$B$161)*(Geraetedaten!$B$175-Geraetedaten!$B$162)+Geraetedaten!$B$162</f>
        <v>40.350482327744615</v>
      </c>
      <c r="S309" s="21">
        <f t="shared" si="253"/>
        <v>40.350482327744615</v>
      </c>
      <c r="T309" s="21">
        <f t="shared" si="254"/>
        <v>-40.325901904144096</v>
      </c>
      <c r="U309" s="88">
        <f t="shared" si="255"/>
        <v>-1.4082115249414384</v>
      </c>
      <c r="V309" s="86">
        <f t="shared" si="256"/>
        <v>10580.58898</v>
      </c>
      <c r="W309" s="85">
        <f t="shared" si="257"/>
        <v>-4225.3239992296285</v>
      </c>
      <c r="X309" s="85">
        <f t="shared" si="258"/>
        <v>4227.8360590352549</v>
      </c>
      <c r="Y309" s="90">
        <f t="shared" si="259"/>
        <v>4225.3239992296285</v>
      </c>
      <c r="Z309" s="86">
        <f t="shared" si="260"/>
        <v>119326.38918</v>
      </c>
      <c r="AA309" s="85">
        <f t="shared" si="261"/>
        <v>-913.46204712425447</v>
      </c>
      <c r="AB309" s="85">
        <f t="shared" si="262"/>
        <v>12398.937588331757</v>
      </c>
      <c r="AC309" s="90">
        <f t="shared" si="263"/>
        <v>913.46204712425447</v>
      </c>
      <c r="AD309" s="86">
        <f t="shared" si="264"/>
        <v>-10468.669760000001</v>
      </c>
      <c r="AE309" s="85">
        <f t="shared" si="265"/>
        <v>4140.4375383844126</v>
      </c>
      <c r="AF309" s="85">
        <f t="shared" si="266"/>
        <v>-4143.0205939377665</v>
      </c>
      <c r="AG309" s="90">
        <f t="shared" si="267"/>
        <v>4140.4375383844126</v>
      </c>
      <c r="AH309" s="86">
        <f t="shared" si="268"/>
        <v>-408351.44313000003</v>
      </c>
      <c r="AI309" s="85">
        <f t="shared" si="269"/>
        <v>6238.0466047659793</v>
      </c>
      <c r="AJ309" s="85">
        <f t="shared" si="270"/>
        <v>-277474.83704103908</v>
      </c>
      <c r="AK309" s="90">
        <f t="shared" si="271"/>
        <v>6238.0466047659793</v>
      </c>
      <c r="AM309" s="95">
        <f t="shared" si="275"/>
        <v>0</v>
      </c>
      <c r="AN309" s="95">
        <f t="shared" si="276"/>
        <v>0</v>
      </c>
      <c r="AO309" s="95">
        <f t="shared" si="277"/>
        <v>0</v>
      </c>
      <c r="AP309" s="95">
        <f t="shared" si="278"/>
        <v>0</v>
      </c>
      <c r="AQ309"/>
      <c r="AR309" s="95">
        <f t="shared" si="272"/>
        <v>0</v>
      </c>
      <c r="AS309" s="95">
        <f t="shared" si="273"/>
        <v>0</v>
      </c>
      <c r="AT309" s="95">
        <f>Geraetedaten!$B$94*ABS(SIN(RADIANS($A309)))</f>
        <v>153.90618736094075</v>
      </c>
      <c r="AU309" s="95">
        <f>Geraetedaten!$B$94*ABS(COS(RADIANS($A309)))</f>
        <v>5.3745224921851174</v>
      </c>
      <c r="AV309" s="95">
        <f>((h_Aw_Sw+Geraetedaten!$B$18)/1000)*(AR309*AT309+AS309*AU309)/100</f>
        <v>0</v>
      </c>
      <c r="AX309" s="18">
        <f t="shared" si="274"/>
        <v>3.4899496702500761E-2</v>
      </c>
    </row>
    <row r="310" spans="1:50" ht="13.5" x14ac:dyDescent="0.25">
      <c r="A310" s="16">
        <v>269</v>
      </c>
      <c r="B310" s="16">
        <f t="shared" si="247"/>
        <v>181</v>
      </c>
      <c r="C310" s="19">
        <f t="shared" si="248"/>
        <v>64.061065739760167</v>
      </c>
      <c r="D310" s="17">
        <f t="shared" si="279"/>
        <v>10511.77314426024</v>
      </c>
      <c r="E310" s="17">
        <f t="shared" si="249"/>
        <v>156204.11625426024</v>
      </c>
      <c r="F310" s="17">
        <f t="shared" si="250"/>
        <v>-10527.872855739761</v>
      </c>
      <c r="G310" s="17">
        <f t="shared" si="251"/>
        <v>-1825158.7470857396</v>
      </c>
      <c r="H310" s="17">
        <f t="shared" si="280"/>
        <v>10511.77314426024</v>
      </c>
      <c r="I310" s="17">
        <f t="shared" si="252"/>
        <v>4225.9361250238262</v>
      </c>
      <c r="J310" s="20">
        <f>(Geraetedaten!$B$152+(Geraetedaten!$B$153*(Geraetedaten!$B$18+d_y_Sw)/1000))*10</f>
        <v>6051.0442000000003</v>
      </c>
      <c r="K310" s="20">
        <f>(Geraetedaten!$B$165+(Geraetedaten!$B$166*(Geraetedaten!$B$18+d_y_Sw)/1000))*10</f>
        <v>10816.164000000001</v>
      </c>
      <c r="L310" s="20">
        <f>(Geraetedaten!$B$158+(Geraetedaten!$B$159*(Geraetedaten!$B$18+d_y_Sw)/1000)-(Geraetedaten!$B$160*I310/1000))*10</f>
        <v>291.64870395200262</v>
      </c>
      <c r="M310" s="20">
        <f>(Geraetedaten!$B$171+(Geraetedaten!$B$172*(Geraetedaten!$B$18+d_y_Sw)/1000)-(Geraetedaten!$B$173*I310/1000))*10</f>
        <v>750.28831485322723</v>
      </c>
      <c r="N310" s="20">
        <f>IF((H310-J310)/(K310-J310)*(Geraetedaten!$B$174-Geraetedaten!$B$161)&lt;Geraetedaten!$B$174,(H310-J310)/(K310-J310)*(Geraetedaten!$B$174-Geraetedaten!$B$161),Geraetedaten!$B$174)</f>
        <v>374.44841947186632</v>
      </c>
      <c r="O310" s="20">
        <f>N310/Geraetedaten!$B$174*(M310-L310)+L310+C310</f>
        <v>785.0519632146511</v>
      </c>
      <c r="P310" s="20">
        <f t="shared" si="246"/>
        <v>221.59244688303721</v>
      </c>
      <c r="Q310" s="20"/>
      <c r="R310" s="21">
        <f>(N310-Geraetedaten!$B$161)/(Geraetedaten!$B$174-Geraetedaten!$B$161)*(Geraetedaten!$B$175-Geraetedaten!$B$162)+Geraetedaten!$B$162</f>
        <v>40.339840479288029</v>
      </c>
      <c r="S310" s="21">
        <f t="shared" si="253"/>
        <v>40.339840479288029</v>
      </c>
      <c r="T310" s="21">
        <f t="shared" si="254"/>
        <v>-40.333696526192632</v>
      </c>
      <c r="U310" s="88">
        <f t="shared" si="255"/>
        <v>-0.70402729165971578</v>
      </c>
      <c r="V310" s="86">
        <f t="shared" si="256"/>
        <v>10575.834210000001</v>
      </c>
      <c r="W310" s="85">
        <f t="shared" si="257"/>
        <v>-4225.3239992296285</v>
      </c>
      <c r="X310" s="85">
        <f t="shared" si="258"/>
        <v>4225.9361250238262</v>
      </c>
      <c r="Y310" s="90">
        <f t="shared" si="259"/>
        <v>4225.3239992296285</v>
      </c>
      <c r="Z310" s="86">
        <f t="shared" si="260"/>
        <v>156268.17731999999</v>
      </c>
      <c r="AA310" s="85">
        <f t="shared" si="261"/>
        <v>-913.46204712425447</v>
      </c>
      <c r="AB310" s="85">
        <f t="shared" si="262"/>
        <v>16237.475975568161</v>
      </c>
      <c r="AC310" s="90">
        <f t="shared" si="263"/>
        <v>913.46204712425447</v>
      </c>
      <c r="AD310" s="86">
        <f t="shared" si="264"/>
        <v>-10463.81179</v>
      </c>
      <c r="AE310" s="85">
        <f t="shared" si="265"/>
        <v>4140.4375383844126</v>
      </c>
      <c r="AF310" s="85">
        <f t="shared" si="266"/>
        <v>-4141.0980299093671</v>
      </c>
      <c r="AG310" s="90">
        <f t="shared" si="267"/>
        <v>4140.4375383844126</v>
      </c>
      <c r="AH310" s="86">
        <f t="shared" si="268"/>
        <v>-1825094.6860199999</v>
      </c>
      <c r="AI310" s="85">
        <f t="shared" si="269"/>
        <v>6238.0466047659793</v>
      </c>
      <c r="AJ310" s="85">
        <f t="shared" si="270"/>
        <v>-1240151.9796281024</v>
      </c>
      <c r="AK310" s="90">
        <f t="shared" si="271"/>
        <v>6238.0466047659793</v>
      </c>
      <c r="AM310" s="95">
        <f t="shared" si="275"/>
        <v>0</v>
      </c>
      <c r="AN310" s="95">
        <f t="shared" si="276"/>
        <v>0</v>
      </c>
      <c r="AO310" s="95">
        <f t="shared" si="277"/>
        <v>0</v>
      </c>
      <c r="AP310" s="95">
        <f t="shared" si="278"/>
        <v>0</v>
      </c>
      <c r="AQ310"/>
      <c r="AR310" s="95">
        <f t="shared" si="272"/>
        <v>0</v>
      </c>
      <c r="AS310" s="95">
        <f t="shared" si="273"/>
        <v>0</v>
      </c>
      <c r="AT310" s="95">
        <f>Geraetedaten!$B$94*ABS(SIN(RADIANS($A310)))</f>
        <v>153.97654505408426</v>
      </c>
      <c r="AU310" s="95">
        <f>Geraetedaten!$B$94*ABS(COS(RADIANS($A310)))</f>
        <v>2.6876705913416585</v>
      </c>
      <c r="AV310" s="95">
        <f>((h_Aw_Sw+Geraetedaten!$B$18)/1000)*(AR310*AT310+AS310*AU310)/100</f>
        <v>0</v>
      </c>
      <c r="AX310" s="18">
        <f t="shared" si="274"/>
        <v>1.7452406437283498E-2</v>
      </c>
    </row>
    <row r="311" spans="1:50" ht="13.5" x14ac:dyDescent="0.25">
      <c r="A311" s="16">
        <v>270</v>
      </c>
      <c r="B311" s="16">
        <f t="shared" si="247"/>
        <v>180</v>
      </c>
      <c r="C311" s="19">
        <f t="shared" si="248"/>
        <v>63.548100000000005</v>
      </c>
      <c r="D311" s="17">
        <f t="shared" si="279"/>
        <v>10510.75519</v>
      </c>
      <c r="E311" s="17">
        <f t="shared" si="249"/>
        <v>226376.19588999997</v>
      </c>
      <c r="F311" s="17">
        <f t="shared" si="250"/>
        <v>-10525.69181</v>
      </c>
      <c r="G311" s="17">
        <f t="shared" si="251"/>
        <v>738923.15145999996</v>
      </c>
      <c r="H311" s="17">
        <f t="shared" si="280"/>
        <v>10510.75519</v>
      </c>
      <c r="I311" s="17">
        <f t="shared" si="252"/>
        <v>4225.3243944636679</v>
      </c>
      <c r="J311" s="20">
        <f>(Geraetedaten!$B$152+(Geraetedaten!$B$153*(Geraetedaten!$B$18+d_y_Sw)/1000))*10</f>
        <v>6051.0442000000003</v>
      </c>
      <c r="K311" s="20">
        <f>(Geraetedaten!$B$165+(Geraetedaten!$B$166*(Geraetedaten!$B$18+d_y_Sw)/1000))*10</f>
        <v>10816.164000000001</v>
      </c>
      <c r="L311" s="20">
        <f>(Geraetedaten!$B$158+(Geraetedaten!$B$159*(Geraetedaten!$B$18+d_y_Sw)/1000)-(Geraetedaten!$B$160*I311/1000))*10</f>
        <v>291.69356215397903</v>
      </c>
      <c r="M311" s="20">
        <f>(Geraetedaten!$B$171+(Geraetedaten!$B$172*(Geraetedaten!$B$18+d_y_Sw)/1000)-(Geraetedaten!$B$173*I311/1000))*10</f>
        <v>750.33385207612537</v>
      </c>
      <c r="N311" s="20">
        <f>IF((H311-J311)/(K311-J311)*(Geraetedaten!$B$174-Geraetedaten!$B$161)&lt;Geraetedaten!$B$174,(H311-J311)/(K311-J311)*(Geraetedaten!$B$174-Geraetedaten!$B$161),Geraetedaten!$B$174)</f>
        <v>374.3629690065714</v>
      </c>
      <c r="O311" s="20">
        <f>N311/Geraetedaten!$B$174*(M311-L311)+L311+C311</f>
        <v>784.48651375720249</v>
      </c>
      <c r="P311" s="20">
        <f t="shared" si="246"/>
        <v>221.44467749982809</v>
      </c>
      <c r="Q311" s="20"/>
      <c r="R311" s="21">
        <f>(N311-Geraetedaten!$B$161)/(Geraetedaten!$B$174-Geraetedaten!$B$161)*(Geraetedaten!$B$175-Geraetedaten!$B$162)+Geraetedaten!$B$162</f>
        <v>40.337298327945504</v>
      </c>
      <c r="S311" s="21">
        <f t="shared" si="253"/>
        <v>40.337298327945504</v>
      </c>
      <c r="T311" s="21">
        <f t="shared" si="254"/>
        <v>-40.337298327945504</v>
      </c>
      <c r="U311" s="88">
        <f t="shared" si="255"/>
        <v>-7.4128768082505744E-15</v>
      </c>
      <c r="V311" s="86">
        <f t="shared" si="256"/>
        <v>10574.30329</v>
      </c>
      <c r="W311" s="85">
        <f t="shared" si="257"/>
        <v>-4225.3239992296285</v>
      </c>
      <c r="X311" s="85">
        <f t="shared" si="258"/>
        <v>4225.3243944636679</v>
      </c>
      <c r="Y311" s="90">
        <f t="shared" si="259"/>
        <v>4225.3239992296285</v>
      </c>
      <c r="Z311" s="86">
        <f t="shared" si="260"/>
        <v>226439.74398999999</v>
      </c>
      <c r="AA311" s="85">
        <f t="shared" si="261"/>
        <v>-913.46204712425447</v>
      </c>
      <c r="AB311" s="85">
        <f t="shared" si="262"/>
        <v>23528.846153846072</v>
      </c>
      <c r="AC311" s="90">
        <f t="shared" si="263"/>
        <v>913.46204712425447</v>
      </c>
      <c r="AD311" s="86">
        <f t="shared" si="264"/>
        <v>-10462.14371</v>
      </c>
      <c r="AE311" s="85">
        <f t="shared" si="265"/>
        <v>4140.4375383844126</v>
      </c>
      <c r="AF311" s="85">
        <f t="shared" si="266"/>
        <v>-4140.4378818737268</v>
      </c>
      <c r="AG311" s="90">
        <f t="shared" si="267"/>
        <v>4140.4375383844126</v>
      </c>
      <c r="AH311" s="86">
        <f t="shared" si="268"/>
        <v>738986.69955999998</v>
      </c>
      <c r="AI311" s="85">
        <f t="shared" si="269"/>
        <v>6238.0466047659793</v>
      </c>
      <c r="AJ311" s="85">
        <f t="shared" si="270"/>
        <v>502141.51923077961</v>
      </c>
      <c r="AK311" s="90">
        <f t="shared" si="271"/>
        <v>6238.0466047659793</v>
      </c>
      <c r="AM311" s="95">
        <f t="shared" si="275"/>
        <v>0</v>
      </c>
      <c r="AN311" s="95">
        <f t="shared" si="276"/>
        <v>0</v>
      </c>
      <c r="AO311" s="95">
        <f t="shared" si="277"/>
        <v>0</v>
      </c>
      <c r="AP311" s="95">
        <f t="shared" si="278"/>
        <v>0</v>
      </c>
      <c r="AQ311"/>
      <c r="AR311" s="95">
        <f t="shared" si="272"/>
        <v>0</v>
      </c>
      <c r="AS311" s="95">
        <f t="shared" si="273"/>
        <v>0</v>
      </c>
      <c r="AT311" s="95">
        <f>Geraetedaten!$B$94*ABS(SIN(RADIANS($A311)))</f>
        <v>154</v>
      </c>
      <c r="AU311" s="95">
        <f>Geraetedaten!$B$94*ABS(COS(RADIANS($A311)))</f>
        <v>2.8300929308389122E-14</v>
      </c>
      <c r="AV311" s="95">
        <f>((h_Aw_Sw+Geraetedaten!$B$18)/1000)*(AR311*AT311+AS311*AU311)/100</f>
        <v>0</v>
      </c>
      <c r="AX311" s="18">
        <f t="shared" si="274"/>
        <v>1.83772268236293E-16</v>
      </c>
    </row>
    <row r="312" spans="1:50" ht="13.5" x14ac:dyDescent="0.25">
      <c r="A312" s="16">
        <v>271</v>
      </c>
      <c r="B312" s="16">
        <f t="shared" si="247"/>
        <v>179</v>
      </c>
      <c r="C312" s="19">
        <f t="shared" si="248"/>
        <v>64.061065739760153</v>
      </c>
      <c r="D312" s="17">
        <f t="shared" si="279"/>
        <v>10511.932834260238</v>
      </c>
      <c r="E312" s="17">
        <f t="shared" si="249"/>
        <v>411158.87021426024</v>
      </c>
      <c r="F312" s="17">
        <f t="shared" si="250"/>
        <v>-10527.724055739762</v>
      </c>
      <c r="G312" s="17">
        <f t="shared" si="251"/>
        <v>307258.20844426024</v>
      </c>
      <c r="H312" s="17">
        <f t="shared" si="280"/>
        <v>10511.932834260238</v>
      </c>
      <c r="I312" s="17">
        <f t="shared" si="252"/>
        <v>4225.9999351850292</v>
      </c>
      <c r="J312" s="20">
        <f>(Geraetedaten!$B$152+(Geraetedaten!$B$153*(Geraetedaten!$B$18+d_y_Sw)/1000))*10</f>
        <v>6051.0442000000003</v>
      </c>
      <c r="K312" s="20">
        <f>(Geraetedaten!$B$165+(Geraetedaten!$B$166*(Geraetedaten!$B$18+d_y_Sw)/1000))*10</f>
        <v>10816.164000000001</v>
      </c>
      <c r="L312" s="20">
        <f>(Geraetedaten!$B$158+(Geraetedaten!$B$159*(Geraetedaten!$B$18+d_y_Sw)/1000)-(Geraetedaten!$B$160*I312/1000))*10</f>
        <v>291.64402475288165</v>
      </c>
      <c r="M312" s="20">
        <f>(Geraetedaten!$B$171+(Geraetedaten!$B$172*(Geraetedaten!$B$18+d_y_Sw)/1000)-(Geraetedaten!$B$173*I312/1000))*10</f>
        <v>750.28356482482741</v>
      </c>
      <c r="N312" s="20">
        <f>IF((H312-J312)/(K312-J312)*(Geraetedaten!$B$174-Geraetedaten!$B$161)&lt;Geraetedaten!$B$174,(H312-J312)/(K312-J312)*(Geraetedaten!$B$174-Geraetedaten!$B$161),Geraetedaten!$B$174)</f>
        <v>374.46182438143427</v>
      </c>
      <c r="O312" s="20">
        <f>N312/Geraetedaten!$B$174*(M312-L312)+L312+C312</f>
        <v>785.06258776464858</v>
      </c>
      <c r="P312" s="20">
        <f t="shared" si="246"/>
        <v>221.59339035900871</v>
      </c>
      <c r="Q312" s="20"/>
      <c r="R312" s="21">
        <f>(N312-Geraetedaten!$B$161)/(Geraetedaten!$B$174-Geraetedaten!$B$161)*(Geraetedaten!$B$175-Geraetedaten!$B$162)+Geraetedaten!$B$162</f>
        <v>40.34023927534767</v>
      </c>
      <c r="S312" s="21">
        <f t="shared" si="253"/>
        <v>40.34023927534767</v>
      </c>
      <c r="T312" s="21">
        <f t="shared" si="254"/>
        <v>-40.334095261513703</v>
      </c>
      <c r="U312" s="88">
        <f t="shared" si="255"/>
        <v>0.70403425161061939</v>
      </c>
      <c r="V312" s="86">
        <f t="shared" si="256"/>
        <v>10575.993899999999</v>
      </c>
      <c r="W312" s="85">
        <f t="shared" si="257"/>
        <v>-4225.3239992296285</v>
      </c>
      <c r="X312" s="85">
        <f t="shared" si="258"/>
        <v>4225.9999351850292</v>
      </c>
      <c r="Y312" s="90">
        <f t="shared" si="259"/>
        <v>4225.3239992296285</v>
      </c>
      <c r="Z312" s="86">
        <f t="shared" si="260"/>
        <v>411222.93128000002</v>
      </c>
      <c r="AA312" s="85">
        <f t="shared" si="261"/>
        <v>-913.46204712425447</v>
      </c>
      <c r="AB312" s="85">
        <f t="shared" si="262"/>
        <v>42729.252889900657</v>
      </c>
      <c r="AC312" s="90">
        <f t="shared" si="263"/>
        <v>913.46204712425447</v>
      </c>
      <c r="AD312" s="86">
        <f t="shared" si="264"/>
        <v>-10463.662990000001</v>
      </c>
      <c r="AE312" s="85">
        <f t="shared" si="265"/>
        <v>4140.4375383844126</v>
      </c>
      <c r="AF312" s="85">
        <f t="shared" si="266"/>
        <v>-4141.0391438637007</v>
      </c>
      <c r="AG312" s="90">
        <f t="shared" si="267"/>
        <v>4140.4375383844126</v>
      </c>
      <c r="AH312" s="86">
        <f t="shared" si="268"/>
        <v>307322.26951000001</v>
      </c>
      <c r="AI312" s="85">
        <f t="shared" si="269"/>
        <v>6238.0466047659793</v>
      </c>
      <c r="AJ312" s="85">
        <f t="shared" si="270"/>
        <v>208825.50578869539</v>
      </c>
      <c r="AK312" s="90">
        <f t="shared" si="271"/>
        <v>6238.0466047659793</v>
      </c>
      <c r="AM312" s="95">
        <f t="shared" si="275"/>
        <v>0</v>
      </c>
      <c r="AN312" s="95">
        <f t="shared" si="276"/>
        <v>0</v>
      </c>
      <c r="AO312" s="95">
        <f t="shared" si="277"/>
        <v>0</v>
      </c>
      <c r="AP312" s="95">
        <f t="shared" si="278"/>
        <v>0</v>
      </c>
      <c r="AQ312"/>
      <c r="AR312" s="95">
        <f t="shared" si="272"/>
        <v>0</v>
      </c>
      <c r="AS312" s="95">
        <f t="shared" si="273"/>
        <v>0</v>
      </c>
      <c r="AT312" s="95">
        <f>Geraetedaten!$B$94*ABS(SIN(RADIANS($A312)))</f>
        <v>153.97654505408426</v>
      </c>
      <c r="AU312" s="95">
        <f>Geraetedaten!$B$94*ABS(COS(RADIANS($A312)))</f>
        <v>2.6876705913416021</v>
      </c>
      <c r="AV312" s="95">
        <f>((h_Aw_Sw+Geraetedaten!$B$18)/1000)*(AR312*AT312+AS312*AU312)/100</f>
        <v>0</v>
      </c>
      <c r="AX312" s="18">
        <f t="shared" si="274"/>
        <v>1.745240643728313E-2</v>
      </c>
    </row>
    <row r="313" spans="1:50" ht="13.5" x14ac:dyDescent="0.25">
      <c r="A313" s="16">
        <v>272</v>
      </c>
      <c r="B313" s="16">
        <f t="shared" si="247"/>
        <v>178</v>
      </c>
      <c r="C313" s="19">
        <f t="shared" si="248"/>
        <v>64.554517858322527</v>
      </c>
      <c r="D313" s="17">
        <f t="shared" si="279"/>
        <v>10516.354092141677</v>
      </c>
      <c r="E313" s="17">
        <f t="shared" si="249"/>
        <v>2238998.482012142</v>
      </c>
      <c r="F313" s="17">
        <f t="shared" si="250"/>
        <v>-10532.926467858324</v>
      </c>
      <c r="G313" s="17">
        <f t="shared" si="251"/>
        <v>193973.39781214169</v>
      </c>
      <c r="H313" s="17">
        <f t="shared" si="280"/>
        <v>10516.354092141677</v>
      </c>
      <c r="I313" s="17">
        <f t="shared" si="252"/>
        <v>4227.9637766117803</v>
      </c>
      <c r="J313" s="20">
        <f>(Geraetedaten!$B$152+(Geraetedaten!$B$153*(Geraetedaten!$B$18+d_y_Sw)/1000))*10</f>
        <v>6051.0442000000003</v>
      </c>
      <c r="K313" s="20">
        <f>(Geraetedaten!$B$165+(Geraetedaten!$B$166*(Geraetedaten!$B$18+d_y_Sw)/1000))*10</f>
        <v>10816.164000000001</v>
      </c>
      <c r="L313" s="20">
        <f>(Geraetedaten!$B$158+(Geraetedaten!$B$159*(Geraetedaten!$B$18+d_y_Sw)/1000)-(Geraetedaten!$B$160*I313/1000))*10</f>
        <v>291.50001626105797</v>
      </c>
      <c r="M313" s="20">
        <f>(Geraetedaten!$B$171+(Geraetedaten!$B$172*(Geraetedaten!$B$18+d_y_Sw)/1000)-(Geraetedaten!$B$173*I313/1000))*10</f>
        <v>750.13737646901996</v>
      </c>
      <c r="N313" s="20">
        <f>IF((H313-J313)/(K313-J313)*(Geraetedaten!$B$174-Geraetedaten!$B$161)&lt;Geraetedaten!$B$174,(H313-J313)/(K313-J313)*(Geraetedaten!$B$174-Geraetedaten!$B$161),Geraetedaten!$B$174)</f>
        <v>374.83295946865189</v>
      </c>
      <c r="O313" s="20">
        <f>N313/Geraetedaten!$B$174*(M313-L313)+L313+C313</f>
        <v>785.83553174348162</v>
      </c>
      <c r="P313" s="20">
        <f>O313*100/9.81/(R313-(I313/1000))</f>
        <v>221.7558241032738</v>
      </c>
      <c r="Q313" s="20"/>
      <c r="R313" s="21">
        <f>(N313-Geraetedaten!$B$161)/(Geraetedaten!$B$174-Geraetedaten!$B$161)*(Geraetedaten!$B$175-Geraetedaten!$B$162)+Geraetedaten!$B$162</f>
        <v>40.351280544192392</v>
      </c>
      <c r="S313" s="21">
        <f t="shared" si="253"/>
        <v>40.351280544192392</v>
      </c>
      <c r="T313" s="21">
        <f t="shared" si="254"/>
        <v>-40.326699634339981</v>
      </c>
      <c r="U313" s="88">
        <f t="shared" si="255"/>
        <v>1.4082393822937465</v>
      </c>
      <c r="V313" s="86">
        <f t="shared" si="256"/>
        <v>10580.90861</v>
      </c>
      <c r="W313" s="85">
        <f t="shared" si="257"/>
        <v>-4225.3239992296285</v>
      </c>
      <c r="X313" s="85">
        <f t="shared" si="258"/>
        <v>4227.9637766117803</v>
      </c>
      <c r="Y313" s="90">
        <f t="shared" si="259"/>
        <v>4225.3239992296285</v>
      </c>
      <c r="Z313" s="86">
        <f t="shared" si="260"/>
        <v>2239063.0365300002</v>
      </c>
      <c r="AA313" s="85">
        <f t="shared" si="261"/>
        <v>-913.46204712425447</v>
      </c>
      <c r="AB313" s="85">
        <f t="shared" si="262"/>
        <v>232656.02048314028</v>
      </c>
      <c r="AC313" s="90">
        <f t="shared" si="263"/>
        <v>913.46204712425447</v>
      </c>
      <c r="AD313" s="86">
        <f t="shared" si="264"/>
        <v>-10468.371950000001</v>
      </c>
      <c r="AE313" s="85">
        <f t="shared" si="265"/>
        <v>4140.4375383844126</v>
      </c>
      <c r="AF313" s="85">
        <f t="shared" si="266"/>
        <v>-4142.9027320972391</v>
      </c>
      <c r="AG313" s="90">
        <f t="shared" si="267"/>
        <v>4140.4375383844126</v>
      </c>
      <c r="AH313" s="86">
        <f t="shared" si="268"/>
        <v>194037.95233</v>
      </c>
      <c r="AI313" s="85">
        <f t="shared" si="269"/>
        <v>6238.0466047659793</v>
      </c>
      <c r="AJ313" s="85">
        <f t="shared" si="270"/>
        <v>131848.80354135652</v>
      </c>
      <c r="AK313" s="90">
        <f t="shared" si="271"/>
        <v>6238.0466047659793</v>
      </c>
      <c r="AM313" s="95">
        <f t="shared" si="275"/>
        <v>0</v>
      </c>
      <c r="AN313" s="95">
        <f t="shared" si="276"/>
        <v>0</v>
      </c>
      <c r="AO313" s="95">
        <f t="shared" si="277"/>
        <v>0</v>
      </c>
      <c r="AP313" s="95">
        <f t="shared" si="278"/>
        <v>0</v>
      </c>
      <c r="AQ313"/>
      <c r="AR313" s="95">
        <f t="shared" si="272"/>
        <v>0</v>
      </c>
      <c r="AS313" s="95">
        <f t="shared" si="273"/>
        <v>0</v>
      </c>
      <c r="AT313" s="95">
        <f>Geraetedaten!$B$94*ABS(SIN(RADIANS($A313)))</f>
        <v>153.90618736094075</v>
      </c>
      <c r="AU313" s="95">
        <f>Geraetedaten!$B$94*ABS(COS(RADIANS($A313)))</f>
        <v>5.3745224921851973</v>
      </c>
      <c r="AV313" s="95">
        <f>((h_Aw_Sw+Geraetedaten!$B$18)/1000)*(AR313*AT313+AS313*AU313)/100</f>
        <v>0</v>
      </c>
      <c r="AX313" s="18">
        <f t="shared" si="274"/>
        <v>3.4899496702501281E-2</v>
      </c>
    </row>
    <row r="314" spans="1:50" ht="13.5" x14ac:dyDescent="0.25">
      <c r="A314" s="16">
        <v>273</v>
      </c>
      <c r="B314" s="16">
        <f t="shared" si="247"/>
        <v>177</v>
      </c>
      <c r="C314" s="19">
        <f t="shared" si="248"/>
        <v>65.028306045391574</v>
      </c>
      <c r="D314" s="17">
        <f t="shared" si="279"/>
        <v>10524.026613954609</v>
      </c>
      <c r="E314" s="17">
        <f t="shared" si="249"/>
        <v>-649974.31423604535</v>
      </c>
      <c r="F314" s="17">
        <f t="shared" si="250"/>
        <v>-10541.306056045391</v>
      </c>
      <c r="G314" s="17">
        <f t="shared" si="251"/>
        <v>141743.1623039546</v>
      </c>
      <c r="H314" s="17">
        <f t="shared" si="280"/>
        <v>10524.026613954609</v>
      </c>
      <c r="I314" s="17">
        <f t="shared" si="252"/>
        <v>4231.2189135913977</v>
      </c>
      <c r="J314" s="20">
        <f>(Geraetedaten!$B$152+(Geraetedaten!$B$153*(Geraetedaten!$B$18+d_y_Sw)/1000))*10</f>
        <v>6051.0442000000003</v>
      </c>
      <c r="K314" s="20">
        <f>(Geraetedaten!$B$165+(Geraetedaten!$B$166*(Geraetedaten!$B$18+d_y_Sw)/1000))*10</f>
        <v>10816.164000000001</v>
      </c>
      <c r="L314" s="20">
        <f>(Geraetedaten!$B$158+(Geraetedaten!$B$159*(Geraetedaten!$B$18+d_y_Sw)/1000)-(Geraetedaten!$B$160*I314/1000))*10</f>
        <v>291.2613170663426</v>
      </c>
      <c r="M314" s="20">
        <f>(Geraetedaten!$B$171+(Geraetedaten!$B$172*(Geraetedaten!$B$18+d_y_Sw)/1000)-(Geraetedaten!$B$173*I314/1000))*10</f>
        <v>749.89506407225713</v>
      </c>
      <c r="N314" s="20">
        <f>IF((H314-J314)/(K314-J314)*(Geraetedaten!$B$174-Geraetedaten!$B$161)&lt;Geraetedaten!$B$174,(H314-J314)/(K314-J314)*(Geraetedaten!$B$174-Geraetedaten!$B$161),Geraetedaten!$B$174)</f>
        <v>375.47701646070755</v>
      </c>
      <c r="O314" s="20">
        <f>N314/Geraetedaten!$B$174*(M314-L314)+L314+C314</f>
        <v>786.80570054667351</v>
      </c>
      <c r="P314" s="20">
        <f t="shared" ref="P314:P336" si="281">O314*100/9.81/(R314-(I314/1000))</f>
        <v>221.93187769813673</v>
      </c>
      <c r="Q314" s="20"/>
      <c r="R314" s="21">
        <f>(N314-Geraetedaten!$B$161)/(Geraetedaten!$B$174-Geraetedaten!$B$161)*(Geraetedaten!$B$175-Geraetedaten!$B$162)+Geraetedaten!$B$162</f>
        <v>40.370441239706054</v>
      </c>
      <c r="S314" s="21">
        <f t="shared" si="253"/>
        <v>40.370441239706054</v>
      </c>
      <c r="T314" s="21">
        <f t="shared" si="254"/>
        <v>-40.315114953044514</v>
      </c>
      <c r="U314" s="88">
        <f t="shared" si="255"/>
        <v>2.1128256462295956</v>
      </c>
      <c r="V314" s="86">
        <f t="shared" si="256"/>
        <v>10589.05492</v>
      </c>
      <c r="W314" s="85">
        <f t="shared" si="257"/>
        <v>-4225.3239992296285</v>
      </c>
      <c r="X314" s="85">
        <f t="shared" si="258"/>
        <v>4231.2189135913977</v>
      </c>
      <c r="Y314" s="90">
        <f t="shared" si="259"/>
        <v>4225.3239992296285</v>
      </c>
      <c r="Z314" s="86">
        <f t="shared" si="260"/>
        <v>-649909.28593000001</v>
      </c>
      <c r="AA314" s="85">
        <f t="shared" si="261"/>
        <v>-913.46204712425447</v>
      </c>
      <c r="AB314" s="85">
        <f t="shared" si="262"/>
        <v>-67530.616901855436</v>
      </c>
      <c r="AC314" s="90">
        <f t="shared" si="263"/>
        <v>913.46204712425447</v>
      </c>
      <c r="AD314" s="86">
        <f t="shared" si="264"/>
        <v>-10476.277749999999</v>
      </c>
      <c r="AE314" s="85">
        <f t="shared" si="265"/>
        <v>4140.4375383844126</v>
      </c>
      <c r="AF314" s="85">
        <f t="shared" si="266"/>
        <v>-4146.0314883860983</v>
      </c>
      <c r="AG314" s="90">
        <f t="shared" si="267"/>
        <v>4140.4375383844126</v>
      </c>
      <c r="AH314" s="86">
        <f t="shared" si="268"/>
        <v>141808.19060999999</v>
      </c>
      <c r="AI314" s="85">
        <f t="shared" si="269"/>
        <v>6238.0466047659793</v>
      </c>
      <c r="AJ314" s="85">
        <f t="shared" si="270"/>
        <v>96358.676435779911</v>
      </c>
      <c r="AK314" s="90">
        <f t="shared" si="271"/>
        <v>6238.0466047659793</v>
      </c>
      <c r="AM314" s="95">
        <f t="shared" si="275"/>
        <v>0</v>
      </c>
      <c r="AN314" s="95">
        <f t="shared" si="276"/>
        <v>0</v>
      </c>
      <c r="AO314" s="95">
        <f t="shared" si="277"/>
        <v>0</v>
      </c>
      <c r="AP314" s="95">
        <f t="shared" si="278"/>
        <v>0</v>
      </c>
      <c r="AQ314"/>
      <c r="AR314" s="95">
        <f t="shared" si="272"/>
        <v>0</v>
      </c>
      <c r="AS314" s="95">
        <f t="shared" si="273"/>
        <v>0</v>
      </c>
      <c r="AT314" s="95">
        <f>Geraetedaten!$B$94*ABS(SIN(RADIANS($A314)))</f>
        <v>153.78894835220436</v>
      </c>
      <c r="AU314" s="95">
        <f>Geraetedaten!$B$94*ABS(COS(RADIANS($A314)))</f>
        <v>8.0597372614133675</v>
      </c>
      <c r="AV314" s="95">
        <f>((h_Aw_Sw+Geraetedaten!$B$18)/1000)*(AR314*AT314+AS314*AU314)/100</f>
        <v>0</v>
      </c>
      <c r="AX314" s="18">
        <f t="shared" si="274"/>
        <v>5.2335956242943946E-2</v>
      </c>
    </row>
    <row r="315" spans="1:50" ht="13.5" x14ac:dyDescent="0.25">
      <c r="A315" s="16">
        <v>274</v>
      </c>
      <c r="B315" s="16">
        <f t="shared" si="247"/>
        <v>176</v>
      </c>
      <c r="C315" s="19">
        <f t="shared" si="248"/>
        <v>65.48228598049586</v>
      </c>
      <c r="D315" s="17">
        <f t="shared" si="279"/>
        <v>10534.962984019505</v>
      </c>
      <c r="E315" s="17">
        <f t="shared" si="249"/>
        <v>-283874.2562759805</v>
      </c>
      <c r="F315" s="17">
        <f t="shared" si="250"/>
        <v>-10552.874765980496</v>
      </c>
      <c r="G315" s="17">
        <f t="shared" si="251"/>
        <v>111694.0988740195</v>
      </c>
      <c r="H315" s="17">
        <f t="shared" si="280"/>
        <v>10534.962984019505</v>
      </c>
      <c r="I315" s="17">
        <f t="shared" si="252"/>
        <v>4235.7703175495226</v>
      </c>
      <c r="J315" s="20">
        <f>(Geraetedaten!$B$152+(Geraetedaten!$B$153*(Geraetedaten!$B$18+d_y_Sw)/1000))*10</f>
        <v>6051.0442000000003</v>
      </c>
      <c r="K315" s="20">
        <f>(Geraetedaten!$B$165+(Geraetedaten!$B$166*(Geraetedaten!$B$18+d_y_Sw)/1000))*10</f>
        <v>10816.164000000001</v>
      </c>
      <c r="L315" s="20">
        <f>(Geraetedaten!$B$158+(Geraetedaten!$B$159*(Geraetedaten!$B$18+d_y_Sw)/1000)-(Geraetedaten!$B$160*I315/1000))*10</f>
        <v>290.92756261409329</v>
      </c>
      <c r="M315" s="20">
        <f>(Geraetedaten!$B$171+(Geraetedaten!$B$172*(Geraetedaten!$B$18+d_y_Sw)/1000)-(Geraetedaten!$B$173*I315/1000))*10</f>
        <v>749.55625756161442</v>
      </c>
      <c r="N315" s="20">
        <f>IF((H315-J315)/(K315-J315)*(Geraetedaten!$B$174-Geraetedaten!$B$161)&lt;Geraetedaten!$B$174,(H315-J315)/(K315-J315)*(Geraetedaten!$B$174-Geraetedaten!$B$161),Geraetedaten!$B$174)</f>
        <v>376.39505172730424</v>
      </c>
      <c r="O315" s="20">
        <f>N315/Geraetedaten!$B$174*(M315-L315)+L315+C315</f>
        <v>787.97377699058472</v>
      </c>
      <c r="P315" s="20">
        <f t="shared" si="281"/>
        <v>222.12146342200839</v>
      </c>
      <c r="Q315" s="20"/>
      <c r="R315" s="21">
        <f>(N315-Geraetedaten!$B$161)/(Geraetedaten!$B$174-Geraetedaten!$B$161)*(Geraetedaten!$B$175-Geraetedaten!$B$162)+Geraetedaten!$B$162</f>
        <v>40.397752788887303</v>
      </c>
      <c r="S315" s="21">
        <f t="shared" si="253"/>
        <v>40.397752788887303</v>
      </c>
      <c r="T315" s="21">
        <f t="shared" si="254"/>
        <v>-40.299345893477529</v>
      </c>
      <c r="U315" s="88">
        <f t="shared" si="255"/>
        <v>2.8180047817396785</v>
      </c>
      <c r="V315" s="86">
        <f t="shared" si="256"/>
        <v>10600.44527</v>
      </c>
      <c r="W315" s="85">
        <f t="shared" si="257"/>
        <v>-4225.3239992296285</v>
      </c>
      <c r="X315" s="85">
        <f t="shared" si="258"/>
        <v>4235.7703175495226</v>
      </c>
      <c r="Y315" s="90">
        <f t="shared" si="259"/>
        <v>4225.3239992296285</v>
      </c>
      <c r="Z315" s="86">
        <f t="shared" si="260"/>
        <v>-283808.77399000002</v>
      </c>
      <c r="AA315" s="85">
        <f t="shared" si="261"/>
        <v>-913.46204712425447</v>
      </c>
      <c r="AB315" s="85">
        <f t="shared" si="262"/>
        <v>-29489.933449222266</v>
      </c>
      <c r="AC315" s="90">
        <f t="shared" si="263"/>
        <v>913.46204712425447</v>
      </c>
      <c r="AD315" s="86">
        <f t="shared" si="264"/>
        <v>-10487.39248</v>
      </c>
      <c r="AE315" s="85">
        <f t="shared" si="265"/>
        <v>4140.4375383844126</v>
      </c>
      <c r="AF315" s="85">
        <f t="shared" si="266"/>
        <v>-4150.4301907195986</v>
      </c>
      <c r="AG315" s="90">
        <f t="shared" si="267"/>
        <v>4140.4375383844126</v>
      </c>
      <c r="AH315" s="86">
        <f t="shared" si="268"/>
        <v>111759.58116</v>
      </c>
      <c r="AI315" s="85">
        <f t="shared" si="269"/>
        <v>6238.0466047659793</v>
      </c>
      <c r="AJ315" s="85">
        <f t="shared" si="270"/>
        <v>75940.643997247214</v>
      </c>
      <c r="AK315" s="90">
        <f t="shared" si="271"/>
        <v>6238.0466047659793</v>
      </c>
      <c r="AM315" s="95">
        <f t="shared" si="275"/>
        <v>0</v>
      </c>
      <c r="AN315" s="95">
        <f t="shared" si="276"/>
        <v>0</v>
      </c>
      <c r="AO315" s="95">
        <f t="shared" si="277"/>
        <v>0</v>
      </c>
      <c r="AP315" s="95">
        <f t="shared" si="278"/>
        <v>0</v>
      </c>
      <c r="AQ315"/>
      <c r="AR315" s="95">
        <f t="shared" si="272"/>
        <v>0</v>
      </c>
      <c r="AS315" s="95">
        <f t="shared" si="273"/>
        <v>0</v>
      </c>
      <c r="AT315" s="95">
        <f>Geraetedaten!$B$94*ABS(SIN(RADIANS($A315)))</f>
        <v>153.62486374001296</v>
      </c>
      <c r="AU315" s="95">
        <f>Geraetedaten!$B$94*ABS(COS(RADIANS($A315)))</f>
        <v>10.742496956595284</v>
      </c>
      <c r="AV315" s="95">
        <f>((h_Aw_Sw+Geraetedaten!$B$18)/1000)*(AR315*AT315+AS315*AU315)/100</f>
        <v>0</v>
      </c>
      <c r="AX315" s="18">
        <f t="shared" si="274"/>
        <v>6.9756473744125219E-2</v>
      </c>
    </row>
    <row r="316" spans="1:50" ht="13.5" x14ac:dyDescent="0.25">
      <c r="A316" s="16">
        <v>275</v>
      </c>
      <c r="B316" s="16">
        <f t="shared" si="247"/>
        <v>175</v>
      </c>
      <c r="C316" s="19">
        <f t="shared" si="248"/>
        <v>65.916319376949318</v>
      </c>
      <c r="D316" s="17">
        <f t="shared" si="279"/>
        <v>10549.180780623052</v>
      </c>
      <c r="E316" s="17">
        <f t="shared" si="249"/>
        <v>-181644.77998937696</v>
      </c>
      <c r="F316" s="17">
        <f t="shared" si="250"/>
        <v>-10567.649469376949</v>
      </c>
      <c r="G316" s="17">
        <f t="shared" si="251"/>
        <v>92176.046050623045</v>
      </c>
      <c r="H316" s="17">
        <f t="shared" si="280"/>
        <v>10549.180780623052</v>
      </c>
      <c r="I316" s="17">
        <f t="shared" si="252"/>
        <v>4241.6249550465309</v>
      </c>
      <c r="J316" s="20">
        <f>(Geraetedaten!$B$152+(Geraetedaten!$B$153*(Geraetedaten!$B$18+d_y_Sw)/1000))*10</f>
        <v>6051.0442000000003</v>
      </c>
      <c r="K316" s="20">
        <f>(Geraetedaten!$B$165+(Geraetedaten!$B$166*(Geraetedaten!$B$18+d_y_Sw)/1000))*10</f>
        <v>10816.164000000001</v>
      </c>
      <c r="L316" s="20">
        <f>(Geraetedaten!$B$158+(Geraetedaten!$B$159*(Geraetedaten!$B$18+d_y_Sw)/1000)-(Geraetedaten!$B$160*I316/1000))*10</f>
        <v>290.49824204643767</v>
      </c>
      <c r="M316" s="20">
        <f>(Geraetedaten!$B$171+(Geraetedaten!$B$172*(Geraetedaten!$B$18+d_y_Sw)/1000)-(Geraetedaten!$B$173*I316/1000))*10</f>
        <v>749.1204383463371</v>
      </c>
      <c r="N316" s="20">
        <f>IF((H316-J316)/(K316-J316)*(Geraetedaten!$B$174-Geraetedaten!$B$161)&lt;Geraetedaten!$B$174,(H316-J316)/(K316-J316)*(Geraetedaten!$B$174-Geraetedaten!$B$161),Geraetedaten!$B$174)</f>
        <v>377.58854084827425</v>
      </c>
      <c r="O316" s="20">
        <f>N316/Geraetedaten!$B$174*(M316-L316)+L316+C316</f>
        <v>789.34077617716162</v>
      </c>
      <c r="P316" s="20">
        <f t="shared" si="281"/>
        <v>222.3245070635756</v>
      </c>
      <c r="Q316" s="20"/>
      <c r="R316" s="21">
        <f>(N316-Geraetedaten!$B$161)/(Geraetedaten!$B$174-Geraetedaten!$B$161)*(Geraetedaten!$B$175-Geraetedaten!$B$162)+Geraetedaten!$B$162</f>
        <v>40.433259090236163</v>
      </c>
      <c r="S316" s="21">
        <f t="shared" si="253"/>
        <v>40.433259090236163</v>
      </c>
      <c r="T316" s="21">
        <f t="shared" si="254"/>
        <v>-40.279398332263142</v>
      </c>
      <c r="U316" s="88">
        <f t="shared" si="255"/>
        <v>3.5239907277180227</v>
      </c>
      <c r="V316" s="86">
        <f t="shared" si="256"/>
        <v>10615.097100000001</v>
      </c>
      <c r="W316" s="85">
        <f t="shared" si="257"/>
        <v>-4225.3239992296285</v>
      </c>
      <c r="X316" s="85">
        <f t="shared" si="258"/>
        <v>4241.6249550465309</v>
      </c>
      <c r="Y316" s="90">
        <f t="shared" si="259"/>
        <v>4225.3239992296285</v>
      </c>
      <c r="Z316" s="86">
        <f t="shared" si="260"/>
        <v>-181578.86366999999</v>
      </c>
      <c r="AA316" s="85">
        <f t="shared" si="261"/>
        <v>-913.46204712425447</v>
      </c>
      <c r="AB316" s="85">
        <f t="shared" si="262"/>
        <v>-18867.452651350119</v>
      </c>
      <c r="AC316" s="90">
        <f t="shared" si="263"/>
        <v>913.46204712425447</v>
      </c>
      <c r="AD316" s="86">
        <f t="shared" si="264"/>
        <v>-10501.73315</v>
      </c>
      <c r="AE316" s="85">
        <f t="shared" si="265"/>
        <v>4140.4375383844126</v>
      </c>
      <c r="AF316" s="85">
        <f t="shared" si="266"/>
        <v>-4156.1055710968594</v>
      </c>
      <c r="AG316" s="90">
        <f t="shared" si="267"/>
        <v>4140.4375383844126</v>
      </c>
      <c r="AH316" s="86">
        <f t="shared" si="268"/>
        <v>92241.962369999994</v>
      </c>
      <c r="AI316" s="85">
        <f t="shared" si="269"/>
        <v>6238.0466047659793</v>
      </c>
      <c r="AJ316" s="85">
        <f t="shared" si="270"/>
        <v>62678.420529368945</v>
      </c>
      <c r="AK316" s="90">
        <f t="shared" si="271"/>
        <v>6238.0466047659793</v>
      </c>
      <c r="AM316" s="95">
        <f t="shared" si="275"/>
        <v>0</v>
      </c>
      <c r="AN316" s="95">
        <f t="shared" si="276"/>
        <v>0</v>
      </c>
      <c r="AO316" s="95">
        <f t="shared" si="277"/>
        <v>0</v>
      </c>
      <c r="AP316" s="95">
        <f t="shared" si="278"/>
        <v>0</v>
      </c>
      <c r="AQ316"/>
      <c r="AR316" s="95">
        <f t="shared" si="272"/>
        <v>0</v>
      </c>
      <c r="AS316" s="95">
        <f t="shared" si="273"/>
        <v>0</v>
      </c>
      <c r="AT316" s="95">
        <f>Geraetedaten!$B$94*ABS(SIN(RADIANS($A316)))</f>
        <v>153.4139835061288</v>
      </c>
      <c r="AU316" s="95">
        <f>Geraetedaten!$B$94*ABS(COS(RADIANS($A316)))</f>
        <v>13.421984383139314</v>
      </c>
      <c r="AV316" s="95">
        <f>((h_Aw_Sw+Geraetedaten!$B$18)/1000)*(AR316*AT316+AS316*AU316)/100</f>
        <v>0</v>
      </c>
      <c r="AX316" s="18">
        <f t="shared" si="274"/>
        <v>8.7155742747657888E-2</v>
      </c>
    </row>
    <row r="317" spans="1:50" ht="13.5" x14ac:dyDescent="0.25">
      <c r="A317" s="16">
        <v>276</v>
      </c>
      <c r="B317" s="16">
        <f t="shared" ref="B317:B348" si="282">360-A317+90</f>
        <v>174</v>
      </c>
      <c r="C317" s="19">
        <f t="shared" ref="C317:C348" si="283">$AF$16*ABS(COS(RADIANS(A317)))+$AF$17*ABS(SIN(RADIANS(A317)))+AV317</f>
        <v>66.330274023974852</v>
      </c>
      <c r="D317" s="17">
        <f t="shared" si="279"/>
        <v>10566.702615976026</v>
      </c>
      <c r="E317" s="17">
        <f t="shared" ref="E317:E348" si="284">IF(ISNUMBER(Z317),Z317-C317,"unendlich")</f>
        <v>-133589.78271402398</v>
      </c>
      <c r="F317" s="17">
        <f t="shared" ref="F317:F348" si="285">IF(ISNUMBER(AD317),AD317-C317,"unendlich")</f>
        <v>-10585.652044023975</v>
      </c>
      <c r="G317" s="17">
        <f t="shared" ref="G317:G348" si="286">IF(ISNUMBER(AH317),AH317-C317,"unendlich")</f>
        <v>78481.940915976025</v>
      </c>
      <c r="H317" s="17">
        <f t="shared" si="280"/>
        <v>10566.702615976026</v>
      </c>
      <c r="I317" s="17">
        <f t="shared" ref="I317:I348" si="287">IF(H317+C317=V317,X317,IF(H317+C317=Z317,AB317,IF(H317+C317=AD317,AF317,IF(H317+C317=AH317,AJ317,"???"))))</f>
        <v>4248.7918138652303</v>
      </c>
      <c r="J317" s="20">
        <f>(Geraetedaten!$B$152+(Geraetedaten!$B$153*(Geraetedaten!$B$18+d_y_Sw)/1000))*10</f>
        <v>6051.0442000000003</v>
      </c>
      <c r="K317" s="20">
        <f>(Geraetedaten!$B$165+(Geraetedaten!$B$166*(Geraetedaten!$B$18+d_y_Sw)/1000))*10</f>
        <v>10816.164000000001</v>
      </c>
      <c r="L317" s="20">
        <f>(Geraetedaten!$B$158+(Geraetedaten!$B$159*(Geraetedaten!$B$18+d_y_Sw)/1000)-(Geraetedaten!$B$160*I317/1000))*10</f>
        <v>289.97269628926244</v>
      </c>
      <c r="M317" s="20">
        <f>(Geraetedaten!$B$171+(Geraetedaten!$B$172*(Geraetedaten!$B$18+d_y_Sw)/1000)-(Geraetedaten!$B$173*I317/1000))*10</f>
        <v>748.58693737587316</v>
      </c>
      <c r="N317" s="20">
        <f>IF((H317-J317)/(K317-J317)*(Geraetedaten!$B$174-Geraetedaten!$B$161)&lt;Geraetedaten!$B$174,(H317-J317)/(K317-J317)*(Geraetedaten!$B$174-Geraetedaten!$B$161),Geraetedaten!$B$174)</f>
        <v>379.05938196777555</v>
      </c>
      <c r="O317" s="20">
        <f>N317/Geraetedaten!$B$174*(M317-L317)+L317+C317</f>
        <v>790.90804728301498</v>
      </c>
      <c r="P317" s="20">
        <f t="shared" si="281"/>
        <v>222.54094765918256</v>
      </c>
      <c r="Q317" s="20"/>
      <c r="R317" s="21">
        <f>(N317-Geraetedaten!$B$161)/(Geraetedaten!$B$174-Geraetedaten!$B$161)*(Geraetedaten!$B$175-Geraetedaten!$B$162)+Geraetedaten!$B$162</f>
        <v>40.477016613541323</v>
      </c>
      <c r="S317" s="21">
        <f t="shared" ref="S317:S348" si="288">SQRT((r_K_D/1000)^2+R317^2-(2*(r_K_D/1000)*R317*COS(RADIANS(2*A317))))</f>
        <v>40.477016613541323</v>
      </c>
      <c r="T317" s="21">
        <f t="shared" ref="T317:T348" si="289">S317*SIN(A317*Const_2)</f>
        <v>-40.255279281352209</v>
      </c>
      <c r="U317" s="88">
        <f t="shared" ref="U317:U348" si="290">S317*COS(A317*Const_2)</f>
        <v>4.2310003442727337</v>
      </c>
      <c r="V317" s="86">
        <f t="shared" ref="V317:V348" si="291">ROUND((F_S*r_Su_L-F_G*W317+F_SSw*Y317)/(SIN(RADIANS(270+g_L-A317)))/1000,5)</f>
        <v>10633.03289</v>
      </c>
      <c r="W317" s="85">
        <f t="shared" ref="W317:W348" si="292">(SIN(RADIANS(g_L)))*(((VL_Z-HL_Z)/(VL_X-HL_X))*(-HL_X+AN317)+HL_Z-AM317)</f>
        <v>-4225.3239992296285</v>
      </c>
      <c r="X317" s="85">
        <f t="shared" ref="X317:X348" si="293">W317/(SIN(RADIANS(180-g_L-(90-$A317))))</f>
        <v>4248.7918138652303</v>
      </c>
      <c r="Y317" s="90">
        <f t="shared" ref="Y317:Y348" si="294">SIN(RADIANS(g_L))*(((VL_Z-HL_Z)/(VL_X-HL_X))*(-AP317+HL_X)-HL_Z+AO317)</f>
        <v>4225.3239992296285</v>
      </c>
      <c r="Z317" s="86">
        <f t="shared" ref="Z317:Z348" si="295">ROUND((F_S*r_Su_H-F_G*AA317+F_SSw*AC317)/(SIN(RADIANS(180+g_H-A317)))/1000,5)</f>
        <v>-133523.45243999999</v>
      </c>
      <c r="AA317" s="85">
        <f t="shared" ref="AA317:AA348" si="296">(SIN(RADIANS(g_H)))*(((HL_X-HR_X)/(HL_Z-HR_Z))*(-HR_Z+AM317)+HR_X-AN317)</f>
        <v>-913.46204712425447</v>
      </c>
      <c r="AB317" s="85">
        <f t="shared" ref="AB317:AB348" si="297">AA317/(SIN(RADIANS(g_H-$A317)))</f>
        <v>-13874.122603082375</v>
      </c>
      <c r="AC317" s="90">
        <f t="shared" ref="AC317:AC348" si="298">SIN(RADIANS(g_H))*(((HL_X-HR_X)/(HL_Z-HR_Z))*(-AO317+HR_Z)-HR_X+AP317)</f>
        <v>913.46204712425447</v>
      </c>
      <c r="AD317" s="86">
        <f t="shared" ref="AD317:AD348" si="299">ROUND((F_S*r_Su_R+F_G*AE317+F_SSw*AG317)/(SIN(RADIANS(90+g_R-A317)))/1000,5)</f>
        <v>-10519.32177</v>
      </c>
      <c r="AE317" s="85">
        <f t="shared" ref="AE317:AE348" si="300">(SIN(RADIANS(g_R)))*(((HR_Z-VR_Z)/(HR_X-VR_X))*(-VR_X+AN317)+VR_Z-AM317)</f>
        <v>4140.4375383844126</v>
      </c>
      <c r="AF317" s="85">
        <f t="shared" ref="AF317:AF348" si="301">AE317/(SIN(RADIANS(180-g_R-(90-$A317))))</f>
        <v>-4163.0663407316251</v>
      </c>
      <c r="AG317" s="90">
        <f t="shared" ref="AG317:AG348" si="302">(SIN(RADIANS(g_R)))*(((HR_Z-VR_Z)/(HR_X-VR_X))*(-VR_X+AP317)+VR_Z-AO317)</f>
        <v>4140.4375383844126</v>
      </c>
      <c r="AH317" s="86">
        <f t="shared" ref="AH317:AH348" si="303">ROUND((F_S*r_Su_V+F_G*AI317+F_SSw*AK317)/(SIN(RADIANS(g_V-A317)))/1000,5)</f>
        <v>78548.271189999999</v>
      </c>
      <c r="AI317" s="85">
        <f t="shared" ref="AI317:AI348" si="304">(SIN(RADIANS(g_V)))*(((VR_X-VL_X)/(VR_Z-VL_Z))*(AM317-VL_Z)+VL_X-AN317)</f>
        <v>6238.0466047659793</v>
      </c>
      <c r="AJ317" s="85">
        <f t="shared" ref="AJ317:AJ348" si="305">AI317/(SIN(RADIANS(g_V-$A317)))</f>
        <v>53373.556319256837</v>
      </c>
      <c r="AK317" s="90">
        <f t="shared" ref="AK317:AK348" si="306">(SIN(RADIANS(g_V)))*(((VR_X-VL_X)/(VR_Z-VL_Z))*(-VL_Z+AO317)+VL_X-AP317)</f>
        <v>6238.0466047659793</v>
      </c>
      <c r="AM317" s="95">
        <f t="shared" si="275"/>
        <v>0</v>
      </c>
      <c r="AN317" s="95">
        <f t="shared" si="276"/>
        <v>0</v>
      </c>
      <c r="AO317" s="95">
        <f t="shared" si="277"/>
        <v>0</v>
      </c>
      <c r="AP317" s="95">
        <f t="shared" si="278"/>
        <v>0</v>
      </c>
      <c r="AQ317"/>
      <c r="AR317" s="95">
        <f t="shared" ref="AR317:AR348" si="307">MAX(d_y_Sw*(r_K_D*ABS(COS(RADIANS($A317)))+_r1_Sw+_r2_Sw), 2*_r1_Sw*d_y_Sw)/1000000</f>
        <v>0</v>
      </c>
      <c r="AS317" s="95">
        <f t="shared" ref="AS317:AS348" si="308">MAX(d_y_Sw*(r_K_D*ABS(SIN(RADIANS($A317)))+_r1_Sw+_r2_Sw), 2*_r1_Sw*d_y_Sw)/1000000</f>
        <v>0</v>
      </c>
      <c r="AT317" s="95">
        <f>Geraetedaten!$B$94*ABS(SIN(RADIANS($A317)))</f>
        <v>153.15637188671411</v>
      </c>
      <c r="AU317" s="95">
        <f>Geraetedaten!$B$94*ABS(COS(RADIANS($A317)))</f>
        <v>16.09738334321856</v>
      </c>
      <c r="AV317" s="95">
        <f>((h_Aw_Sw+Geraetedaten!$B$18)/1000)*(AR317*AT317+AS317*AU317)/100</f>
        <v>0</v>
      </c>
      <c r="AX317" s="18">
        <f t="shared" si="274"/>
        <v>0.10452846326765299</v>
      </c>
    </row>
    <row r="318" spans="1:50" ht="13.5" x14ac:dyDescent="0.25">
      <c r="A318" s="16">
        <v>277</v>
      </c>
      <c r="B318" s="16">
        <f t="shared" si="282"/>
        <v>173</v>
      </c>
      <c r="C318" s="19">
        <f t="shared" si="283"/>
        <v>66.724023826976904</v>
      </c>
      <c r="D318" s="17">
        <f t="shared" si="279"/>
        <v>10587.556256173024</v>
      </c>
      <c r="E318" s="17">
        <f t="shared" si="284"/>
        <v>-105673.24964382697</v>
      </c>
      <c r="F318" s="17">
        <f t="shared" si="285"/>
        <v>-10606.909453826976</v>
      </c>
      <c r="G318" s="17">
        <f t="shared" si="286"/>
        <v>68346.21047617303</v>
      </c>
      <c r="H318" s="17">
        <f t="shared" si="280"/>
        <v>10587.556256173024</v>
      </c>
      <c r="I318" s="17">
        <f t="shared" si="287"/>
        <v>4257.2819368120536</v>
      </c>
      <c r="J318" s="20">
        <f>(Geraetedaten!$B$152+(Geraetedaten!$B$153*(Geraetedaten!$B$18+d_y_Sw)/1000))*10</f>
        <v>6051.0442000000003</v>
      </c>
      <c r="K318" s="20">
        <f>(Geraetedaten!$B$165+(Geraetedaten!$B$166*(Geraetedaten!$B$18+d_y_Sw)/1000))*10</f>
        <v>10816.164000000001</v>
      </c>
      <c r="L318" s="20">
        <f>(Geraetedaten!$B$158+(Geraetedaten!$B$159*(Geraetedaten!$B$18+d_y_Sw)/1000)-(Geraetedaten!$B$160*I318/1000))*10</f>
        <v>289.35011557357194</v>
      </c>
      <c r="M318" s="20">
        <f>(Geraetedaten!$B$171+(Geraetedaten!$B$172*(Geraetedaten!$B$18+d_y_Sw)/1000)-(Geraetedaten!$B$173*I318/1000))*10</f>
        <v>747.95493262371167</v>
      </c>
      <c r="N318" s="20">
        <f>IF((H318-J318)/(K318-J318)*(Geraetedaten!$B$174-Geraetedaten!$B$161)&lt;Geraetedaten!$B$174,(H318-J318)/(K318-J318)*(Geraetedaten!$B$174-Geraetedaten!$B$161),Geraetedaten!$B$174)</f>
        <v>380.80990586411059</v>
      </c>
      <c r="O318" s="20">
        <f>N318/Geraetedaten!$B$174*(M318-L318)+L318+C318</f>
        <v>792.67728242477733</v>
      </c>
      <c r="P318" s="20">
        <f t="shared" si="281"/>
        <v>222.77073794301688</v>
      </c>
      <c r="Q318" s="20"/>
      <c r="R318" s="21">
        <f>(N318-Geraetedaten!$B$161)/(Geraetedaten!$B$174-Geraetedaten!$B$161)*(Geraetedaten!$B$175-Geraetedaten!$B$162)+Geraetedaten!$B$162</f>
        <v>40.529094699457289</v>
      </c>
      <c r="S318" s="21">
        <f t="shared" si="288"/>
        <v>40.529094699457289</v>
      </c>
      <c r="T318" s="21">
        <f t="shared" si="289"/>
        <v>-40.226996973453033</v>
      </c>
      <c r="U318" s="88">
        <f t="shared" si="290"/>
        <v>4.9392541598279109</v>
      </c>
      <c r="V318" s="86">
        <f t="shared" si="291"/>
        <v>10654.280280000001</v>
      </c>
      <c r="W318" s="85">
        <f t="shared" si="292"/>
        <v>-4225.3239992296285</v>
      </c>
      <c r="X318" s="85">
        <f t="shared" si="293"/>
        <v>4257.2819368120536</v>
      </c>
      <c r="Y318" s="90">
        <f t="shared" si="294"/>
        <v>4225.3239992296285</v>
      </c>
      <c r="Z318" s="86">
        <f t="shared" si="295"/>
        <v>-105606.52562</v>
      </c>
      <c r="AA318" s="85">
        <f t="shared" si="296"/>
        <v>-913.46204712425447</v>
      </c>
      <c r="AB318" s="85">
        <f t="shared" si="297"/>
        <v>-10973.337323014968</v>
      </c>
      <c r="AC318" s="90">
        <f t="shared" si="298"/>
        <v>913.46204712425447</v>
      </c>
      <c r="AD318" s="86">
        <f t="shared" si="299"/>
        <v>-10540.18543</v>
      </c>
      <c r="AE318" s="85">
        <f t="shared" si="300"/>
        <v>4140.4375383844126</v>
      </c>
      <c r="AF318" s="85">
        <f t="shared" si="301"/>
        <v>-4171.3232228057714</v>
      </c>
      <c r="AG318" s="90">
        <f t="shared" si="302"/>
        <v>4140.4375383844126</v>
      </c>
      <c r="AH318" s="86">
        <f t="shared" si="303"/>
        <v>68412.934500000003</v>
      </c>
      <c r="AI318" s="85">
        <f t="shared" si="304"/>
        <v>6238.0466047659793</v>
      </c>
      <c r="AJ318" s="85">
        <f t="shared" si="305"/>
        <v>46486.594261472259</v>
      </c>
      <c r="AK318" s="90">
        <f t="shared" si="306"/>
        <v>6238.0466047659793</v>
      </c>
      <c r="AM318" s="95">
        <f t="shared" si="275"/>
        <v>0</v>
      </c>
      <c r="AN318" s="95">
        <f t="shared" si="276"/>
        <v>0</v>
      </c>
      <c r="AO318" s="95">
        <f t="shared" si="277"/>
        <v>0</v>
      </c>
      <c r="AP318" s="95">
        <f t="shared" si="278"/>
        <v>0</v>
      </c>
      <c r="AQ318"/>
      <c r="AR318" s="95">
        <f t="shared" si="307"/>
        <v>0</v>
      </c>
      <c r="AS318" s="95">
        <f t="shared" si="308"/>
        <v>0</v>
      </c>
      <c r="AT318" s="95">
        <f>Geraetedaten!$B$94*ABS(SIN(RADIANS($A318)))</f>
        <v>152.8521073527636</v>
      </c>
      <c r="AU318" s="95">
        <f>Geraetedaten!$B$94*ABS(COS(RADIANS($A318)))</f>
        <v>18.767878884392744</v>
      </c>
      <c r="AV318" s="95">
        <f>((h_Aw_Sw+Geraetedaten!$B$18)/1000)*(AR318*AT318+AS318*AU318)/100</f>
        <v>0</v>
      </c>
      <c r="AX318" s="18">
        <f t="shared" si="274"/>
        <v>0.12186934340514768</v>
      </c>
    </row>
    <row r="319" spans="1:50" ht="13.5" x14ac:dyDescent="0.25">
      <c r="A319" s="16">
        <v>278</v>
      </c>
      <c r="B319" s="16">
        <f t="shared" si="282"/>
        <v>172</v>
      </c>
      <c r="C319" s="19">
        <f t="shared" si="283"/>
        <v>67.097448845951106</v>
      </c>
      <c r="D319" s="17">
        <f t="shared" si="279"/>
        <v>10611.77471115405</v>
      </c>
      <c r="E319" s="17">
        <f t="shared" si="284"/>
        <v>-87433.723988845944</v>
      </c>
      <c r="F319" s="17">
        <f t="shared" si="285"/>
        <v>-10631.453858845951</v>
      </c>
      <c r="G319" s="17">
        <f t="shared" si="286"/>
        <v>60543.516671154044</v>
      </c>
      <c r="H319" s="17">
        <f t="shared" si="280"/>
        <v>10611.77471115405</v>
      </c>
      <c r="I319" s="17">
        <f t="shared" si="287"/>
        <v>4267.1084634692807</v>
      </c>
      <c r="J319" s="20">
        <f>(Geraetedaten!$B$152+(Geraetedaten!$B$153*(Geraetedaten!$B$18+d_y_Sw)/1000))*10</f>
        <v>6051.0442000000003</v>
      </c>
      <c r="K319" s="20">
        <f>(Geraetedaten!$B$165+(Geraetedaten!$B$166*(Geraetedaten!$B$18+d_y_Sw)/1000))*10</f>
        <v>10816.164000000001</v>
      </c>
      <c r="L319" s="20">
        <f>(Geraetedaten!$B$158+(Geraetedaten!$B$159*(Geraetedaten!$B$18+d_y_Sw)/1000)-(Geraetedaten!$B$160*I319/1000))*10</f>
        <v>288.62953637379746</v>
      </c>
      <c r="M319" s="20">
        <f>(Geraetedaten!$B$171+(Geraetedaten!$B$172*(Geraetedaten!$B$18+d_y_Sw)/1000)-(Geraetedaten!$B$173*I319/1000))*10</f>
        <v>747.22344597934762</v>
      </c>
      <c r="N319" s="20">
        <f>IF((H319-J319)/(K319-J319)*(Geraetedaten!$B$174-Geraetedaten!$B$161)&lt;Geraetedaten!$B$174,(H319-J319)/(K319-J319)*(Geraetedaten!$B$174-Geraetedaten!$B$161),Geraetedaten!$B$174)</f>
        <v>382.84288350140116</v>
      </c>
      <c r="O319" s="20">
        <f>N319/Geraetedaten!$B$174*(M319-L319)+L319+C319</f>
        <v>794.6505219936729</v>
      </c>
      <c r="P319" s="20">
        <f t="shared" si="281"/>
        <v>223.01384420593456</v>
      </c>
      <c r="Q319" s="20"/>
      <c r="R319" s="21">
        <f>(N319-Geraetedaten!$B$161)/(Geraetedaten!$B$174-Geraetedaten!$B$161)*(Geraetedaten!$B$175-Geraetedaten!$B$162)+Geraetedaten!$B$162</f>
        <v>40.589575784166684</v>
      </c>
      <c r="S319" s="21">
        <f t="shared" si="288"/>
        <v>40.589575784166684</v>
      </c>
      <c r="T319" s="21">
        <f t="shared" si="289"/>
        <v>-40.194560822826354</v>
      </c>
      <c r="U319" s="88">
        <f t="shared" si="290"/>
        <v>5.6489771285360586</v>
      </c>
      <c r="V319" s="86">
        <f t="shared" si="291"/>
        <v>10678.872160000001</v>
      </c>
      <c r="W319" s="85">
        <f t="shared" si="292"/>
        <v>-4225.3239992296285</v>
      </c>
      <c r="X319" s="85">
        <f t="shared" si="293"/>
        <v>4267.1084634692807</v>
      </c>
      <c r="Y319" s="90">
        <f t="shared" si="294"/>
        <v>4225.3239992296285</v>
      </c>
      <c r="Z319" s="86">
        <f t="shared" si="295"/>
        <v>-87366.626539999997</v>
      </c>
      <c r="AA319" s="85">
        <f t="shared" si="296"/>
        <v>-913.46204712425447</v>
      </c>
      <c r="AB319" s="85">
        <f t="shared" si="297"/>
        <v>-9078.0703008729397</v>
      </c>
      <c r="AC319" s="90">
        <f t="shared" si="298"/>
        <v>913.46204712425447</v>
      </c>
      <c r="AD319" s="86">
        <f t="shared" si="299"/>
        <v>-10564.35641</v>
      </c>
      <c r="AE319" s="85">
        <f t="shared" si="300"/>
        <v>4140.4375383844126</v>
      </c>
      <c r="AF319" s="85">
        <f t="shared" si="301"/>
        <v>-4180.8889930016549</v>
      </c>
      <c r="AG319" s="90">
        <f t="shared" si="302"/>
        <v>4140.4375383844126</v>
      </c>
      <c r="AH319" s="86">
        <f t="shared" si="303"/>
        <v>60610.614119999998</v>
      </c>
      <c r="AI319" s="85">
        <f t="shared" si="304"/>
        <v>6238.0466047659793</v>
      </c>
      <c r="AJ319" s="85">
        <f t="shared" si="305"/>
        <v>41184.916962873496</v>
      </c>
      <c r="AK319" s="90">
        <f t="shared" si="306"/>
        <v>6238.0466047659793</v>
      </c>
      <c r="AM319" s="95">
        <f t="shared" si="275"/>
        <v>0</v>
      </c>
      <c r="AN319" s="95">
        <f t="shared" si="276"/>
        <v>0</v>
      </c>
      <c r="AO319" s="95">
        <f t="shared" si="277"/>
        <v>0</v>
      </c>
      <c r="AP319" s="95">
        <f t="shared" si="278"/>
        <v>0</v>
      </c>
      <c r="AQ319"/>
      <c r="AR319" s="95">
        <f t="shared" si="307"/>
        <v>0</v>
      </c>
      <c r="AS319" s="95">
        <f t="shared" si="308"/>
        <v>0</v>
      </c>
      <c r="AT319" s="95">
        <f>Geraetedaten!$B$94*ABS(SIN(RADIANS($A319)))</f>
        <v>152.50128258620182</v>
      </c>
      <c r="AU319" s="95">
        <f>Geraetedaten!$B$94*ABS(COS(RADIANS($A319)))</f>
        <v>21.432657547850081</v>
      </c>
      <c r="AV319" s="95">
        <f>((h_Aw_Sw+Geraetedaten!$B$18)/1000)*(AR319*AT319+AS319*AU319)/100</f>
        <v>0</v>
      </c>
      <c r="AX319" s="18">
        <f t="shared" si="274"/>
        <v>0.13917310096006547</v>
      </c>
    </row>
    <row r="320" spans="1:50" ht="13.5" x14ac:dyDescent="0.25">
      <c r="A320" s="16">
        <v>279</v>
      </c>
      <c r="B320" s="16">
        <f t="shared" si="282"/>
        <v>171</v>
      </c>
      <c r="C320" s="19">
        <f t="shared" si="283"/>
        <v>67.450435332019254</v>
      </c>
      <c r="D320" s="17">
        <f t="shared" si="279"/>
        <v>10639.396354667981</v>
      </c>
      <c r="E320" s="17">
        <f t="shared" si="284"/>
        <v>-74586.219015332026</v>
      </c>
      <c r="F320" s="17">
        <f t="shared" si="285"/>
        <v>-10659.32274533202</v>
      </c>
      <c r="G320" s="17">
        <f t="shared" si="286"/>
        <v>54353.20414466798</v>
      </c>
      <c r="H320" s="17">
        <f t="shared" si="280"/>
        <v>10639.396354667981</v>
      </c>
      <c r="I320" s="17">
        <f t="shared" si="287"/>
        <v>4278.2866801938153</v>
      </c>
      <c r="J320" s="20">
        <f>(Geraetedaten!$B$152+(Geraetedaten!$B$153*(Geraetedaten!$B$18+d_y_Sw)/1000))*10</f>
        <v>6051.0442000000003</v>
      </c>
      <c r="K320" s="20">
        <f>(Geraetedaten!$B$165+(Geraetedaten!$B$166*(Geraetedaten!$B$18+d_y_Sw)/1000))*10</f>
        <v>10816.164000000001</v>
      </c>
      <c r="L320" s="20">
        <f>(Geraetedaten!$B$158+(Geraetedaten!$B$159*(Geraetedaten!$B$18+d_y_Sw)/1000)-(Geraetedaten!$B$160*I320/1000))*10</f>
        <v>287.80983774138735</v>
      </c>
      <c r="M320" s="20">
        <f>(Geraetedaten!$B$171+(Geraetedaten!$B$172*(Geraetedaten!$B$18+d_y_Sw)/1000)-(Geraetedaten!$B$173*I320/1000))*10</f>
        <v>746.39133952637326</v>
      </c>
      <c r="N320" s="20">
        <f>IF((H320-J320)/(K320-J320)*(Geraetedaten!$B$174-Geraetedaten!$B$161)&lt;Geraetedaten!$B$174,(H320-J320)/(K320-J320)*(Geraetedaten!$B$174-Geraetedaten!$B$161),Geraetedaten!$B$174)</f>
        <v>385.16153609972031</v>
      </c>
      <c r="O320" s="20">
        <f>N320/Geraetedaten!$B$174*(M320-L320)+L320+C320</f>
        <v>796.83016220946115</v>
      </c>
      <c r="P320" s="20">
        <f t="shared" si="281"/>
        <v>223.27024626285376</v>
      </c>
      <c r="Q320" s="20"/>
      <c r="R320" s="21">
        <f>(N320-Geraetedaten!$B$161)/(Geraetedaten!$B$174-Geraetedaten!$B$161)*(Geraetedaten!$B$175-Geraetedaten!$B$162)+Geraetedaten!$B$162</f>
        <v>40.65855569896668</v>
      </c>
      <c r="S320" s="21">
        <f t="shared" si="288"/>
        <v>40.65855569896668</v>
      </c>
      <c r="T320" s="21">
        <f t="shared" si="289"/>
        <v>-40.157981409307382</v>
      </c>
      <c r="U320" s="88">
        <f t="shared" si="290"/>
        <v>6.3603994100762744</v>
      </c>
      <c r="V320" s="86">
        <f t="shared" si="291"/>
        <v>10706.84679</v>
      </c>
      <c r="W320" s="85">
        <f t="shared" si="292"/>
        <v>-4225.3239992296285</v>
      </c>
      <c r="X320" s="85">
        <f t="shared" si="293"/>
        <v>4278.2866801938153</v>
      </c>
      <c r="Y320" s="90">
        <f t="shared" si="294"/>
        <v>4225.3239992296285</v>
      </c>
      <c r="Z320" s="86">
        <f t="shared" si="295"/>
        <v>-74518.768580000004</v>
      </c>
      <c r="AA320" s="85">
        <f t="shared" si="296"/>
        <v>-913.46204712425447</v>
      </c>
      <c r="AB320" s="85">
        <f t="shared" si="297"/>
        <v>-7743.0781828991667</v>
      </c>
      <c r="AC320" s="90">
        <f t="shared" si="298"/>
        <v>913.46204712425447</v>
      </c>
      <c r="AD320" s="86">
        <f t="shared" si="299"/>
        <v>-10591.872310000001</v>
      </c>
      <c r="AE320" s="85">
        <f t="shared" si="300"/>
        <v>4140.4375383844126</v>
      </c>
      <c r="AF320" s="85">
        <f t="shared" si="301"/>
        <v>-4191.7785281000452</v>
      </c>
      <c r="AG320" s="90">
        <f t="shared" si="302"/>
        <v>4140.4375383844126</v>
      </c>
      <c r="AH320" s="86">
        <f t="shared" si="303"/>
        <v>54420.654580000002</v>
      </c>
      <c r="AI320" s="85">
        <f t="shared" si="304"/>
        <v>6238.0466047659793</v>
      </c>
      <c r="AJ320" s="85">
        <f t="shared" si="305"/>
        <v>36978.838974285914</v>
      </c>
      <c r="AK320" s="90">
        <f t="shared" si="306"/>
        <v>6238.0466047659793</v>
      </c>
      <c r="AM320" s="95">
        <f t="shared" si="275"/>
        <v>0</v>
      </c>
      <c r="AN320" s="95">
        <f t="shared" si="276"/>
        <v>0</v>
      </c>
      <c r="AO320" s="95">
        <f t="shared" si="277"/>
        <v>0</v>
      </c>
      <c r="AP320" s="95">
        <f t="shared" si="278"/>
        <v>0</v>
      </c>
      <c r="AQ320"/>
      <c r="AR320" s="95">
        <f t="shared" si="307"/>
        <v>0</v>
      </c>
      <c r="AS320" s="95">
        <f t="shared" si="308"/>
        <v>0</v>
      </c>
      <c r="AT320" s="95">
        <f>Geraetedaten!$B$94*ABS(SIN(RADIANS($A320)))</f>
        <v>152.10400445165121</v>
      </c>
      <c r="AU320" s="95">
        <f>Geraetedaten!$B$94*ABS(COS(RADIANS($A320)))</f>
        <v>24.090907616195523</v>
      </c>
      <c r="AV320" s="95">
        <f>((h_Aw_Sw+Geraetedaten!$B$18)/1000)*(AR320*AT320+AS320*AU320)/100</f>
        <v>0</v>
      </c>
      <c r="AX320" s="18">
        <f t="shared" si="274"/>
        <v>0.15643446504023067</v>
      </c>
    </row>
    <row r="321" spans="1:50" ht="13.5" x14ac:dyDescent="0.25">
      <c r="A321" s="16">
        <v>280</v>
      </c>
      <c r="B321" s="16">
        <f t="shared" si="282"/>
        <v>170</v>
      </c>
      <c r="C321" s="19">
        <f t="shared" si="283"/>
        <v>67.782875762078234</v>
      </c>
      <c r="D321" s="17">
        <f t="shared" si="279"/>
        <v>10670.465044237921</v>
      </c>
      <c r="E321" s="17">
        <f t="shared" si="284"/>
        <v>-65050.233435762078</v>
      </c>
      <c r="F321" s="17">
        <f t="shared" si="285"/>
        <v>-10690.55905576208</v>
      </c>
      <c r="G321" s="17">
        <f t="shared" si="286"/>
        <v>49323.726934237922</v>
      </c>
      <c r="H321" s="17">
        <f t="shared" si="280"/>
        <v>10670.465044237921</v>
      </c>
      <c r="I321" s="17">
        <f t="shared" si="287"/>
        <v>4290.834078719321</v>
      </c>
      <c r="J321" s="20">
        <f>(Geraetedaten!$B$152+(Geraetedaten!$B$153*(Geraetedaten!$B$18+d_y_Sw)/1000))*10</f>
        <v>6051.0442000000003</v>
      </c>
      <c r="K321" s="20">
        <f>(Geraetedaten!$B$165+(Geraetedaten!$B$166*(Geraetedaten!$B$18+d_y_Sw)/1000))*10</f>
        <v>10816.164000000001</v>
      </c>
      <c r="L321" s="20">
        <f>(Geraetedaten!$B$158+(Geraetedaten!$B$159*(Geraetedaten!$B$18+d_y_Sw)/1000)-(Geraetedaten!$B$160*I321/1000))*10</f>
        <v>286.889737007512</v>
      </c>
      <c r="M321" s="20">
        <f>(Geraetedaten!$B$171+(Geraetedaten!$B$172*(Geraetedaten!$B$18+d_y_Sw)/1000)-(Geraetedaten!$B$173*I321/1000))*10</f>
        <v>745.45731118013464</v>
      </c>
      <c r="N321" s="20">
        <f>IF((H321-J321)/(K321-J321)*(Geraetedaten!$B$174-Geraetedaten!$B$161)&lt;Geraetedaten!$B$174,(H321-J321)/(K321-J321)*(Geraetedaten!$B$174-Geraetedaten!$B$161),Geraetedaten!$B$174)</f>
        <v>387.76954520538351</v>
      </c>
      <c r="O321" s="20">
        <f>N321/Geraetedaten!$B$174*(M321-L321)+L321+C321</f>
        <v>799.21896197672481</v>
      </c>
      <c r="P321" s="20">
        <f t="shared" si="281"/>
        <v>223.53993716836027</v>
      </c>
      <c r="Q321" s="20"/>
      <c r="R321" s="21">
        <f>(N321-Geraetedaten!$B$161)/(Geraetedaten!$B$174-Geraetedaten!$B$161)*(Geraetedaten!$B$175-Geraetedaten!$B$162)+Geraetedaten!$B$162</f>
        <v>40.736143969860159</v>
      </c>
      <c r="S321" s="21">
        <f t="shared" si="288"/>
        <v>40.736143969860159</v>
      </c>
      <c r="T321" s="21">
        <f t="shared" si="289"/>
        <v>-40.117270409339795</v>
      </c>
      <c r="U321" s="88">
        <f t="shared" si="290"/>
        <v>7.0737571655439151</v>
      </c>
      <c r="V321" s="86">
        <f t="shared" si="291"/>
        <v>10738.24792</v>
      </c>
      <c r="W321" s="85">
        <f t="shared" si="292"/>
        <v>-4225.3239992296285</v>
      </c>
      <c r="X321" s="85">
        <f t="shared" si="293"/>
        <v>4290.834078719321</v>
      </c>
      <c r="Y321" s="90">
        <f t="shared" si="294"/>
        <v>4225.3239992296285</v>
      </c>
      <c r="Z321" s="86">
        <f t="shared" si="295"/>
        <v>-64982.450559999997</v>
      </c>
      <c r="AA321" s="85">
        <f t="shared" si="296"/>
        <v>-913.46204712425447</v>
      </c>
      <c r="AB321" s="85">
        <f t="shared" si="297"/>
        <v>-6752.1807564199089</v>
      </c>
      <c r="AC321" s="90">
        <f t="shared" si="298"/>
        <v>913.46204712425447</v>
      </c>
      <c r="AD321" s="86">
        <f t="shared" si="299"/>
        <v>-10622.776180000001</v>
      </c>
      <c r="AE321" s="85">
        <f t="shared" si="300"/>
        <v>4140.4375383844126</v>
      </c>
      <c r="AF321" s="85">
        <f t="shared" si="301"/>
        <v>-4204.0088629903221</v>
      </c>
      <c r="AG321" s="90">
        <f t="shared" si="302"/>
        <v>4140.4375383844126</v>
      </c>
      <c r="AH321" s="86">
        <f t="shared" si="303"/>
        <v>49391.509810000003</v>
      </c>
      <c r="AI321" s="85">
        <f t="shared" si="304"/>
        <v>6238.0466047659793</v>
      </c>
      <c r="AJ321" s="85">
        <f t="shared" si="305"/>
        <v>33561.5347167</v>
      </c>
      <c r="AK321" s="90">
        <f t="shared" si="306"/>
        <v>6238.0466047659793</v>
      </c>
      <c r="AM321" s="95">
        <f t="shared" si="275"/>
        <v>0</v>
      </c>
      <c r="AN321" s="95">
        <f t="shared" si="276"/>
        <v>0</v>
      </c>
      <c r="AO321" s="95">
        <f t="shared" si="277"/>
        <v>0</v>
      </c>
      <c r="AP321" s="95">
        <f t="shared" si="278"/>
        <v>0</v>
      </c>
      <c r="AQ321"/>
      <c r="AR321" s="95">
        <f t="shared" si="307"/>
        <v>0</v>
      </c>
      <c r="AS321" s="95">
        <f t="shared" si="308"/>
        <v>0</v>
      </c>
      <c r="AT321" s="95">
        <f>Geraetedaten!$B$94*ABS(SIN(RADIANS($A321)))</f>
        <v>151.66039396388004</v>
      </c>
      <c r="AU321" s="95">
        <f>Geraetedaten!$B$94*ABS(COS(RADIANS($A321)))</f>
        <v>26.741819360707215</v>
      </c>
      <c r="AV321" s="95">
        <f>((h_Aw_Sw+Geraetedaten!$B$18)/1000)*(AR321*AT321+AS321*AU321)/100</f>
        <v>0</v>
      </c>
      <c r="AX321" s="18">
        <f t="shared" si="274"/>
        <v>0.17364817766692997</v>
      </c>
    </row>
    <row r="322" spans="1:50" ht="13.5" x14ac:dyDescent="0.25">
      <c r="A322" s="16">
        <v>281</v>
      </c>
      <c r="B322" s="16">
        <f t="shared" si="282"/>
        <v>169</v>
      </c>
      <c r="C322" s="19">
        <f t="shared" si="283"/>
        <v>68.094668871552628</v>
      </c>
      <c r="D322" s="17">
        <f t="shared" si="279"/>
        <v>10705.030371128449</v>
      </c>
      <c r="E322" s="17">
        <f t="shared" si="284"/>
        <v>-57693.640498871559</v>
      </c>
      <c r="F322" s="17">
        <f t="shared" si="285"/>
        <v>-10725.211328871552</v>
      </c>
      <c r="G322" s="17">
        <f t="shared" si="286"/>
        <v>45157.760351128447</v>
      </c>
      <c r="H322" s="17">
        <f t="shared" si="280"/>
        <v>10705.030371128449</v>
      </c>
      <c r="I322" s="17">
        <f t="shared" si="287"/>
        <v>4304.7704237839453</v>
      </c>
      <c r="J322" s="20">
        <f>(Geraetedaten!$B$152+(Geraetedaten!$B$153*(Geraetedaten!$B$18+d_y_Sw)/1000))*10</f>
        <v>6051.0442000000003</v>
      </c>
      <c r="K322" s="20">
        <f>(Geraetedaten!$B$165+(Geraetedaten!$B$166*(Geraetedaten!$B$18+d_y_Sw)/1000))*10</f>
        <v>10816.164000000001</v>
      </c>
      <c r="L322" s="20">
        <f>(Geraetedaten!$B$158+(Geraetedaten!$B$159*(Geraetedaten!$B$18+d_y_Sw)/1000)-(Geraetedaten!$B$160*I322/1000))*10</f>
        <v>285.8677848239231</v>
      </c>
      <c r="M322" s="20">
        <f>(Geraetedaten!$B$171+(Geraetedaten!$B$172*(Geraetedaten!$B$18+d_y_Sw)/1000)-(Geraetedaten!$B$173*I322/1000))*10</f>
        <v>744.41988965352402</v>
      </c>
      <c r="N322" s="20">
        <f>IF((H322-J322)/(K322-J322)*(Geraetedaten!$B$174-Geraetedaten!$B$161)&lt;Geraetedaten!$B$174,(H322-J322)/(K322-J322)*(Geraetedaten!$B$174-Geraetedaten!$B$161),Geraetedaten!$B$174)</f>
        <v>390.67107367403003</v>
      </c>
      <c r="O322" s="20">
        <f>N322/Geraetedaten!$B$174*(M322-L322)+L322+C322</f>
        <v>801.82006151864209</v>
      </c>
      <c r="P322" s="20">
        <f t="shared" si="281"/>
        <v>223.8229241769875</v>
      </c>
      <c r="Q322" s="20"/>
      <c r="R322" s="21">
        <f>(N322-Geraetedaten!$B$161)/(Geraetedaten!$B$174-Geraetedaten!$B$161)*(Geraetedaten!$B$175-Geraetedaten!$B$162)+Geraetedaten!$B$162</f>
        <v>40.822464441802396</v>
      </c>
      <c r="S322" s="21">
        <f t="shared" si="288"/>
        <v>40.822464441802396</v>
      </c>
      <c r="T322" s="21">
        <f t="shared" si="289"/>
        <v>-40.072440791398897</v>
      </c>
      <c r="U322" s="88">
        <f t="shared" si="290"/>
        <v>7.7892934289350508</v>
      </c>
      <c r="V322" s="86">
        <f t="shared" si="291"/>
        <v>10773.125040000001</v>
      </c>
      <c r="W322" s="85">
        <f t="shared" si="292"/>
        <v>-4225.3239992296285</v>
      </c>
      <c r="X322" s="85">
        <f t="shared" si="293"/>
        <v>4304.7704237839453</v>
      </c>
      <c r="Y322" s="90">
        <f t="shared" si="294"/>
        <v>4225.3239992296285</v>
      </c>
      <c r="Z322" s="86">
        <f t="shared" si="295"/>
        <v>-57625.545830000003</v>
      </c>
      <c r="AA322" s="85">
        <f t="shared" si="296"/>
        <v>-913.46204712425447</v>
      </c>
      <c r="AB322" s="85">
        <f t="shared" si="297"/>
        <v>-5987.7412792392797</v>
      </c>
      <c r="AC322" s="90">
        <f t="shared" si="298"/>
        <v>913.46204712425447</v>
      </c>
      <c r="AD322" s="86">
        <f t="shared" si="299"/>
        <v>-10657.11666</v>
      </c>
      <c r="AE322" s="85">
        <f t="shared" si="300"/>
        <v>4140.4375383844126</v>
      </c>
      <c r="AF322" s="85">
        <f t="shared" si="301"/>
        <v>-4217.5992565034985</v>
      </c>
      <c r="AG322" s="90">
        <f t="shared" si="302"/>
        <v>4140.4375383844126</v>
      </c>
      <c r="AH322" s="86">
        <f t="shared" si="303"/>
        <v>45225.855020000003</v>
      </c>
      <c r="AI322" s="85">
        <f t="shared" si="304"/>
        <v>6238.0466047659793</v>
      </c>
      <c r="AJ322" s="85">
        <f t="shared" si="305"/>
        <v>30730.971964843786</v>
      </c>
      <c r="AK322" s="90">
        <f t="shared" si="306"/>
        <v>6238.0466047659793</v>
      </c>
      <c r="AM322" s="95">
        <f t="shared" si="275"/>
        <v>0</v>
      </c>
      <c r="AN322" s="95">
        <f t="shared" si="276"/>
        <v>0</v>
      </c>
      <c r="AO322" s="95">
        <f t="shared" si="277"/>
        <v>0</v>
      </c>
      <c r="AP322" s="95">
        <f t="shared" si="278"/>
        <v>0</v>
      </c>
      <c r="AQ322"/>
      <c r="AR322" s="95">
        <f t="shared" si="307"/>
        <v>0</v>
      </c>
      <c r="AS322" s="95">
        <f t="shared" si="308"/>
        <v>0</v>
      </c>
      <c r="AT322" s="95">
        <f>Geraetedaten!$B$94*ABS(SIN(RADIANS($A322)))</f>
        <v>151.17058625094023</v>
      </c>
      <c r="AU322" s="95">
        <f>Geraetedaten!$B$94*ABS(COS(RADIANS($A322)))</f>
        <v>29.384585287987946</v>
      </c>
      <c r="AV322" s="95">
        <f>((h_Aw_Sw+Geraetedaten!$B$18)/1000)*(AR322*AT322+AS322*AU322)/100</f>
        <v>0</v>
      </c>
      <c r="AX322" s="18">
        <f t="shared" si="274"/>
        <v>0.19080899537654511</v>
      </c>
    </row>
    <row r="323" spans="1:50" ht="13.5" x14ac:dyDescent="0.25">
      <c r="A323" s="16">
        <v>282</v>
      </c>
      <c r="B323" s="16">
        <f t="shared" si="282"/>
        <v>168</v>
      </c>
      <c r="C323" s="19">
        <f t="shared" si="283"/>
        <v>68.385719685240858</v>
      </c>
      <c r="D323" s="17">
        <f t="shared" si="279"/>
        <v>10743.147770314759</v>
      </c>
      <c r="E323" s="17">
        <f t="shared" si="284"/>
        <v>-51847.58806968524</v>
      </c>
      <c r="F323" s="17">
        <f t="shared" si="285"/>
        <v>-10763.33396968524</v>
      </c>
      <c r="G323" s="17">
        <f t="shared" si="286"/>
        <v>41651.540270314763</v>
      </c>
      <c r="H323" s="17">
        <f t="shared" si="280"/>
        <v>10743.147770314759</v>
      </c>
      <c r="I323" s="17">
        <f t="shared" si="287"/>
        <v>4320.1178302762719</v>
      </c>
      <c r="J323" s="20">
        <f>(Geraetedaten!$B$152+(Geraetedaten!$B$153*(Geraetedaten!$B$18+d_y_Sw)/1000))*10</f>
        <v>6051.0442000000003</v>
      </c>
      <c r="K323" s="20">
        <f>(Geraetedaten!$B$165+(Geraetedaten!$B$166*(Geraetedaten!$B$18+d_y_Sw)/1000))*10</f>
        <v>10816.164000000001</v>
      </c>
      <c r="L323" s="20">
        <f>(Geraetedaten!$B$158+(Geraetedaten!$B$159*(Geraetedaten!$B$18+d_y_Sw)/1000)-(Geraetedaten!$B$160*I323/1000))*10</f>
        <v>284.7423595058408</v>
      </c>
      <c r="M323" s="20">
        <f>(Geraetedaten!$B$171+(Geraetedaten!$B$172*(Geraetedaten!$B$18+d_y_Sw)/1000)-(Geraetedaten!$B$173*I323/1000))*10</f>
        <v>743.27742871423527</v>
      </c>
      <c r="N323" s="20">
        <f>IF((H323-J323)/(K323-J323)*(Geraetedaten!$B$174-Geraetedaten!$B$161)&lt;Geraetedaten!$B$174,(H323-J323)/(K323-J323)*(Geraetedaten!$B$174-Geraetedaten!$B$161),Geraetedaten!$B$174)</f>
        <v>393.8707749017986</v>
      </c>
      <c r="O323" s="20">
        <f>N323/Geraetedaten!$B$174*(M323-L323)+L323+C323</f>
        <v>804.63698676298202</v>
      </c>
      <c r="P323" s="20">
        <f t="shared" si="281"/>
        <v>224.11922779280121</v>
      </c>
      <c r="Q323" s="20"/>
      <c r="R323" s="21">
        <f>(N323-Geraetedaten!$B$161)/(Geraetedaten!$B$174-Geraetedaten!$B$161)*(Geraetedaten!$B$175-Geraetedaten!$B$162)+Geraetedaten!$B$162</f>
        <v>40.917655553328508</v>
      </c>
      <c r="S323" s="21">
        <f t="shared" si="288"/>
        <v>40.917655553328508</v>
      </c>
      <c r="T323" s="21">
        <f t="shared" si="289"/>
        <v>-40.023506607140554</v>
      </c>
      <c r="U323" s="88">
        <f t="shared" si="290"/>
        <v>8.507258950391213</v>
      </c>
      <c r="V323" s="86">
        <f t="shared" si="291"/>
        <v>10811.53349</v>
      </c>
      <c r="W323" s="85">
        <f t="shared" si="292"/>
        <v>-4225.3239992296285</v>
      </c>
      <c r="X323" s="85">
        <f t="shared" si="293"/>
        <v>4320.1178302762719</v>
      </c>
      <c r="Y323" s="90">
        <f t="shared" si="294"/>
        <v>4225.3239992296285</v>
      </c>
      <c r="Z323" s="86">
        <f t="shared" si="295"/>
        <v>-51779.20235</v>
      </c>
      <c r="AA323" s="85">
        <f t="shared" si="296"/>
        <v>-913.46204712425447</v>
      </c>
      <c r="AB323" s="85">
        <f t="shared" si="297"/>
        <v>-5380.2608345723611</v>
      </c>
      <c r="AC323" s="90">
        <f t="shared" si="298"/>
        <v>913.46204712425447</v>
      </c>
      <c r="AD323" s="86">
        <f t="shared" si="299"/>
        <v>-10694.948249999999</v>
      </c>
      <c r="AE323" s="85">
        <f t="shared" si="300"/>
        <v>4140.4375383844126</v>
      </c>
      <c r="AF323" s="85">
        <f t="shared" si="301"/>
        <v>-4232.5712665473466</v>
      </c>
      <c r="AG323" s="90">
        <f t="shared" si="302"/>
        <v>4140.4375383844126</v>
      </c>
      <c r="AH323" s="86">
        <f t="shared" si="303"/>
        <v>41719.925990000003</v>
      </c>
      <c r="AI323" s="85">
        <f t="shared" si="304"/>
        <v>6238.0466047659793</v>
      </c>
      <c r="AJ323" s="85">
        <f t="shared" si="305"/>
        <v>28348.692922537761</v>
      </c>
      <c r="AK323" s="90">
        <f t="shared" si="306"/>
        <v>6238.0466047659793</v>
      </c>
      <c r="AM323" s="95">
        <f t="shared" si="275"/>
        <v>0</v>
      </c>
      <c r="AN323" s="95">
        <f t="shared" si="276"/>
        <v>0</v>
      </c>
      <c r="AO323" s="95">
        <f t="shared" si="277"/>
        <v>0</v>
      </c>
      <c r="AP323" s="95">
        <f t="shared" si="278"/>
        <v>0</v>
      </c>
      <c r="AQ323"/>
      <c r="AR323" s="95">
        <f t="shared" si="307"/>
        <v>0</v>
      </c>
      <c r="AS323" s="95">
        <f t="shared" si="308"/>
        <v>0</v>
      </c>
      <c r="AT323" s="95">
        <f>Geraetedaten!$B$94*ABS(SIN(RADIANS($A323)))</f>
        <v>150.63473051300605</v>
      </c>
      <c r="AU323" s="95">
        <f>Geraetedaten!$B$94*ABS(COS(RADIANS($A323)))</f>
        <v>32.018400385934953</v>
      </c>
      <c r="AV323" s="95">
        <f>((h_Aw_Sw+Geraetedaten!$B$18)/1000)*(AR323*AT323+AS323*AU323)/100</f>
        <v>0</v>
      </c>
      <c r="AX323" s="18">
        <f t="shared" si="274"/>
        <v>0.20791169081775943</v>
      </c>
    </row>
    <row r="324" spans="1:50" ht="13.5" x14ac:dyDescent="0.25">
      <c r="A324" s="16">
        <v>283</v>
      </c>
      <c r="B324" s="16">
        <f t="shared" si="282"/>
        <v>167</v>
      </c>
      <c r="C324" s="19">
        <f t="shared" si="283"/>
        <v>68.655939546245634</v>
      </c>
      <c r="D324" s="17">
        <f t="shared" si="279"/>
        <v>10784.878760453754</v>
      </c>
      <c r="E324" s="17">
        <f t="shared" si="284"/>
        <v>-47091.522859546247</v>
      </c>
      <c r="F324" s="17">
        <f t="shared" si="285"/>
        <v>-10804.987359546247</v>
      </c>
      <c r="G324" s="17">
        <f t="shared" si="286"/>
        <v>38660.746370453751</v>
      </c>
      <c r="H324" s="17">
        <f>SMALL(D324:G324,COUNTIF(D324:G324,"&lt;0")+1)</f>
        <v>10784.878760453754</v>
      </c>
      <c r="I324" s="17">
        <f t="shared" si="287"/>
        <v>4336.9008504682915</v>
      </c>
      <c r="J324" s="20">
        <f>(Geraetedaten!$B$152+(Geraetedaten!$B$153*(Geraetedaten!$B$18+d_y_Sw)/1000))*10</f>
        <v>6051.0442000000003</v>
      </c>
      <c r="K324" s="20">
        <f>(Geraetedaten!$B$165+(Geraetedaten!$B$166*(Geraetedaten!$B$18+d_y_Sw)/1000))*10</f>
        <v>10816.164000000001</v>
      </c>
      <c r="L324" s="20">
        <f>(Geraetedaten!$B$158+(Geraetedaten!$B$159*(Geraetedaten!$B$18+d_y_Sw)/1000)-(Geraetedaten!$B$160*I324/1000))*10</f>
        <v>283.51166063516001</v>
      </c>
      <c r="M324" s="20">
        <f>(Geraetedaten!$B$171+(Geraetedaten!$B$172*(Geraetedaten!$B$18+d_y_Sw)/1000)-(Geraetedaten!$B$173*I324/1000))*10</f>
        <v>742.02810069114116</v>
      </c>
      <c r="N324" s="20">
        <f>IF((H324-J324)/(K324-J324)*(Geraetedaten!$B$174-Geraetedaten!$B$161)&lt;Geraetedaten!$B$174,(H324-J324)/(K324-J324)*(Geraetedaten!$B$174-Geraetedaten!$B$161),Geraetedaten!$B$174)</f>
        <v>397.37381296929851</v>
      </c>
      <c r="O324" s="20">
        <f>N324/Geraetedaten!$B$174*(M324-L324)+L324+C324</f>
        <v>807.67366541679075</v>
      </c>
      <c r="P324" s="20">
        <f t="shared" si="281"/>
        <v>224.42888203701338</v>
      </c>
      <c r="Q324" s="20"/>
      <c r="R324" s="21">
        <f>(N324-Geraetedaten!$B$161)/(Geraetedaten!$B$174-Geraetedaten!$B$161)*(Geraetedaten!$B$175-Geraetedaten!$B$162)+Geraetedaten!$B$162</f>
        <v>41.021870935836631</v>
      </c>
      <c r="S324" s="21">
        <f t="shared" si="288"/>
        <v>41.021870935836631</v>
      </c>
      <c r="T324" s="21">
        <f t="shared" si="289"/>
        <v>-39.970483041362698</v>
      </c>
      <c r="U324" s="88">
        <f t="shared" si="290"/>
        <v>9.2279131181743992</v>
      </c>
      <c r="V324" s="86">
        <f t="shared" si="291"/>
        <v>10853.5347</v>
      </c>
      <c r="W324" s="85">
        <f t="shared" si="292"/>
        <v>-4225.3239992296285</v>
      </c>
      <c r="X324" s="85">
        <f t="shared" si="293"/>
        <v>4336.9008504682915</v>
      </c>
      <c r="Y324" s="90">
        <f t="shared" si="294"/>
        <v>4225.3239992296285</v>
      </c>
      <c r="Z324" s="86">
        <f t="shared" si="295"/>
        <v>-47022.86692</v>
      </c>
      <c r="AA324" s="85">
        <f t="shared" si="296"/>
        <v>-913.46204712425447</v>
      </c>
      <c r="AB324" s="85">
        <f t="shared" si="297"/>
        <v>-4886.0406834080095</v>
      </c>
      <c r="AC324" s="90">
        <f t="shared" si="298"/>
        <v>913.46204712425447</v>
      </c>
      <c r="AD324" s="86">
        <f t="shared" si="299"/>
        <v>-10736.33142</v>
      </c>
      <c r="AE324" s="85">
        <f t="shared" si="300"/>
        <v>4140.4375383844126</v>
      </c>
      <c r="AF324" s="85">
        <f t="shared" si="301"/>
        <v>-4248.9488350972824</v>
      </c>
      <c r="AG324" s="90">
        <f t="shared" si="302"/>
        <v>4140.4375383844126</v>
      </c>
      <c r="AH324" s="86">
        <f t="shared" si="303"/>
        <v>38729.402309999998</v>
      </c>
      <c r="AI324" s="85">
        <f t="shared" si="304"/>
        <v>6238.0466047659793</v>
      </c>
      <c r="AJ324" s="85">
        <f t="shared" si="305"/>
        <v>26316.631851566439</v>
      </c>
      <c r="AK324" s="90">
        <f t="shared" si="306"/>
        <v>6238.0466047659793</v>
      </c>
      <c r="AM324" s="95">
        <f t="shared" si="275"/>
        <v>0</v>
      </c>
      <c r="AN324" s="95">
        <f t="shared" si="276"/>
        <v>0</v>
      </c>
      <c r="AO324" s="95">
        <f t="shared" si="277"/>
        <v>0</v>
      </c>
      <c r="AP324" s="95">
        <f t="shared" si="278"/>
        <v>0</v>
      </c>
      <c r="AQ324"/>
      <c r="AR324" s="95">
        <f t="shared" si="307"/>
        <v>0</v>
      </c>
      <c r="AS324" s="95">
        <f t="shared" si="308"/>
        <v>0</v>
      </c>
      <c r="AT324" s="95">
        <f>Geraetedaten!$B$94*ABS(SIN(RADIANS($A324)))</f>
        <v>150.05298997692623</v>
      </c>
      <c r="AU324" s="95">
        <f>Geraetedaten!$B$94*ABS(COS(RADIANS($A324)))</f>
        <v>34.642462368955201</v>
      </c>
      <c r="AV324" s="95">
        <f>((h_Aw_Sw+Geraetedaten!$B$18)/1000)*(AR324*AT324+AS324*AU324)/100</f>
        <v>0</v>
      </c>
      <c r="AX324" s="18">
        <f t="shared" si="274"/>
        <v>0.22495105434386492</v>
      </c>
    </row>
    <row r="325" spans="1:50" ht="13.5" x14ac:dyDescent="0.25">
      <c r="A325" s="16">
        <v>284</v>
      </c>
      <c r="B325" s="16">
        <f t="shared" si="282"/>
        <v>166</v>
      </c>
      <c r="C325" s="19">
        <f t="shared" si="283"/>
        <v>68.905246142979607</v>
      </c>
      <c r="D325" s="17">
        <f t="shared" si="279"/>
        <v>10830.291223857021</v>
      </c>
      <c r="E325" s="17">
        <f t="shared" si="284"/>
        <v>-43147.756106142981</v>
      </c>
      <c r="F325" s="17">
        <f t="shared" si="285"/>
        <v>-10850.23820614298</v>
      </c>
      <c r="G325" s="17">
        <f t="shared" si="286"/>
        <v>36080.299353857015</v>
      </c>
      <c r="H325" s="17">
        <f t="shared" ref="H325:H358" si="309">SMALL(D325:G325,COUNTIF(D325:G325,"&lt;0")+1)</f>
        <v>10830.291223857021</v>
      </c>
      <c r="I325" s="17">
        <f t="shared" si="287"/>
        <v>4355.1465719872704</v>
      </c>
      <c r="J325" s="20">
        <f>(Geraetedaten!$B$152+(Geraetedaten!$B$153*(Geraetedaten!$B$18+d_y_Sw)/1000))*10</f>
        <v>6051.0442000000003</v>
      </c>
      <c r="K325" s="20">
        <f>(Geraetedaten!$B$165+(Geraetedaten!$B$166*(Geraetedaten!$B$18+d_y_Sw)/1000))*10</f>
        <v>10816.164000000001</v>
      </c>
      <c r="L325" s="20">
        <f>(Geraetedaten!$B$158+(Geraetedaten!$B$159*(Geraetedaten!$B$18+d_y_Sw)/1000)-(Geraetedaten!$B$160*I325/1000))*10</f>
        <v>282.17370187617325</v>
      </c>
      <c r="M325" s="20">
        <f>(Geraetedaten!$B$171+(Geraetedaten!$B$172*(Geraetedaten!$B$18+d_y_Sw)/1000)-(Geraetedaten!$B$173*I325/1000))*10</f>
        <v>740.66988918126845</v>
      </c>
      <c r="N325" s="20">
        <f>IF((H325-J325)/(K325-J325)*(Geraetedaten!$B$174-Geraetedaten!$B$161)&lt;Geraetedaten!$B$174,(H325-J325)/(K325-J325)*(Geraetedaten!$B$174-Geraetedaten!$B$161),Geraetedaten!$B$174)</f>
        <v>400</v>
      </c>
      <c r="O325" s="20">
        <f>N325/Geraetedaten!$B$174*(M325-L325)+L325+C325</f>
        <v>809.57513532424809</v>
      </c>
      <c r="P325" s="20">
        <f t="shared" si="281"/>
        <v>224.59063051100065</v>
      </c>
      <c r="Q325" s="20"/>
      <c r="R325" s="21">
        <f>(N325-Geraetedaten!$B$161)/(Geraetedaten!$B$174-Geraetedaten!$B$161)*(Geraetedaten!$B$175-Geraetedaten!$B$162)+Geraetedaten!$B$162</f>
        <v>41.1</v>
      </c>
      <c r="S325" s="21">
        <f t="shared" si="288"/>
        <v>41.1</v>
      </c>
      <c r="T325" s="21">
        <f t="shared" si="289"/>
        <v>-39.879154349943462</v>
      </c>
      <c r="U325" s="88">
        <f t="shared" si="290"/>
        <v>9.9429899091463323</v>
      </c>
      <c r="V325" s="86">
        <f t="shared" si="291"/>
        <v>10899.196470000001</v>
      </c>
      <c r="W325" s="85">
        <f t="shared" si="292"/>
        <v>-4225.3239992296285</v>
      </c>
      <c r="X325" s="85">
        <f t="shared" si="293"/>
        <v>4355.1465719872704</v>
      </c>
      <c r="Y325" s="90">
        <f t="shared" si="294"/>
        <v>4225.3239992296285</v>
      </c>
      <c r="Z325" s="86">
        <f t="shared" si="295"/>
        <v>-43078.850859999999</v>
      </c>
      <c r="AA325" s="85">
        <f t="shared" si="296"/>
        <v>-913.46204712425447</v>
      </c>
      <c r="AB325" s="85">
        <f t="shared" si="297"/>
        <v>-4476.2268165635651</v>
      </c>
      <c r="AC325" s="90">
        <f t="shared" si="298"/>
        <v>913.46204712425447</v>
      </c>
      <c r="AD325" s="86">
        <f t="shared" si="299"/>
        <v>-10781.33296</v>
      </c>
      <c r="AE325" s="85">
        <f t="shared" si="300"/>
        <v>4140.4375383844126</v>
      </c>
      <c r="AF325" s="85">
        <f t="shared" si="301"/>
        <v>-4266.7583836776757</v>
      </c>
      <c r="AG325" s="90">
        <f t="shared" si="302"/>
        <v>4140.4375383844126</v>
      </c>
      <c r="AH325" s="86">
        <f t="shared" si="303"/>
        <v>36149.204599999997</v>
      </c>
      <c r="AI325" s="85">
        <f t="shared" si="304"/>
        <v>6238.0466047659793</v>
      </c>
      <c r="AJ325" s="85">
        <f t="shared" si="305"/>
        <v>24563.387306364551</v>
      </c>
      <c r="AK325" s="90">
        <f t="shared" si="306"/>
        <v>6238.0466047659793</v>
      </c>
      <c r="AM325" s="95">
        <f t="shared" si="275"/>
        <v>0</v>
      </c>
      <c r="AN325" s="95">
        <f t="shared" si="276"/>
        <v>0</v>
      </c>
      <c r="AO325" s="95">
        <f t="shared" si="277"/>
        <v>0</v>
      </c>
      <c r="AP325" s="95">
        <f t="shared" si="278"/>
        <v>0</v>
      </c>
      <c r="AQ325"/>
      <c r="AR325" s="95">
        <f t="shared" si="307"/>
        <v>0</v>
      </c>
      <c r="AS325" s="95">
        <f t="shared" si="308"/>
        <v>0</v>
      </c>
      <c r="AT325" s="95">
        <f>Geraetedaten!$B$94*ABS(SIN(RADIANS($A325)))</f>
        <v>149.42554184650348</v>
      </c>
      <c r="AU325" s="95">
        <f>Geraetedaten!$B$94*ABS(COS(RADIANS($A325)))</f>
        <v>37.255971922348785</v>
      </c>
      <c r="AV325" s="95">
        <f>((h_Aw_Sw+Geraetedaten!$B$18)/1000)*(AR325*AT325+AS325*AU325)/100</f>
        <v>0</v>
      </c>
      <c r="AX325" s="18">
        <f t="shared" si="274"/>
        <v>0.24192189559966745</v>
      </c>
    </row>
    <row r="326" spans="1:50" ht="13.5" x14ac:dyDescent="0.25">
      <c r="A326" s="16">
        <v>285</v>
      </c>
      <c r="B326" s="16">
        <f t="shared" si="282"/>
        <v>165</v>
      </c>
      <c r="C326" s="19">
        <f t="shared" si="283"/>
        <v>69.133563534238306</v>
      </c>
      <c r="D326" s="17">
        <f t="shared" si="279"/>
        <v>10879.459646465762</v>
      </c>
      <c r="E326" s="17">
        <f t="shared" si="284"/>
        <v>-39825.548093534242</v>
      </c>
      <c r="F326" s="17">
        <f t="shared" si="285"/>
        <v>-10899.159713534238</v>
      </c>
      <c r="G326" s="17">
        <f t="shared" si="286"/>
        <v>33831.87320646576</v>
      </c>
      <c r="H326" s="17">
        <f t="shared" si="309"/>
        <v>10879.459646465762</v>
      </c>
      <c r="I326" s="17">
        <f t="shared" si="287"/>
        <v>4374.8847272693474</v>
      </c>
      <c r="J326" s="20">
        <f>(Geraetedaten!$B$152+(Geraetedaten!$B$153*(Geraetedaten!$B$18+d_y_Sw)/1000))*10</f>
        <v>6051.0442000000003</v>
      </c>
      <c r="K326" s="20">
        <f>(Geraetedaten!$B$165+(Geraetedaten!$B$166*(Geraetedaten!$B$18+d_y_Sw)/1000))*10</f>
        <v>10816.164000000001</v>
      </c>
      <c r="L326" s="20">
        <f>(Geraetedaten!$B$158+(Geraetedaten!$B$159*(Geraetedaten!$B$18+d_y_Sw)/1000)-(Geraetedaten!$B$160*I326/1000))*10</f>
        <v>280.72630294933856</v>
      </c>
      <c r="M326" s="20">
        <f>(Geraetedaten!$B$171+(Geraetedaten!$B$172*(Geraetedaten!$B$18+d_y_Sw)/1000)-(Geraetedaten!$B$173*I326/1000))*10</f>
        <v>739.20058090207067</v>
      </c>
      <c r="N326" s="20">
        <f>IF((H326-J326)/(K326-J326)*(Geraetedaten!$B$174-Geraetedaten!$B$161)&lt;Geraetedaten!$B$174,(H326-J326)/(K326-J326)*(Geraetedaten!$B$174-Geraetedaten!$B$161),Geraetedaten!$B$174)</f>
        <v>400</v>
      </c>
      <c r="O326" s="20">
        <f>N326/Geraetedaten!$B$174*(M326-L326)+L326+C326</f>
        <v>808.33414443630897</v>
      </c>
      <c r="P326" s="20">
        <f t="shared" si="281"/>
        <v>224.36688011314848</v>
      </c>
      <c r="Q326" s="20"/>
      <c r="R326" s="21">
        <f>(N326-Geraetedaten!$B$161)/(Geraetedaten!$B$174-Geraetedaten!$B$161)*(Geraetedaten!$B$175-Geraetedaten!$B$162)+Geraetedaten!$B$162</f>
        <v>41.1</v>
      </c>
      <c r="S326" s="21">
        <f t="shared" si="288"/>
        <v>41.1</v>
      </c>
      <c r="T326" s="21">
        <f t="shared" si="289"/>
        <v>-39.699551460480713</v>
      </c>
      <c r="U326" s="88">
        <f t="shared" si="290"/>
        <v>10.637462753713585</v>
      </c>
      <c r="V326" s="86">
        <f t="shared" si="291"/>
        <v>10948.593210000001</v>
      </c>
      <c r="W326" s="85">
        <f t="shared" si="292"/>
        <v>-4225.3239992296285</v>
      </c>
      <c r="X326" s="85">
        <f t="shared" si="293"/>
        <v>4374.8847272693474</v>
      </c>
      <c r="Y326" s="90">
        <f t="shared" si="294"/>
        <v>4225.3239992296285</v>
      </c>
      <c r="Z326" s="86">
        <f t="shared" si="295"/>
        <v>-39756.414530000002</v>
      </c>
      <c r="AA326" s="85">
        <f t="shared" si="296"/>
        <v>-913.46204712425447</v>
      </c>
      <c r="AB326" s="85">
        <f t="shared" si="297"/>
        <v>-4130.9999055644021</v>
      </c>
      <c r="AC326" s="90">
        <f t="shared" si="298"/>
        <v>913.46204712425447</v>
      </c>
      <c r="AD326" s="86">
        <f t="shared" si="299"/>
        <v>-10830.02615</v>
      </c>
      <c r="AE326" s="85">
        <f t="shared" si="300"/>
        <v>4140.4375383844126</v>
      </c>
      <c r="AF326" s="85">
        <f t="shared" si="301"/>
        <v>-4286.0289200570405</v>
      </c>
      <c r="AG326" s="90">
        <f t="shared" si="302"/>
        <v>4140.4375383844126</v>
      </c>
      <c r="AH326" s="86">
        <f t="shared" si="303"/>
        <v>33901.00677</v>
      </c>
      <c r="AI326" s="85">
        <f t="shared" si="304"/>
        <v>6238.0466047659793</v>
      </c>
      <c r="AJ326" s="85">
        <f t="shared" si="305"/>
        <v>23035.736710355992</v>
      </c>
      <c r="AK326" s="90">
        <f t="shared" si="306"/>
        <v>6238.0466047659793</v>
      </c>
      <c r="AM326" s="95">
        <f t="shared" si="275"/>
        <v>0</v>
      </c>
      <c r="AN326" s="95">
        <f t="shared" si="276"/>
        <v>0</v>
      </c>
      <c r="AO326" s="95">
        <f t="shared" si="277"/>
        <v>0</v>
      </c>
      <c r="AP326" s="95">
        <f t="shared" si="278"/>
        <v>0</v>
      </c>
      <c r="AQ326"/>
      <c r="AR326" s="95">
        <f t="shared" si="307"/>
        <v>0</v>
      </c>
      <c r="AS326" s="95">
        <f t="shared" si="308"/>
        <v>0</v>
      </c>
      <c r="AT326" s="95">
        <f>Geraetedaten!$B$94*ABS(SIN(RADIANS($A326)))</f>
        <v>148.75257724851653</v>
      </c>
      <c r="AU326" s="95">
        <f>Geraetedaten!$B$94*ABS(COS(RADIANS($A326)))</f>
        <v>39.858132945788128</v>
      </c>
      <c r="AV326" s="95">
        <f>((h_Aw_Sw+Geraetedaten!$B$18)/1000)*(AR326*AT326+AS326*AU326)/100</f>
        <v>0</v>
      </c>
      <c r="AX326" s="18">
        <f t="shared" si="274"/>
        <v>0.2588190451025203</v>
      </c>
    </row>
    <row r="327" spans="1:50" ht="13.5" x14ac:dyDescent="0.25">
      <c r="A327" s="16">
        <v>286</v>
      </c>
      <c r="B327" s="16">
        <f t="shared" si="282"/>
        <v>164</v>
      </c>
      <c r="C327" s="19">
        <f t="shared" si="283"/>
        <v>69.340822172332622</v>
      </c>
      <c r="D327" s="17">
        <f t="shared" si="279"/>
        <v>10932.465417827667</v>
      </c>
      <c r="E327" s="17">
        <f t="shared" si="284"/>
        <v>-36989.547812172328</v>
      </c>
      <c r="F327" s="17">
        <f t="shared" si="285"/>
        <v>-10951.831942172334</v>
      </c>
      <c r="G327" s="17">
        <f t="shared" si="286"/>
        <v>31855.890937827666</v>
      </c>
      <c r="H327" s="17">
        <f t="shared" si="309"/>
        <v>10932.465417827667</v>
      </c>
      <c r="I327" s="17">
        <f t="shared" si="287"/>
        <v>4396.1478153379585</v>
      </c>
      <c r="J327" s="20">
        <f>(Geraetedaten!$B$152+(Geraetedaten!$B$153*(Geraetedaten!$B$18+d_y_Sw)/1000))*10</f>
        <v>6051.0442000000003</v>
      </c>
      <c r="K327" s="20">
        <f>(Geraetedaten!$B$165+(Geraetedaten!$B$166*(Geraetedaten!$B$18+d_y_Sw)/1000))*10</f>
        <v>10816.164000000001</v>
      </c>
      <c r="L327" s="20">
        <f>(Geraetedaten!$B$158+(Geraetedaten!$B$159*(Geraetedaten!$B$18+d_y_Sw)/1000)-(Geraetedaten!$B$160*I327/1000))*10</f>
        <v>279.16708070126731</v>
      </c>
      <c r="M327" s="20">
        <f>(Geraetedaten!$B$171+(Geraetedaten!$B$172*(Geraetedaten!$B$18+d_y_Sw)/1000)-(Geraetedaten!$B$173*I327/1000))*10</f>
        <v>737.61775662624336</v>
      </c>
      <c r="N327" s="20">
        <f>IF((H327-J327)/(K327-J327)*(Geraetedaten!$B$174-Geraetedaten!$B$161)&lt;Geraetedaten!$B$174,(H327-J327)/(K327-J327)*(Geraetedaten!$B$174-Geraetedaten!$B$161),Geraetedaten!$B$174)</f>
        <v>400</v>
      </c>
      <c r="O327" s="20">
        <f>N327/Geraetedaten!$B$174*(M327-L327)+L327+C327</f>
        <v>806.95857879857601</v>
      </c>
      <c r="P327" s="20">
        <f t="shared" si="281"/>
        <v>224.11482637666879</v>
      </c>
      <c r="Q327" s="20"/>
      <c r="R327" s="21">
        <f>(N327-Geraetedaten!$B$161)/(Geraetedaten!$B$174-Geraetedaten!$B$161)*(Geraetedaten!$B$175-Geraetedaten!$B$162)+Geraetedaten!$B$162</f>
        <v>41.1</v>
      </c>
      <c r="S327" s="21">
        <f t="shared" si="288"/>
        <v>41.1</v>
      </c>
      <c r="T327" s="21">
        <f t="shared" si="289"/>
        <v>-39.507855703064905</v>
      </c>
      <c r="U327" s="88">
        <f t="shared" si="290"/>
        <v>11.328695324078675</v>
      </c>
      <c r="V327" s="86">
        <f t="shared" si="291"/>
        <v>11001.80624</v>
      </c>
      <c r="W327" s="85">
        <f t="shared" si="292"/>
        <v>-4225.3239992296285</v>
      </c>
      <c r="X327" s="85">
        <f t="shared" si="293"/>
        <v>4396.1478153379585</v>
      </c>
      <c r="Y327" s="90">
        <f t="shared" si="294"/>
        <v>4225.3239992296285</v>
      </c>
      <c r="Z327" s="86">
        <f t="shared" si="295"/>
        <v>-36920.206989999999</v>
      </c>
      <c r="AA327" s="85">
        <f t="shared" si="296"/>
        <v>-913.46204712425447</v>
      </c>
      <c r="AB327" s="85">
        <f t="shared" si="297"/>
        <v>-3836.2959387433189</v>
      </c>
      <c r="AC327" s="90">
        <f t="shared" si="298"/>
        <v>913.46204712425447</v>
      </c>
      <c r="AD327" s="86">
        <f t="shared" si="299"/>
        <v>-10882.491120000001</v>
      </c>
      <c r="AE327" s="85">
        <f t="shared" si="300"/>
        <v>4140.4375383844126</v>
      </c>
      <c r="AF327" s="85">
        <f t="shared" si="301"/>
        <v>-4306.7921569782811</v>
      </c>
      <c r="AG327" s="90">
        <f t="shared" si="302"/>
        <v>4140.4375383844126</v>
      </c>
      <c r="AH327" s="86">
        <f t="shared" si="303"/>
        <v>31925.231759999999</v>
      </c>
      <c r="AI327" s="85">
        <f t="shared" si="304"/>
        <v>6238.0466047659793</v>
      </c>
      <c r="AJ327" s="85">
        <f t="shared" si="305"/>
        <v>21693.197436434748</v>
      </c>
      <c r="AK327" s="90">
        <f t="shared" si="306"/>
        <v>6238.0466047659793</v>
      </c>
      <c r="AM327" s="95">
        <f t="shared" si="275"/>
        <v>0</v>
      </c>
      <c r="AN327" s="95">
        <f t="shared" si="276"/>
        <v>0</v>
      </c>
      <c r="AO327" s="95">
        <f t="shared" si="277"/>
        <v>0</v>
      </c>
      <c r="AP327" s="95">
        <f t="shared" si="278"/>
        <v>0</v>
      </c>
      <c r="AQ327"/>
      <c r="AR327" s="95">
        <f t="shared" si="307"/>
        <v>0</v>
      </c>
      <c r="AS327" s="95">
        <f t="shared" si="308"/>
        <v>0</v>
      </c>
      <c r="AT327" s="95">
        <f>Geraetedaten!$B$94*ABS(SIN(RADIANS($A327)))</f>
        <v>148.03430117450108</v>
      </c>
      <c r="AU327" s="95">
        <f>Geraetedaten!$B$94*ABS(COS(RADIANS($A327)))</f>
        <v>42.448152795817904</v>
      </c>
      <c r="AV327" s="95">
        <f>((h_Aw_Sw+Geraetedaten!$B$18)/1000)*(AR327*AT327+AS327*AU327)/100</f>
        <v>0</v>
      </c>
      <c r="AX327" s="18">
        <f t="shared" si="274"/>
        <v>0.27563735581699939</v>
      </c>
    </row>
    <row r="328" spans="1:50" ht="13.5" x14ac:dyDescent="0.25">
      <c r="A328" s="16">
        <v>287</v>
      </c>
      <c r="B328" s="16">
        <f t="shared" si="282"/>
        <v>163</v>
      </c>
      <c r="C328" s="19">
        <f t="shared" si="283"/>
        <v>69.526958924273615</v>
      </c>
      <c r="D328" s="17">
        <f t="shared" si="279"/>
        <v>10989.397211075726</v>
      </c>
      <c r="E328" s="17">
        <f t="shared" si="284"/>
        <v>-34541.048998924278</v>
      </c>
      <c r="F328" s="17">
        <f t="shared" si="285"/>
        <v>-11008.342138924274</v>
      </c>
      <c r="G328" s="17">
        <f t="shared" si="286"/>
        <v>30106.231741075724</v>
      </c>
      <c r="H328" s="17">
        <f t="shared" si="309"/>
        <v>10989.397211075726</v>
      </c>
      <c r="I328" s="17">
        <f t="shared" si="287"/>
        <v>4418.9712368610362</v>
      </c>
      <c r="J328" s="20">
        <f>(Geraetedaten!$B$152+(Geraetedaten!$B$153*(Geraetedaten!$B$18+d_y_Sw)/1000))*10</f>
        <v>6051.0442000000003</v>
      </c>
      <c r="K328" s="20">
        <f>(Geraetedaten!$B$165+(Geraetedaten!$B$166*(Geraetedaten!$B$18+d_y_Sw)/1000))*10</f>
        <v>10816.164000000001</v>
      </c>
      <c r="L328" s="20">
        <f>(Geraetedaten!$B$158+(Geraetedaten!$B$159*(Geraetedaten!$B$18+d_y_Sw)/1000)-(Geraetedaten!$B$160*I328/1000))*10</f>
        <v>277.49343920097999</v>
      </c>
      <c r="M328" s="20">
        <f>(Geraetedaten!$B$171+(Geraetedaten!$B$172*(Geraetedaten!$B$18+d_y_Sw)/1000)-(Geraetedaten!$B$173*I328/1000))*10</f>
        <v>735.91878112806535</v>
      </c>
      <c r="N328" s="20">
        <f>IF((H328-J328)/(K328-J328)*(Geraetedaten!$B$174-Geraetedaten!$B$161)&lt;Geraetedaten!$B$174,(H328-J328)/(K328-J328)*(Geraetedaten!$B$174-Geraetedaten!$B$161),Geraetedaten!$B$174)</f>
        <v>400</v>
      </c>
      <c r="O328" s="20">
        <f>N328/Geraetedaten!$B$174*(M328-L328)+L328+C328</f>
        <v>805.44574005233892</v>
      </c>
      <c r="P328" s="20">
        <f t="shared" si="281"/>
        <v>223.83385479154896</v>
      </c>
      <c r="Q328" s="20"/>
      <c r="R328" s="21">
        <f>(N328-Geraetedaten!$B$161)/(Geraetedaten!$B$174-Geraetedaten!$B$161)*(Geraetedaten!$B$175-Geraetedaten!$B$162)+Geraetedaten!$B$162</f>
        <v>41.1</v>
      </c>
      <c r="S328" s="21">
        <f t="shared" si="288"/>
        <v>41.1</v>
      </c>
      <c r="T328" s="21">
        <f t="shared" si="289"/>
        <v>-39.304125470080756</v>
      </c>
      <c r="U328" s="88">
        <f t="shared" si="290"/>
        <v>12.01647706410448</v>
      </c>
      <c r="V328" s="86">
        <f t="shared" si="291"/>
        <v>11058.92417</v>
      </c>
      <c r="W328" s="85">
        <f t="shared" si="292"/>
        <v>-4225.3239992296285</v>
      </c>
      <c r="X328" s="85">
        <f t="shared" si="293"/>
        <v>4418.9712368610362</v>
      </c>
      <c r="Y328" s="90">
        <f t="shared" si="294"/>
        <v>4225.3239992296285</v>
      </c>
      <c r="Z328" s="86">
        <f t="shared" si="295"/>
        <v>-34471.522040000003</v>
      </c>
      <c r="AA328" s="85">
        <f t="shared" si="296"/>
        <v>-913.46204712425447</v>
      </c>
      <c r="AB328" s="85">
        <f t="shared" si="297"/>
        <v>-3581.8585750326106</v>
      </c>
      <c r="AC328" s="90">
        <f t="shared" si="298"/>
        <v>913.46204712425447</v>
      </c>
      <c r="AD328" s="86">
        <f t="shared" si="299"/>
        <v>-10938.81518</v>
      </c>
      <c r="AE328" s="85">
        <f t="shared" si="300"/>
        <v>4140.4375383844126</v>
      </c>
      <c r="AF328" s="85">
        <f t="shared" si="301"/>
        <v>-4329.0826438533013</v>
      </c>
      <c r="AG328" s="90">
        <f t="shared" si="302"/>
        <v>4140.4375383844126</v>
      </c>
      <c r="AH328" s="86">
        <f t="shared" si="303"/>
        <v>30175.758699999998</v>
      </c>
      <c r="AI328" s="85">
        <f t="shared" si="304"/>
        <v>6238.0466047659793</v>
      </c>
      <c r="AJ328" s="85">
        <f t="shared" si="305"/>
        <v>20504.430361961247</v>
      </c>
      <c r="AK328" s="90">
        <f t="shared" si="306"/>
        <v>6238.0466047659793</v>
      </c>
      <c r="AM328" s="95">
        <f t="shared" si="275"/>
        <v>0</v>
      </c>
      <c r="AN328" s="95">
        <f t="shared" si="276"/>
        <v>0</v>
      </c>
      <c r="AO328" s="95">
        <f t="shared" si="277"/>
        <v>0</v>
      </c>
      <c r="AP328" s="95">
        <f t="shared" si="278"/>
        <v>0</v>
      </c>
      <c r="AQ328"/>
      <c r="AR328" s="95">
        <f t="shared" si="307"/>
        <v>0</v>
      </c>
      <c r="AS328" s="95">
        <f t="shared" si="308"/>
        <v>0</v>
      </c>
      <c r="AT328" s="95">
        <f>Geraetedaten!$B$94*ABS(SIN(RADIANS($A328)))</f>
        <v>147.27093241830747</v>
      </c>
      <c r="AU328" s="95">
        <f>Geraetedaten!$B$94*ABS(COS(RADIANS($A328)))</f>
        <v>45.025242527301451</v>
      </c>
      <c r="AV328" s="95">
        <f>((h_Aw_Sw+Geraetedaten!$B$18)/1000)*(AR328*AT328+AS328*AU328)/100</f>
        <v>0</v>
      </c>
      <c r="AX328" s="18">
        <f t="shared" si="274"/>
        <v>0.29237170472273671</v>
      </c>
    </row>
    <row r="329" spans="1:50" ht="13.5" x14ac:dyDescent="0.25">
      <c r="A329" s="16">
        <v>288</v>
      </c>
      <c r="B329" s="16">
        <f t="shared" si="282"/>
        <v>162</v>
      </c>
      <c r="C329" s="19">
        <f t="shared" si="283"/>
        <v>69.691917091003489</v>
      </c>
      <c r="D329" s="17">
        <f t="shared" si="279"/>
        <v>11050.351302908995</v>
      </c>
      <c r="E329" s="17">
        <f t="shared" si="284"/>
        <v>-32406.375337091005</v>
      </c>
      <c r="F329" s="17">
        <f t="shared" si="285"/>
        <v>-11068.785087091004</v>
      </c>
      <c r="G329" s="17">
        <f t="shared" si="286"/>
        <v>28546.635432908995</v>
      </c>
      <c r="H329" s="17">
        <f t="shared" si="309"/>
        <v>11050.351302908995</v>
      </c>
      <c r="I329" s="17">
        <f t="shared" si="287"/>
        <v>4443.3934435641631</v>
      </c>
      <c r="J329" s="20">
        <f>(Geraetedaten!$B$152+(Geraetedaten!$B$153*(Geraetedaten!$B$18+d_y_Sw)/1000))*10</f>
        <v>6051.0442000000003</v>
      </c>
      <c r="K329" s="20">
        <f>(Geraetedaten!$B$165+(Geraetedaten!$B$166*(Geraetedaten!$B$18+d_y_Sw)/1000))*10</f>
        <v>10816.164000000001</v>
      </c>
      <c r="L329" s="20">
        <f>(Geraetedaten!$B$158+(Geraetedaten!$B$159*(Geraetedaten!$B$18+d_y_Sw)/1000)-(Geraetedaten!$B$160*I329/1000))*10</f>
        <v>275.70255878343971</v>
      </c>
      <c r="M329" s="20">
        <f>(Geraetedaten!$B$171+(Geraetedaten!$B$172*(Geraetedaten!$B$18+d_y_Sw)/1000)-(Geraetedaten!$B$173*I329/1000))*10</f>
        <v>734.10079206108458</v>
      </c>
      <c r="N329" s="20">
        <f>IF((H329-J329)/(K329-J329)*(Geraetedaten!$B$174-Geraetedaten!$B$161)&lt;Geraetedaten!$B$174,(H329-J329)/(K329-J329)*(Geraetedaten!$B$174-Geraetedaten!$B$161),Geraetedaten!$B$174)</f>
        <v>400</v>
      </c>
      <c r="O329" s="20">
        <f>N329/Geraetedaten!$B$174*(M329-L329)+L329+C329</f>
        <v>803.79270915208804</v>
      </c>
      <c r="P329" s="20">
        <f t="shared" si="281"/>
        <v>223.52329818816938</v>
      </c>
      <c r="Q329" s="20"/>
      <c r="R329" s="21">
        <f>(N329-Geraetedaten!$B$161)/(Geraetedaten!$B$174-Geraetedaten!$B$161)*(Geraetedaten!$B$175-Geraetedaten!$B$162)+Geraetedaten!$B$162</f>
        <v>41.1</v>
      </c>
      <c r="S329" s="21">
        <f t="shared" si="288"/>
        <v>41.1</v>
      </c>
      <c r="T329" s="21">
        <f t="shared" si="289"/>
        <v>-39.088422819730816</v>
      </c>
      <c r="U329" s="88">
        <f t="shared" si="290"/>
        <v>12.700598468810332</v>
      </c>
      <c r="V329" s="86">
        <f t="shared" si="291"/>
        <v>11120.04322</v>
      </c>
      <c r="W329" s="85">
        <f t="shared" si="292"/>
        <v>-4225.3239992296285</v>
      </c>
      <c r="X329" s="85">
        <f t="shared" si="293"/>
        <v>4443.3934435641631</v>
      </c>
      <c r="Y329" s="90">
        <f t="shared" si="294"/>
        <v>4225.3239992296285</v>
      </c>
      <c r="Z329" s="86">
        <f t="shared" si="295"/>
        <v>-32336.683420000001</v>
      </c>
      <c r="AA329" s="85">
        <f t="shared" si="296"/>
        <v>-913.46204712425447</v>
      </c>
      <c r="AB329" s="85">
        <f t="shared" si="297"/>
        <v>-3360.0322805182909</v>
      </c>
      <c r="AC329" s="90">
        <f t="shared" si="298"/>
        <v>913.46204712425447</v>
      </c>
      <c r="AD329" s="86">
        <f t="shared" si="299"/>
        <v>-10999.09317</v>
      </c>
      <c r="AE329" s="85">
        <f t="shared" si="300"/>
        <v>4140.4375383844126</v>
      </c>
      <c r="AF329" s="85">
        <f t="shared" si="301"/>
        <v>-4352.9379124714023</v>
      </c>
      <c r="AG329" s="90">
        <f t="shared" si="302"/>
        <v>4140.4375383844126</v>
      </c>
      <c r="AH329" s="86">
        <f t="shared" si="303"/>
        <v>28616.32735</v>
      </c>
      <c r="AI329" s="85">
        <f t="shared" si="304"/>
        <v>6238.0466047659793</v>
      </c>
      <c r="AJ329" s="85">
        <f t="shared" si="305"/>
        <v>19444.796636788265</v>
      </c>
      <c r="AK329" s="90">
        <f t="shared" si="306"/>
        <v>6238.0466047659793</v>
      </c>
      <c r="AM329" s="95">
        <f t="shared" si="275"/>
        <v>0</v>
      </c>
      <c r="AN329" s="95">
        <f t="shared" si="276"/>
        <v>0</v>
      </c>
      <c r="AO329" s="95">
        <f t="shared" si="277"/>
        <v>0</v>
      </c>
      <c r="AP329" s="95">
        <f t="shared" si="278"/>
        <v>0</v>
      </c>
      <c r="AQ329"/>
      <c r="AR329" s="95">
        <f t="shared" si="307"/>
        <v>0</v>
      </c>
      <c r="AS329" s="95">
        <f t="shared" si="308"/>
        <v>0</v>
      </c>
      <c r="AT329" s="95">
        <f>Geraetedaten!$B$94*ABS(SIN(RADIANS($A329)))</f>
        <v>146.46270350945366</v>
      </c>
      <c r="AU329" s="95">
        <f>Geraetedaten!$B$94*ABS(COS(RADIANS($A329)))</f>
        <v>47.58861713374187</v>
      </c>
      <c r="AV329" s="95">
        <f>((h_Aw_Sw+Geraetedaten!$B$18)/1000)*(AR329*AT329+AS329*AU329)/100</f>
        <v>0</v>
      </c>
      <c r="AX329" s="18">
        <f t="shared" si="274"/>
        <v>0.30901699437494723</v>
      </c>
    </row>
    <row r="330" spans="1:50" ht="13.5" x14ac:dyDescent="0.25">
      <c r="A330" s="16">
        <v>289</v>
      </c>
      <c r="B330" s="16">
        <f t="shared" si="282"/>
        <v>161</v>
      </c>
      <c r="C330" s="19">
        <f t="shared" si="283"/>
        <v>69.835646424666706</v>
      </c>
      <c r="D330" s="17">
        <f t="shared" si="279"/>
        <v>11115.432033575335</v>
      </c>
      <c r="E330" s="17">
        <f t="shared" si="284"/>
        <v>-30529.420046424668</v>
      </c>
      <c r="F330" s="17">
        <f t="shared" si="285"/>
        <v>-11133.263496424666</v>
      </c>
      <c r="G330" s="17">
        <f t="shared" si="286"/>
        <v>27148.201213575332</v>
      </c>
      <c r="H330" s="17">
        <f t="shared" si="309"/>
        <v>11115.432033575335</v>
      </c>
      <c r="I330" s="17">
        <f t="shared" si="287"/>
        <v>4469.4561032142074</v>
      </c>
      <c r="J330" s="20">
        <f>(Geraetedaten!$B$152+(Geraetedaten!$B$153*(Geraetedaten!$B$18+d_y_Sw)/1000))*10</f>
        <v>6051.0442000000003</v>
      </c>
      <c r="K330" s="20">
        <f>(Geraetedaten!$B$165+(Geraetedaten!$B$166*(Geraetedaten!$B$18+d_y_Sw)/1000))*10</f>
        <v>10816.164000000001</v>
      </c>
      <c r="L330" s="20">
        <f>(Geraetedaten!$B$158+(Geraetedaten!$B$159*(Geraetedaten!$B$18+d_y_Sw)/1000)-(Geraetedaten!$B$160*I330/1000))*10</f>
        <v>273.79138395130201</v>
      </c>
      <c r="M330" s="20">
        <f>(Geraetedaten!$B$171+(Geraetedaten!$B$172*(Geraetedaten!$B$18+d_y_Sw)/1000)-(Geraetedaten!$B$173*I330/1000))*10</f>
        <v>732.16068767673528</v>
      </c>
      <c r="N330" s="20">
        <f>IF((H330-J330)/(K330-J330)*(Geraetedaten!$B$174-Geraetedaten!$B$161)&lt;Geraetedaten!$B$174,(H330-J330)/(K330-J330)*(Geraetedaten!$B$174-Geraetedaten!$B$161),Geraetedaten!$B$174)</f>
        <v>400</v>
      </c>
      <c r="O330" s="20">
        <f>N330/Geraetedaten!$B$174*(M330-L330)+L330+C330</f>
        <v>801.996334101402</v>
      </c>
      <c r="P330" s="20">
        <f t="shared" si="281"/>
        <v>223.18243345324126</v>
      </c>
      <c r="Q330" s="20"/>
      <c r="R330" s="21">
        <f>(N330-Geraetedaten!$B$161)/(Geraetedaten!$B$174-Geraetedaten!$B$161)*(Geraetedaten!$B$175-Geraetedaten!$B$162)+Geraetedaten!$B$162</f>
        <v>41.1</v>
      </c>
      <c r="S330" s="21">
        <f t="shared" si="288"/>
        <v>41.1</v>
      </c>
      <c r="T330" s="21">
        <f t="shared" si="289"/>
        <v>-38.860813457131925</v>
      </c>
      <c r="U330" s="88">
        <f t="shared" si="290"/>
        <v>13.380851148189125</v>
      </c>
      <c r="V330" s="86">
        <f t="shared" si="291"/>
        <v>11185.267680000001</v>
      </c>
      <c r="W330" s="85">
        <f t="shared" si="292"/>
        <v>-4225.3239992296285</v>
      </c>
      <c r="X330" s="85">
        <f t="shared" si="293"/>
        <v>4469.4561032142074</v>
      </c>
      <c r="Y330" s="90">
        <f t="shared" si="294"/>
        <v>4225.3239992296285</v>
      </c>
      <c r="Z330" s="86">
        <f t="shared" si="295"/>
        <v>-30459.5844</v>
      </c>
      <c r="AA330" s="85">
        <f t="shared" si="296"/>
        <v>-913.46204712425447</v>
      </c>
      <c r="AB330" s="85">
        <f t="shared" si="297"/>
        <v>-3164.9871290645715</v>
      </c>
      <c r="AC330" s="90">
        <f t="shared" si="298"/>
        <v>913.46204712425447</v>
      </c>
      <c r="AD330" s="86">
        <f t="shared" si="299"/>
        <v>-11063.42785</v>
      </c>
      <c r="AE330" s="85">
        <f t="shared" si="300"/>
        <v>4140.4375383844126</v>
      </c>
      <c r="AF330" s="85">
        <f t="shared" si="301"/>
        <v>-4378.3986379047738</v>
      </c>
      <c r="AG330" s="90">
        <f t="shared" si="302"/>
        <v>4140.4375383844126</v>
      </c>
      <c r="AH330" s="86">
        <f t="shared" si="303"/>
        <v>27218.03686</v>
      </c>
      <c r="AI330" s="85">
        <f t="shared" si="304"/>
        <v>6238.0466047659793</v>
      </c>
      <c r="AJ330" s="85">
        <f t="shared" si="305"/>
        <v>18494.658138454462</v>
      </c>
      <c r="AK330" s="90">
        <f t="shared" si="306"/>
        <v>6238.0466047659793</v>
      </c>
      <c r="AM330" s="95">
        <f t="shared" si="275"/>
        <v>0</v>
      </c>
      <c r="AN330" s="95">
        <f t="shared" si="276"/>
        <v>0</v>
      </c>
      <c r="AO330" s="95">
        <f t="shared" si="277"/>
        <v>0</v>
      </c>
      <c r="AP330" s="95">
        <f t="shared" si="278"/>
        <v>0</v>
      </c>
      <c r="AQ330"/>
      <c r="AR330" s="95">
        <f t="shared" si="307"/>
        <v>0</v>
      </c>
      <c r="AS330" s="95">
        <f t="shared" si="308"/>
        <v>0</v>
      </c>
      <c r="AT330" s="95">
        <f>Geraetedaten!$B$94*ABS(SIN(RADIANS($A330)))</f>
        <v>145.60986064229482</v>
      </c>
      <c r="AU330" s="95">
        <f>Geraetedaten!$B$94*ABS(COS(RADIANS($A330)))</f>
        <v>50.13749578640207</v>
      </c>
      <c r="AV330" s="95">
        <f>((h_Aw_Sw+Geraetedaten!$B$18)/1000)*(AR330*AT330+AS330*AU330)/100</f>
        <v>0</v>
      </c>
      <c r="AX330" s="18">
        <f t="shared" si="274"/>
        <v>0.32556815445715631</v>
      </c>
    </row>
    <row r="331" spans="1:50" ht="13.5" x14ac:dyDescent="0.25">
      <c r="A331" s="16">
        <v>290</v>
      </c>
      <c r="B331" s="16">
        <f t="shared" si="282"/>
        <v>160</v>
      </c>
      <c r="C331" s="19">
        <f t="shared" si="283"/>
        <v>69.958103143915849</v>
      </c>
      <c r="D331" s="17">
        <f t="shared" si="279"/>
        <v>11184.752206856085</v>
      </c>
      <c r="E331" s="17">
        <f t="shared" si="284"/>
        <v>-28866.703663143915</v>
      </c>
      <c r="F331" s="17">
        <f t="shared" si="285"/>
        <v>-11201.888513143916</v>
      </c>
      <c r="G331" s="17">
        <f t="shared" si="286"/>
        <v>25887.611096856086</v>
      </c>
      <c r="H331" s="17">
        <f t="shared" si="309"/>
        <v>11184.752206856085</v>
      </c>
      <c r="I331" s="17">
        <f t="shared" si="287"/>
        <v>4497.2042815417208</v>
      </c>
      <c r="J331" s="20">
        <f>(Geraetedaten!$B$152+(Geraetedaten!$B$153*(Geraetedaten!$B$18+d_y_Sw)/1000))*10</f>
        <v>6051.0442000000003</v>
      </c>
      <c r="K331" s="20">
        <f>(Geraetedaten!$B$165+(Geraetedaten!$B$166*(Geraetedaten!$B$18+d_y_Sw)/1000))*10</f>
        <v>10816.164000000001</v>
      </c>
      <c r="L331" s="20">
        <f>(Geraetedaten!$B$158+(Geraetedaten!$B$159*(Geraetedaten!$B$18+d_y_Sw)/1000)-(Geraetedaten!$B$160*I331/1000))*10</f>
        <v>271.75661003454542</v>
      </c>
      <c r="M331" s="20">
        <f>(Geraetedaten!$B$171+(Geraetedaten!$B$172*(Geraetedaten!$B$18+d_y_Sw)/1000)-(Geraetedaten!$B$173*I331/1000))*10</f>
        <v>730.09511328203519</v>
      </c>
      <c r="N331" s="20">
        <f>IF((H331-J331)/(K331-J331)*(Geraetedaten!$B$174-Geraetedaten!$B$161)&lt;Geraetedaten!$B$174,(H331-J331)/(K331-J331)*(Geraetedaten!$B$174-Geraetedaten!$B$161),Geraetedaten!$B$174)</f>
        <v>400</v>
      </c>
      <c r="O331" s="20">
        <f>N331/Geraetedaten!$B$174*(M331-L331)+L331+C331</f>
        <v>800.05321642595106</v>
      </c>
      <c r="P331" s="20">
        <f t="shared" si="281"/>
        <v>222.81047788544467</v>
      </c>
      <c r="Q331" s="20"/>
      <c r="R331" s="21">
        <f>(N331-Geraetedaten!$B$161)/(Geraetedaten!$B$174-Geraetedaten!$B$161)*(Geraetedaten!$B$175-Geraetedaten!$B$162)+Geraetedaten!$B$162</f>
        <v>41.1</v>
      </c>
      <c r="S331" s="21">
        <f t="shared" si="288"/>
        <v>41.1</v>
      </c>
      <c r="T331" s="21">
        <f t="shared" si="289"/>
        <v>-38.621366714300834</v>
      </c>
      <c r="U331" s="88">
        <f t="shared" si="290"/>
        <v>14.057027890684996</v>
      </c>
      <c r="V331" s="86">
        <f t="shared" si="291"/>
        <v>11254.71031</v>
      </c>
      <c r="W331" s="85">
        <f t="shared" si="292"/>
        <v>-4225.3239992296285</v>
      </c>
      <c r="X331" s="85">
        <f t="shared" si="293"/>
        <v>4497.2042815417208</v>
      </c>
      <c r="Y331" s="90">
        <f t="shared" si="294"/>
        <v>4225.3239992296285</v>
      </c>
      <c r="Z331" s="86">
        <f t="shared" si="295"/>
        <v>-28796.745559999999</v>
      </c>
      <c r="AA331" s="85">
        <f t="shared" si="296"/>
        <v>-913.46204712425447</v>
      </c>
      <c r="AB331" s="85">
        <f t="shared" si="297"/>
        <v>-2992.2052731315293</v>
      </c>
      <c r="AC331" s="90">
        <f t="shared" si="298"/>
        <v>913.46204712425447</v>
      </c>
      <c r="AD331" s="86">
        <f t="shared" si="299"/>
        <v>-11131.930410000001</v>
      </c>
      <c r="AE331" s="85">
        <f t="shared" si="300"/>
        <v>4140.4375383844126</v>
      </c>
      <c r="AF331" s="85">
        <f t="shared" si="301"/>
        <v>-4405.5088159442112</v>
      </c>
      <c r="AG331" s="90">
        <f t="shared" si="302"/>
        <v>4140.4375383844126</v>
      </c>
      <c r="AH331" s="86">
        <f t="shared" si="303"/>
        <v>25957.569200000002</v>
      </c>
      <c r="AI331" s="85">
        <f t="shared" si="304"/>
        <v>6238.0466047659793</v>
      </c>
      <c r="AJ331" s="85">
        <f t="shared" si="305"/>
        <v>17638.170269402177</v>
      </c>
      <c r="AK331" s="90">
        <f t="shared" si="306"/>
        <v>6238.0466047659793</v>
      </c>
      <c r="AM331" s="95">
        <f t="shared" si="275"/>
        <v>0</v>
      </c>
      <c r="AN331" s="95">
        <f t="shared" si="276"/>
        <v>0</v>
      </c>
      <c r="AO331" s="95">
        <f t="shared" si="277"/>
        <v>0</v>
      </c>
      <c r="AP331" s="95">
        <f t="shared" si="278"/>
        <v>0</v>
      </c>
      <c r="AQ331"/>
      <c r="AR331" s="95">
        <f t="shared" si="307"/>
        <v>0</v>
      </c>
      <c r="AS331" s="95">
        <f t="shared" si="308"/>
        <v>0</v>
      </c>
      <c r="AT331" s="95">
        <f>Geraetedaten!$B$94*ABS(SIN(RADIANS($A331)))</f>
        <v>144.71266360102987</v>
      </c>
      <c r="AU331" s="95">
        <f>Geraetedaten!$B$94*ABS(COS(RADIANS($A331)))</f>
        <v>52.671102072153026</v>
      </c>
      <c r="AV331" s="95">
        <f>((h_Aw_Sw+Geraetedaten!$B$18)/1000)*(AR331*AT331+AS331*AU331)/100</f>
        <v>0</v>
      </c>
      <c r="AX331" s="18">
        <f t="shared" si="274"/>
        <v>0.34202014332566899</v>
      </c>
    </row>
    <row r="332" spans="1:50" ht="13.5" x14ac:dyDescent="0.25">
      <c r="A332" s="16">
        <v>291</v>
      </c>
      <c r="B332" s="16">
        <f t="shared" si="282"/>
        <v>159</v>
      </c>
      <c r="C332" s="19">
        <f t="shared" si="283"/>
        <v>70.059249947248006</v>
      </c>
      <c r="D332" s="17">
        <f t="shared" si="279"/>
        <v>11258.433660052753</v>
      </c>
      <c r="E332" s="17">
        <f t="shared" si="284"/>
        <v>-27384.011309947247</v>
      </c>
      <c r="F332" s="17">
        <f t="shared" si="285"/>
        <v>-11274.780139947248</v>
      </c>
      <c r="G332" s="17">
        <f t="shared" si="286"/>
        <v>24745.844290052752</v>
      </c>
      <c r="H332" s="17">
        <f t="shared" si="309"/>
        <v>11258.433660052753</v>
      </c>
      <c r="I332" s="17">
        <f t="shared" si="287"/>
        <v>4526.6866426429242</v>
      </c>
      <c r="J332" s="20">
        <f>(Geraetedaten!$B$152+(Geraetedaten!$B$153*(Geraetedaten!$B$18+d_y_Sw)/1000))*10</f>
        <v>6051.0442000000003</v>
      </c>
      <c r="K332" s="20">
        <f>(Geraetedaten!$B$165+(Geraetedaten!$B$166*(Geraetedaten!$B$18+d_y_Sw)/1000))*10</f>
        <v>10816.164000000001</v>
      </c>
      <c r="L332" s="20">
        <f>(Geraetedaten!$B$158+(Geraetedaten!$B$159*(Geraetedaten!$B$18+d_y_Sw)/1000)-(Geraetedaten!$B$160*I332/1000))*10</f>
        <v>269.59466849499421</v>
      </c>
      <c r="M332" s="20">
        <f>(Geraetedaten!$B$171+(Geraetedaten!$B$172*(Geraetedaten!$B$18+d_y_Sw)/1000)-(Geraetedaten!$B$173*I332/1000))*10</f>
        <v>727.90044632166155</v>
      </c>
      <c r="N332" s="20">
        <f>IF((H332-J332)/(K332-J332)*(Geraetedaten!$B$174-Geraetedaten!$B$161)&lt;Geraetedaten!$B$174,(H332-J332)/(K332-J332)*(Geraetedaten!$B$174-Geraetedaten!$B$161),Geraetedaten!$B$174)</f>
        <v>400</v>
      </c>
      <c r="O332" s="20">
        <f>N332/Geraetedaten!$B$174*(M332-L332)+L332+C332</f>
        <v>797.95969626890951</v>
      </c>
      <c r="P332" s="20">
        <f t="shared" si="281"/>
        <v>222.40658515433705</v>
      </c>
      <c r="Q332" s="20"/>
      <c r="R332" s="21">
        <f>(N332-Geraetedaten!$B$161)/(Geraetedaten!$B$174-Geraetedaten!$B$161)*(Geraetedaten!$B$175-Geraetedaten!$B$162)+Geraetedaten!$B$162</f>
        <v>41.1</v>
      </c>
      <c r="S332" s="21">
        <f t="shared" si="288"/>
        <v>41.1</v>
      </c>
      <c r="T332" s="21">
        <f t="shared" si="289"/>
        <v>-38.370155529034996</v>
      </c>
      <c r="U332" s="88">
        <f t="shared" si="290"/>
        <v>14.728922726311847</v>
      </c>
      <c r="V332" s="86">
        <f t="shared" si="291"/>
        <v>11328.492910000001</v>
      </c>
      <c r="W332" s="85">
        <f t="shared" si="292"/>
        <v>-4225.3239992296285</v>
      </c>
      <c r="X332" s="85">
        <f t="shared" si="293"/>
        <v>4526.6866426429242</v>
      </c>
      <c r="Y332" s="90">
        <f t="shared" si="294"/>
        <v>4225.3239992296285</v>
      </c>
      <c r="Z332" s="86">
        <f t="shared" si="295"/>
        <v>-27313.95206</v>
      </c>
      <c r="AA332" s="85">
        <f t="shared" si="296"/>
        <v>-913.46204712425447</v>
      </c>
      <c r="AB332" s="85">
        <f t="shared" si="297"/>
        <v>-2838.131524886523</v>
      </c>
      <c r="AC332" s="90">
        <f t="shared" si="298"/>
        <v>913.46204712425447</v>
      </c>
      <c r="AD332" s="86">
        <f t="shared" si="299"/>
        <v>-11204.720890000001</v>
      </c>
      <c r="AE332" s="85">
        <f t="shared" si="300"/>
        <v>4140.4375383844126</v>
      </c>
      <c r="AF332" s="85">
        <f t="shared" si="301"/>
        <v>-4434.3159585663352</v>
      </c>
      <c r="AG332" s="90">
        <f t="shared" si="302"/>
        <v>4140.4375383844126</v>
      </c>
      <c r="AH332" s="86">
        <f t="shared" si="303"/>
        <v>24815.903539999999</v>
      </c>
      <c r="AI332" s="85">
        <f t="shared" si="304"/>
        <v>6238.0466047659793</v>
      </c>
      <c r="AJ332" s="85">
        <f t="shared" si="305"/>
        <v>16862.408362531973</v>
      </c>
      <c r="AK332" s="90">
        <f t="shared" si="306"/>
        <v>6238.0466047659793</v>
      </c>
      <c r="AM332" s="95">
        <f t="shared" si="275"/>
        <v>0</v>
      </c>
      <c r="AN332" s="95">
        <f t="shared" si="276"/>
        <v>0</v>
      </c>
      <c r="AO332" s="95">
        <f t="shared" si="277"/>
        <v>0</v>
      </c>
      <c r="AP332" s="95">
        <f t="shared" si="278"/>
        <v>0</v>
      </c>
      <c r="AQ332"/>
      <c r="AR332" s="95">
        <f t="shared" si="307"/>
        <v>0</v>
      </c>
      <c r="AS332" s="95">
        <f t="shared" si="308"/>
        <v>0</v>
      </c>
      <c r="AT332" s="95">
        <f>Geraetedaten!$B$94*ABS(SIN(RADIANS($A332)))</f>
        <v>143.77138568056907</v>
      </c>
      <c r="AU332" s="95">
        <f>Geraetedaten!$B$94*ABS(COS(RADIANS($A332)))</f>
        <v>55.188664229976261</v>
      </c>
      <c r="AV332" s="95">
        <f>((h_Aw_Sw+Geraetedaten!$B$18)/1000)*(AR332*AT332+AS332*AU332)/100</f>
        <v>0</v>
      </c>
      <c r="AX332" s="18">
        <f t="shared" si="274"/>
        <v>0.35836794954530038</v>
      </c>
    </row>
    <row r="333" spans="1:50" ht="13.5" x14ac:dyDescent="0.25">
      <c r="A333" s="16">
        <v>292</v>
      </c>
      <c r="B333" s="16">
        <f t="shared" si="282"/>
        <v>158</v>
      </c>
      <c r="C333" s="19">
        <f t="shared" si="283"/>
        <v>70.139056024367036</v>
      </c>
      <c r="D333" s="17">
        <f t="shared" si="279"/>
        <v>11336.607773975633</v>
      </c>
      <c r="E333" s="17">
        <f t="shared" si="284"/>
        <v>-26054.050206024367</v>
      </c>
      <c r="F333" s="17">
        <f t="shared" si="285"/>
        <v>-11352.067836024367</v>
      </c>
      <c r="G333" s="17">
        <f t="shared" si="286"/>
        <v>23707.231133975634</v>
      </c>
      <c r="H333" s="17">
        <f t="shared" si="309"/>
        <v>11336.607773975633</v>
      </c>
      <c r="I333" s="17">
        <f t="shared" si="287"/>
        <v>4557.9556695964056</v>
      </c>
      <c r="J333" s="20">
        <f>(Geraetedaten!$B$152+(Geraetedaten!$B$153*(Geraetedaten!$B$18+d_y_Sw)/1000))*10</f>
        <v>6051.0442000000003</v>
      </c>
      <c r="K333" s="20">
        <f>(Geraetedaten!$B$165+(Geraetedaten!$B$166*(Geraetedaten!$B$18+d_y_Sw)/1000))*10</f>
        <v>10816.164000000001</v>
      </c>
      <c r="L333" s="20">
        <f>(Geraetedaten!$B$158+(Geraetedaten!$B$159*(Geraetedaten!$B$18+d_y_Sw)/1000)-(Geraetedaten!$B$160*I333/1000))*10</f>
        <v>267.30171074849534</v>
      </c>
      <c r="M333" s="20">
        <f>(Geraetedaten!$B$171+(Geraetedaten!$B$172*(Geraetedaten!$B$18+d_y_Sw)/1000)-(Geraetedaten!$B$173*I333/1000))*10</f>
        <v>725.5727799552443</v>
      </c>
      <c r="N333" s="20">
        <f>IF((H333-J333)/(K333-J333)*(Geraetedaten!$B$174-Geraetedaten!$B$161)&lt;Geraetedaten!$B$174,(H333-J333)/(K333-J333)*(Geraetedaten!$B$174-Geraetedaten!$B$161),Geraetedaten!$B$174)</f>
        <v>400</v>
      </c>
      <c r="O333" s="20">
        <f>N333/Geraetedaten!$B$174*(M333-L333)+L333+C333</f>
        <v>795.71183597961135</v>
      </c>
      <c r="P333" s="20">
        <f t="shared" si="281"/>
        <v>221.96984082114167</v>
      </c>
      <c r="Q333" s="20"/>
      <c r="R333" s="21">
        <f>(N333-Geraetedaten!$B$161)/(Geraetedaten!$B$174-Geraetedaten!$B$161)*(Geraetedaten!$B$175-Geraetedaten!$B$162)+Geraetedaten!$B$162</f>
        <v>41.1</v>
      </c>
      <c r="S333" s="21">
        <f t="shared" si="288"/>
        <v>41.1</v>
      </c>
      <c r="T333" s="21">
        <f t="shared" si="289"/>
        <v>-38.107256422694967</v>
      </c>
      <c r="U333" s="88">
        <f t="shared" si="290"/>
        <v>15.396330989393983</v>
      </c>
      <c r="V333" s="86">
        <f t="shared" si="291"/>
        <v>11406.74683</v>
      </c>
      <c r="W333" s="85">
        <f t="shared" si="292"/>
        <v>-4225.3239992296285</v>
      </c>
      <c r="X333" s="85">
        <f t="shared" si="293"/>
        <v>4557.9556695964056</v>
      </c>
      <c r="Y333" s="90">
        <f t="shared" si="294"/>
        <v>4225.3239992296285</v>
      </c>
      <c r="Z333" s="86">
        <f t="shared" si="295"/>
        <v>-25983.91115</v>
      </c>
      <c r="AA333" s="85">
        <f t="shared" si="296"/>
        <v>-913.46204712425447</v>
      </c>
      <c r="AB333" s="85">
        <f t="shared" si="297"/>
        <v>-2699.9299555990265</v>
      </c>
      <c r="AC333" s="90">
        <f t="shared" si="298"/>
        <v>913.46204712425447</v>
      </c>
      <c r="AD333" s="86">
        <f t="shared" si="299"/>
        <v>-11281.92878</v>
      </c>
      <c r="AE333" s="85">
        <f t="shared" si="300"/>
        <v>4140.4375383844126</v>
      </c>
      <c r="AF333" s="85">
        <f t="shared" si="301"/>
        <v>-4464.8713091228801</v>
      </c>
      <c r="AG333" s="90">
        <f t="shared" si="302"/>
        <v>4140.4375383844126</v>
      </c>
      <c r="AH333" s="86">
        <f t="shared" si="303"/>
        <v>23777.370190000001</v>
      </c>
      <c r="AI333" s="85">
        <f t="shared" si="304"/>
        <v>6238.0466047659793</v>
      </c>
      <c r="AJ333" s="85">
        <f t="shared" si="305"/>
        <v>16156.724873739784</v>
      </c>
      <c r="AK333" s="90">
        <f t="shared" si="306"/>
        <v>6238.0466047659793</v>
      </c>
      <c r="AM333" s="95">
        <f t="shared" si="275"/>
        <v>0</v>
      </c>
      <c r="AN333" s="95">
        <f t="shared" si="276"/>
        <v>0</v>
      </c>
      <c r="AO333" s="95">
        <f t="shared" si="277"/>
        <v>0</v>
      </c>
      <c r="AP333" s="95">
        <f t="shared" si="278"/>
        <v>0</v>
      </c>
      <c r="AQ333"/>
      <c r="AR333" s="95">
        <f t="shared" si="307"/>
        <v>0</v>
      </c>
      <c r="AS333" s="95">
        <f t="shared" si="308"/>
        <v>0</v>
      </c>
      <c r="AT333" s="95">
        <f>Geraetedaten!$B$94*ABS(SIN(RADIANS($A333)))</f>
        <v>142.78631360328527</v>
      </c>
      <c r="AU333" s="95">
        <f>Geraetedaten!$B$94*ABS(COS(RADIANS($A333)))</f>
        <v>57.689415386050442</v>
      </c>
      <c r="AV333" s="95">
        <f>((h_Aw_Sw+Geraetedaten!$B$18)/1000)*(AR333*AT333+AS333*AU333)/100</f>
        <v>0</v>
      </c>
      <c r="AX333" s="18">
        <f t="shared" si="274"/>
        <v>0.37460659341591196</v>
      </c>
    </row>
    <row r="334" spans="1:50" ht="13.5" x14ac:dyDescent="0.25">
      <c r="A334" s="16">
        <v>293</v>
      </c>
      <c r="B334" s="16">
        <f t="shared" si="282"/>
        <v>157</v>
      </c>
      <c r="C334" s="19">
        <f t="shared" si="283"/>
        <v>70.19749706556874</v>
      </c>
      <c r="D334" s="17">
        <f t="shared" si="279"/>
        <v>11419.416062934431</v>
      </c>
      <c r="E334" s="17">
        <f t="shared" si="284"/>
        <v>-24854.783717065569</v>
      </c>
      <c r="F334" s="17">
        <f t="shared" si="285"/>
        <v>-11433.891077065568</v>
      </c>
      <c r="G334" s="17">
        <f t="shared" si="286"/>
        <v>22758.74654293443</v>
      </c>
      <c r="H334" s="17">
        <f t="shared" si="309"/>
        <v>11419.416062934431</v>
      </c>
      <c r="I334" s="17">
        <f t="shared" si="287"/>
        <v>4591.0679072489629</v>
      </c>
      <c r="J334" s="20">
        <f>(Geraetedaten!$B$152+(Geraetedaten!$B$153*(Geraetedaten!$B$18+d_y_Sw)/1000))*10</f>
        <v>6051.0442000000003</v>
      </c>
      <c r="K334" s="20">
        <f>(Geraetedaten!$B$165+(Geraetedaten!$B$166*(Geraetedaten!$B$18+d_y_Sw)/1000))*10</f>
        <v>10816.164000000001</v>
      </c>
      <c r="L334" s="20">
        <f>(Geraetedaten!$B$158+(Geraetedaten!$B$159*(Geraetedaten!$B$18+d_y_Sw)/1000)-(Geraetedaten!$B$160*I334/1000))*10</f>
        <v>264.8735903614334</v>
      </c>
      <c r="M334" s="20">
        <f>(Geraetedaten!$B$171+(Geraetedaten!$B$172*(Geraetedaten!$B$18+d_y_Sw)/1000)-(Geraetedaten!$B$173*I334/1000))*10</f>
        <v>723.10790498438803</v>
      </c>
      <c r="N334" s="20">
        <f>IF((H334-J334)/(K334-J334)*(Geraetedaten!$B$174-Geraetedaten!$B$161)&lt;Geraetedaten!$B$174,(H334-J334)/(K334-J334)*(Geraetedaten!$B$174-Geraetedaten!$B$161),Geraetedaten!$B$174)</f>
        <v>400</v>
      </c>
      <c r="O334" s="20">
        <f>N334/Geraetedaten!$B$174*(M334-L334)+L334+C334</f>
        <v>793.3054020499568</v>
      </c>
      <c r="P334" s="20">
        <f t="shared" si="281"/>
        <v>221.49925737435174</v>
      </c>
      <c r="Q334" s="20"/>
      <c r="R334" s="21">
        <f>(N334-Geraetedaten!$B$161)/(Geraetedaten!$B$174-Geraetedaten!$B$161)*(Geraetedaten!$B$175-Geraetedaten!$B$162)+Geraetedaten!$B$162</f>
        <v>41.1</v>
      </c>
      <c r="S334" s="21">
        <f t="shared" si="288"/>
        <v>41.1</v>
      </c>
      <c r="T334" s="21">
        <f t="shared" si="289"/>
        <v>-37.832749476895309</v>
      </c>
      <c r="U334" s="88">
        <f t="shared" si="290"/>
        <v>16.059049380909141</v>
      </c>
      <c r="V334" s="86">
        <f t="shared" si="291"/>
        <v>11489.61356</v>
      </c>
      <c r="W334" s="85">
        <f t="shared" si="292"/>
        <v>-4225.3239992296285</v>
      </c>
      <c r="X334" s="85">
        <f t="shared" si="293"/>
        <v>4591.0679072489629</v>
      </c>
      <c r="Y334" s="90">
        <f t="shared" si="294"/>
        <v>4225.3239992296285</v>
      </c>
      <c r="Z334" s="86">
        <f t="shared" si="295"/>
        <v>-24784.586220000001</v>
      </c>
      <c r="AA334" s="85">
        <f t="shared" si="296"/>
        <v>-913.46204712425447</v>
      </c>
      <c r="AB334" s="85">
        <f t="shared" si="297"/>
        <v>-2575.3107912308728</v>
      </c>
      <c r="AC334" s="90">
        <f t="shared" si="298"/>
        <v>913.46204712425447</v>
      </c>
      <c r="AD334" s="86">
        <f t="shared" si="299"/>
        <v>-11363.693579999999</v>
      </c>
      <c r="AE334" s="85">
        <f t="shared" si="300"/>
        <v>4140.4375383844126</v>
      </c>
      <c r="AF334" s="85">
        <f t="shared" si="301"/>
        <v>-4497.2300791562602</v>
      </c>
      <c r="AG334" s="90">
        <f t="shared" si="302"/>
        <v>4140.4375383844126</v>
      </c>
      <c r="AH334" s="86">
        <f t="shared" si="303"/>
        <v>22828.944039999998</v>
      </c>
      <c r="AI334" s="85">
        <f t="shared" si="304"/>
        <v>6238.0466047659793</v>
      </c>
      <c r="AJ334" s="85">
        <f t="shared" si="305"/>
        <v>15512.269230444987</v>
      </c>
      <c r="AK334" s="90">
        <f t="shared" si="306"/>
        <v>6238.0466047659793</v>
      </c>
      <c r="AM334" s="95">
        <f t="shared" si="275"/>
        <v>0</v>
      </c>
      <c r="AN334" s="95">
        <f t="shared" si="276"/>
        <v>0</v>
      </c>
      <c r="AO334" s="95">
        <f t="shared" si="277"/>
        <v>0</v>
      </c>
      <c r="AP334" s="95">
        <f t="shared" si="278"/>
        <v>0</v>
      </c>
      <c r="AQ334"/>
      <c r="AR334" s="95">
        <f t="shared" si="307"/>
        <v>0</v>
      </c>
      <c r="AS334" s="95">
        <f t="shared" si="308"/>
        <v>0</v>
      </c>
      <c r="AT334" s="95">
        <f>Geraetedaten!$B$94*ABS(SIN(RADIANS($A334)))</f>
        <v>141.75774743167582</v>
      </c>
      <c r="AU334" s="95">
        <f>Geraetedaten!$B$94*ABS(COS(RADIANS($A334)))</f>
        <v>60.17259378734812</v>
      </c>
      <c r="AV334" s="95">
        <f>((h_Aw_Sw+Geraetedaten!$B$18)/1000)*(AR334*AT334+AS334*AU334)/100</f>
        <v>0</v>
      </c>
      <c r="AX334" s="18">
        <f t="shared" si="274"/>
        <v>0.39073112848927349</v>
      </c>
    </row>
    <row r="335" spans="1:50" ht="13.5" x14ac:dyDescent="0.25">
      <c r="A335" s="16">
        <v>294</v>
      </c>
      <c r="B335" s="16">
        <f t="shared" si="282"/>
        <v>156</v>
      </c>
      <c r="C335" s="19">
        <f t="shared" si="283"/>
        <v>70.234555269145858</v>
      </c>
      <c r="D335" s="17">
        <f t="shared" si="279"/>
        <v>11507.010904730854</v>
      </c>
      <c r="E335" s="17">
        <f t="shared" si="284"/>
        <v>-23768.224485269144</v>
      </c>
      <c r="F335" s="17">
        <f t="shared" si="285"/>
        <v>-11520.400055269145</v>
      </c>
      <c r="G335" s="17">
        <f t="shared" si="286"/>
        <v>21889.474894730854</v>
      </c>
      <c r="H335" s="17">
        <f t="shared" si="309"/>
        <v>11507.010904730854</v>
      </c>
      <c r="I335" s="17">
        <f t="shared" si="287"/>
        <v>4626.0842293733622</v>
      </c>
      <c r="J335" s="20">
        <f>(Geraetedaten!$B$152+(Geraetedaten!$B$153*(Geraetedaten!$B$18+d_y_Sw)/1000))*10</f>
        <v>6051.0442000000003</v>
      </c>
      <c r="K335" s="20">
        <f>(Geraetedaten!$B$165+(Geraetedaten!$B$166*(Geraetedaten!$B$18+d_y_Sw)/1000))*10</f>
        <v>10816.164000000001</v>
      </c>
      <c r="L335" s="20">
        <f>(Geraetedaten!$B$158+(Geraetedaten!$B$159*(Geraetedaten!$B$18+d_y_Sw)/1000)-(Geraetedaten!$B$160*I335/1000))*10</f>
        <v>262.30584346005116</v>
      </c>
      <c r="M335" s="20">
        <f>(Geraetedaten!$B$171+(Geraetedaten!$B$172*(Geraetedaten!$B$18+d_y_Sw)/1000)-(Geraetedaten!$B$173*I335/1000))*10</f>
        <v>720.50128996544777</v>
      </c>
      <c r="N335" s="20">
        <f>IF((H335-J335)/(K335-J335)*(Geraetedaten!$B$174-Geraetedaten!$B$161)&lt;Geraetedaten!$B$174,(H335-J335)/(K335-J335)*(Geraetedaten!$B$174-Geraetedaten!$B$161),Geraetedaten!$B$174)</f>
        <v>400</v>
      </c>
      <c r="O335" s="20">
        <f>N335/Geraetedaten!$B$174*(M335-L335)+L335+C335</f>
        <v>790.73584523459363</v>
      </c>
      <c r="P335" s="20">
        <f t="shared" si="281"/>
        <v>220.9937687265878</v>
      </c>
      <c r="Q335" s="20"/>
      <c r="R335" s="21">
        <f>(N335-Geraetedaten!$B$161)/(Geraetedaten!$B$174-Geraetedaten!$B$161)*(Geraetedaten!$B$175-Geraetedaten!$B$162)+Geraetedaten!$B$162</f>
        <v>41.1</v>
      </c>
      <c r="S335" s="21">
        <f t="shared" si="288"/>
        <v>41.1</v>
      </c>
      <c r="T335" s="21">
        <f t="shared" si="289"/>
        <v>-37.546718309110908</v>
      </c>
      <c r="U335" s="88">
        <f t="shared" si="290"/>
        <v>16.716876030415371</v>
      </c>
      <c r="V335" s="86">
        <f t="shared" si="291"/>
        <v>11577.24546</v>
      </c>
      <c r="W335" s="85">
        <f t="shared" si="292"/>
        <v>-4225.3239992296285</v>
      </c>
      <c r="X335" s="85">
        <f t="shared" si="293"/>
        <v>4626.0842293733622</v>
      </c>
      <c r="Y335" s="90">
        <f t="shared" si="294"/>
        <v>4225.3239992296285</v>
      </c>
      <c r="Z335" s="86">
        <f t="shared" si="295"/>
        <v>-23697.98993</v>
      </c>
      <c r="AA335" s="85">
        <f t="shared" si="296"/>
        <v>-913.46204712425447</v>
      </c>
      <c r="AB335" s="85">
        <f t="shared" si="297"/>
        <v>-2462.4050061819075</v>
      </c>
      <c r="AC335" s="90">
        <f t="shared" si="298"/>
        <v>913.46204712425447</v>
      </c>
      <c r="AD335" s="86">
        <f t="shared" si="299"/>
        <v>-11450.165499999999</v>
      </c>
      <c r="AE335" s="85">
        <f t="shared" si="300"/>
        <v>4140.4375383844126</v>
      </c>
      <c r="AF335" s="85">
        <f t="shared" si="301"/>
        <v>-4531.4517089875235</v>
      </c>
      <c r="AG335" s="90">
        <f t="shared" si="302"/>
        <v>4140.4375383844126</v>
      </c>
      <c r="AH335" s="86">
        <f t="shared" si="303"/>
        <v>21959.709449999998</v>
      </c>
      <c r="AI335" s="85">
        <f t="shared" si="304"/>
        <v>6238.0466047659793</v>
      </c>
      <c r="AJ335" s="85">
        <f t="shared" si="305"/>
        <v>14921.624261304114</v>
      </c>
      <c r="AK335" s="90">
        <f t="shared" si="306"/>
        <v>6238.0466047659793</v>
      </c>
      <c r="AM335" s="95">
        <f t="shared" si="275"/>
        <v>0</v>
      </c>
      <c r="AN335" s="95">
        <f t="shared" si="276"/>
        <v>0</v>
      </c>
      <c r="AO335" s="95">
        <f t="shared" si="277"/>
        <v>0</v>
      </c>
      <c r="AP335" s="95">
        <f t="shared" si="278"/>
        <v>0</v>
      </c>
      <c r="AQ335"/>
      <c r="AR335" s="95">
        <f t="shared" si="307"/>
        <v>0</v>
      </c>
      <c r="AS335" s="95">
        <f t="shared" si="308"/>
        <v>0</v>
      </c>
      <c r="AT335" s="95">
        <f>Geraetedaten!$B$94*ABS(SIN(RADIANS($A335)))</f>
        <v>140.68600047696057</v>
      </c>
      <c r="AU335" s="95">
        <f>Geraetedaten!$B$94*ABS(COS(RADIANS($A335)))</f>
        <v>62.637443033673165</v>
      </c>
      <c r="AV335" s="95">
        <f>((h_Aw_Sw+Geraetedaten!$B$18)/1000)*(AR335*AT335+AS335*AU335)/100</f>
        <v>0</v>
      </c>
      <c r="AX335" s="18">
        <f t="shared" si="274"/>
        <v>0.40673664307579976</v>
      </c>
    </row>
    <row r="336" spans="1:50" ht="13.5" x14ac:dyDescent="0.25">
      <c r="A336" s="16">
        <v>295</v>
      </c>
      <c r="B336" s="16">
        <f t="shared" si="282"/>
        <v>155</v>
      </c>
      <c r="C336" s="19">
        <f t="shared" si="283"/>
        <v>70.250219346810582</v>
      </c>
      <c r="D336" s="17">
        <f t="shared" si="279"/>
        <v>11599.55622065319</v>
      </c>
      <c r="E336" s="17">
        <f t="shared" si="284"/>
        <v>-22779.54543934681</v>
      </c>
      <c r="F336" s="17">
        <f t="shared" si="285"/>
        <v>-11611.756359346809</v>
      </c>
      <c r="G336" s="17">
        <f t="shared" si="286"/>
        <v>21090.199870653189</v>
      </c>
      <c r="H336" s="17">
        <f t="shared" si="309"/>
        <v>11599.55622065319</v>
      </c>
      <c r="I336" s="17">
        <f t="shared" si="287"/>
        <v>4663.0701326825329</v>
      </c>
      <c r="J336" s="20">
        <f>(Geraetedaten!$B$152+(Geraetedaten!$B$153*(Geraetedaten!$B$18+d_y_Sw)/1000))*10</f>
        <v>6051.0442000000003</v>
      </c>
      <c r="K336" s="20">
        <f>(Geraetedaten!$B$165+(Geraetedaten!$B$166*(Geraetedaten!$B$18+d_y_Sw)/1000))*10</f>
        <v>10816.164000000001</v>
      </c>
      <c r="L336" s="20">
        <f>(Geraetedaten!$B$158+(Geraetedaten!$B$159*(Geraetedaten!$B$18+d_y_Sw)/1000)-(Geraetedaten!$B$160*I336/1000))*10</f>
        <v>259.59366717038966</v>
      </c>
      <c r="M336" s="20">
        <f>(Geraetedaten!$B$171+(Geraetedaten!$B$172*(Geraetedaten!$B$18+d_y_Sw)/1000)-(Geraetedaten!$B$173*I336/1000))*10</f>
        <v>717.74805932311313</v>
      </c>
      <c r="N336" s="20">
        <f>IF((H336-J336)/(K336-J336)*(Geraetedaten!$B$174-Geraetedaten!$B$161)&lt;Geraetedaten!$B$174,(H336-J336)/(K336-J336)*(Geraetedaten!$B$174-Geraetedaten!$B$161),Geraetedaten!$B$174)</f>
        <v>400</v>
      </c>
      <c r="O336" s="20">
        <f>N336/Geraetedaten!$B$174*(M336-L336)+L336+C336</f>
        <v>787.99827866992371</v>
      </c>
      <c r="P336" s="20">
        <f t="shared" si="281"/>
        <v>220.45222411167379</v>
      </c>
      <c r="Q336" s="20"/>
      <c r="R336" s="21">
        <f>(N336-Geraetedaten!$B$161)/(Geraetedaten!$B$174-Geraetedaten!$B$161)*(Geraetedaten!$B$175-Geraetedaten!$B$162)+Geraetedaten!$B$162</f>
        <v>41.1</v>
      </c>
      <c r="S336" s="21">
        <f t="shared" si="288"/>
        <v>41.1</v>
      </c>
      <c r="T336" s="21">
        <f t="shared" si="289"/>
        <v>-37.249250047206317</v>
      </c>
      <c r="U336" s="88">
        <f t="shared" si="290"/>
        <v>17.369610557542753</v>
      </c>
      <c r="V336" s="86">
        <f t="shared" si="291"/>
        <v>11669.80644</v>
      </c>
      <c r="W336" s="85">
        <f t="shared" si="292"/>
        <v>-4225.3239992296285</v>
      </c>
      <c r="X336" s="85">
        <f t="shared" si="293"/>
        <v>4663.0701326825329</v>
      </c>
      <c r="Y336" s="90">
        <f t="shared" si="294"/>
        <v>4225.3239992296285</v>
      </c>
      <c r="Z336" s="86">
        <f t="shared" si="295"/>
        <v>-22709.29522</v>
      </c>
      <c r="AA336" s="85">
        <f t="shared" si="296"/>
        <v>-913.46204712425447</v>
      </c>
      <c r="AB336" s="85">
        <f t="shared" si="297"/>
        <v>-2359.6719549770428</v>
      </c>
      <c r="AC336" s="90">
        <f t="shared" si="298"/>
        <v>913.46204712425447</v>
      </c>
      <c r="AD336" s="86">
        <f t="shared" si="299"/>
        <v>-11541.50614</v>
      </c>
      <c r="AE336" s="85">
        <f t="shared" si="300"/>
        <v>4140.4375383844126</v>
      </c>
      <c r="AF336" s="85">
        <f t="shared" si="301"/>
        <v>-4567.6001544971605</v>
      </c>
      <c r="AG336" s="90">
        <f t="shared" si="302"/>
        <v>4140.4375383844126</v>
      </c>
      <c r="AH336" s="86">
        <f t="shared" si="303"/>
        <v>21160.450089999998</v>
      </c>
      <c r="AI336" s="85">
        <f t="shared" si="304"/>
        <v>6238.0466047659793</v>
      </c>
      <c r="AJ336" s="85">
        <f t="shared" si="305"/>
        <v>14378.52746807736</v>
      </c>
      <c r="AK336" s="90">
        <f t="shared" si="306"/>
        <v>6238.0466047659793</v>
      </c>
      <c r="AM336" s="95">
        <f t="shared" si="275"/>
        <v>0</v>
      </c>
      <c r="AN336" s="95">
        <f t="shared" si="276"/>
        <v>0</v>
      </c>
      <c r="AO336" s="95">
        <f t="shared" si="277"/>
        <v>0</v>
      </c>
      <c r="AP336" s="95">
        <f t="shared" si="278"/>
        <v>0</v>
      </c>
      <c r="AQ336"/>
      <c r="AR336" s="95">
        <f t="shared" si="307"/>
        <v>0</v>
      </c>
      <c r="AS336" s="95">
        <f t="shared" si="308"/>
        <v>0</v>
      </c>
      <c r="AT336" s="95">
        <f>Geraetedaten!$B$94*ABS(SIN(RADIANS($A336)))</f>
        <v>139.57139920364409</v>
      </c>
      <c r="AU336" s="95">
        <f>Geraetedaten!$B$94*ABS(COS(RADIANS($A336)))</f>
        <v>65.083212308067743</v>
      </c>
      <c r="AV336" s="95">
        <f>((h_Aw_Sw+Geraetedaten!$B$18)/1000)*(AR336*AT336+AS336*AU336)/100</f>
        <v>0</v>
      </c>
      <c r="AX336" s="18">
        <f t="shared" si="274"/>
        <v>0.42261826174069961</v>
      </c>
    </row>
    <row r="337" spans="1:50" ht="13.5" x14ac:dyDescent="0.25">
      <c r="A337" s="16">
        <v>296</v>
      </c>
      <c r="B337" s="16">
        <f t="shared" si="282"/>
        <v>154</v>
      </c>
      <c r="C337" s="19">
        <f t="shared" si="283"/>
        <v>70.24448452713311</v>
      </c>
      <c r="D337" s="17">
        <f t="shared" si="279"/>
        <v>11697.228305472867</v>
      </c>
      <c r="E337" s="17">
        <f t="shared" si="284"/>
        <v>-21876.415214527136</v>
      </c>
      <c r="F337" s="17">
        <f t="shared" si="285"/>
        <v>-11708.133794527133</v>
      </c>
      <c r="G337" s="17">
        <f t="shared" si="286"/>
        <v>20353.086395472867</v>
      </c>
      <c r="H337" s="17">
        <f t="shared" si="309"/>
        <v>11697.228305472867</v>
      </c>
      <c r="I337" s="17">
        <f t="shared" si="287"/>
        <v>4702.0960605053506</v>
      </c>
      <c r="J337" s="20">
        <f>(Geraetedaten!$B$152+(Geraetedaten!$B$153*(Geraetedaten!$B$18+d_y_Sw)/1000))*10</f>
        <v>6051.0442000000003</v>
      </c>
      <c r="K337" s="20">
        <f>(Geraetedaten!$B$165+(Geraetedaten!$B$166*(Geraetedaten!$B$18+d_y_Sw)/1000))*10</f>
        <v>10816.164000000001</v>
      </c>
      <c r="L337" s="20">
        <f>(Geraetedaten!$B$158+(Geraetedaten!$B$159*(Geraetedaten!$B$18+d_y_Sw)/1000)-(Geraetedaten!$B$160*I337/1000))*10</f>
        <v>256.7318958831425</v>
      </c>
      <c r="M337" s="20">
        <f>(Geraetedaten!$B$171+(Geraetedaten!$B$172*(Geraetedaten!$B$18+d_y_Sw)/1000)-(Geraetedaten!$B$173*I337/1000))*10</f>
        <v>714.84296925598244</v>
      </c>
      <c r="N337" s="20">
        <f>IF((H337-J337)/(K337-J337)*(Geraetedaten!$B$174-Geraetedaten!$B$161)&lt;Geraetedaten!$B$174,(H337-J337)/(K337-J337)*(Geraetedaten!$B$174-Geraetedaten!$B$161),Geraetedaten!$B$174)</f>
        <v>400</v>
      </c>
      <c r="O337" s="20">
        <f>N337/Geraetedaten!$B$174*(M337-L337)+L337+C337</f>
        <v>785.08745378311551</v>
      </c>
      <c r="P337" s="20">
        <f>O337*100/9.81/(R337-(I337/1000))</f>
        <v>219.87338131228495</v>
      </c>
      <c r="Q337" s="20"/>
      <c r="R337" s="21">
        <f>(N337-Geraetedaten!$B$161)/(Geraetedaten!$B$174-Geraetedaten!$B$161)*(Geraetedaten!$B$175-Geraetedaten!$B$162)+Geraetedaten!$B$162</f>
        <v>41.1</v>
      </c>
      <c r="S337" s="21">
        <f t="shared" si="288"/>
        <v>41.1</v>
      </c>
      <c r="T337" s="21">
        <f t="shared" si="289"/>
        <v>-36.940435302895764</v>
      </c>
      <c r="U337" s="88">
        <f t="shared" si="290"/>
        <v>18.017054133031081</v>
      </c>
      <c r="V337" s="86">
        <f t="shared" si="291"/>
        <v>11767.47279</v>
      </c>
      <c r="W337" s="85">
        <f t="shared" si="292"/>
        <v>-4225.3239992296285</v>
      </c>
      <c r="X337" s="85">
        <f t="shared" si="293"/>
        <v>4702.0960605053506</v>
      </c>
      <c r="Y337" s="90">
        <f t="shared" si="294"/>
        <v>4225.3239992296285</v>
      </c>
      <c r="Z337" s="86">
        <f t="shared" si="295"/>
        <v>-21806.170730000002</v>
      </c>
      <c r="AA337" s="85">
        <f t="shared" si="296"/>
        <v>-913.46204712425447</v>
      </c>
      <c r="AB337" s="85">
        <f t="shared" si="297"/>
        <v>-2265.8303146569101</v>
      </c>
      <c r="AC337" s="90">
        <f t="shared" si="298"/>
        <v>913.46204712425447</v>
      </c>
      <c r="AD337" s="86">
        <f t="shared" si="299"/>
        <v>-11637.88931</v>
      </c>
      <c r="AE337" s="85">
        <f t="shared" si="300"/>
        <v>4140.4375383844126</v>
      </c>
      <c r="AF337" s="85">
        <f t="shared" si="301"/>
        <v>-4605.7442028315163</v>
      </c>
      <c r="AG337" s="90">
        <f t="shared" si="302"/>
        <v>4140.4375383844126</v>
      </c>
      <c r="AH337" s="86">
        <f t="shared" si="303"/>
        <v>20423.330880000001</v>
      </c>
      <c r="AI337" s="85">
        <f t="shared" si="304"/>
        <v>6238.0466047659793</v>
      </c>
      <c r="AJ337" s="85">
        <f t="shared" si="305"/>
        <v>13877.654906239368</v>
      </c>
      <c r="AK337" s="90">
        <f t="shared" si="306"/>
        <v>6238.0466047659793</v>
      </c>
      <c r="AM337" s="95">
        <f t="shared" si="275"/>
        <v>0</v>
      </c>
      <c r="AN337" s="95">
        <f t="shared" si="276"/>
        <v>0</v>
      </c>
      <c r="AO337" s="95">
        <f t="shared" si="277"/>
        <v>0</v>
      </c>
      <c r="AP337" s="95">
        <f t="shared" si="278"/>
        <v>0</v>
      </c>
      <c r="AQ337"/>
      <c r="AR337" s="95">
        <f t="shared" si="307"/>
        <v>0</v>
      </c>
      <c r="AS337" s="95">
        <f t="shared" si="308"/>
        <v>0</v>
      </c>
      <c r="AT337" s="95">
        <f>Geraetedaten!$B$94*ABS(SIN(RADIANS($A337)))</f>
        <v>138.41428313007174</v>
      </c>
      <c r="AU337" s="95">
        <f>Geraetedaten!$B$94*ABS(COS(RADIANS($A337)))</f>
        <v>67.509156605517916</v>
      </c>
      <c r="AV337" s="95">
        <f>((h_Aw_Sw+Geraetedaten!$B$18)/1000)*(AR337*AT337+AS337*AU337)/100</f>
        <v>0</v>
      </c>
      <c r="AX337" s="18">
        <f t="shared" si="274"/>
        <v>0.4383711467890774</v>
      </c>
    </row>
    <row r="338" spans="1:50" ht="13.5" x14ac:dyDescent="0.25">
      <c r="A338" s="16">
        <v>297</v>
      </c>
      <c r="B338" s="16">
        <f t="shared" si="282"/>
        <v>153</v>
      </c>
      <c r="C338" s="19">
        <f t="shared" si="283"/>
        <v>70.217352556995067</v>
      </c>
      <c r="D338" s="17">
        <f t="shared" si="279"/>
        <v>11800.216717443005</v>
      </c>
      <c r="E338" s="17">
        <f t="shared" si="284"/>
        <v>-21048.494532556997</v>
      </c>
      <c r="F338" s="17">
        <f t="shared" si="285"/>
        <v>-11809.719252556994</v>
      </c>
      <c r="G338" s="17">
        <f t="shared" si="286"/>
        <v>19671.431417443004</v>
      </c>
      <c r="H338" s="17">
        <f t="shared" si="309"/>
        <v>11800.216717443005</v>
      </c>
      <c r="I338" s="17">
        <f t="shared" si="287"/>
        <v>4743.2377592947887</v>
      </c>
      <c r="J338" s="20">
        <f>(Geraetedaten!$B$152+(Geraetedaten!$B$153*(Geraetedaten!$B$18+d_y_Sw)/1000))*10</f>
        <v>6051.0442000000003</v>
      </c>
      <c r="K338" s="20">
        <f>(Geraetedaten!$B$165+(Geraetedaten!$B$166*(Geraetedaten!$B$18+d_y_Sw)/1000))*10</f>
        <v>10816.164000000001</v>
      </c>
      <c r="L338" s="20">
        <f>(Geraetedaten!$B$158+(Geraetedaten!$B$159*(Geraetedaten!$B$18+d_y_Sw)/1000)-(Geraetedaten!$B$160*I338/1000))*10</f>
        <v>253.71497511091292</v>
      </c>
      <c r="M338" s="20">
        <f>(Geraetedaten!$B$171+(Geraetedaten!$B$172*(Geraetedaten!$B$18+d_y_Sw)/1000)-(Geraetedaten!$B$173*I338/1000))*10</f>
        <v>711.78038119809685</v>
      </c>
      <c r="N338" s="20">
        <f>IF((H338-J338)/(K338-J338)*(Geraetedaten!$B$174-Geraetedaten!$B$161)&lt;Geraetedaten!$B$174,(H338-J338)/(K338-J338)*(Geraetedaten!$B$174-Geraetedaten!$B$161),Geraetedaten!$B$174)</f>
        <v>400</v>
      </c>
      <c r="O338" s="20">
        <f>N338/Geraetedaten!$B$174*(M338-L338)+L338+C338</f>
        <v>781.99773375509187</v>
      </c>
      <c r="P338" s="20">
        <f t="shared" ref="P338:P361" si="310">O338*100/9.81/(R338-(I338/1000))</f>
        <v>219.25589913857263</v>
      </c>
      <c r="Q338" s="20"/>
      <c r="R338" s="21">
        <f>(N338-Geraetedaten!$B$161)/(Geraetedaten!$B$174-Geraetedaten!$B$161)*(Geraetedaten!$B$175-Geraetedaten!$B$162)+Geraetedaten!$B$162</f>
        <v>41.1</v>
      </c>
      <c r="S338" s="21">
        <f t="shared" si="288"/>
        <v>41.1</v>
      </c>
      <c r="T338" s="21">
        <f t="shared" si="289"/>
        <v>-36.620368144141921</v>
      </c>
      <c r="U338" s="88">
        <f t="shared" si="290"/>
        <v>18.659009539295369</v>
      </c>
      <c r="V338" s="86">
        <f t="shared" si="291"/>
        <v>11870.434069999999</v>
      </c>
      <c r="W338" s="85">
        <f t="shared" si="292"/>
        <v>-4225.3239992296285</v>
      </c>
      <c r="X338" s="85">
        <f t="shared" si="293"/>
        <v>4743.2377592947887</v>
      </c>
      <c r="Y338" s="90">
        <f t="shared" si="294"/>
        <v>4225.3239992296285</v>
      </c>
      <c r="Z338" s="86">
        <f t="shared" si="295"/>
        <v>-20978.277180000001</v>
      </c>
      <c r="AA338" s="85">
        <f t="shared" si="296"/>
        <v>-913.46204712425447</v>
      </c>
      <c r="AB338" s="85">
        <f t="shared" si="297"/>
        <v>-2179.8057516139697</v>
      </c>
      <c r="AC338" s="90">
        <f t="shared" si="298"/>
        <v>913.46204712425447</v>
      </c>
      <c r="AD338" s="86">
        <f t="shared" si="299"/>
        <v>-11739.501899999999</v>
      </c>
      <c r="AE338" s="85">
        <f t="shared" si="300"/>
        <v>4140.4375383844126</v>
      </c>
      <c r="AF338" s="85">
        <f t="shared" si="301"/>
        <v>-4645.9578201234954</v>
      </c>
      <c r="AG338" s="90">
        <f t="shared" si="302"/>
        <v>4140.4375383844126</v>
      </c>
      <c r="AH338" s="86">
        <f t="shared" si="303"/>
        <v>19741.64877</v>
      </c>
      <c r="AI338" s="85">
        <f t="shared" si="304"/>
        <v>6238.0466047659793</v>
      </c>
      <c r="AJ338" s="85">
        <f t="shared" si="305"/>
        <v>13414.451859395554</v>
      </c>
      <c r="AK338" s="90">
        <f t="shared" si="306"/>
        <v>6238.0466047659793</v>
      </c>
      <c r="AM338" s="95">
        <f t="shared" si="275"/>
        <v>0</v>
      </c>
      <c r="AN338" s="95">
        <f t="shared" si="276"/>
        <v>0</v>
      </c>
      <c r="AO338" s="95">
        <f t="shared" si="277"/>
        <v>0</v>
      </c>
      <c r="AP338" s="95">
        <f t="shared" si="278"/>
        <v>0</v>
      </c>
      <c r="AQ338"/>
      <c r="AR338" s="95">
        <f t="shared" si="307"/>
        <v>0</v>
      </c>
      <c r="AS338" s="95">
        <f t="shared" si="308"/>
        <v>0</v>
      </c>
      <c r="AT338" s="95">
        <f>Geraetedaten!$B$94*ABS(SIN(RADIANS($A338)))</f>
        <v>137.21500472500867</v>
      </c>
      <c r="AU338" s="95">
        <f>Geraetedaten!$B$94*ABS(COS(RADIANS($A338)))</f>
        <v>69.914536959890185</v>
      </c>
      <c r="AV338" s="95">
        <f>((h_Aw_Sw+Geraetedaten!$B$18)/1000)*(AR338*AT338+AS338*AU338)/100</f>
        <v>0</v>
      </c>
      <c r="AX338" s="18">
        <f t="shared" si="274"/>
        <v>0.45399049973954664</v>
      </c>
    </row>
    <row r="339" spans="1:50" ht="13.5" x14ac:dyDescent="0.25">
      <c r="A339" s="16">
        <v>298</v>
      </c>
      <c r="B339" s="16">
        <f t="shared" si="282"/>
        <v>152</v>
      </c>
      <c r="C339" s="19">
        <f t="shared" si="283"/>
        <v>70.1688317010574</v>
      </c>
      <c r="D339" s="17">
        <f t="shared" si="279"/>
        <v>11908.725258298942</v>
      </c>
      <c r="E339" s="17">
        <f t="shared" si="284"/>
        <v>-20287.049731701056</v>
      </c>
      <c r="F339" s="17">
        <f t="shared" si="285"/>
        <v>-11916.713711701057</v>
      </c>
      <c r="G339" s="17">
        <f t="shared" si="286"/>
        <v>19039.466828298944</v>
      </c>
      <c r="H339" s="17">
        <f t="shared" si="309"/>
        <v>11908.725258298942</v>
      </c>
      <c r="I339" s="17">
        <f t="shared" si="287"/>
        <v>4786.5766715572336</v>
      </c>
      <c r="J339" s="20">
        <f>(Geraetedaten!$B$152+(Geraetedaten!$B$153*(Geraetedaten!$B$18+d_y_Sw)/1000))*10</f>
        <v>6051.0442000000003</v>
      </c>
      <c r="K339" s="20">
        <f>(Geraetedaten!$B$165+(Geraetedaten!$B$166*(Geraetedaten!$B$18+d_y_Sw)/1000))*10</f>
        <v>10816.164000000001</v>
      </c>
      <c r="L339" s="20">
        <f>(Geraetedaten!$B$158+(Geraetedaten!$B$159*(Geraetedaten!$B$18+d_y_Sw)/1000)-(Geraetedaten!$B$160*I339/1000))*10</f>
        <v>250.53693267470783</v>
      </c>
      <c r="M339" s="20">
        <f>(Geraetedaten!$B$171+(Geraetedaten!$B$172*(Geraetedaten!$B$18+d_y_Sw)/1000)-(Geraetedaten!$B$173*I339/1000))*10</f>
        <v>708.55423256928043</v>
      </c>
      <c r="N339" s="20">
        <f>IF((H339-J339)/(K339-J339)*(Geraetedaten!$B$174-Geraetedaten!$B$161)&lt;Geraetedaten!$B$174,(H339-J339)/(K339-J339)*(Geraetedaten!$B$174-Geraetedaten!$B$161),Geraetedaten!$B$174)</f>
        <v>400</v>
      </c>
      <c r="O339" s="20">
        <f>N339/Geraetedaten!$B$174*(M339-L339)+L339+C339</f>
        <v>778.72306427033777</v>
      </c>
      <c r="P339" s="20">
        <f t="shared" si="310"/>
        <v>218.59832906663155</v>
      </c>
      <c r="Q339" s="20"/>
      <c r="R339" s="21">
        <f>(N339-Geraetedaten!$B$161)/(Geraetedaten!$B$174-Geraetedaten!$B$161)*(Geraetedaten!$B$175-Geraetedaten!$B$162)+Geraetedaten!$B$162</f>
        <v>41.1</v>
      </c>
      <c r="S339" s="21">
        <f t="shared" si="288"/>
        <v>41.1</v>
      </c>
      <c r="T339" s="21">
        <f t="shared" si="289"/>
        <v>-36.289146066501907</v>
      </c>
      <c r="U339" s="88">
        <f t="shared" si="290"/>
        <v>19.295281230500098</v>
      </c>
      <c r="V339" s="86">
        <f t="shared" si="291"/>
        <v>11978.89409</v>
      </c>
      <c r="W339" s="85">
        <f t="shared" si="292"/>
        <v>-4225.3239992296285</v>
      </c>
      <c r="X339" s="85">
        <f t="shared" si="293"/>
        <v>4786.5766715572336</v>
      </c>
      <c r="Y339" s="90">
        <f t="shared" si="294"/>
        <v>4225.3239992296285</v>
      </c>
      <c r="Z339" s="86">
        <f t="shared" si="295"/>
        <v>-20216.8809</v>
      </c>
      <c r="AA339" s="85">
        <f t="shared" si="296"/>
        <v>-913.46204712425447</v>
      </c>
      <c r="AB339" s="85">
        <f t="shared" si="297"/>
        <v>-2100.6907708443919</v>
      </c>
      <c r="AC339" s="90">
        <f t="shared" si="298"/>
        <v>913.46204712425447</v>
      </c>
      <c r="AD339" s="86">
        <f t="shared" si="299"/>
        <v>-11846.544879999999</v>
      </c>
      <c r="AE339" s="85">
        <f t="shared" si="300"/>
        <v>4140.4375383844126</v>
      </c>
      <c r="AF339" s="85">
        <f t="shared" si="301"/>
        <v>-4688.3205347233052</v>
      </c>
      <c r="AG339" s="90">
        <f t="shared" si="302"/>
        <v>4140.4375383844126</v>
      </c>
      <c r="AH339" s="86">
        <f t="shared" si="303"/>
        <v>19109.63566</v>
      </c>
      <c r="AI339" s="85">
        <f t="shared" si="304"/>
        <v>6238.0466047659793</v>
      </c>
      <c r="AJ339" s="85">
        <f t="shared" si="305"/>
        <v>12984.998899100427</v>
      </c>
      <c r="AK339" s="90">
        <f t="shared" si="306"/>
        <v>6238.0466047659793</v>
      </c>
      <c r="AM339" s="95">
        <f t="shared" si="275"/>
        <v>0</v>
      </c>
      <c r="AN339" s="95">
        <f t="shared" si="276"/>
        <v>0</v>
      </c>
      <c r="AO339" s="95">
        <f t="shared" si="277"/>
        <v>0</v>
      </c>
      <c r="AP339" s="95">
        <f t="shared" si="278"/>
        <v>0</v>
      </c>
      <c r="AQ339"/>
      <c r="AR339" s="95">
        <f t="shared" si="307"/>
        <v>0</v>
      </c>
      <c r="AS339" s="95">
        <f t="shared" si="308"/>
        <v>0</v>
      </c>
      <c r="AT339" s="95">
        <f>Geraetedaten!$B$94*ABS(SIN(RADIANS($A339)))</f>
        <v>135.97392930027476</v>
      </c>
      <c r="AU339" s="95">
        <f>Geraetedaten!$B$94*ABS(COS(RADIANS($A339)))</f>
        <v>72.29862066902713</v>
      </c>
      <c r="AV339" s="95">
        <f>((h_Aw_Sw+Geraetedaten!$B$18)/1000)*(AR339*AT339+AS339*AU339)/100</f>
        <v>0</v>
      </c>
      <c r="AX339" s="18">
        <f t="shared" si="274"/>
        <v>0.46947156278589042</v>
      </c>
    </row>
    <row r="340" spans="1:50" ht="13.5" x14ac:dyDescent="0.25">
      <c r="A340" s="16">
        <v>299</v>
      </c>
      <c r="B340" s="16">
        <f t="shared" si="282"/>
        <v>151</v>
      </c>
      <c r="C340" s="19">
        <f t="shared" si="283"/>
        <v>70.098936739242845</v>
      </c>
      <c r="D340" s="17">
        <f t="shared" si="279"/>
        <v>12022.973093260756</v>
      </c>
      <c r="E340" s="17">
        <f t="shared" si="284"/>
        <v>-19584.652986739242</v>
      </c>
      <c r="F340" s="17">
        <f t="shared" si="285"/>
        <v>-12029.333256739243</v>
      </c>
      <c r="G340" s="17">
        <f t="shared" si="286"/>
        <v>18452.202123260759</v>
      </c>
      <c r="H340" s="17">
        <f t="shared" si="309"/>
        <v>12022.973093260756</v>
      </c>
      <c r="I340" s="17">
        <f t="shared" si="287"/>
        <v>4832.200369270844</v>
      </c>
      <c r="J340" s="20">
        <f>(Geraetedaten!$B$152+(Geraetedaten!$B$153*(Geraetedaten!$B$18+d_y_Sw)/1000))*10</f>
        <v>6051.0442000000003</v>
      </c>
      <c r="K340" s="20">
        <f>(Geraetedaten!$B$165+(Geraetedaten!$B$166*(Geraetedaten!$B$18+d_y_Sw)/1000))*10</f>
        <v>10816.164000000001</v>
      </c>
      <c r="L340" s="20">
        <f>(Geraetedaten!$B$158+(Geraetedaten!$B$159*(Geraetedaten!$B$18+d_y_Sw)/1000)-(Geraetedaten!$B$160*I340/1000))*10</f>
        <v>247.19134692136885</v>
      </c>
      <c r="M340" s="20">
        <f>(Geraetedaten!$B$171+(Geraetedaten!$B$172*(Geraetedaten!$B$18+d_y_Sw)/1000)-(Geraetedaten!$B$173*I340/1000))*10</f>
        <v>705.15800451147925</v>
      </c>
      <c r="N340" s="20">
        <f>IF((H340-J340)/(K340-J340)*(Geraetedaten!$B$174-Geraetedaten!$B$161)&lt;Geraetedaten!$B$174,(H340-J340)/(K340-J340)*(Geraetedaten!$B$174-Geraetedaten!$B$161),Geraetedaten!$B$174)</f>
        <v>400</v>
      </c>
      <c r="O340" s="20">
        <f>N340/Geraetedaten!$B$174*(M340-L340)+L340+C340</f>
        <v>775.25694125072209</v>
      </c>
      <c r="P340" s="20">
        <f t="shared" si="310"/>
        <v>217.89910593227816</v>
      </c>
      <c r="Q340" s="20"/>
      <c r="R340" s="21">
        <f>(N340-Geraetedaten!$B$161)/(Geraetedaten!$B$174-Geraetedaten!$B$161)*(Geraetedaten!$B$175-Geraetedaten!$B$162)+Geraetedaten!$B$162</f>
        <v>41.1</v>
      </c>
      <c r="S340" s="21">
        <f t="shared" si="288"/>
        <v>41.1</v>
      </c>
      <c r="T340" s="21">
        <f t="shared" si="289"/>
        <v>-35.946869963429158</v>
      </c>
      <c r="U340" s="88">
        <f t="shared" si="290"/>
        <v>19.925675392124464</v>
      </c>
      <c r="V340" s="86">
        <f t="shared" si="291"/>
        <v>12093.072029999999</v>
      </c>
      <c r="W340" s="85">
        <f t="shared" si="292"/>
        <v>-4225.3239992296285</v>
      </c>
      <c r="X340" s="85">
        <f t="shared" si="293"/>
        <v>4832.200369270844</v>
      </c>
      <c r="Y340" s="90">
        <f t="shared" si="294"/>
        <v>4225.3239992296285</v>
      </c>
      <c r="Z340" s="86">
        <f t="shared" si="295"/>
        <v>-19514.554049999999</v>
      </c>
      <c r="AA340" s="85">
        <f t="shared" si="296"/>
        <v>-913.46204712425447</v>
      </c>
      <c r="AB340" s="85">
        <f t="shared" si="297"/>
        <v>-2027.7135626796739</v>
      </c>
      <c r="AC340" s="90">
        <f t="shared" si="298"/>
        <v>913.46204712425447</v>
      </c>
      <c r="AD340" s="86">
        <f t="shared" si="299"/>
        <v>-11959.23432</v>
      </c>
      <c r="AE340" s="85">
        <f t="shared" si="300"/>
        <v>4140.4375383844126</v>
      </c>
      <c r="AF340" s="85">
        <f t="shared" si="301"/>
        <v>-4732.9178599012221</v>
      </c>
      <c r="AG340" s="90">
        <f t="shared" si="302"/>
        <v>4140.4375383844126</v>
      </c>
      <c r="AH340" s="86">
        <f t="shared" si="303"/>
        <v>18522.301060000002</v>
      </c>
      <c r="AI340" s="85">
        <f t="shared" si="304"/>
        <v>6238.0466047659793</v>
      </c>
      <c r="AJ340" s="85">
        <f t="shared" si="305"/>
        <v>12585.904993427368</v>
      </c>
      <c r="AK340" s="90">
        <f t="shared" si="306"/>
        <v>6238.0466047659793</v>
      </c>
      <c r="AM340" s="95">
        <f t="shared" si="275"/>
        <v>0</v>
      </c>
      <c r="AN340" s="95">
        <f t="shared" si="276"/>
        <v>0</v>
      </c>
      <c r="AO340" s="95">
        <f t="shared" si="277"/>
        <v>0</v>
      </c>
      <c r="AP340" s="95">
        <f t="shared" si="278"/>
        <v>0</v>
      </c>
      <c r="AQ340"/>
      <c r="AR340" s="95">
        <f t="shared" si="307"/>
        <v>0</v>
      </c>
      <c r="AS340" s="95">
        <f t="shared" si="308"/>
        <v>0</v>
      </c>
      <c r="AT340" s="95">
        <f>Geraetedaten!$B$94*ABS(SIN(RADIANS($A340)))</f>
        <v>134.69143489946694</v>
      </c>
      <c r="AU340" s="95">
        <f>Geraetedaten!$B$94*ABS(COS(RADIANS($A340)))</f>
        <v>74.660681517935942</v>
      </c>
      <c r="AV340" s="95">
        <f>((h_Aw_Sw+Geraetedaten!$B$18)/1000)*(AR340*AT340+AS340*AU340)/100</f>
        <v>0</v>
      </c>
      <c r="AX340" s="18">
        <f t="shared" si="274"/>
        <v>0.48480962024633728</v>
      </c>
    </row>
    <row r="341" spans="1:50" ht="13.5" x14ac:dyDescent="0.25">
      <c r="A341" s="16">
        <v>300</v>
      </c>
      <c r="B341" s="16">
        <f t="shared" si="282"/>
        <v>150</v>
      </c>
      <c r="C341" s="19">
        <f t="shared" si="283"/>
        <v>70.007688962233885</v>
      </c>
      <c r="D341" s="17">
        <f t="shared" si="279"/>
        <v>12143.195881037766</v>
      </c>
      <c r="E341" s="17">
        <f t="shared" si="284"/>
        <v>-18934.947268962231</v>
      </c>
      <c r="F341" s="17">
        <f t="shared" si="285"/>
        <v>-12147.810288962235</v>
      </c>
      <c r="G341" s="17">
        <f t="shared" si="286"/>
        <v>17905.297851037769</v>
      </c>
      <c r="H341" s="17">
        <f t="shared" si="309"/>
        <v>12143.195881037766</v>
      </c>
      <c r="I341" s="17">
        <f t="shared" si="287"/>
        <v>4880.2030324110947</v>
      </c>
      <c r="J341" s="20">
        <f>(Geraetedaten!$B$152+(Geraetedaten!$B$153*(Geraetedaten!$B$18+d_y_Sw)/1000))*10</f>
        <v>6051.0442000000003</v>
      </c>
      <c r="K341" s="20">
        <f>(Geraetedaten!$B$165+(Geraetedaten!$B$166*(Geraetedaten!$B$18+d_y_Sw)/1000))*10</f>
        <v>10816.164000000001</v>
      </c>
      <c r="L341" s="20">
        <f>(Geraetedaten!$B$158+(Geraetedaten!$B$159*(Geraetedaten!$B$18+d_y_Sw)/1000)-(Geraetedaten!$B$160*I341/1000))*10</f>
        <v>243.67131163329424</v>
      </c>
      <c r="M341" s="20">
        <f>(Geraetedaten!$B$171+(Geraetedaten!$B$172*(Geraetedaten!$B$18+d_y_Sw)/1000)-(Geraetedaten!$B$173*I341/1000))*10</f>
        <v>701.58468626731883</v>
      </c>
      <c r="N341" s="20">
        <f>IF((H341-J341)/(K341-J341)*(Geraetedaten!$B$174-Geraetedaten!$B$161)&lt;Geraetedaten!$B$174,(H341-J341)/(K341-J341)*(Geraetedaten!$B$174-Geraetedaten!$B$161),Geraetedaten!$B$174)</f>
        <v>400</v>
      </c>
      <c r="O341" s="20">
        <f>N341/Geraetedaten!$B$174*(M341-L341)+L341+C341</f>
        <v>771.59237522955277</v>
      </c>
      <c r="P341" s="20">
        <f t="shared" si="310"/>
        <v>217.15653755997974</v>
      </c>
      <c r="Q341" s="20"/>
      <c r="R341" s="21">
        <f>(N341-Geraetedaten!$B$161)/(Geraetedaten!$B$174-Geraetedaten!$B$161)*(Geraetedaten!$B$175-Geraetedaten!$B$162)+Geraetedaten!$B$162</f>
        <v>41.1</v>
      </c>
      <c r="S341" s="21">
        <f t="shared" si="288"/>
        <v>41.1</v>
      </c>
      <c r="T341" s="21">
        <f t="shared" si="289"/>
        <v>-35.593644095540427</v>
      </c>
      <c r="U341" s="88">
        <f t="shared" si="290"/>
        <v>20.550000000000004</v>
      </c>
      <c r="V341" s="86">
        <f t="shared" si="291"/>
        <v>12213.20357</v>
      </c>
      <c r="W341" s="85">
        <f t="shared" si="292"/>
        <v>-4225.3239992296285</v>
      </c>
      <c r="X341" s="85">
        <f t="shared" si="293"/>
        <v>4880.2030324110947</v>
      </c>
      <c r="Y341" s="90">
        <f t="shared" si="294"/>
        <v>4225.3239992296285</v>
      </c>
      <c r="Z341" s="86">
        <f t="shared" si="295"/>
        <v>-18864.939579999998</v>
      </c>
      <c r="AA341" s="85">
        <f t="shared" si="296"/>
        <v>-913.46204712425447</v>
      </c>
      <c r="AB341" s="85">
        <f t="shared" si="297"/>
        <v>-1960.2135794142737</v>
      </c>
      <c r="AC341" s="90">
        <f t="shared" si="298"/>
        <v>913.46204712425447</v>
      </c>
      <c r="AD341" s="86">
        <f t="shared" si="299"/>
        <v>-12077.802600000001</v>
      </c>
      <c r="AE341" s="85">
        <f t="shared" si="300"/>
        <v>4140.4375383844126</v>
      </c>
      <c r="AF341" s="85">
        <f t="shared" si="301"/>
        <v>-4779.8417605200957</v>
      </c>
      <c r="AG341" s="90">
        <f t="shared" si="302"/>
        <v>4140.4375383844126</v>
      </c>
      <c r="AH341" s="86">
        <f t="shared" si="303"/>
        <v>17975.305540000001</v>
      </c>
      <c r="AI341" s="85">
        <f t="shared" si="304"/>
        <v>6238.0466047659793</v>
      </c>
      <c r="AJ341" s="85">
        <f t="shared" si="305"/>
        <v>12214.221499223308</v>
      </c>
      <c r="AK341" s="90">
        <f t="shared" si="306"/>
        <v>6238.0466047659793</v>
      </c>
      <c r="AM341" s="95">
        <f t="shared" si="275"/>
        <v>0</v>
      </c>
      <c r="AN341" s="95">
        <f t="shared" si="276"/>
        <v>0</v>
      </c>
      <c r="AO341" s="95">
        <f t="shared" si="277"/>
        <v>0</v>
      </c>
      <c r="AP341" s="95">
        <f t="shared" si="278"/>
        <v>0</v>
      </c>
      <c r="AQ341"/>
      <c r="AR341" s="95">
        <f t="shared" si="307"/>
        <v>0</v>
      </c>
      <c r="AS341" s="95">
        <f t="shared" si="308"/>
        <v>0</v>
      </c>
      <c r="AT341" s="95">
        <f>Geraetedaten!$B$94*ABS(SIN(RADIANS($A341)))</f>
        <v>133.36791218280354</v>
      </c>
      <c r="AU341" s="95">
        <f>Geraetedaten!$B$94*ABS(COS(RADIANS($A341)))</f>
        <v>77.000000000000014</v>
      </c>
      <c r="AV341" s="95">
        <f>((h_Aw_Sw+Geraetedaten!$B$18)/1000)*(AR341*AT341+AS341*AU341)/100</f>
        <v>0</v>
      </c>
      <c r="AX341" s="18">
        <f t="shared" si="274"/>
        <v>0.50000000000000011</v>
      </c>
    </row>
    <row r="342" spans="1:50" ht="13.5" x14ac:dyDescent="0.25">
      <c r="A342" s="16">
        <v>301</v>
      </c>
      <c r="B342" s="16">
        <f t="shared" si="282"/>
        <v>149</v>
      </c>
      <c r="C342" s="19">
        <f t="shared" si="283"/>
        <v>69.895116164987314</v>
      </c>
      <c r="D342" s="17">
        <f t="shared" si="279"/>
        <v>12269.647143835013</v>
      </c>
      <c r="E342" s="17">
        <f t="shared" si="284"/>
        <v>-18332.460286164987</v>
      </c>
      <c r="F342" s="17">
        <f t="shared" si="285"/>
        <v>-12272.394816164988</v>
      </c>
      <c r="G342" s="17">
        <f t="shared" si="286"/>
        <v>17394.962993835015</v>
      </c>
      <c r="H342" s="17">
        <f t="shared" si="309"/>
        <v>12269.647143835013</v>
      </c>
      <c r="I342" s="17">
        <f t="shared" si="287"/>
        <v>4930.6859778354556</v>
      </c>
      <c r="J342" s="20">
        <f>(Geraetedaten!$B$152+(Geraetedaten!$B$153*(Geraetedaten!$B$18+d_y_Sw)/1000))*10</f>
        <v>6051.0442000000003</v>
      </c>
      <c r="K342" s="20">
        <f>(Geraetedaten!$B$165+(Geraetedaten!$B$166*(Geraetedaten!$B$18+d_y_Sw)/1000))*10</f>
        <v>10816.164000000001</v>
      </c>
      <c r="L342" s="20">
        <f>(Geraetedaten!$B$158+(Geraetedaten!$B$159*(Geraetedaten!$B$18+d_y_Sw)/1000)-(Geraetedaten!$B$160*I342/1000))*10</f>
        <v>239.96939724532587</v>
      </c>
      <c r="M342" s="20">
        <f>(Geraetedaten!$B$171+(Geraetedaten!$B$172*(Geraetedaten!$B$18+d_y_Sw)/1000)-(Geraetedaten!$B$173*I342/1000))*10</f>
        <v>697.82673580992946</v>
      </c>
      <c r="N342" s="20">
        <f>IF((H342-J342)/(K342-J342)*(Geraetedaten!$B$174-Geraetedaten!$B$161)&lt;Geraetedaten!$B$174,(H342-J342)/(K342-J342)*(Geraetedaten!$B$174-Geraetedaten!$B$161),Geraetedaten!$B$174)</f>
        <v>400</v>
      </c>
      <c r="O342" s="20">
        <f>N342/Geraetedaten!$B$174*(M342-L342)+L342+C342</f>
        <v>767.72185197491672</v>
      </c>
      <c r="P342" s="20">
        <f t="shared" si="310"/>
        <v>216.36879318852067</v>
      </c>
      <c r="Q342" s="20"/>
      <c r="R342" s="21">
        <f>(N342-Geraetedaten!$B$161)/(Geraetedaten!$B$174-Geraetedaten!$B$161)*(Geraetedaten!$B$175-Geraetedaten!$B$162)+Geraetedaten!$B$162</f>
        <v>41.1</v>
      </c>
      <c r="S342" s="21">
        <f t="shared" si="288"/>
        <v>41.1</v>
      </c>
      <c r="T342" s="21">
        <f t="shared" si="289"/>
        <v>-35.229576058856821</v>
      </c>
      <c r="U342" s="88">
        <f t="shared" si="290"/>
        <v>21.168064878803225</v>
      </c>
      <c r="V342" s="86">
        <f t="shared" si="291"/>
        <v>12339.54226</v>
      </c>
      <c r="W342" s="85">
        <f t="shared" si="292"/>
        <v>-4225.3239992296285</v>
      </c>
      <c r="X342" s="85">
        <f t="shared" si="293"/>
        <v>4930.6859778354556</v>
      </c>
      <c r="Y342" s="90">
        <f t="shared" si="294"/>
        <v>4225.3239992296285</v>
      </c>
      <c r="Z342" s="86">
        <f t="shared" si="295"/>
        <v>-18262.565170000002</v>
      </c>
      <c r="AA342" s="85">
        <f t="shared" si="296"/>
        <v>-913.46204712425447</v>
      </c>
      <c r="AB342" s="85">
        <f t="shared" si="297"/>
        <v>-1897.6222046763642</v>
      </c>
      <c r="AC342" s="90">
        <f t="shared" si="298"/>
        <v>913.46204712425447</v>
      </c>
      <c r="AD342" s="86">
        <f t="shared" si="299"/>
        <v>-12202.4997</v>
      </c>
      <c r="AE342" s="85">
        <f t="shared" si="300"/>
        <v>4140.4375383844126</v>
      </c>
      <c r="AF342" s="85">
        <f t="shared" si="301"/>
        <v>-4829.1911687920083</v>
      </c>
      <c r="AG342" s="90">
        <f t="shared" si="302"/>
        <v>4140.4375383844126</v>
      </c>
      <c r="AH342" s="86">
        <f t="shared" si="303"/>
        <v>17464.858110000001</v>
      </c>
      <c r="AI342" s="85">
        <f t="shared" si="304"/>
        <v>6238.0466047659793</v>
      </c>
      <c r="AJ342" s="85">
        <f t="shared" si="305"/>
        <v>11867.372428258193</v>
      </c>
      <c r="AK342" s="90">
        <f t="shared" si="306"/>
        <v>6238.0466047659793</v>
      </c>
      <c r="AM342" s="95">
        <f t="shared" si="275"/>
        <v>0</v>
      </c>
      <c r="AN342" s="95">
        <f t="shared" si="276"/>
        <v>0</v>
      </c>
      <c r="AO342" s="95">
        <f t="shared" si="277"/>
        <v>0</v>
      </c>
      <c r="AP342" s="95">
        <f t="shared" si="278"/>
        <v>0</v>
      </c>
      <c r="AQ342"/>
      <c r="AR342" s="95">
        <f t="shared" si="307"/>
        <v>0</v>
      </c>
      <c r="AS342" s="95">
        <f t="shared" si="308"/>
        <v>0</v>
      </c>
      <c r="AT342" s="95">
        <f>Geraetedaten!$B$94*ABS(SIN(RADIANS($A342)))</f>
        <v>132.00376430812531</v>
      </c>
      <c r="AU342" s="95">
        <f>Geraetedaten!$B$94*ABS(COS(RADIANS($A342)))</f>
        <v>79.315863536148342</v>
      </c>
      <c r="AV342" s="95">
        <f>((h_Aw_Sw+Geraetedaten!$B$18)/1000)*(AR342*AT342+AS342*AU342)/100</f>
        <v>0</v>
      </c>
      <c r="AX342" s="18">
        <f t="shared" si="274"/>
        <v>0.51503807491005416</v>
      </c>
    </row>
    <row r="343" spans="1:50" ht="13.5" x14ac:dyDescent="0.25">
      <c r="A343" s="16">
        <v>302</v>
      </c>
      <c r="B343" s="16">
        <f t="shared" si="282"/>
        <v>148</v>
      </c>
      <c r="C343" s="19">
        <f t="shared" si="283"/>
        <v>69.761252638267678</v>
      </c>
      <c r="D343" s="17">
        <f t="shared" si="279"/>
        <v>12402.599747361734</v>
      </c>
      <c r="E343" s="17">
        <f t="shared" si="284"/>
        <v>-17772.455942638269</v>
      </c>
      <c r="F343" s="17">
        <f t="shared" si="285"/>
        <v>-12403.355912638268</v>
      </c>
      <c r="G343" s="17">
        <f t="shared" si="286"/>
        <v>16917.87111736173</v>
      </c>
      <c r="H343" s="17">
        <f t="shared" si="309"/>
        <v>12402.599747361734</v>
      </c>
      <c r="I343" s="17">
        <f t="shared" si="287"/>
        <v>4983.7582445105836</v>
      </c>
      <c r="J343" s="20">
        <f>(Geraetedaten!$B$152+(Geraetedaten!$B$153*(Geraetedaten!$B$18+d_y_Sw)/1000))*10</f>
        <v>6051.0442000000003</v>
      </c>
      <c r="K343" s="20">
        <f>(Geraetedaten!$B$165+(Geraetedaten!$B$166*(Geraetedaten!$B$18+d_y_Sw)/1000))*10</f>
        <v>10816.164000000001</v>
      </c>
      <c r="L343" s="20">
        <f>(Geraetedaten!$B$158+(Geraetedaten!$B$159*(Geraetedaten!$B$18+d_y_Sw)/1000)-(Geraetedaten!$B$160*I343/1000))*10</f>
        <v>236.07760793003871</v>
      </c>
      <c r="M343" s="20">
        <f>(Geraetedaten!$B$171+(Geraetedaten!$B$172*(Geraetedaten!$B$18+d_y_Sw)/1000)-(Geraetedaten!$B$173*I343/1000))*10</f>
        <v>693.87603627863314</v>
      </c>
      <c r="N343" s="20">
        <f>IF((H343-J343)/(K343-J343)*(Geraetedaten!$B$174-Geraetedaten!$B$161)&lt;Geraetedaten!$B$174,(H343-J343)/(K343-J343)*(Geraetedaten!$B$174-Geraetedaten!$B$161),Geraetedaten!$B$174)</f>
        <v>400</v>
      </c>
      <c r="O343" s="20">
        <f>N343/Geraetedaten!$B$174*(M343-L343)+L343+C343</f>
        <v>763.63728891690084</v>
      </c>
      <c r="P343" s="20">
        <f t="shared" si="310"/>
        <v>215.53389053358757</v>
      </c>
      <c r="Q343" s="20"/>
      <c r="R343" s="21">
        <f>(N343-Geraetedaten!$B$161)/(Geraetedaten!$B$174-Geraetedaten!$B$161)*(Geraetedaten!$B$175-Geraetedaten!$B$162)+Geraetedaten!$B$162</f>
        <v>41.1</v>
      </c>
      <c r="S343" s="21">
        <f t="shared" si="288"/>
        <v>41.1</v>
      </c>
      <c r="T343" s="21">
        <f t="shared" si="289"/>
        <v>-34.854776752029117</v>
      </c>
      <c r="U343" s="88">
        <f t="shared" si="290"/>
        <v>21.779681759984712</v>
      </c>
      <c r="V343" s="86">
        <f t="shared" si="291"/>
        <v>12472.361000000001</v>
      </c>
      <c r="W343" s="85">
        <f t="shared" si="292"/>
        <v>-4225.3239992296285</v>
      </c>
      <c r="X343" s="85">
        <f t="shared" si="293"/>
        <v>4983.7582445105836</v>
      </c>
      <c r="Y343" s="90">
        <f t="shared" si="294"/>
        <v>4225.3239992296285</v>
      </c>
      <c r="Z343" s="86">
        <f t="shared" si="295"/>
        <v>-17702.69469</v>
      </c>
      <c r="AA343" s="85">
        <f t="shared" si="296"/>
        <v>-913.46204712425447</v>
      </c>
      <c r="AB343" s="85">
        <f t="shared" si="297"/>
        <v>-1839.4473182617069</v>
      </c>
      <c r="AC343" s="90">
        <f t="shared" si="298"/>
        <v>913.46204712425447</v>
      </c>
      <c r="AD343" s="86">
        <f t="shared" si="299"/>
        <v>-12333.594660000001</v>
      </c>
      <c r="AE343" s="85">
        <f t="shared" si="300"/>
        <v>4140.4375383844126</v>
      </c>
      <c r="AF343" s="85">
        <f t="shared" si="301"/>
        <v>-4881.0725549453864</v>
      </c>
      <c r="AG343" s="90">
        <f t="shared" si="302"/>
        <v>4140.4375383844126</v>
      </c>
      <c r="AH343" s="86">
        <f t="shared" si="303"/>
        <v>16987.632369999999</v>
      </c>
      <c r="AI343" s="85">
        <f t="shared" si="304"/>
        <v>6238.0466047659793</v>
      </c>
      <c r="AJ343" s="85">
        <f t="shared" si="305"/>
        <v>11543.097504851341</v>
      </c>
      <c r="AK343" s="90">
        <f t="shared" si="306"/>
        <v>6238.0466047659793</v>
      </c>
      <c r="AM343" s="95">
        <f t="shared" si="275"/>
        <v>0</v>
      </c>
      <c r="AN343" s="95">
        <f t="shared" si="276"/>
        <v>0</v>
      </c>
      <c r="AO343" s="95">
        <f t="shared" si="277"/>
        <v>0</v>
      </c>
      <c r="AP343" s="95">
        <f t="shared" si="278"/>
        <v>0</v>
      </c>
      <c r="AQ343"/>
      <c r="AR343" s="95">
        <f t="shared" si="307"/>
        <v>0</v>
      </c>
      <c r="AS343" s="95">
        <f t="shared" si="308"/>
        <v>0</v>
      </c>
      <c r="AT343" s="95">
        <f>Geraetedaten!$B$94*ABS(SIN(RADIANS($A343)))</f>
        <v>130.59940680808964</v>
      </c>
      <c r="AU343" s="95">
        <f>Geraetedaten!$B$94*ABS(COS(RADIANS($A343)))</f>
        <v>81.607566691913519</v>
      </c>
      <c r="AV343" s="95">
        <f>((h_Aw_Sw+Geraetedaten!$B$18)/1000)*(AR343*AT343+AS343*AU343)/100</f>
        <v>0</v>
      </c>
      <c r="AX343" s="18">
        <f t="shared" si="274"/>
        <v>0.52991926423320468</v>
      </c>
    </row>
    <row r="344" spans="1:50" ht="13.5" x14ac:dyDescent="0.25">
      <c r="A344" s="16">
        <v>303</v>
      </c>
      <c r="B344" s="16">
        <f t="shared" si="282"/>
        <v>147</v>
      </c>
      <c r="C344" s="19">
        <f t="shared" si="283"/>
        <v>69.606139158202012</v>
      </c>
      <c r="D344" s="17">
        <f t="shared" si="279"/>
        <v>12542.347460841798</v>
      </c>
      <c r="E344" s="17">
        <f t="shared" si="284"/>
        <v>-17250.814759158202</v>
      </c>
      <c r="F344" s="17">
        <f t="shared" si="285"/>
        <v>-12540.983279158203</v>
      </c>
      <c r="G344" s="17">
        <f t="shared" si="286"/>
        <v>16471.0915608418</v>
      </c>
      <c r="H344" s="17">
        <f t="shared" si="309"/>
        <v>12542.347460841798</v>
      </c>
      <c r="I344" s="17">
        <f t="shared" si="287"/>
        <v>5039.5372419121204</v>
      </c>
      <c r="J344" s="20">
        <f>(Geraetedaten!$B$152+(Geraetedaten!$B$153*(Geraetedaten!$B$18+d_y_Sw)/1000))*10</f>
        <v>6051.0442000000003</v>
      </c>
      <c r="K344" s="20">
        <f>(Geraetedaten!$B$165+(Geraetedaten!$B$166*(Geraetedaten!$B$18+d_y_Sw)/1000))*10</f>
        <v>10816.164000000001</v>
      </c>
      <c r="L344" s="20">
        <f>(Geraetedaten!$B$158+(Geraetedaten!$B$159*(Geraetedaten!$B$18+d_y_Sw)/1000)-(Geraetedaten!$B$160*I344/1000))*10</f>
        <v>231.98733405058405</v>
      </c>
      <c r="M344" s="20">
        <f>(Geraetedaten!$B$171+(Geraetedaten!$B$172*(Geraetedaten!$B$18+d_y_Sw)/1000)-(Geraetedaten!$B$173*I344/1000))*10</f>
        <v>689.72384771206271</v>
      </c>
      <c r="N344" s="20">
        <f>IF((H344-J344)/(K344-J344)*(Geraetedaten!$B$174-Geraetedaten!$B$161)&lt;Geraetedaten!$B$174,(H344-J344)/(K344-J344)*(Geraetedaten!$B$174-Geraetedaten!$B$161),Geraetedaten!$B$174)</f>
        <v>400</v>
      </c>
      <c r="O344" s="20">
        <f>N344/Geraetedaten!$B$174*(M344-L344)+L344+C344</f>
        <v>759.32998687026475</v>
      </c>
      <c r="P344" s="20">
        <f t="shared" si="310"/>
        <v>214.64968130229232</v>
      </c>
      <c r="Q344" s="20"/>
      <c r="R344" s="21">
        <f>(N344-Geraetedaten!$B$161)/(Geraetedaten!$B$174-Geraetedaten!$B$161)*(Geraetedaten!$B$175-Geraetedaten!$B$162)+Geraetedaten!$B$162</f>
        <v>41.1</v>
      </c>
      <c r="S344" s="21">
        <f t="shared" si="288"/>
        <v>41.1</v>
      </c>
      <c r="T344" s="21">
        <f t="shared" si="289"/>
        <v>-34.469360342556939</v>
      </c>
      <c r="U344" s="88">
        <f t="shared" si="290"/>
        <v>22.384664339117595</v>
      </c>
      <c r="V344" s="86">
        <f t="shared" si="291"/>
        <v>12611.953600000001</v>
      </c>
      <c r="W344" s="85">
        <f t="shared" si="292"/>
        <v>-4225.3239992296285</v>
      </c>
      <c r="X344" s="85">
        <f t="shared" si="293"/>
        <v>5039.5372419121204</v>
      </c>
      <c r="Y344" s="90">
        <f t="shared" si="294"/>
        <v>4225.3239992296285</v>
      </c>
      <c r="Z344" s="86">
        <f t="shared" si="295"/>
        <v>-17181.208620000001</v>
      </c>
      <c r="AA344" s="85">
        <f t="shared" si="296"/>
        <v>-913.46204712425447</v>
      </c>
      <c r="AB344" s="85">
        <f t="shared" si="297"/>
        <v>-1785.2608703848925</v>
      </c>
      <c r="AC344" s="90">
        <f t="shared" si="298"/>
        <v>913.46204712425447</v>
      </c>
      <c r="AD344" s="86">
        <f t="shared" si="299"/>
        <v>-12471.377140000001</v>
      </c>
      <c r="AE344" s="85">
        <f t="shared" si="300"/>
        <v>4140.4375383844126</v>
      </c>
      <c r="AF344" s="85">
        <f t="shared" si="301"/>
        <v>-4935.600559452635</v>
      </c>
      <c r="AG344" s="90">
        <f t="shared" si="302"/>
        <v>4140.4375383844126</v>
      </c>
      <c r="AH344" s="86">
        <f t="shared" si="303"/>
        <v>16540.697700000001</v>
      </c>
      <c r="AI344" s="85">
        <f t="shared" si="304"/>
        <v>6238.0466047659793</v>
      </c>
      <c r="AJ344" s="85">
        <f t="shared" si="305"/>
        <v>11239.405358956652</v>
      </c>
      <c r="AK344" s="90">
        <f t="shared" si="306"/>
        <v>6238.0466047659793</v>
      </c>
      <c r="AM344" s="95">
        <f t="shared" si="275"/>
        <v>0</v>
      </c>
      <c r="AN344" s="95">
        <f t="shared" si="276"/>
        <v>0</v>
      </c>
      <c r="AO344" s="95">
        <f t="shared" si="277"/>
        <v>0</v>
      </c>
      <c r="AP344" s="95">
        <f t="shared" si="278"/>
        <v>0</v>
      </c>
      <c r="AQ344"/>
      <c r="AR344" s="95">
        <f t="shared" si="307"/>
        <v>0</v>
      </c>
      <c r="AS344" s="95">
        <f t="shared" si="308"/>
        <v>0</v>
      </c>
      <c r="AT344" s="95">
        <f>Geraetedaten!$B$94*ABS(SIN(RADIANS($A344)))</f>
        <v>129.15526746359535</v>
      </c>
      <c r="AU344" s="95">
        <f>Geraetedaten!$B$94*ABS(COS(RADIANS($A344)))</f>
        <v>83.874411392314101</v>
      </c>
      <c r="AV344" s="95">
        <f>((h_Aw_Sw+Geraetedaten!$B$18)/1000)*(AR344*AT344+AS344*AU344)/100</f>
        <v>0</v>
      </c>
      <c r="AX344" s="18">
        <f t="shared" si="274"/>
        <v>0.54463903501502664</v>
      </c>
    </row>
    <row r="345" spans="1:50" ht="13.5" x14ac:dyDescent="0.25">
      <c r="A345" s="16">
        <v>304</v>
      </c>
      <c r="B345" s="16">
        <f t="shared" si="282"/>
        <v>146</v>
      </c>
      <c r="C345" s="19">
        <f t="shared" si="283"/>
        <v>69.429822973858947</v>
      </c>
      <c r="D345" s="17">
        <f t="shared" si="279"/>
        <v>12689.206827026141</v>
      </c>
      <c r="E345" s="17">
        <f t="shared" si="284"/>
        <v>-16763.93688297386</v>
      </c>
      <c r="F345" s="17">
        <f t="shared" si="285"/>
        <v>-12685.58907297386</v>
      </c>
      <c r="G345" s="17">
        <f t="shared" si="286"/>
        <v>16052.03238702614</v>
      </c>
      <c r="H345" s="17">
        <f t="shared" si="309"/>
        <v>12689.206827026141</v>
      </c>
      <c r="I345" s="17">
        <f t="shared" si="287"/>
        <v>5098.1494694093763</v>
      </c>
      <c r="J345" s="20">
        <f>(Geraetedaten!$B$152+(Geraetedaten!$B$153*(Geraetedaten!$B$18+d_y_Sw)/1000))*10</f>
        <v>6051.0442000000003</v>
      </c>
      <c r="K345" s="20">
        <f>(Geraetedaten!$B$165+(Geraetedaten!$B$166*(Geraetedaten!$B$18+d_y_Sw)/1000))*10</f>
        <v>10816.164000000001</v>
      </c>
      <c r="L345" s="20">
        <f>(Geraetedaten!$B$158+(Geraetedaten!$B$159*(Geraetedaten!$B$18+d_y_Sw)/1000)-(Geraetedaten!$B$160*I345/1000))*10</f>
        <v>227.68929940821025</v>
      </c>
      <c r="M345" s="20">
        <f>(Geraetedaten!$B$171+(Geraetedaten!$B$172*(Geraetedaten!$B$18+d_y_Sw)/1000)-(Geraetedaten!$B$173*I345/1000))*10</f>
        <v>685.36075349716702</v>
      </c>
      <c r="N345" s="20">
        <f>IF((H345-J345)/(K345-J345)*(Geraetedaten!$B$174-Geraetedaten!$B$161)&lt;Geraetedaten!$B$174,(H345-J345)/(K345-J345)*(Geraetedaten!$B$174-Geraetedaten!$B$161),Geraetedaten!$B$174)</f>
        <v>400</v>
      </c>
      <c r="O345" s="20">
        <f>N345/Geraetedaten!$B$174*(M345-L345)+L345+C345</f>
        <v>754.79057647102593</v>
      </c>
      <c r="P345" s="20">
        <f t="shared" si="310"/>
        <v>213.71383494497817</v>
      </c>
      <c r="Q345" s="20"/>
      <c r="R345" s="21">
        <f>(N345-Geraetedaten!$B$161)/(Geraetedaten!$B$174-Geraetedaten!$B$161)*(Geraetedaten!$B$175-Geraetedaten!$B$162)+Geraetedaten!$B$162</f>
        <v>41.1</v>
      </c>
      <c r="S345" s="21">
        <f t="shared" si="288"/>
        <v>41.1</v>
      </c>
      <c r="T345" s="21">
        <f t="shared" si="289"/>
        <v>-34.073444232012214</v>
      </c>
      <c r="U345" s="88">
        <f t="shared" si="290"/>
        <v>22.982828332647703</v>
      </c>
      <c r="V345" s="86">
        <f t="shared" si="291"/>
        <v>12758.63665</v>
      </c>
      <c r="W345" s="85">
        <f t="shared" si="292"/>
        <v>-4225.3239992296285</v>
      </c>
      <c r="X345" s="85">
        <f t="shared" si="293"/>
        <v>5098.1494694093763</v>
      </c>
      <c r="Y345" s="90">
        <f t="shared" si="294"/>
        <v>4225.3239992296285</v>
      </c>
      <c r="Z345" s="86">
        <f t="shared" si="295"/>
        <v>-16694.50706</v>
      </c>
      <c r="AA345" s="85">
        <f t="shared" si="296"/>
        <v>-913.46204712425447</v>
      </c>
      <c r="AB345" s="85">
        <f t="shared" si="297"/>
        <v>-1734.6888023821421</v>
      </c>
      <c r="AC345" s="90">
        <f t="shared" si="298"/>
        <v>913.46204712425447</v>
      </c>
      <c r="AD345" s="86">
        <f t="shared" si="299"/>
        <v>-12616.159250000001</v>
      </c>
      <c r="AE345" s="85">
        <f t="shared" si="300"/>
        <v>4140.4375383844126</v>
      </c>
      <c r="AF345" s="85">
        <f t="shared" si="301"/>
        <v>-4992.8986944238959</v>
      </c>
      <c r="AG345" s="90">
        <f t="shared" si="302"/>
        <v>4140.4375383844126</v>
      </c>
      <c r="AH345" s="86">
        <f t="shared" si="303"/>
        <v>16121.46221</v>
      </c>
      <c r="AI345" s="85">
        <f t="shared" si="304"/>
        <v>6238.0466047659793</v>
      </c>
      <c r="AJ345" s="85">
        <f t="shared" si="305"/>
        <v>10954.534810820993</v>
      </c>
      <c r="AK345" s="90">
        <f t="shared" si="306"/>
        <v>6238.0466047659793</v>
      </c>
      <c r="AM345" s="95">
        <f t="shared" si="275"/>
        <v>0</v>
      </c>
      <c r="AN345" s="95">
        <f t="shared" si="276"/>
        <v>0</v>
      </c>
      <c r="AO345" s="95">
        <f t="shared" si="277"/>
        <v>0</v>
      </c>
      <c r="AP345" s="95">
        <f t="shared" si="278"/>
        <v>0</v>
      </c>
      <c r="AQ345"/>
      <c r="AR345" s="95">
        <f t="shared" si="307"/>
        <v>0</v>
      </c>
      <c r="AS345" s="95">
        <f t="shared" si="308"/>
        <v>0</v>
      </c>
      <c r="AT345" s="95">
        <f>Geraetedaten!$B$94*ABS(SIN(RADIANS($A345)))</f>
        <v>127.67178617347641</v>
      </c>
      <c r="AU345" s="95">
        <f>Geraetedaten!$B$94*ABS(COS(RADIANS($A345)))</f>
        <v>86.11570713449504</v>
      </c>
      <c r="AV345" s="95">
        <f>((h_Aw_Sw+Geraetedaten!$B$18)/1000)*(AR345*AT345+AS345*AU345)/100</f>
        <v>0</v>
      </c>
      <c r="AX345" s="18">
        <f t="shared" si="274"/>
        <v>0.55919290347074702</v>
      </c>
    </row>
    <row r="346" spans="1:50" ht="13.5" x14ac:dyDescent="0.25">
      <c r="A346" s="16">
        <v>305</v>
      </c>
      <c r="B346" s="16">
        <f t="shared" si="282"/>
        <v>145</v>
      </c>
      <c r="C346" s="19">
        <f t="shared" si="283"/>
        <v>69.232357792856234</v>
      </c>
      <c r="D346" s="17">
        <f t="shared" si="279"/>
        <v>12843.519122207144</v>
      </c>
      <c r="E346" s="17">
        <f t="shared" si="284"/>
        <v>-16308.662817792856</v>
      </c>
      <c r="F346" s="17">
        <f t="shared" si="285"/>
        <v>-12837.509817792856</v>
      </c>
      <c r="G346" s="17">
        <f t="shared" si="286"/>
        <v>15658.393032207143</v>
      </c>
      <c r="H346" s="17">
        <f t="shared" si="309"/>
        <v>12843.519122207144</v>
      </c>
      <c r="I346" s="17">
        <f t="shared" si="287"/>
        <v>5159.7313155897646</v>
      </c>
      <c r="J346" s="20">
        <f>(Geraetedaten!$B$152+(Geraetedaten!$B$153*(Geraetedaten!$B$18+d_y_Sw)/1000))*10</f>
        <v>6051.0442000000003</v>
      </c>
      <c r="K346" s="20">
        <f>(Geraetedaten!$B$165+(Geraetedaten!$B$166*(Geraetedaten!$B$18+d_y_Sw)/1000))*10</f>
        <v>10816.164000000001</v>
      </c>
      <c r="L346" s="20">
        <f>(Geraetedaten!$B$158+(Geraetedaten!$B$159*(Geraetedaten!$B$18+d_y_Sw)/1000)-(Geraetedaten!$B$160*I346/1000))*10</f>
        <v>223.17350262780238</v>
      </c>
      <c r="M346" s="20">
        <f>(Geraetedaten!$B$171+(Geraetedaten!$B$172*(Geraetedaten!$B$18+d_y_Sw)/1000)-(Geraetedaten!$B$173*I346/1000))*10</f>
        <v>680.77660086749893</v>
      </c>
      <c r="N346" s="20">
        <f>IF((H346-J346)/(K346-J346)*(Geraetedaten!$B$174-Geraetedaten!$B$161)&lt;Geraetedaten!$B$174,(H346-J346)/(K346-J346)*(Geraetedaten!$B$174-Geraetedaten!$B$161),Geraetedaten!$B$174)</f>
        <v>400</v>
      </c>
      <c r="O346" s="20">
        <f>N346/Geraetedaten!$B$174*(M346-L346)+L346+C346</f>
        <v>750.00895866035512</v>
      </c>
      <c r="P346" s="20">
        <f t="shared" si="310"/>
        <v>212.72382039454237</v>
      </c>
      <c r="Q346" s="20"/>
      <c r="R346" s="21">
        <f>(N346-Geraetedaten!$B$161)/(Geraetedaten!$B$174-Geraetedaten!$B$161)*(Geraetedaten!$B$175-Geraetedaten!$B$162)+Geraetedaten!$B$162</f>
        <v>41.1</v>
      </c>
      <c r="S346" s="21">
        <f t="shared" si="288"/>
        <v>41.1</v>
      </c>
      <c r="T346" s="21">
        <f t="shared" si="289"/>
        <v>-33.667149020277563</v>
      </c>
      <c r="U346" s="88">
        <f t="shared" si="290"/>
        <v>23.573991534027993</v>
      </c>
      <c r="V346" s="86">
        <f t="shared" si="291"/>
        <v>12912.751480000001</v>
      </c>
      <c r="W346" s="85">
        <f t="shared" si="292"/>
        <v>-4225.3239992296285</v>
      </c>
      <c r="X346" s="85">
        <f t="shared" si="293"/>
        <v>5159.7313155897646</v>
      </c>
      <c r="Y346" s="90">
        <f t="shared" si="294"/>
        <v>4225.3239992296285</v>
      </c>
      <c r="Z346" s="86">
        <f t="shared" si="295"/>
        <v>-16239.43046</v>
      </c>
      <c r="AA346" s="85">
        <f t="shared" si="296"/>
        <v>-913.46204712425447</v>
      </c>
      <c r="AB346" s="85">
        <f t="shared" si="297"/>
        <v>-1687.402812722323</v>
      </c>
      <c r="AC346" s="90">
        <f t="shared" si="298"/>
        <v>913.46204712425447</v>
      </c>
      <c r="AD346" s="86">
        <f t="shared" si="299"/>
        <v>-12768.277459999999</v>
      </c>
      <c r="AE346" s="85">
        <f t="shared" si="300"/>
        <v>4140.4375383844126</v>
      </c>
      <c r="AF346" s="85">
        <f t="shared" si="301"/>
        <v>-5053.1001228840578</v>
      </c>
      <c r="AG346" s="90">
        <f t="shared" si="302"/>
        <v>4140.4375383844126</v>
      </c>
      <c r="AH346" s="86">
        <f t="shared" si="303"/>
        <v>15727.625389999999</v>
      </c>
      <c r="AI346" s="85">
        <f t="shared" si="304"/>
        <v>6238.0466047659793</v>
      </c>
      <c r="AJ346" s="85">
        <f t="shared" si="305"/>
        <v>10686.92266119435</v>
      </c>
      <c r="AK346" s="90">
        <f t="shared" si="306"/>
        <v>6238.0466047659793</v>
      </c>
      <c r="AM346" s="95">
        <f t="shared" si="275"/>
        <v>0</v>
      </c>
      <c r="AN346" s="95">
        <f t="shared" si="276"/>
        <v>0</v>
      </c>
      <c r="AO346" s="95">
        <f t="shared" si="277"/>
        <v>0</v>
      </c>
      <c r="AP346" s="95">
        <f t="shared" si="278"/>
        <v>0</v>
      </c>
      <c r="AQ346"/>
      <c r="AR346" s="95">
        <f t="shared" si="307"/>
        <v>0</v>
      </c>
      <c r="AS346" s="95">
        <f t="shared" si="308"/>
        <v>0</v>
      </c>
      <c r="AT346" s="95">
        <f>Geraetedaten!$B$94*ABS(SIN(RADIANS($A346)))</f>
        <v>126.14941482050473</v>
      </c>
      <c r="AU346" s="95">
        <f>Geraetedaten!$B$94*ABS(COS(RADIANS($A346)))</f>
        <v>88.330771198061086</v>
      </c>
      <c r="AV346" s="95">
        <f>((h_Aw_Sw+Geraetedaten!$B$18)/1000)*(AR346*AT346+AS346*AU346)/100</f>
        <v>0</v>
      </c>
      <c r="AX346" s="18">
        <f t="shared" si="274"/>
        <v>0.57357643635104605</v>
      </c>
    </row>
    <row r="347" spans="1:50" ht="13.5" x14ac:dyDescent="0.25">
      <c r="A347" s="16">
        <v>306</v>
      </c>
      <c r="B347" s="16">
        <f t="shared" si="282"/>
        <v>144</v>
      </c>
      <c r="C347" s="19">
        <f t="shared" si="283"/>
        <v>69.013803765000915</v>
      </c>
      <c r="D347" s="17">
        <f t="shared" si="279"/>
        <v>13005.652566235</v>
      </c>
      <c r="E347" s="17">
        <f t="shared" si="284"/>
        <v>-15882.208263765002</v>
      </c>
      <c r="F347" s="17">
        <f t="shared" si="285"/>
        <v>-12997.108633765001</v>
      </c>
      <c r="G347" s="17">
        <f t="shared" si="286"/>
        <v>15288.124626235</v>
      </c>
      <c r="H347" s="17">
        <f t="shared" si="309"/>
        <v>13005.652566235</v>
      </c>
      <c r="I347" s="17">
        <f t="shared" si="287"/>
        <v>5224.4299478106559</v>
      </c>
      <c r="J347" s="20">
        <f>(Geraetedaten!$B$152+(Geraetedaten!$B$153*(Geraetedaten!$B$18+d_y_Sw)/1000))*10</f>
        <v>6051.0442000000003</v>
      </c>
      <c r="K347" s="20">
        <f>(Geraetedaten!$B$165+(Geraetedaten!$B$166*(Geraetedaten!$B$18+d_y_Sw)/1000))*10</f>
        <v>10816.164000000001</v>
      </c>
      <c r="L347" s="20">
        <f>(Geraetedaten!$B$158+(Geraetedaten!$B$159*(Geraetedaten!$B$18+d_y_Sw)/1000)-(Geraetedaten!$B$160*I347/1000))*10</f>
        <v>218.42915192704447</v>
      </c>
      <c r="M347" s="20">
        <f>(Geraetedaten!$B$171+(Geraetedaten!$B$172*(Geraetedaten!$B$18+d_y_Sw)/1000)-(Geraetedaten!$B$173*I347/1000))*10</f>
        <v>675.96043468497555</v>
      </c>
      <c r="N347" s="20">
        <f>IF((H347-J347)/(K347-J347)*(Geraetedaten!$B$174-Geraetedaten!$B$161)&lt;Geraetedaten!$B$174,(H347-J347)/(K347-J347)*(Geraetedaten!$B$174-Geraetedaten!$B$161),Geraetedaten!$B$174)</f>
        <v>400</v>
      </c>
      <c r="O347" s="20">
        <f>N347/Geraetedaten!$B$174*(M347-L347)+L347+C347</f>
        <v>744.9742384499765</v>
      </c>
      <c r="P347" s="20">
        <f t="shared" si="310"/>
        <v>211.67688550184002</v>
      </c>
      <c r="Q347" s="20"/>
      <c r="R347" s="21">
        <f>(N347-Geraetedaten!$B$161)/(Geraetedaten!$B$174-Geraetedaten!$B$161)*(Geraetedaten!$B$175-Geraetedaten!$B$162)+Geraetedaten!$B$162</f>
        <v>41.1</v>
      </c>
      <c r="S347" s="21">
        <f t="shared" si="288"/>
        <v>41.1</v>
      </c>
      <c r="T347" s="21">
        <f t="shared" si="289"/>
        <v>-33.250598468810345</v>
      </c>
      <c r="U347" s="88">
        <f t="shared" si="290"/>
        <v>24.157973869220637</v>
      </c>
      <c r="V347" s="86">
        <f t="shared" si="291"/>
        <v>13074.666370000001</v>
      </c>
      <c r="W347" s="85">
        <f t="shared" si="292"/>
        <v>-4225.3239992296285</v>
      </c>
      <c r="X347" s="85">
        <f t="shared" si="293"/>
        <v>5224.4299478106559</v>
      </c>
      <c r="Y347" s="90">
        <f t="shared" si="294"/>
        <v>4225.3239992296285</v>
      </c>
      <c r="Z347" s="86">
        <f t="shared" si="295"/>
        <v>-15813.194460000001</v>
      </c>
      <c r="AA347" s="85">
        <f t="shared" si="296"/>
        <v>-913.46204712425447</v>
      </c>
      <c r="AB347" s="85">
        <f t="shared" si="297"/>
        <v>-1643.1135858845087</v>
      </c>
      <c r="AC347" s="90">
        <f t="shared" si="298"/>
        <v>913.46204712425447</v>
      </c>
      <c r="AD347" s="86">
        <f t="shared" si="299"/>
        <v>-12928.09483</v>
      </c>
      <c r="AE347" s="85">
        <f t="shared" si="300"/>
        <v>4140.4375383844126</v>
      </c>
      <c r="AF347" s="85">
        <f t="shared" si="301"/>
        <v>-5116.3485259463259</v>
      </c>
      <c r="AG347" s="90">
        <f t="shared" si="302"/>
        <v>4140.4375383844126</v>
      </c>
      <c r="AH347" s="86">
        <f t="shared" si="303"/>
        <v>15357.138430000001</v>
      </c>
      <c r="AI347" s="85">
        <f t="shared" si="304"/>
        <v>6238.0466047659793</v>
      </c>
      <c r="AJ347" s="85">
        <f t="shared" si="305"/>
        <v>10435.17674668865</v>
      </c>
      <c r="AK347" s="90">
        <f t="shared" si="306"/>
        <v>6238.0466047659793</v>
      </c>
      <c r="AM347" s="95">
        <f t="shared" si="275"/>
        <v>0</v>
      </c>
      <c r="AN347" s="95">
        <f t="shared" si="276"/>
        <v>0</v>
      </c>
      <c r="AO347" s="95">
        <f t="shared" si="277"/>
        <v>0</v>
      </c>
      <c r="AP347" s="95">
        <f t="shared" si="278"/>
        <v>0</v>
      </c>
      <c r="AQ347"/>
      <c r="AR347" s="95">
        <f t="shared" si="307"/>
        <v>0</v>
      </c>
      <c r="AS347" s="95">
        <f t="shared" si="308"/>
        <v>0</v>
      </c>
      <c r="AT347" s="95">
        <f>Geraetedaten!$B$94*ABS(SIN(RADIANS($A347)))</f>
        <v>124.58861713374192</v>
      </c>
      <c r="AU347" s="95">
        <f>Geraetedaten!$B$94*ABS(COS(RADIANS($A347)))</f>
        <v>90.518928853040833</v>
      </c>
      <c r="AV347" s="95">
        <f>((h_Aw_Sw+Geraetedaten!$B$18)/1000)*(AR347*AT347+AS347*AU347)/100</f>
        <v>0</v>
      </c>
      <c r="AX347" s="18">
        <f t="shared" si="274"/>
        <v>0.58778525229247292</v>
      </c>
    </row>
    <row r="348" spans="1:50" ht="13.5" x14ac:dyDescent="0.25">
      <c r="A348" s="16">
        <v>307</v>
      </c>
      <c r="B348" s="16">
        <f t="shared" si="282"/>
        <v>143</v>
      </c>
      <c r="C348" s="19">
        <f t="shared" si="283"/>
        <v>68.774227463967065</v>
      </c>
      <c r="D348" s="17">
        <f t="shared" si="279"/>
        <v>13176.004872536032</v>
      </c>
      <c r="E348" s="17">
        <f t="shared" si="284"/>
        <v>-15482.110227463967</v>
      </c>
      <c r="F348" s="17">
        <f t="shared" si="285"/>
        <v>-13164.777657463968</v>
      </c>
      <c r="G348" s="17">
        <f t="shared" si="286"/>
        <v>14939.396672536031</v>
      </c>
      <c r="H348" s="17">
        <f t="shared" si="309"/>
        <v>13176.004872536032</v>
      </c>
      <c r="I348" s="17">
        <f t="shared" si="287"/>
        <v>5292.4043038249065</v>
      </c>
      <c r="J348" s="20">
        <f>(Geraetedaten!$B$152+(Geraetedaten!$B$153*(Geraetedaten!$B$18+d_y_Sw)/1000))*10</f>
        <v>6051.0442000000003</v>
      </c>
      <c r="K348" s="20">
        <f>(Geraetedaten!$B$165+(Geraetedaten!$B$166*(Geraetedaten!$B$18+d_y_Sw)/1000))*10</f>
        <v>10816.164000000001</v>
      </c>
      <c r="L348" s="20">
        <f>(Geraetedaten!$B$158+(Geraetedaten!$B$159*(Geraetedaten!$B$18+d_y_Sw)/1000)-(Geraetedaten!$B$160*I348/1000))*10</f>
        <v>213.44459240051947</v>
      </c>
      <c r="M348" s="20">
        <f>(Geraetedaten!$B$171+(Geraetedaten!$B$172*(Geraetedaten!$B$18+d_y_Sw)/1000)-(Geraetedaten!$B$173*I348/1000))*10</f>
        <v>670.90042362327483</v>
      </c>
      <c r="N348" s="20">
        <f>IF((H348-J348)/(K348-J348)*(Geraetedaten!$B$174-Geraetedaten!$B$161)&lt;Geraetedaten!$B$174,(H348-J348)/(K348-J348)*(Geraetedaten!$B$174-Geraetedaten!$B$161),Geraetedaten!$B$174)</f>
        <v>400</v>
      </c>
      <c r="O348" s="20">
        <f>N348/Geraetedaten!$B$174*(M348-L348)+L348+C348</f>
        <v>739.67465108724195</v>
      </c>
      <c r="P348" s="20">
        <f t="shared" si="310"/>
        <v>210.57003382610114</v>
      </c>
      <c r="Q348" s="20"/>
      <c r="R348" s="21">
        <f>(N348-Geraetedaten!$B$161)/(Geraetedaten!$B$174-Geraetedaten!$B$161)*(Geraetedaten!$B$175-Geraetedaten!$B$162)+Geraetedaten!$B$162</f>
        <v>41.1</v>
      </c>
      <c r="S348" s="21">
        <f t="shared" si="288"/>
        <v>41.1</v>
      </c>
      <c r="T348" s="21">
        <f t="shared" si="289"/>
        <v>-32.823919462943742</v>
      </c>
      <c r="U348" s="88">
        <f t="shared" si="290"/>
        <v>24.73459745154917</v>
      </c>
      <c r="V348" s="86">
        <f t="shared" si="291"/>
        <v>13244.7791</v>
      </c>
      <c r="W348" s="85">
        <f t="shared" si="292"/>
        <v>-4225.3239992296285</v>
      </c>
      <c r="X348" s="85">
        <f t="shared" si="293"/>
        <v>5292.4043038249065</v>
      </c>
      <c r="Y348" s="90">
        <f t="shared" si="294"/>
        <v>4225.3239992296285</v>
      </c>
      <c r="Z348" s="86">
        <f t="shared" si="295"/>
        <v>-15413.335999999999</v>
      </c>
      <c r="AA348" s="85">
        <f t="shared" si="296"/>
        <v>-913.46204712425447</v>
      </c>
      <c r="AB348" s="85">
        <f t="shared" si="297"/>
        <v>-1601.5651896415327</v>
      </c>
      <c r="AC348" s="90">
        <f t="shared" si="298"/>
        <v>913.46204712425447</v>
      </c>
      <c r="AD348" s="86">
        <f t="shared" si="299"/>
        <v>-13096.003430000001</v>
      </c>
      <c r="AE348" s="85">
        <f t="shared" si="300"/>
        <v>4140.4375383844126</v>
      </c>
      <c r="AF348" s="85">
        <f t="shared" si="301"/>
        <v>-5182.7990694115379</v>
      </c>
      <c r="AG348" s="90">
        <f t="shared" si="302"/>
        <v>4140.4375383844126</v>
      </c>
      <c r="AH348" s="86">
        <f t="shared" si="303"/>
        <v>15008.170899999999</v>
      </c>
      <c r="AI348" s="85">
        <f t="shared" si="304"/>
        <v>6238.0466047659793</v>
      </c>
      <c r="AJ348" s="85">
        <f t="shared" si="305"/>
        <v>10198.053283017156</v>
      </c>
      <c r="AK348" s="90">
        <f t="shared" si="306"/>
        <v>6238.0466047659793</v>
      </c>
      <c r="AM348" s="95">
        <f t="shared" si="275"/>
        <v>0</v>
      </c>
      <c r="AN348" s="95">
        <f t="shared" si="276"/>
        <v>0</v>
      </c>
      <c r="AO348" s="95">
        <f t="shared" si="277"/>
        <v>0</v>
      </c>
      <c r="AP348" s="95">
        <f t="shared" si="278"/>
        <v>0</v>
      </c>
      <c r="AQ348"/>
      <c r="AR348" s="95">
        <f t="shared" si="307"/>
        <v>0</v>
      </c>
      <c r="AS348" s="95">
        <f t="shared" si="308"/>
        <v>0</v>
      </c>
      <c r="AT348" s="95">
        <f>Geraetedaten!$B$94*ABS(SIN(RADIANS($A348)))</f>
        <v>122.98986854728312</v>
      </c>
      <c r="AU348" s="95">
        <f>Geraetedaten!$B$94*ABS(COS(RADIANS($A348)))</f>
        <v>92.679513565415377</v>
      </c>
      <c r="AV348" s="95">
        <f>((h_Aw_Sw+Geraetedaten!$B$18)/1000)*(AR348*AT348+AS348*AU348)/100</f>
        <v>0</v>
      </c>
      <c r="AX348" s="18">
        <f t="shared" si="274"/>
        <v>0.60181502315204793</v>
      </c>
    </row>
    <row r="349" spans="1:50" ht="13.5" x14ac:dyDescent="0.25">
      <c r="A349" s="16">
        <v>308</v>
      </c>
      <c r="B349" s="16">
        <f t="shared" ref="B349:B380" si="311">360-A349+90</f>
        <v>142</v>
      </c>
      <c r="C349" s="19">
        <f t="shared" ref="C349:C380" si="312">$AF$16*ABS(COS(RADIANS(A349)))+$AF$17*ABS(SIN(RADIANS(A349)))+AV349</f>
        <v>68.513701867016763</v>
      </c>
      <c r="D349" s="17">
        <f t="shared" si="279"/>
        <v>13355.005938132983</v>
      </c>
      <c r="E349" s="17">
        <f t="shared" ref="E349:E380" si="313">IF(ISNUMBER(Z349),Z349-C349,"unendlich")</f>
        <v>-15106.182111867018</v>
      </c>
      <c r="F349" s="17">
        <f t="shared" ref="F349:F380" si="314">IF(ISNUMBER(AD349),AD349-C349,"unendlich")</f>
        <v>-13340.940791867017</v>
      </c>
      <c r="G349" s="17">
        <f t="shared" ref="G349:G380" si="315">IF(ISNUMBER(AH349),AH349-C349,"unendlich")</f>
        <v>14610.568848132982</v>
      </c>
      <c r="H349" s="17">
        <f t="shared" si="309"/>
        <v>13355.005938132983</v>
      </c>
      <c r="I349" s="17">
        <f t="shared" ref="I349:I380" si="316">IF(H349+C349=V349,X349,IF(H349+C349=Z349,AB349,IF(H349+C349=AD349,AF349,IF(H349+C349=AH349,AJ349,"???"))))</f>
        <v>5363.8261991547361</v>
      </c>
      <c r="J349" s="20">
        <f>(Geraetedaten!$B$152+(Geraetedaten!$B$153*(Geraetedaten!$B$18+d_y_Sw)/1000))*10</f>
        <v>6051.0442000000003</v>
      </c>
      <c r="K349" s="20">
        <f>(Geraetedaten!$B$165+(Geraetedaten!$B$166*(Geraetedaten!$B$18+d_y_Sw)/1000))*10</f>
        <v>10816.164000000001</v>
      </c>
      <c r="L349" s="20">
        <f>(Geraetedaten!$B$158+(Geraetedaten!$B$159*(Geraetedaten!$B$18+d_y_Sw)/1000)-(Geraetedaten!$B$160*I349/1000))*10</f>
        <v>208.20722481598301</v>
      </c>
      <c r="M349" s="20">
        <f>(Geraetedaten!$B$171+(Geraetedaten!$B$172*(Geraetedaten!$B$18+d_y_Sw)/1000)-(Geraetedaten!$B$173*I349/1000))*10</f>
        <v>665.58377773492225</v>
      </c>
      <c r="N349" s="20">
        <f>IF((H349-J349)/(K349-J349)*(Geraetedaten!$B$174-Geraetedaten!$B$161)&lt;Geraetedaten!$B$174,(H349-J349)/(K349-J349)*(Geraetedaten!$B$174-Geraetedaten!$B$161),Geraetedaten!$B$174)</f>
        <v>400</v>
      </c>
      <c r="O349" s="20">
        <f>N349/Geraetedaten!$B$174*(M349-L349)+L349+C349</f>
        <v>734.09747960193897</v>
      </c>
      <c r="P349" s="20">
        <f t="shared" si="310"/>
        <v>209.39999837997362</v>
      </c>
      <c r="Q349" s="20"/>
      <c r="R349" s="21">
        <f>(N349-Geraetedaten!$B$161)/(Geraetedaten!$B$174-Geraetedaten!$B$161)*(Geraetedaten!$B$175-Geraetedaten!$B$162)+Geraetedaten!$B$162</f>
        <v>41.1</v>
      </c>
      <c r="S349" s="21">
        <f t="shared" ref="S349:S380" si="317">SQRT((r_K_D/1000)^2+R349^2-(2*(r_K_D/1000)*R349*COS(RADIANS(2*A349))))</f>
        <v>41.1</v>
      </c>
      <c r="T349" s="21">
        <f t="shared" ref="T349:T380" si="318">S349*SIN(A349*Const_2)</f>
        <v>-32.387241973236264</v>
      </c>
      <c r="U349" s="88">
        <f t="shared" ref="U349:U380" si="319">S349*COS(A349*Const_2)</f>
        <v>25.303686635884567</v>
      </c>
      <c r="V349" s="86">
        <f t="shared" ref="V349:V380" si="320">ROUND((F_S*r_Su_L-F_G*W349+F_SSw*Y349)/(SIN(RADIANS(270+g_L-A349)))/1000,5)</f>
        <v>13423.51964</v>
      </c>
      <c r="W349" s="85">
        <f t="shared" ref="W349:W380" si="321">(SIN(RADIANS(g_L)))*(((VL_Z-HL_Z)/(VL_X-HL_X))*(-HL_X+AN349)+HL_Z-AM349)</f>
        <v>-4225.3239992296285</v>
      </c>
      <c r="X349" s="85">
        <f t="shared" ref="X349:X380" si="322">W349/(SIN(RADIANS(180-g_L-(90-$A349))))</f>
        <v>5363.8261991547361</v>
      </c>
      <c r="Y349" s="90">
        <f t="shared" ref="Y349:Y380" si="323">SIN(RADIANS(g_L))*(((VL_Z-HL_Z)/(VL_X-HL_X))*(-AP349+HL_X)-HL_Z+AO349)</f>
        <v>4225.3239992296285</v>
      </c>
      <c r="Z349" s="86">
        <f t="shared" ref="Z349:Z380" si="324">ROUND((F_S*r_Su_H-F_G*AA349+F_SSw*AC349)/(SIN(RADIANS(180+g_H-A349)))/1000,5)</f>
        <v>-15037.66841</v>
      </c>
      <c r="AA349" s="85">
        <f t="shared" ref="AA349:AA380" si="325">(SIN(RADIANS(g_H)))*(((HL_X-HR_X)/(HL_Z-HR_Z))*(-HR_Z+AM349)+HR_X-AN349)</f>
        <v>-913.46204712425447</v>
      </c>
      <c r="AB349" s="85">
        <f t="shared" ref="AB349:AB380" si="326">AA349/(SIN(RADIANS(g_H-$A349)))</f>
        <v>-1562.5304121363699</v>
      </c>
      <c r="AC349" s="90">
        <f t="shared" ref="AC349:AC380" si="327">SIN(RADIANS(g_H))*(((HL_X-HR_X)/(HL_Z-HR_Z))*(-AO349+HR_Z)-HR_X+AP349)</f>
        <v>913.46204712425447</v>
      </c>
      <c r="AD349" s="86">
        <f t="shared" ref="AD349:AD380" si="328">ROUND((F_S*r_Su_R+F_G*AE349+F_SSw*AG349)/(SIN(RADIANS(90+g_R-A349)))/1000,5)</f>
        <v>-13272.427089999999</v>
      </c>
      <c r="AE349" s="85">
        <f t="shared" ref="AE349:AE380" si="329">(SIN(RADIANS(g_R)))*(((HR_Z-VR_Z)/(HR_X-VR_X))*(-VR_X+AN349)+VR_Z-AM349)</f>
        <v>4140.4375383844126</v>
      </c>
      <c r="AF349" s="85">
        <f t="shared" ref="AF349:AF380" si="330">AE349/(SIN(RADIANS(180-g_R-(90-$A349))))</f>
        <v>-5252.6194831000876</v>
      </c>
      <c r="AG349" s="90">
        <f t="shared" ref="AG349:AG380" si="331">(SIN(RADIANS(g_R)))*(((HR_Z-VR_Z)/(HR_X-VR_X))*(-VR_X+AP349)+VR_Z-AO349)</f>
        <v>4140.4375383844126</v>
      </c>
      <c r="AH349" s="86">
        <f t="shared" ref="AH349:AH380" si="332">ROUND((F_S*r_Su_V+F_G*AI349+F_SSw*AK349)/(SIN(RADIANS(g_V-A349)))/1000,5)</f>
        <v>14679.082549999999</v>
      </c>
      <c r="AI349" s="85">
        <f t="shared" ref="AI349:AI380" si="333">(SIN(RADIANS(g_V)))*(((VR_X-VL_X)/(VR_Z-VL_Z))*(AM349-VL_Z)+VL_X-AN349)</f>
        <v>6238.0466047659793</v>
      </c>
      <c r="AJ349" s="85">
        <f t="shared" ref="AJ349:AJ380" si="334">AI349/(SIN(RADIANS(g_V-$A349)))</f>
        <v>9974.4377208068399</v>
      </c>
      <c r="AK349" s="90">
        <f t="shared" ref="AK349:AK380" si="335">(SIN(RADIANS(g_V)))*(((VR_X-VL_X)/(VR_Z-VL_Z))*(-VL_Z+AO349)+VL_X-AP349)</f>
        <v>6238.0466047659793</v>
      </c>
      <c r="AM349" s="95">
        <f t="shared" si="275"/>
        <v>0</v>
      </c>
      <c r="AN349" s="95">
        <f t="shared" si="276"/>
        <v>0</v>
      </c>
      <c r="AO349" s="95">
        <f t="shared" si="277"/>
        <v>0</v>
      </c>
      <c r="AP349" s="95">
        <f t="shared" si="278"/>
        <v>0</v>
      </c>
      <c r="AQ349"/>
      <c r="AR349" s="95">
        <f t="shared" ref="AR349:AR380" si="336">MAX(d_y_Sw*(r_K_D*ABS(COS(RADIANS($A349)))+_r1_Sw+_r2_Sw), 2*_r1_Sw*d_y_Sw)/1000000</f>
        <v>0</v>
      </c>
      <c r="AS349" s="95">
        <f t="shared" ref="AS349:AS380" si="337">MAX(d_y_Sw*(r_K_D*ABS(SIN(RADIANS($A349)))+_r1_Sw+_r2_Sw), 2*_r1_Sw*d_y_Sw)/1000000</f>
        <v>0</v>
      </c>
      <c r="AT349" s="95">
        <f>Geraetedaten!$B$94*ABS(SIN(RADIANS($A349)))</f>
        <v>121.35365605543515</v>
      </c>
      <c r="AU349" s="95">
        <f>Geraetedaten!$B$94*ABS(COS(RADIANS($A349)))</f>
        <v>94.811867200151411</v>
      </c>
      <c r="AV349" s="95">
        <f>((h_Aw_Sw+Geraetedaten!$B$18)/1000)*(AR349*AT349+AS349*AU349)/100</f>
        <v>0</v>
      </c>
      <c r="AX349" s="18">
        <f t="shared" ref="AX349:AX400" si="338">ABS(COS(RADIANS(A349)))</f>
        <v>0.61566147532565851</v>
      </c>
    </row>
    <row r="350" spans="1:50" ht="13.5" x14ac:dyDescent="0.25">
      <c r="A350" s="16">
        <v>309</v>
      </c>
      <c r="B350" s="16">
        <f t="shared" si="311"/>
        <v>141</v>
      </c>
      <c r="C350" s="19">
        <f t="shared" si="312"/>
        <v>68.232306332770648</v>
      </c>
      <c r="D350" s="17">
        <f t="shared" si="279"/>
        <v>13543.121013667229</v>
      </c>
      <c r="E350" s="17">
        <f t="shared" si="313"/>
        <v>-14752.476166332772</v>
      </c>
      <c r="F350" s="17">
        <f t="shared" si="314"/>
        <v>-13526.056736332772</v>
      </c>
      <c r="G350" s="17">
        <f t="shared" si="315"/>
        <v>14300.167093667229</v>
      </c>
      <c r="H350" s="17">
        <f t="shared" si="309"/>
        <v>13543.121013667229</v>
      </c>
      <c r="I350" s="17">
        <f t="shared" si="316"/>
        <v>5438.8815660392183</v>
      </c>
      <c r="J350" s="20">
        <f>(Geraetedaten!$B$152+(Geraetedaten!$B$153*(Geraetedaten!$B$18+d_y_Sw)/1000))*10</f>
        <v>6051.0442000000003</v>
      </c>
      <c r="K350" s="20">
        <f>(Geraetedaten!$B$165+(Geraetedaten!$B$166*(Geraetedaten!$B$18+d_y_Sw)/1000))*10</f>
        <v>10816.164000000001</v>
      </c>
      <c r="L350" s="20">
        <f>(Geraetedaten!$B$158+(Geraetedaten!$B$159*(Geraetedaten!$B$18+d_y_Sw)/1000)-(Geraetedaten!$B$160*I350/1000))*10</f>
        <v>202.70341476234393</v>
      </c>
      <c r="M350" s="20">
        <f>(Geraetedaten!$B$171+(Geraetedaten!$B$172*(Geraetedaten!$B$18+d_y_Sw)/1000)-(Geraetedaten!$B$173*I350/1000))*10</f>
        <v>659.99665622404132</v>
      </c>
      <c r="N350" s="20">
        <f>IF((H350-J350)/(K350-J350)*(Geraetedaten!$B$174-Geraetedaten!$B$161)&lt;Geraetedaten!$B$174,(H350-J350)/(K350-J350)*(Geraetedaten!$B$174-Geraetedaten!$B$161),Geraetedaten!$B$174)</f>
        <v>400</v>
      </c>
      <c r="O350" s="20">
        <f>N350/Geraetedaten!$B$174*(M350-L350)+L350+C350</f>
        <v>728.22896255681201</v>
      </c>
      <c r="P350" s="20">
        <f t="shared" si="310"/>
        <v>208.16321185765375</v>
      </c>
      <c r="Q350" s="20"/>
      <c r="R350" s="21">
        <f>(N350-Geraetedaten!$B$161)/(Geraetedaten!$B$174-Geraetedaten!$B$161)*(Geraetedaten!$B$175-Geraetedaten!$B$162)+Geraetedaten!$B$162</f>
        <v>41.1</v>
      </c>
      <c r="S350" s="21">
        <f t="shared" si="317"/>
        <v>41.1</v>
      </c>
      <c r="T350" s="21">
        <f t="shared" si="318"/>
        <v>-31.940699015881499</v>
      </c>
      <c r="U350" s="88">
        <f t="shared" si="319"/>
        <v>25.865068072148322</v>
      </c>
      <c r="V350" s="86">
        <f t="shared" si="320"/>
        <v>13611.35332</v>
      </c>
      <c r="W350" s="85">
        <f t="shared" si="321"/>
        <v>-4225.3239992296285</v>
      </c>
      <c r="X350" s="85">
        <f t="shared" si="322"/>
        <v>5438.8815660392183</v>
      </c>
      <c r="Y350" s="90">
        <f t="shared" si="323"/>
        <v>4225.3239992296285</v>
      </c>
      <c r="Z350" s="86">
        <f t="shared" si="324"/>
        <v>-14684.24386</v>
      </c>
      <c r="AA350" s="85">
        <f t="shared" si="325"/>
        <v>-913.46204712425447</v>
      </c>
      <c r="AB350" s="85">
        <f t="shared" si="326"/>
        <v>-1525.8068598708198</v>
      </c>
      <c r="AC350" s="90">
        <f t="shared" si="327"/>
        <v>913.46204712425447</v>
      </c>
      <c r="AD350" s="86">
        <f t="shared" si="328"/>
        <v>-13457.824430000001</v>
      </c>
      <c r="AE350" s="85">
        <f t="shared" si="329"/>
        <v>4140.4375383844126</v>
      </c>
      <c r="AF350" s="85">
        <f t="shared" si="330"/>
        <v>-5325.9912683143384</v>
      </c>
      <c r="AG350" s="90">
        <f t="shared" si="331"/>
        <v>4140.4375383844126</v>
      </c>
      <c r="AH350" s="86">
        <f t="shared" si="332"/>
        <v>14368.3994</v>
      </c>
      <c r="AI350" s="85">
        <f t="shared" si="333"/>
        <v>6238.0466047659793</v>
      </c>
      <c r="AJ350" s="85">
        <f t="shared" si="334"/>
        <v>9763.3284948651162</v>
      </c>
      <c r="AK350" s="90">
        <f t="shared" si="335"/>
        <v>6238.0466047659793</v>
      </c>
      <c r="AM350" s="95">
        <f t="shared" si="275"/>
        <v>0</v>
      </c>
      <c r="AN350" s="95">
        <f t="shared" si="276"/>
        <v>0</v>
      </c>
      <c r="AO350" s="95">
        <f t="shared" si="277"/>
        <v>0</v>
      </c>
      <c r="AP350" s="95">
        <f t="shared" si="278"/>
        <v>0</v>
      </c>
      <c r="AQ350"/>
      <c r="AR350" s="95">
        <f t="shared" si="336"/>
        <v>0</v>
      </c>
      <c r="AS350" s="95">
        <f t="shared" si="337"/>
        <v>0</v>
      </c>
      <c r="AT350" s="95">
        <f>Geraetedaten!$B$94*ABS(SIN(RADIANS($A350)))</f>
        <v>119.6804780643735</v>
      </c>
      <c r="AU350" s="95">
        <f>Geraetedaten!$B$94*ABS(COS(RADIANS($A350)))</f>
        <v>96.915340221674981</v>
      </c>
      <c r="AV350" s="95">
        <f>((h_Aw_Sw+Geraetedaten!$B$18)/1000)*(AR350*AT350+AS350*AU350)/100</f>
        <v>0</v>
      </c>
      <c r="AX350" s="18">
        <f t="shared" si="338"/>
        <v>0.6293203910498375</v>
      </c>
    </row>
    <row r="351" spans="1:50" ht="13.5" x14ac:dyDescent="0.25">
      <c r="A351" s="16">
        <v>310</v>
      </c>
      <c r="B351" s="16">
        <f t="shared" si="311"/>
        <v>140</v>
      </c>
      <c r="C351" s="19">
        <f t="shared" si="312"/>
        <v>67.930126577034372</v>
      </c>
      <c r="D351" s="17">
        <f t="shared" si="279"/>
        <v>13740.854123422967</v>
      </c>
      <c r="E351" s="17">
        <f t="shared" si="313"/>
        <v>-14419.251936577033</v>
      </c>
      <c r="F351" s="17">
        <f t="shared" si="314"/>
        <v>-13720.622406577033</v>
      </c>
      <c r="G351" s="17">
        <f t="shared" si="315"/>
        <v>14006.863233422966</v>
      </c>
      <c r="H351" s="17">
        <f t="shared" si="309"/>
        <v>13740.854123422967</v>
      </c>
      <c r="I351" s="17">
        <f t="shared" si="316"/>
        <v>5517.7718423184997</v>
      </c>
      <c r="J351" s="20">
        <f>(Geraetedaten!$B$152+(Geraetedaten!$B$153*(Geraetedaten!$B$18+d_y_Sw)/1000))*10</f>
        <v>6051.0442000000003</v>
      </c>
      <c r="K351" s="20">
        <f>(Geraetedaten!$B$165+(Geraetedaten!$B$166*(Geraetedaten!$B$18+d_y_Sw)/1000))*10</f>
        <v>10816.164000000001</v>
      </c>
      <c r="L351" s="20">
        <f>(Geraetedaten!$B$158+(Geraetedaten!$B$159*(Geraetedaten!$B$18+d_y_Sw)/1000)-(Geraetedaten!$B$160*I351/1000))*10</f>
        <v>196.91839080278427</v>
      </c>
      <c r="M351" s="20">
        <f>(Geraetedaten!$B$171+(Geraetedaten!$B$172*(Geraetedaten!$B$18+d_y_Sw)/1000)-(Geraetedaten!$B$173*I351/1000))*10</f>
        <v>654.12406405781167</v>
      </c>
      <c r="N351" s="20">
        <f>IF((H351-J351)/(K351-J351)*(Geraetedaten!$B$174-Geraetedaten!$B$161)&lt;Geraetedaten!$B$174,(H351-J351)/(K351-J351)*(Geraetedaten!$B$174-Geraetedaten!$B$161),Geraetedaten!$B$174)</f>
        <v>400</v>
      </c>
      <c r="O351" s="20">
        <f>N351/Geraetedaten!$B$174*(M351-L351)+L351+C351</f>
        <v>722.05419063484601</v>
      </c>
      <c r="P351" s="20">
        <f t="shared" si="310"/>
        <v>206.85577278888141</v>
      </c>
      <c r="Q351" s="20"/>
      <c r="R351" s="21">
        <f>(N351-Geraetedaten!$B$161)/(Geraetedaten!$B$174-Geraetedaten!$B$161)*(Geraetedaten!$B$175-Geraetedaten!$B$162)+Geraetedaten!$B$162</f>
        <v>41.1</v>
      </c>
      <c r="S351" s="21">
        <f t="shared" si="317"/>
        <v>41.1</v>
      </c>
      <c r="T351" s="21">
        <f t="shared" si="318"/>
        <v>-31.484426612190003</v>
      </c>
      <c r="U351" s="88">
        <f t="shared" si="319"/>
        <v>26.418570758116765</v>
      </c>
      <c r="V351" s="86">
        <f t="shared" si="320"/>
        <v>13808.784250000001</v>
      </c>
      <c r="W351" s="85">
        <f t="shared" si="321"/>
        <v>-4225.3239992296285</v>
      </c>
      <c r="X351" s="85">
        <f t="shared" si="322"/>
        <v>5517.7718423184997</v>
      </c>
      <c r="Y351" s="90">
        <f t="shared" si="323"/>
        <v>4225.3239992296285</v>
      </c>
      <c r="Z351" s="86">
        <f t="shared" si="324"/>
        <v>-14351.321809999999</v>
      </c>
      <c r="AA351" s="85">
        <f t="shared" si="325"/>
        <v>-913.46204712425447</v>
      </c>
      <c r="AB351" s="85">
        <f t="shared" si="326"/>
        <v>-1491.2136756095699</v>
      </c>
      <c r="AC351" s="90">
        <f t="shared" si="327"/>
        <v>913.46204712425447</v>
      </c>
      <c r="AD351" s="86">
        <f t="shared" si="328"/>
        <v>-13652.692279999999</v>
      </c>
      <c r="AE351" s="85">
        <f t="shared" si="329"/>
        <v>4140.4375383844126</v>
      </c>
      <c r="AF351" s="85">
        <f t="shared" si="330"/>
        <v>-5403.1110512961968</v>
      </c>
      <c r="AG351" s="90">
        <f t="shared" si="331"/>
        <v>4140.4375383844126</v>
      </c>
      <c r="AH351" s="86">
        <f t="shared" si="332"/>
        <v>14074.79336</v>
      </c>
      <c r="AI351" s="85">
        <f t="shared" si="333"/>
        <v>6238.0466047659793</v>
      </c>
      <c r="AJ351" s="85">
        <f t="shared" si="334"/>
        <v>9563.8231694439874</v>
      </c>
      <c r="AK351" s="90">
        <f t="shared" si="335"/>
        <v>6238.0466047659793</v>
      </c>
      <c r="AM351" s="95">
        <f t="shared" si="275"/>
        <v>0</v>
      </c>
      <c r="AN351" s="95">
        <f t="shared" si="276"/>
        <v>0</v>
      </c>
      <c r="AO351" s="95">
        <f t="shared" si="277"/>
        <v>0</v>
      </c>
      <c r="AP351" s="95">
        <f t="shared" si="278"/>
        <v>0</v>
      </c>
      <c r="AQ351"/>
      <c r="AR351" s="95">
        <f t="shared" si="336"/>
        <v>0</v>
      </c>
      <c r="AS351" s="95">
        <f t="shared" si="337"/>
        <v>0</v>
      </c>
      <c r="AT351" s="95">
        <f>Geraetedaten!$B$94*ABS(SIN(RADIANS($A351)))</f>
        <v>117.97084424032263</v>
      </c>
      <c r="AU351" s="95">
        <f>Geraetedaten!$B$94*ABS(COS(RADIANS($A351)))</f>
        <v>98.989291891727049</v>
      </c>
      <c r="AV351" s="95">
        <f>((h_Aw_Sw+Geraetedaten!$B$18)/1000)*(AR351*AT351+AS351*AU351)/100</f>
        <v>0</v>
      </c>
      <c r="AX351" s="18">
        <f t="shared" si="338"/>
        <v>0.64278760968653925</v>
      </c>
    </row>
    <row r="352" spans="1:50" ht="13.5" x14ac:dyDescent="0.25">
      <c r="A352" s="16">
        <v>311</v>
      </c>
      <c r="B352" s="16">
        <f t="shared" si="311"/>
        <v>139</v>
      </c>
      <c r="C352" s="19">
        <f t="shared" si="312"/>
        <v>67.60725464668883</v>
      </c>
      <c r="D352" s="17">
        <f t="shared" si="279"/>
        <v>13948.75199535331</v>
      </c>
      <c r="E352" s="17">
        <f t="shared" si="313"/>
        <v>-14104.949514646689</v>
      </c>
      <c r="F352" s="17">
        <f t="shared" si="314"/>
        <v>-13925.17680464669</v>
      </c>
      <c r="G352" s="17">
        <f t="shared" si="315"/>
        <v>13729.457525353311</v>
      </c>
      <c r="H352" s="17">
        <f t="shared" si="309"/>
        <v>13729.457525353311</v>
      </c>
      <c r="I352" s="17">
        <f t="shared" si="316"/>
        <v>9375.1065774554681</v>
      </c>
      <c r="J352" s="20">
        <f>(Geraetedaten!$B$152+(Geraetedaten!$B$153*(Geraetedaten!$B$18+d_y_Sw)/1000))*10</f>
        <v>6051.0442000000003</v>
      </c>
      <c r="K352" s="20">
        <f>(Geraetedaten!$B$165+(Geraetedaten!$B$166*(Geraetedaten!$B$18+d_y_Sw)/1000))*10</f>
        <v>10816.164000000001</v>
      </c>
      <c r="L352" s="20">
        <f>(Geraetedaten!$B$158+(Geraetedaten!$B$159*(Geraetedaten!$B$18+d_y_Sw)/1000)-(Geraetedaten!$B$160*I352/1000))*10</f>
        <v>-85.939965324809577</v>
      </c>
      <c r="M352" s="20">
        <f>(Geraetedaten!$B$171+(Geraetedaten!$B$172*(Geraetedaten!$B$18+d_y_Sw)/1000)-(Geraetedaten!$B$173*I352/1000))*10</f>
        <v>366.98406637421567</v>
      </c>
      <c r="N352" s="20">
        <f>IF((H352-J352)/(K352-J352)*(Geraetedaten!$B$174-Geraetedaten!$B$161)&lt;Geraetedaten!$B$174,(H352-J352)/(K352-J352)*(Geraetedaten!$B$174-Geraetedaten!$B$161),Geraetedaten!$B$174)</f>
        <v>400</v>
      </c>
      <c r="O352" s="20">
        <f>N352/Geraetedaten!$B$174*(M352-L352)+L352+C352</f>
        <v>434.5913210209045</v>
      </c>
      <c r="P352" s="20">
        <f t="shared" si="310"/>
        <v>139.64065261998837</v>
      </c>
      <c r="Q352" s="20"/>
      <c r="R352" s="21">
        <f>(N352-Geraetedaten!$B$161)/(Geraetedaten!$B$174-Geraetedaten!$B$161)*(Geraetedaten!$B$175-Geraetedaten!$B$162)+Geraetedaten!$B$162</f>
        <v>41.1</v>
      </c>
      <c r="S352" s="21">
        <f t="shared" si="317"/>
        <v>41.1</v>
      </c>
      <c r="T352" s="21">
        <f t="shared" si="318"/>
        <v>-31.018563747155941</v>
      </c>
      <c r="U352" s="88">
        <f t="shared" si="319"/>
        <v>26.96402609150984</v>
      </c>
      <c r="V352" s="86">
        <f t="shared" si="320"/>
        <v>14016.35925</v>
      </c>
      <c r="W352" s="85">
        <f t="shared" si="321"/>
        <v>-4225.3239992296285</v>
      </c>
      <c r="X352" s="85">
        <f t="shared" si="322"/>
        <v>5600.7155316214466</v>
      </c>
      <c r="Y352" s="90">
        <f t="shared" si="323"/>
        <v>4225.3239992296285</v>
      </c>
      <c r="Z352" s="86">
        <f t="shared" si="324"/>
        <v>-14037.342259999999</v>
      </c>
      <c r="AA352" s="85">
        <f t="shared" si="325"/>
        <v>-913.46204712425447</v>
      </c>
      <c r="AB352" s="85">
        <f t="shared" si="326"/>
        <v>-1458.5887642933626</v>
      </c>
      <c r="AC352" s="90">
        <f t="shared" si="327"/>
        <v>913.46204712425447</v>
      </c>
      <c r="AD352" s="86">
        <f t="shared" si="328"/>
        <v>-13857.56955</v>
      </c>
      <c r="AE352" s="85">
        <f t="shared" si="329"/>
        <v>4140.4375383844126</v>
      </c>
      <c r="AF352" s="85">
        <f t="shared" si="330"/>
        <v>-5484.1921034639472</v>
      </c>
      <c r="AG352" s="90">
        <f t="shared" si="331"/>
        <v>4140.4375383844126</v>
      </c>
      <c r="AH352" s="86">
        <f t="shared" si="332"/>
        <v>13797.064780000001</v>
      </c>
      <c r="AI352" s="85">
        <f t="shared" si="333"/>
        <v>6238.0466047659793</v>
      </c>
      <c r="AJ352" s="85">
        <f t="shared" si="334"/>
        <v>9375.1065774554681</v>
      </c>
      <c r="AK352" s="90">
        <f t="shared" si="335"/>
        <v>6238.0466047659793</v>
      </c>
      <c r="AM352" s="95">
        <f t="shared" si="275"/>
        <v>0</v>
      </c>
      <c r="AN352" s="95">
        <f t="shared" si="276"/>
        <v>0</v>
      </c>
      <c r="AO352" s="95">
        <f t="shared" si="277"/>
        <v>0</v>
      </c>
      <c r="AP352" s="95">
        <f t="shared" si="278"/>
        <v>0</v>
      </c>
      <c r="AQ352"/>
      <c r="AR352" s="95">
        <f t="shared" si="336"/>
        <v>0</v>
      </c>
      <c r="AS352" s="95">
        <f t="shared" si="337"/>
        <v>0</v>
      </c>
      <c r="AT352" s="95">
        <f>Geraetedaten!$B$94*ABS(SIN(RADIANS($A352)))</f>
        <v>116.22527535430693</v>
      </c>
      <c r="AU352" s="95">
        <f>Geraetedaten!$B$94*ABS(COS(RADIANS($A352)))</f>
        <v>101.03309046453809</v>
      </c>
      <c r="AV352" s="95">
        <f>((h_Aw_Sw+Geraetedaten!$B$18)/1000)*(AR352*AT352+AS352*AU352)/100</f>
        <v>0</v>
      </c>
      <c r="AX352" s="18">
        <f t="shared" si="338"/>
        <v>0.65605902899050705</v>
      </c>
    </row>
    <row r="353" spans="1:50" ht="13.5" x14ac:dyDescent="0.25">
      <c r="A353" s="16">
        <v>312</v>
      </c>
      <c r="B353" s="16">
        <f t="shared" si="311"/>
        <v>138</v>
      </c>
      <c r="C353" s="19">
        <f t="shared" si="312"/>
        <v>67.263788891651714</v>
      </c>
      <c r="D353" s="17">
        <f t="shared" si="279"/>
        <v>14167.408471108347</v>
      </c>
      <c r="E353" s="17">
        <f t="shared" si="313"/>
        <v>-13808.166898891652</v>
      </c>
      <c r="F353" s="17">
        <f t="shared" si="314"/>
        <v>-14140.305308891653</v>
      </c>
      <c r="G353" s="17">
        <f t="shared" si="315"/>
        <v>13466.863631108348</v>
      </c>
      <c r="H353" s="17">
        <f t="shared" si="309"/>
        <v>13466.863631108348</v>
      </c>
      <c r="I353" s="17">
        <f t="shared" si="316"/>
        <v>9196.4406268990751</v>
      </c>
      <c r="J353" s="20">
        <f>(Geraetedaten!$B$152+(Geraetedaten!$B$153*(Geraetedaten!$B$18+d_y_Sw)/1000))*10</f>
        <v>6051.0442000000003</v>
      </c>
      <c r="K353" s="20">
        <f>(Geraetedaten!$B$165+(Geraetedaten!$B$166*(Geraetedaten!$B$18+d_y_Sw)/1000))*10</f>
        <v>10816.164000000001</v>
      </c>
      <c r="L353" s="20">
        <f>(Geraetedaten!$B$158+(Geraetedaten!$B$159*(Geraetedaten!$B$18+d_y_Sw)/1000)-(Geraetedaten!$B$160*I353/1000))*10</f>
        <v>-72.838391170509311</v>
      </c>
      <c r="M353" s="20">
        <f>(Geraetedaten!$B$171+(Geraetedaten!$B$172*(Geraetedaten!$B$18+d_y_Sw)/1000)-(Geraetedaten!$B$173*I353/1000))*10</f>
        <v>380.28395973363359</v>
      </c>
      <c r="N353" s="20">
        <f>IF((H353-J353)/(K353-J353)*(Geraetedaten!$B$174-Geraetedaten!$B$161)&lt;Geraetedaten!$B$174,(H353-J353)/(K353-J353)*(Geraetedaten!$B$174-Geraetedaten!$B$161),Geraetedaten!$B$174)</f>
        <v>400</v>
      </c>
      <c r="O353" s="20">
        <f>N353/Geraetedaten!$B$174*(M353-L353)+L353+C353</f>
        <v>447.54774862528524</v>
      </c>
      <c r="P353" s="20">
        <f t="shared" si="310"/>
        <v>142.99841733508441</v>
      </c>
      <c r="Q353" s="20"/>
      <c r="R353" s="21">
        <f>(N353-Geraetedaten!$B$161)/(Geraetedaten!$B$174-Geraetedaten!$B$161)*(Geraetedaten!$B$175-Geraetedaten!$B$162)+Geraetedaten!$B$162</f>
        <v>41.1</v>
      </c>
      <c r="S353" s="21">
        <f t="shared" si="317"/>
        <v>41.1</v>
      </c>
      <c r="T353" s="21">
        <f t="shared" si="318"/>
        <v>-30.543252327120918</v>
      </c>
      <c r="U353" s="88">
        <f t="shared" si="319"/>
        <v>27.501267921349058</v>
      </c>
      <c r="V353" s="86">
        <f t="shared" si="320"/>
        <v>14234.672259999999</v>
      </c>
      <c r="W353" s="85">
        <f t="shared" si="321"/>
        <v>-4225.3239992296285</v>
      </c>
      <c r="X353" s="85">
        <f t="shared" si="322"/>
        <v>5687.9499597905533</v>
      </c>
      <c r="Y353" s="90">
        <f t="shared" si="323"/>
        <v>4225.3239992296285</v>
      </c>
      <c r="Z353" s="86">
        <f t="shared" si="324"/>
        <v>-13740.903109999999</v>
      </c>
      <c r="AA353" s="85">
        <f t="shared" si="325"/>
        <v>-913.46204712425447</v>
      </c>
      <c r="AB353" s="85">
        <f t="shared" si="326"/>
        <v>-1427.7864375631525</v>
      </c>
      <c r="AC353" s="90">
        <f t="shared" si="327"/>
        <v>913.46204712425447</v>
      </c>
      <c r="AD353" s="86">
        <f t="shared" si="328"/>
        <v>-14073.041520000001</v>
      </c>
      <c r="AE353" s="85">
        <f t="shared" si="329"/>
        <v>4140.4375383844126</v>
      </c>
      <c r="AF353" s="85">
        <f t="shared" si="330"/>
        <v>-5569.4660526787129</v>
      </c>
      <c r="AG353" s="90">
        <f t="shared" si="331"/>
        <v>4140.4375383844126</v>
      </c>
      <c r="AH353" s="86">
        <f t="shared" si="332"/>
        <v>13534.127420000001</v>
      </c>
      <c r="AI353" s="85">
        <f t="shared" si="333"/>
        <v>6238.0466047659793</v>
      </c>
      <c r="AJ353" s="85">
        <f t="shared" si="334"/>
        <v>9196.4406268990751</v>
      </c>
      <c r="AK353" s="90">
        <f t="shared" si="335"/>
        <v>6238.0466047659793</v>
      </c>
      <c r="AM353" s="95">
        <f t="shared" si="275"/>
        <v>0</v>
      </c>
      <c r="AN353" s="95">
        <f t="shared" si="276"/>
        <v>0</v>
      </c>
      <c r="AO353" s="95">
        <f t="shared" si="277"/>
        <v>0</v>
      </c>
      <c r="AP353" s="95">
        <f t="shared" si="278"/>
        <v>0</v>
      </c>
      <c r="AQ353"/>
      <c r="AR353" s="95">
        <f t="shared" si="336"/>
        <v>0</v>
      </c>
      <c r="AS353" s="95">
        <f t="shared" si="337"/>
        <v>0</v>
      </c>
      <c r="AT353" s="95">
        <f>Geraetedaten!$B$94*ABS(SIN(RADIANS($A353)))</f>
        <v>114.44430312351876</v>
      </c>
      <c r="AU353" s="95">
        <f>Geraetedaten!$B$94*ABS(COS(RADIANS($A353)))</f>
        <v>103.0461133792641</v>
      </c>
      <c r="AV353" s="95">
        <f>((h_Aw_Sw+Geraetedaten!$B$18)/1000)*(AR353*AT353+AS353*AU353)/100</f>
        <v>0</v>
      </c>
      <c r="AX353" s="18">
        <f t="shared" si="338"/>
        <v>0.66913060635885779</v>
      </c>
    </row>
    <row r="354" spans="1:50" ht="13.5" x14ac:dyDescent="0.25">
      <c r="A354" s="16">
        <v>313</v>
      </c>
      <c r="B354" s="16">
        <f t="shared" si="311"/>
        <v>137</v>
      </c>
      <c r="C354" s="19">
        <f t="shared" si="312"/>
        <v>66.899833934919229</v>
      </c>
      <c r="D354" s="17">
        <f t="shared" si="279"/>
        <v>14397.469446065081</v>
      </c>
      <c r="E354" s="17">
        <f t="shared" si="313"/>
        <v>-13527.64068393492</v>
      </c>
      <c r="F354" s="17">
        <f t="shared" si="314"/>
        <v>-14366.64457393492</v>
      </c>
      <c r="G354" s="17">
        <f t="shared" si="315"/>
        <v>13218.095726065079</v>
      </c>
      <c r="H354" s="17">
        <f t="shared" si="309"/>
        <v>13218.095726065079</v>
      </c>
      <c r="I354" s="17">
        <f t="shared" si="316"/>
        <v>9027.1555075638062</v>
      </c>
      <c r="J354" s="20">
        <f>(Geraetedaten!$B$152+(Geraetedaten!$B$153*(Geraetedaten!$B$18+d_y_Sw)/1000))*10</f>
        <v>6051.0442000000003</v>
      </c>
      <c r="K354" s="20">
        <f>(Geraetedaten!$B$165+(Geraetedaten!$B$166*(Geraetedaten!$B$18+d_y_Sw)/1000))*10</f>
        <v>10816.164000000001</v>
      </c>
      <c r="L354" s="20">
        <f>(Geraetedaten!$B$158+(Geraetedaten!$B$159*(Geraetedaten!$B$18+d_y_Sw)/1000)-(Geraetedaten!$B$160*I354/1000))*10</f>
        <v>-60.424713369654057</v>
      </c>
      <c r="M354" s="20">
        <f>(Geraetedaten!$B$171+(Geraetedaten!$B$172*(Geraetedaten!$B$18+d_y_Sw)/1000)-(Geraetedaten!$B$173*I354/1000))*10</f>
        <v>392.88554401695109</v>
      </c>
      <c r="N354" s="20">
        <f>IF((H354-J354)/(K354-J354)*(Geraetedaten!$B$174-Geraetedaten!$B$161)&lt;Geraetedaten!$B$174,(H354-J354)/(K354-J354)*(Geraetedaten!$B$174-Geraetedaten!$B$161),Geraetedaten!$B$174)</f>
        <v>400</v>
      </c>
      <c r="O354" s="20">
        <f>N354/Geraetedaten!$B$174*(M354-L354)+L354+C354</f>
        <v>459.78537795187032</v>
      </c>
      <c r="P354" s="20">
        <f t="shared" si="310"/>
        <v>146.13312439844566</v>
      </c>
      <c r="Q354" s="20"/>
      <c r="R354" s="21">
        <f>(N354-Geraetedaten!$B$161)/(Geraetedaten!$B$174-Geraetedaten!$B$161)*(Geraetedaten!$B$175-Geraetedaten!$B$162)+Geraetedaten!$B$162</f>
        <v>41.1</v>
      </c>
      <c r="S354" s="21">
        <f t="shared" si="317"/>
        <v>41.1</v>
      </c>
      <c r="T354" s="21">
        <f t="shared" si="318"/>
        <v>-30.058637136547901</v>
      </c>
      <c r="U354" s="88">
        <f t="shared" si="319"/>
        <v>28.030132598568692</v>
      </c>
      <c r="V354" s="86">
        <f t="shared" si="320"/>
        <v>14464.369280000001</v>
      </c>
      <c r="W354" s="85">
        <f t="shared" si="321"/>
        <v>-4225.3239992296285</v>
      </c>
      <c r="X354" s="85">
        <f t="shared" si="322"/>
        <v>5779.7332567278854</v>
      </c>
      <c r="Y354" s="90">
        <f t="shared" si="323"/>
        <v>4225.3239992296285</v>
      </c>
      <c r="Z354" s="86">
        <f t="shared" si="324"/>
        <v>-13460.74085</v>
      </c>
      <c r="AA354" s="85">
        <f t="shared" si="325"/>
        <v>-913.46204712425447</v>
      </c>
      <c r="AB354" s="85">
        <f t="shared" si="326"/>
        <v>-1398.6754050373004</v>
      </c>
      <c r="AC354" s="90">
        <f t="shared" si="327"/>
        <v>913.46204712425447</v>
      </c>
      <c r="AD354" s="86">
        <f t="shared" si="328"/>
        <v>-14299.74474</v>
      </c>
      <c r="AE354" s="85">
        <f t="shared" si="329"/>
        <v>4140.4375383844126</v>
      </c>
      <c r="AF354" s="85">
        <f t="shared" si="330"/>
        <v>-5659.1848139202648</v>
      </c>
      <c r="AG354" s="90">
        <f t="shared" si="331"/>
        <v>4140.4375383844126</v>
      </c>
      <c r="AH354" s="86">
        <f t="shared" si="332"/>
        <v>13284.995559999999</v>
      </c>
      <c r="AI354" s="85">
        <f t="shared" si="333"/>
        <v>6238.0466047659793</v>
      </c>
      <c r="AJ354" s="85">
        <f t="shared" si="334"/>
        <v>9027.1555075638062</v>
      </c>
      <c r="AK354" s="90">
        <f t="shared" si="335"/>
        <v>6238.0466047659793</v>
      </c>
      <c r="AM354" s="95">
        <f t="shared" si="275"/>
        <v>0</v>
      </c>
      <c r="AN354" s="95">
        <f t="shared" si="276"/>
        <v>0</v>
      </c>
      <c r="AO354" s="95">
        <f t="shared" si="277"/>
        <v>0</v>
      </c>
      <c r="AP354" s="95">
        <f t="shared" si="278"/>
        <v>0</v>
      </c>
      <c r="AQ354"/>
      <c r="AR354" s="95">
        <f t="shared" si="336"/>
        <v>0</v>
      </c>
      <c r="AS354" s="95">
        <f t="shared" si="337"/>
        <v>0</v>
      </c>
      <c r="AT354" s="95">
        <f>Geraetedaten!$B$94*ABS(SIN(RADIANS($A354)))</f>
        <v>112.62847004935223</v>
      </c>
      <c r="AU354" s="95">
        <f>Geraetedaten!$B$94*ABS(COS(RADIANS($A354)))</f>
        <v>105.02774744962478</v>
      </c>
      <c r="AV354" s="95">
        <f>((h_Aw_Sw+Geraetedaten!$B$18)/1000)*(AR354*AT354+AS354*AU354)/100</f>
        <v>0</v>
      </c>
      <c r="AX354" s="18">
        <f t="shared" si="338"/>
        <v>0.68199836006249859</v>
      </c>
    </row>
    <row r="355" spans="1:50" ht="13.5" x14ac:dyDescent="0.25">
      <c r="A355" s="16">
        <v>314</v>
      </c>
      <c r="B355" s="16">
        <f t="shared" si="311"/>
        <v>136</v>
      </c>
      <c r="C355" s="19">
        <f t="shared" si="312"/>
        <v>66.515500640696956</v>
      </c>
      <c r="D355" s="17">
        <f t="shared" si="279"/>
        <v>14639.638479359302</v>
      </c>
      <c r="E355" s="17">
        <f t="shared" si="313"/>
        <v>-13262.229450640696</v>
      </c>
      <c r="F355" s="17">
        <f t="shared" si="314"/>
        <v>-14604.888020640698</v>
      </c>
      <c r="G355" s="17">
        <f t="shared" si="315"/>
        <v>12982.257239359304</v>
      </c>
      <c r="H355" s="17">
        <f t="shared" si="309"/>
        <v>12982.257239359304</v>
      </c>
      <c r="I355" s="17">
        <f t="shared" si="316"/>
        <v>8866.6420788313699</v>
      </c>
      <c r="J355" s="20">
        <f>(Geraetedaten!$B$152+(Geraetedaten!$B$153*(Geraetedaten!$B$18+d_y_Sw)/1000))*10</f>
        <v>6051.0442000000003</v>
      </c>
      <c r="K355" s="20">
        <f>(Geraetedaten!$B$165+(Geraetedaten!$B$166*(Geraetedaten!$B$18+d_y_Sw)/1000))*10</f>
        <v>10816.164000000001</v>
      </c>
      <c r="L355" s="20">
        <f>(Geraetedaten!$B$158+(Geraetedaten!$B$159*(Geraetedaten!$B$18+d_y_Sw)/1000)-(Geraetedaten!$B$160*I355/1000))*10</f>
        <v>-48.654263640704443</v>
      </c>
      <c r="M355" s="20">
        <f>(Geraetedaten!$B$171+(Geraetedaten!$B$172*(Geraetedaten!$B$18+d_y_Sw)/1000)-(Geraetedaten!$B$173*I355/1000))*10</f>
        <v>404.83416365179369</v>
      </c>
      <c r="N355" s="20">
        <f>IF((H355-J355)/(K355-J355)*(Geraetedaten!$B$174-Geraetedaten!$B$161)&lt;Geraetedaten!$B$174,(H355-J355)/(K355-J355)*(Geraetedaten!$B$174-Geraetedaten!$B$161),Geraetedaten!$B$174)</f>
        <v>400</v>
      </c>
      <c r="O355" s="20">
        <f>N355/Geraetedaten!$B$174*(M355-L355)+L355+C355</f>
        <v>471.34966429249062</v>
      </c>
      <c r="P355" s="20">
        <f t="shared" si="310"/>
        <v>149.06258352659322</v>
      </c>
      <c r="Q355" s="20"/>
      <c r="R355" s="21">
        <f>(N355-Geraetedaten!$B$161)/(Geraetedaten!$B$174-Geraetedaten!$B$161)*(Geraetedaten!$B$175-Geraetedaten!$B$162)+Geraetedaten!$B$162</f>
        <v>41.1</v>
      </c>
      <c r="S355" s="21">
        <f t="shared" si="317"/>
        <v>41.1</v>
      </c>
      <c r="T355" s="21">
        <f t="shared" si="318"/>
        <v>-29.564865793918564</v>
      </c>
      <c r="U355" s="88">
        <f t="shared" si="319"/>
        <v>28.550459025864789</v>
      </c>
      <c r="V355" s="86">
        <f t="shared" si="320"/>
        <v>14706.153979999999</v>
      </c>
      <c r="W355" s="85">
        <f t="shared" si="321"/>
        <v>-4225.3239992296285</v>
      </c>
      <c r="X355" s="85">
        <f t="shared" si="322"/>
        <v>5876.3465979277144</v>
      </c>
      <c r="Y355" s="90">
        <f t="shared" si="323"/>
        <v>4225.3239992296285</v>
      </c>
      <c r="Z355" s="86">
        <f t="shared" si="324"/>
        <v>-13195.713949999999</v>
      </c>
      <c r="AA355" s="85">
        <f t="shared" si="325"/>
        <v>-913.46204712425447</v>
      </c>
      <c r="AB355" s="85">
        <f t="shared" si="326"/>
        <v>-1371.1370542451896</v>
      </c>
      <c r="AC355" s="90">
        <f t="shared" si="327"/>
        <v>913.46204712425447</v>
      </c>
      <c r="AD355" s="86">
        <f t="shared" si="328"/>
        <v>-14538.372520000001</v>
      </c>
      <c r="AE355" s="85">
        <f t="shared" si="329"/>
        <v>4140.4375383844126</v>
      </c>
      <c r="AF355" s="85">
        <f t="shared" si="330"/>
        <v>-5753.6227726885991</v>
      </c>
      <c r="AG355" s="90">
        <f t="shared" si="331"/>
        <v>4140.4375383844126</v>
      </c>
      <c r="AH355" s="86">
        <f t="shared" si="332"/>
        <v>13048.77274</v>
      </c>
      <c r="AI355" s="85">
        <f t="shared" si="333"/>
        <v>6238.0466047659793</v>
      </c>
      <c r="AJ355" s="85">
        <f t="shared" si="334"/>
        <v>8866.6420788313699</v>
      </c>
      <c r="AK355" s="90">
        <f t="shared" si="335"/>
        <v>6238.0466047659793</v>
      </c>
      <c r="AM355" s="95">
        <f t="shared" si="275"/>
        <v>0</v>
      </c>
      <c r="AN355" s="95">
        <f t="shared" si="276"/>
        <v>0</v>
      </c>
      <c r="AO355" s="95">
        <f t="shared" si="277"/>
        <v>0</v>
      </c>
      <c r="AP355" s="95">
        <f t="shared" si="278"/>
        <v>0</v>
      </c>
      <c r="AQ355"/>
      <c r="AR355" s="95">
        <f t="shared" si="336"/>
        <v>0</v>
      </c>
      <c r="AS355" s="95">
        <f t="shared" si="337"/>
        <v>0</v>
      </c>
      <c r="AT355" s="95">
        <f>Geraetedaten!$B$94*ABS(SIN(RADIANS($A355)))</f>
        <v>110.77832925215229</v>
      </c>
      <c r="AU355" s="95">
        <f>Geraetedaten!$B$94*ABS(COS(RADIANS($A355)))</f>
        <v>106.97738905068557</v>
      </c>
      <c r="AV355" s="95">
        <f>((h_Aw_Sw+Geraetedaten!$B$18)/1000)*(AR355*AT355+AS355*AU355)/100</f>
        <v>0</v>
      </c>
      <c r="AX355" s="18">
        <f t="shared" si="338"/>
        <v>0.69465837045899725</v>
      </c>
    </row>
    <row r="356" spans="1:50" ht="13.5" x14ac:dyDescent="0.25">
      <c r="A356" s="16">
        <v>315</v>
      </c>
      <c r="B356" s="16">
        <f t="shared" si="311"/>
        <v>135</v>
      </c>
      <c r="C356" s="19">
        <f t="shared" si="312"/>
        <v>66.110906080629391</v>
      </c>
      <c r="D356" s="17">
        <f t="shared" si="279"/>
        <v>14894.68314391937</v>
      </c>
      <c r="E356" s="17">
        <f t="shared" si="313"/>
        <v>-13010.89958608063</v>
      </c>
      <c r="F356" s="17">
        <f t="shared" si="314"/>
        <v>-14855.792126080631</v>
      </c>
      <c r="G356" s="17">
        <f t="shared" si="315"/>
        <v>12758.53114391937</v>
      </c>
      <c r="H356" s="17">
        <f t="shared" si="309"/>
        <v>12758.53114391937</v>
      </c>
      <c r="I356" s="17">
        <f t="shared" si="316"/>
        <v>8714.3452577682092</v>
      </c>
      <c r="J356" s="20">
        <f>(Geraetedaten!$B$152+(Geraetedaten!$B$153*(Geraetedaten!$B$18+d_y_Sw)/1000))*10</f>
        <v>6051.0442000000003</v>
      </c>
      <c r="K356" s="20">
        <f>(Geraetedaten!$B$165+(Geraetedaten!$B$166*(Geraetedaten!$B$18+d_y_Sw)/1000))*10</f>
        <v>10816.164000000001</v>
      </c>
      <c r="L356" s="20">
        <f>(Geraetedaten!$B$158+(Geraetedaten!$B$159*(Geraetedaten!$B$18+d_y_Sw)/1000)-(Geraetedaten!$B$160*I356/1000))*10</f>
        <v>-37.486337752142873</v>
      </c>
      <c r="M356" s="20">
        <f>(Geraetedaten!$B$171+(Geraetedaten!$B$172*(Geraetedaten!$B$18+d_y_Sw)/1000)-(Geraetedaten!$B$173*I356/1000))*10</f>
        <v>416.17113901173525</v>
      </c>
      <c r="N356" s="20">
        <f>IF((H356-J356)/(K356-J356)*(Geraetedaten!$B$174-Geraetedaten!$B$161)&lt;Geraetedaten!$B$174,(H356-J356)/(K356-J356)*(Geraetedaten!$B$174-Geraetedaten!$B$161),Geraetedaten!$B$174)</f>
        <v>400</v>
      </c>
      <c r="O356" s="20">
        <f>N356/Geraetedaten!$B$174*(M356-L356)+L356+C356</f>
        <v>482.28204509236463</v>
      </c>
      <c r="P356" s="20">
        <f t="shared" si="310"/>
        <v>151.80266810157789</v>
      </c>
      <c r="Q356" s="20"/>
      <c r="R356" s="21">
        <f>(N356-Geraetedaten!$B$161)/(Geraetedaten!$B$174-Geraetedaten!$B$161)*(Geraetedaten!$B$175-Geraetedaten!$B$162)+Geraetedaten!$B$162</f>
        <v>41.1</v>
      </c>
      <c r="S356" s="21">
        <f t="shared" si="317"/>
        <v>41.1</v>
      </c>
      <c r="T356" s="21">
        <f t="shared" si="318"/>
        <v>-29.06208870676711</v>
      </c>
      <c r="U356" s="88">
        <f t="shared" si="319"/>
        <v>29.062088706767096</v>
      </c>
      <c r="V356" s="86">
        <f t="shared" si="320"/>
        <v>14960.79405</v>
      </c>
      <c r="W356" s="85">
        <f t="shared" si="321"/>
        <v>-4225.3239992296285</v>
      </c>
      <c r="X356" s="85">
        <f t="shared" si="322"/>
        <v>5978.0967460599923</v>
      </c>
      <c r="Y356" s="90">
        <f t="shared" si="323"/>
        <v>4225.3239992296285</v>
      </c>
      <c r="Z356" s="86">
        <f t="shared" si="324"/>
        <v>-12944.78868</v>
      </c>
      <c r="AA356" s="85">
        <f t="shared" si="325"/>
        <v>-913.46204712425447</v>
      </c>
      <c r="AB356" s="85">
        <f t="shared" si="326"/>
        <v>-1345.0639719865378</v>
      </c>
      <c r="AC356" s="90">
        <f t="shared" si="327"/>
        <v>913.46204712425447</v>
      </c>
      <c r="AD356" s="86">
        <f t="shared" si="328"/>
        <v>-14789.68122</v>
      </c>
      <c r="AE356" s="85">
        <f t="shared" si="329"/>
        <v>4140.4375383844126</v>
      </c>
      <c r="AF356" s="85">
        <f t="shared" si="330"/>
        <v>-5853.0792603709215</v>
      </c>
      <c r="AG356" s="90">
        <f t="shared" si="331"/>
        <v>4140.4375383844126</v>
      </c>
      <c r="AH356" s="86">
        <f t="shared" si="332"/>
        <v>12824.64205</v>
      </c>
      <c r="AI356" s="85">
        <f t="shared" si="333"/>
        <v>6238.0466047659793</v>
      </c>
      <c r="AJ356" s="85">
        <f t="shared" si="334"/>
        <v>8714.3452577682092</v>
      </c>
      <c r="AK356" s="90">
        <f t="shared" si="335"/>
        <v>6238.0466047659793</v>
      </c>
      <c r="AM356" s="95">
        <f t="shared" si="275"/>
        <v>0</v>
      </c>
      <c r="AN356" s="95">
        <f t="shared" si="276"/>
        <v>0</v>
      </c>
      <c r="AO356" s="95">
        <f t="shared" si="277"/>
        <v>0</v>
      </c>
      <c r="AP356" s="95">
        <f t="shared" si="278"/>
        <v>0</v>
      </c>
      <c r="AQ356"/>
      <c r="AR356" s="95">
        <f t="shared" si="336"/>
        <v>0</v>
      </c>
      <c r="AS356" s="95">
        <f t="shared" si="337"/>
        <v>0</v>
      </c>
      <c r="AT356" s="95">
        <f>Geraetedaten!$B$94*ABS(SIN(RADIANS($A356)))</f>
        <v>108.89444430272835</v>
      </c>
      <c r="AU356" s="95">
        <f>Geraetedaten!$B$94*ABS(COS(RADIANS($A356)))</f>
        <v>108.89444430272829</v>
      </c>
      <c r="AV356" s="95">
        <f>((h_Aw_Sw+Geraetedaten!$B$18)/1000)*(AR356*AT356+AS356*AU356)/100</f>
        <v>0</v>
      </c>
      <c r="AX356" s="18">
        <f t="shared" si="338"/>
        <v>0.70710678118654735</v>
      </c>
    </row>
    <row r="357" spans="1:50" ht="13.5" x14ac:dyDescent="0.25">
      <c r="A357" s="16">
        <v>316</v>
      </c>
      <c r="B357" s="16">
        <f t="shared" si="311"/>
        <v>134</v>
      </c>
      <c r="C357" s="19">
        <f t="shared" si="312"/>
        <v>65.686173498138942</v>
      </c>
      <c r="D357" s="17">
        <f t="shared" si="279"/>
        <v>15163.44230650186</v>
      </c>
      <c r="E357" s="17">
        <f t="shared" si="313"/>
        <v>-12772.712983498139</v>
      </c>
      <c r="F357" s="17">
        <f t="shared" si="314"/>
        <v>-15120.183513498139</v>
      </c>
      <c r="G357" s="17">
        <f t="shared" si="315"/>
        <v>12546.17149650186</v>
      </c>
      <c r="H357" s="17">
        <f t="shared" si="309"/>
        <v>12546.17149650186</v>
      </c>
      <c r="I357" s="17">
        <f t="shared" si="316"/>
        <v>8569.7582576632249</v>
      </c>
      <c r="J357" s="20">
        <f>(Geraetedaten!$B$152+(Geraetedaten!$B$153*(Geraetedaten!$B$18+d_y_Sw)/1000))*10</f>
        <v>6051.0442000000003</v>
      </c>
      <c r="K357" s="20">
        <f>(Geraetedaten!$B$165+(Geraetedaten!$B$166*(Geraetedaten!$B$18+d_y_Sw)/1000))*10</f>
        <v>10816.164000000001</v>
      </c>
      <c r="L357" s="20">
        <f>(Geraetedaten!$B$158+(Geraetedaten!$B$159*(Geraetedaten!$B$18+d_y_Sw)/1000)-(Geraetedaten!$B$160*I357/1000))*10</f>
        <v>-26.883773034444403</v>
      </c>
      <c r="M357" s="20">
        <f>(Geraetedaten!$B$171+(Geraetedaten!$B$172*(Geraetedaten!$B$18+d_y_Sw)/1000)-(Geraetedaten!$B$173*I357/1000))*10</f>
        <v>426.93419529955037</v>
      </c>
      <c r="N357" s="20">
        <f>IF((H357-J357)/(K357-J357)*(Geraetedaten!$B$174-Geraetedaten!$B$161)&lt;Geraetedaten!$B$174,(H357-J357)/(K357-J357)*(Geraetedaten!$B$174-Geraetedaten!$B$161),Geraetedaten!$B$174)</f>
        <v>400</v>
      </c>
      <c r="O357" s="20">
        <f>N357/Geraetedaten!$B$174*(M357-L357)+L357+C357</f>
        <v>492.62036879768931</v>
      </c>
      <c r="P357" s="20">
        <f t="shared" si="310"/>
        <v>154.3675697404145</v>
      </c>
      <c r="Q357" s="20"/>
      <c r="R357" s="21">
        <f>(N357-Geraetedaten!$B$161)/(Geraetedaten!$B$174-Geraetedaten!$B$161)*(Geraetedaten!$B$175-Geraetedaten!$B$162)+Geraetedaten!$B$162</f>
        <v>41.1</v>
      </c>
      <c r="S357" s="21">
        <f t="shared" si="317"/>
        <v>41.1</v>
      </c>
      <c r="T357" s="21">
        <f t="shared" si="318"/>
        <v>-28.5504590258648</v>
      </c>
      <c r="U357" s="88">
        <f t="shared" si="319"/>
        <v>29.56486579391855</v>
      </c>
      <c r="V357" s="86">
        <f t="shared" si="320"/>
        <v>15229.128479999999</v>
      </c>
      <c r="W357" s="85">
        <f t="shared" si="321"/>
        <v>-4225.3239992296285</v>
      </c>
      <c r="X357" s="85">
        <f t="shared" si="322"/>
        <v>6085.3189403150991</v>
      </c>
      <c r="Y357" s="90">
        <f t="shared" si="323"/>
        <v>4225.3239992296285</v>
      </c>
      <c r="Z357" s="86">
        <f t="shared" si="324"/>
        <v>-12707.026809999999</v>
      </c>
      <c r="AA357" s="85">
        <f t="shared" si="325"/>
        <v>-913.46204712425447</v>
      </c>
      <c r="AB357" s="85">
        <f t="shared" si="326"/>
        <v>-1320.3586685176758</v>
      </c>
      <c r="AC357" s="90">
        <f t="shared" si="327"/>
        <v>913.46204712425447</v>
      </c>
      <c r="AD357" s="86">
        <f t="shared" si="328"/>
        <v>-15054.49734</v>
      </c>
      <c r="AE357" s="85">
        <f t="shared" si="329"/>
        <v>4140.4375383844126</v>
      </c>
      <c r="AF357" s="85">
        <f t="shared" si="330"/>
        <v>-5957.8813679477053</v>
      </c>
      <c r="AG357" s="90">
        <f t="shared" si="331"/>
        <v>4140.4375383844126</v>
      </c>
      <c r="AH357" s="86">
        <f t="shared" si="332"/>
        <v>12611.857669999999</v>
      </c>
      <c r="AI357" s="85">
        <f t="shared" si="333"/>
        <v>6238.0466047659793</v>
      </c>
      <c r="AJ357" s="85">
        <f t="shared" si="334"/>
        <v>8569.7582576632249</v>
      </c>
      <c r="AK357" s="90">
        <f t="shared" si="335"/>
        <v>6238.0466047659793</v>
      </c>
      <c r="AM357" s="95">
        <f t="shared" si="275"/>
        <v>0</v>
      </c>
      <c r="AN357" s="95">
        <f t="shared" si="276"/>
        <v>0</v>
      </c>
      <c r="AO357" s="95">
        <f t="shared" si="277"/>
        <v>0</v>
      </c>
      <c r="AP357" s="95">
        <f t="shared" si="278"/>
        <v>0</v>
      </c>
      <c r="AQ357"/>
      <c r="AR357" s="95">
        <f t="shared" si="336"/>
        <v>0</v>
      </c>
      <c r="AS357" s="95">
        <f t="shared" si="337"/>
        <v>0</v>
      </c>
      <c r="AT357" s="95">
        <f>Geraetedaten!$B$94*ABS(SIN(RADIANS($A357)))</f>
        <v>106.97738905068563</v>
      </c>
      <c r="AU357" s="95">
        <f>Geraetedaten!$B$94*ABS(COS(RADIANS($A357)))</f>
        <v>110.77832925215223</v>
      </c>
      <c r="AV357" s="95">
        <f>((h_Aw_Sw+Geraetedaten!$B$18)/1000)*(AR357*AT357+AS357*AU357)/100</f>
        <v>0</v>
      </c>
      <c r="AX357" s="18">
        <f t="shared" si="338"/>
        <v>0.71933980033865086</v>
      </c>
    </row>
    <row r="358" spans="1:50" ht="13.5" x14ac:dyDescent="0.25">
      <c r="A358" s="16">
        <v>317</v>
      </c>
      <c r="B358" s="16">
        <f t="shared" si="311"/>
        <v>133</v>
      </c>
      <c r="C358" s="19">
        <f t="shared" si="312"/>
        <v>65.241432270884687</v>
      </c>
      <c r="D358" s="17">
        <f t="shared" si="279"/>
        <v>15446.834307729116</v>
      </c>
      <c r="E358" s="17">
        <f t="shared" si="313"/>
        <v>-12546.816402270884</v>
      </c>
      <c r="F358" s="17">
        <f t="shared" si="314"/>
        <v>-15398.967072270885</v>
      </c>
      <c r="G358" s="17">
        <f t="shared" si="315"/>
        <v>12344.496017729116</v>
      </c>
      <c r="H358" s="17">
        <f t="shared" si="309"/>
        <v>12344.496017729116</v>
      </c>
      <c r="I358" s="17">
        <f t="shared" si="316"/>
        <v>8432.417552296567</v>
      </c>
      <c r="J358" s="20">
        <f>(Geraetedaten!$B$152+(Geraetedaten!$B$153*(Geraetedaten!$B$18+d_y_Sw)/1000))*10</f>
        <v>6051.0442000000003</v>
      </c>
      <c r="K358" s="20">
        <f>(Geraetedaten!$B$165+(Geraetedaten!$B$166*(Geraetedaten!$B$18+d_y_Sw)/1000))*10</f>
        <v>10816.164000000001</v>
      </c>
      <c r="L358" s="20">
        <f>(Geraetedaten!$B$158+(Geraetedaten!$B$159*(Geraetedaten!$B$18+d_y_Sw)/1000)-(Geraetedaten!$B$160*I358/1000))*10</f>
        <v>-16.812579109907375</v>
      </c>
      <c r="M358" s="20">
        <f>(Geraetedaten!$B$171+(Geraetedaten!$B$172*(Geraetedaten!$B$18+d_y_Sw)/1000)-(Geraetedaten!$B$173*I358/1000))*10</f>
        <v>437.15783740704438</v>
      </c>
      <c r="N358" s="20">
        <f>IF((H358-J358)/(K358-J358)*(Geraetedaten!$B$174-Geraetedaten!$B$161)&lt;Geraetedaten!$B$174,(H358-J358)/(K358-J358)*(Geraetedaten!$B$174-Geraetedaten!$B$161),Geraetedaten!$B$174)</f>
        <v>400</v>
      </c>
      <c r="O358" s="20">
        <f>N358/Geraetedaten!$B$174*(M358-L358)+L358+C358</f>
        <v>502.39926967792911</v>
      </c>
      <c r="P358" s="20">
        <f t="shared" si="310"/>
        <v>156.77001365370904</v>
      </c>
      <c r="Q358" s="20"/>
      <c r="R358" s="21">
        <f>(N358-Geraetedaten!$B$161)/(Geraetedaten!$B$174-Geraetedaten!$B$161)*(Geraetedaten!$B$175-Geraetedaten!$B$162)+Geraetedaten!$B$162</f>
        <v>41.1</v>
      </c>
      <c r="S358" s="21">
        <f t="shared" si="317"/>
        <v>41.1</v>
      </c>
      <c r="T358" s="21">
        <f t="shared" si="318"/>
        <v>-28.030132598568681</v>
      </c>
      <c r="U358" s="88">
        <f t="shared" si="319"/>
        <v>30.058637136547915</v>
      </c>
      <c r="V358" s="86">
        <f t="shared" si="320"/>
        <v>15512.07574</v>
      </c>
      <c r="W358" s="85">
        <f t="shared" si="321"/>
        <v>-4225.3239992296285</v>
      </c>
      <c r="X358" s="85">
        <f t="shared" si="322"/>
        <v>6198.3801901050692</v>
      </c>
      <c r="Y358" s="90">
        <f t="shared" si="323"/>
        <v>4225.3239992296285</v>
      </c>
      <c r="Z358" s="86">
        <f t="shared" si="324"/>
        <v>-12481.57497</v>
      </c>
      <c r="AA358" s="85">
        <f t="shared" si="325"/>
        <v>-913.46204712425447</v>
      </c>
      <c r="AB358" s="85">
        <f t="shared" si="326"/>
        <v>-1296.9324728629333</v>
      </c>
      <c r="AC358" s="90">
        <f t="shared" si="327"/>
        <v>913.46204712425447</v>
      </c>
      <c r="AD358" s="86">
        <f t="shared" si="328"/>
        <v>-15333.725640000001</v>
      </c>
      <c r="AE358" s="85">
        <f t="shared" si="329"/>
        <v>4140.4375383844126</v>
      </c>
      <c r="AF358" s="85">
        <f t="shared" si="330"/>
        <v>-6068.3871530373872</v>
      </c>
      <c r="AG358" s="90">
        <f t="shared" si="331"/>
        <v>4140.4375383844126</v>
      </c>
      <c r="AH358" s="86">
        <f t="shared" si="332"/>
        <v>12409.737450000001</v>
      </c>
      <c r="AI358" s="85">
        <f t="shared" si="333"/>
        <v>6238.0466047659793</v>
      </c>
      <c r="AJ358" s="85">
        <f t="shared" si="334"/>
        <v>8432.417552296567</v>
      </c>
      <c r="AK358" s="90">
        <f t="shared" si="335"/>
        <v>6238.0466047659793</v>
      </c>
      <c r="AM358" s="95">
        <f t="shared" si="275"/>
        <v>0</v>
      </c>
      <c r="AN358" s="95">
        <f t="shared" si="276"/>
        <v>0</v>
      </c>
      <c r="AO358" s="95">
        <f t="shared" si="277"/>
        <v>0</v>
      </c>
      <c r="AP358" s="95">
        <f t="shared" si="278"/>
        <v>0</v>
      </c>
      <c r="AQ358"/>
      <c r="AR358" s="95">
        <f t="shared" si="336"/>
        <v>0</v>
      </c>
      <c r="AS358" s="95">
        <f t="shared" si="337"/>
        <v>0</v>
      </c>
      <c r="AT358" s="95">
        <f>Geraetedaten!$B$94*ABS(SIN(RADIANS($A358)))</f>
        <v>105.02774744962473</v>
      </c>
      <c r="AU358" s="95">
        <f>Geraetedaten!$B$94*ABS(COS(RADIANS($A358)))</f>
        <v>112.62847004935229</v>
      </c>
      <c r="AV358" s="95">
        <f>((h_Aw_Sw+Geraetedaten!$B$18)/1000)*(AR358*AT358+AS358*AU358)/100</f>
        <v>0</v>
      </c>
      <c r="AX358" s="18">
        <f t="shared" si="338"/>
        <v>0.73135370161917068</v>
      </c>
    </row>
    <row r="359" spans="1:50" ht="13.5" x14ac:dyDescent="0.25">
      <c r="A359" s="16">
        <v>318</v>
      </c>
      <c r="B359" s="16">
        <f t="shared" si="311"/>
        <v>132</v>
      </c>
      <c r="C359" s="19">
        <f t="shared" si="312"/>
        <v>64.776817871352804</v>
      </c>
      <c r="D359" s="17">
        <f t="shared" si="279"/>
        <v>15745.866412128647</v>
      </c>
      <c r="E359" s="17">
        <f t="shared" si="313"/>
        <v>-12332.432247871353</v>
      </c>
      <c r="F359" s="17">
        <f t="shared" si="314"/>
        <v>-15693.135177871352</v>
      </c>
      <c r="G359" s="17">
        <f t="shared" si="315"/>
        <v>12152.879582128648</v>
      </c>
      <c r="H359" s="17">
        <f>SMALL(D359:G359,COUNTIF(D359:G359,"&lt;0")+1)</f>
        <v>12152.879582128648</v>
      </c>
      <c r="I359" s="17">
        <f t="shared" si="316"/>
        <v>8301.8984617101378</v>
      </c>
      <c r="J359" s="20">
        <f>(Geraetedaten!$B$152+(Geraetedaten!$B$153*(Geraetedaten!$B$18+d_y_Sw)/1000))*10</f>
        <v>6051.0442000000003</v>
      </c>
      <c r="K359" s="20">
        <f>(Geraetedaten!$B$165+(Geraetedaten!$B$166*(Geraetedaten!$B$18+d_y_Sw)/1000))*10</f>
        <v>10816.164000000001</v>
      </c>
      <c r="L359" s="20">
        <f>(Geraetedaten!$B$158+(Geraetedaten!$B$159*(Geraetedaten!$B$18+d_y_Sw)/1000)-(Geraetedaten!$B$160*I359/1000))*10</f>
        <v>-7.2416141972045267</v>
      </c>
      <c r="M359" s="20">
        <f>(Geraetedaten!$B$171+(Geraetedaten!$B$172*(Geraetedaten!$B$18+d_y_Sw)/1000)-(Geraetedaten!$B$173*I359/1000))*10</f>
        <v>446.87367851029813</v>
      </c>
      <c r="N359" s="20">
        <f>IF((H359-J359)/(K359-J359)*(Geraetedaten!$B$174-Geraetedaten!$B$161)&lt;Geraetedaten!$B$174,(H359-J359)/(K359-J359)*(Geraetedaten!$B$174-Geraetedaten!$B$161),Geraetedaten!$B$174)</f>
        <v>400</v>
      </c>
      <c r="O359" s="20">
        <f>N359/Geraetedaten!$B$174*(M359-L359)+L359+C359</f>
        <v>511.65049638165095</v>
      </c>
      <c r="P359" s="20">
        <f t="shared" si="310"/>
        <v>159.02144165698087</v>
      </c>
      <c r="Q359" s="20"/>
      <c r="R359" s="21">
        <f>(N359-Geraetedaten!$B$161)/(Geraetedaten!$B$174-Geraetedaten!$B$161)*(Geraetedaten!$B$175-Geraetedaten!$B$162)+Geraetedaten!$B$162</f>
        <v>41.1</v>
      </c>
      <c r="S359" s="21">
        <f t="shared" si="317"/>
        <v>41.1</v>
      </c>
      <c r="T359" s="21">
        <f t="shared" si="318"/>
        <v>-27.501267921349069</v>
      </c>
      <c r="U359" s="88">
        <f t="shared" si="319"/>
        <v>30.543252327120904</v>
      </c>
      <c r="V359" s="86">
        <f t="shared" si="320"/>
        <v>15810.64323</v>
      </c>
      <c r="W359" s="85">
        <f t="shared" si="321"/>
        <v>-4225.3239992296285</v>
      </c>
      <c r="X359" s="85">
        <f t="shared" si="322"/>
        <v>6317.6830405057863</v>
      </c>
      <c r="Y359" s="90">
        <f t="shared" si="323"/>
        <v>4225.3239992296285</v>
      </c>
      <c r="Z359" s="86">
        <f t="shared" si="324"/>
        <v>-12267.655430000001</v>
      </c>
      <c r="AA359" s="85">
        <f t="shared" si="325"/>
        <v>-913.46204712425447</v>
      </c>
      <c r="AB359" s="85">
        <f t="shared" si="326"/>
        <v>-1274.7045730902289</v>
      </c>
      <c r="AC359" s="90">
        <f t="shared" si="327"/>
        <v>913.46204712425447</v>
      </c>
      <c r="AD359" s="86">
        <f t="shared" si="328"/>
        <v>-15628.35836</v>
      </c>
      <c r="AE359" s="85">
        <f t="shared" si="329"/>
        <v>4140.4375383844126</v>
      </c>
      <c r="AF359" s="85">
        <f t="shared" si="330"/>
        <v>-6184.989305752737</v>
      </c>
      <c r="AG359" s="90">
        <f t="shared" si="331"/>
        <v>4140.4375383844126</v>
      </c>
      <c r="AH359" s="86">
        <f t="shared" si="332"/>
        <v>12217.6564</v>
      </c>
      <c r="AI359" s="85">
        <f t="shared" si="333"/>
        <v>6238.0466047659793</v>
      </c>
      <c r="AJ359" s="85">
        <f t="shared" si="334"/>
        <v>8301.8984617101378</v>
      </c>
      <c r="AK359" s="90">
        <f t="shared" si="335"/>
        <v>6238.0466047659793</v>
      </c>
      <c r="AM359" s="95">
        <f t="shared" ref="AM359:AM400" si="339">SIN(RADIANS(A359))*r_K_D</f>
        <v>0</v>
      </c>
      <c r="AN359" s="95">
        <f t="shared" ref="AN359:AN400" si="340">COS(RADIANS(A359-180))*r_K_D</f>
        <v>0</v>
      </c>
      <c r="AO359" s="95">
        <f t="shared" ref="AO359:AO400" si="341">SIN(RADIANS(A359))*r_K_SSw</f>
        <v>0</v>
      </c>
      <c r="AP359" s="95">
        <f t="shared" ref="AP359:AP400" si="342">-COS(RADIANS(A359))*r_K_SSw</f>
        <v>0</v>
      </c>
      <c r="AQ359"/>
      <c r="AR359" s="95">
        <f t="shared" si="336"/>
        <v>0</v>
      </c>
      <c r="AS359" s="95">
        <f t="shared" si="337"/>
        <v>0</v>
      </c>
      <c r="AT359" s="95">
        <f>Geraetedaten!$B$94*ABS(SIN(RADIANS($A359)))</f>
        <v>103.04611337926416</v>
      </c>
      <c r="AU359" s="95">
        <f>Geraetedaten!$B$94*ABS(COS(RADIANS($A359)))</f>
        <v>114.44430312351871</v>
      </c>
      <c r="AV359" s="95">
        <f>((h_Aw_Sw+Geraetedaten!$B$18)/1000)*(AR359*AT359+AS359*AU359)/100</f>
        <v>0</v>
      </c>
      <c r="AX359" s="18">
        <f t="shared" si="338"/>
        <v>0.74314482547739424</v>
      </c>
    </row>
    <row r="360" spans="1:50" ht="13.5" x14ac:dyDescent="0.25">
      <c r="A360" s="16">
        <v>319</v>
      </c>
      <c r="B360" s="16">
        <f t="shared" si="311"/>
        <v>131</v>
      </c>
      <c r="C360" s="19">
        <f t="shared" si="312"/>
        <v>64.292471825590169</v>
      </c>
      <c r="D360" s="17">
        <f t="shared" ref="D360:D400" si="343">IF(ISNUMBER(V360),V360-C360,"unendlich")</f>
        <v>16061.64564817441</v>
      </c>
      <c r="E360" s="17">
        <f t="shared" si="313"/>
        <v>-12128.85052182559</v>
      </c>
      <c r="F360" s="17">
        <f t="shared" si="314"/>
        <v>-16003.778361825591</v>
      </c>
      <c r="G360" s="17">
        <f t="shared" si="315"/>
        <v>11970.748508174409</v>
      </c>
      <c r="H360" s="17">
        <f t="shared" ref="H360:H400" si="344">SMALL(D360:G360,COUNTIF(D360:G360,"&lt;0")+1)</f>
        <v>11970.748508174409</v>
      </c>
      <c r="I360" s="17">
        <f t="shared" si="316"/>
        <v>8177.8112720277813</v>
      </c>
      <c r="J360" s="20">
        <f>(Geraetedaten!$B$152+(Geraetedaten!$B$153*(Geraetedaten!$B$18+d_y_Sw)/1000))*10</f>
        <v>6051.0442000000003</v>
      </c>
      <c r="K360" s="20">
        <f>(Geraetedaten!$B$165+(Geraetedaten!$B$166*(Geraetedaten!$B$18+d_y_Sw)/1000))*10</f>
        <v>10816.164000000001</v>
      </c>
      <c r="L360" s="20">
        <f>(Geraetedaten!$B$158+(Geraetedaten!$B$159*(Geraetedaten!$B$18+d_y_Sw)/1000)-(Geraetedaten!$B$160*I360/1000))*10</f>
        <v>1.8576994222026144</v>
      </c>
      <c r="M360" s="20">
        <f>(Geraetedaten!$B$171+(Geraetedaten!$B$172*(Geraetedaten!$B$18+d_y_Sw)/1000)-(Geraetedaten!$B$173*I360/1000))*10</f>
        <v>456.11072891025276</v>
      </c>
      <c r="N360" s="20">
        <f>IF((H360-J360)/(K360-J360)*(Geraetedaten!$B$174-Geraetedaten!$B$161)&lt;Geraetedaten!$B$174,(H360-J360)/(K360-J360)*(Geraetedaten!$B$174-Geraetedaten!$B$161),Geraetedaten!$B$174)</f>
        <v>400</v>
      </c>
      <c r="O360" s="20">
        <f>N360/Geraetedaten!$B$174*(M360-L360)+L360+C360</f>
        <v>520.40320073584292</v>
      </c>
      <c r="P360" s="20">
        <f t="shared" si="310"/>
        <v>161.13216835826995</v>
      </c>
      <c r="Q360" s="20"/>
      <c r="R360" s="21">
        <f>(N360-Geraetedaten!$B$161)/(Geraetedaten!$B$174-Geraetedaten!$B$161)*(Geraetedaten!$B$175-Geraetedaten!$B$162)+Geraetedaten!$B$162</f>
        <v>41.1</v>
      </c>
      <c r="S360" s="21">
        <f t="shared" si="317"/>
        <v>41.1</v>
      </c>
      <c r="T360" s="21">
        <f t="shared" si="318"/>
        <v>-26.964026091509854</v>
      </c>
      <c r="U360" s="88">
        <f t="shared" si="319"/>
        <v>31.018563747155927</v>
      </c>
      <c r="V360" s="86">
        <f t="shared" si="320"/>
        <v>16125.938120000001</v>
      </c>
      <c r="W360" s="85">
        <f t="shared" si="321"/>
        <v>-4225.3239992296285</v>
      </c>
      <c r="X360" s="85">
        <f t="shared" si="322"/>
        <v>6443.6698899838921</v>
      </c>
      <c r="Y360" s="90">
        <f t="shared" si="323"/>
        <v>4225.3239992296285</v>
      </c>
      <c r="Z360" s="86">
        <f t="shared" si="324"/>
        <v>-12064.55805</v>
      </c>
      <c r="AA360" s="85">
        <f t="shared" si="325"/>
        <v>-913.46204712425447</v>
      </c>
      <c r="AB360" s="85">
        <f t="shared" si="326"/>
        <v>-1253.601179864738</v>
      </c>
      <c r="AC360" s="90">
        <f t="shared" si="327"/>
        <v>913.46204712425447</v>
      </c>
      <c r="AD360" s="86">
        <f t="shared" si="328"/>
        <v>-15939.48589</v>
      </c>
      <c r="AE360" s="85">
        <f t="shared" si="329"/>
        <v>4140.4375383844126</v>
      </c>
      <c r="AF360" s="85">
        <f t="shared" si="330"/>
        <v>-6308.1193516126377</v>
      </c>
      <c r="AG360" s="90">
        <f t="shared" si="331"/>
        <v>4140.4375383844126</v>
      </c>
      <c r="AH360" s="86">
        <f t="shared" si="332"/>
        <v>12035.04098</v>
      </c>
      <c r="AI360" s="85">
        <f t="shared" si="333"/>
        <v>6238.0466047659793</v>
      </c>
      <c r="AJ360" s="85">
        <f t="shared" si="334"/>
        <v>8177.8112720277813</v>
      </c>
      <c r="AK360" s="90">
        <f t="shared" si="335"/>
        <v>6238.0466047659793</v>
      </c>
      <c r="AM360" s="95">
        <f t="shared" si="339"/>
        <v>0</v>
      </c>
      <c r="AN360" s="95">
        <f t="shared" si="340"/>
        <v>0</v>
      </c>
      <c r="AO360" s="95">
        <f t="shared" si="341"/>
        <v>0</v>
      </c>
      <c r="AP360" s="95">
        <f t="shared" si="342"/>
        <v>0</v>
      </c>
      <c r="AQ360"/>
      <c r="AR360" s="95">
        <f t="shared" si="336"/>
        <v>0</v>
      </c>
      <c r="AS360" s="95">
        <f t="shared" si="337"/>
        <v>0</v>
      </c>
      <c r="AT360" s="95">
        <f>Geraetedaten!$B$94*ABS(SIN(RADIANS($A360)))</f>
        <v>101.03309046453813</v>
      </c>
      <c r="AU360" s="95">
        <f>Geraetedaten!$B$94*ABS(COS(RADIANS($A360)))</f>
        <v>116.22527535430687</v>
      </c>
      <c r="AV360" s="95">
        <f>((h_Aw_Sw+Geraetedaten!$B$18)/1000)*(AR360*AT360+AS360*AU360)/100</f>
        <v>0</v>
      </c>
      <c r="AX360" s="18">
        <f t="shared" si="338"/>
        <v>0.7547095802227719</v>
      </c>
    </row>
    <row r="361" spans="1:50" ht="13.5" x14ac:dyDescent="0.25">
      <c r="A361" s="16">
        <v>320</v>
      </c>
      <c r="B361" s="16">
        <f t="shared" si="311"/>
        <v>130</v>
      </c>
      <c r="C361" s="19">
        <f t="shared" si="312"/>
        <v>63.788541670094318</v>
      </c>
      <c r="D361" s="17">
        <f t="shared" si="343"/>
        <v>16395.391158329905</v>
      </c>
      <c r="E361" s="17">
        <f t="shared" si="313"/>
        <v>-11935.421781670093</v>
      </c>
      <c r="F361" s="17">
        <f t="shared" si="314"/>
        <v>-16332.097521670094</v>
      </c>
      <c r="G361" s="17">
        <f t="shared" si="315"/>
        <v>11797.575558329907</v>
      </c>
      <c r="H361" s="17">
        <f t="shared" si="344"/>
        <v>11797.575558329907</v>
      </c>
      <c r="I361" s="17">
        <f t="shared" si="316"/>
        <v>8059.7978156727486</v>
      </c>
      <c r="J361" s="20">
        <f>(Geraetedaten!$B$152+(Geraetedaten!$B$153*(Geraetedaten!$B$18+d_y_Sw)/1000))*10</f>
        <v>6051.0442000000003</v>
      </c>
      <c r="K361" s="20">
        <f>(Geraetedaten!$B$165+(Geraetedaten!$B$166*(Geraetedaten!$B$18+d_y_Sw)/1000))*10</f>
        <v>10816.164000000001</v>
      </c>
      <c r="L361" s="20">
        <f>(Geraetedaten!$B$158+(Geraetedaten!$B$159*(Geraetedaten!$B$18+d_y_Sw)/1000)-(Geraetedaten!$B$160*I361/1000))*10</f>
        <v>10.511626176717215</v>
      </c>
      <c r="M361" s="20">
        <f>(Geraetedaten!$B$171+(Geraetedaten!$B$172*(Geraetedaten!$B$18+d_y_Sw)/1000)-(Geraetedaten!$B$173*I361/1000))*10</f>
        <v>464.89565060132134</v>
      </c>
      <c r="N361" s="20">
        <f>IF((H361-J361)/(K361-J361)*(Geraetedaten!$B$174-Geraetedaten!$B$161)&lt;Geraetedaten!$B$174,(H361-J361)/(K361-J361)*(Geraetedaten!$B$174-Geraetedaten!$B$161),Geraetedaten!$B$174)</f>
        <v>400</v>
      </c>
      <c r="O361" s="20">
        <f>N361/Geraetedaten!$B$174*(M361-L361)+L361+C361</f>
        <v>528.68419227141567</v>
      </c>
      <c r="P361" s="20">
        <f t="shared" si="310"/>
        <v>163.11151499296179</v>
      </c>
      <c r="Q361" s="20"/>
      <c r="R361" s="21">
        <f>(N361-Geraetedaten!$B$161)/(Geraetedaten!$B$174-Geraetedaten!$B$161)*(Geraetedaten!$B$175-Geraetedaten!$B$162)+Geraetedaten!$B$162</f>
        <v>41.1</v>
      </c>
      <c r="S361" s="21">
        <f t="shared" si="317"/>
        <v>41.1</v>
      </c>
      <c r="T361" s="21">
        <f t="shared" si="318"/>
        <v>-26.418570758116779</v>
      </c>
      <c r="U361" s="88">
        <f t="shared" si="319"/>
        <v>31.484426612189989</v>
      </c>
      <c r="V361" s="86">
        <f t="shared" si="320"/>
        <v>16459.179700000001</v>
      </c>
      <c r="W361" s="85">
        <f t="shared" si="321"/>
        <v>-4225.3239992296285</v>
      </c>
      <c r="X361" s="85">
        <f t="shared" si="322"/>
        <v>6576.8279570734139</v>
      </c>
      <c r="Y361" s="90">
        <f t="shared" si="323"/>
        <v>4225.3239992296285</v>
      </c>
      <c r="Z361" s="86">
        <f t="shared" si="324"/>
        <v>-11871.633239999999</v>
      </c>
      <c r="AA361" s="85">
        <f t="shared" si="325"/>
        <v>-913.46204712425447</v>
      </c>
      <c r="AB361" s="85">
        <f t="shared" si="326"/>
        <v>-1233.5547952264187</v>
      </c>
      <c r="AC361" s="90">
        <f t="shared" si="327"/>
        <v>913.46204712425447</v>
      </c>
      <c r="AD361" s="86">
        <f t="shared" si="328"/>
        <v>-16268.30898</v>
      </c>
      <c r="AE361" s="85">
        <f t="shared" si="329"/>
        <v>4140.4375383844126</v>
      </c>
      <c r="AF361" s="85">
        <f t="shared" si="330"/>
        <v>-6438.2524853953373</v>
      </c>
      <c r="AG361" s="90">
        <f t="shared" si="331"/>
        <v>4140.4375383844126</v>
      </c>
      <c r="AH361" s="86">
        <f t="shared" si="332"/>
        <v>11861.364100000001</v>
      </c>
      <c r="AI361" s="85">
        <f t="shared" si="333"/>
        <v>6238.0466047659793</v>
      </c>
      <c r="AJ361" s="85">
        <f t="shared" si="334"/>
        <v>8059.7978156727486</v>
      </c>
      <c r="AK361" s="90">
        <f t="shared" si="335"/>
        <v>6238.0466047659793</v>
      </c>
      <c r="AM361" s="95">
        <f t="shared" si="339"/>
        <v>0</v>
      </c>
      <c r="AN361" s="95">
        <f t="shared" si="340"/>
        <v>0</v>
      </c>
      <c r="AO361" s="95">
        <f t="shared" si="341"/>
        <v>0</v>
      </c>
      <c r="AP361" s="95">
        <f t="shared" si="342"/>
        <v>0</v>
      </c>
      <c r="AQ361"/>
      <c r="AR361" s="95">
        <f t="shared" si="336"/>
        <v>0</v>
      </c>
      <c r="AS361" s="95">
        <f t="shared" si="337"/>
        <v>0</v>
      </c>
      <c r="AT361" s="95">
        <f>Geraetedaten!$B$94*ABS(SIN(RADIANS($A361)))</f>
        <v>98.989291891727092</v>
      </c>
      <c r="AU361" s="95">
        <f>Geraetedaten!$B$94*ABS(COS(RADIANS($A361)))</f>
        <v>117.97084424032258</v>
      </c>
      <c r="AV361" s="95">
        <f>((h_Aw_Sw+Geraetedaten!$B$18)/1000)*(AR361*AT361+AS361*AU361)/100</f>
        <v>0</v>
      </c>
      <c r="AX361" s="18">
        <f t="shared" si="338"/>
        <v>0.76604444311897779</v>
      </c>
    </row>
    <row r="362" spans="1:50" ht="13.5" x14ac:dyDescent="0.25">
      <c r="A362" s="16">
        <v>321</v>
      </c>
      <c r="B362" s="16">
        <f t="shared" si="311"/>
        <v>129</v>
      </c>
      <c r="C362" s="19">
        <f t="shared" si="312"/>
        <v>63.26518090687226</v>
      </c>
      <c r="D362" s="17">
        <f t="shared" si="343"/>
        <v>16748.448629093127</v>
      </c>
      <c r="E362" s="17">
        <f t="shared" si="313"/>
        <v>-11751.550950906872</v>
      </c>
      <c r="F362" s="17">
        <f t="shared" si="314"/>
        <v>-16679.417960906874</v>
      </c>
      <c r="G362" s="17">
        <f t="shared" si="315"/>
        <v>11632.875439093128</v>
      </c>
      <c r="H362" s="17">
        <f t="shared" si="344"/>
        <v>11632.875439093128</v>
      </c>
      <c r="I362" s="17">
        <f t="shared" si="316"/>
        <v>7947.5284497286066</v>
      </c>
      <c r="J362" s="20">
        <f>(Geraetedaten!$B$152+(Geraetedaten!$B$153*(Geraetedaten!$B$18+d_y_Sw)/1000))*10</f>
        <v>6051.0442000000003</v>
      </c>
      <c r="K362" s="20">
        <f>(Geraetedaten!$B$165+(Geraetedaten!$B$166*(Geraetedaten!$B$18+d_y_Sw)/1000))*10</f>
        <v>10816.164000000001</v>
      </c>
      <c r="L362" s="20">
        <f>(Geraetedaten!$B$158+(Geraetedaten!$B$159*(Geraetedaten!$B$18+d_y_Sw)/1000)-(Geraetedaten!$B$160*I362/1000))*10</f>
        <v>18.744338781401169</v>
      </c>
      <c r="M362" s="20">
        <f>(Geraetedaten!$B$171+(Geraetedaten!$B$172*(Geraetedaten!$B$18+d_y_Sw)/1000)-(Geraetedaten!$B$173*I362/1000))*10</f>
        <v>473.25298220220327</v>
      </c>
      <c r="N362" s="20">
        <f>IF((H362-J362)/(K362-J362)*(Geraetedaten!$B$174-Geraetedaten!$B$161)&lt;Geraetedaten!$B$174,(H362-J362)/(K362-J362)*(Geraetedaten!$B$174-Geraetedaten!$B$161),Geraetedaten!$B$174)</f>
        <v>400</v>
      </c>
      <c r="O362" s="20">
        <f>N362/Geraetedaten!$B$174*(M362-L362)+L362+C362</f>
        <v>536.51816310907554</v>
      </c>
      <c r="P362" s="20">
        <f>O362*100/9.81/(R362-(I362/1000))</f>
        <v>164.96792454450335</v>
      </c>
      <c r="Q362" s="20"/>
      <c r="R362" s="21">
        <f>(N362-Geraetedaten!$B$161)/(Geraetedaten!$B$174-Geraetedaten!$B$161)*(Geraetedaten!$B$175-Geraetedaten!$B$162)+Geraetedaten!$B$162</f>
        <v>41.1</v>
      </c>
      <c r="S362" s="21">
        <f t="shared" si="317"/>
        <v>41.1</v>
      </c>
      <c r="T362" s="21">
        <f t="shared" si="318"/>
        <v>-25.865068072148336</v>
      </c>
      <c r="U362" s="88">
        <f t="shared" si="319"/>
        <v>31.940699015881492</v>
      </c>
      <c r="V362" s="86">
        <f t="shared" si="320"/>
        <v>16811.713810000001</v>
      </c>
      <c r="W362" s="85">
        <f t="shared" si="321"/>
        <v>-4225.3239992296285</v>
      </c>
      <c r="X362" s="85">
        <f t="shared" si="322"/>
        <v>6717.6950125113572</v>
      </c>
      <c r="Y362" s="90">
        <f t="shared" si="323"/>
        <v>4225.3239992296285</v>
      </c>
      <c r="Z362" s="86">
        <f t="shared" si="324"/>
        <v>-11688.28577</v>
      </c>
      <c r="AA362" s="85">
        <f t="shared" si="325"/>
        <v>-913.46204712425447</v>
      </c>
      <c r="AB362" s="85">
        <f t="shared" si="326"/>
        <v>-1214.5035714988887</v>
      </c>
      <c r="AC362" s="90">
        <f t="shared" si="327"/>
        <v>913.46204712425447</v>
      </c>
      <c r="AD362" s="86">
        <f t="shared" si="328"/>
        <v>-16616.15278</v>
      </c>
      <c r="AE362" s="85">
        <f t="shared" si="329"/>
        <v>4140.4375383844126</v>
      </c>
      <c r="AF362" s="85">
        <f t="shared" si="330"/>
        <v>-6575.9131490692052</v>
      </c>
      <c r="AG362" s="90">
        <f t="shared" si="331"/>
        <v>4140.4375383844126</v>
      </c>
      <c r="AH362" s="86">
        <f t="shared" si="332"/>
        <v>11696.14062</v>
      </c>
      <c r="AI362" s="85">
        <f t="shared" si="333"/>
        <v>6238.0466047659793</v>
      </c>
      <c r="AJ362" s="85">
        <f t="shared" si="334"/>
        <v>7947.5284497286066</v>
      </c>
      <c r="AK362" s="90">
        <f t="shared" si="335"/>
        <v>6238.0466047659793</v>
      </c>
      <c r="AM362" s="95">
        <f t="shared" si="339"/>
        <v>0</v>
      </c>
      <c r="AN362" s="95">
        <f t="shared" si="340"/>
        <v>0</v>
      </c>
      <c r="AO362" s="95">
        <f t="shared" si="341"/>
        <v>0</v>
      </c>
      <c r="AP362" s="95">
        <f t="shared" si="342"/>
        <v>0</v>
      </c>
      <c r="AQ362"/>
      <c r="AR362" s="95">
        <f t="shared" si="336"/>
        <v>0</v>
      </c>
      <c r="AS362" s="95">
        <f t="shared" si="337"/>
        <v>0</v>
      </c>
      <c r="AT362" s="95">
        <f>Geraetedaten!$B$94*ABS(SIN(RADIANS($A362)))</f>
        <v>96.915340221675024</v>
      </c>
      <c r="AU362" s="95">
        <f>Geraetedaten!$B$94*ABS(COS(RADIANS($A362)))</f>
        <v>119.68047806437347</v>
      </c>
      <c r="AV362" s="95">
        <f>((h_Aw_Sw+Geraetedaten!$B$18)/1000)*(AR362*AT362+AS362*AU362)/100</f>
        <v>0</v>
      </c>
      <c r="AX362" s="18">
        <f t="shared" si="338"/>
        <v>0.77714596145697057</v>
      </c>
    </row>
    <row r="363" spans="1:50" ht="13.5" x14ac:dyDescent="0.25">
      <c r="A363" s="16">
        <v>322</v>
      </c>
      <c r="B363" s="16">
        <f t="shared" si="311"/>
        <v>128</v>
      </c>
      <c r="C363" s="19">
        <f t="shared" si="312"/>
        <v>62.722548956682388</v>
      </c>
      <c r="D363" s="17">
        <f t="shared" si="343"/>
        <v>17122.306841043319</v>
      </c>
      <c r="E363" s="17">
        <f t="shared" si="313"/>
        <v>-11576.691948956683</v>
      </c>
      <c r="F363" s="17">
        <f t="shared" si="314"/>
        <v>-17047.205768956679</v>
      </c>
      <c r="G363" s="17">
        <f t="shared" si="315"/>
        <v>11476.200911043317</v>
      </c>
      <c r="H363" s="17">
        <f t="shared" si="344"/>
        <v>11476.200911043317</v>
      </c>
      <c r="I363" s="17">
        <f t="shared" si="316"/>
        <v>7840.6993796419683</v>
      </c>
      <c r="J363" s="20">
        <f>(Geraetedaten!$B$152+(Geraetedaten!$B$153*(Geraetedaten!$B$18+d_y_Sw)/1000))*10</f>
        <v>6051.0442000000003</v>
      </c>
      <c r="K363" s="20">
        <f>(Geraetedaten!$B$165+(Geraetedaten!$B$166*(Geraetedaten!$B$18+d_y_Sw)/1000))*10</f>
        <v>10816.164000000001</v>
      </c>
      <c r="L363" s="20">
        <f>(Geraetedaten!$B$158+(Geraetedaten!$B$159*(Geraetedaten!$B$18+d_y_Sw)/1000)-(Geraetedaten!$B$160*I363/1000))*10</f>
        <v>26.578114490854361</v>
      </c>
      <c r="M363" s="20">
        <f>(Geraetedaten!$B$171+(Geraetedaten!$B$172*(Geraetedaten!$B$18+d_y_Sw)/1000)-(Geraetedaten!$B$173*I363/1000))*10</f>
        <v>481.20533817945267</v>
      </c>
      <c r="N363" s="20">
        <f>IF((H363-J363)/(K363-J363)*(Geraetedaten!$B$174-Geraetedaten!$B$161)&lt;Geraetedaten!$B$174,(H363-J363)/(K363-J363)*(Geraetedaten!$B$174-Geraetedaten!$B$161),Geraetedaten!$B$174)</f>
        <v>400</v>
      </c>
      <c r="O363" s="20">
        <f>N363/Geraetedaten!$B$174*(M363-L363)+L363+C363</f>
        <v>543.92788713613504</v>
      </c>
      <c r="P363" s="20">
        <f t="shared" ref="P363:P391" si="345">O363*100/9.81/(R363-(I363/1000))</f>
        <v>166.70906112773142</v>
      </c>
      <c r="Q363" s="20"/>
      <c r="R363" s="21">
        <f>(N363-Geraetedaten!$B$161)/(Geraetedaten!$B$174-Geraetedaten!$B$161)*(Geraetedaten!$B$175-Geraetedaten!$B$162)+Geraetedaten!$B$162</f>
        <v>41.1</v>
      </c>
      <c r="S363" s="21">
        <f t="shared" si="317"/>
        <v>41.1</v>
      </c>
      <c r="T363" s="21">
        <f t="shared" si="318"/>
        <v>-25.303686635884553</v>
      </c>
      <c r="U363" s="88">
        <f t="shared" si="319"/>
        <v>32.387241973236279</v>
      </c>
      <c r="V363" s="86">
        <f t="shared" si="320"/>
        <v>17185.02939</v>
      </c>
      <c r="W363" s="85">
        <f t="shared" si="321"/>
        <v>-4225.3239992296285</v>
      </c>
      <c r="X363" s="85">
        <f t="shared" si="322"/>
        <v>6866.8660178882519</v>
      </c>
      <c r="Y363" s="90">
        <f t="shared" si="323"/>
        <v>4225.3239992296285</v>
      </c>
      <c r="Z363" s="86">
        <f t="shared" si="324"/>
        <v>-11513.9694</v>
      </c>
      <c r="AA363" s="85">
        <f t="shared" si="325"/>
        <v>-913.46204712425447</v>
      </c>
      <c r="AB363" s="85">
        <f t="shared" si="326"/>
        <v>-1196.3907476634222</v>
      </c>
      <c r="AC363" s="90">
        <f t="shared" si="327"/>
        <v>913.46204712425447</v>
      </c>
      <c r="AD363" s="86">
        <f t="shared" si="328"/>
        <v>-16984.483219999998</v>
      </c>
      <c r="AE363" s="85">
        <f t="shared" si="329"/>
        <v>4140.4375383844126</v>
      </c>
      <c r="AF363" s="85">
        <f t="shared" si="330"/>
        <v>-6721.6814907427761</v>
      </c>
      <c r="AG363" s="90">
        <f t="shared" si="331"/>
        <v>4140.4375383844126</v>
      </c>
      <c r="AH363" s="86">
        <f t="shared" si="332"/>
        <v>11538.92346</v>
      </c>
      <c r="AI363" s="85">
        <f t="shared" si="333"/>
        <v>6238.0466047659793</v>
      </c>
      <c r="AJ363" s="85">
        <f t="shared" si="334"/>
        <v>7840.6993796419683</v>
      </c>
      <c r="AK363" s="90">
        <f t="shared" si="335"/>
        <v>6238.0466047659793</v>
      </c>
      <c r="AM363" s="95">
        <f t="shared" si="339"/>
        <v>0</v>
      </c>
      <c r="AN363" s="95">
        <f t="shared" si="340"/>
        <v>0</v>
      </c>
      <c r="AO363" s="95">
        <f t="shared" si="341"/>
        <v>0</v>
      </c>
      <c r="AP363" s="95">
        <f t="shared" si="342"/>
        <v>0</v>
      </c>
      <c r="AQ363"/>
      <c r="AR363" s="95">
        <f t="shared" si="336"/>
        <v>0</v>
      </c>
      <c r="AS363" s="95">
        <f t="shared" si="337"/>
        <v>0</v>
      </c>
      <c r="AT363" s="95">
        <f>Geraetedaten!$B$94*ABS(SIN(RADIANS($A363)))</f>
        <v>94.811867200151354</v>
      </c>
      <c r="AU363" s="95">
        <f>Geraetedaten!$B$94*ABS(COS(RADIANS($A363)))</f>
        <v>121.3536560554352</v>
      </c>
      <c r="AV363" s="95">
        <f>((h_Aw_Sw+Geraetedaten!$B$18)/1000)*(AR363*AT363+AS363*AU363)/100</f>
        <v>0</v>
      </c>
      <c r="AX363" s="18">
        <f t="shared" si="338"/>
        <v>0.78801075360672201</v>
      </c>
    </row>
    <row r="364" spans="1:50" ht="13.5" x14ac:dyDescent="0.25">
      <c r="A364" s="16">
        <v>323</v>
      </c>
      <c r="B364" s="16">
        <f t="shared" si="311"/>
        <v>127</v>
      </c>
      <c r="C364" s="19">
        <f t="shared" si="312"/>
        <v>62.160811110473347</v>
      </c>
      <c r="D364" s="17">
        <f t="shared" si="343"/>
        <v>17518.617038889526</v>
      </c>
      <c r="E364" s="17">
        <f t="shared" si="313"/>
        <v>-11410.342831110474</v>
      </c>
      <c r="F364" s="17">
        <f t="shared" si="314"/>
        <v>-17437.086791110472</v>
      </c>
      <c r="G364" s="17">
        <f t="shared" si="315"/>
        <v>11327.139268889527</v>
      </c>
      <c r="H364" s="17">
        <f t="shared" si="344"/>
        <v>11327.139268889527</v>
      </c>
      <c r="I364" s="17">
        <f t="shared" si="316"/>
        <v>7739.0302833346077</v>
      </c>
      <c r="J364" s="20">
        <f>(Geraetedaten!$B$152+(Geraetedaten!$B$153*(Geraetedaten!$B$18+d_y_Sw)/1000))*10</f>
        <v>6051.0442000000003</v>
      </c>
      <c r="K364" s="20">
        <f>(Geraetedaten!$B$165+(Geraetedaten!$B$166*(Geraetedaten!$B$18+d_y_Sw)/1000))*10</f>
        <v>10816.164000000001</v>
      </c>
      <c r="L364" s="20">
        <f>(Geraetedaten!$B$158+(Geraetedaten!$B$159*(Geraetedaten!$B$18+d_y_Sw)/1000)-(Geraetedaten!$B$160*I364/1000))*10</f>
        <v>34.033509323073048</v>
      </c>
      <c r="M364" s="20">
        <f>(Geraetedaten!$B$171+(Geraetedaten!$B$172*(Geraetedaten!$B$18+d_y_Sw)/1000)-(Geraetedaten!$B$173*I364/1000))*10</f>
        <v>488.77358570857257</v>
      </c>
      <c r="N364" s="20">
        <f>IF((H364-J364)/(K364-J364)*(Geraetedaten!$B$174-Geraetedaten!$B$161)&lt;Geraetedaten!$B$174,(H364-J364)/(K364-J364)*(Geraetedaten!$B$174-Geraetedaten!$B$161),Geraetedaten!$B$174)</f>
        <v>400</v>
      </c>
      <c r="O364" s="20">
        <f>N364/Geraetedaten!$B$174*(M364-L364)+L364+C364</f>
        <v>550.9343968190459</v>
      </c>
      <c r="P364" s="20">
        <f t="shared" si="345"/>
        <v>168.34189608201035</v>
      </c>
      <c r="Q364" s="20"/>
      <c r="R364" s="21">
        <f>(N364-Geraetedaten!$B$161)/(Geraetedaten!$B$174-Geraetedaten!$B$161)*(Geraetedaten!$B$175-Geraetedaten!$B$162)+Geraetedaten!$B$162</f>
        <v>41.1</v>
      </c>
      <c r="S364" s="21">
        <f t="shared" si="317"/>
        <v>41.1</v>
      </c>
      <c r="T364" s="21">
        <f t="shared" si="318"/>
        <v>-24.734597451549185</v>
      </c>
      <c r="U364" s="88">
        <f t="shared" si="319"/>
        <v>32.823919462943735</v>
      </c>
      <c r="V364" s="86">
        <f t="shared" si="320"/>
        <v>17580.777849999999</v>
      </c>
      <c r="W364" s="85">
        <f t="shared" si="321"/>
        <v>-4225.3239992296285</v>
      </c>
      <c r="X364" s="85">
        <f t="shared" si="322"/>
        <v>7025.0008423911131</v>
      </c>
      <c r="Y364" s="90">
        <f t="shared" si="323"/>
        <v>4225.3239992296285</v>
      </c>
      <c r="Z364" s="86">
        <f t="shared" si="324"/>
        <v>-11348.18202</v>
      </c>
      <c r="AA364" s="85">
        <f t="shared" si="325"/>
        <v>-913.46204712425447</v>
      </c>
      <c r="AB364" s="85">
        <f t="shared" si="326"/>
        <v>-1179.1641525280686</v>
      </c>
      <c r="AC364" s="90">
        <f t="shared" si="327"/>
        <v>913.46204712425447</v>
      </c>
      <c r="AD364" s="86">
        <f t="shared" si="328"/>
        <v>-17374.92598</v>
      </c>
      <c r="AE364" s="85">
        <f t="shared" si="329"/>
        <v>4140.4375383844126</v>
      </c>
      <c r="AF364" s="85">
        <f t="shared" si="330"/>
        <v>-6876.2008711689587</v>
      </c>
      <c r="AG364" s="90">
        <f t="shared" si="331"/>
        <v>4140.4375383844126</v>
      </c>
      <c r="AH364" s="86">
        <f t="shared" si="332"/>
        <v>11389.300080000001</v>
      </c>
      <c r="AI364" s="85">
        <f t="shared" si="333"/>
        <v>6238.0466047659793</v>
      </c>
      <c r="AJ364" s="85">
        <f t="shared" si="334"/>
        <v>7739.0302833346077</v>
      </c>
      <c r="AK364" s="90">
        <f t="shared" si="335"/>
        <v>6238.0466047659793</v>
      </c>
      <c r="AM364" s="95">
        <f t="shared" si="339"/>
        <v>0</v>
      </c>
      <c r="AN364" s="95">
        <f t="shared" si="340"/>
        <v>0</v>
      </c>
      <c r="AO364" s="95">
        <f t="shared" si="341"/>
        <v>0</v>
      </c>
      <c r="AP364" s="95">
        <f t="shared" si="342"/>
        <v>0</v>
      </c>
      <c r="AQ364"/>
      <c r="AR364" s="95">
        <f t="shared" si="336"/>
        <v>0</v>
      </c>
      <c r="AS364" s="95">
        <f t="shared" si="337"/>
        <v>0</v>
      </c>
      <c r="AT364" s="95">
        <f>Geraetedaten!$B$94*ABS(SIN(RADIANS($A364)))</f>
        <v>92.679513565415434</v>
      </c>
      <c r="AU364" s="95">
        <f>Geraetedaten!$B$94*ABS(COS(RADIANS($A364)))</f>
        <v>122.98986854728309</v>
      </c>
      <c r="AV364" s="95">
        <f>((h_Aw_Sw+Geraetedaten!$B$18)/1000)*(AR364*AT364+AS364*AU364)/100</f>
        <v>0</v>
      </c>
      <c r="AX364" s="18">
        <f t="shared" si="338"/>
        <v>0.79863551004729283</v>
      </c>
    </row>
    <row r="365" spans="1:50" ht="13.5" x14ac:dyDescent="0.25">
      <c r="A365" s="16">
        <v>324</v>
      </c>
      <c r="B365" s="16">
        <f t="shared" si="311"/>
        <v>126</v>
      </c>
      <c r="C365" s="19">
        <f t="shared" si="312"/>
        <v>61.580138479034773</v>
      </c>
      <c r="D365" s="17">
        <f t="shared" si="343"/>
        <v>17939.215391520964</v>
      </c>
      <c r="E365" s="17">
        <f t="shared" si="313"/>
        <v>-11252.041628479035</v>
      </c>
      <c r="F365" s="17">
        <f t="shared" si="314"/>
        <v>-17850.868688479037</v>
      </c>
      <c r="G365" s="17">
        <f t="shared" si="315"/>
        <v>11185.309241520965</v>
      </c>
      <c r="H365" s="17">
        <f t="shared" si="344"/>
        <v>11185.309241520965</v>
      </c>
      <c r="I365" s="17">
        <f t="shared" si="316"/>
        <v>7642.2621973671185</v>
      </c>
      <c r="J365" s="20">
        <f>(Geraetedaten!$B$152+(Geraetedaten!$B$153*(Geraetedaten!$B$18+d_y_Sw)/1000))*10</f>
        <v>6051.0442000000003</v>
      </c>
      <c r="K365" s="20">
        <f>(Geraetedaten!$B$165+(Geraetedaten!$B$166*(Geraetedaten!$B$18+d_y_Sw)/1000))*10</f>
        <v>10816.164000000001</v>
      </c>
      <c r="L365" s="20">
        <f>(Geraetedaten!$B$158+(Geraetedaten!$B$159*(Geraetedaten!$B$18+d_y_Sw)/1000)-(Geraetedaten!$B$160*I365/1000))*10</f>
        <v>41.129513067069041</v>
      </c>
      <c r="M365" s="20">
        <f>(Geraetedaten!$B$171+(Geraetedaten!$B$172*(Geraetedaten!$B$18+d_y_Sw)/1000)-(Geraetedaten!$B$173*I365/1000))*10</f>
        <v>495.97700202799246</v>
      </c>
      <c r="N365" s="20">
        <f>IF((H365-J365)/(K365-J365)*(Geraetedaten!$B$174-Geraetedaten!$B$161)&lt;Geraetedaten!$B$174,(H365-J365)/(K365-J365)*(Geraetedaten!$B$174-Geraetedaten!$B$161),Geraetedaten!$B$174)</f>
        <v>400</v>
      </c>
      <c r="O365" s="20">
        <f>N365/Geraetedaten!$B$174*(M365-L365)+L365+C365</f>
        <v>557.55714050702727</v>
      </c>
      <c r="P365" s="20">
        <f t="shared" si="345"/>
        <v>169.87278279549272</v>
      </c>
      <c r="Q365" s="20"/>
      <c r="R365" s="21">
        <f>(N365-Geraetedaten!$B$161)/(Geraetedaten!$B$174-Geraetedaten!$B$161)*(Geraetedaten!$B$175-Geraetedaten!$B$162)+Geraetedaten!$B$162</f>
        <v>41.1</v>
      </c>
      <c r="S365" s="21">
        <f t="shared" si="317"/>
        <v>41.1</v>
      </c>
      <c r="T365" s="21">
        <f t="shared" si="318"/>
        <v>-24.157973869220655</v>
      </c>
      <c r="U365" s="88">
        <f t="shared" si="319"/>
        <v>33.250598468810338</v>
      </c>
      <c r="V365" s="86">
        <f t="shared" si="320"/>
        <v>18000.795529999999</v>
      </c>
      <c r="W365" s="85">
        <f t="shared" si="321"/>
        <v>-4225.3239992296285</v>
      </c>
      <c r="X365" s="85">
        <f t="shared" si="322"/>
        <v>7192.8332673734803</v>
      </c>
      <c r="Y365" s="90">
        <f t="shared" si="323"/>
        <v>4225.3239992296285</v>
      </c>
      <c r="Z365" s="86">
        <f t="shared" si="324"/>
        <v>-11190.46149</v>
      </c>
      <c r="AA365" s="85">
        <f t="shared" si="325"/>
        <v>-913.46204712425447</v>
      </c>
      <c r="AB365" s="85">
        <f t="shared" si="326"/>
        <v>-1162.7757656711642</v>
      </c>
      <c r="AC365" s="90">
        <f t="shared" si="327"/>
        <v>913.46204712425447</v>
      </c>
      <c r="AD365" s="86">
        <f t="shared" si="328"/>
        <v>-17789.288550000001</v>
      </c>
      <c r="AE365" s="85">
        <f t="shared" si="329"/>
        <v>4140.4375383844126</v>
      </c>
      <c r="AF365" s="85">
        <f t="shared" si="330"/>
        <v>-7040.186621324191</v>
      </c>
      <c r="AG365" s="90">
        <f t="shared" si="331"/>
        <v>4140.4375383844126</v>
      </c>
      <c r="AH365" s="86">
        <f t="shared" si="332"/>
        <v>11246.889380000001</v>
      </c>
      <c r="AI365" s="85">
        <f t="shared" si="333"/>
        <v>6238.0466047659793</v>
      </c>
      <c r="AJ365" s="85">
        <f t="shared" si="334"/>
        <v>7642.2621973671185</v>
      </c>
      <c r="AK365" s="90">
        <f t="shared" si="335"/>
        <v>6238.0466047659793</v>
      </c>
      <c r="AM365" s="95">
        <f t="shared" si="339"/>
        <v>0</v>
      </c>
      <c r="AN365" s="95">
        <f t="shared" si="340"/>
        <v>0</v>
      </c>
      <c r="AO365" s="95">
        <f t="shared" si="341"/>
        <v>0</v>
      </c>
      <c r="AP365" s="95">
        <f t="shared" si="342"/>
        <v>0</v>
      </c>
      <c r="AQ365"/>
      <c r="AR365" s="95">
        <f t="shared" si="336"/>
        <v>0</v>
      </c>
      <c r="AS365" s="95">
        <f t="shared" si="337"/>
        <v>0</v>
      </c>
      <c r="AT365" s="95">
        <f>Geraetedaten!$B$94*ABS(SIN(RADIANS($A365)))</f>
        <v>90.518928853040904</v>
      </c>
      <c r="AU365" s="95">
        <f>Geraetedaten!$B$94*ABS(COS(RADIANS($A365)))</f>
        <v>124.58861713374189</v>
      </c>
      <c r="AV365" s="95">
        <f>((h_Aw_Sw+Geraetedaten!$B$18)/1000)*(AR365*AT365+AS365*AU365)/100</f>
        <v>0</v>
      </c>
      <c r="AX365" s="18">
        <f t="shared" si="338"/>
        <v>0.80901699437494734</v>
      </c>
    </row>
    <row r="366" spans="1:50" ht="13.5" x14ac:dyDescent="0.25">
      <c r="A366" s="16">
        <v>325</v>
      </c>
      <c r="B366" s="16">
        <f t="shared" si="311"/>
        <v>125</v>
      </c>
      <c r="C366" s="19">
        <f t="shared" si="312"/>
        <v>60.980707940875284</v>
      </c>
      <c r="D366" s="17">
        <f t="shared" si="343"/>
        <v>18386.149472059125</v>
      </c>
      <c r="E366" s="17">
        <f t="shared" si="313"/>
        <v>-11101.362567940874</v>
      </c>
      <c r="F366" s="17">
        <f t="shared" si="314"/>
        <v>-18290.566937940876</v>
      </c>
      <c r="G366" s="17">
        <f t="shared" si="315"/>
        <v>11050.358182059126</v>
      </c>
      <c r="H366" s="17">
        <f t="shared" si="344"/>
        <v>11050.358182059126</v>
      </c>
      <c r="I366" s="17">
        <f t="shared" si="316"/>
        <v>7550.1556323093946</v>
      </c>
      <c r="J366" s="20">
        <f>(Geraetedaten!$B$152+(Geraetedaten!$B$153*(Geraetedaten!$B$18+d_y_Sw)/1000))*10</f>
        <v>6051.0442000000003</v>
      </c>
      <c r="K366" s="20">
        <f>(Geraetedaten!$B$165+(Geraetedaten!$B$166*(Geraetedaten!$B$18+d_y_Sw)/1000))*10</f>
        <v>10816.164000000001</v>
      </c>
      <c r="L366" s="20">
        <f>(Geraetedaten!$B$158+(Geraetedaten!$B$159*(Geraetedaten!$B$18+d_y_Sw)/1000)-(Geraetedaten!$B$160*I366/1000))*10</f>
        <v>47.883687482751967</v>
      </c>
      <c r="M366" s="20">
        <f>(Geraetedaten!$B$171+(Geraetedaten!$B$172*(Geraetedaten!$B$18+d_y_Sw)/1000)-(Geraetedaten!$B$173*I366/1000))*10</f>
        <v>502.83341473088944</v>
      </c>
      <c r="N366" s="20">
        <f>IF((H366-J366)/(K366-J366)*(Geraetedaten!$B$174-Geraetedaten!$B$161)&lt;Geraetedaten!$B$174,(H366-J366)/(K366-J366)*(Geraetedaten!$B$174-Geraetedaten!$B$161),Geraetedaten!$B$174)</f>
        <v>400</v>
      </c>
      <c r="O366" s="20">
        <f>N366/Geraetedaten!$B$174*(M366-L366)+L366+C366</f>
        <v>563.81412267176472</v>
      </c>
      <c r="P366" s="20">
        <f t="shared" si="345"/>
        <v>171.30752193750354</v>
      </c>
      <c r="Q366" s="20"/>
      <c r="R366" s="21">
        <f>(N366-Geraetedaten!$B$161)/(Geraetedaten!$B$174-Geraetedaten!$B$161)*(Geraetedaten!$B$175-Geraetedaten!$B$162)+Geraetedaten!$B$162</f>
        <v>41.1</v>
      </c>
      <c r="S366" s="21">
        <f t="shared" si="317"/>
        <v>41.1</v>
      </c>
      <c r="T366" s="21">
        <f t="shared" si="318"/>
        <v>-23.573991534028011</v>
      </c>
      <c r="U366" s="88">
        <f t="shared" si="319"/>
        <v>33.667149020277556</v>
      </c>
      <c r="V366" s="86">
        <f t="shared" si="320"/>
        <v>18447.13018</v>
      </c>
      <c r="W366" s="85">
        <f t="shared" si="321"/>
        <v>-4225.3239992296285</v>
      </c>
      <c r="X366" s="85">
        <f t="shared" si="322"/>
        <v>7371.1815364625181</v>
      </c>
      <c r="Y366" s="90">
        <f t="shared" si="323"/>
        <v>4225.3239992296285</v>
      </c>
      <c r="Z366" s="86">
        <f t="shared" si="324"/>
        <v>-11040.38186</v>
      </c>
      <c r="AA366" s="85">
        <f t="shared" si="325"/>
        <v>-913.46204712425447</v>
      </c>
      <c r="AB366" s="85">
        <f t="shared" si="326"/>
        <v>-1147.1813285065411</v>
      </c>
      <c r="AC366" s="90">
        <f t="shared" si="327"/>
        <v>913.46204712425447</v>
      </c>
      <c r="AD366" s="86">
        <f t="shared" si="328"/>
        <v>-18229.586230000001</v>
      </c>
      <c r="AE366" s="85">
        <f t="shared" si="329"/>
        <v>4140.4375383844126</v>
      </c>
      <c r="AF366" s="85">
        <f t="shared" si="330"/>
        <v>-7214.4363010738516</v>
      </c>
      <c r="AG366" s="90">
        <f t="shared" si="331"/>
        <v>4140.4375383844126</v>
      </c>
      <c r="AH366" s="86">
        <f t="shared" si="332"/>
        <v>11111.338890000001</v>
      </c>
      <c r="AI366" s="85">
        <f t="shared" si="333"/>
        <v>6238.0466047659793</v>
      </c>
      <c r="AJ366" s="85">
        <f t="shared" si="334"/>
        <v>7550.1556323093946</v>
      </c>
      <c r="AK366" s="90">
        <f t="shared" si="335"/>
        <v>6238.0466047659793</v>
      </c>
      <c r="AM366" s="95">
        <f t="shared" si="339"/>
        <v>0</v>
      </c>
      <c r="AN366" s="95">
        <f t="shared" si="340"/>
        <v>0</v>
      </c>
      <c r="AO366" s="95">
        <f t="shared" si="341"/>
        <v>0</v>
      </c>
      <c r="AP366" s="95">
        <f t="shared" si="342"/>
        <v>0</v>
      </c>
      <c r="AQ366"/>
      <c r="AR366" s="95">
        <f t="shared" si="336"/>
        <v>0</v>
      </c>
      <c r="AS366" s="95">
        <f t="shared" si="337"/>
        <v>0</v>
      </c>
      <c r="AT366" s="95">
        <f>Geraetedaten!$B$94*ABS(SIN(RADIANS($A366)))</f>
        <v>88.330771198061157</v>
      </c>
      <c r="AU366" s="95">
        <f>Geraetedaten!$B$94*ABS(COS(RADIANS($A366)))</f>
        <v>126.1494148205047</v>
      </c>
      <c r="AV366" s="95">
        <f>((h_Aw_Sw+Geraetedaten!$B$18)/1000)*(AR366*AT366+AS366*AU366)/100</f>
        <v>0</v>
      </c>
      <c r="AX366" s="18">
        <f t="shared" si="338"/>
        <v>0.81915204428899158</v>
      </c>
    </row>
    <row r="367" spans="1:50" ht="13.5" x14ac:dyDescent="0.25">
      <c r="A367" s="16">
        <v>326</v>
      </c>
      <c r="B367" s="16">
        <f t="shared" si="311"/>
        <v>124</v>
      </c>
      <c r="C367" s="19">
        <f t="shared" si="312"/>
        <v>60.362702088343582</v>
      </c>
      <c r="D367" s="17">
        <f t="shared" si="343"/>
        <v>18861.709277911657</v>
      </c>
      <c r="E367" s="17">
        <f t="shared" si="313"/>
        <v>-10957.912792088344</v>
      </c>
      <c r="F367" s="17">
        <f t="shared" si="314"/>
        <v>-18758.435282088343</v>
      </c>
      <c r="G367" s="17">
        <f t="shared" si="315"/>
        <v>10921.959657911657</v>
      </c>
      <c r="H367" s="17">
        <f t="shared" si="344"/>
        <v>10921.959657911657</v>
      </c>
      <c r="I367" s="17">
        <f t="shared" si="316"/>
        <v>7462.4888891115788</v>
      </c>
      <c r="J367" s="20">
        <f>(Geraetedaten!$B$152+(Geraetedaten!$B$153*(Geraetedaten!$B$18+d_y_Sw)/1000))*10</f>
        <v>6051.0442000000003</v>
      </c>
      <c r="K367" s="20">
        <f>(Geraetedaten!$B$165+(Geraetedaten!$B$166*(Geraetedaten!$B$18+d_y_Sw)/1000))*10</f>
        <v>10816.164000000001</v>
      </c>
      <c r="L367" s="20">
        <f>(Geraetedaten!$B$158+(Geraetedaten!$B$159*(Geraetedaten!$B$18+d_y_Sw)/1000)-(Geraetedaten!$B$160*I367/1000))*10</f>
        <v>54.31228976144773</v>
      </c>
      <c r="M367" s="20">
        <f>(Geraetedaten!$B$171+(Geraetedaten!$B$172*(Geraetedaten!$B$18+d_y_Sw)/1000)-(Geraetedaten!$B$173*I367/1000))*10</f>
        <v>509.35932709453488</v>
      </c>
      <c r="N367" s="20">
        <f>IF((H367-J367)/(K367-J367)*(Geraetedaten!$B$174-Geraetedaten!$B$161)&lt;Geraetedaten!$B$174,(H367-J367)/(K367-J367)*(Geraetedaten!$B$174-Geraetedaten!$B$161),Geraetedaten!$B$174)</f>
        <v>400</v>
      </c>
      <c r="O367" s="20">
        <f>N367/Geraetedaten!$B$174*(M367-L367)+L367+C367</f>
        <v>569.72202918287849</v>
      </c>
      <c r="P367" s="20">
        <f t="shared" si="345"/>
        <v>172.65141849631408</v>
      </c>
      <c r="Q367" s="20"/>
      <c r="R367" s="21">
        <f>(N367-Geraetedaten!$B$161)/(Geraetedaten!$B$174-Geraetedaten!$B$161)*(Geraetedaten!$B$175-Geraetedaten!$B$162)+Geraetedaten!$B$162</f>
        <v>41.1</v>
      </c>
      <c r="S367" s="21">
        <f t="shared" si="317"/>
        <v>41.1</v>
      </c>
      <c r="T367" s="21">
        <f t="shared" si="318"/>
        <v>-22.982828332647685</v>
      </c>
      <c r="U367" s="88">
        <f t="shared" si="319"/>
        <v>34.073444232012221</v>
      </c>
      <c r="V367" s="86">
        <f t="shared" si="320"/>
        <v>18922.071980000001</v>
      </c>
      <c r="W367" s="85">
        <f t="shared" si="321"/>
        <v>-4225.3239992296285</v>
      </c>
      <c r="X367" s="85">
        <f t="shared" si="322"/>
        <v>7560.9607695975683</v>
      </c>
      <c r="Y367" s="90">
        <f t="shared" si="323"/>
        <v>4225.3239992296285</v>
      </c>
      <c r="Z367" s="86">
        <f t="shared" si="324"/>
        <v>-10897.550090000001</v>
      </c>
      <c r="AA367" s="85">
        <f t="shared" si="325"/>
        <v>-913.46204712425447</v>
      </c>
      <c r="AB367" s="85">
        <f t="shared" si="326"/>
        <v>-1132.3399989569139</v>
      </c>
      <c r="AC367" s="90">
        <f t="shared" si="327"/>
        <v>913.46204712425447</v>
      </c>
      <c r="AD367" s="86">
        <f t="shared" si="328"/>
        <v>-18698.07258</v>
      </c>
      <c r="AE367" s="85">
        <f t="shared" si="329"/>
        <v>4140.4375383844126</v>
      </c>
      <c r="AF367" s="85">
        <f t="shared" si="330"/>
        <v>-7399.8417677230336</v>
      </c>
      <c r="AG367" s="90">
        <f t="shared" si="331"/>
        <v>4140.4375383844126</v>
      </c>
      <c r="AH367" s="86">
        <f t="shared" si="332"/>
        <v>10982.32236</v>
      </c>
      <c r="AI367" s="85">
        <f t="shared" si="333"/>
        <v>6238.0466047659793</v>
      </c>
      <c r="AJ367" s="85">
        <f t="shared" si="334"/>
        <v>7462.4888891115788</v>
      </c>
      <c r="AK367" s="90">
        <f t="shared" si="335"/>
        <v>6238.0466047659793</v>
      </c>
      <c r="AM367" s="95">
        <f t="shared" si="339"/>
        <v>0</v>
      </c>
      <c r="AN367" s="95">
        <f t="shared" si="340"/>
        <v>0</v>
      </c>
      <c r="AO367" s="95">
        <f t="shared" si="341"/>
        <v>0</v>
      </c>
      <c r="AP367" s="95">
        <f t="shared" si="342"/>
        <v>0</v>
      </c>
      <c r="AQ367"/>
      <c r="AR367" s="95">
        <f t="shared" si="336"/>
        <v>0</v>
      </c>
      <c r="AS367" s="95">
        <f t="shared" si="337"/>
        <v>0</v>
      </c>
      <c r="AT367" s="95">
        <f>Geraetedaten!$B$94*ABS(SIN(RADIANS($A367)))</f>
        <v>86.115707134494968</v>
      </c>
      <c r="AU367" s="95">
        <f>Geraetedaten!$B$94*ABS(COS(RADIANS($A367)))</f>
        <v>127.67178617347645</v>
      </c>
      <c r="AV367" s="95">
        <f>((h_Aw_Sw+Geraetedaten!$B$18)/1000)*(AR367*AT367+AS367*AU367)/100</f>
        <v>0</v>
      </c>
      <c r="AX367" s="18">
        <f t="shared" si="338"/>
        <v>0.82903757255504185</v>
      </c>
    </row>
    <row r="368" spans="1:50" ht="13.5" x14ac:dyDescent="0.25">
      <c r="A368" s="16">
        <v>327</v>
      </c>
      <c r="B368" s="16">
        <f t="shared" si="311"/>
        <v>123</v>
      </c>
      <c r="C368" s="19">
        <f t="shared" si="312"/>
        <v>59.726309172009181</v>
      </c>
      <c r="D368" s="17">
        <f t="shared" si="343"/>
        <v>19368.46396082799</v>
      </c>
      <c r="E368" s="17">
        <f t="shared" si="313"/>
        <v>-10821.329329172009</v>
      </c>
      <c r="F368" s="17">
        <f t="shared" si="314"/>
        <v>-19257.001789172009</v>
      </c>
      <c r="G368" s="17">
        <f t="shared" si="315"/>
        <v>10799.811170827992</v>
      </c>
      <c r="H368" s="17">
        <f t="shared" si="344"/>
        <v>10799.811170827992</v>
      </c>
      <c r="I368" s="17">
        <f t="shared" si="316"/>
        <v>7379.0565521847302</v>
      </c>
      <c r="J368" s="20">
        <f>(Geraetedaten!$B$152+(Geraetedaten!$B$153*(Geraetedaten!$B$18+d_y_Sw)/1000))*10</f>
        <v>6051.0442000000003</v>
      </c>
      <c r="K368" s="20">
        <f>(Geraetedaten!$B$165+(Geraetedaten!$B$166*(Geraetedaten!$B$18+d_y_Sw)/1000))*10</f>
        <v>10816.164000000001</v>
      </c>
      <c r="L368" s="20">
        <f>(Geraetedaten!$B$158+(Geraetedaten!$B$159*(Geraetedaten!$B$18+d_y_Sw)/1000)-(Geraetedaten!$B$160*I368/1000))*10</f>
        <v>60.430383028293591</v>
      </c>
      <c r="M368" s="20">
        <f>(Geraetedaten!$B$171+(Geraetedaten!$B$172*(Geraetedaten!$B$18+d_y_Sw)/1000)-(Geraetedaten!$B$173*I368/1000))*10</f>
        <v>515.57003025536949</v>
      </c>
      <c r="N368" s="20">
        <f>IF((H368-J368)/(K368-J368)*(Geraetedaten!$B$174-Geraetedaten!$B$161)&lt;Geraetedaten!$B$174,(H368-J368)/(K368-J368)*(Geraetedaten!$B$174-Geraetedaten!$B$161),Geraetedaten!$B$174)</f>
        <v>398.62728914626587</v>
      </c>
      <c r="O368" s="20">
        <f>N368/Geraetedaten!$B$174*(M368-L368)+L368+C368</f>
        <v>573.73440159309541</v>
      </c>
      <c r="P368" s="20">
        <f t="shared" si="345"/>
        <v>173.64746327138869</v>
      </c>
      <c r="Q368" s="20"/>
      <c r="R368" s="21">
        <f>(N368-Geraetedaten!$B$161)/(Geraetedaten!$B$174-Geraetedaten!$B$161)*(Geraetedaten!$B$175-Geraetedaten!$B$162)+Geraetedaten!$B$162</f>
        <v>41.059161852101411</v>
      </c>
      <c r="S368" s="21">
        <f t="shared" si="317"/>
        <v>41.059161852101411</v>
      </c>
      <c r="T368" s="21">
        <f t="shared" si="318"/>
        <v>-22.362422289654319</v>
      </c>
      <c r="U368" s="88">
        <f t="shared" si="319"/>
        <v>34.435110589864976</v>
      </c>
      <c r="V368" s="86">
        <f t="shared" si="320"/>
        <v>19428.190269999999</v>
      </c>
      <c r="W368" s="85">
        <f t="shared" si="321"/>
        <v>-4225.3239992296285</v>
      </c>
      <c r="X368" s="85">
        <f t="shared" si="322"/>
        <v>7763.1976366410508</v>
      </c>
      <c r="Y368" s="90">
        <f t="shared" si="323"/>
        <v>4225.3239992296285</v>
      </c>
      <c r="Z368" s="86">
        <f t="shared" si="324"/>
        <v>-10761.60302</v>
      </c>
      <c r="AA368" s="85">
        <f t="shared" si="325"/>
        <v>-913.46204712425447</v>
      </c>
      <c r="AB368" s="85">
        <f t="shared" si="326"/>
        <v>-1118.2140441738834</v>
      </c>
      <c r="AC368" s="90">
        <f t="shared" si="327"/>
        <v>913.46204712425447</v>
      </c>
      <c r="AD368" s="86">
        <f t="shared" si="328"/>
        <v>-19197.27548</v>
      </c>
      <c r="AE368" s="85">
        <f t="shared" si="329"/>
        <v>4140.4375383844126</v>
      </c>
      <c r="AF368" s="85">
        <f t="shared" si="330"/>
        <v>-7597.4034380616349</v>
      </c>
      <c r="AG368" s="90">
        <f t="shared" si="331"/>
        <v>4140.4375383844126</v>
      </c>
      <c r="AH368" s="86">
        <f t="shared" si="332"/>
        <v>10859.537480000001</v>
      </c>
      <c r="AI368" s="85">
        <f t="shared" si="333"/>
        <v>6238.0466047659793</v>
      </c>
      <c r="AJ368" s="85">
        <f t="shared" si="334"/>
        <v>7379.0565521847302</v>
      </c>
      <c r="AK368" s="90">
        <f t="shared" si="335"/>
        <v>6238.0466047659793</v>
      </c>
      <c r="AM368" s="95">
        <f t="shared" si="339"/>
        <v>0</v>
      </c>
      <c r="AN368" s="95">
        <f t="shared" si="340"/>
        <v>0</v>
      </c>
      <c r="AO368" s="95">
        <f t="shared" si="341"/>
        <v>0</v>
      </c>
      <c r="AP368" s="95">
        <f t="shared" si="342"/>
        <v>0</v>
      </c>
      <c r="AQ368"/>
      <c r="AR368" s="95">
        <f t="shared" si="336"/>
        <v>0</v>
      </c>
      <c r="AS368" s="95">
        <f t="shared" si="337"/>
        <v>0</v>
      </c>
      <c r="AT368" s="95">
        <f>Geraetedaten!$B$94*ABS(SIN(RADIANS($A368)))</f>
        <v>83.874411392314158</v>
      </c>
      <c r="AU368" s="95">
        <f>Geraetedaten!$B$94*ABS(COS(RADIANS($A368)))</f>
        <v>129.15526746359529</v>
      </c>
      <c r="AV368" s="95">
        <f>((h_Aw_Sw+Geraetedaten!$B$18)/1000)*(AR368*AT368+AS368*AU368)/100</f>
        <v>0</v>
      </c>
      <c r="AX368" s="18">
        <f t="shared" si="338"/>
        <v>0.83867056794542405</v>
      </c>
    </row>
    <row r="369" spans="1:50" ht="13.5" x14ac:dyDescent="0.25">
      <c r="A369" s="16">
        <v>328</v>
      </c>
      <c r="B369" s="16">
        <f t="shared" si="311"/>
        <v>122</v>
      </c>
      <c r="C369" s="19">
        <f t="shared" si="312"/>
        <v>59.071723043319238</v>
      </c>
      <c r="D369" s="17">
        <f t="shared" si="343"/>
        <v>19909.305456956681</v>
      </c>
      <c r="E369" s="17">
        <f t="shared" si="313"/>
        <v>-10691.276543043319</v>
      </c>
      <c r="F369" s="17">
        <f t="shared" si="314"/>
        <v>-19789.111613043318</v>
      </c>
      <c r="G369" s="17">
        <f t="shared" si="315"/>
        <v>10683.632196956682</v>
      </c>
      <c r="H369" s="17">
        <f t="shared" si="344"/>
        <v>10683.632196956682</v>
      </c>
      <c r="I369" s="17">
        <f t="shared" si="316"/>
        <v>7299.6681382160159</v>
      </c>
      <c r="J369" s="20">
        <f>(Geraetedaten!$B$152+(Geraetedaten!$B$153*(Geraetedaten!$B$18+d_y_Sw)/1000))*10</f>
        <v>6051.0442000000003</v>
      </c>
      <c r="K369" s="20">
        <f>(Geraetedaten!$B$165+(Geraetedaten!$B$166*(Geraetedaten!$B$18+d_y_Sw)/1000))*10</f>
        <v>10816.164000000001</v>
      </c>
      <c r="L369" s="20">
        <f>(Geraetedaten!$B$158+(Geraetedaten!$B$159*(Geraetedaten!$B$18+d_y_Sw)/1000)-(Geraetedaten!$B$160*I369/1000))*10</f>
        <v>66.251935424619433</v>
      </c>
      <c r="M369" s="20">
        <f>(Geraetedaten!$B$171+(Geraetedaten!$B$172*(Geraetedaten!$B$18+d_y_Sw)/1000)-(Geraetedaten!$B$173*I369/1000))*10</f>
        <v>521.47970379120056</v>
      </c>
      <c r="N369" s="20">
        <f>IF((H369-J369)/(K369-J369)*(Geraetedaten!$B$174-Geraetedaten!$B$161)&lt;Geraetedaten!$B$174,(H369-J369)/(K369-J369)*(Geraetedaten!$B$174-Geraetedaten!$B$161),Geraetedaten!$B$174)</f>
        <v>388.87483978528144</v>
      </c>
      <c r="O369" s="20">
        <f>N369/Geraetedaten!$B$174*(M369-L369)+L369+C369</f>
        <v>567.89022219135222</v>
      </c>
      <c r="P369" s="20">
        <f t="shared" si="345"/>
        <v>172.96092426082339</v>
      </c>
      <c r="Q369" s="20"/>
      <c r="R369" s="21">
        <f>(N369-Geraetedaten!$B$161)/(Geraetedaten!$B$174-Geraetedaten!$B$161)*(Geraetedaten!$B$175-Geraetedaten!$B$162)+Geraetedaten!$B$162</f>
        <v>40.769026483612123</v>
      </c>
      <c r="S369" s="21">
        <f t="shared" si="317"/>
        <v>40.769026483612123</v>
      </c>
      <c r="T369" s="21">
        <f t="shared" si="318"/>
        <v>-21.604292517699786</v>
      </c>
      <c r="U369" s="88">
        <f t="shared" si="319"/>
        <v>34.574095291578168</v>
      </c>
      <c r="V369" s="86">
        <f t="shared" si="320"/>
        <v>19968.377179999999</v>
      </c>
      <c r="W369" s="85">
        <f t="shared" si="321"/>
        <v>-4225.3239992296285</v>
      </c>
      <c r="X369" s="85">
        <f t="shared" si="322"/>
        <v>7979.0477851918586</v>
      </c>
      <c r="Y369" s="90">
        <f t="shared" si="323"/>
        <v>4225.3239992296285</v>
      </c>
      <c r="Z369" s="86">
        <f t="shared" si="324"/>
        <v>-10632.204820000001</v>
      </c>
      <c r="AA369" s="85">
        <f t="shared" si="325"/>
        <v>-913.46204712425447</v>
      </c>
      <c r="AB369" s="85">
        <f t="shared" si="326"/>
        <v>-1104.7685665414847</v>
      </c>
      <c r="AC369" s="90">
        <f t="shared" si="327"/>
        <v>913.46204712425447</v>
      </c>
      <c r="AD369" s="86">
        <f t="shared" si="328"/>
        <v>-19730.03989</v>
      </c>
      <c r="AE369" s="85">
        <f t="shared" si="329"/>
        <v>4140.4375383844126</v>
      </c>
      <c r="AF369" s="85">
        <f t="shared" si="330"/>
        <v>-7808.2472233470189</v>
      </c>
      <c r="AG369" s="90">
        <f t="shared" si="331"/>
        <v>4140.4375383844126</v>
      </c>
      <c r="AH369" s="86">
        <f t="shared" si="332"/>
        <v>10742.70392</v>
      </c>
      <c r="AI369" s="85">
        <f t="shared" si="333"/>
        <v>6238.0466047659793</v>
      </c>
      <c r="AJ369" s="85">
        <f t="shared" si="334"/>
        <v>7299.6681382160159</v>
      </c>
      <c r="AK369" s="90">
        <f t="shared" si="335"/>
        <v>6238.0466047659793</v>
      </c>
      <c r="AM369" s="95">
        <f t="shared" si="339"/>
        <v>0</v>
      </c>
      <c r="AN369" s="95">
        <f t="shared" si="340"/>
        <v>0</v>
      </c>
      <c r="AO369" s="95">
        <f t="shared" si="341"/>
        <v>0</v>
      </c>
      <c r="AP369" s="95">
        <f t="shared" si="342"/>
        <v>0</v>
      </c>
      <c r="AQ369"/>
      <c r="AR369" s="95">
        <f t="shared" si="336"/>
        <v>0</v>
      </c>
      <c r="AS369" s="95">
        <f t="shared" si="337"/>
        <v>0</v>
      </c>
      <c r="AT369" s="95">
        <f>Geraetedaten!$B$94*ABS(SIN(RADIANS($A369)))</f>
        <v>81.607566691913576</v>
      </c>
      <c r="AU369" s="95">
        <f>Geraetedaten!$B$94*ABS(COS(RADIANS($A369)))</f>
        <v>130.59940680808961</v>
      </c>
      <c r="AV369" s="95">
        <f>((h_Aw_Sw+Geraetedaten!$B$18)/1000)*(AR369*AT369+AS369*AU369)/100</f>
        <v>0</v>
      </c>
      <c r="AX369" s="18">
        <f t="shared" si="338"/>
        <v>0.84804809615642596</v>
      </c>
    </row>
    <row r="370" spans="1:50" ht="13.5" x14ac:dyDescent="0.25">
      <c r="A370" s="16">
        <v>329</v>
      </c>
      <c r="B370" s="16">
        <f t="shared" si="311"/>
        <v>121</v>
      </c>
      <c r="C370" s="19">
        <f t="shared" si="312"/>
        <v>58.399143095549675</v>
      </c>
      <c r="D370" s="17">
        <f t="shared" si="343"/>
        <v>20487.500536904448</v>
      </c>
      <c r="E370" s="17">
        <f t="shared" si="313"/>
        <v>-10567.443683095551</v>
      </c>
      <c r="F370" s="17">
        <f t="shared" si="314"/>
        <v>-20357.978123095549</v>
      </c>
      <c r="G370" s="17">
        <f t="shared" si="315"/>
        <v>10573.16239690445</v>
      </c>
      <c r="H370" s="17">
        <f t="shared" si="344"/>
        <v>10573.16239690445</v>
      </c>
      <c r="I370" s="17">
        <f t="shared" si="316"/>
        <v>7224.1468825596585</v>
      </c>
      <c r="J370" s="20">
        <f>(Geraetedaten!$B$152+(Geraetedaten!$B$153*(Geraetedaten!$B$18+d_y_Sw)/1000))*10</f>
        <v>6051.0442000000003</v>
      </c>
      <c r="K370" s="20">
        <f>(Geraetedaten!$B$165+(Geraetedaten!$B$166*(Geraetedaten!$B$18+d_y_Sw)/1000))*10</f>
        <v>10816.164000000001</v>
      </c>
      <c r="L370" s="20">
        <f>(Geraetedaten!$B$158+(Geraetedaten!$B$159*(Geraetedaten!$B$18+d_y_Sw)/1000)-(Geraetedaten!$B$160*I370/1000))*10</f>
        <v>71.789909101900093</v>
      </c>
      <c r="M370" s="20">
        <f>(Geraetedaten!$B$171+(Geraetedaten!$B$172*(Geraetedaten!$B$18+d_y_Sw)/1000)-(Geraetedaten!$B$173*I370/1000))*10</f>
        <v>527.10150606225977</v>
      </c>
      <c r="N370" s="20">
        <f>IF((H370-J370)/(K370-J370)*(Geraetedaten!$B$174-Geraetedaten!$B$161)&lt;Geraetedaten!$B$174,(H370-J370)/(K370-J370)*(Geraetedaten!$B$174-Geraetedaten!$B$161),Geraetedaten!$B$174)</f>
        <v>379.60163745763117</v>
      </c>
      <c r="O370" s="20">
        <f>N370/Geraetedaten!$B$174*(M370-L370)+L370+C370</f>
        <v>562.28162159645353</v>
      </c>
      <c r="P370" s="20">
        <f t="shared" si="345"/>
        <v>172.28406501520323</v>
      </c>
      <c r="Q370" s="20"/>
      <c r="R370" s="21">
        <f>(N370-Geraetedaten!$B$161)/(Geraetedaten!$B$174-Geraetedaten!$B$161)*(Geraetedaten!$B$175-Geraetedaten!$B$162)+Geraetedaten!$B$162</f>
        <v>40.49314871436453</v>
      </c>
      <c r="S370" s="21">
        <f t="shared" si="317"/>
        <v>40.49314871436453</v>
      </c>
      <c r="T370" s="21">
        <f t="shared" si="318"/>
        <v>-20.855513360892857</v>
      </c>
      <c r="U370" s="88">
        <f t="shared" si="319"/>
        <v>34.709402980421046</v>
      </c>
      <c r="V370" s="86">
        <f t="shared" si="320"/>
        <v>20545.899679999999</v>
      </c>
      <c r="W370" s="85">
        <f t="shared" si="321"/>
        <v>-4225.3239992296285</v>
      </c>
      <c r="X370" s="85">
        <f t="shared" si="322"/>
        <v>8209.8166449816326</v>
      </c>
      <c r="Y370" s="90">
        <f t="shared" si="323"/>
        <v>4225.3239992296285</v>
      </c>
      <c r="Z370" s="86">
        <f t="shared" si="324"/>
        <v>-10509.044540000001</v>
      </c>
      <c r="AA370" s="85">
        <f t="shared" si="325"/>
        <v>-913.46204712425447</v>
      </c>
      <c r="AB370" s="85">
        <f t="shared" si="326"/>
        <v>-1091.9712588720852</v>
      </c>
      <c r="AC370" s="90">
        <f t="shared" si="327"/>
        <v>913.46204712425447</v>
      </c>
      <c r="AD370" s="86">
        <f t="shared" si="328"/>
        <v>-20299.578979999998</v>
      </c>
      <c r="AE370" s="85">
        <f t="shared" si="329"/>
        <v>4140.4375383844126</v>
      </c>
      <c r="AF370" s="85">
        <f t="shared" si="330"/>
        <v>-8033.6447403036891</v>
      </c>
      <c r="AG370" s="90">
        <f t="shared" si="331"/>
        <v>4140.4375383844126</v>
      </c>
      <c r="AH370" s="86">
        <f t="shared" si="332"/>
        <v>10631.561540000001</v>
      </c>
      <c r="AI370" s="85">
        <f t="shared" si="333"/>
        <v>6238.0466047659793</v>
      </c>
      <c r="AJ370" s="85">
        <f t="shared" si="334"/>
        <v>7224.1468825596585</v>
      </c>
      <c r="AK370" s="90">
        <f t="shared" si="335"/>
        <v>6238.0466047659793</v>
      </c>
      <c r="AM370" s="95">
        <f t="shared" si="339"/>
        <v>0</v>
      </c>
      <c r="AN370" s="95">
        <f t="shared" si="340"/>
        <v>0</v>
      </c>
      <c r="AO370" s="95">
        <f t="shared" si="341"/>
        <v>0</v>
      </c>
      <c r="AP370" s="95">
        <f t="shared" si="342"/>
        <v>0</v>
      </c>
      <c r="AQ370"/>
      <c r="AR370" s="95">
        <f t="shared" si="336"/>
        <v>0</v>
      </c>
      <c r="AS370" s="95">
        <f t="shared" si="337"/>
        <v>0</v>
      </c>
      <c r="AT370" s="95">
        <f>Geraetedaten!$B$94*ABS(SIN(RADIANS($A370)))</f>
        <v>79.315863536148385</v>
      </c>
      <c r="AU370" s="95">
        <f>Geraetedaten!$B$94*ABS(COS(RADIANS($A370)))</f>
        <v>132.00376430812526</v>
      </c>
      <c r="AV370" s="95">
        <f>((h_Aw_Sw+Geraetedaten!$B$18)/1000)*(AR370*AT370+AS370*AU370)/100</f>
        <v>0</v>
      </c>
      <c r="AX370" s="18">
        <f t="shared" si="338"/>
        <v>0.85716730070211211</v>
      </c>
    </row>
    <row r="371" spans="1:50" ht="13.5" x14ac:dyDescent="0.25">
      <c r="A371" s="16">
        <v>330</v>
      </c>
      <c r="B371" s="16">
        <f t="shared" si="311"/>
        <v>120</v>
      </c>
      <c r="C371" s="19">
        <f t="shared" si="312"/>
        <v>57.708774203068003</v>
      </c>
      <c r="D371" s="17">
        <f t="shared" si="343"/>
        <v>21106.753305796934</v>
      </c>
      <c r="E371" s="17">
        <f t="shared" si="313"/>
        <v>-10449.542884203067</v>
      </c>
      <c r="F371" s="17">
        <f t="shared" si="314"/>
        <v>-20967.244114203066</v>
      </c>
      <c r="G371" s="17">
        <f t="shared" si="315"/>
        <v>10468.160005796934</v>
      </c>
      <c r="H371" s="17">
        <f t="shared" si="344"/>
        <v>10468.160005796934</v>
      </c>
      <c r="I371" s="17">
        <f t="shared" si="316"/>
        <v>7152.3286474441111</v>
      </c>
      <c r="J371" s="20">
        <f>(Geraetedaten!$B$152+(Geraetedaten!$B$153*(Geraetedaten!$B$18+d_y_Sw)/1000))*10</f>
        <v>6051.0442000000003</v>
      </c>
      <c r="K371" s="20">
        <f>(Geraetedaten!$B$165+(Geraetedaten!$B$166*(Geraetedaten!$B$18+d_y_Sw)/1000))*10</f>
        <v>10816.164000000001</v>
      </c>
      <c r="L371" s="20">
        <f>(Geraetedaten!$B$158+(Geraetedaten!$B$159*(Geraetedaten!$B$18+d_y_Sw)/1000)-(Geraetedaten!$B$160*I371/1000))*10</f>
        <v>77.056340282923159</v>
      </c>
      <c r="M371" s="20">
        <f>(Geraetedaten!$B$171+(Geraetedaten!$B$172*(Geraetedaten!$B$18+d_y_Sw)/1000)-(Geraetedaten!$B$173*I371/1000))*10</f>
        <v>532.44765548426119</v>
      </c>
      <c r="N371" s="20">
        <f>IF((H371-J371)/(K371-J371)*(Geraetedaten!$B$174-Geraetedaten!$B$161)&lt;Geraetedaten!$B$174,(H371-J371)/(K371-J371)*(Geraetedaten!$B$174-Geraetedaten!$B$161),Geraetedaten!$B$174)</f>
        <v>370.78738761589437</v>
      </c>
      <c r="O371" s="20">
        <f>N371/Geraetedaten!$B$174*(M371-L371)+L371+C371</f>
        <v>556.89850475216736</v>
      </c>
      <c r="P371" s="20">
        <f t="shared" si="345"/>
        <v>171.61686915274629</v>
      </c>
      <c r="Q371" s="20"/>
      <c r="R371" s="21">
        <f>(N371-Geraetedaten!$B$161)/(Geraetedaten!$B$174-Geraetedaten!$B$161)*(Geraetedaten!$B$175-Geraetedaten!$B$162)+Geraetedaten!$B$162</f>
        <v>40.23092478157286</v>
      </c>
      <c r="S371" s="21">
        <f t="shared" si="317"/>
        <v>40.23092478157286</v>
      </c>
      <c r="T371" s="21">
        <f t="shared" si="318"/>
        <v>-20.115462390786448</v>
      </c>
      <c r="U371" s="88">
        <f t="shared" si="319"/>
        <v>34.841002878583005</v>
      </c>
      <c r="V371" s="86">
        <f t="shared" si="320"/>
        <v>21164.462080000001</v>
      </c>
      <c r="W371" s="85">
        <f t="shared" si="321"/>
        <v>-4225.3239992296285</v>
      </c>
      <c r="X371" s="85">
        <f t="shared" si="322"/>
        <v>8456.984397342123</v>
      </c>
      <c r="Y371" s="90">
        <f t="shared" si="323"/>
        <v>4225.3239992296285</v>
      </c>
      <c r="Z371" s="86">
        <f t="shared" si="324"/>
        <v>-10391.83411</v>
      </c>
      <c r="AA371" s="85">
        <f t="shared" si="325"/>
        <v>-913.46204712425447</v>
      </c>
      <c r="AB371" s="85">
        <f t="shared" si="326"/>
        <v>-1079.792185270795</v>
      </c>
      <c r="AC371" s="90">
        <f t="shared" si="327"/>
        <v>913.46204712425447</v>
      </c>
      <c r="AD371" s="86">
        <f t="shared" si="328"/>
        <v>-20909.535339999999</v>
      </c>
      <c r="AE371" s="85">
        <f t="shared" si="329"/>
        <v>4140.4375383844126</v>
      </c>
      <c r="AF371" s="85">
        <f t="shared" si="330"/>
        <v>-8275.0375619178085</v>
      </c>
      <c r="AG371" s="90">
        <f t="shared" si="331"/>
        <v>4140.4375383844126</v>
      </c>
      <c r="AH371" s="86">
        <f t="shared" si="332"/>
        <v>10525.868780000001</v>
      </c>
      <c r="AI371" s="85">
        <f t="shared" si="333"/>
        <v>6238.0466047659793</v>
      </c>
      <c r="AJ371" s="85">
        <f t="shared" si="334"/>
        <v>7152.3286474441111</v>
      </c>
      <c r="AK371" s="90">
        <f t="shared" si="335"/>
        <v>6238.0466047659793</v>
      </c>
      <c r="AM371" s="95">
        <f t="shared" si="339"/>
        <v>0</v>
      </c>
      <c r="AN371" s="95">
        <f t="shared" si="340"/>
        <v>0</v>
      </c>
      <c r="AO371" s="95">
        <f t="shared" si="341"/>
        <v>0</v>
      </c>
      <c r="AP371" s="95">
        <f t="shared" si="342"/>
        <v>0</v>
      </c>
      <c r="AQ371"/>
      <c r="AR371" s="95">
        <f t="shared" si="336"/>
        <v>0</v>
      </c>
      <c r="AS371" s="95">
        <f t="shared" si="337"/>
        <v>0</v>
      </c>
      <c r="AT371" s="95">
        <f>Geraetedaten!$B$94*ABS(SIN(RADIANS($A371)))</f>
        <v>77.000000000000071</v>
      </c>
      <c r="AU371" s="95">
        <f>Geraetedaten!$B$94*ABS(COS(RADIANS($A371)))</f>
        <v>133.36791218280351</v>
      </c>
      <c r="AV371" s="95">
        <f>((h_Aw_Sw+Geraetedaten!$B$18)/1000)*(AR371*AT371+AS371*AU371)/100</f>
        <v>0</v>
      </c>
      <c r="AX371" s="18">
        <f t="shared" si="338"/>
        <v>0.86602540378443837</v>
      </c>
    </row>
    <row r="372" spans="1:50" ht="13.5" x14ac:dyDescent="0.25">
      <c r="A372" s="16">
        <v>331</v>
      </c>
      <c r="B372" s="16">
        <f t="shared" si="311"/>
        <v>119</v>
      </c>
      <c r="C372" s="19">
        <f t="shared" si="312"/>
        <v>57.000826658926584</v>
      </c>
      <c r="D372" s="17">
        <f t="shared" si="343"/>
        <v>21771.280613341074</v>
      </c>
      <c r="E372" s="17">
        <f t="shared" si="313"/>
        <v>-10337.307166658926</v>
      </c>
      <c r="F372" s="17">
        <f t="shared" si="314"/>
        <v>-21621.055776658926</v>
      </c>
      <c r="G372" s="17">
        <f t="shared" si="315"/>
        <v>10368.400403341073</v>
      </c>
      <c r="H372" s="17">
        <f t="shared" si="344"/>
        <v>10368.400403341073</v>
      </c>
      <c r="I372" s="17">
        <f t="shared" si="316"/>
        <v>7084.0609382858966</v>
      </c>
      <c r="J372" s="20">
        <f>(Geraetedaten!$B$152+(Geraetedaten!$B$153*(Geraetedaten!$B$18+d_y_Sw)/1000))*10</f>
        <v>6051.0442000000003</v>
      </c>
      <c r="K372" s="20">
        <f>(Geraetedaten!$B$165+(Geraetedaten!$B$166*(Geraetedaten!$B$18+d_y_Sw)/1000))*10</f>
        <v>10816.164000000001</v>
      </c>
      <c r="L372" s="20">
        <f>(Geraetedaten!$B$158+(Geraetedaten!$B$159*(Geraetedaten!$B$18+d_y_Sw)/1000)-(Geraetedaten!$B$160*I372/1000))*10</f>
        <v>82.062411395495047</v>
      </c>
      <c r="M372" s="20">
        <f>(Geraetedaten!$B$171+(Geraetedaten!$B$172*(Geraetedaten!$B$18+d_y_Sw)/1000)-(Geraetedaten!$B$173*I372/1000))*10</f>
        <v>537.5295037539986</v>
      </c>
      <c r="N372" s="20">
        <f>IF((H372-J372)/(K372-J372)*(Geraetedaten!$B$174-Geraetedaten!$B$161)&lt;Geraetedaten!$B$174,(H372-J372)/(K372-J372)*(Geraetedaten!$B$174-Geraetedaten!$B$161),Geraetedaten!$B$174)</f>
        <v>362.41323488581105</v>
      </c>
      <c r="O372" s="20">
        <f>N372/Geraetedaten!$B$174*(M372-L372)+L372+C372</f>
        <v>551.73149386862099</v>
      </c>
      <c r="P372" s="20">
        <f t="shared" si="345"/>
        <v>170.9593267016661</v>
      </c>
      <c r="Q372" s="20"/>
      <c r="R372" s="21">
        <f>(N372-Geraetedaten!$B$161)/(Geraetedaten!$B$174-Geraetedaten!$B$161)*(Geraetedaten!$B$175-Geraetedaten!$B$162)+Geraetedaten!$B$162</f>
        <v>39.981793737852882</v>
      </c>
      <c r="S372" s="21">
        <f t="shared" si="317"/>
        <v>39.981793737852882</v>
      </c>
      <c r="T372" s="21">
        <f t="shared" si="318"/>
        <v>-19.383558238815827</v>
      </c>
      <c r="U372" s="88">
        <f t="shared" si="319"/>
        <v>34.968864729908617</v>
      </c>
      <c r="V372" s="86">
        <f t="shared" si="320"/>
        <v>21828.281439999999</v>
      </c>
      <c r="W372" s="85">
        <f t="shared" si="321"/>
        <v>-4225.3239992296285</v>
      </c>
      <c r="X372" s="85">
        <f t="shared" si="322"/>
        <v>8722.2361159334541</v>
      </c>
      <c r="Y372" s="90">
        <f t="shared" si="323"/>
        <v>4225.3239992296285</v>
      </c>
      <c r="Z372" s="86">
        <f t="shared" si="324"/>
        <v>-10280.306339999999</v>
      </c>
      <c r="AA372" s="85">
        <f t="shared" si="325"/>
        <v>-913.46204712425447</v>
      </c>
      <c r="AB372" s="85">
        <f t="shared" si="326"/>
        <v>-1068.2035846250062</v>
      </c>
      <c r="AC372" s="90">
        <f t="shared" si="327"/>
        <v>913.46204712425447</v>
      </c>
      <c r="AD372" s="86">
        <f t="shared" si="328"/>
        <v>-21564.054950000002</v>
      </c>
      <c r="AE372" s="85">
        <f t="shared" si="329"/>
        <v>4140.4375383844126</v>
      </c>
      <c r="AF372" s="85">
        <f t="shared" si="330"/>
        <v>-8534.0664823337829</v>
      </c>
      <c r="AG372" s="90">
        <f t="shared" si="331"/>
        <v>4140.4375383844126</v>
      </c>
      <c r="AH372" s="86">
        <f t="shared" si="332"/>
        <v>10425.401229999999</v>
      </c>
      <c r="AI372" s="85">
        <f t="shared" si="333"/>
        <v>6238.0466047659793</v>
      </c>
      <c r="AJ372" s="85">
        <f t="shared" si="334"/>
        <v>7084.0609382858966</v>
      </c>
      <c r="AK372" s="90">
        <f t="shared" si="335"/>
        <v>6238.0466047659793</v>
      </c>
      <c r="AM372" s="95">
        <f t="shared" si="339"/>
        <v>0</v>
      </c>
      <c r="AN372" s="95">
        <f t="shared" si="340"/>
        <v>0</v>
      </c>
      <c r="AO372" s="95">
        <f t="shared" si="341"/>
        <v>0</v>
      </c>
      <c r="AP372" s="95">
        <f t="shared" si="342"/>
        <v>0</v>
      </c>
      <c r="AQ372"/>
      <c r="AR372" s="95">
        <f t="shared" si="336"/>
        <v>0</v>
      </c>
      <c r="AS372" s="95">
        <f t="shared" si="337"/>
        <v>0</v>
      </c>
      <c r="AT372" s="95">
        <f>Geraetedaten!$B$94*ABS(SIN(RADIANS($A372)))</f>
        <v>74.660681517935885</v>
      </c>
      <c r="AU372" s="95">
        <f>Geraetedaten!$B$94*ABS(COS(RADIANS($A372)))</f>
        <v>134.69143489946697</v>
      </c>
      <c r="AV372" s="95">
        <f>((h_Aw_Sw+Geraetedaten!$B$18)/1000)*(AR372*AT372+AS372*AU372)/100</f>
        <v>0</v>
      </c>
      <c r="AX372" s="18">
        <f t="shared" si="338"/>
        <v>0.87461970713939585</v>
      </c>
    </row>
    <row r="373" spans="1:50" ht="13.5" x14ac:dyDescent="0.25">
      <c r="A373" s="16">
        <v>332</v>
      </c>
      <c r="B373" s="16">
        <f t="shared" si="311"/>
        <v>118</v>
      </c>
      <c r="C373" s="19">
        <f t="shared" si="312"/>
        <v>56.275516110805498</v>
      </c>
      <c r="D373" s="17">
        <f t="shared" si="343"/>
        <v>22485.903683889192</v>
      </c>
      <c r="E373" s="17">
        <f t="shared" si="313"/>
        <v>-10230.488806110805</v>
      </c>
      <c r="F373" s="17">
        <f t="shared" si="314"/>
        <v>-22324.152496110808</v>
      </c>
      <c r="G373" s="17">
        <f t="shared" si="315"/>
        <v>10273.674773889195</v>
      </c>
      <c r="H373" s="17">
        <f t="shared" si="344"/>
        <v>10273.674773889195</v>
      </c>
      <c r="I373" s="17">
        <f t="shared" si="316"/>
        <v>7019.2020161566988</v>
      </c>
      <c r="J373" s="20">
        <f>(Geraetedaten!$B$152+(Geraetedaten!$B$153*(Geraetedaten!$B$18+d_y_Sw)/1000))*10</f>
        <v>6051.0442000000003</v>
      </c>
      <c r="K373" s="20">
        <f>(Geraetedaten!$B$165+(Geraetedaten!$B$166*(Geraetedaten!$B$18+d_y_Sw)/1000))*10</f>
        <v>10816.164000000001</v>
      </c>
      <c r="L373" s="20">
        <f>(Geraetedaten!$B$158+(Geraetedaten!$B$159*(Geraetedaten!$B$18+d_y_Sw)/1000)-(Geraetedaten!$B$160*I373/1000))*10</f>
        <v>86.818516155229162</v>
      </c>
      <c r="M373" s="20">
        <f>(Geraetedaten!$B$171+(Geraetedaten!$B$172*(Geraetedaten!$B$18+d_y_Sw)/1000)-(Geraetedaten!$B$173*I373/1000))*10</f>
        <v>542.35760191729605</v>
      </c>
      <c r="N373" s="20">
        <f>IF((H373-J373)/(K373-J373)*(Geraetedaten!$B$174-Geraetedaten!$B$161)&lt;Geraetedaten!$B$174,(H373-J373)/(K373-J373)*(Geraetedaten!$B$174-Geraetedaten!$B$161),Geraetedaten!$B$174)</f>
        <v>354.46165058760494</v>
      </c>
      <c r="O373" s="20">
        <f>N373/Geraetedaten!$B$174*(M373-L373)+L373+C373</f>
        <v>546.77187288201151</v>
      </c>
      <c r="P373" s="20">
        <f t="shared" si="345"/>
        <v>170.31143419535636</v>
      </c>
      <c r="Q373" s="20"/>
      <c r="R373" s="21">
        <f>(N373-Geraetedaten!$B$161)/(Geraetedaten!$B$174-Geraetedaten!$B$161)*(Geraetedaten!$B$175-Geraetedaten!$B$162)+Geraetedaten!$B$162</f>
        <v>39.74523410498125</v>
      </c>
      <c r="S373" s="21">
        <f t="shared" si="317"/>
        <v>39.74523410498125</v>
      </c>
      <c r="T373" s="21">
        <f t="shared" si="318"/>
        <v>-18.659257168556632</v>
      </c>
      <c r="U373" s="88">
        <f t="shared" si="319"/>
        <v>35.092958780607717</v>
      </c>
      <c r="V373" s="86">
        <f t="shared" si="320"/>
        <v>22542.179199999999</v>
      </c>
      <c r="W373" s="85">
        <f t="shared" si="321"/>
        <v>-4225.3239992296285</v>
      </c>
      <c r="X373" s="85">
        <f t="shared" si="322"/>
        <v>9007.4983726626142</v>
      </c>
      <c r="Y373" s="90">
        <f t="shared" si="323"/>
        <v>4225.3239992296285</v>
      </c>
      <c r="Z373" s="86">
        <f t="shared" si="324"/>
        <v>-10174.21329</v>
      </c>
      <c r="AA373" s="85">
        <f t="shared" si="325"/>
        <v>-913.46204712425447</v>
      </c>
      <c r="AB373" s="85">
        <f t="shared" si="326"/>
        <v>-1057.179694083922</v>
      </c>
      <c r="AC373" s="90">
        <f t="shared" si="327"/>
        <v>913.46204712425447</v>
      </c>
      <c r="AD373" s="86">
        <f t="shared" si="328"/>
        <v>-22267.876980000001</v>
      </c>
      <c r="AE373" s="85">
        <f t="shared" si="329"/>
        <v>4140.4375383844126</v>
      </c>
      <c r="AF373" s="85">
        <f t="shared" si="330"/>
        <v>-8812.6070483041294</v>
      </c>
      <c r="AG373" s="90">
        <f t="shared" si="331"/>
        <v>4140.4375383844126</v>
      </c>
      <c r="AH373" s="86">
        <f t="shared" si="332"/>
        <v>10329.950290000001</v>
      </c>
      <c r="AI373" s="85">
        <f t="shared" si="333"/>
        <v>6238.0466047659793</v>
      </c>
      <c r="AJ373" s="85">
        <f t="shared" si="334"/>
        <v>7019.2020161566988</v>
      </c>
      <c r="AK373" s="90">
        <f t="shared" si="335"/>
        <v>6238.0466047659793</v>
      </c>
      <c r="AM373" s="95">
        <f t="shared" si="339"/>
        <v>0</v>
      </c>
      <c r="AN373" s="95">
        <f t="shared" si="340"/>
        <v>0</v>
      </c>
      <c r="AO373" s="95">
        <f t="shared" si="341"/>
        <v>0</v>
      </c>
      <c r="AP373" s="95">
        <f t="shared" si="342"/>
        <v>0</v>
      </c>
      <c r="AQ373"/>
      <c r="AR373" s="95">
        <f t="shared" si="336"/>
        <v>0</v>
      </c>
      <c r="AS373" s="95">
        <f t="shared" si="337"/>
        <v>0</v>
      </c>
      <c r="AT373" s="95">
        <f>Geraetedaten!$B$94*ABS(SIN(RADIANS($A373)))</f>
        <v>72.298620669027187</v>
      </c>
      <c r="AU373" s="95">
        <f>Geraetedaten!$B$94*ABS(COS(RADIANS($A373)))</f>
        <v>135.97392930027473</v>
      </c>
      <c r="AV373" s="95">
        <f>((h_Aw_Sw+Geraetedaten!$B$18)/1000)*(AR373*AT373+AS373*AU373)/100</f>
        <v>0</v>
      </c>
      <c r="AX373" s="18">
        <f t="shared" si="338"/>
        <v>0.88294759285892688</v>
      </c>
    </row>
    <row r="374" spans="1:50" ht="13.5" x14ac:dyDescent="0.25">
      <c r="A374" s="16">
        <v>333</v>
      </c>
      <c r="B374" s="16">
        <f t="shared" si="311"/>
        <v>117</v>
      </c>
      <c r="C374" s="19">
        <f t="shared" si="312"/>
        <v>55.533063495323887</v>
      </c>
      <c r="D374" s="17">
        <f t="shared" si="343"/>
        <v>23256.160096504675</v>
      </c>
      <c r="E374" s="17">
        <f t="shared" si="313"/>
        <v>-10128.857793495325</v>
      </c>
      <c r="F374" s="17">
        <f t="shared" si="314"/>
        <v>-23081.976583495325</v>
      </c>
      <c r="G374" s="17">
        <f t="shared" si="315"/>
        <v>10183.788946504676</v>
      </c>
      <c r="H374" s="17">
        <f t="shared" si="344"/>
        <v>10183.788946504676</v>
      </c>
      <c r="I374" s="17">
        <f t="shared" si="316"/>
        <v>6957.6200959589651</v>
      </c>
      <c r="J374" s="20">
        <f>(Geraetedaten!$B$152+(Geraetedaten!$B$153*(Geraetedaten!$B$18+d_y_Sw)/1000))*10</f>
        <v>6051.0442000000003</v>
      </c>
      <c r="K374" s="20">
        <f>(Geraetedaten!$B$165+(Geraetedaten!$B$166*(Geraetedaten!$B$18+d_y_Sw)/1000))*10</f>
        <v>10816.164000000001</v>
      </c>
      <c r="L374" s="20">
        <f>(Geraetedaten!$B$158+(Geraetedaten!$B$159*(Geraetedaten!$B$18+d_y_Sw)/1000)-(Geraetedaten!$B$160*I374/1000))*10</f>
        <v>91.33431836332889</v>
      </c>
      <c r="M374" s="20">
        <f>(Geraetedaten!$B$171+(Geraetedaten!$B$172*(Geraetedaten!$B$18+d_y_Sw)/1000)-(Geraetedaten!$B$173*I374/1000))*10</f>
        <v>546.9417600568155</v>
      </c>
      <c r="N374" s="20">
        <f>IF((H374-J374)/(K374-J374)*(Geraetedaten!$B$174-Geraetedaten!$B$161)&lt;Geraetedaten!$B$174,(H374-J374)/(K374-J374)*(Geraetedaten!$B$174-Geraetedaten!$B$161),Geraetedaten!$B$174)</f>
        <v>346.91633536723884</v>
      </c>
      <c r="O374" s="20">
        <f>N374/Geraetedaten!$B$174*(M374-L374)+L374+C374</f>
        <v>542.01154195452102</v>
      </c>
      <c r="P374" s="20">
        <f t="shared" si="345"/>
        <v>169.67319556011563</v>
      </c>
      <c r="Q374" s="20"/>
      <c r="R374" s="21">
        <f>(N374-Geraetedaten!$B$161)/(Geraetedaten!$B$174-Geraetedaten!$B$161)*(Geraetedaten!$B$175-Geraetedaten!$B$162)+Geraetedaten!$B$162</f>
        <v>39.520760977175357</v>
      </c>
      <c r="S374" s="21">
        <f t="shared" si="317"/>
        <v>39.520760977175357</v>
      </c>
      <c r="T374" s="21">
        <f t="shared" si="318"/>
        <v>-17.942050026115027</v>
      </c>
      <c r="U374" s="88">
        <f t="shared" si="319"/>
        <v>35.213255871552299</v>
      </c>
      <c r="V374" s="86">
        <f t="shared" si="320"/>
        <v>23311.693159999999</v>
      </c>
      <c r="W374" s="85">
        <f t="shared" si="321"/>
        <v>-4225.3239992296285</v>
      </c>
      <c r="X374" s="85">
        <f t="shared" si="322"/>
        <v>9314.9839864622263</v>
      </c>
      <c r="Y374" s="90">
        <f t="shared" si="323"/>
        <v>4225.3239992296285</v>
      </c>
      <c r="Z374" s="86">
        <f t="shared" si="324"/>
        <v>-10073.32473</v>
      </c>
      <c r="AA374" s="85">
        <f t="shared" si="325"/>
        <v>-913.46204712425447</v>
      </c>
      <c r="AB374" s="85">
        <f t="shared" si="326"/>
        <v>-1046.6965902407574</v>
      </c>
      <c r="AC374" s="90">
        <f t="shared" si="327"/>
        <v>913.46204712425447</v>
      </c>
      <c r="AD374" s="86">
        <f t="shared" si="328"/>
        <v>-23026.443520000001</v>
      </c>
      <c r="AE374" s="85">
        <f t="shared" si="329"/>
        <v>4140.4375383844126</v>
      </c>
      <c r="AF374" s="85">
        <f t="shared" si="330"/>
        <v>-9112.8129804214423</v>
      </c>
      <c r="AG374" s="90">
        <f t="shared" si="331"/>
        <v>4140.4375383844126</v>
      </c>
      <c r="AH374" s="86">
        <f t="shared" si="332"/>
        <v>10239.32201</v>
      </c>
      <c r="AI374" s="85">
        <f t="shared" si="333"/>
        <v>6238.0466047659793</v>
      </c>
      <c r="AJ374" s="85">
        <f t="shared" si="334"/>
        <v>6957.6200959589651</v>
      </c>
      <c r="AK374" s="90">
        <f t="shared" si="335"/>
        <v>6238.0466047659793</v>
      </c>
      <c r="AM374" s="95">
        <f t="shared" si="339"/>
        <v>0</v>
      </c>
      <c r="AN374" s="95">
        <f t="shared" si="340"/>
        <v>0</v>
      </c>
      <c r="AO374" s="95">
        <f t="shared" si="341"/>
        <v>0</v>
      </c>
      <c r="AP374" s="95">
        <f t="shared" si="342"/>
        <v>0</v>
      </c>
      <c r="AQ374"/>
      <c r="AR374" s="95">
        <f t="shared" si="336"/>
        <v>0</v>
      </c>
      <c r="AS374" s="95">
        <f t="shared" si="337"/>
        <v>0</v>
      </c>
      <c r="AT374" s="95">
        <f>Geraetedaten!$B$94*ABS(SIN(RADIANS($A374)))</f>
        <v>69.914536959890228</v>
      </c>
      <c r="AU374" s="95">
        <f>Geraetedaten!$B$94*ABS(COS(RADIANS($A374)))</f>
        <v>137.21500472500864</v>
      </c>
      <c r="AV374" s="95">
        <f>((h_Aw_Sw+Geraetedaten!$B$18)/1000)*(AR374*AT374+AS374*AU374)/100</f>
        <v>0</v>
      </c>
      <c r="AX374" s="18">
        <f t="shared" si="338"/>
        <v>0.89100652418836779</v>
      </c>
    </row>
    <row r="375" spans="1:50" ht="13.5" x14ac:dyDescent="0.25">
      <c r="A375" s="16">
        <v>334</v>
      </c>
      <c r="B375" s="16">
        <f t="shared" si="311"/>
        <v>116</v>
      </c>
      <c r="C375" s="19">
        <f t="shared" si="312"/>
        <v>54.773694970740735</v>
      </c>
      <c r="D375" s="17">
        <f t="shared" si="343"/>
        <v>24088.441665029259</v>
      </c>
      <c r="E375" s="17">
        <f t="shared" si="313"/>
        <v>-10032.200444970742</v>
      </c>
      <c r="F375" s="17">
        <f t="shared" si="314"/>
        <v>-23900.808214970741</v>
      </c>
      <c r="G375" s="17">
        <f t="shared" si="315"/>
        <v>10098.562345029259</v>
      </c>
      <c r="H375" s="17">
        <f t="shared" si="344"/>
        <v>10098.562345029259</v>
      </c>
      <c r="I375" s="17">
        <f t="shared" si="316"/>
        <v>6899.1926211647979</v>
      </c>
      <c r="J375" s="20">
        <f>(Geraetedaten!$B$152+(Geraetedaten!$B$153*(Geraetedaten!$B$18+d_y_Sw)/1000))*10</f>
        <v>6051.0442000000003</v>
      </c>
      <c r="K375" s="20">
        <f>(Geraetedaten!$B$165+(Geraetedaten!$B$166*(Geraetedaten!$B$18+d_y_Sw)/1000))*10</f>
        <v>10816.164000000001</v>
      </c>
      <c r="L375" s="20">
        <f>(Geraetedaten!$B$158+(Geraetedaten!$B$159*(Geraetedaten!$B$18+d_y_Sw)/1000)-(Geraetedaten!$B$160*I375/1000))*10</f>
        <v>95.618805089985273</v>
      </c>
      <c r="M375" s="20">
        <f>(Geraetedaten!$B$171+(Geraetedaten!$B$172*(Geraetedaten!$B$18+d_y_Sw)/1000)-(Geraetedaten!$B$173*I375/1000))*10</f>
        <v>551.29110128049331</v>
      </c>
      <c r="N375" s="20">
        <f>IF((H375-J375)/(K375-J375)*(Geraetedaten!$B$174-Geraetedaten!$B$161)&lt;Geraetedaten!$B$174,(H375-J375)/(K375-J375)*(Geraetedaten!$B$174-Geraetedaten!$B$161),Geraetedaten!$B$174)</f>
        <v>339.76213106157445</v>
      </c>
      <c r="O375" s="20">
        <f>N375/Geraetedaten!$B$174*(M375-L375)+L375+C375</f>
        <v>537.44297610924593</v>
      </c>
      <c r="P375" s="20">
        <f t="shared" si="345"/>
        <v>169.04462289557262</v>
      </c>
      <c r="Q375" s="20"/>
      <c r="R375" s="21">
        <f>(N375-Geraetedaten!$B$161)/(Geraetedaten!$B$174-Geraetedaten!$B$161)*(Geraetedaten!$B$175-Geraetedaten!$B$162)+Geraetedaten!$B$162</f>
        <v>39.307923399081844</v>
      </c>
      <c r="S375" s="21">
        <f t="shared" si="317"/>
        <v>39.307923399081844</v>
      </c>
      <c r="T375" s="21">
        <f t="shared" si="318"/>
        <v>-17.231459458352731</v>
      </c>
      <c r="U375" s="88">
        <f t="shared" si="319"/>
        <v>35.329727523478468</v>
      </c>
      <c r="V375" s="86">
        <f t="shared" si="320"/>
        <v>24143.215359999998</v>
      </c>
      <c r="W375" s="85">
        <f t="shared" si="321"/>
        <v>-4225.3239992296285</v>
      </c>
      <c r="X375" s="85">
        <f t="shared" si="322"/>
        <v>9647.2471092997275</v>
      </c>
      <c r="Y375" s="90">
        <f t="shared" si="323"/>
        <v>4225.3239992296285</v>
      </c>
      <c r="Z375" s="86">
        <f t="shared" si="324"/>
        <v>-9977.4267500000005</v>
      </c>
      <c r="AA375" s="85">
        <f t="shared" si="325"/>
        <v>-913.46204712425447</v>
      </c>
      <c r="AB375" s="85">
        <f t="shared" si="326"/>
        <v>-1036.7320460275098</v>
      </c>
      <c r="AC375" s="90">
        <f t="shared" si="327"/>
        <v>913.46204712425447</v>
      </c>
      <c r="AD375" s="86">
        <f t="shared" si="328"/>
        <v>-23846.034520000001</v>
      </c>
      <c r="AE375" s="85">
        <f t="shared" si="329"/>
        <v>4140.4375383844126</v>
      </c>
      <c r="AF375" s="85">
        <f t="shared" si="330"/>
        <v>-9437.1696063706586</v>
      </c>
      <c r="AG375" s="90">
        <f t="shared" si="331"/>
        <v>4140.4375383844126</v>
      </c>
      <c r="AH375" s="86">
        <f t="shared" si="332"/>
        <v>10153.33604</v>
      </c>
      <c r="AI375" s="85">
        <f t="shared" si="333"/>
        <v>6238.0466047659793</v>
      </c>
      <c r="AJ375" s="85">
        <f t="shared" si="334"/>
        <v>6899.1926211647979</v>
      </c>
      <c r="AK375" s="90">
        <f t="shared" si="335"/>
        <v>6238.0466047659793</v>
      </c>
      <c r="AM375" s="95">
        <f t="shared" si="339"/>
        <v>0</v>
      </c>
      <c r="AN375" s="95">
        <f t="shared" si="340"/>
        <v>0</v>
      </c>
      <c r="AO375" s="95">
        <f t="shared" si="341"/>
        <v>0</v>
      </c>
      <c r="AP375" s="95">
        <f t="shared" si="342"/>
        <v>0</v>
      </c>
      <c r="AQ375"/>
      <c r="AR375" s="95">
        <f t="shared" si="336"/>
        <v>0</v>
      </c>
      <c r="AS375" s="95">
        <f t="shared" si="337"/>
        <v>0</v>
      </c>
      <c r="AT375" s="95">
        <f>Geraetedaten!$B$94*ABS(SIN(RADIANS($A375)))</f>
        <v>67.509156605517987</v>
      </c>
      <c r="AU375" s="95">
        <f>Geraetedaten!$B$94*ABS(COS(RADIANS($A375)))</f>
        <v>138.41428313007168</v>
      </c>
      <c r="AV375" s="95">
        <f>((h_Aw_Sw+Geraetedaten!$B$18)/1000)*(AR375*AT375+AS375*AU375)/100</f>
        <v>0</v>
      </c>
      <c r="AX375" s="18">
        <f t="shared" si="338"/>
        <v>0.89879404629916682</v>
      </c>
    </row>
    <row r="376" spans="1:50" ht="13.5" x14ac:dyDescent="0.25">
      <c r="A376" s="16">
        <v>335</v>
      </c>
      <c r="B376" s="16">
        <f t="shared" si="311"/>
        <v>115</v>
      </c>
      <c r="C376" s="19">
        <f t="shared" si="312"/>
        <v>53.99764184806476</v>
      </c>
      <c r="D376" s="17">
        <f t="shared" si="343"/>
        <v>24990.165378151934</v>
      </c>
      <c r="E376" s="17">
        <f t="shared" si="313"/>
        <v>-9940.3181618480648</v>
      </c>
      <c r="F376" s="17">
        <f t="shared" si="314"/>
        <v>-24787.932911848067</v>
      </c>
      <c r="G376" s="17">
        <f t="shared" si="315"/>
        <v>10017.826978151934</v>
      </c>
      <c r="H376" s="17">
        <f t="shared" si="344"/>
        <v>10017.826978151934</v>
      </c>
      <c r="I376" s="17">
        <f t="shared" si="316"/>
        <v>6843.8056070949433</v>
      </c>
      <c r="J376" s="20">
        <f>(Geraetedaten!$B$152+(Geraetedaten!$B$153*(Geraetedaten!$B$18+d_y_Sw)/1000))*10</f>
        <v>6051.0442000000003</v>
      </c>
      <c r="K376" s="20">
        <f>(Geraetedaten!$B$165+(Geraetedaten!$B$166*(Geraetedaten!$B$18+d_y_Sw)/1000))*10</f>
        <v>10816.164000000001</v>
      </c>
      <c r="L376" s="20">
        <f>(Geraetedaten!$B$158+(Geraetedaten!$B$159*(Geraetedaten!$B$18+d_y_Sw)/1000)-(Geraetedaten!$B$160*I376/1000))*10</f>
        <v>99.680334831727677</v>
      </c>
      <c r="M376" s="20">
        <f>(Geraetedaten!$B$171+(Geraetedaten!$B$172*(Geraetedaten!$B$18+d_y_Sw)/1000)-(Geraetedaten!$B$173*I376/1000))*10</f>
        <v>555.41411060785322</v>
      </c>
      <c r="N376" s="20">
        <f>IF((H376-J376)/(K376-J376)*(Geraetedaten!$B$174-Geraetedaten!$B$161)&lt;Geraetedaten!$B$174,(H376-J376)/(K376-J376)*(Geraetedaten!$B$174-Geraetedaten!$B$161),Geraetedaten!$B$174)</f>
        <v>332.98493592139556</v>
      </c>
      <c r="O376" s="20">
        <f>N376/Geraetedaten!$B$174*(M376-L376)+L376+C376</f>
        <v>533.05918198986456</v>
      </c>
      <c r="P376" s="20">
        <f t="shared" si="345"/>
        <v>168.42573615357799</v>
      </c>
      <c r="Q376" s="20"/>
      <c r="R376" s="21">
        <f>(N376-Geraetedaten!$B$161)/(Geraetedaten!$B$174-Geraetedaten!$B$161)*(Geraetedaten!$B$175-Geraetedaten!$B$162)+Geraetedaten!$B$162</f>
        <v>39.10630184366152</v>
      </c>
      <c r="S376" s="21">
        <f t="shared" si="317"/>
        <v>39.10630184366152</v>
      </c>
      <c r="T376" s="21">
        <f t="shared" si="318"/>
        <v>-16.527037308275332</v>
      </c>
      <c r="U376" s="88">
        <f t="shared" si="319"/>
        <v>35.44234588311614</v>
      </c>
      <c r="V376" s="86">
        <f t="shared" si="320"/>
        <v>25044.16302</v>
      </c>
      <c r="W376" s="85">
        <f t="shared" si="321"/>
        <v>-4225.3239992296285</v>
      </c>
      <c r="X376" s="85">
        <f t="shared" si="322"/>
        <v>10007.25154668458</v>
      </c>
      <c r="Y376" s="90">
        <f t="shared" si="323"/>
        <v>4225.3239992296285</v>
      </c>
      <c r="Z376" s="86">
        <f t="shared" si="324"/>
        <v>-9886.3205199999993</v>
      </c>
      <c r="AA376" s="85">
        <f t="shared" si="325"/>
        <v>-913.46204712425447</v>
      </c>
      <c r="AB376" s="85">
        <f t="shared" si="326"/>
        <v>-1027.2654015869148</v>
      </c>
      <c r="AC376" s="90">
        <f t="shared" si="327"/>
        <v>913.46204712425447</v>
      </c>
      <c r="AD376" s="86">
        <f t="shared" si="328"/>
        <v>-24733.935270000002</v>
      </c>
      <c r="AE376" s="85">
        <f t="shared" si="329"/>
        <v>4140.4375383844126</v>
      </c>
      <c r="AF376" s="85">
        <f t="shared" si="330"/>
        <v>-9788.5601069237546</v>
      </c>
      <c r="AG376" s="90">
        <f t="shared" si="331"/>
        <v>4140.4375383844126</v>
      </c>
      <c r="AH376" s="86">
        <f t="shared" si="332"/>
        <v>10071.824619999999</v>
      </c>
      <c r="AI376" s="85">
        <f t="shared" si="333"/>
        <v>6238.0466047659793</v>
      </c>
      <c r="AJ376" s="85">
        <f t="shared" si="334"/>
        <v>6843.8056070949433</v>
      </c>
      <c r="AK376" s="90">
        <f t="shared" si="335"/>
        <v>6238.0466047659793</v>
      </c>
      <c r="AM376" s="95">
        <f t="shared" si="339"/>
        <v>0</v>
      </c>
      <c r="AN376" s="95">
        <f t="shared" si="340"/>
        <v>0</v>
      </c>
      <c r="AO376" s="95">
        <f t="shared" si="341"/>
        <v>0</v>
      </c>
      <c r="AP376" s="95">
        <f t="shared" si="342"/>
        <v>0</v>
      </c>
      <c r="AQ376"/>
      <c r="AR376" s="95">
        <f t="shared" si="336"/>
        <v>0</v>
      </c>
      <c r="AS376" s="95">
        <f t="shared" si="337"/>
        <v>0</v>
      </c>
      <c r="AT376" s="95">
        <f>Geraetedaten!$B$94*ABS(SIN(RADIANS($A376)))</f>
        <v>65.083212308067687</v>
      </c>
      <c r="AU376" s="95">
        <f>Geraetedaten!$B$94*ABS(COS(RADIANS($A376)))</f>
        <v>139.57139920364412</v>
      </c>
      <c r="AV376" s="95">
        <f>((h_Aw_Sw+Geraetedaten!$B$18)/1000)*(AR376*AT376+AS376*AU376)/100</f>
        <v>0</v>
      </c>
      <c r="AX376" s="18">
        <f t="shared" si="338"/>
        <v>0.90630778703665005</v>
      </c>
    </row>
    <row r="377" spans="1:50" ht="13.5" x14ac:dyDescent="0.25">
      <c r="A377" s="16">
        <v>336</v>
      </c>
      <c r="B377" s="16">
        <f t="shared" si="311"/>
        <v>114</v>
      </c>
      <c r="C377" s="19">
        <f t="shared" si="312"/>
        <v>53.205140520595009</v>
      </c>
      <c r="D377" s="17">
        <f t="shared" si="343"/>
        <v>25969.987179479402</v>
      </c>
      <c r="E377" s="17">
        <f t="shared" si="313"/>
        <v>-9853.0263105205941</v>
      </c>
      <c r="F377" s="17">
        <f t="shared" si="314"/>
        <v>-25751.850700520597</v>
      </c>
      <c r="G377" s="17">
        <f t="shared" si="315"/>
        <v>9941.4266094794057</v>
      </c>
      <c r="H377" s="17">
        <f t="shared" si="344"/>
        <v>9941.4266094794057</v>
      </c>
      <c r="I377" s="17">
        <f t="shared" si="316"/>
        <v>6791.3530456861872</v>
      </c>
      <c r="J377" s="20">
        <f>(Geraetedaten!$B$152+(Geraetedaten!$B$153*(Geraetedaten!$B$18+d_y_Sw)/1000))*10</f>
        <v>6051.0442000000003</v>
      </c>
      <c r="K377" s="20">
        <f>(Geraetedaten!$B$165+(Geraetedaten!$B$166*(Geraetedaten!$B$18+d_y_Sw)/1000))*10</f>
        <v>10816.164000000001</v>
      </c>
      <c r="L377" s="20">
        <f>(Geraetedaten!$B$158+(Geraetedaten!$B$159*(Geraetedaten!$B$18+d_y_Sw)/1000)-(Geraetedaten!$B$160*I377/1000))*10</f>
        <v>103.52668115983171</v>
      </c>
      <c r="M377" s="20">
        <f>(Geraetedaten!$B$171+(Geraetedaten!$B$172*(Geraetedaten!$B$18+d_y_Sw)/1000)-(Geraetedaten!$B$173*I377/1000))*10</f>
        <v>559.31867927912106</v>
      </c>
      <c r="N377" s="20">
        <f>IF((H377-J377)/(K377-J377)*(Geraetedaten!$B$174-Geraetedaten!$B$161)&lt;Geraetedaten!$B$174,(H377-J377)/(K377-J377)*(Geraetedaten!$B$174-Geraetedaten!$B$161),Geraetedaten!$B$174)</f>
        <v>326.57163494436429</v>
      </c>
      <c r="O377" s="20">
        <f>N377/Geraetedaten!$B$174*(M377-L377)+L377+C377</f>
        <v>528.853666731364</v>
      </c>
      <c r="P377" s="20">
        <f t="shared" si="345"/>
        <v>167.81656427171862</v>
      </c>
      <c r="Q377" s="20"/>
      <c r="R377" s="21">
        <f>(N377-Geraetedaten!$B$161)/(Geraetedaten!$B$174-Geraetedaten!$B$161)*(Geraetedaten!$B$175-Geraetedaten!$B$162)+Geraetedaten!$B$162</f>
        <v>38.915506139594839</v>
      </c>
      <c r="S377" s="21">
        <f t="shared" si="317"/>
        <v>38.915506139594839</v>
      </c>
      <c r="T377" s="21">
        <f t="shared" si="318"/>
        <v>-15.828362330814496</v>
      </c>
      <c r="U377" s="88">
        <f t="shared" si="319"/>
        <v>35.551083865689613</v>
      </c>
      <c r="V377" s="86">
        <f t="shared" si="320"/>
        <v>26023.192319999998</v>
      </c>
      <c r="W377" s="85">
        <f t="shared" si="321"/>
        <v>-4225.3239992296285</v>
      </c>
      <c r="X377" s="85">
        <f t="shared" si="322"/>
        <v>10398.456176696644</v>
      </c>
      <c r="Y377" s="90">
        <f t="shared" si="323"/>
        <v>4225.3239992296285</v>
      </c>
      <c r="Z377" s="86">
        <f t="shared" si="324"/>
        <v>-9799.8211699999993</v>
      </c>
      <c r="AA377" s="85">
        <f t="shared" si="325"/>
        <v>-913.46204712425447</v>
      </c>
      <c r="AB377" s="85">
        <f t="shared" si="326"/>
        <v>-1018.2774476049958</v>
      </c>
      <c r="AC377" s="90">
        <f t="shared" si="327"/>
        <v>913.46204712425447</v>
      </c>
      <c r="AD377" s="86">
        <f t="shared" si="328"/>
        <v>-25698.645560000001</v>
      </c>
      <c r="AE377" s="85">
        <f t="shared" si="329"/>
        <v>4140.4375383844126</v>
      </c>
      <c r="AF377" s="85">
        <f t="shared" si="330"/>
        <v>-10170.348308068546</v>
      </c>
      <c r="AG377" s="90">
        <f t="shared" si="331"/>
        <v>4140.4375383844126</v>
      </c>
      <c r="AH377" s="86">
        <f t="shared" si="332"/>
        <v>9994.6317500000005</v>
      </c>
      <c r="AI377" s="85">
        <f t="shared" si="333"/>
        <v>6238.0466047659793</v>
      </c>
      <c r="AJ377" s="85">
        <f t="shared" si="334"/>
        <v>6791.3530456861872</v>
      </c>
      <c r="AK377" s="90">
        <f t="shared" si="335"/>
        <v>6238.0466047659793</v>
      </c>
      <c r="AM377" s="95">
        <f t="shared" si="339"/>
        <v>0</v>
      </c>
      <c r="AN377" s="95">
        <f t="shared" si="340"/>
        <v>0</v>
      </c>
      <c r="AO377" s="95">
        <f t="shared" si="341"/>
        <v>0</v>
      </c>
      <c r="AP377" s="95">
        <f t="shared" si="342"/>
        <v>0</v>
      </c>
      <c r="AQ377"/>
      <c r="AR377" s="95">
        <f t="shared" si="336"/>
        <v>0</v>
      </c>
      <c r="AS377" s="95">
        <f t="shared" si="337"/>
        <v>0</v>
      </c>
      <c r="AT377" s="95">
        <f>Geraetedaten!$B$94*ABS(SIN(RADIANS($A377)))</f>
        <v>62.637443033673222</v>
      </c>
      <c r="AU377" s="95">
        <f>Geraetedaten!$B$94*ABS(COS(RADIANS($A377)))</f>
        <v>140.68600047696054</v>
      </c>
      <c r="AV377" s="95">
        <f>((h_Aw_Sw+Geraetedaten!$B$18)/1000)*(AR377*AT377+AS377*AU377)/100</f>
        <v>0</v>
      </c>
      <c r="AX377" s="18">
        <f t="shared" si="338"/>
        <v>0.91354545764260098</v>
      </c>
    </row>
    <row r="378" spans="1:50" ht="13.5" x14ac:dyDescent="0.25">
      <c r="A378" s="16">
        <v>337</v>
      </c>
      <c r="B378" s="16">
        <f t="shared" si="311"/>
        <v>113</v>
      </c>
      <c r="C378" s="19">
        <f t="shared" si="312"/>
        <v>52.396432391912903</v>
      </c>
      <c r="D378" s="17">
        <f t="shared" si="343"/>
        <v>27038.071607608086</v>
      </c>
      <c r="E378" s="17">
        <f t="shared" si="313"/>
        <v>-9770.1532023919135</v>
      </c>
      <c r="F378" s="17">
        <f t="shared" si="314"/>
        <v>-26802.539832391914</v>
      </c>
      <c r="G378" s="17">
        <f t="shared" si="315"/>
        <v>9869.2159276080856</v>
      </c>
      <c r="H378" s="17">
        <f t="shared" si="344"/>
        <v>9869.2159276080856</v>
      </c>
      <c r="I378" s="17">
        <f t="shared" si="316"/>
        <v>6741.7363655384097</v>
      </c>
      <c r="J378" s="20">
        <f>(Geraetedaten!$B$152+(Geraetedaten!$B$153*(Geraetedaten!$B$18+d_y_Sw)/1000))*10</f>
        <v>6051.0442000000003</v>
      </c>
      <c r="K378" s="20">
        <f>(Geraetedaten!$B$165+(Geraetedaten!$B$166*(Geraetedaten!$B$18+d_y_Sw)/1000))*10</f>
        <v>10816.164000000001</v>
      </c>
      <c r="L378" s="20">
        <f>(Geraetedaten!$B$158+(Geraetedaten!$B$159*(Geraetedaten!$B$18+d_y_Sw)/1000)-(Geraetedaten!$B$160*I378/1000))*10</f>
        <v>107.16507231506824</v>
      </c>
      <c r="M378" s="20">
        <f>(Geraetedaten!$B$171+(Geraetedaten!$B$172*(Geraetedaten!$B$18+d_y_Sw)/1000)-(Geraetedaten!$B$173*I378/1000))*10</f>
        <v>563.01214494932162</v>
      </c>
      <c r="N378" s="20">
        <f>IF((H378-J378)/(K378-J378)*(Geraetedaten!$B$174-Geraetedaten!$B$161)&lt;Geraetedaten!$B$174,(H378-J378)/(K378-J378)*(Geraetedaten!$B$174-Geraetedaten!$B$161),Geraetedaten!$B$174)</f>
        <v>320.5100302081039</v>
      </c>
      <c r="O378" s="20">
        <f>N378/Geraetedaten!$B$174*(M378-L378)+L378+C378</f>
        <v>524.82040225768185</v>
      </c>
      <c r="P378" s="20">
        <f t="shared" si="345"/>
        <v>167.21714487079274</v>
      </c>
      <c r="Q378" s="20"/>
      <c r="R378" s="21">
        <f>(N378-Geraetedaten!$B$161)/(Geraetedaten!$B$174-Geraetedaten!$B$161)*(Geraetedaten!$B$175-Geraetedaten!$B$162)+Geraetedaten!$B$162</f>
        <v>38.735173398691089</v>
      </c>
      <c r="S378" s="21">
        <f t="shared" si="317"/>
        <v>38.735173398691089</v>
      </c>
      <c r="T378" s="21">
        <f t="shared" si="318"/>
        <v>-15.135038014298271</v>
      </c>
      <c r="U378" s="88">
        <f t="shared" si="319"/>
        <v>35.655915112817006</v>
      </c>
      <c r="V378" s="86">
        <f t="shared" si="320"/>
        <v>27090.46804</v>
      </c>
      <c r="W378" s="85">
        <f t="shared" si="321"/>
        <v>-4225.3239992296285</v>
      </c>
      <c r="X378" s="85">
        <f t="shared" si="322"/>
        <v>10824.922677018854</v>
      </c>
      <c r="Y378" s="90">
        <f t="shared" si="323"/>
        <v>4225.3239992296285</v>
      </c>
      <c r="Z378" s="86">
        <f t="shared" si="324"/>
        <v>-9717.75677</v>
      </c>
      <c r="AA378" s="85">
        <f t="shared" si="325"/>
        <v>-913.46204712425447</v>
      </c>
      <c r="AB378" s="85">
        <f t="shared" si="326"/>
        <v>-1009.7503197761641</v>
      </c>
      <c r="AC378" s="90">
        <f t="shared" si="327"/>
        <v>913.46204712425447</v>
      </c>
      <c r="AD378" s="86">
        <f t="shared" si="328"/>
        <v>-26750.143400000001</v>
      </c>
      <c r="AE378" s="85">
        <f t="shared" si="329"/>
        <v>4140.4375383844126</v>
      </c>
      <c r="AF378" s="85">
        <f t="shared" si="330"/>
        <v>-10586.483049919265</v>
      </c>
      <c r="AG378" s="90">
        <f t="shared" si="331"/>
        <v>4140.4375383844126</v>
      </c>
      <c r="AH378" s="86">
        <f t="shared" si="332"/>
        <v>9921.6123599999992</v>
      </c>
      <c r="AI378" s="85">
        <f t="shared" si="333"/>
        <v>6238.0466047659793</v>
      </c>
      <c r="AJ378" s="85">
        <f t="shared" si="334"/>
        <v>6741.7363655384097</v>
      </c>
      <c r="AK378" s="90">
        <f t="shared" si="335"/>
        <v>6238.0466047659793</v>
      </c>
      <c r="AM378" s="95">
        <f t="shared" si="339"/>
        <v>0</v>
      </c>
      <c r="AN378" s="95">
        <f t="shared" si="340"/>
        <v>0</v>
      </c>
      <c r="AO378" s="95">
        <f t="shared" si="341"/>
        <v>0</v>
      </c>
      <c r="AP378" s="95">
        <f t="shared" si="342"/>
        <v>0</v>
      </c>
      <c r="AQ378"/>
      <c r="AR378" s="95">
        <f t="shared" si="336"/>
        <v>0</v>
      </c>
      <c r="AS378" s="95">
        <f t="shared" si="337"/>
        <v>0</v>
      </c>
      <c r="AT378" s="95">
        <f>Geraetedaten!$B$94*ABS(SIN(RADIANS($A378)))</f>
        <v>60.172593787348177</v>
      </c>
      <c r="AU378" s="95">
        <f>Geraetedaten!$B$94*ABS(COS(RADIANS($A378)))</f>
        <v>141.7577474316758</v>
      </c>
      <c r="AV378" s="95">
        <f>((h_Aw_Sw+Geraetedaten!$B$18)/1000)*(AR378*AT378+AS378*AU378)/100</f>
        <v>0</v>
      </c>
      <c r="AX378" s="18">
        <f t="shared" si="338"/>
        <v>0.92050485345244026</v>
      </c>
    </row>
    <row r="379" spans="1:50" ht="13.5" x14ac:dyDescent="0.25">
      <c r="A379" s="16">
        <v>338</v>
      </c>
      <c r="B379" s="16">
        <f t="shared" si="311"/>
        <v>112</v>
      </c>
      <c r="C379" s="19">
        <f t="shared" si="312"/>
        <v>51.571763802348592</v>
      </c>
      <c r="D379" s="17">
        <f t="shared" si="343"/>
        <v>28206.434936197653</v>
      </c>
      <c r="E379" s="17">
        <f t="shared" si="313"/>
        <v>-9691.5391838023497</v>
      </c>
      <c r="F379" s="17">
        <f t="shared" si="314"/>
        <v>-27951.79235380235</v>
      </c>
      <c r="G379" s="17">
        <f t="shared" si="315"/>
        <v>9801.0598561976512</v>
      </c>
      <c r="H379" s="17">
        <f t="shared" si="344"/>
        <v>9801.0598561976512</v>
      </c>
      <c r="I379" s="17">
        <f t="shared" si="316"/>
        <v>6694.8639417660215</v>
      </c>
      <c r="J379" s="20">
        <f>(Geraetedaten!$B$152+(Geraetedaten!$B$153*(Geraetedaten!$B$18+d_y_Sw)/1000))*10</f>
        <v>6051.0442000000003</v>
      </c>
      <c r="K379" s="20">
        <f>(Geraetedaten!$B$165+(Geraetedaten!$B$166*(Geraetedaten!$B$18+d_y_Sw)/1000))*10</f>
        <v>10816.164000000001</v>
      </c>
      <c r="L379" s="20">
        <f>(Geraetedaten!$B$158+(Geraetedaten!$B$159*(Geraetedaten!$B$18+d_y_Sw)/1000)-(Geraetedaten!$B$160*I379/1000))*10</f>
        <v>110.60222715029745</v>
      </c>
      <c r="M379" s="20">
        <f>(Geraetedaten!$B$171+(Geraetedaten!$B$172*(Geraetedaten!$B$18+d_y_Sw)/1000)-(Geraetedaten!$B$173*I379/1000))*10</f>
        <v>566.50132817493818</v>
      </c>
      <c r="N379" s="20">
        <f>IF((H379-J379)/(K379-J379)*(Geraetedaten!$B$174-Geraetedaten!$B$161)&lt;Geraetedaten!$B$174,(H379-J379)/(K379-J379)*(Geraetedaten!$B$174-Geraetedaten!$B$161),Geraetedaten!$B$174)</f>
        <v>314.78878295547997</v>
      </c>
      <c r="O379" s="20">
        <f>N379/Geraetedaten!$B$174*(M379-L379)+L379+C379</f>
        <v>520.95379885775628</v>
      </c>
      <c r="P379" s="20">
        <f t="shared" si="345"/>
        <v>166.62752504977868</v>
      </c>
      <c r="Q379" s="20"/>
      <c r="R379" s="21">
        <f>(N379-Geraetedaten!$B$161)/(Geraetedaten!$B$174-Geraetedaten!$B$161)*(Geraetedaten!$B$175-Geraetedaten!$B$162)+Geraetedaten!$B$162</f>
        <v>38.564966292925533</v>
      </c>
      <c r="S379" s="21">
        <f t="shared" si="317"/>
        <v>38.564966292925533</v>
      </c>
      <c r="T379" s="21">
        <f t="shared" si="318"/>
        <v>-14.44669064819232</v>
      </c>
      <c r="U379" s="88">
        <f t="shared" si="319"/>
        <v>35.756814098712923</v>
      </c>
      <c r="V379" s="86">
        <f t="shared" si="320"/>
        <v>28258.006700000002</v>
      </c>
      <c r="W379" s="85">
        <f t="shared" si="321"/>
        <v>-4225.3239992296285</v>
      </c>
      <c r="X379" s="85">
        <f t="shared" si="322"/>
        <v>11291.452665952194</v>
      </c>
      <c r="Y379" s="90">
        <f t="shared" si="323"/>
        <v>4225.3239992296285</v>
      </c>
      <c r="Z379" s="86">
        <f t="shared" si="324"/>
        <v>-9639.9674200000009</v>
      </c>
      <c r="AA379" s="85">
        <f t="shared" si="325"/>
        <v>-913.46204712425447</v>
      </c>
      <c r="AB379" s="85">
        <f t="shared" si="326"/>
        <v>-1001.6674032356065</v>
      </c>
      <c r="AC379" s="90">
        <f t="shared" si="327"/>
        <v>913.46204712425447</v>
      </c>
      <c r="AD379" s="86">
        <f t="shared" si="328"/>
        <v>-27900.220590000001</v>
      </c>
      <c r="AE379" s="85">
        <f t="shared" si="329"/>
        <v>4140.4375383844126</v>
      </c>
      <c r="AF379" s="85">
        <f t="shared" si="330"/>
        <v>-11041.63099044614</v>
      </c>
      <c r="AG379" s="90">
        <f t="shared" si="331"/>
        <v>4140.4375383844126</v>
      </c>
      <c r="AH379" s="86">
        <f t="shared" si="332"/>
        <v>9852.6316200000001</v>
      </c>
      <c r="AI379" s="85">
        <f t="shared" si="333"/>
        <v>6238.0466047659793</v>
      </c>
      <c r="AJ379" s="85">
        <f t="shared" si="334"/>
        <v>6694.8639417660215</v>
      </c>
      <c r="AK379" s="90">
        <f t="shared" si="335"/>
        <v>6238.0466047659793</v>
      </c>
      <c r="AM379" s="95">
        <f t="shared" si="339"/>
        <v>0</v>
      </c>
      <c r="AN379" s="95">
        <f t="shared" si="340"/>
        <v>0</v>
      </c>
      <c r="AO379" s="95">
        <f t="shared" si="341"/>
        <v>0</v>
      </c>
      <c r="AP379" s="95">
        <f t="shared" si="342"/>
        <v>0</v>
      </c>
      <c r="AQ379"/>
      <c r="AR379" s="95">
        <f t="shared" si="336"/>
        <v>0</v>
      </c>
      <c r="AS379" s="95">
        <f t="shared" si="337"/>
        <v>0</v>
      </c>
      <c r="AT379" s="95">
        <f>Geraetedaten!$B$94*ABS(SIN(RADIANS($A379)))</f>
        <v>57.689415386050499</v>
      </c>
      <c r="AU379" s="95">
        <f>Geraetedaten!$B$94*ABS(COS(RADIANS($A379)))</f>
        <v>142.78631360328524</v>
      </c>
      <c r="AV379" s="95">
        <f>((h_Aw_Sw+Geraetedaten!$B$18)/1000)*(AR379*AT379+AS379*AU379)/100</f>
        <v>0</v>
      </c>
      <c r="AX379" s="18">
        <f t="shared" si="338"/>
        <v>0.92718385456678731</v>
      </c>
    </row>
    <row r="380" spans="1:50" ht="13.5" x14ac:dyDescent="0.25">
      <c r="A380" s="16">
        <v>339</v>
      </c>
      <c r="B380" s="16">
        <f t="shared" si="311"/>
        <v>111</v>
      </c>
      <c r="C380" s="19">
        <f t="shared" si="312"/>
        <v>50.731385953943189</v>
      </c>
      <c r="D380" s="17">
        <f t="shared" si="343"/>
        <v>29489.386624046056</v>
      </c>
      <c r="E380" s="17">
        <f t="shared" si="313"/>
        <v>-9617.0358059539431</v>
      </c>
      <c r="F380" s="17">
        <f t="shared" si="314"/>
        <v>-29213.645465953941</v>
      </c>
      <c r="G380" s="17">
        <f t="shared" si="315"/>
        <v>9736.8328440460573</v>
      </c>
      <c r="H380" s="17">
        <f t="shared" si="344"/>
        <v>9736.8328440460573</v>
      </c>
      <c r="I380" s="17">
        <f t="shared" si="316"/>
        <v>6650.6506508179718</v>
      </c>
      <c r="J380" s="20">
        <f>(Geraetedaten!$B$152+(Geraetedaten!$B$153*(Geraetedaten!$B$18+d_y_Sw)/1000))*10</f>
        <v>6051.0442000000003</v>
      </c>
      <c r="K380" s="20">
        <f>(Geraetedaten!$B$165+(Geraetedaten!$B$166*(Geraetedaten!$B$18+d_y_Sw)/1000))*10</f>
        <v>10816.164000000001</v>
      </c>
      <c r="L380" s="20">
        <f>(Geraetedaten!$B$158+(Geraetedaten!$B$159*(Geraetedaten!$B$18+d_y_Sw)/1000)-(Geraetedaten!$B$160*I380/1000))*10</f>
        <v>113.84438777551793</v>
      </c>
      <c r="M380" s="20">
        <f>(Geraetedaten!$B$171+(Geraetedaten!$B$172*(Geraetedaten!$B$18+d_y_Sw)/1000)-(Geraetedaten!$B$173*I380/1000))*10</f>
        <v>569.79256555311099</v>
      </c>
      <c r="N380" s="20">
        <f>IF((H380-J380)/(K380-J380)*(Geraetedaten!$B$174-Geraetedaten!$B$161)&lt;Geraetedaten!$B$174,(H380-J380)/(K380-J380)*(Geraetedaten!$B$174-Geraetedaten!$B$161),Geraetedaten!$B$174)</f>
        <v>309.39735400113608</v>
      </c>
      <c r="O380" s="20">
        <f>N380/Geraetedaten!$B$174*(M380-L380)+L380+C380</f>
        <v>517.24867314452831</v>
      </c>
      <c r="P380" s="20">
        <f t="shared" si="345"/>
        <v>166.04776064024929</v>
      </c>
      <c r="Q380" s="20"/>
      <c r="R380" s="21">
        <f>(N380-Geraetedaten!$B$161)/(Geraetedaten!$B$174-Geraetedaten!$B$161)*(Geraetedaten!$B$175-Geraetedaten!$B$162)+Geraetedaten!$B$162</f>
        <v>38.404571281533798</v>
      </c>
      <c r="S380" s="21">
        <f t="shared" si="317"/>
        <v>38.404571281533798</v>
      </c>
      <c r="T380" s="21">
        <f t="shared" si="318"/>
        <v>-13.762967463329611</v>
      </c>
      <c r="U380" s="88">
        <f t="shared" si="319"/>
        <v>35.853756036456502</v>
      </c>
      <c r="V380" s="86">
        <f t="shared" si="320"/>
        <v>29540.118009999998</v>
      </c>
      <c r="W380" s="85">
        <f t="shared" si="321"/>
        <v>-4225.3239992296285</v>
      </c>
      <c r="X380" s="85">
        <f t="shared" si="322"/>
        <v>11803.764073630975</v>
      </c>
      <c r="Y380" s="90">
        <f t="shared" si="323"/>
        <v>4225.3239992296285</v>
      </c>
      <c r="Z380" s="86">
        <f t="shared" si="324"/>
        <v>-9566.3044200000004</v>
      </c>
      <c r="AA380" s="85">
        <f t="shared" si="325"/>
        <v>-913.46204712425447</v>
      </c>
      <c r="AB380" s="85">
        <f t="shared" si="326"/>
        <v>-994.01324593468962</v>
      </c>
      <c r="AC380" s="90">
        <f t="shared" si="327"/>
        <v>913.46204712425447</v>
      </c>
      <c r="AD380" s="86">
        <f t="shared" si="328"/>
        <v>-29162.914079999999</v>
      </c>
      <c r="AE380" s="85">
        <f t="shared" si="329"/>
        <v>4140.4375383844126</v>
      </c>
      <c r="AF380" s="85">
        <f t="shared" si="330"/>
        <v>-11541.347311748763</v>
      </c>
      <c r="AG380" s="90">
        <f t="shared" si="331"/>
        <v>4140.4375383844126</v>
      </c>
      <c r="AH380" s="86">
        <f t="shared" si="332"/>
        <v>9787.56423</v>
      </c>
      <c r="AI380" s="85">
        <f t="shared" si="333"/>
        <v>6238.0466047659793</v>
      </c>
      <c r="AJ380" s="85">
        <f t="shared" si="334"/>
        <v>6650.6506508179718</v>
      </c>
      <c r="AK380" s="90">
        <f t="shared" si="335"/>
        <v>6238.0466047659793</v>
      </c>
      <c r="AM380" s="95">
        <f t="shared" si="339"/>
        <v>0</v>
      </c>
      <c r="AN380" s="95">
        <f t="shared" si="340"/>
        <v>0</v>
      </c>
      <c r="AO380" s="95">
        <f t="shared" si="341"/>
        <v>0</v>
      </c>
      <c r="AP380" s="95">
        <f t="shared" si="342"/>
        <v>0</v>
      </c>
      <c r="AQ380"/>
      <c r="AR380" s="95">
        <f t="shared" si="336"/>
        <v>0</v>
      </c>
      <c r="AS380" s="95">
        <f t="shared" si="337"/>
        <v>0</v>
      </c>
      <c r="AT380" s="95">
        <f>Geraetedaten!$B$94*ABS(SIN(RADIANS($A380)))</f>
        <v>55.188664229976318</v>
      </c>
      <c r="AU380" s="95">
        <f>Geraetedaten!$B$94*ABS(COS(RADIANS($A380)))</f>
        <v>143.77138568056904</v>
      </c>
      <c r="AV380" s="95">
        <f>((h_Aw_Sw+Geraetedaten!$B$18)/1000)*(AR380*AT380+AS380*AU380)/100</f>
        <v>0</v>
      </c>
      <c r="AX380" s="18">
        <f t="shared" si="338"/>
        <v>0.93358042649720152</v>
      </c>
    </row>
    <row r="381" spans="1:50" ht="13.5" x14ac:dyDescent="0.25">
      <c r="A381" s="16">
        <v>340</v>
      </c>
      <c r="B381" s="16">
        <f t="shared" ref="B381:B400" si="346">360-A381+90</f>
        <v>110</v>
      </c>
      <c r="C381" s="19">
        <f t="shared" ref="C381:C400" si="347">$AF$16*ABS(COS(RADIANS(A381)))+$AF$17*ABS(SIN(RADIANS(A381)))+AV381</f>
        <v>49.875554833930195</v>
      </c>
      <c r="D381" s="17">
        <f t="shared" si="343"/>
        <v>30904.103255166072</v>
      </c>
      <c r="E381" s="17">
        <f t="shared" ref="E381:E400" si="348">IF(ISNUMBER(Z381),Z381-C381,"unendlich")</f>
        <v>-9546.5050448339298</v>
      </c>
      <c r="F381" s="17">
        <f t="shared" ref="F381:F400" si="349">IF(ISNUMBER(AD381),AD381-C381,"unendlich")</f>
        <v>-30604.942114833928</v>
      </c>
      <c r="G381" s="17">
        <f t="shared" ref="G381:G400" si="350">IF(ISNUMBER(AH381),AH381-C381,"unendlich")</f>
        <v>9676.4183651660696</v>
      </c>
      <c r="H381" s="17">
        <f t="shared" si="344"/>
        <v>9676.4183651660696</v>
      </c>
      <c r="I381" s="17">
        <f t="shared" ref="I381:I400" si="351">IF(H381+C381=V381,X381,IF(H381+C381=Z381,AB381,IF(H381+C381=AD381,AF381,IF(H381+C381=AH381,AJ381,"???"))))</f>
        <v>6609.0174659896902</v>
      </c>
      <c r="J381" s="20">
        <f>(Geraetedaten!$B$152+(Geraetedaten!$B$153*(Geraetedaten!$B$18+d_y_Sw)/1000))*10</f>
        <v>6051.0442000000003</v>
      </c>
      <c r="K381" s="20">
        <f>(Geraetedaten!$B$165+(Geraetedaten!$B$166*(Geraetedaten!$B$18+d_y_Sw)/1000))*10</f>
        <v>10816.164000000001</v>
      </c>
      <c r="L381" s="20">
        <f>(Geraetedaten!$B$158+(Geraetedaten!$B$159*(Geraetedaten!$B$18+d_y_Sw)/1000)-(Geraetedaten!$B$160*I381/1000))*10</f>
        <v>116.89734921897589</v>
      </c>
      <c r="M381" s="20">
        <f>(Geraetedaten!$B$171+(Geraetedaten!$B$172*(Geraetedaten!$B$18+d_y_Sw)/1000)-(Geraetedaten!$B$173*I381/1000))*10</f>
        <v>572.89173983172827</v>
      </c>
      <c r="N381" s="20">
        <f>IF((H381-J381)/(K381-J381)*(Geraetedaten!$B$174-Geraetedaten!$B$161)&lt;Geraetedaten!$B$174,(H381-J381)/(K381-J381)*(Geraetedaten!$B$174-Geraetedaten!$B$161),Geraetedaten!$B$174)</f>
        <v>304.3259617662556</v>
      </c>
      <c r="O381" s="20">
        <f>N381/Geraetedaten!$B$174*(M381-L381)+L381+C381</f>
        <v>513.70023276101483</v>
      </c>
      <c r="P381" s="20">
        <f t="shared" si="345"/>
        <v>165.47791805500844</v>
      </c>
      <c r="Q381" s="20"/>
      <c r="R381" s="21">
        <f>(N381-Geraetedaten!$B$161)/(Geraetedaten!$B$174-Geraetedaten!$B$161)*(Geraetedaten!$B$175-Geraetedaten!$B$162)+Geraetedaten!$B$162</f>
        <v>38.253697362546106</v>
      </c>
      <c r="S381" s="21">
        <f t="shared" ref="S381:S400" si="352">SQRT((r_K_D/1000)^2+R381^2-(2*(r_K_D/1000)*R381*COS(RADIANS(2*A381))))</f>
        <v>38.253697362546106</v>
      </c>
      <c r="T381" s="21">
        <f t="shared" ref="T381:T400" si="353">S381*SIN(A381*Const_2)</f>
        <v>-13.083535054674771</v>
      </c>
      <c r="U381" s="88">
        <f t="shared" ref="U381:U400" si="354">S381*COS(A381*Const_2)</f>
        <v>35.946717129361943</v>
      </c>
      <c r="V381" s="86">
        <f t="shared" ref="V381:V400" si="355">ROUND((F_S*r_Su_L-F_G*W381+F_SSw*Y381)/(SIN(RADIANS(270+g_L-A381)))/1000,5)</f>
        <v>30953.978810000001</v>
      </c>
      <c r="W381" s="85">
        <f t="shared" ref="W381:W400" si="356">(SIN(RADIANS(g_L)))*(((VL_Z-HL_Z)/(VL_X-HL_X))*(-HL_X+AN381)+HL_Z-AM381)</f>
        <v>-4225.3239992296285</v>
      </c>
      <c r="X381" s="85">
        <f t="shared" ref="X381:X400" si="357">W381/(SIN(RADIANS(180-g_L-(90-$A381))))</f>
        <v>12368.720491016349</v>
      </c>
      <c r="Y381" s="90">
        <f t="shared" ref="Y381:Y400" si="358">SIN(RADIANS(g_L))*(((VL_Z-HL_Z)/(VL_X-HL_X))*(-AP381+HL_X)-HL_Z+AO381)</f>
        <v>4225.3239992296285</v>
      </c>
      <c r="Z381" s="86">
        <f t="shared" ref="Z381:Z400" si="359">ROUND((F_S*r_Su_H-F_G*AA381+F_SSw*AC381)/(SIN(RADIANS(180+g_H-A381)))/1000,5)</f>
        <v>-9496.6294899999994</v>
      </c>
      <c r="AA381" s="85">
        <f t="shared" ref="AA381:AA400" si="360">(SIN(RADIANS(g_H)))*(((HL_X-HR_X)/(HL_Z-HR_Z))*(-HR_Z+AM381)+HR_X-AN381)</f>
        <v>-913.46204712425447</v>
      </c>
      <c r="AB381" s="85">
        <f t="shared" ref="AB381:AB400" si="361">AA381/(SIN(RADIANS(g_H-$A381)))</f>
        <v>-986.77348005745421</v>
      </c>
      <c r="AC381" s="90">
        <f t="shared" ref="AC381:AC400" si="362">SIN(RADIANS(g_H))*(((HL_X-HR_X)/(HL_Z-HR_Z))*(-AO381+HR_Z)-HR_X+AP381)</f>
        <v>913.46204712425447</v>
      </c>
      <c r="AD381" s="86">
        <f t="shared" ref="AD381:AD400" si="363">ROUND((F_S*r_Su_R+F_G*AE381+F_SSw*AG381)/(SIN(RADIANS(90+g_R-A381)))/1000,5)</f>
        <v>-30555.066559999999</v>
      </c>
      <c r="AE381" s="85">
        <f t="shared" ref="AE381:AE400" si="364">(SIN(RADIANS(g_R)))*(((HR_Z-VR_Z)/(HR_X-VR_X))*(-VR_X+AN381)+VR_Z-AM381)</f>
        <v>4140.4375383844126</v>
      </c>
      <c r="AF381" s="85">
        <f t="shared" ref="AF381:AF400" si="365">AE381/(SIN(RADIANS(180-g_R-(90-$A381))))</f>
        <v>-12092.297579274686</v>
      </c>
      <c r="AG381" s="90">
        <f t="shared" ref="AG381:AG400" si="366">(SIN(RADIANS(g_R)))*(((HR_Z-VR_Z)/(HR_X-VR_X))*(-VR_X+AP381)+VR_Z-AO381)</f>
        <v>4140.4375383844126</v>
      </c>
      <c r="AH381" s="86">
        <f t="shared" ref="AH381:AH400" si="367">ROUND((F_S*r_Su_V+F_G*AI381+F_SSw*AK381)/(SIN(RADIANS(g_V-A381)))/1000,5)</f>
        <v>9726.2939200000001</v>
      </c>
      <c r="AI381" s="85">
        <f t="shared" ref="AI381:AI400" si="368">(SIN(RADIANS(g_V)))*(((VR_X-VL_X)/(VR_Z-VL_Z))*(AM381-VL_Z)+VL_X-AN381)</f>
        <v>6238.0466047659793</v>
      </c>
      <c r="AJ381" s="85">
        <f t="shared" ref="AJ381:AJ400" si="369">AI381/(SIN(RADIANS(g_V-$A381)))</f>
        <v>6609.0174659896902</v>
      </c>
      <c r="AK381" s="90">
        <f t="shared" ref="AK381:AK400" si="370">(SIN(RADIANS(g_V)))*(((VR_X-VL_X)/(VR_Z-VL_Z))*(-VL_Z+AO381)+VL_X-AP381)</f>
        <v>6238.0466047659793</v>
      </c>
      <c r="AM381" s="95">
        <f t="shared" si="339"/>
        <v>0</v>
      </c>
      <c r="AN381" s="95">
        <f t="shared" si="340"/>
        <v>0</v>
      </c>
      <c r="AO381" s="95">
        <f t="shared" si="341"/>
        <v>0</v>
      </c>
      <c r="AP381" s="95">
        <f t="shared" si="342"/>
        <v>0</v>
      </c>
      <c r="AQ381"/>
      <c r="AR381" s="95">
        <f t="shared" ref="AR381:AR400" si="371">MAX(d_y_Sw*(r_K_D*ABS(COS(RADIANS($A381)))+_r1_Sw+_r2_Sw), 2*_r1_Sw*d_y_Sw)/1000000</f>
        <v>0</v>
      </c>
      <c r="AS381" s="95">
        <f t="shared" ref="AS381:AS400" si="372">MAX(d_y_Sw*(r_K_D*ABS(SIN(RADIANS($A381)))+_r1_Sw+_r2_Sw), 2*_r1_Sw*d_y_Sw)/1000000</f>
        <v>0</v>
      </c>
      <c r="AT381" s="95">
        <f>Geraetedaten!$B$94*ABS(SIN(RADIANS($A381)))</f>
        <v>52.671102072152962</v>
      </c>
      <c r="AU381" s="95">
        <f>Geraetedaten!$B$94*ABS(COS(RADIANS($A381)))</f>
        <v>144.7126636010299</v>
      </c>
      <c r="AV381" s="95">
        <f>((h_Aw_Sw+Geraetedaten!$B$18)/1000)*(AR381*AT381+AS381*AU381)/100</f>
        <v>0</v>
      </c>
      <c r="AX381" s="18">
        <f t="shared" si="338"/>
        <v>0.93969262078590843</v>
      </c>
    </row>
    <row r="382" spans="1:50" ht="13.5" x14ac:dyDescent="0.25">
      <c r="A382" s="16">
        <v>341</v>
      </c>
      <c r="B382" s="16">
        <f t="shared" si="346"/>
        <v>109</v>
      </c>
      <c r="C382" s="19">
        <f t="shared" si="347"/>
        <v>49.004531136759482</v>
      </c>
      <c r="D382" s="17">
        <f t="shared" si="343"/>
        <v>32471.383978863239</v>
      </c>
      <c r="E382" s="17">
        <f t="shared" si="348"/>
        <v>-9479.818631136759</v>
      </c>
      <c r="F382" s="17">
        <f t="shared" si="349"/>
        <v>-32146.068411136763</v>
      </c>
      <c r="G382" s="17">
        <f t="shared" si="350"/>
        <v>9619.7082688632399</v>
      </c>
      <c r="H382" s="17">
        <f t="shared" si="344"/>
        <v>9619.7082688632399</v>
      </c>
      <c r="I382" s="17">
        <f t="shared" si="351"/>
        <v>6569.8910898401027</v>
      </c>
      <c r="J382" s="20">
        <f>(Geraetedaten!$B$152+(Geraetedaten!$B$153*(Geraetedaten!$B$18+d_y_Sw)/1000))*10</f>
        <v>6051.0442000000003</v>
      </c>
      <c r="K382" s="20">
        <f>(Geraetedaten!$B$165+(Geraetedaten!$B$166*(Geraetedaten!$B$18+d_y_Sw)/1000))*10</f>
        <v>10816.164000000001</v>
      </c>
      <c r="L382" s="20">
        <f>(Geraetedaten!$B$158+(Geraetedaten!$B$159*(Geraetedaten!$B$18+d_y_Sw)/1000)-(Geraetedaten!$B$160*I382/1000))*10</f>
        <v>119.76648638202512</v>
      </c>
      <c r="M382" s="20">
        <f>(Geraetedaten!$B$171+(Geraetedaten!$B$172*(Geraetedaten!$B$18+d_y_Sw)/1000)-(Geraetedaten!$B$173*I382/1000))*10</f>
        <v>575.80430727230362</v>
      </c>
      <c r="N382" s="20">
        <f>IF((H382-J382)/(K382-J382)*(Geraetedaten!$B$174-Geraetedaten!$B$161)&lt;Geraetedaten!$B$174,(H382-J382)/(K382-J382)*(Geraetedaten!$B$174-Geraetedaten!$B$161),Geraetedaten!$B$174)</f>
        <v>299.56552772194641</v>
      </c>
      <c r="O382" s="20">
        <f>N382/Geraetedaten!$B$174*(M382-L382)+L382+C382</f>
        <v>510.30404370919143</v>
      </c>
      <c r="P382" s="20">
        <f t="shared" si="345"/>
        <v>164.91807251611274</v>
      </c>
      <c r="Q382" s="20"/>
      <c r="R382" s="21">
        <f>(N382-Geraetedaten!$B$161)/(Geraetedaten!$B$174-Geraetedaten!$B$161)*(Geraetedaten!$B$175-Geraetedaten!$B$162)+Geraetedaten!$B$162</f>
        <v>38.112074449727906</v>
      </c>
      <c r="S382" s="21">
        <f t="shared" si="352"/>
        <v>38.112074449727906</v>
      </c>
      <c r="T382" s="21">
        <f t="shared" si="353"/>
        <v>-12.40807774113167</v>
      </c>
      <c r="U382" s="88">
        <f t="shared" si="354"/>
        <v>36.035674346841844</v>
      </c>
      <c r="V382" s="86">
        <f t="shared" si="355"/>
        <v>32520.388510000001</v>
      </c>
      <c r="W382" s="85">
        <f t="shared" si="356"/>
        <v>-4225.3239992296285</v>
      </c>
      <c r="X382" s="85">
        <f t="shared" si="357"/>
        <v>12994.633040261278</v>
      </c>
      <c r="Y382" s="90">
        <f t="shared" si="358"/>
        <v>4225.3239992296285</v>
      </c>
      <c r="Z382" s="86">
        <f t="shared" si="359"/>
        <v>-9430.8140999999996</v>
      </c>
      <c r="AA382" s="85">
        <f t="shared" si="360"/>
        <v>-913.46204712425447</v>
      </c>
      <c r="AB382" s="85">
        <f t="shared" si="361"/>
        <v>-979.93475068272971</v>
      </c>
      <c r="AC382" s="90">
        <f t="shared" si="362"/>
        <v>913.46204712425447</v>
      </c>
      <c r="AD382" s="86">
        <f t="shared" si="363"/>
        <v>-32097.063880000002</v>
      </c>
      <c r="AE382" s="85">
        <f t="shared" si="364"/>
        <v>4140.4375383844126</v>
      </c>
      <c r="AF382" s="85">
        <f t="shared" si="365"/>
        <v>-12702.549576659125</v>
      </c>
      <c r="AG382" s="90">
        <f t="shared" si="366"/>
        <v>4140.4375383844126</v>
      </c>
      <c r="AH382" s="86">
        <f t="shared" si="367"/>
        <v>9668.7127999999993</v>
      </c>
      <c r="AI382" s="85">
        <f t="shared" si="368"/>
        <v>6238.0466047659793</v>
      </c>
      <c r="AJ382" s="85">
        <f t="shared" si="369"/>
        <v>6569.8910898401027</v>
      </c>
      <c r="AK382" s="90">
        <f t="shared" si="370"/>
        <v>6238.0466047659793</v>
      </c>
      <c r="AM382" s="95">
        <f t="shared" si="339"/>
        <v>0</v>
      </c>
      <c r="AN382" s="95">
        <f t="shared" si="340"/>
        <v>0</v>
      </c>
      <c r="AO382" s="95">
        <f t="shared" si="341"/>
        <v>0</v>
      </c>
      <c r="AP382" s="95">
        <f t="shared" si="342"/>
        <v>0</v>
      </c>
      <c r="AQ382"/>
      <c r="AR382" s="95">
        <f t="shared" si="371"/>
        <v>0</v>
      </c>
      <c r="AS382" s="95">
        <f t="shared" si="372"/>
        <v>0</v>
      </c>
      <c r="AT382" s="95">
        <f>Geraetedaten!$B$94*ABS(SIN(RADIANS($A382)))</f>
        <v>50.137495786402134</v>
      </c>
      <c r="AU382" s="95">
        <f>Geraetedaten!$B$94*ABS(COS(RADIANS($A382)))</f>
        <v>145.60986064229479</v>
      </c>
      <c r="AV382" s="95">
        <f>((h_Aw_Sw+Geraetedaten!$B$18)/1000)*(AR382*AT382+AS382*AU382)/100</f>
        <v>0</v>
      </c>
      <c r="AX382" s="18">
        <f t="shared" si="338"/>
        <v>0.94551857559931685</v>
      </c>
    </row>
    <row r="383" spans="1:50" ht="13.5" x14ac:dyDescent="0.25">
      <c r="A383" s="16">
        <v>342</v>
      </c>
      <c r="B383" s="16">
        <f t="shared" si="346"/>
        <v>108</v>
      </c>
      <c r="C383" s="19">
        <f t="shared" si="347"/>
        <v>48.118580184686962</v>
      </c>
      <c r="D383" s="17">
        <f t="shared" si="343"/>
        <v>34216.658189815309</v>
      </c>
      <c r="E383" s="17">
        <f t="shared" si="348"/>
        <v>-9416.8574301846875</v>
      </c>
      <c r="F383" s="17">
        <f t="shared" si="349"/>
        <v>-33861.936500184689</v>
      </c>
      <c r="G383" s="17">
        <f t="shared" si="350"/>
        <v>9566.6023598153115</v>
      </c>
      <c r="H383" s="17">
        <f t="shared" si="344"/>
        <v>9566.6023598153115</v>
      </c>
      <c r="I383" s="17">
        <f t="shared" si="351"/>
        <v>6533.2036201572228</v>
      </c>
      <c r="J383" s="20">
        <f>(Geraetedaten!$B$152+(Geraetedaten!$B$153*(Geraetedaten!$B$18+d_y_Sw)/1000))*10</f>
        <v>6051.0442000000003</v>
      </c>
      <c r="K383" s="20">
        <f>(Geraetedaten!$B$165+(Geraetedaten!$B$166*(Geraetedaten!$B$18+d_y_Sw)/1000))*10</f>
        <v>10816.164000000001</v>
      </c>
      <c r="L383" s="20">
        <f>(Geraetedaten!$B$158+(Geraetedaten!$B$159*(Geraetedaten!$B$18+d_y_Sw)/1000)-(Geraetedaten!$B$160*I383/1000))*10</f>
        <v>122.45677853387065</v>
      </c>
      <c r="M383" s="20">
        <f>(Geraetedaten!$B$171+(Geraetedaten!$B$172*(Geraetedaten!$B$18+d_y_Sw)/1000)-(Geraetedaten!$B$173*I383/1000))*10</f>
        <v>578.53532251549711</v>
      </c>
      <c r="N383" s="20">
        <f>IF((H383-J383)/(K383-J383)*(Geraetedaten!$B$174-Geraetedaten!$B$161)&lt;Geraetedaten!$B$174,(H383-J383)/(K383-J383)*(Geraetedaten!$B$174-Geraetedaten!$B$161),Geraetedaten!$B$174)</f>
        <v>295.10764113970953</v>
      </c>
      <c r="O383" s="20">
        <f>N383/Geraetedaten!$B$174*(M383-L383)+L383+C383</f>
        <v>507.0560169406852</v>
      </c>
      <c r="P383" s="20">
        <f t="shared" si="345"/>
        <v>164.36830943213749</v>
      </c>
      <c r="Q383" s="20"/>
      <c r="R383" s="21">
        <f>(N383-Geraetedaten!$B$161)/(Geraetedaten!$B$174-Geraetedaten!$B$161)*(Geraetedaten!$B$175-Geraetedaten!$B$162)+Geraetedaten!$B$162</f>
        <v>37.979452323906358</v>
      </c>
      <c r="S383" s="21">
        <f t="shared" si="352"/>
        <v>37.979452323906358</v>
      </c>
      <c r="T383" s="21">
        <f t="shared" si="353"/>
        <v>-11.736296205140162</v>
      </c>
      <c r="U383" s="88">
        <f t="shared" si="354"/>
        <v>36.120605617972252</v>
      </c>
      <c r="V383" s="86">
        <f t="shared" si="355"/>
        <v>34264.776769999997</v>
      </c>
      <c r="W383" s="85">
        <f t="shared" si="356"/>
        <v>-4225.3239992296285</v>
      </c>
      <c r="X383" s="85">
        <f t="shared" si="357"/>
        <v>13691.663008059248</v>
      </c>
      <c r="Y383" s="90">
        <f t="shared" si="358"/>
        <v>4225.3239992296285</v>
      </c>
      <c r="Z383" s="86">
        <f t="shared" si="359"/>
        <v>-9368.7388499999997</v>
      </c>
      <c r="AA383" s="85">
        <f t="shared" si="360"/>
        <v>-913.46204712425447</v>
      </c>
      <c r="AB383" s="85">
        <f t="shared" si="361"/>
        <v>-973.48465098926715</v>
      </c>
      <c r="AC383" s="90">
        <f t="shared" si="362"/>
        <v>913.46204712425447</v>
      </c>
      <c r="AD383" s="86">
        <f t="shared" si="363"/>
        <v>-33813.817920000001</v>
      </c>
      <c r="AE383" s="85">
        <f t="shared" si="364"/>
        <v>4140.4375383844126</v>
      </c>
      <c r="AF383" s="85">
        <f t="shared" si="365"/>
        <v>-13381.962293663608</v>
      </c>
      <c r="AG383" s="90">
        <f t="shared" si="366"/>
        <v>4140.4375383844126</v>
      </c>
      <c r="AH383" s="86">
        <f t="shared" si="367"/>
        <v>9614.7209399999992</v>
      </c>
      <c r="AI383" s="85">
        <f t="shared" si="368"/>
        <v>6238.0466047659793</v>
      </c>
      <c r="AJ383" s="85">
        <f t="shared" si="369"/>
        <v>6533.2036201572228</v>
      </c>
      <c r="AK383" s="90">
        <f t="shared" si="370"/>
        <v>6238.0466047659793</v>
      </c>
      <c r="AM383" s="95">
        <f t="shared" si="339"/>
        <v>0</v>
      </c>
      <c r="AN383" s="95">
        <f t="shared" si="340"/>
        <v>0</v>
      </c>
      <c r="AO383" s="95">
        <f t="shared" si="341"/>
        <v>0</v>
      </c>
      <c r="AP383" s="95">
        <f t="shared" si="342"/>
        <v>0</v>
      </c>
      <c r="AQ383"/>
      <c r="AR383" s="95">
        <f t="shared" si="371"/>
        <v>0</v>
      </c>
      <c r="AS383" s="95">
        <f t="shared" si="372"/>
        <v>0</v>
      </c>
      <c r="AT383" s="95">
        <f>Geraetedaten!$B$94*ABS(SIN(RADIANS($A383)))</f>
        <v>47.588617133741934</v>
      </c>
      <c r="AU383" s="95">
        <f>Geraetedaten!$B$94*ABS(COS(RADIANS($A383)))</f>
        <v>146.46270350945363</v>
      </c>
      <c r="AV383" s="95">
        <f>((h_Aw_Sw+Geraetedaten!$B$18)/1000)*(AR383*AT383+AS383*AU383)/100</f>
        <v>0</v>
      </c>
      <c r="AX383" s="18">
        <f t="shared" si="338"/>
        <v>0.95105651629515353</v>
      </c>
    </row>
    <row r="384" spans="1:50" ht="13.5" x14ac:dyDescent="0.25">
      <c r="A384" s="16">
        <v>343</v>
      </c>
      <c r="B384" s="16">
        <f t="shared" si="346"/>
        <v>107</v>
      </c>
      <c r="C384" s="19">
        <f t="shared" si="347"/>
        <v>47.217971846955038</v>
      </c>
      <c r="D384" s="17">
        <f t="shared" si="343"/>
        <v>36171.349288153047</v>
      </c>
      <c r="E384" s="17">
        <f t="shared" si="348"/>
        <v>-9357.5108718469546</v>
      </c>
      <c r="F384" s="17">
        <f t="shared" si="349"/>
        <v>-35783.313961846958</v>
      </c>
      <c r="G384" s="17">
        <f t="shared" si="350"/>
        <v>9517.0079481530465</v>
      </c>
      <c r="H384" s="17">
        <f t="shared" si="344"/>
        <v>9517.0079481530465</v>
      </c>
      <c r="I384" s="17">
        <f t="shared" si="351"/>
        <v>6498.8922464947191</v>
      </c>
      <c r="J384" s="20">
        <f>(Geraetedaten!$B$152+(Geraetedaten!$B$153*(Geraetedaten!$B$18+d_y_Sw)/1000))*10</f>
        <v>6051.0442000000003</v>
      </c>
      <c r="K384" s="20">
        <f>(Geraetedaten!$B$165+(Geraetedaten!$B$166*(Geraetedaten!$B$18+d_y_Sw)/1000))*10</f>
        <v>10816.164000000001</v>
      </c>
      <c r="L384" s="20">
        <f>(Geraetedaten!$B$158+(Geraetedaten!$B$159*(Geraetedaten!$B$18+d_y_Sw)/1000)-(Geraetedaten!$B$160*I384/1000))*10</f>
        <v>124.97283156454209</v>
      </c>
      <c r="M384" s="20">
        <f>(Geraetedaten!$B$171+(Geraetedaten!$B$172*(Geraetedaten!$B$18+d_y_Sw)/1000)-(Geraetedaten!$B$173*I384/1000))*10</f>
        <v>581.08946117093399</v>
      </c>
      <c r="N384" s="20">
        <f>IF((H384-J384)/(K384-J384)*(Geraetedaten!$B$174-Geraetedaten!$B$161)&lt;Geraetedaten!$B$174,(H384-J384)/(K384-J384)*(Geraetedaten!$B$174-Geraetedaten!$B$161),Geraetedaten!$B$174)</f>
        <v>290.94452132372794</v>
      </c>
      <c r="O384" s="20">
        <f>N384/Geraetedaten!$B$174*(M384-L384)+L384+C384</f>
        <v>503.95238958305663</v>
      </c>
      <c r="P384" s="20">
        <f t="shared" si="345"/>
        <v>163.82872444098385</v>
      </c>
      <c r="Q384" s="20"/>
      <c r="R384" s="21">
        <f>(N384-Geraetedaten!$B$161)/(Geraetedaten!$B$174-Geraetedaten!$B$161)*(Geraetedaten!$B$175-Geraetedaten!$B$162)+Geraetedaten!$B$162</f>
        <v>37.855599509380909</v>
      </c>
      <c r="S384" s="21">
        <f t="shared" si="352"/>
        <v>37.855599509380909</v>
      </c>
      <c r="T384" s="21">
        <f t="shared" si="353"/>
        <v>-11.067906161858909</v>
      </c>
      <c r="U384" s="88">
        <f t="shared" si="354"/>
        <v>36.201489850652912</v>
      </c>
      <c r="V384" s="86">
        <f t="shared" si="355"/>
        <v>36218.567260000003</v>
      </c>
      <c r="W384" s="85">
        <f t="shared" si="356"/>
        <v>-4225.3239992296285</v>
      </c>
      <c r="X384" s="85">
        <f t="shared" si="357"/>
        <v>14472.366793162291</v>
      </c>
      <c r="Y384" s="90">
        <f t="shared" si="358"/>
        <v>4225.3239992296285</v>
      </c>
      <c r="Z384" s="86">
        <f t="shared" si="359"/>
        <v>-9310.2929000000004</v>
      </c>
      <c r="AA384" s="85">
        <f t="shared" si="360"/>
        <v>-913.46204712425447</v>
      </c>
      <c r="AB384" s="85">
        <f t="shared" si="361"/>
        <v>-967.41166338244795</v>
      </c>
      <c r="AC384" s="90">
        <f t="shared" si="362"/>
        <v>913.46204712425447</v>
      </c>
      <c r="AD384" s="86">
        <f t="shared" si="363"/>
        <v>-35736.095990000002</v>
      </c>
      <c r="AE384" s="85">
        <f t="shared" si="364"/>
        <v>4140.4375383844126</v>
      </c>
      <c r="AF384" s="85">
        <f t="shared" si="365"/>
        <v>-14142.712016561671</v>
      </c>
      <c r="AG384" s="90">
        <f t="shared" si="366"/>
        <v>4140.4375383844126</v>
      </c>
      <c r="AH384" s="86">
        <f t="shared" si="367"/>
        <v>9564.2259200000008</v>
      </c>
      <c r="AI384" s="85">
        <f t="shared" si="368"/>
        <v>6238.0466047659793</v>
      </c>
      <c r="AJ384" s="85">
        <f t="shared" si="369"/>
        <v>6498.8922464947191</v>
      </c>
      <c r="AK384" s="90">
        <f t="shared" si="370"/>
        <v>6238.0466047659793</v>
      </c>
      <c r="AM384" s="95">
        <f t="shared" si="339"/>
        <v>0</v>
      </c>
      <c r="AN384" s="95">
        <f t="shared" si="340"/>
        <v>0</v>
      </c>
      <c r="AO384" s="95">
        <f t="shared" si="341"/>
        <v>0</v>
      </c>
      <c r="AP384" s="95">
        <f t="shared" si="342"/>
        <v>0</v>
      </c>
      <c r="AQ384"/>
      <c r="AR384" s="95">
        <f t="shared" si="371"/>
        <v>0</v>
      </c>
      <c r="AS384" s="95">
        <f t="shared" si="372"/>
        <v>0</v>
      </c>
      <c r="AT384" s="95">
        <f>Geraetedaten!$B$94*ABS(SIN(RADIANS($A384)))</f>
        <v>45.025242527301522</v>
      </c>
      <c r="AU384" s="95">
        <f>Geraetedaten!$B$94*ABS(COS(RADIANS($A384)))</f>
        <v>147.27093241830744</v>
      </c>
      <c r="AV384" s="95">
        <f>((h_Aw_Sw+Geraetedaten!$B$18)/1000)*(AR384*AT384+AS384*AU384)/100</f>
        <v>0</v>
      </c>
      <c r="AX384" s="18">
        <f t="shared" si="338"/>
        <v>0.95630475596303532</v>
      </c>
    </row>
    <row r="385" spans="1:50" ht="13.5" x14ac:dyDescent="0.25">
      <c r="A385" s="16">
        <v>344</v>
      </c>
      <c r="B385" s="16">
        <f t="shared" si="346"/>
        <v>106</v>
      </c>
      <c r="C385" s="19">
        <f t="shared" si="347"/>
        <v>46.302980457587722</v>
      </c>
      <c r="D385" s="17">
        <f t="shared" si="343"/>
        <v>38374.750659542413</v>
      </c>
      <c r="E385" s="17">
        <f t="shared" si="348"/>
        <v>-9301.6764304575863</v>
      </c>
      <c r="F385" s="17">
        <f t="shared" si="349"/>
        <v>-37948.650860457587</v>
      </c>
      <c r="G385" s="17">
        <f t="shared" si="350"/>
        <v>9470.8393895424124</v>
      </c>
      <c r="H385" s="17">
        <f t="shared" si="344"/>
        <v>9470.8393895424124</v>
      </c>
      <c r="I385" s="17">
        <f t="shared" si="351"/>
        <v>6466.898974636295</v>
      </c>
      <c r="J385" s="20">
        <f>(Geraetedaten!$B$152+(Geraetedaten!$B$153*(Geraetedaten!$B$18+d_y_Sw)/1000))*10</f>
        <v>6051.0442000000003</v>
      </c>
      <c r="K385" s="20">
        <f>(Geraetedaten!$B$165+(Geraetedaten!$B$166*(Geraetedaten!$B$18+d_y_Sw)/1000))*10</f>
        <v>10816.164000000001</v>
      </c>
      <c r="L385" s="20">
        <f>(Geraetedaten!$B$158+(Geraetedaten!$B$159*(Geraetedaten!$B$18+d_y_Sw)/1000)-(Geraetedaten!$B$160*I385/1000))*10</f>
        <v>127.31889818992038</v>
      </c>
      <c r="M385" s="20">
        <f>(Geraetedaten!$B$171+(Geraetedaten!$B$172*(Geraetedaten!$B$18+d_y_Sw)/1000)-(Geraetedaten!$B$173*I385/1000))*10</f>
        <v>583.47104032807499</v>
      </c>
      <c r="N385" s="20">
        <f>IF((H385-J385)/(K385-J385)*(Geraetedaten!$B$174-Geraetedaten!$B$161)&lt;Geraetedaten!$B$174,(H385-J385)/(K385-J385)*(Geraetedaten!$B$174-Geraetedaten!$B$161),Geraetedaten!$B$174)</f>
        <v>287.06897900383632</v>
      </c>
      <c r="O385" s="20">
        <f>N385/Geraetedaten!$B$174*(M385-L385)+L385+C385</f>
        <v>500.98970293254024</v>
      </c>
      <c r="P385" s="20">
        <f t="shared" si="345"/>
        <v>163.29942250033289</v>
      </c>
      <c r="Q385" s="20"/>
      <c r="R385" s="21">
        <f>(N385-Geraetedaten!$B$161)/(Geraetedaten!$B$174-Geraetedaten!$B$161)*(Geraetedaten!$B$175-Geraetedaten!$B$162)+Geraetedaten!$B$162</f>
        <v>37.740302125364131</v>
      </c>
      <c r="S385" s="21">
        <f t="shared" si="352"/>
        <v>37.740302125364131</v>
      </c>
      <c r="T385" s="21">
        <f t="shared" si="353"/>
        <v>-10.402637085570035</v>
      </c>
      <c r="U385" s="88">
        <f t="shared" si="354"/>
        <v>36.278306826252063</v>
      </c>
      <c r="V385" s="86">
        <f t="shared" si="355"/>
        <v>38421.053639999998</v>
      </c>
      <c r="W385" s="85">
        <f t="shared" si="356"/>
        <v>-4225.3239992296285</v>
      </c>
      <c r="X385" s="85">
        <f t="shared" si="357"/>
        <v>15352.445527078284</v>
      </c>
      <c r="Y385" s="90">
        <f t="shared" si="358"/>
        <v>4225.3239992296285</v>
      </c>
      <c r="Z385" s="86">
        <f t="shared" si="359"/>
        <v>-9255.3734499999991</v>
      </c>
      <c r="AA385" s="85">
        <f t="shared" si="360"/>
        <v>-913.46204712425447</v>
      </c>
      <c r="AB385" s="85">
        <f t="shared" si="361"/>
        <v>-961.70510599228714</v>
      </c>
      <c r="AC385" s="90">
        <f t="shared" si="362"/>
        <v>913.46204712425447</v>
      </c>
      <c r="AD385" s="86">
        <f t="shared" si="363"/>
        <v>-37902.347880000001</v>
      </c>
      <c r="AE385" s="85">
        <f t="shared" si="364"/>
        <v>4140.4375383844126</v>
      </c>
      <c r="AF385" s="85">
        <f t="shared" si="365"/>
        <v>-15000.015415900501</v>
      </c>
      <c r="AG385" s="90">
        <f t="shared" si="366"/>
        <v>4140.4375383844126</v>
      </c>
      <c r="AH385" s="86">
        <f t="shared" si="367"/>
        <v>9517.1423699999996</v>
      </c>
      <c r="AI385" s="85">
        <f t="shared" si="368"/>
        <v>6238.0466047659793</v>
      </c>
      <c r="AJ385" s="85">
        <f t="shared" si="369"/>
        <v>6466.898974636295</v>
      </c>
      <c r="AK385" s="90">
        <f t="shared" si="370"/>
        <v>6238.0466047659793</v>
      </c>
      <c r="AM385" s="95">
        <f t="shared" si="339"/>
        <v>0</v>
      </c>
      <c r="AN385" s="95">
        <f t="shared" si="340"/>
        <v>0</v>
      </c>
      <c r="AO385" s="95">
        <f t="shared" si="341"/>
        <v>0</v>
      </c>
      <c r="AP385" s="95">
        <f t="shared" si="342"/>
        <v>0</v>
      </c>
      <c r="AQ385"/>
      <c r="AR385" s="95">
        <f t="shared" si="371"/>
        <v>0</v>
      </c>
      <c r="AS385" s="95">
        <f t="shared" si="372"/>
        <v>0</v>
      </c>
      <c r="AT385" s="95">
        <f>Geraetedaten!$B$94*ABS(SIN(RADIANS($A385)))</f>
        <v>42.44815279581784</v>
      </c>
      <c r="AU385" s="95">
        <f>Geraetedaten!$B$94*ABS(COS(RADIANS($A385)))</f>
        <v>148.03430117450111</v>
      </c>
      <c r="AV385" s="95">
        <f>((h_Aw_Sw+Geraetedaten!$B$18)/1000)*(AR385*AT385+AS385*AU385)/100</f>
        <v>0</v>
      </c>
      <c r="AX385" s="18">
        <f t="shared" si="338"/>
        <v>0.96126169593831889</v>
      </c>
    </row>
    <row r="386" spans="1:50" ht="13.5" x14ac:dyDescent="0.25">
      <c r="A386" s="16">
        <v>345</v>
      </c>
      <c r="B386" s="16">
        <f t="shared" si="346"/>
        <v>105</v>
      </c>
      <c r="C386" s="19">
        <f t="shared" si="347"/>
        <v>45.373884731826017</v>
      </c>
      <c r="D386" s="17">
        <f t="shared" si="343"/>
        <v>40876.653375268179</v>
      </c>
      <c r="E386" s="17">
        <f t="shared" si="348"/>
        <v>-9249.2591447318246</v>
      </c>
      <c r="F386" s="17">
        <f t="shared" si="349"/>
        <v>-40406.636594731826</v>
      </c>
      <c r="G386" s="17">
        <f t="shared" si="350"/>
        <v>9428.0177952681752</v>
      </c>
      <c r="H386" s="17">
        <f t="shared" si="344"/>
        <v>9428.0177952681752</v>
      </c>
      <c r="I386" s="17">
        <f t="shared" si="351"/>
        <v>6437.17037664088</v>
      </c>
      <c r="J386" s="20">
        <f>(Geraetedaten!$B$152+(Geraetedaten!$B$153*(Geraetedaten!$B$18+d_y_Sw)/1000))*10</f>
        <v>6051.0442000000003</v>
      </c>
      <c r="K386" s="20">
        <f>(Geraetedaten!$B$165+(Geraetedaten!$B$166*(Geraetedaten!$B$18+d_y_Sw)/1000))*10</f>
        <v>10816.164000000001</v>
      </c>
      <c r="L386" s="20">
        <f>(Geraetedaten!$B$158+(Geraetedaten!$B$159*(Geraetedaten!$B$18+d_y_Sw)/1000)-(Geraetedaten!$B$160*I386/1000))*10</f>
        <v>129.49889628092407</v>
      </c>
      <c r="M386" s="20">
        <f>(Geraetedaten!$B$171+(Geraetedaten!$B$172*(Geraetedaten!$B$18+d_y_Sw)/1000)-(Geraetedaten!$B$173*I386/1000))*10</f>
        <v>585.68403716285377</v>
      </c>
      <c r="N386" s="20">
        <f>IF((H386-J386)/(K386-J386)*(Geraetedaten!$B$174-Geraetedaten!$B$161)&lt;Geraetedaten!$B$174,(H386-J386)/(K386-J386)*(Geraetedaten!$B$174-Geraetedaten!$B$161),Geraetedaten!$B$174)</f>
        <v>283.47439199897343</v>
      </c>
      <c r="O386" s="20">
        <f>N386/Geraetedaten!$B$174*(M386-L386)+L386+C386</f>
        <v>498.16479463892767</v>
      </c>
      <c r="P386" s="20">
        <f t="shared" si="345"/>
        <v>162.7805193452358</v>
      </c>
      <c r="Q386" s="20"/>
      <c r="R386" s="21">
        <f>(N386-Geraetedaten!$B$161)/(Geraetedaten!$B$174-Geraetedaten!$B$161)*(Geraetedaten!$B$175-Geraetedaten!$B$162)+Geraetedaten!$B$162</f>
        <v>37.633363161969456</v>
      </c>
      <c r="S386" s="21">
        <f t="shared" si="352"/>
        <v>37.633363161969456</v>
      </c>
      <c r="T386" s="21">
        <f t="shared" si="353"/>
        <v>-9.7402311175773129</v>
      </c>
      <c r="U386" s="88">
        <f t="shared" si="354"/>
        <v>36.351037408261931</v>
      </c>
      <c r="V386" s="86">
        <f t="shared" si="355"/>
        <v>40922.027260000003</v>
      </c>
      <c r="W386" s="85">
        <f t="shared" si="356"/>
        <v>-4225.3239992296285</v>
      </c>
      <c r="X386" s="85">
        <f t="shared" si="357"/>
        <v>16351.795040134553</v>
      </c>
      <c r="Y386" s="90">
        <f t="shared" si="358"/>
        <v>4225.3239992296285</v>
      </c>
      <c r="Z386" s="86">
        <f t="shared" si="359"/>
        <v>-9203.8852599999991</v>
      </c>
      <c r="AA386" s="85">
        <f t="shared" si="360"/>
        <v>-913.46204712425447</v>
      </c>
      <c r="AB386" s="85">
        <f t="shared" si="361"/>
        <v>-956.35508405494056</v>
      </c>
      <c r="AC386" s="90">
        <f t="shared" si="362"/>
        <v>913.46204712425447</v>
      </c>
      <c r="AD386" s="86">
        <f t="shared" si="363"/>
        <v>-40361.262710000003</v>
      </c>
      <c r="AE386" s="85">
        <f t="shared" si="364"/>
        <v>4140.4375383844126</v>
      </c>
      <c r="AF386" s="85">
        <f t="shared" si="365"/>
        <v>-15973.141420908561</v>
      </c>
      <c r="AG386" s="90">
        <f t="shared" si="366"/>
        <v>4140.4375383844126</v>
      </c>
      <c r="AH386" s="86">
        <f t="shared" si="367"/>
        <v>9473.3916800000006</v>
      </c>
      <c r="AI386" s="85">
        <f t="shared" si="368"/>
        <v>6238.0466047659793</v>
      </c>
      <c r="AJ386" s="85">
        <f t="shared" si="369"/>
        <v>6437.17037664088</v>
      </c>
      <c r="AK386" s="90">
        <f t="shared" si="370"/>
        <v>6238.0466047659793</v>
      </c>
      <c r="AM386" s="95">
        <f t="shared" si="339"/>
        <v>0</v>
      </c>
      <c r="AN386" s="95">
        <f t="shared" si="340"/>
        <v>0</v>
      </c>
      <c r="AO386" s="95">
        <f t="shared" si="341"/>
        <v>0</v>
      </c>
      <c r="AP386" s="95">
        <f t="shared" si="342"/>
        <v>0</v>
      </c>
      <c r="AQ386"/>
      <c r="AR386" s="95">
        <f t="shared" si="371"/>
        <v>0</v>
      </c>
      <c r="AS386" s="95">
        <f t="shared" si="372"/>
        <v>0</v>
      </c>
      <c r="AT386" s="95">
        <f>Geraetedaten!$B$94*ABS(SIN(RADIANS($A386)))</f>
        <v>39.858132945788185</v>
      </c>
      <c r="AU386" s="95">
        <f>Geraetedaten!$B$94*ABS(COS(RADIANS($A386)))</f>
        <v>148.75257724851653</v>
      </c>
      <c r="AV386" s="95">
        <f>((h_Aw_Sw+Geraetedaten!$B$18)/1000)*(AR386*AT386+AS386*AU386)/100</f>
        <v>0</v>
      </c>
      <c r="AX386" s="18">
        <f t="shared" si="338"/>
        <v>0.96592582628906831</v>
      </c>
    </row>
    <row r="387" spans="1:50" ht="13.5" x14ac:dyDescent="0.25">
      <c r="A387" s="16">
        <v>346</v>
      </c>
      <c r="B387" s="16">
        <f t="shared" si="346"/>
        <v>104</v>
      </c>
      <c r="C387" s="19">
        <f t="shared" si="347"/>
        <v>44.430967681228317</v>
      </c>
      <c r="D387" s="17">
        <f t="shared" si="343"/>
        <v>43741.101922318776</v>
      </c>
      <c r="E387" s="17">
        <f t="shared" si="348"/>
        <v>-9200.1712376812284</v>
      </c>
      <c r="F387" s="17">
        <f t="shared" si="349"/>
        <v>-43219.850697681228</v>
      </c>
      <c r="G387" s="17">
        <f t="shared" si="350"/>
        <v>9388.4706323187711</v>
      </c>
      <c r="H387" s="17">
        <f t="shared" si="344"/>
        <v>9388.4706323187711</v>
      </c>
      <c r="I387" s="17">
        <f t="shared" si="351"/>
        <v>6409.6573643842885</v>
      </c>
      <c r="J387" s="20">
        <f>(Geraetedaten!$B$152+(Geraetedaten!$B$153*(Geraetedaten!$B$18+d_y_Sw)/1000))*10</f>
        <v>6051.0442000000003</v>
      </c>
      <c r="K387" s="20">
        <f>(Geraetedaten!$B$165+(Geraetedaten!$B$166*(Geraetedaten!$B$18+d_y_Sw)/1000))*10</f>
        <v>10816.164000000001</v>
      </c>
      <c r="L387" s="20">
        <f>(Geraetedaten!$B$158+(Geraetedaten!$B$159*(Geraetedaten!$B$18+d_y_Sw)/1000)-(Geraetedaten!$B$160*I387/1000))*10</f>
        <v>131.51642546969995</v>
      </c>
      <c r="M387" s="20">
        <f>(Geraetedaten!$B$171+(Geraetedaten!$B$172*(Geraetedaten!$B$18+d_y_Sw)/1000)-(Geraetedaten!$B$173*I387/1000))*10</f>
        <v>587.73210579523436</v>
      </c>
      <c r="N387" s="20">
        <f>IF((H387-J387)/(K387-J387)*(Geraetedaten!$B$174-Geraetedaten!$B$161)&lt;Geraetedaten!$B$174,(H387-J387)/(K387-J387)*(Geraetedaten!$B$174-Geraetedaten!$B$161),Geraetedaten!$B$174)</f>
        <v>280.15467164697691</v>
      </c>
      <c r="O387" s="20">
        <f>N387/Geraetedaten!$B$174*(M387-L387)+L387+C387</f>
        <v>495.47477845543398</v>
      </c>
      <c r="P387" s="20">
        <f t="shared" si="345"/>
        <v>162.27214032049909</v>
      </c>
      <c r="Q387" s="20"/>
      <c r="R387" s="21">
        <f>(N387-Geraetedaten!$B$161)/(Geraetedaten!$B$174-Geraetedaten!$B$161)*(Geraetedaten!$B$175-Geraetedaten!$B$162)+Geraetedaten!$B$162</f>
        <v>37.53460148149756</v>
      </c>
      <c r="S387" s="21">
        <f t="shared" si="352"/>
        <v>37.53460148149756</v>
      </c>
      <c r="T387" s="21">
        <f t="shared" si="353"/>
        <v>-9.0804419409819914</v>
      </c>
      <c r="U387" s="88">
        <f t="shared" si="354"/>
        <v>36.419663404969768</v>
      </c>
      <c r="V387" s="86">
        <f t="shared" si="355"/>
        <v>43785.532890000002</v>
      </c>
      <c r="W387" s="85">
        <f t="shared" si="356"/>
        <v>-4225.3239992296285</v>
      </c>
      <c r="X387" s="85">
        <f t="shared" si="357"/>
        <v>17496.006611863861</v>
      </c>
      <c r="Y387" s="90">
        <f t="shared" si="358"/>
        <v>4225.3239992296285</v>
      </c>
      <c r="Z387" s="86">
        <f t="shared" si="359"/>
        <v>-9155.7402700000002</v>
      </c>
      <c r="AA387" s="85">
        <f t="shared" si="360"/>
        <v>-913.46204712425447</v>
      </c>
      <c r="AB387" s="85">
        <f t="shared" si="361"/>
        <v>-951.35244574497472</v>
      </c>
      <c r="AC387" s="90">
        <f t="shared" si="362"/>
        <v>913.46204712425447</v>
      </c>
      <c r="AD387" s="86">
        <f t="shared" si="363"/>
        <v>-43175.419730000001</v>
      </c>
      <c r="AE387" s="85">
        <f t="shared" si="364"/>
        <v>4140.4375383844126</v>
      </c>
      <c r="AF387" s="85">
        <f t="shared" si="365"/>
        <v>-17086.856033539847</v>
      </c>
      <c r="AG387" s="90">
        <f t="shared" si="366"/>
        <v>4140.4375383844126</v>
      </c>
      <c r="AH387" s="86">
        <f t="shared" si="367"/>
        <v>9432.9015999999992</v>
      </c>
      <c r="AI387" s="85">
        <f t="shared" si="368"/>
        <v>6238.0466047659793</v>
      </c>
      <c r="AJ387" s="85">
        <f t="shared" si="369"/>
        <v>6409.6573643842885</v>
      </c>
      <c r="AK387" s="90">
        <f t="shared" si="370"/>
        <v>6238.0466047659793</v>
      </c>
      <c r="AM387" s="95">
        <f t="shared" si="339"/>
        <v>0</v>
      </c>
      <c r="AN387" s="95">
        <f t="shared" si="340"/>
        <v>0</v>
      </c>
      <c r="AO387" s="95">
        <f t="shared" si="341"/>
        <v>0</v>
      </c>
      <c r="AP387" s="95">
        <f t="shared" si="342"/>
        <v>0</v>
      </c>
      <c r="AQ387"/>
      <c r="AR387" s="95">
        <f t="shared" si="371"/>
        <v>0</v>
      </c>
      <c r="AS387" s="95">
        <f t="shared" si="372"/>
        <v>0</v>
      </c>
      <c r="AT387" s="95">
        <f>Geraetedaten!$B$94*ABS(SIN(RADIANS($A387)))</f>
        <v>37.255971922348849</v>
      </c>
      <c r="AU387" s="95">
        <f>Geraetedaten!$B$94*ABS(COS(RADIANS($A387)))</f>
        <v>149.42554184650345</v>
      </c>
      <c r="AV387" s="95">
        <f>((h_Aw_Sw+Geraetedaten!$B$18)/1000)*(AR387*AT387+AS387*AU387)/100</f>
        <v>0</v>
      </c>
      <c r="AX387" s="18">
        <f t="shared" si="338"/>
        <v>0.97029572627599647</v>
      </c>
    </row>
    <row r="388" spans="1:50" ht="13.5" x14ac:dyDescent="0.25">
      <c r="A388" s="16">
        <v>347</v>
      </c>
      <c r="B388" s="16">
        <f t="shared" si="346"/>
        <v>103</v>
      </c>
      <c r="C388" s="19">
        <f t="shared" si="347"/>
        <v>43.474516527462463</v>
      </c>
      <c r="D388" s="17">
        <f t="shared" si="343"/>
        <v>47051.886753472536</v>
      </c>
      <c r="E388" s="17">
        <f t="shared" si="348"/>
        <v>-9154.3316765274612</v>
      </c>
      <c r="F388" s="17">
        <f t="shared" si="349"/>
        <v>-46470.095556527463</v>
      </c>
      <c r="G388" s="17">
        <f t="shared" si="350"/>
        <v>9352.1314634725386</v>
      </c>
      <c r="H388" s="17">
        <f t="shared" si="344"/>
        <v>9352.1314634725386</v>
      </c>
      <c r="I388" s="17">
        <f t="shared" si="351"/>
        <v>6384.3149847469904</v>
      </c>
      <c r="J388" s="20">
        <f>(Geraetedaten!$B$152+(Geraetedaten!$B$153*(Geraetedaten!$B$18+d_y_Sw)/1000))*10</f>
        <v>6051.0442000000003</v>
      </c>
      <c r="K388" s="20">
        <f>(Geraetedaten!$B$165+(Geraetedaten!$B$166*(Geraetedaten!$B$18+d_y_Sw)/1000))*10</f>
        <v>10816.164000000001</v>
      </c>
      <c r="L388" s="20">
        <f>(Geraetedaten!$B$158+(Geraetedaten!$B$159*(Geraetedaten!$B$18+d_y_Sw)/1000)-(Geraetedaten!$B$160*I388/1000))*10</f>
        <v>133.374782168503</v>
      </c>
      <c r="M388" s="20">
        <f>(Geraetedaten!$B$171+(Geraetedaten!$B$172*(Geraetedaten!$B$18+d_y_Sw)/1000)-(Geraetedaten!$B$173*I388/1000))*10</f>
        <v>589.61859253543491</v>
      </c>
      <c r="N388" s="20">
        <f>IF((H388-J388)/(K388-J388)*(Geraetedaten!$B$174-Geraetedaten!$B$161)&lt;Geraetedaten!$B$174,(H388-J388)/(K388-J388)*(Geraetedaten!$B$174-Geraetedaten!$B$161),Geraetedaten!$B$174)</f>
        <v>277.10424098655722</v>
      </c>
      <c r="O388" s="20">
        <f>N388/Geraetedaten!$B$174*(M388-L388)+L388+C388</f>
        <v>492.91703563732403</v>
      </c>
      <c r="P388" s="20">
        <f t="shared" si="345"/>
        <v>161.77442115601184</v>
      </c>
      <c r="Q388" s="20"/>
      <c r="R388" s="21">
        <f>(N388-Geraetedaten!$B$161)/(Geraetedaten!$B$174-Geraetedaten!$B$161)*(Geraetedaten!$B$175-Geraetedaten!$B$162)+Geraetedaten!$B$162</f>
        <v>37.443851169350076</v>
      </c>
      <c r="S388" s="21">
        <f t="shared" si="352"/>
        <v>37.443851169350076</v>
      </c>
      <c r="T388" s="21">
        <f t="shared" si="353"/>
        <v>-8.4230337992400752</v>
      </c>
      <c r="U388" s="88">
        <f t="shared" si="354"/>
        <v>36.484167689688334</v>
      </c>
      <c r="V388" s="86">
        <f t="shared" si="355"/>
        <v>47095.361270000001</v>
      </c>
      <c r="W388" s="85">
        <f t="shared" si="356"/>
        <v>-4225.3239992296285</v>
      </c>
      <c r="X388" s="85">
        <f t="shared" si="357"/>
        <v>18818.561699306112</v>
      </c>
      <c r="Y388" s="90">
        <f t="shared" si="358"/>
        <v>4225.3239992296285</v>
      </c>
      <c r="Z388" s="86">
        <f t="shared" si="359"/>
        <v>-9110.8571599999996</v>
      </c>
      <c r="AA388" s="85">
        <f t="shared" si="360"/>
        <v>-913.46204712425447</v>
      </c>
      <c r="AB388" s="85">
        <f t="shared" si="361"/>
        <v>-946.68874207425199</v>
      </c>
      <c r="AC388" s="90">
        <f t="shared" si="362"/>
        <v>913.46204712425447</v>
      </c>
      <c r="AD388" s="86">
        <f t="shared" si="363"/>
        <v>-46426.621039999998</v>
      </c>
      <c r="AE388" s="85">
        <f t="shared" si="364"/>
        <v>4140.4375383844126</v>
      </c>
      <c r="AF388" s="85">
        <f t="shared" si="365"/>
        <v>-18373.532785708547</v>
      </c>
      <c r="AG388" s="90">
        <f t="shared" si="366"/>
        <v>4140.4375383844126</v>
      </c>
      <c r="AH388" s="86">
        <f t="shared" si="367"/>
        <v>9395.6059800000003</v>
      </c>
      <c r="AI388" s="85">
        <f t="shared" si="368"/>
        <v>6238.0466047659793</v>
      </c>
      <c r="AJ388" s="85">
        <f t="shared" si="369"/>
        <v>6384.3149847469904</v>
      </c>
      <c r="AK388" s="90">
        <f t="shared" si="370"/>
        <v>6238.0466047659793</v>
      </c>
      <c r="AM388" s="95">
        <f t="shared" si="339"/>
        <v>0</v>
      </c>
      <c r="AN388" s="95">
        <f t="shared" si="340"/>
        <v>0</v>
      </c>
      <c r="AO388" s="95">
        <f t="shared" si="341"/>
        <v>0</v>
      </c>
      <c r="AP388" s="95">
        <f t="shared" si="342"/>
        <v>0</v>
      </c>
      <c r="AQ388"/>
      <c r="AR388" s="95">
        <f t="shared" si="371"/>
        <v>0</v>
      </c>
      <c r="AS388" s="95">
        <f t="shared" si="372"/>
        <v>0</v>
      </c>
      <c r="AT388" s="95">
        <f>Geraetedaten!$B$94*ABS(SIN(RADIANS($A388)))</f>
        <v>34.642462368955265</v>
      </c>
      <c r="AU388" s="95">
        <f>Geraetedaten!$B$94*ABS(COS(RADIANS($A388)))</f>
        <v>150.0529899769262</v>
      </c>
      <c r="AV388" s="95">
        <f>((h_Aw_Sw+Geraetedaten!$B$18)/1000)*(AR388*AT388+AS388*AU388)/100</f>
        <v>0</v>
      </c>
      <c r="AX388" s="18">
        <f t="shared" si="338"/>
        <v>0.97437006478523513</v>
      </c>
    </row>
    <row r="389" spans="1:50" ht="13.5" x14ac:dyDescent="0.25">
      <c r="A389" s="16">
        <v>348</v>
      </c>
      <c r="B389" s="16">
        <f t="shared" si="346"/>
        <v>102</v>
      </c>
      <c r="C389" s="19">
        <f t="shared" si="347"/>
        <v>42.504822614815247</v>
      </c>
      <c r="D389" s="17">
        <f t="shared" si="343"/>
        <v>50920.788787385187</v>
      </c>
      <c r="E389" s="17">
        <f t="shared" si="348"/>
        <v>-9111.6658526148149</v>
      </c>
      <c r="F389" s="17">
        <f t="shared" si="349"/>
        <v>-50266.390392614812</v>
      </c>
      <c r="G389" s="17">
        <f t="shared" si="350"/>
        <v>9318.9396473851848</v>
      </c>
      <c r="H389" s="17">
        <f t="shared" si="344"/>
        <v>9318.9396473851848</v>
      </c>
      <c r="I389" s="17">
        <f t="shared" si="351"/>
        <v>6361.1022348064325</v>
      </c>
      <c r="J389" s="20">
        <f>(Geraetedaten!$B$152+(Geraetedaten!$B$153*(Geraetedaten!$B$18+d_y_Sw)/1000))*10</f>
        <v>6051.0442000000003</v>
      </c>
      <c r="K389" s="20">
        <f>(Geraetedaten!$B$165+(Geraetedaten!$B$166*(Geraetedaten!$B$18+d_y_Sw)/1000))*10</f>
        <v>10816.164000000001</v>
      </c>
      <c r="L389" s="20">
        <f>(Geraetedaten!$B$158+(Geraetedaten!$B$159*(Geraetedaten!$B$18+d_y_Sw)/1000)-(Geraetedaten!$B$160*I389/1000))*10</f>
        <v>135.0769731216441</v>
      </c>
      <c r="M389" s="20">
        <f>(Geraetedaten!$B$171+(Geraetedaten!$B$172*(Geraetedaten!$B$18+d_y_Sw)/1000)-(Geraetedaten!$B$173*I389/1000))*10</f>
        <v>591.34654964100991</v>
      </c>
      <c r="N389" s="20">
        <f>IF((H389-J389)/(K389-J389)*(Geraetedaten!$B$174-Geraetedaten!$B$161)&lt;Geraetedaten!$B$174,(H389-J389)/(K389-J389)*(Geraetedaten!$B$174-Geraetedaten!$B$161),Geraetedaten!$B$174)</f>
        <v>274.31800958164234</v>
      </c>
      <c r="O389" s="20">
        <f>N389/Geraetedaten!$B$174*(M389-L389)+L389+C389</f>
        <v>490.48920089508761</v>
      </c>
      <c r="P389" s="20">
        <f t="shared" si="345"/>
        <v>161.28750746642388</v>
      </c>
      <c r="Q389" s="20"/>
      <c r="R389" s="21">
        <f>(N389-Geraetedaten!$B$161)/(Geraetedaten!$B$174-Geraetedaten!$B$161)*(Geraetedaten!$B$175-Geraetedaten!$B$162)+Geraetedaten!$B$162</f>
        <v>37.360960785053862</v>
      </c>
      <c r="S389" s="21">
        <f t="shared" si="352"/>
        <v>37.360960785053862</v>
      </c>
      <c r="T389" s="21">
        <f t="shared" si="353"/>
        <v>-7.7677805273965701</v>
      </c>
      <c r="U389" s="88">
        <f t="shared" si="354"/>
        <v>36.544534153010233</v>
      </c>
      <c r="V389" s="86">
        <f t="shared" si="355"/>
        <v>50963.293610000001</v>
      </c>
      <c r="W389" s="85">
        <f t="shared" si="356"/>
        <v>-4225.3239992296285</v>
      </c>
      <c r="X389" s="85">
        <f t="shared" si="357"/>
        <v>20364.126301400869</v>
      </c>
      <c r="Y389" s="90">
        <f t="shared" si="358"/>
        <v>4225.3239992296285</v>
      </c>
      <c r="Z389" s="86">
        <f t="shared" si="359"/>
        <v>-9069.1610299999993</v>
      </c>
      <c r="AA389" s="85">
        <f t="shared" si="360"/>
        <v>-913.46204712425447</v>
      </c>
      <c r="AB389" s="85">
        <f t="shared" si="361"/>
        <v>-942.35619051632045</v>
      </c>
      <c r="AC389" s="90">
        <f t="shared" si="362"/>
        <v>913.46204712425447</v>
      </c>
      <c r="AD389" s="86">
        <f t="shared" si="363"/>
        <v>-50223.885569999999</v>
      </c>
      <c r="AE389" s="85">
        <f t="shared" si="364"/>
        <v>4140.4375383844126</v>
      </c>
      <c r="AF389" s="85">
        <f t="shared" si="365"/>
        <v>-19876.316377841074</v>
      </c>
      <c r="AG389" s="90">
        <f t="shared" si="366"/>
        <v>4140.4375383844126</v>
      </c>
      <c r="AH389" s="86">
        <f t="shared" si="367"/>
        <v>9361.4444700000004</v>
      </c>
      <c r="AI389" s="85">
        <f t="shared" si="368"/>
        <v>6238.0466047659793</v>
      </c>
      <c r="AJ389" s="85">
        <f t="shared" si="369"/>
        <v>6361.1022348064325</v>
      </c>
      <c r="AK389" s="90">
        <f t="shared" si="370"/>
        <v>6238.0466047659793</v>
      </c>
      <c r="AM389" s="95">
        <f t="shared" si="339"/>
        <v>0</v>
      </c>
      <c r="AN389" s="95">
        <f t="shared" si="340"/>
        <v>0</v>
      </c>
      <c r="AO389" s="95">
        <f t="shared" si="341"/>
        <v>0</v>
      </c>
      <c r="AP389" s="95">
        <f t="shared" si="342"/>
        <v>0</v>
      </c>
      <c r="AQ389"/>
      <c r="AR389" s="95">
        <f t="shared" si="371"/>
        <v>0</v>
      </c>
      <c r="AS389" s="95">
        <f t="shared" si="372"/>
        <v>0</v>
      </c>
      <c r="AT389" s="95">
        <f>Geraetedaten!$B$94*ABS(SIN(RADIANS($A389)))</f>
        <v>32.018400385935017</v>
      </c>
      <c r="AU389" s="95">
        <f>Geraetedaten!$B$94*ABS(COS(RADIANS($A389)))</f>
        <v>150.63473051300605</v>
      </c>
      <c r="AV389" s="95">
        <f>((h_Aw_Sw+Geraetedaten!$B$18)/1000)*(AR389*AT389+AS389*AU389)/100</f>
        <v>0</v>
      </c>
      <c r="AX389" s="18">
        <f t="shared" si="338"/>
        <v>0.97814760073380558</v>
      </c>
    </row>
    <row r="390" spans="1:50" ht="13.5" x14ac:dyDescent="0.25">
      <c r="A390" s="16">
        <v>349</v>
      </c>
      <c r="B390" s="16">
        <f t="shared" si="346"/>
        <v>101</v>
      </c>
      <c r="C390" s="19">
        <f t="shared" si="347"/>
        <v>41.522181321446041</v>
      </c>
      <c r="D390" s="17">
        <f t="shared" si="343"/>
        <v>55500.330988678557</v>
      </c>
      <c r="E390" s="17">
        <f t="shared" si="348"/>
        <v>-9072.1052513214472</v>
      </c>
      <c r="F390" s="17">
        <f t="shared" si="349"/>
        <v>-54757.316281321444</v>
      </c>
      <c r="G390" s="17">
        <f t="shared" si="350"/>
        <v>9288.8401086785525</v>
      </c>
      <c r="H390" s="17">
        <f t="shared" si="344"/>
        <v>9288.8401086785525</v>
      </c>
      <c r="I390" s="17">
        <f t="shared" si="351"/>
        <v>6339.9818955794999</v>
      </c>
      <c r="J390" s="20">
        <f>(Geraetedaten!$B$152+(Geraetedaten!$B$153*(Geraetedaten!$B$18+d_y_Sw)/1000))*10</f>
        <v>6051.0442000000003</v>
      </c>
      <c r="K390" s="20">
        <f>(Geraetedaten!$B$165+(Geraetedaten!$B$166*(Geraetedaten!$B$18+d_y_Sw)/1000))*10</f>
        <v>10816.164000000001</v>
      </c>
      <c r="L390" s="20">
        <f>(Geraetedaten!$B$158+(Geraetedaten!$B$159*(Geraetedaten!$B$18+d_y_Sw)/1000)-(Geraetedaten!$B$160*I390/1000))*10</f>
        <v>136.62572759715511</v>
      </c>
      <c r="M390" s="20">
        <f>(Geraetedaten!$B$171+(Geraetedaten!$B$172*(Geraetedaten!$B$18+d_y_Sw)/1000)-(Geraetedaten!$B$173*I390/1000))*10</f>
        <v>592.91874769306287</v>
      </c>
      <c r="N390" s="20">
        <f>IF((H390-J390)/(K390-J390)*(Geraetedaten!$B$174-Geraetedaten!$B$161)&lt;Geraetedaten!$B$174,(H390-J390)/(K390-J390)*(Geraetedaten!$B$174-Geraetedaten!$B$161),Geraetedaten!$B$174)</f>
        <v>271.79135422186459</v>
      </c>
      <c r="O390" s="20">
        <f>N390/Geraetedaten!$B$174*(M390-L390)+L390+C390</f>
        <v>488.18915355322923</v>
      </c>
      <c r="P390" s="20">
        <f t="shared" si="345"/>
        <v>160.81155501999282</v>
      </c>
      <c r="Q390" s="20"/>
      <c r="R390" s="21">
        <f>(N390-Geraetedaten!$B$161)/(Geraetedaten!$B$174-Geraetedaten!$B$161)*(Geraetedaten!$B$175-Geraetedaten!$B$162)+Geraetedaten!$B$162</f>
        <v>37.285792788100473</v>
      </c>
      <c r="S390" s="21">
        <f t="shared" si="352"/>
        <v>37.285792788100473</v>
      </c>
      <c r="T390" s="21">
        <f t="shared" si="353"/>
        <v>-7.1144646637154656</v>
      </c>
      <c r="U390" s="88">
        <f t="shared" si="354"/>
        <v>36.600747757196288</v>
      </c>
      <c r="V390" s="86">
        <f t="shared" si="355"/>
        <v>55541.853170000002</v>
      </c>
      <c r="W390" s="85">
        <f t="shared" si="356"/>
        <v>-4225.3239992296285</v>
      </c>
      <c r="X390" s="85">
        <f t="shared" si="357"/>
        <v>22193.64630793469</v>
      </c>
      <c r="Y390" s="90">
        <f t="shared" si="358"/>
        <v>4225.3239992296285</v>
      </c>
      <c r="Z390" s="86">
        <f t="shared" si="359"/>
        <v>-9030.5830700000006</v>
      </c>
      <c r="AA390" s="85">
        <f t="shared" si="360"/>
        <v>-913.46204712425447</v>
      </c>
      <c r="AB390" s="85">
        <f t="shared" si="361"/>
        <v>-938.34764205337422</v>
      </c>
      <c r="AC390" s="90">
        <f t="shared" si="362"/>
        <v>913.46204712425447</v>
      </c>
      <c r="AD390" s="86">
        <f t="shared" si="363"/>
        <v>-54715.794099999999</v>
      </c>
      <c r="AE390" s="85">
        <f t="shared" si="364"/>
        <v>4140.4375383844126</v>
      </c>
      <c r="AF390" s="85">
        <f t="shared" si="365"/>
        <v>-21654.008286063869</v>
      </c>
      <c r="AG390" s="90">
        <f t="shared" si="366"/>
        <v>4140.4375383844126</v>
      </c>
      <c r="AH390" s="86">
        <f t="shared" si="367"/>
        <v>9330.3622899999991</v>
      </c>
      <c r="AI390" s="85">
        <f t="shared" si="368"/>
        <v>6238.0466047659793</v>
      </c>
      <c r="AJ390" s="85">
        <f t="shared" si="369"/>
        <v>6339.9818955794999</v>
      </c>
      <c r="AK390" s="90">
        <f t="shared" si="370"/>
        <v>6238.0466047659793</v>
      </c>
      <c r="AM390" s="95">
        <f t="shared" si="339"/>
        <v>0</v>
      </c>
      <c r="AN390" s="95">
        <f t="shared" si="340"/>
        <v>0</v>
      </c>
      <c r="AO390" s="95">
        <f t="shared" si="341"/>
        <v>0</v>
      </c>
      <c r="AP390" s="95">
        <f t="shared" si="342"/>
        <v>0</v>
      </c>
      <c r="AQ390"/>
      <c r="AR390" s="95">
        <f t="shared" si="371"/>
        <v>0</v>
      </c>
      <c r="AS390" s="95">
        <f t="shared" si="372"/>
        <v>0</v>
      </c>
      <c r="AT390" s="95">
        <f>Geraetedaten!$B$94*ABS(SIN(RADIANS($A390)))</f>
        <v>29.384585287987878</v>
      </c>
      <c r="AU390" s="95">
        <f>Geraetedaten!$B$94*ABS(COS(RADIANS($A390)))</f>
        <v>151.17058625094026</v>
      </c>
      <c r="AV390" s="95">
        <f>((h_Aw_Sw+Geraetedaten!$B$18)/1000)*(AR390*AT390+AS390*AU390)/100</f>
        <v>0</v>
      </c>
      <c r="AX390" s="18">
        <f t="shared" si="338"/>
        <v>0.98162718344766398</v>
      </c>
    </row>
    <row r="391" spans="1:50" ht="13.5" x14ac:dyDescent="0.25">
      <c r="A391" s="16">
        <v>350</v>
      </c>
      <c r="B391" s="16">
        <f t="shared" si="346"/>
        <v>100</v>
      </c>
      <c r="C391" s="19">
        <f t="shared" si="347"/>
        <v>40.52689196941197</v>
      </c>
      <c r="D391" s="17">
        <f t="shared" si="343"/>
        <v>61004.200048030587</v>
      </c>
      <c r="E391" s="17">
        <f t="shared" si="348"/>
        <v>-9035.5872019694125</v>
      </c>
      <c r="F391" s="17">
        <f t="shared" si="349"/>
        <v>-60150.750991969413</v>
      </c>
      <c r="G391" s="17">
        <f t="shared" si="350"/>
        <v>9261.7831380305888</v>
      </c>
      <c r="H391" s="17">
        <f t="shared" si="344"/>
        <v>9261.7831380305888</v>
      </c>
      <c r="I391" s="17">
        <f t="shared" si="351"/>
        <v>6320.920383028928</v>
      </c>
      <c r="J391" s="20">
        <f>(Geraetedaten!$B$152+(Geraetedaten!$B$153*(Geraetedaten!$B$18+d_y_Sw)/1000))*10</f>
        <v>6051.0442000000003</v>
      </c>
      <c r="K391" s="20">
        <f>(Geraetedaten!$B$165+(Geraetedaten!$B$166*(Geraetedaten!$B$18+d_y_Sw)/1000))*10</f>
        <v>10816.164000000001</v>
      </c>
      <c r="L391" s="20">
        <f>(Geraetedaten!$B$158+(Geraetedaten!$B$159*(Geraetedaten!$B$18+d_y_Sw)/1000)-(Geraetedaten!$B$160*I391/1000))*10</f>
        <v>138.0235083124885</v>
      </c>
      <c r="M391" s="20">
        <f>(Geraetedaten!$B$171+(Geraetedaten!$B$172*(Geraetedaten!$B$18+d_y_Sw)/1000)-(Geraetedaten!$B$173*I391/1000))*10</f>
        <v>594.3376866873275</v>
      </c>
      <c r="N391" s="20">
        <f>IF((H391-J391)/(K391-J391)*(Geraetedaten!$B$174-Geraetedaten!$B$161)&lt;Geraetedaten!$B$174,(H391-J391)/(K391-J391)*(Geraetedaten!$B$174-Geraetedaten!$B$161),Geraetedaten!$B$174)</f>
        <v>269.52010214144781</v>
      </c>
      <c r="O391" s="20">
        <f>N391/Geraetedaten!$B$174*(M391-L391)+L391+C391</f>
        <v>486.01501019234411</v>
      </c>
      <c r="P391" s="20">
        <f t="shared" si="345"/>
        <v>160.34673009077736</v>
      </c>
      <c r="Q391" s="20"/>
      <c r="R391" s="21">
        <f>(N391-Geraetedaten!$B$161)/(Geraetedaten!$B$174-Geraetedaten!$B$161)*(Geraetedaten!$B$175-Geraetedaten!$B$162)+Geraetedaten!$B$162</f>
        <v>37.218223038708075</v>
      </c>
      <c r="S391" s="21">
        <f t="shared" si="352"/>
        <v>37.218223038708075</v>
      </c>
      <c r="T391" s="21">
        <f t="shared" si="353"/>
        <v>-6.4628766066730217</v>
      </c>
      <c r="U391" s="88">
        <f t="shared" si="354"/>
        <v>36.652794601857295</v>
      </c>
      <c r="V391" s="86">
        <f t="shared" si="355"/>
        <v>61044.72694</v>
      </c>
      <c r="W391" s="85">
        <f t="shared" si="356"/>
        <v>-4225.3239992296285</v>
      </c>
      <c r="X391" s="85">
        <f t="shared" si="357"/>
        <v>24392.50765419552</v>
      </c>
      <c r="Y391" s="90">
        <f t="shared" si="358"/>
        <v>4225.3239992296285</v>
      </c>
      <c r="Z391" s="86">
        <f t="shared" si="359"/>
        <v>-8995.0603100000008</v>
      </c>
      <c r="AA391" s="85">
        <f t="shared" si="360"/>
        <v>-913.46204712425447</v>
      </c>
      <c r="AB391" s="85">
        <f t="shared" si="361"/>
        <v>-934.65655137686781</v>
      </c>
      <c r="AC391" s="90">
        <f t="shared" si="362"/>
        <v>913.46204712425447</v>
      </c>
      <c r="AD391" s="86">
        <f t="shared" si="363"/>
        <v>-60110.224099999999</v>
      </c>
      <c r="AE391" s="85">
        <f t="shared" si="364"/>
        <v>4140.4375383844126</v>
      </c>
      <c r="AF391" s="85">
        <f t="shared" si="365"/>
        <v>-23788.876909438251</v>
      </c>
      <c r="AG391" s="90">
        <f t="shared" si="366"/>
        <v>4140.4375383844126</v>
      </c>
      <c r="AH391" s="86">
        <f t="shared" si="367"/>
        <v>9302.3100300000006</v>
      </c>
      <c r="AI391" s="85">
        <f t="shared" si="368"/>
        <v>6238.0466047659793</v>
      </c>
      <c r="AJ391" s="85">
        <f t="shared" si="369"/>
        <v>6320.920383028928</v>
      </c>
      <c r="AK391" s="90">
        <f t="shared" si="370"/>
        <v>6238.0466047659793</v>
      </c>
      <c r="AM391" s="95">
        <f t="shared" si="339"/>
        <v>0</v>
      </c>
      <c r="AN391" s="95">
        <f t="shared" si="340"/>
        <v>0</v>
      </c>
      <c r="AO391" s="95">
        <f t="shared" si="341"/>
        <v>0</v>
      </c>
      <c r="AP391" s="95">
        <f t="shared" si="342"/>
        <v>0</v>
      </c>
      <c r="AQ391"/>
      <c r="AR391" s="95">
        <f t="shared" si="371"/>
        <v>0</v>
      </c>
      <c r="AS391" s="95">
        <f t="shared" si="372"/>
        <v>0</v>
      </c>
      <c r="AT391" s="95">
        <f>Geraetedaten!$B$94*ABS(SIN(RADIANS($A391)))</f>
        <v>26.741819360707279</v>
      </c>
      <c r="AU391" s="95">
        <f>Geraetedaten!$B$94*ABS(COS(RADIANS($A391)))</f>
        <v>151.66039396388004</v>
      </c>
      <c r="AV391" s="95">
        <f>((h_Aw_Sw+Geraetedaten!$B$18)/1000)*(AR391*AT391+AS391*AU391)/100</f>
        <v>0</v>
      </c>
      <c r="AX391" s="18">
        <f t="shared" si="338"/>
        <v>0.98480775301220802</v>
      </c>
    </row>
    <row r="392" spans="1:50" ht="13.5" x14ac:dyDescent="0.25">
      <c r="A392" s="16">
        <v>351</v>
      </c>
      <c r="B392" s="16">
        <f t="shared" si="346"/>
        <v>99</v>
      </c>
      <c r="C392" s="19">
        <f t="shared" si="347"/>
        <v>39.519257733491202</v>
      </c>
      <c r="D392" s="17">
        <f t="shared" si="343"/>
        <v>67741.319942266506</v>
      </c>
      <c r="E392" s="17">
        <f t="shared" si="348"/>
        <v>-9002.0545577334906</v>
      </c>
      <c r="F392" s="17">
        <f t="shared" si="349"/>
        <v>-66746.726407733498</v>
      </c>
      <c r="G392" s="17">
        <f t="shared" si="350"/>
        <v>9237.7241622665097</v>
      </c>
      <c r="H392" s="17">
        <f t="shared" si="344"/>
        <v>9237.7241622665097</v>
      </c>
      <c r="I392" s="17">
        <f t="shared" si="351"/>
        <v>6303.8876151993782</v>
      </c>
      <c r="J392" s="20">
        <f>(Geraetedaten!$B$152+(Geraetedaten!$B$153*(Geraetedaten!$B$18+d_y_Sw)/1000))*10</f>
        <v>6051.0442000000003</v>
      </c>
      <c r="K392" s="20">
        <f>(Geraetedaten!$B$165+(Geraetedaten!$B$166*(Geraetedaten!$B$18+d_y_Sw)/1000))*10</f>
        <v>10816.164000000001</v>
      </c>
      <c r="L392" s="20">
        <f>(Geraetedaten!$B$158+(Geraetedaten!$B$159*(Geraetedaten!$B$18+d_y_Sw)/1000)-(Geraetedaten!$B$160*I392/1000))*10</f>
        <v>139.27252117742944</v>
      </c>
      <c r="M392" s="20">
        <f>(Geraetedaten!$B$171+(Geraetedaten!$B$172*(Geraetedaten!$B$18+d_y_Sw)/1000)-(Geraetedaten!$B$173*I392/1000))*10</f>
        <v>595.60560592455909</v>
      </c>
      <c r="N392" s="20">
        <f>IF((H392-J392)/(K392-J392)*(Geraetedaten!$B$174-Geraetedaten!$B$161)&lt;Geraetedaten!$B$174,(H392-J392)/(K392-J392)*(Geraetedaten!$B$174-Geraetedaten!$B$161),Geraetedaten!$B$174)</f>
        <v>267.50051171989497</v>
      </c>
      <c r="O392" s="20">
        <f>N392/Geraetedaten!$B$174*(M392-L392)+L392+C392</f>
        <v>483.96511312235907</v>
      </c>
      <c r="P392" s="20">
        <f>O392*100/9.81/(R392-(I392/1000))</f>
        <v>159.89320880558776</v>
      </c>
      <c r="Q392" s="20"/>
      <c r="R392" s="21">
        <f>(N392-Geraetedaten!$B$161)/(Geraetedaten!$B$174-Geraetedaten!$B$161)*(Geraetedaten!$B$175-Geraetedaten!$B$162)+Geraetedaten!$B$162</f>
        <v>37.158140223666877</v>
      </c>
      <c r="S392" s="21">
        <f t="shared" si="352"/>
        <v>37.158140223666877</v>
      </c>
      <c r="T392" s="21">
        <f t="shared" si="353"/>
        <v>-5.8128137877792216</v>
      </c>
      <c r="U392" s="88">
        <f t="shared" si="354"/>
        <v>36.700661857114973</v>
      </c>
      <c r="V392" s="86">
        <f t="shared" si="355"/>
        <v>67780.839200000002</v>
      </c>
      <c r="W392" s="85">
        <f t="shared" si="356"/>
        <v>-4225.3239992296285</v>
      </c>
      <c r="X392" s="85">
        <f t="shared" si="357"/>
        <v>27084.151600935569</v>
      </c>
      <c r="Y392" s="90">
        <f t="shared" si="358"/>
        <v>4225.3239992296285</v>
      </c>
      <c r="Z392" s="86">
        <f t="shared" si="359"/>
        <v>-8962.5352999999996</v>
      </c>
      <c r="AA392" s="85">
        <f t="shared" si="360"/>
        <v>-913.46204712425447</v>
      </c>
      <c r="AB392" s="85">
        <f t="shared" si="361"/>
        <v>-931.27695000322672</v>
      </c>
      <c r="AC392" s="90">
        <f t="shared" si="362"/>
        <v>913.46204712425447</v>
      </c>
      <c r="AD392" s="86">
        <f t="shared" si="363"/>
        <v>-66707.207150000002</v>
      </c>
      <c r="AE392" s="85">
        <f t="shared" si="364"/>
        <v>4140.4375383844126</v>
      </c>
      <c r="AF392" s="85">
        <f t="shared" si="365"/>
        <v>-26399.66101622862</v>
      </c>
      <c r="AG392" s="90">
        <f t="shared" si="366"/>
        <v>4140.4375383844126</v>
      </c>
      <c r="AH392" s="86">
        <f t="shared" si="367"/>
        <v>9277.2434200000007</v>
      </c>
      <c r="AI392" s="85">
        <f t="shared" si="368"/>
        <v>6238.0466047659793</v>
      </c>
      <c r="AJ392" s="85">
        <f t="shared" si="369"/>
        <v>6303.8876151993782</v>
      </c>
      <c r="AK392" s="90">
        <f t="shared" si="370"/>
        <v>6238.0466047659793</v>
      </c>
      <c r="AM392" s="95">
        <f t="shared" si="339"/>
        <v>0</v>
      </c>
      <c r="AN392" s="95">
        <f t="shared" si="340"/>
        <v>0</v>
      </c>
      <c r="AO392" s="95">
        <f t="shared" si="341"/>
        <v>0</v>
      </c>
      <c r="AP392" s="95">
        <f t="shared" si="342"/>
        <v>0</v>
      </c>
      <c r="AQ392"/>
      <c r="AR392" s="95">
        <f t="shared" si="371"/>
        <v>0</v>
      </c>
      <c r="AS392" s="95">
        <f t="shared" si="372"/>
        <v>0</v>
      </c>
      <c r="AT392" s="95">
        <f>Geraetedaten!$B$94*ABS(SIN(RADIANS($A392)))</f>
        <v>24.090907616195594</v>
      </c>
      <c r="AU392" s="95">
        <f>Geraetedaten!$B$94*ABS(COS(RADIANS($A392)))</f>
        <v>152.10400445165121</v>
      </c>
      <c r="AV392" s="95">
        <f>((h_Aw_Sw+Geraetedaten!$B$18)/1000)*(AR392*AT392+AS392*AU392)/100</f>
        <v>0</v>
      </c>
      <c r="AX392" s="18">
        <f t="shared" si="338"/>
        <v>0.98768834059513766</v>
      </c>
    </row>
    <row r="393" spans="1:50" ht="13.5" x14ac:dyDescent="0.25">
      <c r="A393" s="16">
        <v>352</v>
      </c>
      <c r="B393" s="16">
        <f t="shared" si="346"/>
        <v>98</v>
      </c>
      <c r="C393" s="19">
        <f t="shared" si="347"/>
        <v>38.499585548833167</v>
      </c>
      <c r="D393" s="17">
        <f t="shared" si="343"/>
        <v>76175.560204451162</v>
      </c>
      <c r="E393" s="17">
        <f t="shared" si="348"/>
        <v>-8971.4554955488329</v>
      </c>
      <c r="F393" s="17">
        <f t="shared" si="349"/>
        <v>-74994.857205548833</v>
      </c>
      <c r="G393" s="17">
        <f t="shared" si="350"/>
        <v>9216.6235644511671</v>
      </c>
      <c r="H393" s="17">
        <f t="shared" si="344"/>
        <v>9216.6235644511671</v>
      </c>
      <c r="I393" s="17">
        <f t="shared" si="351"/>
        <v>6288.8568944866502</v>
      </c>
      <c r="J393" s="20">
        <f>(Geraetedaten!$B$152+(Geraetedaten!$B$153*(Geraetedaten!$B$18+d_y_Sw)/1000))*10</f>
        <v>6051.0442000000003</v>
      </c>
      <c r="K393" s="20">
        <f>(Geraetedaten!$B$165+(Geraetedaten!$B$166*(Geraetedaten!$B$18+d_y_Sw)/1000))*10</f>
        <v>10816.164000000001</v>
      </c>
      <c r="L393" s="20">
        <f>(Geraetedaten!$B$158+(Geraetedaten!$B$159*(Geraetedaten!$B$18+d_y_Sw)/1000)-(Geraetedaten!$B$160*I393/1000))*10</f>
        <v>140.37472392729384</v>
      </c>
      <c r="M393" s="20">
        <f>(Geraetedaten!$B$171+(Geraetedaten!$B$172*(Geraetedaten!$B$18+d_y_Sw)/1000)-(Geraetedaten!$B$173*I393/1000))*10</f>
        <v>596.72449277441456</v>
      </c>
      <c r="N393" s="20">
        <f>IF((H393-J393)/(K393-J393)*(Geraetedaten!$B$174-Geraetedaten!$B$161)&lt;Geraetedaten!$B$174,(H393-J393)/(K393-J393)*(Geraetedaten!$B$174-Geraetedaten!$B$161),Geraetedaten!$B$174)</f>
        <v>265.72925737994387</v>
      </c>
      <c r="O393" s="20">
        <f>N393/Geraetedaten!$B$174*(M393-L393)+L393+C393</f>
        <v>482.03802242926309</v>
      </c>
      <c r="P393" s="20">
        <f t="shared" ref="P393:P400" si="373">O393*100/9.81/(R393-(I393/1000))</f>
        <v>159.4511769906986</v>
      </c>
      <c r="Q393" s="20"/>
      <c r="R393" s="21">
        <f>(N393-Geraetedaten!$B$161)/(Geraetedaten!$B$174-Geraetedaten!$B$161)*(Geraetedaten!$B$175-Geraetedaten!$B$162)+Geraetedaten!$B$162</f>
        <v>37.105445407053331</v>
      </c>
      <c r="S393" s="21">
        <f t="shared" si="352"/>
        <v>37.105445407053331</v>
      </c>
      <c r="T393" s="21">
        <f t="shared" si="353"/>
        <v>-5.1640798998040465</v>
      </c>
      <c r="U393" s="88">
        <f t="shared" si="354"/>
        <v>36.744337763038473</v>
      </c>
      <c r="V393" s="86">
        <f t="shared" si="355"/>
        <v>76214.059789999999</v>
      </c>
      <c r="W393" s="85">
        <f t="shared" si="356"/>
        <v>-4225.3239992296285</v>
      </c>
      <c r="X393" s="85">
        <f t="shared" si="357"/>
        <v>30453.933206438167</v>
      </c>
      <c r="Y393" s="90">
        <f t="shared" si="358"/>
        <v>4225.3239992296285</v>
      </c>
      <c r="Z393" s="86">
        <f t="shared" si="359"/>
        <v>-8932.9559100000006</v>
      </c>
      <c r="AA393" s="85">
        <f t="shared" si="360"/>
        <v>-913.46204712425447</v>
      </c>
      <c r="AB393" s="85">
        <f t="shared" si="361"/>
        <v>-928.20342209331227</v>
      </c>
      <c r="AC393" s="90">
        <f t="shared" si="362"/>
        <v>913.46204712425447</v>
      </c>
      <c r="AD393" s="86">
        <f t="shared" si="363"/>
        <v>-74956.357619999995</v>
      </c>
      <c r="AE393" s="85">
        <f t="shared" si="364"/>
        <v>4140.4375383844126</v>
      </c>
      <c r="AF393" s="85">
        <f t="shared" si="365"/>
        <v>-29664.297407784117</v>
      </c>
      <c r="AG393" s="90">
        <f t="shared" si="366"/>
        <v>4140.4375383844126</v>
      </c>
      <c r="AH393" s="86">
        <f t="shared" si="367"/>
        <v>9255.1231499999994</v>
      </c>
      <c r="AI393" s="85">
        <f t="shared" si="368"/>
        <v>6238.0466047659793</v>
      </c>
      <c r="AJ393" s="85">
        <f t="shared" si="369"/>
        <v>6288.8568944866502</v>
      </c>
      <c r="AK393" s="90">
        <f t="shared" si="370"/>
        <v>6238.0466047659793</v>
      </c>
      <c r="AM393" s="95">
        <f t="shared" si="339"/>
        <v>0</v>
      </c>
      <c r="AN393" s="95">
        <f t="shared" si="340"/>
        <v>0</v>
      </c>
      <c r="AO393" s="95">
        <f t="shared" si="341"/>
        <v>0</v>
      </c>
      <c r="AP393" s="95">
        <f t="shared" si="342"/>
        <v>0</v>
      </c>
      <c r="AQ393"/>
      <c r="AR393" s="95">
        <f t="shared" si="371"/>
        <v>0</v>
      </c>
      <c r="AS393" s="95">
        <f t="shared" si="372"/>
        <v>0</v>
      </c>
      <c r="AT393" s="95">
        <f>Geraetedaten!$B$94*ABS(SIN(RADIANS($A393)))</f>
        <v>21.432657547850145</v>
      </c>
      <c r="AU393" s="95">
        <f>Geraetedaten!$B$94*ABS(COS(RADIANS($A393)))</f>
        <v>152.50128258620182</v>
      </c>
      <c r="AV393" s="95">
        <f>((h_Aw_Sw+Geraetedaten!$B$18)/1000)*(AR393*AT393+AS393*AU393)/100</f>
        <v>0</v>
      </c>
      <c r="AX393" s="18">
        <f t="shared" si="338"/>
        <v>0.99026806874157025</v>
      </c>
    </row>
    <row r="394" spans="1:50" ht="13.5" x14ac:dyDescent="0.25">
      <c r="A394" s="16">
        <v>353</v>
      </c>
      <c r="B394" s="16">
        <f t="shared" si="346"/>
        <v>97</v>
      </c>
      <c r="C394" s="19">
        <f t="shared" si="347"/>
        <v>37.468186017463047</v>
      </c>
      <c r="D394" s="17">
        <f t="shared" si="343"/>
        <v>87036.804543982536</v>
      </c>
      <c r="E394" s="17">
        <f t="shared" si="348"/>
        <v>-8943.7433260174621</v>
      </c>
      <c r="F394" s="17">
        <f t="shared" si="349"/>
        <v>-85600.830666017457</v>
      </c>
      <c r="G394" s="17">
        <f t="shared" si="350"/>
        <v>9198.4465939825368</v>
      </c>
      <c r="H394" s="17">
        <f t="shared" si="344"/>
        <v>9198.4465939825368</v>
      </c>
      <c r="I394" s="17">
        <f t="shared" si="351"/>
        <v>6275.8048041689963</v>
      </c>
      <c r="J394" s="20">
        <f>(Geraetedaten!$B$152+(Geraetedaten!$B$153*(Geraetedaten!$B$18+d_y_Sw)/1000))*10</f>
        <v>6051.0442000000003</v>
      </c>
      <c r="K394" s="20">
        <f>(Geraetedaten!$B$165+(Geraetedaten!$B$166*(Geraetedaten!$B$18+d_y_Sw)/1000))*10</f>
        <v>10816.164000000001</v>
      </c>
      <c r="L394" s="20">
        <f>(Geraetedaten!$B$158+(Geraetedaten!$B$159*(Geraetedaten!$B$18+d_y_Sw)/1000)-(Geraetedaten!$B$160*I394/1000))*10</f>
        <v>141.3318337102873</v>
      </c>
      <c r="M394" s="20">
        <f>(Geraetedaten!$B$171+(Geraetedaten!$B$172*(Geraetedaten!$B$18+d_y_Sw)/1000)-(Geraetedaten!$B$173*I394/1000))*10</f>
        <v>597.69609037766077</v>
      </c>
      <c r="N394" s="20">
        <f>IF((H394-J394)/(K394-J394)*(Geraetedaten!$B$174-Geraetedaten!$B$161)&lt;Geraetedaten!$B$174,(H394-J394)/(K394-J394)*(Geraetedaten!$B$174-Geraetedaten!$B$161),Geraetedaten!$B$174)</f>
        <v>264.20342204051502</v>
      </c>
      <c r="O394" s="20">
        <f>N394/Geraetedaten!$B$174*(M394-L394)+L394+C394</f>
        <v>480.23251549899032</v>
      </c>
      <c r="P394" s="20">
        <f t="shared" si="373"/>
        <v>159.02083130975225</v>
      </c>
      <c r="Q394" s="20"/>
      <c r="R394" s="21">
        <f>(N394-Geraetedaten!$B$161)/(Geraetedaten!$B$174-Geraetedaten!$B$161)*(Geraetedaten!$B$175-Geraetedaten!$B$162)+Geraetedaten!$B$162</f>
        <v>37.060051805705321</v>
      </c>
      <c r="S394" s="21">
        <f t="shared" si="352"/>
        <v>37.060051805705321</v>
      </c>
      <c r="T394" s="21">
        <f t="shared" si="353"/>
        <v>-4.5164841801220481</v>
      </c>
      <c r="U394" s="88">
        <f t="shared" si="354"/>
        <v>36.783811799380842</v>
      </c>
      <c r="V394" s="86">
        <f t="shared" si="355"/>
        <v>87074.272729999997</v>
      </c>
      <c r="W394" s="85">
        <f t="shared" si="356"/>
        <v>-4225.3239992296285</v>
      </c>
      <c r="X394" s="85">
        <f t="shared" si="357"/>
        <v>34793.502575301645</v>
      </c>
      <c r="Y394" s="90">
        <f t="shared" si="358"/>
        <v>4225.3239992296285</v>
      </c>
      <c r="Z394" s="86">
        <f t="shared" si="359"/>
        <v>-8906.2751399999997</v>
      </c>
      <c r="AA394" s="85">
        <f t="shared" si="360"/>
        <v>-913.46204712425447</v>
      </c>
      <c r="AB394" s="85">
        <f t="shared" si="361"/>
        <v>-925.43108278877719</v>
      </c>
      <c r="AC394" s="90">
        <f t="shared" si="362"/>
        <v>913.46204712425447</v>
      </c>
      <c r="AD394" s="86">
        <f t="shared" si="363"/>
        <v>-85563.362479999996</v>
      </c>
      <c r="AE394" s="85">
        <f t="shared" si="364"/>
        <v>4140.4375383844126</v>
      </c>
      <c r="AF394" s="85">
        <f t="shared" si="365"/>
        <v>-33862.064704251607</v>
      </c>
      <c r="AG394" s="90">
        <f t="shared" si="366"/>
        <v>4140.4375383844126</v>
      </c>
      <c r="AH394" s="86">
        <f t="shared" si="367"/>
        <v>9235.9147799999992</v>
      </c>
      <c r="AI394" s="85">
        <f t="shared" si="368"/>
        <v>6238.0466047659793</v>
      </c>
      <c r="AJ394" s="85">
        <f t="shared" si="369"/>
        <v>6275.8048041689963</v>
      </c>
      <c r="AK394" s="90">
        <f t="shared" si="370"/>
        <v>6238.0466047659793</v>
      </c>
      <c r="AM394" s="95">
        <f t="shared" si="339"/>
        <v>0</v>
      </c>
      <c r="AN394" s="95">
        <f t="shared" si="340"/>
        <v>0</v>
      </c>
      <c r="AO394" s="95">
        <f t="shared" si="341"/>
        <v>0</v>
      </c>
      <c r="AP394" s="95">
        <f t="shared" si="342"/>
        <v>0</v>
      </c>
      <c r="AQ394"/>
      <c r="AR394" s="95">
        <f t="shared" si="371"/>
        <v>0</v>
      </c>
      <c r="AS394" s="95">
        <f t="shared" si="372"/>
        <v>0</v>
      </c>
      <c r="AT394" s="95">
        <f>Geraetedaten!$B$94*ABS(SIN(RADIANS($A394)))</f>
        <v>18.767878884392672</v>
      </c>
      <c r="AU394" s="95">
        <f>Geraetedaten!$B$94*ABS(COS(RADIANS($A394)))</f>
        <v>152.8521073527636</v>
      </c>
      <c r="AV394" s="95">
        <f>((h_Aw_Sw+Geraetedaten!$B$18)/1000)*(AR394*AT394+AS394*AU394)/100</f>
        <v>0</v>
      </c>
      <c r="AX394" s="18">
        <f t="shared" si="338"/>
        <v>0.99254615164132209</v>
      </c>
    </row>
    <row r="395" spans="1:50" ht="13.5" x14ac:dyDescent="0.25">
      <c r="A395" s="16">
        <v>354</v>
      </c>
      <c r="B395" s="16">
        <f t="shared" si="346"/>
        <v>96</v>
      </c>
      <c r="C395" s="19">
        <f t="shared" si="347"/>
        <v>36.425373313669589</v>
      </c>
      <c r="D395" s="17">
        <f t="shared" si="343"/>
        <v>101543.54858668633</v>
      </c>
      <c r="E395" s="17">
        <f t="shared" si="348"/>
        <v>-8918.8762633136703</v>
      </c>
      <c r="F395" s="17">
        <f t="shared" si="349"/>
        <v>-99738.973623313679</v>
      </c>
      <c r="G395" s="17">
        <f t="shared" si="350"/>
        <v>9183.1631566863307</v>
      </c>
      <c r="H395" s="17">
        <f t="shared" si="344"/>
        <v>9183.1631566863307</v>
      </c>
      <c r="I395" s="17">
        <f t="shared" si="351"/>
        <v>6264.7111184445321</v>
      </c>
      <c r="J395" s="20">
        <f>(Geraetedaten!$B$152+(Geraetedaten!$B$153*(Geraetedaten!$B$18+d_y_Sw)/1000))*10</f>
        <v>6051.0442000000003</v>
      </c>
      <c r="K395" s="20">
        <f>(Geraetedaten!$B$165+(Geraetedaten!$B$166*(Geraetedaten!$B$18+d_y_Sw)/1000))*10</f>
        <v>10816.164000000001</v>
      </c>
      <c r="L395" s="20">
        <f>(Geraetedaten!$B$158+(Geraetedaten!$B$159*(Geraetedaten!$B$18+d_y_Sw)/1000)-(Geraetedaten!$B$160*I395/1000))*10</f>
        <v>142.14533368446234</v>
      </c>
      <c r="M395" s="20">
        <f>(Geraetedaten!$B$171+(Geraetedaten!$B$172*(Geraetedaten!$B$18+d_y_Sw)/1000)-(Geraetedaten!$B$173*I395/1000))*10</f>
        <v>598.52190434298996</v>
      </c>
      <c r="N395" s="20">
        <f>IF((H395-J395)/(K395-J395)*(Geraetedaten!$B$174-Geraetedaten!$B$161)&lt;Geraetedaten!$B$174,(H395-J395)/(K395-J395)*(Geraetedaten!$B$174-Geraetedaten!$B$161),Geraetedaten!$B$174)</f>
        <v>262.9204794965558</v>
      </c>
      <c r="O395" s="20">
        <f>N395/Geraetedaten!$B$174*(M395-L395)+L395+C395</f>
        <v>478.54757396946655</v>
      </c>
      <c r="P395" s="20">
        <f t="shared" si="373"/>
        <v>158.60237777861332</v>
      </c>
      <c r="Q395" s="20"/>
      <c r="R395" s="21">
        <f>(N395-Geraetedaten!$B$161)/(Geraetedaten!$B$174-Geraetedaten!$B$161)*(Geraetedaten!$B$175-Geraetedaten!$B$162)+Geraetedaten!$B$162</f>
        <v>37.021884265022535</v>
      </c>
      <c r="S395" s="21">
        <f t="shared" si="352"/>
        <v>37.021884265022535</v>
      </c>
      <c r="T395" s="21">
        <f t="shared" si="353"/>
        <v>-3.8698406694957241</v>
      </c>
      <c r="U395" s="88">
        <f t="shared" si="354"/>
        <v>36.819074509355069</v>
      </c>
      <c r="V395" s="86">
        <f t="shared" si="355"/>
        <v>101579.97396</v>
      </c>
      <c r="W395" s="85">
        <f t="shared" si="356"/>
        <v>-4225.3239992296285</v>
      </c>
      <c r="X395" s="85">
        <f t="shared" si="357"/>
        <v>40589.751426766961</v>
      </c>
      <c r="Y395" s="90">
        <f t="shared" si="358"/>
        <v>4225.3239992296285</v>
      </c>
      <c r="Z395" s="86">
        <f t="shared" si="359"/>
        <v>-8882.4508900000001</v>
      </c>
      <c r="AA395" s="85">
        <f t="shared" si="360"/>
        <v>-913.46204712425447</v>
      </c>
      <c r="AB395" s="85">
        <f t="shared" si="361"/>
        <v>-922.95555890054504</v>
      </c>
      <c r="AC395" s="90">
        <f t="shared" si="362"/>
        <v>913.46204712425447</v>
      </c>
      <c r="AD395" s="86">
        <f t="shared" si="363"/>
        <v>-99702.548250000007</v>
      </c>
      <c r="AE395" s="85">
        <f t="shared" si="364"/>
        <v>4140.4375383844126</v>
      </c>
      <c r="AF395" s="85">
        <f t="shared" si="365"/>
        <v>-39457.707624831441</v>
      </c>
      <c r="AG395" s="90">
        <f t="shared" si="366"/>
        <v>4140.4375383844126</v>
      </c>
      <c r="AH395" s="86">
        <f t="shared" si="367"/>
        <v>9219.5885300000009</v>
      </c>
      <c r="AI395" s="85">
        <f t="shared" si="368"/>
        <v>6238.0466047659793</v>
      </c>
      <c r="AJ395" s="85">
        <f t="shared" si="369"/>
        <v>6264.7111184445321</v>
      </c>
      <c r="AK395" s="90">
        <f t="shared" si="370"/>
        <v>6238.0466047659793</v>
      </c>
      <c r="AM395" s="95">
        <f t="shared" si="339"/>
        <v>0</v>
      </c>
      <c r="AN395" s="95">
        <f t="shared" si="340"/>
        <v>0</v>
      </c>
      <c r="AO395" s="95">
        <f t="shared" si="341"/>
        <v>0</v>
      </c>
      <c r="AP395" s="95">
        <f t="shared" si="342"/>
        <v>0</v>
      </c>
      <c r="AQ395"/>
      <c r="AR395" s="95">
        <f t="shared" si="371"/>
        <v>0</v>
      </c>
      <c r="AS395" s="95">
        <f t="shared" si="372"/>
        <v>0</v>
      </c>
      <c r="AT395" s="95">
        <f>Geraetedaten!$B$94*ABS(SIN(RADIANS($A395)))</f>
        <v>16.097383343218628</v>
      </c>
      <c r="AU395" s="95">
        <f>Geraetedaten!$B$94*ABS(COS(RADIANS($A395)))</f>
        <v>153.15637188671408</v>
      </c>
      <c r="AV395" s="95">
        <f>((h_Aw_Sw+Geraetedaten!$B$18)/1000)*(AR395*AT395+AS395*AU395)/100</f>
        <v>0</v>
      </c>
      <c r="AX395" s="18">
        <f t="shared" si="338"/>
        <v>0.99452189536827329</v>
      </c>
    </row>
    <row r="396" spans="1:50" ht="13.5" x14ac:dyDescent="0.25">
      <c r="A396" s="16">
        <v>355</v>
      </c>
      <c r="B396" s="16">
        <f t="shared" si="346"/>
        <v>95</v>
      </c>
      <c r="C396" s="19">
        <f t="shared" si="347"/>
        <v>35.371465088304276</v>
      </c>
      <c r="D396" s="17">
        <f t="shared" si="343"/>
        <v>121893.9456949117</v>
      </c>
      <c r="E396" s="17">
        <f t="shared" si="348"/>
        <v>-8896.8173150883049</v>
      </c>
      <c r="F396" s="17">
        <f t="shared" si="349"/>
        <v>-119518.71471508831</v>
      </c>
      <c r="G396" s="17">
        <f t="shared" si="350"/>
        <v>9170.7477649116954</v>
      </c>
      <c r="H396" s="17">
        <f t="shared" si="344"/>
        <v>9170.7477649116954</v>
      </c>
      <c r="I396" s="17">
        <f t="shared" si="351"/>
        <v>6255.5587253247459</v>
      </c>
      <c r="J396" s="20">
        <f>(Geraetedaten!$B$152+(Geraetedaten!$B$153*(Geraetedaten!$B$18+d_y_Sw)/1000))*10</f>
        <v>6051.0442000000003</v>
      </c>
      <c r="K396" s="20">
        <f>(Geraetedaten!$B$165+(Geraetedaten!$B$166*(Geraetedaten!$B$18+d_y_Sw)/1000))*10</f>
        <v>10816.164000000001</v>
      </c>
      <c r="L396" s="20">
        <f>(Geraetedaten!$B$158+(Geraetedaten!$B$159*(Geraetedaten!$B$18+d_y_Sw)/1000)-(Geraetedaten!$B$160*I396/1000))*10</f>
        <v>142.81647867193618</v>
      </c>
      <c r="M396" s="20">
        <f>(Geraetedaten!$B$171+(Geraetedaten!$B$172*(Geraetedaten!$B$18+d_y_Sw)/1000)-(Geraetedaten!$B$173*I396/1000))*10</f>
        <v>599.20320848682672</v>
      </c>
      <c r="N396" s="20">
        <f>IF((H396-J396)/(K396-J396)*(Geraetedaten!$B$174-Geraetedaten!$B$161)&lt;Geraetedaten!$B$174,(H396-J396)/(K396-J396)*(Geraetedaten!$B$174-Geraetedaten!$B$161),Geraetedaten!$B$174)</f>
        <v>261.87829022990729</v>
      </c>
      <c r="O396" s="20">
        <f>N396/Geraetedaten!$B$174*(M396-L396)+L396+C396</f>
        <v>476.98238497909591</v>
      </c>
      <c r="P396" s="20">
        <f t="shared" si="373"/>
        <v>158.19603291950477</v>
      </c>
      <c r="Q396" s="20"/>
      <c r="R396" s="21">
        <f>(N396-Geraetedaten!$B$161)/(Geraetedaten!$B$174-Geraetedaten!$B$161)*(Geraetedaten!$B$175-Geraetedaten!$B$162)+Geraetedaten!$B$162</f>
        <v>36.990879134339743</v>
      </c>
      <c r="S396" s="21">
        <f t="shared" si="352"/>
        <v>36.990879134339743</v>
      </c>
      <c r="T396" s="21">
        <f t="shared" si="353"/>
        <v>-3.2239675458422363</v>
      </c>
      <c r="U396" s="88">
        <f t="shared" si="354"/>
        <v>36.850117671381831</v>
      </c>
      <c r="V396" s="86">
        <f t="shared" si="355"/>
        <v>121929.31716000001</v>
      </c>
      <c r="W396" s="85">
        <f t="shared" si="356"/>
        <v>-4225.3239992296285</v>
      </c>
      <c r="X396" s="85">
        <f t="shared" si="357"/>
        <v>48721.0272060969</v>
      </c>
      <c r="Y396" s="90">
        <f t="shared" si="358"/>
        <v>4225.3239992296285</v>
      </c>
      <c r="Z396" s="86">
        <f t="shared" si="359"/>
        <v>-8861.4458500000001</v>
      </c>
      <c r="AA396" s="85">
        <f t="shared" si="360"/>
        <v>-913.46204712425447</v>
      </c>
      <c r="AB396" s="85">
        <f t="shared" si="361"/>
        <v>-920.7729718047018</v>
      </c>
      <c r="AC396" s="90">
        <f t="shared" si="362"/>
        <v>913.46204712425447</v>
      </c>
      <c r="AD396" s="86">
        <f t="shared" si="363"/>
        <v>-119483.34325000001</v>
      </c>
      <c r="AE396" s="85">
        <f t="shared" si="364"/>
        <v>4140.4375383844126</v>
      </c>
      <c r="AF396" s="85">
        <f t="shared" si="365"/>
        <v>-47286.04139730864</v>
      </c>
      <c r="AG396" s="90">
        <f t="shared" si="366"/>
        <v>4140.4375383844126</v>
      </c>
      <c r="AH396" s="86">
        <f t="shared" si="367"/>
        <v>9206.1192300000002</v>
      </c>
      <c r="AI396" s="85">
        <f t="shared" si="368"/>
        <v>6238.0466047659793</v>
      </c>
      <c r="AJ396" s="85">
        <f t="shared" si="369"/>
        <v>6255.5587253247459</v>
      </c>
      <c r="AK396" s="90">
        <f t="shared" si="370"/>
        <v>6238.0466047659793</v>
      </c>
      <c r="AM396" s="95">
        <f t="shared" si="339"/>
        <v>0</v>
      </c>
      <c r="AN396" s="95">
        <f t="shared" si="340"/>
        <v>0</v>
      </c>
      <c r="AO396" s="95">
        <f t="shared" si="341"/>
        <v>0</v>
      </c>
      <c r="AP396" s="95">
        <f t="shared" si="342"/>
        <v>0</v>
      </c>
      <c r="AQ396"/>
      <c r="AR396" s="95">
        <f t="shared" si="371"/>
        <v>0</v>
      </c>
      <c r="AS396" s="95">
        <f t="shared" si="372"/>
        <v>0</v>
      </c>
      <c r="AT396" s="95">
        <f>Geraetedaten!$B$94*ABS(SIN(RADIANS($A396)))</f>
        <v>13.421984383139382</v>
      </c>
      <c r="AU396" s="95">
        <f>Geraetedaten!$B$94*ABS(COS(RADIANS($A396)))</f>
        <v>153.4139835061288</v>
      </c>
      <c r="AV396" s="95">
        <f>((h_Aw_Sw+Geraetedaten!$B$18)/1000)*(AR396*AT396+AS396*AU396)/100</f>
        <v>0</v>
      </c>
      <c r="AX396" s="18">
        <f t="shared" si="338"/>
        <v>0.99619469809174555</v>
      </c>
    </row>
    <row r="397" spans="1:50" ht="13.5" x14ac:dyDescent="0.25">
      <c r="A397" s="16">
        <v>356</v>
      </c>
      <c r="B397" s="16">
        <f t="shared" si="346"/>
        <v>94</v>
      </c>
      <c r="C397" s="19">
        <f t="shared" si="347"/>
        <v>34.306782372021985</v>
      </c>
      <c r="D397" s="17">
        <f t="shared" si="343"/>
        <v>152498.01306762797</v>
      </c>
      <c r="E397" s="17">
        <f t="shared" si="348"/>
        <v>-8877.5340723720219</v>
      </c>
      <c r="F397" s="17">
        <f t="shared" si="349"/>
        <v>-149146.68117237205</v>
      </c>
      <c r="G397" s="17">
        <f t="shared" si="350"/>
        <v>9161.1793876279789</v>
      </c>
      <c r="H397" s="17">
        <f t="shared" si="344"/>
        <v>9161.1793876279789</v>
      </c>
      <c r="I397" s="17">
        <f t="shared" si="351"/>
        <v>6248.3335618325391</v>
      </c>
      <c r="J397" s="20">
        <f>(Geraetedaten!$B$152+(Geraetedaten!$B$153*(Geraetedaten!$B$18+d_y_Sw)/1000))*10</f>
        <v>6051.0442000000003</v>
      </c>
      <c r="K397" s="20">
        <f>(Geraetedaten!$B$165+(Geraetedaten!$B$166*(Geraetedaten!$B$18+d_y_Sw)/1000))*10</f>
        <v>10816.164000000001</v>
      </c>
      <c r="L397" s="20">
        <f>(Geraetedaten!$B$158+(Geraetedaten!$B$159*(Geraetedaten!$B$18+d_y_Sw)/1000)-(Geraetedaten!$B$160*I397/1000))*10</f>
        <v>143.34629991081977</v>
      </c>
      <c r="M397" s="20">
        <f>(Geraetedaten!$B$171+(Geraetedaten!$B$172*(Geraetedaten!$B$18+d_y_Sw)/1000)-(Geraetedaten!$B$173*I397/1000))*10</f>
        <v>599.74104965718664</v>
      </c>
      <c r="N397" s="20">
        <f>IF((H397-J397)/(K397-J397)*(Geraetedaten!$B$174-Geraetedaten!$B$161)&lt;Geraetedaten!$B$174,(H397-J397)/(K397-J397)*(Geraetedaten!$B$174-Geraetedaten!$B$161),Geraetedaten!$B$174)</f>
        <v>261.07508882592867</v>
      </c>
      <c r="O397" s="20">
        <f>N397/Geraetedaten!$B$174*(M397-L397)+L397+C397</f>
        <v>475.53633185714233</v>
      </c>
      <c r="P397" s="20">
        <f t="shared" si="373"/>
        <v>157.80202269157451</v>
      </c>
      <c r="Q397" s="20"/>
      <c r="R397" s="21">
        <f>(N397-Geraetedaten!$B$161)/(Geraetedaten!$B$174-Geraetedaten!$B$161)*(Geraetedaten!$B$175-Geraetedaten!$B$162)+Geraetedaten!$B$162</f>
        <v>36.966983892571378</v>
      </c>
      <c r="S397" s="21">
        <f t="shared" si="352"/>
        <v>36.966983892571378</v>
      </c>
      <c r="T397" s="21">
        <f t="shared" si="353"/>
        <v>-2.5786864413016706</v>
      </c>
      <c r="U397" s="88">
        <f t="shared" si="354"/>
        <v>36.876934177763182</v>
      </c>
      <c r="V397" s="86">
        <f t="shared" si="355"/>
        <v>152532.31985</v>
      </c>
      <c r="W397" s="85">
        <f t="shared" si="356"/>
        <v>-4225.3239992296285</v>
      </c>
      <c r="X397" s="85">
        <f t="shared" si="357"/>
        <v>60949.503193474731</v>
      </c>
      <c r="Y397" s="90">
        <f t="shared" si="358"/>
        <v>4225.3239992296285</v>
      </c>
      <c r="Z397" s="86">
        <f t="shared" si="359"/>
        <v>-8843.2272900000007</v>
      </c>
      <c r="AA397" s="85">
        <f t="shared" si="360"/>
        <v>-913.46204712425447</v>
      </c>
      <c r="AB397" s="85">
        <f t="shared" si="361"/>
        <v>-918.87992241935581</v>
      </c>
      <c r="AC397" s="90">
        <f t="shared" si="362"/>
        <v>913.46204712425447</v>
      </c>
      <c r="AD397" s="86">
        <f t="shared" si="363"/>
        <v>-149112.37439000001</v>
      </c>
      <c r="AE397" s="85">
        <f t="shared" si="364"/>
        <v>4140.4375383844126</v>
      </c>
      <c r="AF397" s="85">
        <f t="shared" si="365"/>
        <v>-59011.85651692166</v>
      </c>
      <c r="AG397" s="90">
        <f t="shared" si="366"/>
        <v>4140.4375383844126</v>
      </c>
      <c r="AH397" s="86">
        <f t="shared" si="367"/>
        <v>9195.4861700000001</v>
      </c>
      <c r="AI397" s="85">
        <f t="shared" si="368"/>
        <v>6238.0466047659793</v>
      </c>
      <c r="AJ397" s="85">
        <f t="shared" si="369"/>
        <v>6248.3335618325391</v>
      </c>
      <c r="AK397" s="90">
        <f t="shared" si="370"/>
        <v>6238.0466047659793</v>
      </c>
      <c r="AM397" s="95">
        <f t="shared" si="339"/>
        <v>0</v>
      </c>
      <c r="AN397" s="95">
        <f t="shared" si="340"/>
        <v>0</v>
      </c>
      <c r="AO397" s="95">
        <f t="shared" si="341"/>
        <v>0</v>
      </c>
      <c r="AP397" s="95">
        <f t="shared" si="342"/>
        <v>0</v>
      </c>
      <c r="AQ397"/>
      <c r="AR397" s="95">
        <f t="shared" si="371"/>
        <v>0</v>
      </c>
      <c r="AS397" s="95">
        <f t="shared" si="372"/>
        <v>0</v>
      </c>
      <c r="AT397" s="95">
        <f>Geraetedaten!$B$94*ABS(SIN(RADIANS($A397)))</f>
        <v>10.742496956595348</v>
      </c>
      <c r="AU397" s="95">
        <f>Geraetedaten!$B$94*ABS(COS(RADIANS($A397)))</f>
        <v>153.62486374001293</v>
      </c>
      <c r="AV397" s="95">
        <f>((h_Aw_Sw+Geraetedaten!$B$18)/1000)*(AR397*AT397+AS397*AU397)/100</f>
        <v>0</v>
      </c>
      <c r="AX397" s="18">
        <f t="shared" si="338"/>
        <v>0.9975640502598242</v>
      </c>
    </row>
    <row r="398" spans="1:50" ht="13.5" x14ac:dyDescent="0.25">
      <c r="A398" s="16">
        <v>357</v>
      </c>
      <c r="B398" s="16">
        <f t="shared" si="346"/>
        <v>93</v>
      </c>
      <c r="C398" s="19">
        <f t="shared" si="347"/>
        <v>33.231649477491914</v>
      </c>
      <c r="D398" s="17">
        <f t="shared" si="343"/>
        <v>203694.77759052251</v>
      </c>
      <c r="E398" s="17">
        <f t="shared" si="348"/>
        <v>-8860.9986494774912</v>
      </c>
      <c r="F398" s="17">
        <f t="shared" si="349"/>
        <v>-198395.04786947751</v>
      </c>
      <c r="G398" s="17">
        <f t="shared" si="350"/>
        <v>9154.4414205225094</v>
      </c>
      <c r="H398" s="17">
        <f t="shared" si="344"/>
        <v>9154.4414205225094</v>
      </c>
      <c r="I398" s="17">
        <f t="shared" si="351"/>
        <v>6243.0245610452102</v>
      </c>
      <c r="J398" s="20">
        <f>(Geraetedaten!$B$152+(Geraetedaten!$B$153*(Geraetedaten!$B$18+d_y_Sw)/1000))*10</f>
        <v>6051.0442000000003</v>
      </c>
      <c r="K398" s="20">
        <f>(Geraetedaten!$B$165+(Geraetedaten!$B$166*(Geraetedaten!$B$18+d_y_Sw)/1000))*10</f>
        <v>10816.164000000001</v>
      </c>
      <c r="L398" s="20">
        <f>(Geraetedaten!$B$158+(Geraetedaten!$B$159*(Geraetedaten!$B$18+d_y_Sw)/1000)-(Geraetedaten!$B$160*I398/1000))*10</f>
        <v>143.73560893855455</v>
      </c>
      <c r="M398" s="20">
        <f>(Geraetedaten!$B$171+(Geraetedaten!$B$172*(Geraetedaten!$B$18+d_y_Sw)/1000)-(Geraetedaten!$B$173*I398/1000))*10</f>
        <v>600.13625167579539</v>
      </c>
      <c r="N398" s="20">
        <f>IF((H398-J398)/(K398-J398)*(Geraetedaten!$B$174-Geraetedaten!$B$161)&lt;Geraetedaten!$B$174,(H398-J398)/(K398-J398)*(Geraetedaten!$B$174-Geraetedaten!$B$161),Geraetedaten!$B$174)</f>
        <v>260.50948146340488</v>
      </c>
      <c r="O398" s="20">
        <f>N398/Geraetedaten!$B$174*(M398-L398)+L398+C398</f>
        <v>474.20899536365482</v>
      </c>
      <c r="P398" s="20">
        <f t="shared" si="373"/>
        <v>157.42058335211692</v>
      </c>
      <c r="Q398" s="20"/>
      <c r="R398" s="21">
        <f>(N398-Geraetedaten!$B$161)/(Geraetedaten!$B$174-Geraetedaten!$B$161)*(Geraetedaten!$B$175-Geraetedaten!$B$162)+Geraetedaten!$B$162</f>
        <v>36.950157073536296</v>
      </c>
      <c r="S398" s="21">
        <f t="shared" si="352"/>
        <v>36.950157073536296</v>
      </c>
      <c r="T398" s="21">
        <f t="shared" si="353"/>
        <v>-1.933821803770517</v>
      </c>
      <c r="U398" s="88">
        <f t="shared" si="354"/>
        <v>36.899518167453977</v>
      </c>
      <c r="V398" s="86">
        <f t="shared" si="355"/>
        <v>203728.00924000001</v>
      </c>
      <c r="W398" s="85">
        <f t="shared" si="356"/>
        <v>-4225.3239992296285</v>
      </c>
      <c r="X398" s="85">
        <f t="shared" si="357"/>
        <v>81406.491171891146</v>
      </c>
      <c r="Y398" s="90">
        <f t="shared" si="358"/>
        <v>4225.3239992296285</v>
      </c>
      <c r="Z398" s="86">
        <f t="shared" si="359"/>
        <v>-8827.7669999999998</v>
      </c>
      <c r="AA398" s="85">
        <f t="shared" si="360"/>
        <v>-913.46204712425447</v>
      </c>
      <c r="AB398" s="85">
        <f t="shared" si="361"/>
        <v>-917.27347815278529</v>
      </c>
      <c r="AC398" s="90">
        <f t="shared" si="362"/>
        <v>913.46204712425447</v>
      </c>
      <c r="AD398" s="86">
        <f t="shared" si="363"/>
        <v>-198361.81622000001</v>
      </c>
      <c r="AE398" s="85">
        <f t="shared" si="364"/>
        <v>4140.4375383844126</v>
      </c>
      <c r="AF398" s="85">
        <f t="shared" si="365"/>
        <v>-78502.532635588155</v>
      </c>
      <c r="AG398" s="90">
        <f t="shared" si="366"/>
        <v>4140.4375383844126</v>
      </c>
      <c r="AH398" s="86">
        <f t="shared" si="367"/>
        <v>9187.6730700000007</v>
      </c>
      <c r="AI398" s="85">
        <f t="shared" si="368"/>
        <v>6238.0466047659793</v>
      </c>
      <c r="AJ398" s="85">
        <f t="shared" si="369"/>
        <v>6243.0245610452102</v>
      </c>
      <c r="AK398" s="90">
        <f t="shared" si="370"/>
        <v>6238.0466047659793</v>
      </c>
      <c r="AM398" s="95">
        <f t="shared" si="339"/>
        <v>0</v>
      </c>
      <c r="AN398" s="95">
        <f t="shared" si="340"/>
        <v>0</v>
      </c>
      <c r="AO398" s="95">
        <f t="shared" si="341"/>
        <v>0</v>
      </c>
      <c r="AP398" s="95">
        <f t="shared" si="342"/>
        <v>0</v>
      </c>
      <c r="AQ398"/>
      <c r="AR398" s="95">
        <f t="shared" si="371"/>
        <v>0</v>
      </c>
      <c r="AS398" s="95">
        <f t="shared" si="372"/>
        <v>0</v>
      </c>
      <c r="AT398" s="95">
        <f>Geraetedaten!$B$94*ABS(SIN(RADIANS($A398)))</f>
        <v>8.0597372614134333</v>
      </c>
      <c r="AU398" s="95">
        <f>Geraetedaten!$B$94*ABS(COS(RADIANS($A398)))</f>
        <v>153.78894835220436</v>
      </c>
      <c r="AV398" s="95">
        <f>((h_Aw_Sw+Geraetedaten!$B$18)/1000)*(AR398*AT398+AS398*AU398)/100</f>
        <v>0</v>
      </c>
      <c r="AX398" s="18">
        <f t="shared" si="338"/>
        <v>0.99862953475457383</v>
      </c>
    </row>
    <row r="399" spans="1:50" ht="13.5" x14ac:dyDescent="0.25">
      <c r="A399" s="16">
        <v>358</v>
      </c>
      <c r="B399" s="16">
        <f t="shared" si="346"/>
        <v>92</v>
      </c>
      <c r="C399" s="19">
        <f t="shared" si="347"/>
        <v>32.146393900608729</v>
      </c>
      <c r="D399" s="17">
        <f t="shared" si="343"/>
        <v>306760.76934609941</v>
      </c>
      <c r="E399" s="17">
        <f t="shared" si="348"/>
        <v>-8847.1875239006076</v>
      </c>
      <c r="F399" s="17">
        <f t="shared" si="349"/>
        <v>-296354.91544390062</v>
      </c>
      <c r="G399" s="17">
        <f t="shared" si="350"/>
        <v>9150.5216060993916</v>
      </c>
      <c r="H399" s="17">
        <f t="shared" si="344"/>
        <v>9150.5216060993916</v>
      </c>
      <c r="I399" s="17">
        <f t="shared" si="351"/>
        <v>6239.6236106095403</v>
      </c>
      <c r="J399" s="20">
        <f>(Geraetedaten!$B$152+(Geraetedaten!$B$153*(Geraetedaten!$B$18+d_y_Sw)/1000))*10</f>
        <v>6051.0442000000003</v>
      </c>
      <c r="K399" s="20">
        <f>(Geraetedaten!$B$165+(Geraetedaten!$B$166*(Geraetedaten!$B$18+d_y_Sw)/1000))*10</f>
        <v>10816.164000000001</v>
      </c>
      <c r="L399" s="20">
        <f>(Geraetedaten!$B$158+(Geraetedaten!$B$159*(Geraetedaten!$B$18+d_y_Sw)/1000)-(Geraetedaten!$B$160*I399/1000))*10</f>
        <v>143.98500063400229</v>
      </c>
      <c r="M399" s="20">
        <f>(Geraetedaten!$B$171+(Geraetedaten!$B$172*(Geraetedaten!$B$18+d_y_Sw)/1000)-(Geraetedaten!$B$173*I399/1000))*10</f>
        <v>600.3894184262266</v>
      </c>
      <c r="N399" s="20">
        <f>IF((H399-J399)/(K399-J399)*(Geraetedaten!$B$174-Geraetedaten!$B$161)&lt;Geraetedaten!$B$174,(H399-J399)/(K399-J399)*(Geraetedaten!$B$174-Geraetedaten!$B$161),Geraetedaten!$B$174)</f>
        <v>260.18043920737449</v>
      </c>
      <c r="O399" s="20">
        <f>N399/Geraetedaten!$B$174*(M399-L399)+L399+C399</f>
        <v>473.00014922802848</v>
      </c>
      <c r="P399" s="20">
        <f t="shared" si="373"/>
        <v>157.05196105423505</v>
      </c>
      <c r="Q399" s="20"/>
      <c r="R399" s="21">
        <f>(N399-Geraetedaten!$B$161)/(Geraetedaten!$B$174-Geraetedaten!$B$161)*(Geraetedaten!$B$175-Geraetedaten!$B$162)+Geraetedaten!$B$162</f>
        <v>36.940368066419396</v>
      </c>
      <c r="S399" s="21">
        <f t="shared" si="352"/>
        <v>36.940368066419396</v>
      </c>
      <c r="T399" s="21">
        <f t="shared" si="353"/>
        <v>-1.2892002535231704</v>
      </c>
      <c r="U399" s="88">
        <f t="shared" si="354"/>
        <v>36.917864992288678</v>
      </c>
      <c r="V399" s="86">
        <f t="shared" si="355"/>
        <v>306792.91574000003</v>
      </c>
      <c r="W399" s="85">
        <f t="shared" si="356"/>
        <v>-4225.3239992296285</v>
      </c>
      <c r="X399" s="85">
        <f t="shared" si="357"/>
        <v>122589.5981606609</v>
      </c>
      <c r="Y399" s="90">
        <f t="shared" si="358"/>
        <v>4225.3239992296285</v>
      </c>
      <c r="Z399" s="86">
        <f t="shared" si="359"/>
        <v>-8815.0411299999996</v>
      </c>
      <c r="AA399" s="85">
        <f t="shared" si="360"/>
        <v>-913.46204712425447</v>
      </c>
      <c r="AB399" s="85">
        <f t="shared" si="361"/>
        <v>-915.95116172863015</v>
      </c>
      <c r="AC399" s="90">
        <f t="shared" si="362"/>
        <v>913.46204712425447</v>
      </c>
      <c r="AD399" s="86">
        <f t="shared" si="363"/>
        <v>-296322.76905</v>
      </c>
      <c r="AE399" s="85">
        <f t="shared" si="364"/>
        <v>4140.4375383844126</v>
      </c>
      <c r="AF399" s="85">
        <f t="shared" si="365"/>
        <v>-117270.99646192665</v>
      </c>
      <c r="AG399" s="90">
        <f t="shared" si="366"/>
        <v>4140.4375383844126</v>
      </c>
      <c r="AH399" s="86">
        <f t="shared" si="367"/>
        <v>9182.6679999999997</v>
      </c>
      <c r="AI399" s="85">
        <f t="shared" si="368"/>
        <v>6238.0466047659793</v>
      </c>
      <c r="AJ399" s="85">
        <f t="shared" si="369"/>
        <v>6239.6236106095403</v>
      </c>
      <c r="AK399" s="90">
        <f t="shared" si="370"/>
        <v>6238.0466047659793</v>
      </c>
      <c r="AM399" s="95">
        <f t="shared" si="339"/>
        <v>0</v>
      </c>
      <c r="AN399" s="95">
        <f t="shared" si="340"/>
        <v>0</v>
      </c>
      <c r="AO399" s="95">
        <f t="shared" si="341"/>
        <v>0</v>
      </c>
      <c r="AP399" s="95">
        <f t="shared" si="342"/>
        <v>0</v>
      </c>
      <c r="AQ399"/>
      <c r="AR399" s="95">
        <f t="shared" si="371"/>
        <v>0</v>
      </c>
      <c r="AS399" s="95">
        <f t="shared" si="372"/>
        <v>0</v>
      </c>
      <c r="AT399" s="95">
        <f>Geraetedaten!$B$94*ABS(SIN(RADIANS($A399)))</f>
        <v>5.3745224921851271</v>
      </c>
      <c r="AU399" s="95">
        <f>Geraetedaten!$B$94*ABS(COS(RADIANS($A399)))</f>
        <v>153.90618736094075</v>
      </c>
      <c r="AV399" s="95">
        <f>((h_Aw_Sw+Geraetedaten!$B$18)/1000)*(AR399*AT399+AS399*AU399)/100</f>
        <v>0</v>
      </c>
      <c r="AX399" s="18">
        <f t="shared" si="338"/>
        <v>0.99939082701909576</v>
      </c>
    </row>
    <row r="400" spans="1:50" ht="13.5" x14ac:dyDescent="0.25">
      <c r="A400" s="16">
        <v>359</v>
      </c>
      <c r="B400" s="16">
        <f t="shared" si="346"/>
        <v>91</v>
      </c>
      <c r="C400" s="19">
        <f t="shared" si="347"/>
        <v>31.051346220734366</v>
      </c>
      <c r="D400" s="17">
        <f t="shared" si="343"/>
        <v>621257.82133377925</v>
      </c>
      <c r="E400" s="17">
        <f t="shared" si="348"/>
        <v>-8836.0814862207353</v>
      </c>
      <c r="F400" s="17">
        <f t="shared" si="349"/>
        <v>-585827.98812622076</v>
      </c>
      <c r="G400" s="17">
        <f t="shared" si="350"/>
        <v>9149.4119637792646</v>
      </c>
      <c r="H400" s="17">
        <f t="shared" si="344"/>
        <v>9149.4119637792646</v>
      </c>
      <c r="I400" s="17">
        <f t="shared" si="351"/>
        <v>6238.1255224386496</v>
      </c>
      <c r="J400" s="20">
        <f>(Geraetedaten!$B$152+(Geraetedaten!$B$153*(Geraetedaten!$B$18+d_y_Sw)/1000))*10</f>
        <v>6051.0442000000003</v>
      </c>
      <c r="K400" s="20">
        <f>(Geraetedaten!$B$165+(Geraetedaten!$B$166*(Geraetedaten!$B$18+d_y_Sw)/1000))*10</f>
        <v>10816.164000000001</v>
      </c>
      <c r="L400" s="20">
        <f>(Geraetedaten!$B$158+(Geraetedaten!$B$159*(Geraetedaten!$B$18+d_y_Sw)/1000)-(Geraetedaten!$B$160*I400/1000))*10</f>
        <v>144.09485543957368</v>
      </c>
      <c r="M400" s="20">
        <f>(Geraetedaten!$B$171+(Geraetedaten!$B$172*(Geraetedaten!$B$18+d_y_Sw)/1000)-(Geraetedaten!$B$173*I400/1000))*10</f>
        <v>600.5009361096678</v>
      </c>
      <c r="N400" s="20">
        <f>IF((H400-J400)/(K400-J400)*(Geraetedaten!$B$174-Geraetedaten!$B$161)&lt;Geraetedaten!$B$174,(H400-J400)/(K400-J400)*(Geraetedaten!$B$174-Geraetedaten!$B$161),Geraetedaten!$B$174)</f>
        <v>260.08729214147053</v>
      </c>
      <c r="O400" s="20">
        <f>N400/Geraetedaten!$B$174*(M400-L400)+L400+C400</f>
        <v>471.90975575627391</v>
      </c>
      <c r="P400" s="20">
        <f t="shared" si="373"/>
        <v>156.69641131450979</v>
      </c>
      <c r="Q400" s="20"/>
      <c r="R400" s="21">
        <f>(N400-Geraetedaten!$B$161)/(Geraetedaten!$B$174-Geraetedaten!$B$161)*(Geraetedaten!$B$175-Geraetedaten!$B$162)+Geraetedaten!$B$162</f>
        <v>36.937596941208753</v>
      </c>
      <c r="S400" s="21">
        <f t="shared" si="352"/>
        <v>36.937596941208753</v>
      </c>
      <c r="T400" s="21">
        <f t="shared" si="353"/>
        <v>-0.64464995463453723</v>
      </c>
      <c r="U400" s="88">
        <f t="shared" si="354"/>
        <v>36.93197116628334</v>
      </c>
      <c r="V400" s="86">
        <f t="shared" si="355"/>
        <v>621288.87268000003</v>
      </c>
      <c r="W400" s="85">
        <f t="shared" si="356"/>
        <v>-4225.3239992296285</v>
      </c>
      <c r="X400" s="85">
        <f t="shared" si="357"/>
        <v>248257.2097886038</v>
      </c>
      <c r="Y400" s="90">
        <f t="shared" si="358"/>
        <v>4225.3239992296285</v>
      </c>
      <c r="Z400" s="86">
        <f t="shared" si="359"/>
        <v>-8805.0301400000008</v>
      </c>
      <c r="AA400" s="85">
        <f t="shared" si="360"/>
        <v>-913.46204712425447</v>
      </c>
      <c r="AB400" s="85">
        <f t="shared" si="361"/>
        <v>-914.9109418082387</v>
      </c>
      <c r="AC400" s="90">
        <f t="shared" si="362"/>
        <v>913.46204712425447</v>
      </c>
      <c r="AD400" s="86">
        <f t="shared" si="363"/>
        <v>-585796.93677999999</v>
      </c>
      <c r="AE400" s="85">
        <f t="shared" si="364"/>
        <v>4140.4375383844126</v>
      </c>
      <c r="AF400" s="85">
        <f t="shared" si="365"/>
        <v>-231831.62981903928</v>
      </c>
      <c r="AG400" s="90">
        <f t="shared" si="366"/>
        <v>4140.4375383844126</v>
      </c>
      <c r="AH400" s="86">
        <f t="shared" si="367"/>
        <v>9180.4633099999992</v>
      </c>
      <c r="AI400" s="85">
        <f t="shared" si="368"/>
        <v>6238.0466047659793</v>
      </c>
      <c r="AJ400" s="85">
        <f t="shared" si="369"/>
        <v>6238.1255224386496</v>
      </c>
      <c r="AK400" s="90">
        <f t="shared" si="370"/>
        <v>6238.0466047659793</v>
      </c>
      <c r="AM400" s="95">
        <f t="shared" si="339"/>
        <v>0</v>
      </c>
      <c r="AN400" s="95">
        <f t="shared" si="340"/>
        <v>0</v>
      </c>
      <c r="AO400" s="95">
        <f t="shared" si="341"/>
        <v>0</v>
      </c>
      <c r="AP400" s="95">
        <f t="shared" si="342"/>
        <v>0</v>
      </c>
      <c r="AQ400"/>
      <c r="AR400" s="95">
        <f t="shared" si="371"/>
        <v>0</v>
      </c>
      <c r="AS400" s="95">
        <f t="shared" si="372"/>
        <v>0</v>
      </c>
      <c r="AT400" s="95">
        <f>Geraetedaten!$B$94*ABS(SIN(RADIANS($A400)))</f>
        <v>2.6876705913416683</v>
      </c>
      <c r="AU400" s="95">
        <f>Geraetedaten!$B$94*ABS(COS(RADIANS($A400)))</f>
        <v>153.97654505408426</v>
      </c>
      <c r="AV400" s="95">
        <f>((h_Aw_Sw+Geraetedaten!$B$18)/1000)*(AR400*AT400+AS400*AU400)/100</f>
        <v>0</v>
      </c>
      <c r="AX400" s="18">
        <f t="shared" si="338"/>
        <v>0.99984769515639127</v>
      </c>
    </row>
    <row r="401" spans="3:49" x14ac:dyDescent="0.2">
      <c r="C401"/>
      <c r="E401" s="1"/>
      <c r="F401" s="1"/>
      <c r="G401" s="1"/>
      <c r="H401" s="1"/>
      <c r="I401" s="1"/>
      <c r="AR401"/>
      <c r="AS401" s="18"/>
      <c r="AT401" s="18"/>
    </row>
    <row r="402" spans="3:49" x14ac:dyDescent="0.2">
      <c r="C402"/>
      <c r="E402" s="1"/>
      <c r="F402" s="1"/>
      <c r="G402" s="1"/>
      <c r="H402" s="1"/>
      <c r="I402" s="1"/>
      <c r="AR402"/>
      <c r="AS402" s="18"/>
      <c r="AT402" s="18"/>
    </row>
    <row r="403" spans="3:49" x14ac:dyDescent="0.2">
      <c r="C403"/>
      <c r="E403" s="1"/>
      <c r="F403" s="1"/>
      <c r="G403" s="1"/>
      <c r="H403" s="1"/>
      <c r="I403" s="1"/>
      <c r="J403" s="1"/>
      <c r="K403" s="1"/>
      <c r="L403" s="1"/>
      <c r="M403" s="1"/>
      <c r="N403" s="1"/>
      <c r="O403" s="1"/>
      <c r="P403" s="1"/>
      <c r="Q403" s="1"/>
      <c r="R403" s="1"/>
      <c r="AR403"/>
      <c r="AS403" s="18"/>
      <c r="AT403" s="18"/>
    </row>
    <row r="404" spans="3:49" x14ac:dyDescent="0.2">
      <c r="C404"/>
      <c r="E404" s="1"/>
      <c r="F404" s="1"/>
      <c r="G404" s="1"/>
      <c r="H404" s="1"/>
      <c r="I404" s="1"/>
      <c r="J404" s="1"/>
      <c r="K404" s="1"/>
      <c r="L404" s="1"/>
      <c r="M404" s="1"/>
      <c r="N404" s="1"/>
      <c r="O404" s="1"/>
      <c r="P404" s="1"/>
      <c r="Q404" s="1"/>
      <c r="R404" s="1"/>
      <c r="AS404"/>
      <c r="AT404" s="18"/>
      <c r="AU404" s="18"/>
    </row>
    <row r="405" spans="3:49" x14ac:dyDescent="0.2">
      <c r="C405"/>
      <c r="E405" s="1"/>
      <c r="F405" s="1"/>
      <c r="G405" s="1"/>
      <c r="H405" s="1"/>
      <c r="I405" s="1"/>
      <c r="J405" s="1"/>
      <c r="K405" s="1"/>
      <c r="L405" s="1"/>
      <c r="M405" s="1"/>
      <c r="N405" s="1"/>
      <c r="O405" s="1"/>
      <c r="P405" s="1"/>
      <c r="Q405" s="1"/>
      <c r="R405" s="1"/>
      <c r="AS405"/>
      <c r="AT405" s="18"/>
      <c r="AU405" s="18"/>
    </row>
    <row r="406" spans="3:49" x14ac:dyDescent="0.2">
      <c r="C406"/>
      <c r="E406" s="1"/>
      <c r="F406" s="1"/>
      <c r="G406" s="1"/>
      <c r="H406" s="1"/>
      <c r="I406" s="1"/>
      <c r="J406" s="1"/>
      <c r="K406" s="1"/>
      <c r="L406" s="1"/>
      <c r="M406" s="1"/>
      <c r="N406" s="1"/>
      <c r="O406" s="1"/>
      <c r="P406" s="1"/>
      <c r="Q406" s="1"/>
      <c r="R406" s="1"/>
      <c r="AV406" s="18"/>
      <c r="AW406" s="18"/>
    </row>
    <row r="407" spans="3:49" x14ac:dyDescent="0.2">
      <c r="C407"/>
      <c r="E407" s="1"/>
      <c r="F407" s="1"/>
      <c r="G407" s="1"/>
      <c r="H407" s="1"/>
      <c r="I407" s="1"/>
      <c r="J407" s="1"/>
      <c r="K407" s="1"/>
      <c r="L407" s="1"/>
      <c r="M407" s="1"/>
      <c r="N407" s="1"/>
      <c r="O407" s="1"/>
      <c r="P407" s="1"/>
      <c r="Q407" s="1"/>
      <c r="R407" s="1"/>
      <c r="AV407" s="18"/>
      <c r="AW407" s="18"/>
    </row>
    <row r="408" spans="3:49" x14ac:dyDescent="0.2">
      <c r="E408" s="1"/>
      <c r="F408" s="1"/>
      <c r="G408" s="1"/>
      <c r="H408" s="1"/>
      <c r="I408" s="1"/>
      <c r="J408" s="1"/>
      <c r="K408" s="1"/>
      <c r="L408" s="1"/>
      <c r="M408" s="1"/>
      <c r="AV408" s="18"/>
      <c r="AW408" s="18"/>
    </row>
    <row r="409" spans="3:49" x14ac:dyDescent="0.2">
      <c r="E409" s="1"/>
      <c r="F409" s="1"/>
      <c r="G409" s="1"/>
      <c r="H409" s="1"/>
      <c r="I409" s="1"/>
      <c r="J409" s="1"/>
      <c r="K409" s="1"/>
      <c r="L409" s="1"/>
      <c r="M409" s="1"/>
      <c r="AV409" s="18"/>
      <c r="AW409" s="18"/>
    </row>
    <row r="410" spans="3:49" x14ac:dyDescent="0.2">
      <c r="E410" s="1"/>
      <c r="F410" s="1"/>
      <c r="G410" s="1"/>
      <c r="H410" s="1"/>
      <c r="I410" s="1"/>
      <c r="J410" s="1"/>
      <c r="K410" s="1"/>
      <c r="L410" s="1"/>
      <c r="M410" s="1"/>
      <c r="AV410" s="18"/>
      <c r="AW410" s="18"/>
    </row>
    <row r="411" spans="3:49" x14ac:dyDescent="0.2">
      <c r="E411" s="1"/>
      <c r="F411" s="1"/>
      <c r="G411" s="1"/>
      <c r="H411" s="1"/>
      <c r="I411" s="1"/>
      <c r="J411" s="1"/>
      <c r="K411" s="1"/>
      <c r="L411" s="1"/>
      <c r="M411" s="1"/>
      <c r="AV411" s="18"/>
      <c r="AW411" s="18"/>
    </row>
    <row r="412" spans="3:49" x14ac:dyDescent="0.2">
      <c r="E412" s="1"/>
      <c r="F412" s="1"/>
      <c r="G412" s="1"/>
      <c r="H412" s="1"/>
      <c r="I412" s="1"/>
      <c r="J412" s="1"/>
      <c r="K412" s="1"/>
      <c r="L412" s="1"/>
      <c r="M412" s="1"/>
      <c r="AV412" s="18"/>
      <c r="AW412" s="18"/>
    </row>
    <row r="413" spans="3:49" x14ac:dyDescent="0.2">
      <c r="E413" s="1"/>
      <c r="F413" s="1"/>
      <c r="G413" s="1"/>
      <c r="H413" s="1"/>
      <c r="I413" s="1"/>
      <c r="J413" s="1"/>
      <c r="K413" s="1"/>
      <c r="L413" s="1"/>
      <c r="M413" s="1"/>
      <c r="AV413" s="18"/>
      <c r="AW413" s="18"/>
    </row>
    <row r="414" spans="3:49" x14ac:dyDescent="0.2">
      <c r="E414" s="1"/>
      <c r="F414" s="1"/>
      <c r="G414" s="1"/>
      <c r="H414" s="1"/>
      <c r="I414" s="1"/>
      <c r="J414" s="1"/>
      <c r="K414" s="1"/>
      <c r="L414" s="1"/>
      <c r="M414" s="1"/>
      <c r="AV414" s="18"/>
      <c r="AW414" s="18"/>
    </row>
    <row r="415" spans="3:49" x14ac:dyDescent="0.2">
      <c r="E415" s="1"/>
      <c r="F415" s="1"/>
      <c r="G415" s="1"/>
      <c r="H415" s="1"/>
      <c r="I415" s="1"/>
      <c r="J415" s="1"/>
      <c r="K415" s="1"/>
      <c r="L415" s="1"/>
      <c r="M415" s="1"/>
      <c r="AV415" s="18"/>
      <c r="AW415" s="18"/>
    </row>
    <row r="416" spans="3:49" x14ac:dyDescent="0.2">
      <c r="E416" s="1"/>
      <c r="F416" s="1"/>
      <c r="G416" s="1"/>
      <c r="H416" s="1"/>
      <c r="I416" s="1"/>
      <c r="J416" s="1"/>
      <c r="K416" s="1"/>
      <c r="L416" s="1"/>
      <c r="M416" s="1"/>
      <c r="AV416" s="18"/>
      <c r="AW416" s="18"/>
    </row>
    <row r="417" spans="5:49" x14ac:dyDescent="0.2">
      <c r="E417" s="1"/>
      <c r="F417" s="1"/>
      <c r="G417" s="1"/>
      <c r="H417" s="1"/>
      <c r="I417" s="1"/>
      <c r="J417" s="1"/>
      <c r="K417" s="1"/>
      <c r="L417" s="1"/>
      <c r="M417" s="1"/>
      <c r="AB417" s="76"/>
      <c r="AV417" s="18"/>
      <c r="AW417" s="18"/>
    </row>
    <row r="418" spans="5:49" x14ac:dyDescent="0.2">
      <c r="E418" s="1"/>
      <c r="F418" s="1"/>
      <c r="G418" s="1"/>
      <c r="H418" s="1"/>
      <c r="I418" s="1"/>
      <c r="J418" s="1"/>
      <c r="K418" s="1"/>
      <c r="L418" s="1"/>
      <c r="M418" s="1"/>
      <c r="AB418" s="76"/>
      <c r="AV418" s="18"/>
      <c r="AW418" s="18"/>
    </row>
    <row r="419" spans="5:49" x14ac:dyDescent="0.2">
      <c r="E419" s="1"/>
      <c r="F419" s="1"/>
      <c r="G419" s="1"/>
      <c r="H419" s="1"/>
      <c r="I419" s="1"/>
      <c r="J419" s="1"/>
      <c r="K419" s="1"/>
      <c r="L419" s="1"/>
      <c r="M419" s="1"/>
      <c r="AB419" s="76"/>
      <c r="AV419" s="18"/>
      <c r="AW419" s="18"/>
    </row>
    <row r="420" spans="5:49" x14ac:dyDescent="0.2">
      <c r="E420" s="1"/>
      <c r="F420" s="1"/>
      <c r="G420" s="1"/>
      <c r="H420" s="1"/>
      <c r="I420" s="1"/>
      <c r="J420" s="1"/>
      <c r="K420" s="1"/>
      <c r="L420" s="1"/>
      <c r="M420" s="1"/>
      <c r="AB420" s="76"/>
      <c r="AV420" s="18"/>
      <c r="AW420" s="18"/>
    </row>
    <row r="421" spans="5:49" x14ac:dyDescent="0.2">
      <c r="E421" s="1"/>
      <c r="F421" s="1"/>
      <c r="G421" s="1"/>
      <c r="H421" s="1"/>
      <c r="I421" s="1"/>
      <c r="J421" s="1"/>
      <c r="K421" s="1"/>
      <c r="L421" s="1"/>
      <c r="M421" s="1"/>
      <c r="AB421" s="76"/>
      <c r="AV421" s="18"/>
      <c r="AW421" s="18"/>
    </row>
    <row r="422" spans="5:49" x14ac:dyDescent="0.2">
      <c r="E422" s="1"/>
      <c r="F422" s="1"/>
      <c r="G422" s="1"/>
      <c r="H422" s="1"/>
      <c r="I422" s="1"/>
      <c r="J422" s="1"/>
      <c r="K422" s="1"/>
      <c r="L422" s="1"/>
      <c r="M422" s="1"/>
      <c r="AB422" s="76"/>
      <c r="AV422" s="18"/>
      <c r="AW422" s="18"/>
    </row>
    <row r="423" spans="5:49" x14ac:dyDescent="0.2">
      <c r="E423" s="1"/>
      <c r="F423" s="1"/>
      <c r="G423" s="1"/>
      <c r="H423" s="1"/>
      <c r="I423" s="1"/>
      <c r="J423" s="1"/>
      <c r="K423" s="1"/>
      <c r="L423" s="1"/>
      <c r="M423" s="1"/>
      <c r="AB423" s="76"/>
      <c r="AV423" s="18"/>
      <c r="AW423" s="18"/>
    </row>
    <row r="424" spans="5:49" x14ac:dyDescent="0.2">
      <c r="E424" s="1"/>
      <c r="F424" s="1"/>
      <c r="G424" s="1"/>
      <c r="H424" s="1"/>
      <c r="I424" s="1"/>
      <c r="J424" s="1"/>
      <c r="K424" s="1"/>
      <c r="L424" s="1"/>
      <c r="M424" s="1"/>
      <c r="AB424" s="76"/>
      <c r="AV424" s="18"/>
      <c r="AW424" s="18"/>
    </row>
    <row r="425" spans="5:49" x14ac:dyDescent="0.2">
      <c r="E425" s="1"/>
      <c r="F425" s="1"/>
      <c r="G425" s="1"/>
      <c r="H425" s="1"/>
      <c r="I425" s="1"/>
      <c r="J425" s="1"/>
      <c r="K425" s="1"/>
      <c r="L425" s="1"/>
      <c r="M425" s="1"/>
      <c r="AB425" s="76"/>
      <c r="AV425" s="18"/>
      <c r="AW425" s="18"/>
    </row>
    <row r="426" spans="5:49" x14ac:dyDescent="0.2">
      <c r="E426" s="1"/>
      <c r="F426" s="1"/>
      <c r="G426" s="1"/>
      <c r="H426" s="1"/>
      <c r="I426" s="1"/>
      <c r="J426" s="1"/>
      <c r="K426" s="1"/>
      <c r="L426" s="1"/>
      <c r="M426" s="1"/>
      <c r="AB426" s="76"/>
      <c r="AV426" s="18"/>
      <c r="AW426" s="18"/>
    </row>
    <row r="427" spans="5:49" x14ac:dyDescent="0.2">
      <c r="E427" s="1"/>
      <c r="F427" s="1"/>
      <c r="G427" s="1"/>
      <c r="H427" s="1"/>
      <c r="I427" s="1"/>
      <c r="J427" s="1"/>
      <c r="K427" s="1"/>
      <c r="L427" s="1"/>
      <c r="M427" s="1"/>
      <c r="AB427" s="76"/>
      <c r="AV427" s="18"/>
      <c r="AW427" s="18"/>
    </row>
    <row r="428" spans="5:49" x14ac:dyDescent="0.2">
      <c r="E428" s="1"/>
      <c r="F428" s="1"/>
      <c r="G428" s="1"/>
      <c r="H428" s="1"/>
      <c r="I428" s="1"/>
      <c r="J428" s="1"/>
      <c r="K428" s="1"/>
      <c r="L428" s="1"/>
      <c r="M428" s="1"/>
      <c r="AB428" s="76"/>
      <c r="AV428" s="18"/>
      <c r="AW428" s="18"/>
    </row>
    <row r="429" spans="5:49" x14ac:dyDescent="0.2">
      <c r="E429" s="1"/>
      <c r="F429" s="1"/>
      <c r="G429" s="1"/>
      <c r="H429" s="1"/>
      <c r="I429" s="1"/>
      <c r="J429" s="1"/>
      <c r="K429" s="1"/>
      <c r="L429" s="1"/>
      <c r="M429" s="1"/>
      <c r="AB429" s="76"/>
      <c r="AV429" s="18"/>
      <c r="AW429" s="18"/>
    </row>
    <row r="430" spans="5:49" x14ac:dyDescent="0.2">
      <c r="E430" s="1"/>
      <c r="F430" s="1"/>
      <c r="G430" s="1"/>
      <c r="H430" s="1"/>
      <c r="I430" s="1"/>
      <c r="J430" s="1"/>
      <c r="K430" s="1"/>
      <c r="L430" s="1"/>
      <c r="M430" s="1"/>
      <c r="AB430" s="76"/>
      <c r="AV430" s="18"/>
      <c r="AW430" s="18"/>
    </row>
    <row r="431" spans="5:49" x14ac:dyDescent="0.2">
      <c r="E431" s="1"/>
      <c r="F431" s="1"/>
      <c r="G431" s="1"/>
      <c r="H431" s="1"/>
      <c r="I431" s="1"/>
      <c r="J431" s="1"/>
      <c r="K431" s="1"/>
      <c r="L431" s="1"/>
      <c r="M431" s="1"/>
      <c r="AB431" s="76"/>
      <c r="AV431" s="18"/>
      <c r="AW431" s="18"/>
    </row>
    <row r="432" spans="5:49" x14ac:dyDescent="0.2">
      <c r="E432" s="1"/>
      <c r="F432" s="1"/>
      <c r="G432" s="1"/>
      <c r="H432" s="1"/>
      <c r="I432" s="1"/>
      <c r="J432" s="1"/>
      <c r="K432" s="1"/>
      <c r="L432" s="1"/>
      <c r="M432" s="1"/>
      <c r="AB432" s="76"/>
      <c r="AV432" s="18"/>
      <c r="AW432" s="18"/>
    </row>
    <row r="433" spans="5:49" x14ac:dyDescent="0.2">
      <c r="E433" s="1"/>
      <c r="F433" s="1"/>
      <c r="G433" s="1"/>
      <c r="H433" s="1"/>
      <c r="I433" s="1"/>
      <c r="J433" s="1"/>
      <c r="K433" s="1"/>
      <c r="L433" s="1"/>
      <c r="M433" s="1"/>
      <c r="AB433" s="76"/>
      <c r="AV433" s="18"/>
      <c r="AW433" s="18"/>
    </row>
    <row r="434" spans="5:49" x14ac:dyDescent="0.2">
      <c r="E434" s="1"/>
      <c r="F434" s="1"/>
      <c r="G434" s="1"/>
      <c r="H434" s="1"/>
      <c r="I434" s="1"/>
      <c r="J434" s="1"/>
      <c r="K434" s="1"/>
      <c r="L434" s="1"/>
      <c r="M434" s="1"/>
      <c r="AB434" s="76"/>
      <c r="AV434" s="18"/>
      <c r="AW434" s="18"/>
    </row>
    <row r="435" spans="5:49" x14ac:dyDescent="0.2">
      <c r="E435" s="1"/>
      <c r="F435" s="1"/>
      <c r="G435" s="1"/>
      <c r="H435" s="1"/>
      <c r="I435" s="1"/>
      <c r="J435" s="1"/>
      <c r="K435" s="1"/>
      <c r="L435" s="1"/>
      <c r="M435" s="1"/>
      <c r="AB435" s="76"/>
      <c r="AV435" s="18"/>
      <c r="AW435" s="18"/>
    </row>
    <row r="436" spans="5:49" x14ac:dyDescent="0.2">
      <c r="E436" s="1"/>
      <c r="F436" s="1"/>
      <c r="G436" s="1"/>
      <c r="H436" s="1"/>
      <c r="I436" s="1"/>
      <c r="J436" s="1"/>
      <c r="K436" s="1"/>
      <c r="L436" s="1"/>
      <c r="M436" s="1"/>
      <c r="AB436" s="76"/>
      <c r="AV436" s="18"/>
      <c r="AW436" s="18"/>
    </row>
    <row r="437" spans="5:49" x14ac:dyDescent="0.2">
      <c r="E437" s="1"/>
      <c r="F437" s="1"/>
      <c r="G437" s="1"/>
      <c r="H437" s="1"/>
      <c r="I437" s="1"/>
      <c r="J437" s="1"/>
      <c r="K437" s="1"/>
      <c r="L437" s="1"/>
      <c r="M437" s="1"/>
      <c r="AB437" s="76"/>
      <c r="AV437" s="18"/>
      <c r="AW437" s="18"/>
    </row>
    <row r="438" spans="5:49" x14ac:dyDescent="0.2">
      <c r="E438" s="1"/>
      <c r="F438" s="1"/>
      <c r="G438" s="1"/>
      <c r="H438" s="1"/>
      <c r="I438" s="1"/>
      <c r="J438" s="1"/>
      <c r="K438" s="1"/>
      <c r="L438" s="1"/>
      <c r="M438" s="1"/>
      <c r="AB438" s="76"/>
      <c r="AV438" s="18"/>
      <c r="AW438" s="18"/>
    </row>
    <row r="439" spans="5:49" x14ac:dyDescent="0.2">
      <c r="E439" s="1"/>
      <c r="F439" s="1"/>
      <c r="G439" s="1"/>
      <c r="H439" s="1"/>
      <c r="I439" s="1"/>
      <c r="J439" s="1"/>
      <c r="K439" s="1"/>
      <c r="L439" s="1"/>
      <c r="M439" s="1"/>
      <c r="AB439" s="76"/>
      <c r="AV439" s="18"/>
      <c r="AW439" s="18"/>
    </row>
    <row r="440" spans="5:49" x14ac:dyDescent="0.2">
      <c r="E440" s="1"/>
      <c r="F440" s="1"/>
      <c r="G440" s="1"/>
      <c r="H440" s="1"/>
      <c r="I440" s="1"/>
      <c r="J440" s="1"/>
      <c r="K440" s="1"/>
      <c r="L440" s="1"/>
      <c r="M440" s="1"/>
      <c r="AB440" s="76"/>
      <c r="AV440" s="18"/>
      <c r="AW440" s="18"/>
    </row>
    <row r="441" spans="5:49" x14ac:dyDescent="0.2">
      <c r="E441" s="1"/>
      <c r="F441" s="1"/>
      <c r="G441" s="1"/>
      <c r="H441" s="1"/>
      <c r="I441" s="1"/>
      <c r="J441" s="1"/>
      <c r="K441" s="1"/>
      <c r="L441" s="1"/>
      <c r="M441" s="1"/>
      <c r="AB441" s="76"/>
      <c r="AV441" s="18"/>
      <c r="AW441" s="18"/>
    </row>
    <row r="442" spans="5:49" x14ac:dyDescent="0.2">
      <c r="E442" s="1"/>
      <c r="F442" s="1"/>
      <c r="G442" s="1"/>
      <c r="H442" s="1"/>
      <c r="I442" s="1"/>
      <c r="J442" s="1"/>
      <c r="K442" s="1"/>
      <c r="L442" s="1"/>
      <c r="M442" s="1"/>
      <c r="AB442" s="76"/>
      <c r="AV442" s="18"/>
      <c r="AW442" s="18"/>
    </row>
    <row r="443" spans="5:49" x14ac:dyDescent="0.2">
      <c r="E443" s="1"/>
      <c r="F443" s="1"/>
      <c r="G443" s="1"/>
      <c r="H443" s="1"/>
      <c r="I443" s="1"/>
      <c r="J443" s="1"/>
      <c r="K443" s="1"/>
      <c r="L443" s="1"/>
      <c r="M443" s="1"/>
      <c r="AB443" s="76"/>
      <c r="AV443" s="18"/>
      <c r="AW443" s="18"/>
    </row>
    <row r="444" spans="5:49" x14ac:dyDescent="0.2">
      <c r="E444" s="1"/>
      <c r="F444" s="1"/>
      <c r="G444" s="1"/>
      <c r="H444" s="1"/>
      <c r="I444" s="1"/>
      <c r="J444" s="1"/>
      <c r="K444" s="1"/>
      <c r="L444" s="1"/>
      <c r="M444" s="1"/>
      <c r="AB444" s="76"/>
      <c r="AV444" s="18"/>
      <c r="AW444" s="18"/>
    </row>
    <row r="445" spans="5:49" x14ac:dyDescent="0.2">
      <c r="E445" s="1"/>
      <c r="F445" s="1"/>
      <c r="G445" s="1"/>
      <c r="H445" s="1"/>
      <c r="I445" s="1"/>
      <c r="J445" s="1"/>
      <c r="K445" s="1"/>
      <c r="L445" s="1"/>
      <c r="M445" s="1"/>
      <c r="AB445" s="76"/>
      <c r="AV445" s="18"/>
      <c r="AW445" s="18"/>
    </row>
    <row r="446" spans="5:49" x14ac:dyDescent="0.2">
      <c r="E446" s="1"/>
      <c r="F446" s="1"/>
      <c r="G446" s="1"/>
      <c r="H446" s="1"/>
      <c r="I446" s="1"/>
      <c r="J446" s="1"/>
      <c r="K446" s="1"/>
      <c r="L446" s="1"/>
      <c r="M446" s="1"/>
      <c r="AB446" s="76"/>
      <c r="AV446" s="18"/>
      <c r="AW446" s="18"/>
    </row>
    <row r="447" spans="5:49" x14ac:dyDescent="0.2">
      <c r="E447" s="1"/>
      <c r="F447" s="1"/>
      <c r="G447" s="1"/>
      <c r="H447" s="1"/>
      <c r="I447" s="1"/>
      <c r="J447" s="1"/>
      <c r="K447" s="1"/>
      <c r="L447" s="1"/>
      <c r="M447" s="1"/>
      <c r="AB447" s="76"/>
      <c r="AV447" s="18"/>
      <c r="AW447" s="18"/>
    </row>
    <row r="448" spans="5:49" x14ac:dyDescent="0.2">
      <c r="E448" s="1"/>
      <c r="F448" s="1"/>
      <c r="G448" s="1"/>
      <c r="H448" s="1"/>
      <c r="I448" s="1"/>
      <c r="J448" s="1"/>
      <c r="K448" s="1"/>
      <c r="L448" s="1"/>
      <c r="M448" s="1"/>
      <c r="AB448" s="76"/>
      <c r="AV448" s="18"/>
      <c r="AW448" s="18"/>
    </row>
    <row r="449" spans="5:49" x14ac:dyDescent="0.2">
      <c r="E449" s="1"/>
      <c r="F449" s="1"/>
      <c r="G449" s="1"/>
      <c r="H449" s="1"/>
      <c r="I449" s="1"/>
      <c r="J449" s="1"/>
      <c r="K449" s="1"/>
      <c r="L449" s="1"/>
      <c r="M449" s="1"/>
      <c r="AB449" s="76"/>
      <c r="AV449" s="18"/>
      <c r="AW449" s="18"/>
    </row>
    <row r="450" spans="5:49" x14ac:dyDescent="0.2">
      <c r="E450" s="1"/>
      <c r="F450" s="1"/>
      <c r="G450" s="1"/>
      <c r="H450" s="1"/>
      <c r="I450" s="1"/>
      <c r="J450" s="1"/>
      <c r="K450" s="1"/>
      <c r="L450" s="1"/>
      <c r="M450" s="1"/>
      <c r="AB450" s="76"/>
      <c r="AV450" s="18"/>
      <c r="AW450" s="18"/>
    </row>
    <row r="451" spans="5:49" x14ac:dyDescent="0.2">
      <c r="E451" s="1"/>
      <c r="F451" s="1"/>
      <c r="G451" s="1"/>
      <c r="H451" s="1"/>
      <c r="I451" s="1"/>
      <c r="J451" s="1"/>
      <c r="K451" s="1"/>
      <c r="L451" s="1"/>
      <c r="M451" s="1"/>
      <c r="AB451" s="76"/>
      <c r="AV451" s="18"/>
      <c r="AW451" s="18"/>
    </row>
    <row r="452" spans="5:49" x14ac:dyDescent="0.2">
      <c r="E452" s="1"/>
      <c r="F452" s="1"/>
      <c r="G452" s="1"/>
      <c r="H452" s="1"/>
      <c r="I452" s="1"/>
      <c r="J452" s="1"/>
      <c r="K452" s="1"/>
      <c r="L452" s="1"/>
      <c r="M452" s="1"/>
      <c r="AB452" s="76"/>
      <c r="AV452" s="18"/>
      <c r="AW452" s="18"/>
    </row>
    <row r="453" spans="5:49" x14ac:dyDescent="0.2">
      <c r="E453" s="1"/>
      <c r="F453" s="1"/>
      <c r="G453" s="1"/>
      <c r="H453" s="1"/>
      <c r="I453" s="1"/>
      <c r="J453" s="1"/>
      <c r="K453" s="1"/>
      <c r="L453" s="1"/>
      <c r="M453" s="1"/>
      <c r="AB453" s="76"/>
      <c r="AV453" s="18"/>
      <c r="AW453" s="18"/>
    </row>
    <row r="454" spans="5:49" x14ac:dyDescent="0.2">
      <c r="E454" s="1"/>
      <c r="F454" s="1"/>
      <c r="G454" s="1"/>
      <c r="H454" s="1"/>
      <c r="I454" s="1"/>
      <c r="J454" s="1"/>
      <c r="K454" s="1"/>
      <c r="L454" s="1"/>
      <c r="M454" s="1"/>
      <c r="AB454" s="76"/>
      <c r="AV454" s="18"/>
      <c r="AW454" s="18"/>
    </row>
    <row r="455" spans="5:49" x14ac:dyDescent="0.2">
      <c r="E455" s="1"/>
      <c r="F455" s="1"/>
      <c r="G455" s="1"/>
      <c r="H455" s="1"/>
      <c r="I455" s="1"/>
      <c r="J455" s="1"/>
      <c r="K455" s="1"/>
      <c r="L455" s="1"/>
      <c r="M455" s="1"/>
      <c r="AB455" s="76"/>
      <c r="AV455" s="18"/>
      <c r="AW455" s="18"/>
    </row>
    <row r="456" spans="5:49" x14ac:dyDescent="0.2">
      <c r="E456" s="1"/>
      <c r="F456" s="1"/>
      <c r="G456" s="1"/>
      <c r="H456" s="1"/>
      <c r="I456" s="1"/>
      <c r="J456" s="1"/>
      <c r="K456" s="1"/>
      <c r="L456" s="1"/>
      <c r="M456" s="1"/>
      <c r="AB456" s="76"/>
      <c r="AV456" s="18"/>
      <c r="AW456" s="18"/>
    </row>
    <row r="457" spans="5:49" x14ac:dyDescent="0.2">
      <c r="E457" s="1"/>
      <c r="F457" s="1"/>
      <c r="G457" s="1"/>
      <c r="H457" s="1"/>
      <c r="I457" s="1"/>
      <c r="J457" s="1"/>
      <c r="K457" s="1"/>
      <c r="L457" s="1"/>
      <c r="M457" s="1"/>
      <c r="AB457" s="76"/>
      <c r="AV457" s="18"/>
      <c r="AW457" s="18"/>
    </row>
    <row r="458" spans="5:49" x14ac:dyDescent="0.2">
      <c r="E458" s="1"/>
      <c r="F458" s="1"/>
      <c r="G458" s="1"/>
      <c r="H458" s="1"/>
      <c r="I458" s="1"/>
      <c r="J458" s="1"/>
      <c r="K458" s="1"/>
      <c r="L458" s="1"/>
      <c r="M458" s="1"/>
      <c r="AB458" s="76"/>
      <c r="AV458" s="18"/>
      <c r="AW458" s="18"/>
    </row>
    <row r="459" spans="5:49" x14ac:dyDescent="0.2">
      <c r="E459" s="1"/>
      <c r="F459" s="1"/>
      <c r="G459" s="1"/>
      <c r="H459" s="1"/>
      <c r="I459" s="1"/>
      <c r="J459" s="1"/>
      <c r="K459" s="1"/>
      <c r="L459" s="1"/>
      <c r="M459" s="1"/>
      <c r="AB459" s="76"/>
      <c r="AV459" s="18"/>
      <c r="AW459" s="18"/>
    </row>
    <row r="460" spans="5:49" x14ac:dyDescent="0.2">
      <c r="E460" s="1"/>
      <c r="F460" s="1"/>
      <c r="G460" s="1"/>
      <c r="H460" s="1"/>
      <c r="I460" s="1"/>
      <c r="J460" s="1"/>
      <c r="K460" s="1"/>
      <c r="L460" s="1"/>
      <c r="M460" s="1"/>
      <c r="AB460" s="76"/>
      <c r="AV460" s="18"/>
      <c r="AW460" s="18"/>
    </row>
    <row r="461" spans="5:49" x14ac:dyDescent="0.2">
      <c r="E461" s="1"/>
      <c r="F461" s="1"/>
      <c r="G461" s="1"/>
      <c r="H461" s="1"/>
      <c r="I461" s="1"/>
      <c r="J461" s="1"/>
      <c r="K461" s="1"/>
      <c r="L461" s="1"/>
      <c r="M461" s="1"/>
      <c r="AB461" s="76"/>
      <c r="AV461" s="18"/>
      <c r="AW461" s="18"/>
    </row>
    <row r="462" spans="5:49" x14ac:dyDescent="0.2">
      <c r="E462" s="1"/>
      <c r="F462" s="1"/>
      <c r="G462" s="1"/>
      <c r="H462" s="1"/>
      <c r="I462" s="1"/>
      <c r="J462" s="1"/>
      <c r="K462" s="1"/>
      <c r="L462" s="1"/>
      <c r="M462" s="1"/>
      <c r="AB462" s="76"/>
      <c r="AV462" s="18"/>
      <c r="AW462" s="18"/>
    </row>
    <row r="463" spans="5:49" x14ac:dyDescent="0.2">
      <c r="E463" s="1"/>
      <c r="F463" s="1"/>
      <c r="G463" s="1"/>
      <c r="H463" s="1"/>
      <c r="I463" s="1"/>
      <c r="J463" s="1"/>
      <c r="K463" s="1"/>
      <c r="L463" s="1"/>
      <c r="M463" s="1"/>
      <c r="AB463" s="76"/>
      <c r="AV463" s="18"/>
      <c r="AW463" s="18"/>
    </row>
    <row r="464" spans="5:49" x14ac:dyDescent="0.2">
      <c r="E464" s="1"/>
      <c r="F464" s="1"/>
      <c r="G464" s="1"/>
      <c r="H464" s="1"/>
      <c r="I464" s="1"/>
      <c r="J464" s="1"/>
      <c r="K464" s="1"/>
      <c r="L464" s="1"/>
      <c r="M464" s="1"/>
      <c r="AB464" s="76"/>
      <c r="AV464" s="18"/>
      <c r="AW464" s="18"/>
    </row>
    <row r="465" spans="5:49" x14ac:dyDescent="0.2">
      <c r="E465" s="1"/>
      <c r="F465" s="1"/>
      <c r="G465" s="1"/>
      <c r="H465" s="1"/>
      <c r="I465" s="1"/>
      <c r="J465" s="1"/>
      <c r="K465" s="1"/>
      <c r="L465" s="1"/>
      <c r="M465" s="1"/>
      <c r="AB465" s="76"/>
      <c r="AV465" s="18"/>
      <c r="AW465" s="18"/>
    </row>
    <row r="466" spans="5:49" x14ac:dyDescent="0.2">
      <c r="E466" s="1"/>
      <c r="F466" s="1"/>
      <c r="G466" s="1"/>
      <c r="H466" s="1"/>
      <c r="I466" s="1"/>
      <c r="J466" s="1"/>
      <c r="K466" s="1"/>
      <c r="L466" s="1"/>
      <c r="M466" s="1"/>
      <c r="AB466" s="76"/>
      <c r="AV466" s="18"/>
      <c r="AW466" s="18"/>
    </row>
    <row r="467" spans="5:49" x14ac:dyDescent="0.2">
      <c r="E467" s="1"/>
      <c r="F467" s="1"/>
      <c r="G467" s="1"/>
      <c r="H467" s="1"/>
      <c r="I467" s="1"/>
      <c r="J467" s="1"/>
      <c r="K467" s="1"/>
      <c r="L467" s="1"/>
      <c r="M467" s="1"/>
      <c r="AB467" s="76"/>
      <c r="AV467" s="18"/>
      <c r="AW467" s="18"/>
    </row>
    <row r="468" spans="5:49" x14ac:dyDescent="0.2">
      <c r="E468" s="1"/>
      <c r="F468" s="1"/>
      <c r="G468" s="1"/>
      <c r="H468" s="1"/>
      <c r="I468" s="1"/>
      <c r="J468" s="1"/>
      <c r="K468" s="1"/>
      <c r="L468" s="1"/>
      <c r="M468" s="1"/>
      <c r="AB468" s="76"/>
      <c r="AV468" s="18"/>
      <c r="AW468" s="18"/>
    </row>
    <row r="469" spans="5:49" x14ac:dyDescent="0.2">
      <c r="E469" s="1"/>
      <c r="F469" s="1"/>
      <c r="G469" s="1"/>
      <c r="H469" s="1"/>
      <c r="I469" s="1"/>
      <c r="J469" s="1"/>
      <c r="K469" s="1"/>
      <c r="L469" s="1"/>
      <c r="M469" s="1"/>
      <c r="AB469" s="76"/>
      <c r="AV469" s="18"/>
      <c r="AW469" s="18"/>
    </row>
    <row r="470" spans="5:49" x14ac:dyDescent="0.2">
      <c r="E470" s="1"/>
      <c r="F470" s="1"/>
      <c r="G470" s="1"/>
      <c r="H470" s="1"/>
      <c r="I470" s="1"/>
      <c r="J470" s="1"/>
      <c r="K470" s="1"/>
      <c r="L470" s="1"/>
      <c r="M470" s="1"/>
      <c r="AB470" s="76"/>
      <c r="AV470" s="18"/>
      <c r="AW470" s="18"/>
    </row>
    <row r="471" spans="5:49" x14ac:dyDescent="0.2">
      <c r="E471" s="1"/>
      <c r="F471" s="1"/>
      <c r="G471" s="1"/>
      <c r="H471" s="1"/>
      <c r="I471" s="1"/>
      <c r="J471" s="1"/>
      <c r="K471" s="1"/>
      <c r="L471" s="1"/>
      <c r="M471" s="1"/>
      <c r="AB471" s="76"/>
      <c r="AV471" s="18"/>
      <c r="AW471" s="18"/>
    </row>
    <row r="472" spans="5:49" x14ac:dyDescent="0.2">
      <c r="E472" s="1"/>
      <c r="F472" s="1"/>
      <c r="G472" s="1"/>
      <c r="H472" s="1"/>
      <c r="I472" s="1"/>
      <c r="J472" s="1"/>
      <c r="K472" s="1"/>
      <c r="L472" s="1"/>
      <c r="M472" s="1"/>
      <c r="AB472" s="76"/>
      <c r="AV472" s="18"/>
      <c r="AW472" s="18"/>
    </row>
    <row r="473" spans="5:49" x14ac:dyDescent="0.2">
      <c r="E473" s="1"/>
      <c r="F473" s="1"/>
      <c r="G473" s="1"/>
      <c r="H473" s="1"/>
      <c r="I473" s="1"/>
      <c r="J473" s="1"/>
      <c r="K473" s="1"/>
      <c r="L473" s="1"/>
      <c r="M473" s="1"/>
      <c r="AB473" s="76"/>
      <c r="AV473" s="18"/>
      <c r="AW473" s="18"/>
    </row>
    <row r="474" spans="5:49" x14ac:dyDescent="0.2">
      <c r="E474" s="1"/>
      <c r="F474" s="1"/>
      <c r="G474" s="1"/>
      <c r="H474" s="1"/>
      <c r="I474" s="1"/>
      <c r="J474" s="1"/>
      <c r="K474" s="1"/>
      <c r="L474" s="1"/>
      <c r="M474" s="1"/>
      <c r="AB474" s="76"/>
      <c r="AV474" s="18"/>
      <c r="AW474" s="18"/>
    </row>
    <row r="475" spans="5:49" x14ac:dyDescent="0.2">
      <c r="E475" s="1"/>
      <c r="F475" s="1"/>
      <c r="G475" s="1"/>
      <c r="H475" s="1"/>
      <c r="I475" s="1"/>
      <c r="J475" s="1"/>
      <c r="K475" s="1"/>
      <c r="L475" s="1"/>
      <c r="M475" s="1"/>
      <c r="AB475" s="76"/>
      <c r="AV475" s="18"/>
      <c r="AW475" s="18"/>
    </row>
    <row r="476" spans="5:49" x14ac:dyDescent="0.2">
      <c r="E476" s="1"/>
      <c r="F476" s="1"/>
      <c r="G476" s="1"/>
      <c r="H476" s="1"/>
      <c r="I476" s="1"/>
      <c r="J476" s="1"/>
      <c r="K476" s="1"/>
      <c r="L476" s="1"/>
      <c r="M476" s="1"/>
      <c r="AB476" s="76"/>
      <c r="AV476" s="18"/>
      <c r="AW476" s="18"/>
    </row>
    <row r="477" spans="5:49" x14ac:dyDescent="0.2">
      <c r="E477" s="1"/>
      <c r="F477" s="1"/>
      <c r="G477" s="1"/>
      <c r="H477" s="1"/>
      <c r="I477" s="1"/>
      <c r="J477" s="1"/>
      <c r="K477" s="1"/>
      <c r="L477" s="1"/>
      <c r="M477" s="1"/>
      <c r="AB477" s="76"/>
      <c r="AV477" s="18"/>
      <c r="AW477" s="18"/>
    </row>
    <row r="478" spans="5:49" x14ac:dyDescent="0.2">
      <c r="E478" s="1"/>
      <c r="F478" s="1"/>
      <c r="G478" s="1"/>
      <c r="H478" s="1"/>
      <c r="I478" s="1"/>
      <c r="J478" s="1"/>
      <c r="K478" s="1"/>
      <c r="L478" s="1"/>
      <c r="M478" s="1"/>
      <c r="AB478" s="76"/>
      <c r="AV478" s="18"/>
      <c r="AW478" s="18"/>
    </row>
    <row r="479" spans="5:49" x14ac:dyDescent="0.2">
      <c r="E479" s="1"/>
      <c r="F479" s="1"/>
      <c r="G479" s="1"/>
      <c r="H479" s="1"/>
      <c r="I479" s="1"/>
      <c r="J479" s="1"/>
      <c r="K479" s="1"/>
      <c r="L479" s="1"/>
      <c r="M479" s="1"/>
      <c r="AB479" s="76"/>
      <c r="AV479" s="18"/>
      <c r="AW479" s="18"/>
    </row>
    <row r="480" spans="5:49" x14ac:dyDescent="0.2">
      <c r="E480" s="1"/>
      <c r="F480" s="1"/>
      <c r="G480" s="1"/>
      <c r="H480" s="1"/>
      <c r="I480" s="1"/>
      <c r="J480" s="1"/>
      <c r="K480" s="1"/>
      <c r="L480" s="1"/>
      <c r="M480" s="1"/>
      <c r="AB480" s="76"/>
      <c r="AV480" s="18"/>
      <c r="AW480" s="18"/>
    </row>
    <row r="481" spans="5:49" x14ac:dyDescent="0.2">
      <c r="E481" s="1"/>
      <c r="F481" s="1"/>
      <c r="G481" s="1"/>
      <c r="H481" s="1"/>
      <c r="I481" s="1"/>
      <c r="J481" s="1"/>
      <c r="K481" s="1"/>
      <c r="L481" s="1"/>
      <c r="M481" s="1"/>
      <c r="AB481" s="76"/>
      <c r="AV481" s="18"/>
      <c r="AW481" s="18"/>
    </row>
    <row r="482" spans="5:49" x14ac:dyDescent="0.2">
      <c r="E482" s="1"/>
      <c r="F482" s="1"/>
      <c r="G482" s="1"/>
      <c r="H482" s="1"/>
      <c r="I482" s="1"/>
      <c r="J482" s="1"/>
      <c r="K482" s="1"/>
      <c r="L482" s="1"/>
      <c r="M482" s="1"/>
      <c r="AB482" s="76"/>
      <c r="AV482" s="18"/>
      <c r="AW482" s="18"/>
    </row>
    <row r="483" spans="5:49" x14ac:dyDescent="0.2">
      <c r="E483" s="1"/>
      <c r="F483" s="1"/>
      <c r="G483" s="1"/>
      <c r="H483" s="1"/>
      <c r="I483" s="1"/>
      <c r="J483" s="1"/>
      <c r="K483" s="1"/>
      <c r="L483" s="1"/>
      <c r="M483" s="1"/>
      <c r="AB483" s="76"/>
      <c r="AV483" s="18"/>
      <c r="AW483" s="18"/>
    </row>
    <row r="484" spans="5:49" x14ac:dyDescent="0.2">
      <c r="E484" s="1"/>
      <c r="F484" s="1"/>
      <c r="G484" s="1"/>
      <c r="H484" s="1"/>
      <c r="I484" s="1"/>
      <c r="J484" s="1"/>
      <c r="K484" s="1"/>
      <c r="L484" s="1"/>
      <c r="M484" s="1"/>
      <c r="AB484" s="76"/>
      <c r="AV484" s="18"/>
      <c r="AW484" s="18"/>
    </row>
    <row r="485" spans="5:49" x14ac:dyDescent="0.2">
      <c r="E485" s="1"/>
      <c r="F485" s="1"/>
      <c r="G485" s="1"/>
      <c r="H485" s="1"/>
      <c r="I485" s="1"/>
      <c r="J485" s="1"/>
      <c r="K485" s="1"/>
      <c r="L485" s="1"/>
      <c r="M485" s="1"/>
      <c r="AB485" s="76"/>
      <c r="AV485" s="18"/>
      <c r="AW485" s="18"/>
    </row>
    <row r="486" spans="5:49" x14ac:dyDescent="0.2">
      <c r="E486" s="1"/>
      <c r="F486" s="1"/>
      <c r="G486" s="1"/>
      <c r="H486" s="1"/>
      <c r="I486" s="1"/>
      <c r="J486" s="1"/>
      <c r="K486" s="1"/>
      <c r="L486" s="1"/>
      <c r="M486" s="1"/>
      <c r="AB486" s="76"/>
      <c r="AV486" s="18"/>
      <c r="AW486" s="18"/>
    </row>
    <row r="487" spans="5:49" x14ac:dyDescent="0.2">
      <c r="E487" s="1"/>
      <c r="F487" s="1"/>
      <c r="G487" s="1"/>
      <c r="H487" s="1"/>
      <c r="I487" s="1"/>
      <c r="J487" s="1"/>
      <c r="K487" s="1"/>
      <c r="L487" s="1"/>
      <c r="M487" s="1"/>
      <c r="AB487" s="76"/>
      <c r="AV487" s="18"/>
      <c r="AW487" s="18"/>
    </row>
    <row r="488" spans="5:49" x14ac:dyDescent="0.2">
      <c r="E488" s="1"/>
      <c r="F488" s="1"/>
      <c r="G488" s="1"/>
      <c r="H488" s="1"/>
      <c r="I488" s="1"/>
      <c r="J488" s="1"/>
      <c r="K488" s="1"/>
      <c r="L488" s="1"/>
      <c r="M488" s="1"/>
      <c r="AB488" s="76"/>
      <c r="AV488" s="18"/>
      <c r="AW488" s="18"/>
    </row>
    <row r="489" spans="5:49" x14ac:dyDescent="0.2">
      <c r="E489" s="1"/>
      <c r="F489" s="1"/>
      <c r="G489" s="1"/>
      <c r="H489" s="1"/>
      <c r="I489" s="1"/>
      <c r="J489" s="1"/>
      <c r="K489" s="1"/>
      <c r="L489" s="1"/>
      <c r="M489" s="1"/>
      <c r="AB489" s="76"/>
      <c r="AV489" s="18"/>
      <c r="AW489" s="18"/>
    </row>
    <row r="490" spans="5:49" x14ac:dyDescent="0.2">
      <c r="E490" s="1"/>
      <c r="F490" s="1"/>
      <c r="G490" s="1"/>
      <c r="H490" s="1"/>
      <c r="I490" s="1"/>
      <c r="J490" s="1"/>
      <c r="K490" s="1"/>
      <c r="L490" s="1"/>
      <c r="M490" s="1"/>
      <c r="AB490" s="76"/>
      <c r="AV490" s="18"/>
      <c r="AW490" s="18"/>
    </row>
    <row r="491" spans="5:49" x14ac:dyDescent="0.2">
      <c r="E491" s="1"/>
      <c r="F491" s="1"/>
      <c r="G491" s="1"/>
      <c r="H491" s="1"/>
      <c r="I491" s="1"/>
      <c r="J491" s="1"/>
      <c r="K491" s="1"/>
      <c r="L491" s="1"/>
      <c r="M491" s="1"/>
      <c r="AB491" s="76"/>
      <c r="AV491" s="18"/>
      <c r="AW491" s="18"/>
    </row>
    <row r="492" spans="5:49" x14ac:dyDescent="0.2">
      <c r="E492" s="1"/>
      <c r="F492" s="1"/>
      <c r="G492" s="1"/>
      <c r="H492" s="1"/>
      <c r="I492" s="1"/>
      <c r="J492" s="1"/>
      <c r="K492" s="1"/>
      <c r="L492" s="1"/>
      <c r="M492" s="1"/>
      <c r="AB492" s="76"/>
      <c r="AV492" s="18"/>
      <c r="AW492" s="18"/>
    </row>
    <row r="493" spans="5:49" x14ac:dyDescent="0.2">
      <c r="E493" s="1"/>
      <c r="F493" s="1"/>
      <c r="G493" s="1"/>
      <c r="H493" s="1"/>
      <c r="I493" s="1"/>
      <c r="J493" s="1"/>
      <c r="K493" s="1"/>
      <c r="L493" s="1"/>
      <c r="M493" s="1"/>
      <c r="AB493" s="76"/>
      <c r="AV493" s="18"/>
      <c r="AW493" s="18"/>
    </row>
    <row r="494" spans="5:49" x14ac:dyDescent="0.2">
      <c r="E494" s="1"/>
      <c r="F494" s="1"/>
      <c r="G494" s="1"/>
      <c r="H494" s="1"/>
      <c r="I494" s="1"/>
      <c r="J494" s="1"/>
      <c r="K494" s="1"/>
      <c r="L494" s="1"/>
      <c r="M494" s="1"/>
      <c r="AB494" s="76"/>
      <c r="AV494" s="18"/>
      <c r="AW494" s="18"/>
    </row>
    <row r="495" spans="5:49" x14ac:dyDescent="0.2">
      <c r="E495" s="1"/>
      <c r="F495" s="1"/>
      <c r="G495" s="1"/>
      <c r="H495" s="1"/>
      <c r="I495" s="1"/>
      <c r="J495" s="1"/>
      <c r="K495" s="1"/>
      <c r="L495" s="1"/>
      <c r="M495" s="1"/>
      <c r="AB495" s="76"/>
      <c r="AV495" s="18"/>
      <c r="AW495" s="18"/>
    </row>
    <row r="496" spans="5:49" x14ac:dyDescent="0.2">
      <c r="E496" s="1"/>
      <c r="F496" s="1"/>
      <c r="G496" s="1"/>
      <c r="H496" s="1"/>
      <c r="I496" s="1"/>
      <c r="J496" s="1"/>
      <c r="K496" s="1"/>
      <c r="L496" s="1"/>
      <c r="M496" s="1"/>
      <c r="AB496" s="76"/>
      <c r="AV496" s="18"/>
      <c r="AW496" s="18"/>
    </row>
    <row r="497" spans="5:49" x14ac:dyDescent="0.2">
      <c r="E497" s="1"/>
      <c r="F497" s="1"/>
      <c r="G497" s="1"/>
      <c r="H497" s="1"/>
      <c r="I497" s="1"/>
      <c r="J497" s="1"/>
      <c r="K497" s="1"/>
      <c r="L497" s="1"/>
      <c r="M497" s="1"/>
      <c r="AB497" s="76"/>
      <c r="AV497" s="18"/>
      <c r="AW497" s="18"/>
    </row>
    <row r="498" spans="5:49" x14ac:dyDescent="0.2">
      <c r="E498" s="1"/>
      <c r="F498" s="1"/>
      <c r="G498" s="1"/>
      <c r="H498" s="1"/>
      <c r="I498" s="1"/>
      <c r="J498" s="1"/>
      <c r="K498" s="1"/>
      <c r="L498" s="1"/>
      <c r="M498" s="1"/>
      <c r="AB498" s="76"/>
      <c r="AV498" s="18"/>
      <c r="AW498" s="18"/>
    </row>
    <row r="499" spans="5:49" x14ac:dyDescent="0.2">
      <c r="E499" s="1"/>
      <c r="F499" s="1"/>
      <c r="G499" s="1"/>
      <c r="H499" s="1"/>
      <c r="I499" s="1"/>
      <c r="J499" s="1"/>
      <c r="K499" s="1"/>
      <c r="L499" s="1"/>
      <c r="M499" s="1"/>
      <c r="AB499" s="76"/>
      <c r="AV499" s="18"/>
      <c r="AW499" s="18"/>
    </row>
    <row r="500" spans="5:49" x14ac:dyDescent="0.2">
      <c r="E500" s="1"/>
      <c r="F500" s="1"/>
      <c r="G500" s="1"/>
      <c r="H500" s="1"/>
      <c r="I500" s="1"/>
      <c r="J500" s="1"/>
      <c r="K500" s="1"/>
      <c r="L500" s="1"/>
      <c r="M500" s="1"/>
      <c r="AB500" s="76"/>
      <c r="AV500" s="18"/>
      <c r="AW500" s="18"/>
    </row>
    <row r="501" spans="5:49" x14ac:dyDescent="0.2">
      <c r="E501" s="1"/>
      <c r="F501" s="1"/>
      <c r="G501" s="1"/>
      <c r="H501" s="1"/>
      <c r="I501" s="1"/>
      <c r="J501" s="1"/>
      <c r="K501" s="1"/>
      <c r="L501" s="1"/>
      <c r="M501" s="1"/>
      <c r="AB501" s="76"/>
      <c r="AV501" s="18"/>
      <c r="AW501" s="18"/>
    </row>
    <row r="502" spans="5:49" x14ac:dyDescent="0.2">
      <c r="E502" s="1"/>
      <c r="F502" s="1"/>
      <c r="G502" s="1"/>
      <c r="H502" s="1"/>
      <c r="I502" s="1"/>
      <c r="J502" s="1"/>
      <c r="K502" s="1"/>
      <c r="L502" s="1"/>
      <c r="M502" s="1"/>
      <c r="AB502" s="76"/>
      <c r="AV502" s="18"/>
      <c r="AW502" s="18"/>
    </row>
    <row r="503" spans="5:49" x14ac:dyDescent="0.2">
      <c r="E503" s="1"/>
      <c r="F503" s="1"/>
      <c r="G503" s="1"/>
      <c r="H503" s="1"/>
      <c r="I503" s="1"/>
      <c r="J503" s="1"/>
      <c r="K503" s="1"/>
      <c r="L503" s="1"/>
      <c r="M503" s="1"/>
      <c r="AB503" s="76"/>
      <c r="AV503" s="18"/>
      <c r="AW503" s="18"/>
    </row>
    <row r="504" spans="5:49" x14ac:dyDescent="0.2">
      <c r="E504" s="1"/>
      <c r="F504" s="1"/>
      <c r="G504" s="1"/>
      <c r="H504" s="1"/>
      <c r="I504" s="1"/>
      <c r="J504" s="1"/>
      <c r="K504" s="1"/>
      <c r="L504" s="1"/>
      <c r="M504" s="1"/>
      <c r="AB504" s="76"/>
      <c r="AV504" s="18"/>
      <c r="AW504" s="18"/>
    </row>
    <row r="505" spans="5:49" x14ac:dyDescent="0.2">
      <c r="E505" s="1"/>
      <c r="F505" s="1"/>
      <c r="G505" s="1"/>
      <c r="H505" s="1"/>
      <c r="I505" s="1"/>
      <c r="J505" s="1"/>
      <c r="K505" s="1"/>
      <c r="L505" s="1"/>
      <c r="M505" s="1"/>
      <c r="AB505" s="76"/>
      <c r="AV505" s="18"/>
      <c r="AW505" s="18"/>
    </row>
    <row r="506" spans="5:49" x14ac:dyDescent="0.2">
      <c r="E506" s="1"/>
      <c r="F506" s="1"/>
      <c r="G506" s="1"/>
      <c r="H506" s="1"/>
      <c r="I506" s="1"/>
      <c r="J506" s="1"/>
      <c r="K506" s="1"/>
      <c r="L506" s="1"/>
      <c r="M506" s="1"/>
      <c r="AB506" s="76"/>
      <c r="AV506" s="18"/>
      <c r="AW506" s="18"/>
    </row>
    <row r="507" spans="5:49" x14ac:dyDescent="0.2">
      <c r="E507" s="1"/>
      <c r="F507" s="1"/>
      <c r="G507" s="1"/>
      <c r="H507" s="1"/>
      <c r="I507" s="1"/>
      <c r="J507" s="1"/>
      <c r="K507" s="1"/>
      <c r="L507" s="1"/>
      <c r="M507" s="1"/>
      <c r="AB507" s="76"/>
      <c r="AV507" s="18"/>
      <c r="AW507" s="18"/>
    </row>
    <row r="508" spans="5:49" x14ac:dyDescent="0.2">
      <c r="E508" s="1"/>
      <c r="F508" s="1"/>
      <c r="G508" s="1"/>
      <c r="H508" s="1"/>
      <c r="I508" s="1"/>
      <c r="J508" s="1"/>
      <c r="K508" s="1"/>
      <c r="L508" s="1"/>
      <c r="M508" s="1"/>
      <c r="AB508" s="76"/>
      <c r="AV508" s="18"/>
      <c r="AW508" s="18"/>
    </row>
    <row r="509" spans="5:49" x14ac:dyDescent="0.2">
      <c r="E509" s="1"/>
      <c r="F509" s="1"/>
      <c r="G509" s="1"/>
      <c r="H509" s="1"/>
      <c r="I509" s="1"/>
      <c r="J509" s="1"/>
      <c r="K509" s="1"/>
      <c r="L509" s="1"/>
      <c r="M509" s="1"/>
      <c r="AB509" s="76"/>
      <c r="AV509" s="18"/>
      <c r="AW509" s="18"/>
    </row>
    <row r="510" spans="5:49" x14ac:dyDescent="0.2">
      <c r="E510" s="1"/>
      <c r="F510" s="1"/>
      <c r="G510" s="1"/>
      <c r="H510" s="1"/>
      <c r="I510" s="1"/>
      <c r="J510" s="1"/>
      <c r="K510" s="1"/>
      <c r="L510" s="1"/>
      <c r="M510" s="1"/>
      <c r="AB510" s="76"/>
      <c r="AV510" s="18"/>
      <c r="AW510" s="18"/>
    </row>
    <row r="511" spans="5:49" x14ac:dyDescent="0.2">
      <c r="E511" s="1"/>
      <c r="F511" s="1"/>
      <c r="G511" s="1"/>
      <c r="H511" s="1"/>
      <c r="I511" s="1"/>
      <c r="J511" s="1"/>
      <c r="K511" s="1"/>
      <c r="L511" s="1"/>
      <c r="M511" s="1"/>
      <c r="AB511" s="76"/>
      <c r="AV511" s="18"/>
      <c r="AW511" s="18"/>
    </row>
    <row r="512" spans="5:49" x14ac:dyDescent="0.2">
      <c r="E512" s="1"/>
      <c r="F512" s="1"/>
      <c r="G512" s="1"/>
      <c r="H512" s="1"/>
      <c r="I512" s="1"/>
      <c r="J512" s="1"/>
      <c r="K512" s="1"/>
      <c r="L512" s="1"/>
      <c r="M512" s="1"/>
      <c r="AB512" s="76"/>
      <c r="AV512" s="18"/>
      <c r="AW512" s="18"/>
    </row>
    <row r="513" spans="5:49" x14ac:dyDescent="0.2">
      <c r="E513" s="1"/>
      <c r="F513" s="1"/>
      <c r="G513" s="1"/>
      <c r="H513" s="1"/>
      <c r="I513" s="1"/>
      <c r="J513" s="1"/>
      <c r="K513" s="1"/>
      <c r="L513" s="1"/>
      <c r="M513" s="1"/>
      <c r="AB513" s="76"/>
      <c r="AV513" s="18"/>
      <c r="AW513" s="18"/>
    </row>
    <row r="514" spans="5:49" x14ac:dyDescent="0.2">
      <c r="E514" s="1"/>
      <c r="F514" s="1"/>
      <c r="G514" s="1"/>
      <c r="H514" s="1"/>
      <c r="I514" s="1"/>
      <c r="J514" s="1"/>
      <c r="K514" s="1"/>
      <c r="L514" s="1"/>
      <c r="M514" s="1"/>
      <c r="AB514" s="76"/>
      <c r="AV514" s="18"/>
      <c r="AW514" s="18"/>
    </row>
    <row r="515" spans="5:49" x14ac:dyDescent="0.2">
      <c r="E515" s="1"/>
      <c r="F515" s="1"/>
      <c r="G515" s="1"/>
      <c r="H515" s="1"/>
      <c r="I515" s="1"/>
      <c r="J515" s="1"/>
      <c r="K515" s="1"/>
      <c r="L515" s="1"/>
      <c r="M515" s="1"/>
      <c r="AB515" s="76"/>
      <c r="AV515" s="18"/>
      <c r="AW515" s="18"/>
    </row>
    <row r="516" spans="5:49" x14ac:dyDescent="0.2">
      <c r="E516" s="1"/>
      <c r="F516" s="1"/>
      <c r="G516" s="1"/>
      <c r="H516" s="1"/>
      <c r="I516" s="1"/>
      <c r="J516" s="1"/>
      <c r="K516" s="1"/>
      <c r="L516" s="1"/>
      <c r="M516" s="1"/>
      <c r="AB516" s="76"/>
      <c r="AV516" s="18"/>
      <c r="AW516" s="18"/>
    </row>
    <row r="517" spans="5:49" x14ac:dyDescent="0.2">
      <c r="E517" s="1"/>
      <c r="F517" s="1"/>
      <c r="G517" s="1"/>
      <c r="H517" s="1"/>
      <c r="I517" s="1"/>
      <c r="J517" s="1"/>
      <c r="K517" s="1"/>
      <c r="L517" s="1"/>
      <c r="M517" s="1"/>
      <c r="AB517" s="76"/>
      <c r="AV517" s="18"/>
      <c r="AW517" s="18"/>
    </row>
    <row r="518" spans="5:49" x14ac:dyDescent="0.2">
      <c r="E518" s="1"/>
      <c r="F518" s="1"/>
      <c r="G518" s="1"/>
      <c r="H518" s="1"/>
      <c r="I518" s="1"/>
      <c r="J518" s="1"/>
      <c r="K518" s="1"/>
      <c r="L518" s="1"/>
      <c r="M518" s="1"/>
      <c r="AB518" s="76"/>
      <c r="AV518" s="18"/>
      <c r="AW518" s="18"/>
    </row>
    <row r="519" spans="5:49" x14ac:dyDescent="0.2">
      <c r="E519" s="1"/>
      <c r="F519" s="1"/>
      <c r="G519" s="1"/>
      <c r="H519" s="1"/>
      <c r="I519" s="1"/>
      <c r="J519" s="1"/>
      <c r="K519" s="1"/>
      <c r="L519" s="1"/>
      <c r="M519" s="1"/>
      <c r="AB519" s="76"/>
      <c r="AV519" s="18"/>
      <c r="AW519" s="18"/>
    </row>
    <row r="520" spans="5:49" x14ac:dyDescent="0.2">
      <c r="E520" s="1"/>
      <c r="F520" s="1"/>
      <c r="G520" s="1"/>
      <c r="H520" s="1"/>
      <c r="I520" s="1"/>
      <c r="J520" s="1"/>
      <c r="K520" s="1"/>
      <c r="L520" s="1"/>
      <c r="M520" s="1"/>
      <c r="AB520" s="76"/>
      <c r="AV520" s="18"/>
      <c r="AW520" s="18"/>
    </row>
    <row r="521" spans="5:49" x14ac:dyDescent="0.2">
      <c r="E521" s="1"/>
      <c r="F521" s="1"/>
      <c r="G521" s="1"/>
      <c r="H521" s="1"/>
      <c r="I521" s="1"/>
      <c r="J521" s="1"/>
      <c r="K521" s="1"/>
      <c r="L521" s="1"/>
      <c r="M521" s="1"/>
      <c r="AB521" s="76"/>
      <c r="AV521" s="18"/>
      <c r="AW521" s="18"/>
    </row>
    <row r="522" spans="5:49" x14ac:dyDescent="0.2">
      <c r="E522" s="1"/>
      <c r="F522" s="1"/>
      <c r="G522" s="1"/>
      <c r="H522" s="1"/>
      <c r="I522" s="1"/>
      <c r="J522" s="1"/>
      <c r="K522" s="1"/>
      <c r="L522" s="1"/>
      <c r="M522" s="1"/>
      <c r="AB522" s="76"/>
      <c r="AV522" s="18"/>
      <c r="AW522" s="18"/>
    </row>
    <row r="523" spans="5:49" x14ac:dyDescent="0.2">
      <c r="E523" s="1"/>
      <c r="F523" s="1"/>
      <c r="G523" s="1"/>
      <c r="H523" s="1"/>
      <c r="I523" s="1"/>
      <c r="J523" s="1"/>
      <c r="K523" s="1"/>
      <c r="L523" s="1"/>
      <c r="M523" s="1"/>
      <c r="AB523" s="76"/>
      <c r="AV523" s="18"/>
      <c r="AW523" s="18"/>
    </row>
    <row r="524" spans="5:49" x14ac:dyDescent="0.2">
      <c r="E524" s="1"/>
      <c r="F524" s="1"/>
      <c r="G524" s="1"/>
      <c r="H524" s="1"/>
      <c r="I524" s="1"/>
      <c r="J524" s="1"/>
      <c r="K524" s="1"/>
      <c r="L524" s="1"/>
      <c r="M524" s="1"/>
      <c r="AB524" s="76"/>
      <c r="AV524" s="18"/>
      <c r="AW524" s="18"/>
    </row>
    <row r="525" spans="5:49" x14ac:dyDescent="0.2">
      <c r="E525" s="1"/>
      <c r="F525" s="1"/>
      <c r="G525" s="1"/>
      <c r="H525" s="1"/>
      <c r="I525" s="1"/>
      <c r="J525" s="1"/>
      <c r="K525" s="1"/>
      <c r="L525" s="1"/>
      <c r="M525" s="1"/>
      <c r="AB525" s="76"/>
      <c r="AV525" s="18"/>
      <c r="AW525" s="18"/>
    </row>
    <row r="526" spans="5:49" x14ac:dyDescent="0.2">
      <c r="E526" s="1"/>
      <c r="F526" s="1"/>
      <c r="G526" s="1"/>
      <c r="H526" s="1"/>
      <c r="I526" s="1"/>
      <c r="J526" s="1"/>
      <c r="K526" s="1"/>
      <c r="L526" s="1"/>
      <c r="M526" s="1"/>
      <c r="AB526" s="76"/>
      <c r="AV526" s="18"/>
      <c r="AW526" s="18"/>
    </row>
    <row r="527" spans="5:49" x14ac:dyDescent="0.2">
      <c r="E527" s="1"/>
      <c r="F527" s="1"/>
      <c r="G527" s="1"/>
      <c r="H527" s="1"/>
      <c r="I527" s="1"/>
      <c r="J527" s="1"/>
      <c r="K527" s="1"/>
      <c r="L527" s="1"/>
      <c r="M527" s="1"/>
      <c r="AB527" s="76"/>
      <c r="AV527" s="18"/>
      <c r="AW527" s="18"/>
    </row>
    <row r="528" spans="5:49" x14ac:dyDescent="0.2">
      <c r="E528" s="1"/>
      <c r="F528" s="1"/>
      <c r="G528" s="1"/>
      <c r="H528" s="1"/>
      <c r="I528" s="1"/>
      <c r="J528" s="1"/>
      <c r="K528" s="1"/>
      <c r="L528" s="1"/>
      <c r="M528" s="1"/>
      <c r="AB528" s="76"/>
      <c r="AV528" s="18"/>
      <c r="AW528" s="18"/>
    </row>
    <row r="529" spans="5:49" x14ac:dyDescent="0.2">
      <c r="E529" s="1"/>
      <c r="F529" s="1"/>
      <c r="G529" s="1"/>
      <c r="H529" s="1"/>
      <c r="I529" s="1"/>
      <c r="J529" s="1"/>
      <c r="K529" s="1"/>
      <c r="L529" s="1"/>
      <c r="M529" s="1"/>
      <c r="AB529" s="76"/>
      <c r="AV529" s="18"/>
      <c r="AW529" s="18"/>
    </row>
    <row r="530" spans="5:49" x14ac:dyDescent="0.2">
      <c r="E530" s="1"/>
      <c r="F530" s="1"/>
      <c r="G530" s="1"/>
      <c r="H530" s="1"/>
      <c r="I530" s="1"/>
      <c r="J530" s="1"/>
      <c r="K530" s="1"/>
      <c r="L530" s="1"/>
      <c r="M530" s="1"/>
      <c r="AB530" s="76"/>
      <c r="AV530" s="18"/>
      <c r="AW530" s="18"/>
    </row>
    <row r="531" spans="5:49" x14ac:dyDescent="0.2">
      <c r="E531" s="1"/>
      <c r="F531" s="1"/>
      <c r="G531" s="1"/>
      <c r="H531" s="1"/>
      <c r="I531" s="1"/>
      <c r="J531" s="1"/>
      <c r="K531" s="1"/>
      <c r="L531" s="1"/>
      <c r="M531" s="1"/>
      <c r="AB531" s="76"/>
      <c r="AV531" s="18"/>
      <c r="AW531" s="18"/>
    </row>
    <row r="532" spans="5:49" x14ac:dyDescent="0.2">
      <c r="E532" s="1"/>
      <c r="F532" s="1"/>
      <c r="G532" s="1"/>
      <c r="H532" s="1"/>
      <c r="I532" s="1"/>
      <c r="J532" s="1"/>
      <c r="K532" s="1"/>
      <c r="L532" s="1"/>
      <c r="M532" s="1"/>
      <c r="AB532" s="76"/>
      <c r="AV532" s="18"/>
      <c r="AW532" s="18"/>
    </row>
    <row r="533" spans="5:49" x14ac:dyDescent="0.2">
      <c r="E533" s="1"/>
      <c r="F533" s="1"/>
      <c r="G533" s="1"/>
      <c r="H533" s="1"/>
      <c r="I533" s="1"/>
      <c r="J533" s="1"/>
      <c r="K533" s="1"/>
      <c r="L533" s="1"/>
      <c r="M533" s="1"/>
      <c r="AB533" s="76"/>
      <c r="AV533" s="18"/>
      <c r="AW533" s="18"/>
    </row>
    <row r="534" spans="5:49" x14ac:dyDescent="0.2">
      <c r="E534" s="1"/>
      <c r="F534" s="1"/>
      <c r="G534" s="1"/>
      <c r="H534" s="1"/>
      <c r="I534" s="1"/>
      <c r="J534" s="1"/>
      <c r="K534" s="1"/>
      <c r="L534" s="1"/>
      <c r="M534" s="1"/>
      <c r="AB534" s="76"/>
      <c r="AV534" s="18"/>
      <c r="AW534" s="18"/>
    </row>
    <row r="535" spans="5:49" x14ac:dyDescent="0.2">
      <c r="E535" s="1"/>
      <c r="F535" s="1"/>
      <c r="G535" s="1"/>
      <c r="H535" s="1"/>
      <c r="I535" s="1"/>
      <c r="J535" s="1"/>
      <c r="K535" s="1"/>
      <c r="L535" s="1"/>
      <c r="M535" s="1"/>
      <c r="AB535" s="76"/>
      <c r="AV535" s="18"/>
      <c r="AW535" s="18"/>
    </row>
    <row r="536" spans="5:49" x14ac:dyDescent="0.2">
      <c r="E536" s="1"/>
      <c r="F536" s="1"/>
      <c r="G536" s="1"/>
      <c r="H536" s="1"/>
      <c r="I536" s="1"/>
      <c r="J536" s="1"/>
      <c r="K536" s="1"/>
      <c r="L536" s="1"/>
      <c r="M536" s="1"/>
      <c r="AB536" s="76"/>
      <c r="AV536" s="18"/>
      <c r="AW536" s="18"/>
    </row>
    <row r="537" spans="5:49" x14ac:dyDescent="0.2">
      <c r="E537" s="1"/>
      <c r="F537" s="1"/>
      <c r="G537" s="1"/>
      <c r="H537" s="1"/>
      <c r="I537" s="1"/>
      <c r="J537" s="1"/>
      <c r="K537" s="1"/>
      <c r="L537" s="1"/>
      <c r="M537" s="1"/>
      <c r="AB537" s="76"/>
      <c r="AV537" s="18"/>
      <c r="AW537" s="18"/>
    </row>
    <row r="538" spans="5:49" x14ac:dyDescent="0.2">
      <c r="E538" s="1"/>
      <c r="F538" s="1"/>
      <c r="G538" s="1"/>
      <c r="H538" s="1"/>
      <c r="I538" s="1"/>
      <c r="J538" s="1"/>
      <c r="K538" s="1"/>
      <c r="L538" s="1"/>
      <c r="M538" s="1"/>
      <c r="AB538" s="76"/>
      <c r="AV538" s="18"/>
      <c r="AW538" s="18"/>
    </row>
    <row r="539" spans="5:49" x14ac:dyDescent="0.2">
      <c r="E539" s="1"/>
      <c r="F539" s="1"/>
      <c r="G539" s="1"/>
      <c r="H539" s="1"/>
      <c r="I539" s="1"/>
      <c r="J539" s="1"/>
      <c r="K539" s="1"/>
      <c r="L539" s="1"/>
      <c r="M539" s="1"/>
      <c r="AB539" s="76"/>
      <c r="AV539" s="18"/>
      <c r="AW539" s="18"/>
    </row>
    <row r="540" spans="5:49" x14ac:dyDescent="0.2">
      <c r="E540" s="1"/>
      <c r="F540" s="1"/>
      <c r="G540" s="1"/>
      <c r="H540" s="1"/>
      <c r="I540" s="1"/>
      <c r="J540" s="1"/>
      <c r="K540" s="1"/>
      <c r="L540" s="1"/>
      <c r="M540" s="1"/>
      <c r="AB540" s="76"/>
      <c r="AV540" s="18"/>
      <c r="AW540" s="18"/>
    </row>
    <row r="541" spans="5:49" x14ac:dyDescent="0.2">
      <c r="E541" s="1"/>
      <c r="F541" s="1"/>
      <c r="G541" s="1"/>
      <c r="H541" s="1"/>
      <c r="I541" s="1"/>
      <c r="J541" s="1"/>
      <c r="K541" s="1"/>
      <c r="L541" s="1"/>
      <c r="M541" s="1"/>
      <c r="AB541" s="76"/>
      <c r="AV541" s="18"/>
      <c r="AW541" s="18"/>
    </row>
    <row r="542" spans="5:49" x14ac:dyDescent="0.2">
      <c r="E542" s="1"/>
      <c r="F542" s="1"/>
      <c r="G542" s="1"/>
      <c r="H542" s="1"/>
      <c r="I542" s="1"/>
      <c r="J542" s="1"/>
      <c r="K542" s="1"/>
      <c r="L542" s="1"/>
      <c r="M542" s="1"/>
      <c r="AB542" s="76"/>
      <c r="AV542" s="18"/>
      <c r="AW542" s="18"/>
    </row>
    <row r="543" spans="5:49" x14ac:dyDescent="0.2">
      <c r="E543" s="1"/>
      <c r="F543" s="1"/>
      <c r="G543" s="1"/>
      <c r="H543" s="1"/>
      <c r="I543" s="1"/>
      <c r="J543" s="1"/>
      <c r="K543" s="1"/>
      <c r="L543" s="1"/>
      <c r="M543" s="1"/>
      <c r="AB543" s="76"/>
      <c r="AV543" s="18"/>
      <c r="AW543" s="18"/>
    </row>
    <row r="544" spans="5:49" x14ac:dyDescent="0.2">
      <c r="E544" s="1"/>
      <c r="F544" s="1"/>
      <c r="G544" s="1"/>
      <c r="H544" s="1"/>
      <c r="I544" s="1"/>
      <c r="J544" s="1"/>
      <c r="K544" s="1"/>
      <c r="L544" s="1"/>
      <c r="M544" s="1"/>
      <c r="AB544" s="76"/>
      <c r="AV544" s="18"/>
      <c r="AW544" s="18"/>
    </row>
    <row r="545" spans="5:49" x14ac:dyDescent="0.2">
      <c r="E545" s="1"/>
      <c r="F545" s="1"/>
      <c r="G545" s="1"/>
      <c r="H545" s="1"/>
      <c r="I545" s="1"/>
      <c r="J545" s="1"/>
      <c r="K545" s="1"/>
      <c r="L545" s="1"/>
      <c r="M545" s="1"/>
      <c r="AB545" s="76"/>
      <c r="AV545" s="18"/>
      <c r="AW545" s="18"/>
    </row>
    <row r="546" spans="5:49" x14ac:dyDescent="0.2">
      <c r="E546" s="1"/>
      <c r="F546" s="1"/>
      <c r="G546" s="1"/>
      <c r="H546" s="1"/>
      <c r="I546" s="1"/>
      <c r="J546" s="1"/>
      <c r="K546" s="1"/>
      <c r="L546" s="1"/>
      <c r="M546" s="1"/>
      <c r="AB546" s="76"/>
      <c r="AV546" s="18"/>
      <c r="AW546" s="18"/>
    </row>
    <row r="547" spans="5:49" x14ac:dyDescent="0.2">
      <c r="E547" s="1"/>
      <c r="F547" s="1"/>
      <c r="G547" s="1"/>
      <c r="H547" s="1"/>
      <c r="I547" s="1"/>
      <c r="J547" s="1"/>
      <c r="K547" s="1"/>
      <c r="L547" s="1"/>
      <c r="M547" s="1"/>
      <c r="AB547" s="76"/>
      <c r="AV547" s="18"/>
      <c r="AW547" s="18"/>
    </row>
    <row r="548" spans="5:49" x14ac:dyDescent="0.2">
      <c r="E548" s="1"/>
      <c r="F548" s="1"/>
      <c r="G548" s="1"/>
      <c r="H548" s="1"/>
      <c r="I548" s="1"/>
      <c r="J548" s="1"/>
      <c r="K548" s="1"/>
      <c r="L548" s="1"/>
      <c r="M548" s="1"/>
      <c r="AB548" s="76"/>
      <c r="AV548" s="18"/>
      <c r="AW548" s="18"/>
    </row>
    <row r="549" spans="5:49" x14ac:dyDescent="0.2">
      <c r="E549" s="1"/>
      <c r="F549" s="1"/>
      <c r="G549" s="1"/>
      <c r="H549" s="1"/>
      <c r="I549" s="1"/>
      <c r="J549" s="1"/>
      <c r="K549" s="1"/>
      <c r="L549" s="1"/>
      <c r="M549" s="1"/>
      <c r="AB549" s="76"/>
      <c r="AV549" s="18"/>
      <c r="AW549" s="18"/>
    </row>
    <row r="550" spans="5:49" x14ac:dyDescent="0.2">
      <c r="E550" s="1"/>
      <c r="F550" s="1"/>
      <c r="G550" s="1"/>
      <c r="H550" s="1"/>
      <c r="I550" s="1"/>
      <c r="J550" s="1"/>
      <c r="K550" s="1"/>
      <c r="L550" s="1"/>
      <c r="M550" s="1"/>
      <c r="AB550" s="76"/>
      <c r="AV550" s="18"/>
      <c r="AW550" s="18"/>
    </row>
    <row r="551" spans="5:49" x14ac:dyDescent="0.2">
      <c r="E551" s="1"/>
      <c r="F551" s="1"/>
      <c r="G551" s="1"/>
      <c r="H551" s="1"/>
      <c r="I551" s="1"/>
      <c r="J551" s="1"/>
      <c r="K551" s="1"/>
      <c r="L551" s="1"/>
      <c r="M551" s="1"/>
      <c r="AB551" s="76"/>
      <c r="AV551" s="18"/>
      <c r="AW551" s="18"/>
    </row>
    <row r="552" spans="5:49" x14ac:dyDescent="0.2">
      <c r="E552" s="1"/>
      <c r="F552" s="1"/>
      <c r="G552" s="1"/>
      <c r="H552" s="1"/>
      <c r="I552" s="1"/>
      <c r="J552" s="1"/>
      <c r="K552" s="1"/>
      <c r="L552" s="1"/>
      <c r="M552" s="1"/>
      <c r="AB552" s="76"/>
      <c r="AV552" s="18"/>
      <c r="AW552" s="18"/>
    </row>
    <row r="553" spans="5:49" x14ac:dyDescent="0.2">
      <c r="E553" s="1"/>
      <c r="F553" s="1"/>
      <c r="G553" s="1"/>
      <c r="H553" s="1"/>
      <c r="I553" s="1"/>
      <c r="J553" s="1"/>
      <c r="K553" s="1"/>
      <c r="L553" s="1"/>
      <c r="M553" s="1"/>
      <c r="AB553" s="76"/>
      <c r="AV553" s="18"/>
      <c r="AW553" s="18"/>
    </row>
    <row r="554" spans="5:49" x14ac:dyDescent="0.2">
      <c r="E554" s="1"/>
      <c r="F554" s="1"/>
      <c r="G554" s="1"/>
      <c r="H554" s="1"/>
      <c r="I554" s="1"/>
      <c r="J554" s="1"/>
      <c r="K554" s="1"/>
      <c r="L554" s="1"/>
      <c r="M554" s="1"/>
      <c r="AB554" s="76"/>
      <c r="AV554" s="18"/>
      <c r="AW554" s="18"/>
    </row>
    <row r="555" spans="5:49" x14ac:dyDescent="0.2">
      <c r="E555" s="1"/>
      <c r="F555" s="1"/>
      <c r="G555" s="1"/>
      <c r="H555" s="1"/>
      <c r="I555" s="1"/>
      <c r="J555" s="1"/>
      <c r="K555" s="1"/>
      <c r="L555" s="1"/>
      <c r="M555" s="1"/>
      <c r="AB555" s="76"/>
      <c r="AV555" s="18"/>
      <c r="AW555" s="18"/>
    </row>
    <row r="556" spans="5:49" x14ac:dyDescent="0.2">
      <c r="E556" s="1"/>
      <c r="F556" s="1"/>
      <c r="G556" s="1"/>
      <c r="H556" s="1"/>
      <c r="I556" s="1"/>
      <c r="J556" s="1"/>
      <c r="K556" s="1"/>
      <c r="L556" s="1"/>
      <c r="M556" s="1"/>
      <c r="AB556" s="76"/>
      <c r="AV556" s="18"/>
      <c r="AW556" s="18"/>
    </row>
    <row r="557" spans="5:49" x14ac:dyDescent="0.2">
      <c r="E557" s="1"/>
      <c r="F557" s="1"/>
      <c r="G557" s="1"/>
      <c r="H557" s="1"/>
      <c r="I557" s="1"/>
      <c r="J557" s="1"/>
      <c r="K557" s="1"/>
      <c r="L557" s="1"/>
      <c r="M557" s="1"/>
      <c r="AB557" s="76"/>
      <c r="AV557" s="18"/>
      <c r="AW557" s="18"/>
    </row>
    <row r="558" spans="5:49" x14ac:dyDescent="0.2">
      <c r="E558" s="1"/>
      <c r="F558" s="1"/>
      <c r="G558" s="1"/>
      <c r="H558" s="1"/>
      <c r="I558" s="1"/>
      <c r="J558" s="1"/>
      <c r="K558" s="1"/>
      <c r="L558" s="1"/>
      <c r="M558" s="1"/>
      <c r="AB558" s="76"/>
      <c r="AV558" s="18"/>
      <c r="AW558" s="18"/>
    </row>
    <row r="559" spans="5:49" x14ac:dyDescent="0.2">
      <c r="E559" s="1"/>
      <c r="F559" s="1"/>
      <c r="G559" s="1"/>
      <c r="H559" s="1"/>
      <c r="I559" s="1"/>
      <c r="J559" s="1"/>
      <c r="K559" s="1"/>
      <c r="L559" s="1"/>
      <c r="M559" s="1"/>
      <c r="AB559" s="76"/>
      <c r="AV559" s="18"/>
      <c r="AW559" s="18"/>
    </row>
    <row r="560" spans="5:49" x14ac:dyDescent="0.2">
      <c r="E560" s="1"/>
      <c r="F560" s="1"/>
      <c r="G560" s="1"/>
      <c r="H560" s="1"/>
      <c r="I560" s="1"/>
      <c r="J560" s="1"/>
      <c r="K560" s="1"/>
      <c r="L560" s="1"/>
      <c r="M560" s="1"/>
      <c r="AB560" s="76"/>
      <c r="AV560" s="18"/>
      <c r="AW560" s="18"/>
    </row>
    <row r="561" spans="5:49" x14ac:dyDescent="0.2">
      <c r="E561" s="1"/>
      <c r="F561" s="1"/>
      <c r="G561" s="1"/>
      <c r="H561" s="1"/>
      <c r="I561" s="1"/>
      <c r="J561" s="1"/>
      <c r="K561" s="1"/>
      <c r="L561" s="1"/>
      <c r="M561" s="1"/>
      <c r="AB561" s="76"/>
      <c r="AV561" s="18"/>
      <c r="AW561" s="18"/>
    </row>
    <row r="562" spans="5:49" x14ac:dyDescent="0.2">
      <c r="E562" s="1"/>
      <c r="F562" s="1"/>
      <c r="G562" s="1"/>
      <c r="H562" s="1"/>
      <c r="I562" s="1"/>
      <c r="J562" s="1"/>
      <c r="K562" s="1"/>
      <c r="L562" s="1"/>
      <c r="M562" s="1"/>
      <c r="AB562" s="76"/>
      <c r="AV562" s="18"/>
      <c r="AW562" s="18"/>
    </row>
    <row r="563" spans="5:49" x14ac:dyDescent="0.2">
      <c r="E563" s="1"/>
      <c r="F563" s="1"/>
      <c r="G563" s="1"/>
      <c r="H563" s="1"/>
      <c r="I563" s="1"/>
      <c r="J563" s="1"/>
      <c r="K563" s="1"/>
      <c r="L563" s="1"/>
      <c r="M563" s="1"/>
      <c r="AB563" s="76"/>
      <c r="AV563" s="18"/>
      <c r="AW563" s="18"/>
    </row>
    <row r="564" spans="5:49" x14ac:dyDescent="0.2">
      <c r="E564" s="1"/>
      <c r="F564" s="1"/>
      <c r="G564" s="1"/>
      <c r="H564" s="1"/>
      <c r="I564" s="1"/>
      <c r="J564" s="1"/>
      <c r="K564" s="1"/>
      <c r="L564" s="1"/>
      <c r="M564" s="1"/>
      <c r="AB564" s="76"/>
      <c r="AV564" s="18"/>
      <c r="AW564" s="18"/>
    </row>
    <row r="565" spans="5:49" x14ac:dyDescent="0.2">
      <c r="E565" s="1"/>
      <c r="F565" s="1"/>
      <c r="G565" s="1"/>
      <c r="H565" s="1"/>
      <c r="I565" s="1"/>
      <c r="J565" s="1"/>
      <c r="K565" s="1"/>
      <c r="L565" s="1"/>
      <c r="M565" s="1"/>
      <c r="AB565" s="76"/>
      <c r="AV565" s="18"/>
      <c r="AW565" s="18"/>
    </row>
    <row r="566" spans="5:49" x14ac:dyDescent="0.2">
      <c r="E566" s="1"/>
      <c r="F566" s="1"/>
      <c r="G566" s="1"/>
      <c r="H566" s="1"/>
      <c r="I566" s="1"/>
      <c r="J566" s="1"/>
      <c r="K566" s="1"/>
      <c r="L566" s="1"/>
      <c r="M566" s="1"/>
      <c r="AB566" s="76"/>
      <c r="AV566" s="18"/>
      <c r="AW566" s="18"/>
    </row>
    <row r="567" spans="5:49" x14ac:dyDescent="0.2">
      <c r="E567" s="1"/>
      <c r="F567" s="1"/>
      <c r="G567" s="1"/>
      <c r="H567" s="1"/>
      <c r="I567" s="1"/>
      <c r="J567" s="1"/>
      <c r="K567" s="1"/>
      <c r="L567" s="1"/>
      <c r="M567" s="1"/>
      <c r="AB567" s="76"/>
      <c r="AV567" s="18"/>
      <c r="AW567" s="18"/>
    </row>
    <row r="568" spans="5:49" x14ac:dyDescent="0.2">
      <c r="E568" s="1"/>
      <c r="F568" s="1"/>
      <c r="G568" s="1"/>
      <c r="H568" s="1"/>
      <c r="I568" s="1"/>
      <c r="J568" s="1"/>
      <c r="K568" s="1"/>
      <c r="L568" s="1"/>
      <c r="M568" s="1"/>
      <c r="AB568" s="76"/>
      <c r="AV568" s="18"/>
      <c r="AW568" s="18"/>
    </row>
    <row r="569" spans="5:49" x14ac:dyDescent="0.2">
      <c r="E569" s="1"/>
      <c r="F569" s="1"/>
      <c r="G569" s="1"/>
      <c r="H569" s="1"/>
      <c r="I569" s="1"/>
      <c r="J569" s="1"/>
      <c r="K569" s="1"/>
      <c r="L569" s="1"/>
      <c r="M569" s="1"/>
      <c r="AB569" s="76"/>
      <c r="AV569" s="18"/>
      <c r="AW569" s="18"/>
    </row>
    <row r="570" spans="5:49" x14ac:dyDescent="0.2">
      <c r="E570" s="1"/>
      <c r="F570" s="1"/>
      <c r="G570" s="1"/>
      <c r="H570" s="1"/>
      <c r="I570" s="1"/>
      <c r="J570" s="1"/>
      <c r="K570" s="1"/>
      <c r="L570" s="1"/>
      <c r="M570" s="1"/>
      <c r="AB570" s="76"/>
      <c r="AV570" s="18"/>
      <c r="AW570" s="18"/>
    </row>
    <row r="571" spans="5:49" x14ac:dyDescent="0.2">
      <c r="E571" s="1"/>
      <c r="F571" s="1"/>
      <c r="G571" s="1"/>
      <c r="H571" s="1"/>
      <c r="I571" s="1"/>
      <c r="J571" s="1"/>
      <c r="K571" s="1"/>
      <c r="L571" s="1"/>
      <c r="M571" s="1"/>
      <c r="AB571" s="76"/>
      <c r="AV571" s="18"/>
      <c r="AW571" s="18"/>
    </row>
    <row r="572" spans="5:49" x14ac:dyDescent="0.2">
      <c r="E572" s="1"/>
      <c r="F572" s="1"/>
      <c r="G572" s="1"/>
      <c r="H572" s="1"/>
      <c r="I572" s="1"/>
      <c r="J572" s="1"/>
      <c r="K572" s="1"/>
      <c r="L572" s="1"/>
      <c r="M572" s="1"/>
      <c r="AB572" s="76"/>
      <c r="AV572" s="18"/>
      <c r="AW572" s="18"/>
    </row>
    <row r="573" spans="5:49" x14ac:dyDescent="0.2">
      <c r="E573" s="1"/>
      <c r="F573" s="1"/>
      <c r="G573" s="1"/>
      <c r="H573" s="1"/>
      <c r="I573" s="1"/>
      <c r="J573" s="1"/>
      <c r="K573" s="1"/>
      <c r="L573" s="1"/>
      <c r="M573" s="1"/>
      <c r="AB573" s="76"/>
      <c r="AV573" s="18"/>
      <c r="AW573" s="18"/>
    </row>
    <row r="574" spans="5:49" x14ac:dyDescent="0.2">
      <c r="E574" s="1"/>
      <c r="F574" s="1"/>
      <c r="G574" s="1"/>
      <c r="H574" s="1"/>
      <c r="I574" s="1"/>
      <c r="J574" s="1"/>
      <c r="K574" s="1"/>
      <c r="L574" s="1"/>
      <c r="M574" s="1"/>
      <c r="AB574" s="76"/>
      <c r="AV574" s="18"/>
      <c r="AW574" s="18"/>
    </row>
    <row r="575" spans="5:49" x14ac:dyDescent="0.2">
      <c r="E575" s="1"/>
      <c r="F575" s="1"/>
      <c r="G575" s="1"/>
      <c r="H575" s="1"/>
      <c r="I575" s="1"/>
      <c r="J575" s="1"/>
      <c r="K575" s="1"/>
      <c r="L575" s="1"/>
      <c r="M575" s="1"/>
      <c r="AB575" s="76"/>
      <c r="AV575" s="18"/>
      <c r="AW575" s="18"/>
    </row>
    <row r="576" spans="5:49" x14ac:dyDescent="0.2">
      <c r="E576" s="1"/>
      <c r="F576" s="1"/>
      <c r="G576" s="1"/>
      <c r="H576" s="1"/>
      <c r="I576" s="1"/>
      <c r="J576" s="1"/>
      <c r="K576" s="1"/>
      <c r="L576" s="1"/>
      <c r="M576" s="1"/>
      <c r="AB576" s="76"/>
      <c r="AV576" s="18"/>
      <c r="AW576" s="18"/>
    </row>
    <row r="577" spans="5:49" x14ac:dyDescent="0.2">
      <c r="E577" s="1"/>
      <c r="F577" s="1"/>
      <c r="G577" s="1"/>
      <c r="H577" s="1"/>
      <c r="I577" s="1"/>
      <c r="J577" s="1"/>
      <c r="K577" s="1"/>
      <c r="L577" s="1"/>
      <c r="M577" s="1"/>
      <c r="AB577" s="76"/>
      <c r="AV577" s="18"/>
      <c r="AW577" s="18"/>
    </row>
    <row r="578" spans="5:49" x14ac:dyDescent="0.2">
      <c r="E578" s="1"/>
      <c r="F578" s="1"/>
      <c r="G578" s="1"/>
      <c r="H578" s="1"/>
      <c r="I578" s="1"/>
      <c r="J578" s="1"/>
      <c r="K578" s="1"/>
      <c r="L578" s="1"/>
      <c r="M578" s="1"/>
      <c r="AB578" s="76"/>
      <c r="AV578" s="18"/>
      <c r="AW578" s="18"/>
    </row>
    <row r="579" spans="5:49" x14ac:dyDescent="0.2">
      <c r="E579" s="1"/>
      <c r="F579" s="1"/>
      <c r="G579" s="1"/>
      <c r="H579" s="1"/>
      <c r="I579" s="1"/>
      <c r="J579" s="1"/>
      <c r="K579" s="1"/>
      <c r="L579" s="1"/>
      <c r="M579" s="1"/>
      <c r="AB579" s="76"/>
      <c r="AV579" s="18"/>
      <c r="AW579" s="18"/>
    </row>
    <row r="580" spans="5:49" x14ac:dyDescent="0.2">
      <c r="E580" s="1"/>
      <c r="F580" s="1"/>
      <c r="G580" s="1"/>
      <c r="H580" s="1"/>
      <c r="I580" s="1"/>
      <c r="J580" s="1"/>
      <c r="K580" s="1"/>
      <c r="L580" s="1"/>
      <c r="M580" s="1"/>
      <c r="AB580" s="76"/>
      <c r="AV580" s="18"/>
      <c r="AW580" s="18"/>
    </row>
    <row r="581" spans="5:49" x14ac:dyDescent="0.2">
      <c r="E581" s="1"/>
      <c r="F581" s="1"/>
      <c r="G581" s="1"/>
      <c r="H581" s="1"/>
      <c r="I581" s="1"/>
      <c r="J581" s="1"/>
      <c r="K581" s="1"/>
      <c r="L581" s="1"/>
      <c r="M581" s="1"/>
      <c r="AB581" s="76"/>
      <c r="AV581" s="18"/>
      <c r="AW581" s="18"/>
    </row>
    <row r="582" spans="5:49" x14ac:dyDescent="0.2">
      <c r="E582" s="1"/>
      <c r="F582" s="1"/>
      <c r="G582" s="1"/>
      <c r="H582" s="1"/>
      <c r="I582" s="1"/>
      <c r="J582" s="1"/>
      <c r="K582" s="1"/>
      <c r="L582" s="1"/>
      <c r="M582" s="1"/>
      <c r="AB582" s="76"/>
      <c r="AV582" s="18"/>
      <c r="AW582" s="18"/>
    </row>
    <row r="583" spans="5:49" x14ac:dyDescent="0.2">
      <c r="E583" s="1"/>
      <c r="F583" s="1"/>
      <c r="G583" s="1"/>
      <c r="H583" s="1"/>
      <c r="I583" s="1"/>
      <c r="J583" s="1"/>
      <c r="K583" s="1"/>
      <c r="L583" s="1"/>
      <c r="M583" s="1"/>
      <c r="AB583" s="76"/>
      <c r="AV583" s="18"/>
      <c r="AW583" s="18"/>
    </row>
    <row r="584" spans="5:49" x14ac:dyDescent="0.2">
      <c r="E584" s="1"/>
      <c r="F584" s="1"/>
      <c r="G584" s="1"/>
      <c r="H584" s="1"/>
      <c r="I584" s="1"/>
      <c r="J584" s="1"/>
      <c r="K584" s="1"/>
      <c r="L584" s="1"/>
      <c r="M584" s="1"/>
      <c r="AB584" s="76"/>
      <c r="AV584" s="18"/>
      <c r="AW584" s="18"/>
    </row>
    <row r="585" spans="5:49" x14ac:dyDescent="0.2">
      <c r="E585" s="1"/>
      <c r="F585" s="1"/>
      <c r="G585" s="1"/>
      <c r="H585" s="1"/>
      <c r="I585" s="1"/>
      <c r="J585" s="1"/>
      <c r="K585" s="1"/>
      <c r="L585" s="1"/>
      <c r="M585" s="1"/>
      <c r="AB585" s="76"/>
      <c r="AV585" s="18"/>
      <c r="AW585" s="18"/>
    </row>
    <row r="586" spans="5:49" x14ac:dyDescent="0.2">
      <c r="E586" s="1"/>
      <c r="F586" s="1"/>
      <c r="G586" s="1"/>
      <c r="H586" s="1"/>
      <c r="I586" s="1"/>
      <c r="J586" s="1"/>
      <c r="K586" s="1"/>
      <c r="L586" s="1"/>
      <c r="M586" s="1"/>
      <c r="AB586" s="76"/>
      <c r="AV586" s="18"/>
      <c r="AW586" s="18"/>
    </row>
    <row r="587" spans="5:49" x14ac:dyDescent="0.2">
      <c r="E587" s="1"/>
      <c r="F587" s="1"/>
      <c r="G587" s="1"/>
      <c r="H587" s="1"/>
      <c r="I587" s="1"/>
      <c r="J587" s="1"/>
      <c r="K587" s="1"/>
      <c r="L587" s="1"/>
      <c r="M587" s="1"/>
      <c r="AB587" s="76"/>
      <c r="AV587" s="18"/>
      <c r="AW587" s="18"/>
    </row>
    <row r="588" spans="5:49" x14ac:dyDescent="0.2">
      <c r="E588" s="1"/>
      <c r="F588" s="1"/>
      <c r="G588" s="1"/>
      <c r="H588" s="1"/>
      <c r="I588" s="1"/>
      <c r="J588" s="1"/>
      <c r="K588" s="1"/>
      <c r="L588" s="1"/>
      <c r="M588" s="1"/>
      <c r="AB588" s="76"/>
      <c r="AV588" s="18"/>
      <c r="AW588" s="18"/>
    </row>
    <row r="589" spans="5:49" x14ac:dyDescent="0.2">
      <c r="E589" s="1"/>
      <c r="F589" s="1"/>
      <c r="G589" s="1"/>
      <c r="H589" s="1"/>
      <c r="I589" s="1"/>
      <c r="J589" s="1"/>
      <c r="K589" s="1"/>
      <c r="L589" s="1"/>
      <c r="M589" s="1"/>
      <c r="AB589" s="76"/>
      <c r="AV589" s="18"/>
      <c r="AW589" s="18"/>
    </row>
    <row r="590" spans="5:49" x14ac:dyDescent="0.2">
      <c r="E590" s="1"/>
      <c r="F590" s="1"/>
      <c r="G590" s="1"/>
      <c r="H590" s="1"/>
      <c r="I590" s="1"/>
      <c r="J590" s="1"/>
      <c r="K590" s="1"/>
      <c r="L590" s="1"/>
      <c r="M590" s="1"/>
      <c r="AB590" s="76"/>
      <c r="AV590" s="18"/>
      <c r="AW590" s="18"/>
    </row>
    <row r="591" spans="5:49" x14ac:dyDescent="0.2">
      <c r="E591" s="1"/>
      <c r="F591" s="1"/>
      <c r="G591" s="1"/>
      <c r="H591" s="1"/>
      <c r="I591" s="1"/>
      <c r="J591" s="1"/>
      <c r="K591" s="1"/>
      <c r="L591" s="1"/>
      <c r="M591" s="1"/>
      <c r="AV591" s="18"/>
      <c r="AW591" s="18"/>
    </row>
    <row r="592" spans="5:49" x14ac:dyDescent="0.2">
      <c r="E592" s="1"/>
      <c r="F592" s="1"/>
      <c r="G592" s="1"/>
      <c r="H592" s="1"/>
      <c r="I592" s="1"/>
      <c r="J592" s="1"/>
      <c r="K592" s="1"/>
      <c r="L592" s="1"/>
      <c r="M592" s="1"/>
      <c r="AV592" s="18"/>
      <c r="AW592" s="18"/>
    </row>
    <row r="593" spans="5:49" x14ac:dyDescent="0.2">
      <c r="E593" s="1"/>
      <c r="F593" s="1"/>
      <c r="G593" s="1"/>
      <c r="H593" s="1"/>
      <c r="I593" s="1"/>
      <c r="J593" s="1"/>
      <c r="K593" s="1"/>
      <c r="L593" s="1"/>
      <c r="M593" s="1"/>
      <c r="AV593" s="18"/>
      <c r="AW593" s="18"/>
    </row>
    <row r="594" spans="5:49" x14ac:dyDescent="0.2">
      <c r="E594" s="1"/>
      <c r="F594" s="1"/>
      <c r="G594" s="1"/>
      <c r="H594" s="1"/>
      <c r="I594" s="1"/>
      <c r="J594" s="1"/>
      <c r="K594" s="1"/>
      <c r="L594" s="1"/>
      <c r="M594" s="1"/>
      <c r="AV594" s="18"/>
      <c r="AW594" s="18"/>
    </row>
    <row r="595" spans="5:49" x14ac:dyDescent="0.2">
      <c r="E595" s="1"/>
      <c r="F595" s="1"/>
      <c r="G595" s="1"/>
      <c r="H595" s="1"/>
      <c r="I595" s="1"/>
      <c r="J595" s="1"/>
      <c r="K595" s="1"/>
      <c r="L595" s="1"/>
      <c r="M595" s="1"/>
      <c r="AV595" s="18"/>
      <c r="AW595" s="18"/>
    </row>
    <row r="596" spans="5:49" x14ac:dyDescent="0.2">
      <c r="E596" s="1"/>
      <c r="F596" s="1"/>
      <c r="G596" s="1"/>
      <c r="H596" s="1"/>
      <c r="I596" s="1"/>
      <c r="J596" s="1"/>
      <c r="K596" s="1"/>
      <c r="L596" s="1"/>
      <c r="M596" s="1"/>
      <c r="AV596" s="18"/>
      <c r="AW596" s="18"/>
    </row>
    <row r="597" spans="5:49" x14ac:dyDescent="0.2">
      <c r="E597" s="1"/>
      <c r="F597" s="1"/>
      <c r="G597" s="1"/>
      <c r="H597" s="1"/>
      <c r="I597" s="1"/>
      <c r="J597" s="1"/>
      <c r="K597" s="1"/>
      <c r="L597" s="1"/>
      <c r="M597" s="1"/>
      <c r="AV597" s="18"/>
      <c r="AW597" s="18"/>
    </row>
    <row r="598" spans="5:49" x14ac:dyDescent="0.2">
      <c r="E598" s="1"/>
      <c r="F598" s="1"/>
      <c r="G598" s="1"/>
      <c r="H598" s="1"/>
      <c r="I598" s="1"/>
      <c r="J598" s="1"/>
      <c r="K598" s="1"/>
      <c r="L598" s="1"/>
      <c r="M598" s="1"/>
      <c r="AV598" s="18"/>
      <c r="AW598" s="18"/>
    </row>
    <row r="599" spans="5:49" x14ac:dyDescent="0.2">
      <c r="E599" s="1"/>
      <c r="F599" s="1"/>
      <c r="G599" s="1"/>
      <c r="H599" s="1"/>
      <c r="I599" s="1"/>
      <c r="J599" s="1"/>
      <c r="K599" s="1"/>
      <c r="L599" s="1"/>
      <c r="M599" s="1"/>
      <c r="AV599" s="18"/>
      <c r="AW599" s="18"/>
    </row>
    <row r="600" spans="5:49" x14ac:dyDescent="0.2">
      <c r="E600" s="1"/>
      <c r="F600" s="1"/>
      <c r="G600" s="1"/>
      <c r="H600" s="1"/>
      <c r="I600" s="1"/>
      <c r="J600" s="1"/>
      <c r="K600" s="1"/>
      <c r="L600" s="1"/>
      <c r="M600" s="1"/>
      <c r="AV600" s="18"/>
      <c r="AW600" s="18"/>
    </row>
    <row r="601" spans="5:49" x14ac:dyDescent="0.2">
      <c r="E601" s="1"/>
      <c r="F601" s="1"/>
      <c r="G601" s="1"/>
      <c r="H601" s="1"/>
      <c r="I601" s="1"/>
      <c r="J601" s="1"/>
      <c r="K601" s="1"/>
      <c r="L601" s="1"/>
      <c r="M601" s="1"/>
      <c r="AV601" s="18"/>
      <c r="AW601" s="18"/>
    </row>
    <row r="602" spans="5:49" x14ac:dyDescent="0.2">
      <c r="E602" s="1"/>
      <c r="F602" s="1"/>
      <c r="G602" s="1"/>
      <c r="H602" s="1"/>
      <c r="I602" s="1"/>
      <c r="J602" s="1"/>
      <c r="K602" s="1"/>
      <c r="L602" s="1"/>
      <c r="M602" s="1"/>
      <c r="AV602" s="18"/>
      <c r="AW602" s="18"/>
    </row>
    <row r="603" spans="5:49" x14ac:dyDescent="0.2">
      <c r="E603" s="1"/>
      <c r="F603" s="1"/>
      <c r="G603" s="1"/>
      <c r="H603" s="1"/>
      <c r="I603" s="1"/>
      <c r="J603" s="1"/>
      <c r="K603" s="1"/>
      <c r="L603" s="1"/>
      <c r="M603" s="1"/>
      <c r="AV603" s="18"/>
      <c r="AW603" s="18"/>
    </row>
    <row r="604" spans="5:49" x14ac:dyDescent="0.2">
      <c r="E604" s="1"/>
      <c r="F604" s="1"/>
      <c r="G604" s="1"/>
      <c r="H604" s="1"/>
      <c r="I604" s="1"/>
      <c r="J604" s="1"/>
      <c r="K604" s="1"/>
      <c r="L604" s="1"/>
      <c r="M604" s="1"/>
      <c r="AV604" s="18"/>
      <c r="AW604" s="18"/>
    </row>
    <row r="605" spans="5:49" x14ac:dyDescent="0.2">
      <c r="E605" s="1"/>
      <c r="F605" s="1"/>
      <c r="G605" s="1"/>
      <c r="H605" s="1"/>
      <c r="I605" s="1"/>
      <c r="J605" s="1"/>
      <c r="K605" s="1"/>
      <c r="L605" s="1"/>
      <c r="M605" s="1"/>
      <c r="AV605" s="18"/>
      <c r="AW605" s="18"/>
    </row>
    <row r="606" spans="5:49" x14ac:dyDescent="0.2">
      <c r="E606" s="1"/>
      <c r="F606" s="1"/>
      <c r="G606" s="1"/>
      <c r="H606" s="1"/>
      <c r="I606" s="1"/>
      <c r="J606" s="1"/>
      <c r="K606" s="1"/>
      <c r="L606" s="1"/>
      <c r="M606" s="1"/>
      <c r="AV606" s="18"/>
      <c r="AW606" s="18"/>
    </row>
    <row r="607" spans="5:49" x14ac:dyDescent="0.2">
      <c r="E607" s="1"/>
      <c r="F607" s="1"/>
      <c r="G607" s="1"/>
      <c r="H607" s="1"/>
      <c r="I607" s="1"/>
      <c r="J607" s="1"/>
      <c r="K607" s="1"/>
      <c r="L607" s="1"/>
      <c r="M607" s="1"/>
      <c r="AV607" s="18"/>
      <c r="AW607" s="18"/>
    </row>
    <row r="608" spans="5:49" x14ac:dyDescent="0.2">
      <c r="E608" s="1"/>
      <c r="F608" s="1"/>
      <c r="G608" s="1"/>
      <c r="H608" s="1"/>
      <c r="I608" s="1"/>
      <c r="J608" s="1"/>
      <c r="K608" s="1"/>
      <c r="L608" s="1"/>
      <c r="M608" s="1"/>
      <c r="AV608" s="18"/>
      <c r="AW608" s="18"/>
    </row>
    <row r="609" spans="5:49" x14ac:dyDescent="0.2">
      <c r="E609" s="1"/>
      <c r="F609" s="1"/>
      <c r="G609" s="1"/>
      <c r="H609" s="1"/>
      <c r="I609" s="1"/>
      <c r="J609" s="1"/>
      <c r="K609" s="1"/>
      <c r="L609" s="1"/>
      <c r="M609" s="1"/>
      <c r="AV609" s="18"/>
      <c r="AW609" s="18"/>
    </row>
    <row r="610" spans="5:49" x14ac:dyDescent="0.2">
      <c r="E610" s="1"/>
      <c r="F610" s="1"/>
      <c r="G610" s="1"/>
      <c r="H610" s="1"/>
      <c r="I610" s="1"/>
      <c r="J610" s="1"/>
      <c r="K610" s="1"/>
      <c r="L610" s="1"/>
      <c r="M610" s="1"/>
      <c r="AV610" s="18"/>
      <c r="AW610" s="18"/>
    </row>
    <row r="611" spans="5:49" x14ac:dyDescent="0.2">
      <c r="E611" s="1"/>
      <c r="F611" s="1"/>
      <c r="G611" s="1"/>
      <c r="H611" s="1"/>
      <c r="I611" s="1"/>
      <c r="J611" s="1"/>
      <c r="K611" s="1"/>
      <c r="L611" s="1"/>
      <c r="M611" s="1"/>
      <c r="AV611" s="18"/>
      <c r="AW611" s="18"/>
    </row>
    <row r="612" spans="5:49" x14ac:dyDescent="0.2">
      <c r="E612" s="1"/>
      <c r="F612" s="1"/>
      <c r="G612" s="1"/>
      <c r="H612" s="1"/>
      <c r="I612" s="1"/>
      <c r="J612" s="1"/>
      <c r="K612" s="1"/>
      <c r="L612" s="1"/>
      <c r="M612" s="1"/>
      <c r="AV612" s="18"/>
      <c r="AW612" s="18"/>
    </row>
    <row r="613" spans="5:49" x14ac:dyDescent="0.2">
      <c r="E613" s="1"/>
      <c r="F613" s="1"/>
      <c r="G613" s="1"/>
      <c r="H613" s="1"/>
      <c r="I613" s="1"/>
      <c r="J613" s="1"/>
      <c r="K613" s="1"/>
      <c r="L613" s="1"/>
      <c r="M613" s="1"/>
      <c r="AV613" s="18"/>
      <c r="AW613" s="18"/>
    </row>
    <row r="614" spans="5:49" x14ac:dyDescent="0.2">
      <c r="E614" s="1"/>
      <c r="F614" s="1"/>
      <c r="G614" s="1"/>
      <c r="H614" s="1"/>
      <c r="I614" s="1"/>
      <c r="J614" s="1"/>
      <c r="K614" s="1"/>
      <c r="L614" s="1"/>
      <c r="M614" s="1"/>
      <c r="AV614" s="18"/>
      <c r="AW614" s="18"/>
    </row>
    <row r="615" spans="5:49" x14ac:dyDescent="0.2">
      <c r="E615" s="1"/>
      <c r="F615" s="1"/>
      <c r="G615" s="1"/>
      <c r="H615" s="1"/>
      <c r="I615" s="1"/>
      <c r="J615" s="1"/>
      <c r="K615" s="1"/>
      <c r="L615" s="1"/>
      <c r="M615" s="1"/>
      <c r="AV615" s="18"/>
      <c r="AW615" s="18"/>
    </row>
    <row r="616" spans="5:49" x14ac:dyDescent="0.2">
      <c r="E616" s="1"/>
      <c r="F616" s="1"/>
      <c r="G616" s="1"/>
      <c r="H616" s="1"/>
      <c r="I616" s="1"/>
      <c r="J616" s="1"/>
      <c r="K616" s="1"/>
      <c r="L616" s="1"/>
      <c r="M616" s="1"/>
      <c r="AV616" s="18"/>
      <c r="AW616" s="18"/>
    </row>
    <row r="617" spans="5:49" x14ac:dyDescent="0.2">
      <c r="E617" s="1"/>
      <c r="F617" s="1"/>
      <c r="G617" s="1"/>
      <c r="H617" s="1"/>
      <c r="I617" s="1"/>
      <c r="J617" s="1"/>
      <c r="K617" s="1"/>
      <c r="L617" s="1"/>
      <c r="M617" s="1"/>
      <c r="AV617" s="18"/>
      <c r="AW617" s="18"/>
    </row>
    <row r="618" spans="5:49" x14ac:dyDescent="0.2">
      <c r="E618" s="1"/>
      <c r="F618" s="1"/>
      <c r="G618" s="1"/>
      <c r="H618" s="1"/>
      <c r="I618" s="1"/>
      <c r="J618" s="1"/>
      <c r="K618" s="1"/>
      <c r="L618" s="1"/>
      <c r="M618" s="1"/>
      <c r="AV618" s="18"/>
      <c r="AW618" s="18"/>
    </row>
    <row r="619" spans="5:49" x14ac:dyDescent="0.2">
      <c r="E619" s="1"/>
      <c r="F619" s="1"/>
      <c r="G619" s="1"/>
      <c r="H619" s="1"/>
      <c r="I619" s="1"/>
      <c r="J619" s="1"/>
      <c r="K619" s="1"/>
      <c r="L619" s="1"/>
      <c r="M619" s="1"/>
      <c r="AV619" s="18"/>
      <c r="AW619" s="18"/>
    </row>
    <row r="620" spans="5:49" x14ac:dyDescent="0.2">
      <c r="E620" s="1"/>
      <c r="F620" s="1"/>
      <c r="G620" s="1"/>
      <c r="H620" s="1"/>
      <c r="I620" s="1"/>
      <c r="J620" s="1"/>
      <c r="K620" s="1"/>
      <c r="L620" s="1"/>
      <c r="M620" s="1"/>
      <c r="AV620" s="18"/>
      <c r="AW620" s="18"/>
    </row>
    <row r="621" spans="5:49" x14ac:dyDescent="0.2">
      <c r="E621" s="1"/>
      <c r="F621" s="1"/>
      <c r="G621" s="1"/>
      <c r="H621" s="1"/>
      <c r="I621" s="1"/>
      <c r="J621" s="1"/>
      <c r="K621" s="1"/>
      <c r="L621" s="1"/>
      <c r="M621" s="1"/>
      <c r="AV621" s="18"/>
      <c r="AW621" s="18"/>
    </row>
    <row r="622" spans="5:49" x14ac:dyDescent="0.2">
      <c r="E622" s="1"/>
      <c r="F622" s="1"/>
      <c r="G622" s="1"/>
      <c r="H622" s="1"/>
      <c r="I622" s="1"/>
      <c r="J622" s="1"/>
      <c r="K622" s="1"/>
      <c r="L622" s="1"/>
      <c r="M622" s="1"/>
      <c r="AV622" s="18"/>
      <c r="AW622" s="18"/>
    </row>
    <row r="623" spans="5:49" x14ac:dyDescent="0.2">
      <c r="E623" s="1"/>
      <c r="F623" s="1"/>
      <c r="G623" s="1"/>
      <c r="H623" s="1"/>
      <c r="I623" s="1"/>
      <c r="J623" s="1"/>
      <c r="K623" s="1"/>
      <c r="L623" s="1"/>
      <c r="M623" s="1"/>
      <c r="AV623" s="18"/>
      <c r="AW623" s="18"/>
    </row>
    <row r="624" spans="5:49" x14ac:dyDescent="0.2">
      <c r="E624" s="1"/>
      <c r="F624" s="1"/>
      <c r="G624" s="1"/>
      <c r="H624" s="1"/>
      <c r="I624" s="1"/>
      <c r="J624" s="1"/>
      <c r="K624" s="1"/>
      <c r="L624" s="1"/>
      <c r="M624" s="1"/>
      <c r="AV624" s="18"/>
      <c r="AW624" s="18"/>
    </row>
    <row r="625" spans="5:49" x14ac:dyDescent="0.2">
      <c r="E625" s="1"/>
      <c r="F625" s="1"/>
      <c r="G625" s="1"/>
      <c r="H625" s="1"/>
      <c r="I625" s="1"/>
      <c r="J625" s="1"/>
      <c r="K625" s="1"/>
      <c r="L625" s="1"/>
      <c r="M625" s="1"/>
      <c r="AV625" s="18"/>
      <c r="AW625" s="18"/>
    </row>
    <row r="626" spans="5:49" x14ac:dyDescent="0.2">
      <c r="E626" s="1"/>
      <c r="F626" s="1"/>
      <c r="G626" s="1"/>
      <c r="H626" s="1"/>
      <c r="I626" s="1"/>
      <c r="J626" s="1"/>
      <c r="K626" s="1"/>
      <c r="L626" s="1"/>
      <c r="M626" s="1"/>
      <c r="AV626" s="18"/>
      <c r="AW626" s="18"/>
    </row>
    <row r="627" spans="5:49" x14ac:dyDescent="0.2">
      <c r="E627" s="1"/>
      <c r="F627" s="1"/>
      <c r="G627" s="1"/>
      <c r="H627" s="1"/>
      <c r="I627" s="1"/>
      <c r="J627" s="1"/>
      <c r="K627" s="1"/>
      <c r="L627" s="1"/>
      <c r="M627" s="1"/>
      <c r="AV627" s="18"/>
      <c r="AW627" s="18"/>
    </row>
    <row r="628" spans="5:49" x14ac:dyDescent="0.2">
      <c r="E628" s="1"/>
      <c r="F628" s="1"/>
      <c r="G628" s="1"/>
      <c r="H628" s="1"/>
      <c r="I628" s="1"/>
      <c r="J628" s="1"/>
      <c r="K628" s="1"/>
      <c r="L628" s="1"/>
      <c r="M628" s="1"/>
      <c r="AV628" s="18"/>
      <c r="AW628" s="18"/>
    </row>
    <row r="629" spans="5:49" x14ac:dyDescent="0.2">
      <c r="E629" s="1"/>
      <c r="F629" s="1"/>
      <c r="G629" s="1"/>
      <c r="H629" s="1"/>
      <c r="I629" s="1"/>
      <c r="J629" s="1"/>
      <c r="K629" s="1"/>
      <c r="L629" s="1"/>
      <c r="M629" s="1"/>
      <c r="AV629" s="18"/>
      <c r="AW629" s="18"/>
    </row>
    <row r="630" spans="5:49" x14ac:dyDescent="0.2">
      <c r="E630" s="1"/>
      <c r="F630" s="1"/>
      <c r="G630" s="1"/>
      <c r="H630" s="1"/>
      <c r="I630" s="1"/>
      <c r="J630" s="1"/>
      <c r="K630" s="1"/>
      <c r="L630" s="1"/>
      <c r="M630" s="1"/>
      <c r="AV630" s="18"/>
      <c r="AW630" s="18"/>
    </row>
    <row r="631" spans="5:49" x14ac:dyDescent="0.2">
      <c r="E631" s="1"/>
      <c r="F631" s="1"/>
      <c r="G631" s="1"/>
      <c r="H631" s="1"/>
      <c r="I631" s="1"/>
      <c r="J631" s="1"/>
      <c r="K631" s="1"/>
      <c r="L631" s="1"/>
      <c r="M631" s="1"/>
      <c r="AV631" s="18"/>
      <c r="AW631" s="18"/>
    </row>
    <row r="632" spans="5:49" x14ac:dyDescent="0.2">
      <c r="E632" s="1"/>
      <c r="F632" s="1"/>
      <c r="G632" s="1"/>
      <c r="H632" s="1"/>
      <c r="I632" s="1"/>
      <c r="J632" s="1"/>
      <c r="K632" s="1"/>
      <c r="L632" s="1"/>
      <c r="M632" s="1"/>
      <c r="AV632" s="18"/>
      <c r="AW632" s="18"/>
    </row>
    <row r="633" spans="5:49" x14ac:dyDescent="0.2">
      <c r="E633" s="1"/>
      <c r="F633" s="1"/>
      <c r="G633" s="1"/>
      <c r="H633" s="1"/>
      <c r="I633" s="1"/>
      <c r="J633" s="1"/>
      <c r="K633" s="1"/>
      <c r="L633" s="1"/>
      <c r="M633" s="1"/>
      <c r="AV633" s="18"/>
      <c r="AW633" s="18"/>
    </row>
    <row r="634" spans="5:49" x14ac:dyDescent="0.2">
      <c r="E634" s="1"/>
      <c r="F634" s="1"/>
      <c r="G634" s="1"/>
      <c r="H634" s="1"/>
      <c r="I634" s="1"/>
      <c r="J634" s="1"/>
      <c r="K634" s="1"/>
      <c r="L634" s="1"/>
      <c r="M634" s="1"/>
      <c r="AV634" s="18"/>
      <c r="AW634" s="18"/>
    </row>
    <row r="635" spans="5:49" x14ac:dyDescent="0.2">
      <c r="E635" s="1"/>
      <c r="F635" s="1"/>
      <c r="G635" s="1"/>
      <c r="H635" s="1"/>
      <c r="I635" s="1"/>
      <c r="J635" s="1"/>
      <c r="K635" s="1"/>
      <c r="L635" s="1"/>
      <c r="M635" s="1"/>
      <c r="AV635" s="18"/>
      <c r="AW635" s="18"/>
    </row>
    <row r="636" spans="5:49" x14ac:dyDescent="0.2">
      <c r="E636" s="1"/>
      <c r="F636" s="1"/>
      <c r="G636" s="1"/>
      <c r="H636" s="1"/>
      <c r="I636" s="1"/>
      <c r="J636" s="1"/>
      <c r="K636" s="1"/>
      <c r="L636" s="1"/>
      <c r="M636" s="1"/>
      <c r="AV636" s="18"/>
      <c r="AW636" s="18"/>
    </row>
    <row r="637" spans="5:49" x14ac:dyDescent="0.2">
      <c r="E637" s="1"/>
      <c r="F637" s="1"/>
      <c r="G637" s="1"/>
      <c r="H637" s="1"/>
      <c r="I637" s="1"/>
      <c r="J637" s="1"/>
      <c r="K637" s="1"/>
      <c r="L637" s="1"/>
      <c r="M637" s="1"/>
      <c r="AV637" s="18"/>
      <c r="AW637" s="18"/>
    </row>
    <row r="638" spans="5:49" x14ac:dyDescent="0.2">
      <c r="E638" s="1"/>
      <c r="F638" s="1"/>
      <c r="G638" s="1"/>
      <c r="H638" s="1"/>
      <c r="I638" s="1"/>
      <c r="J638" s="1"/>
      <c r="K638" s="1"/>
      <c r="L638" s="1"/>
      <c r="M638" s="1"/>
      <c r="AV638" s="18"/>
      <c r="AW638" s="18"/>
    </row>
    <row r="639" spans="5:49" x14ac:dyDescent="0.2">
      <c r="E639" s="1"/>
      <c r="F639" s="1"/>
      <c r="G639" s="1"/>
      <c r="H639" s="1"/>
      <c r="I639" s="1"/>
      <c r="J639" s="1"/>
      <c r="K639" s="1"/>
      <c r="L639" s="1"/>
      <c r="M639" s="1"/>
      <c r="AV639" s="18"/>
      <c r="AW639" s="18"/>
    </row>
    <row r="640" spans="5:49" x14ac:dyDescent="0.2">
      <c r="E640" s="1"/>
      <c r="F640" s="1"/>
      <c r="G640" s="1"/>
      <c r="H640" s="1"/>
      <c r="I640" s="1"/>
      <c r="J640" s="1"/>
      <c r="K640" s="1"/>
      <c r="L640" s="1"/>
      <c r="M640" s="1"/>
      <c r="AV640" s="18"/>
      <c r="AW640" s="18"/>
    </row>
    <row r="641" spans="5:49" x14ac:dyDescent="0.2">
      <c r="E641" s="1"/>
      <c r="F641" s="1"/>
      <c r="G641" s="1"/>
      <c r="H641" s="1"/>
      <c r="I641" s="1"/>
      <c r="J641" s="1"/>
      <c r="K641" s="1"/>
      <c r="L641" s="1"/>
      <c r="M641" s="1"/>
      <c r="AV641" s="18"/>
      <c r="AW641" s="18"/>
    </row>
    <row r="642" spans="5:49" x14ac:dyDescent="0.2">
      <c r="E642" s="1"/>
      <c r="F642" s="1"/>
      <c r="G642" s="1"/>
      <c r="H642" s="1"/>
      <c r="I642" s="1"/>
      <c r="J642" s="1"/>
      <c r="K642" s="1"/>
      <c r="L642" s="1"/>
      <c r="M642" s="1"/>
      <c r="AV642" s="18"/>
      <c r="AW642" s="18"/>
    </row>
    <row r="643" spans="5:49" x14ac:dyDescent="0.2">
      <c r="E643" s="1"/>
      <c r="F643" s="1"/>
      <c r="G643" s="1"/>
      <c r="H643" s="1"/>
      <c r="I643" s="1"/>
      <c r="J643" s="1"/>
      <c r="K643" s="1"/>
      <c r="L643" s="1"/>
      <c r="M643" s="1"/>
      <c r="AV643" s="18"/>
      <c r="AW643" s="18"/>
    </row>
    <row r="644" spans="5:49" x14ac:dyDescent="0.2">
      <c r="E644" s="1"/>
      <c r="F644" s="1"/>
      <c r="G644" s="1"/>
      <c r="H644" s="1"/>
      <c r="I644" s="1"/>
      <c r="J644" s="1"/>
      <c r="K644" s="1"/>
      <c r="L644" s="1"/>
      <c r="M644" s="1"/>
      <c r="AV644" s="18"/>
      <c r="AW644" s="18"/>
    </row>
    <row r="645" spans="5:49" x14ac:dyDescent="0.2">
      <c r="E645" s="1"/>
      <c r="F645" s="1"/>
      <c r="G645" s="1"/>
      <c r="H645" s="1"/>
      <c r="I645" s="1"/>
      <c r="J645" s="1"/>
      <c r="K645" s="1"/>
      <c r="L645" s="1"/>
      <c r="M645" s="1"/>
      <c r="AV645" s="18"/>
      <c r="AW645" s="18"/>
    </row>
    <row r="646" spans="5:49" x14ac:dyDescent="0.2">
      <c r="E646" s="1"/>
      <c r="F646" s="1"/>
      <c r="G646" s="1"/>
      <c r="H646" s="1"/>
      <c r="I646" s="1"/>
      <c r="J646" s="1"/>
      <c r="K646" s="1"/>
      <c r="L646" s="1"/>
      <c r="M646" s="1"/>
      <c r="AV646" s="18"/>
      <c r="AW646" s="18"/>
    </row>
    <row r="647" spans="5:49" x14ac:dyDescent="0.2">
      <c r="E647" s="1"/>
      <c r="F647" s="1"/>
      <c r="G647" s="1"/>
      <c r="H647" s="1"/>
      <c r="I647" s="1"/>
      <c r="J647" s="1"/>
      <c r="K647" s="1"/>
      <c r="L647" s="1"/>
      <c r="M647" s="1"/>
      <c r="AV647" s="18"/>
      <c r="AW647" s="18"/>
    </row>
    <row r="648" spans="5:49" x14ac:dyDescent="0.2">
      <c r="E648" s="1"/>
      <c r="F648" s="1"/>
      <c r="G648" s="1"/>
      <c r="H648" s="1"/>
      <c r="I648" s="1"/>
      <c r="J648" s="1"/>
      <c r="K648" s="1"/>
      <c r="L648" s="1"/>
      <c r="M648" s="1"/>
      <c r="AV648" s="18"/>
      <c r="AW648" s="18"/>
    </row>
    <row r="649" spans="5:49" x14ac:dyDescent="0.2">
      <c r="E649" s="1"/>
      <c r="F649" s="1"/>
      <c r="G649" s="1"/>
      <c r="H649" s="1"/>
      <c r="I649" s="1"/>
      <c r="J649" s="1"/>
      <c r="K649" s="1"/>
      <c r="L649" s="1"/>
      <c r="M649" s="1"/>
      <c r="AV649" s="18"/>
      <c r="AW649" s="18"/>
    </row>
    <row r="650" spans="5:49" x14ac:dyDescent="0.2">
      <c r="E650" s="1"/>
      <c r="F650" s="1"/>
      <c r="G650" s="1"/>
      <c r="H650" s="1"/>
      <c r="I650" s="1"/>
      <c r="J650" s="1"/>
      <c r="K650" s="1"/>
      <c r="L650" s="1"/>
      <c r="M650" s="1"/>
      <c r="AV650" s="18"/>
      <c r="AW650" s="18"/>
    </row>
    <row r="651" spans="5:49" x14ac:dyDescent="0.2">
      <c r="E651" s="1"/>
      <c r="F651" s="1"/>
      <c r="G651" s="1"/>
      <c r="H651" s="1"/>
      <c r="I651" s="1"/>
      <c r="J651" s="1"/>
      <c r="K651" s="1"/>
      <c r="L651" s="1"/>
      <c r="M651" s="1"/>
      <c r="AV651" s="18"/>
      <c r="AW651" s="18"/>
    </row>
    <row r="652" spans="5:49" x14ac:dyDescent="0.2">
      <c r="E652" s="1"/>
      <c r="F652" s="1"/>
      <c r="G652" s="1"/>
      <c r="H652" s="1"/>
      <c r="I652" s="1"/>
      <c r="J652" s="1"/>
      <c r="K652" s="1"/>
      <c r="L652" s="1"/>
      <c r="M652" s="1"/>
      <c r="AV652" s="18"/>
      <c r="AW652" s="18"/>
    </row>
    <row r="653" spans="5:49" x14ac:dyDescent="0.2">
      <c r="E653" s="1"/>
      <c r="F653" s="1"/>
      <c r="G653" s="1"/>
      <c r="H653" s="1"/>
      <c r="I653" s="1"/>
      <c r="J653" s="1"/>
      <c r="K653" s="1"/>
      <c r="L653" s="1"/>
      <c r="M653" s="1"/>
      <c r="AV653" s="18"/>
      <c r="AW653" s="18"/>
    </row>
    <row r="654" spans="5:49" x14ac:dyDescent="0.2">
      <c r="E654" s="1"/>
      <c r="F654" s="1"/>
      <c r="G654" s="1"/>
      <c r="H654" s="1"/>
      <c r="I654" s="1"/>
      <c r="J654" s="1"/>
      <c r="K654" s="1"/>
      <c r="L654" s="1"/>
      <c r="M654" s="1"/>
      <c r="AV654" s="18"/>
      <c r="AW654" s="18"/>
    </row>
    <row r="655" spans="5:49" x14ac:dyDescent="0.2">
      <c r="E655" s="1"/>
      <c r="F655" s="1"/>
      <c r="G655" s="1"/>
      <c r="H655" s="1"/>
      <c r="I655" s="1"/>
      <c r="J655" s="1"/>
      <c r="K655" s="1"/>
      <c r="L655" s="1"/>
      <c r="M655" s="1"/>
      <c r="AV655" s="18"/>
      <c r="AW655" s="18"/>
    </row>
    <row r="656" spans="5:49" x14ac:dyDescent="0.2">
      <c r="E656" s="1"/>
      <c r="F656" s="1"/>
      <c r="G656" s="1"/>
      <c r="H656" s="1"/>
      <c r="I656" s="1"/>
      <c r="J656" s="1"/>
      <c r="K656" s="1"/>
      <c r="L656" s="1"/>
      <c r="M656" s="1"/>
      <c r="AV656" s="18"/>
      <c r="AW656" s="18"/>
    </row>
    <row r="657" spans="5:49" x14ac:dyDescent="0.2">
      <c r="E657" s="1"/>
      <c r="F657" s="1"/>
      <c r="G657" s="1"/>
      <c r="H657" s="1"/>
      <c r="I657" s="1"/>
      <c r="J657" s="1"/>
      <c r="K657" s="1"/>
      <c r="L657" s="1"/>
      <c r="M657" s="1"/>
      <c r="AV657" s="18"/>
      <c r="AW657" s="18"/>
    </row>
    <row r="658" spans="5:49" x14ac:dyDescent="0.2">
      <c r="E658" s="1"/>
      <c r="F658" s="1"/>
      <c r="G658" s="1"/>
      <c r="H658" s="1"/>
      <c r="I658" s="1"/>
      <c r="J658" s="1"/>
      <c r="K658" s="1"/>
      <c r="L658" s="1"/>
      <c r="M658" s="1"/>
      <c r="AV658" s="18"/>
      <c r="AW658" s="18"/>
    </row>
    <row r="659" spans="5:49" x14ac:dyDescent="0.2">
      <c r="E659" s="1"/>
      <c r="F659" s="1"/>
      <c r="G659" s="1"/>
      <c r="H659" s="1"/>
      <c r="I659" s="1"/>
      <c r="J659" s="1"/>
      <c r="K659" s="1"/>
      <c r="L659" s="1"/>
      <c r="M659" s="1"/>
      <c r="AV659" s="18"/>
      <c r="AW659" s="18"/>
    </row>
    <row r="660" spans="5:49" x14ac:dyDescent="0.2">
      <c r="E660" s="1"/>
      <c r="F660" s="1"/>
      <c r="G660" s="1"/>
      <c r="H660" s="1"/>
      <c r="I660" s="1"/>
      <c r="J660" s="1"/>
      <c r="K660" s="1"/>
      <c r="L660" s="1"/>
      <c r="M660" s="1"/>
      <c r="AV660" s="18"/>
      <c r="AW660" s="18"/>
    </row>
    <row r="661" spans="5:49" x14ac:dyDescent="0.2">
      <c r="E661" s="1"/>
      <c r="F661" s="1"/>
      <c r="G661" s="1"/>
      <c r="H661" s="1"/>
      <c r="I661" s="1"/>
      <c r="J661" s="1"/>
      <c r="K661" s="1"/>
      <c r="L661" s="1"/>
      <c r="M661" s="1"/>
      <c r="AV661" s="18"/>
      <c r="AW661" s="18"/>
    </row>
    <row r="662" spans="5:49" x14ac:dyDescent="0.2">
      <c r="E662" s="1"/>
      <c r="F662" s="1"/>
      <c r="G662" s="1"/>
      <c r="H662" s="1"/>
      <c r="I662" s="1"/>
      <c r="J662" s="1"/>
      <c r="K662" s="1"/>
      <c r="L662" s="1"/>
      <c r="M662" s="1"/>
      <c r="AV662" s="18"/>
      <c r="AW662" s="18"/>
    </row>
    <row r="663" spans="5:49" x14ac:dyDescent="0.2">
      <c r="E663" s="1"/>
      <c r="F663" s="1"/>
      <c r="G663" s="1"/>
      <c r="H663" s="1"/>
      <c r="I663" s="1"/>
      <c r="J663" s="1"/>
      <c r="K663" s="1"/>
      <c r="L663" s="1"/>
      <c r="M663" s="1"/>
      <c r="AV663" s="18"/>
      <c r="AW663" s="18"/>
    </row>
    <row r="664" spans="5:49" x14ac:dyDescent="0.2">
      <c r="E664" s="1"/>
      <c r="F664" s="1"/>
      <c r="G664" s="1"/>
      <c r="H664" s="1"/>
      <c r="I664" s="1"/>
      <c r="J664" s="1"/>
      <c r="K664" s="1"/>
      <c r="L664" s="1"/>
      <c r="M664" s="1"/>
      <c r="AV664" s="18"/>
      <c r="AW664" s="18"/>
    </row>
    <row r="665" spans="5:49" x14ac:dyDescent="0.2">
      <c r="E665" s="1"/>
      <c r="F665" s="1"/>
      <c r="G665" s="1"/>
      <c r="H665" s="1"/>
      <c r="I665" s="1"/>
      <c r="J665" s="1"/>
      <c r="K665" s="1"/>
      <c r="L665" s="1"/>
      <c r="M665" s="1"/>
      <c r="AV665" s="18"/>
      <c r="AW665" s="18"/>
    </row>
    <row r="666" spans="5:49" x14ac:dyDescent="0.2">
      <c r="E666" s="1"/>
      <c r="F666" s="1"/>
      <c r="G666" s="1"/>
      <c r="H666" s="1"/>
      <c r="I666" s="1"/>
      <c r="J666" s="1"/>
      <c r="K666" s="1"/>
      <c r="L666" s="1"/>
      <c r="M666" s="1"/>
      <c r="AV666" s="18"/>
      <c r="AW666" s="18"/>
    </row>
    <row r="667" spans="5:49" x14ac:dyDescent="0.2">
      <c r="E667" s="1"/>
      <c r="F667" s="1"/>
      <c r="G667" s="1"/>
      <c r="H667" s="1"/>
      <c r="I667" s="1"/>
      <c r="J667" s="1"/>
      <c r="K667" s="1"/>
      <c r="L667" s="1"/>
      <c r="M667" s="1"/>
      <c r="AV667" s="18"/>
      <c r="AW667" s="18"/>
    </row>
    <row r="668" spans="5:49" x14ac:dyDescent="0.2">
      <c r="E668" s="1"/>
      <c r="F668" s="1"/>
      <c r="G668" s="1"/>
      <c r="H668" s="1"/>
      <c r="I668" s="1"/>
      <c r="J668" s="1"/>
      <c r="K668" s="1"/>
      <c r="L668" s="1"/>
      <c r="M668" s="1"/>
      <c r="AV668" s="18"/>
      <c r="AW668" s="18"/>
    </row>
    <row r="669" spans="5:49" x14ac:dyDescent="0.2">
      <c r="E669" s="1"/>
      <c r="F669" s="1"/>
      <c r="G669" s="1"/>
      <c r="H669" s="1"/>
      <c r="I669" s="1"/>
      <c r="J669" s="1"/>
      <c r="K669" s="1"/>
      <c r="L669" s="1"/>
      <c r="M669" s="1"/>
      <c r="AV669" s="18"/>
      <c r="AW669" s="18"/>
    </row>
    <row r="670" spans="5:49" x14ac:dyDescent="0.2">
      <c r="E670" s="1"/>
      <c r="F670" s="1"/>
      <c r="G670" s="1"/>
      <c r="H670" s="1"/>
      <c r="I670" s="1"/>
      <c r="J670" s="1"/>
      <c r="K670" s="1"/>
      <c r="L670" s="1"/>
      <c r="M670" s="1"/>
      <c r="AV670" s="18"/>
      <c r="AW670" s="18"/>
    </row>
    <row r="671" spans="5:49" x14ac:dyDescent="0.2">
      <c r="E671" s="1"/>
      <c r="F671" s="1"/>
      <c r="G671" s="1"/>
      <c r="H671" s="1"/>
      <c r="I671" s="1"/>
      <c r="J671" s="1"/>
      <c r="K671" s="1"/>
      <c r="L671" s="1"/>
      <c r="M671" s="1"/>
      <c r="AV671" s="18"/>
      <c r="AW671" s="18"/>
    </row>
    <row r="672" spans="5:49" x14ac:dyDescent="0.2">
      <c r="E672" s="1"/>
      <c r="F672" s="1"/>
      <c r="G672" s="1"/>
      <c r="H672" s="1"/>
      <c r="I672" s="1"/>
      <c r="J672" s="1"/>
      <c r="K672" s="1"/>
      <c r="L672" s="1"/>
      <c r="M672" s="1"/>
      <c r="AV672" s="18"/>
      <c r="AW672" s="18"/>
    </row>
    <row r="673" spans="5:49" x14ac:dyDescent="0.2">
      <c r="E673" s="1"/>
      <c r="F673" s="1"/>
      <c r="G673" s="1"/>
      <c r="H673" s="1"/>
      <c r="I673" s="1"/>
      <c r="J673" s="1"/>
      <c r="K673" s="1"/>
      <c r="L673" s="1"/>
      <c r="M673" s="1"/>
      <c r="AV673" s="18"/>
      <c r="AW673" s="18"/>
    </row>
    <row r="674" spans="5:49" x14ac:dyDescent="0.2">
      <c r="E674" s="1"/>
      <c r="F674" s="1"/>
      <c r="G674" s="1"/>
      <c r="H674" s="1"/>
      <c r="I674" s="1"/>
      <c r="J674" s="1"/>
      <c r="K674" s="1"/>
      <c r="L674" s="1"/>
      <c r="M674" s="1"/>
      <c r="AV674" s="18"/>
      <c r="AW674" s="18"/>
    </row>
    <row r="675" spans="5:49" x14ac:dyDescent="0.2">
      <c r="E675" s="1"/>
      <c r="F675" s="1"/>
      <c r="G675" s="1"/>
      <c r="H675" s="1"/>
      <c r="I675" s="1"/>
      <c r="J675" s="1"/>
      <c r="K675" s="1"/>
      <c r="L675" s="1"/>
      <c r="M675" s="1"/>
      <c r="AV675" s="18"/>
      <c r="AW675" s="18"/>
    </row>
    <row r="676" spans="5:49" x14ac:dyDescent="0.2">
      <c r="E676" s="1"/>
      <c r="F676" s="1"/>
      <c r="G676" s="1"/>
      <c r="H676" s="1"/>
      <c r="I676" s="1"/>
      <c r="J676" s="1"/>
      <c r="K676" s="1"/>
      <c r="L676" s="1"/>
      <c r="M676" s="1"/>
      <c r="AV676" s="18"/>
      <c r="AW676" s="18"/>
    </row>
    <row r="677" spans="5:49" x14ac:dyDescent="0.2">
      <c r="E677" s="1"/>
      <c r="F677" s="1"/>
      <c r="G677" s="1"/>
      <c r="H677" s="1"/>
      <c r="I677" s="1"/>
      <c r="J677" s="1"/>
      <c r="K677" s="1"/>
      <c r="L677" s="1"/>
      <c r="M677" s="1"/>
      <c r="AV677" s="18"/>
      <c r="AW677" s="18"/>
    </row>
    <row r="678" spans="5:49" x14ac:dyDescent="0.2">
      <c r="E678" s="1"/>
      <c r="F678" s="1"/>
      <c r="G678" s="1"/>
      <c r="H678" s="1"/>
      <c r="I678" s="1"/>
      <c r="J678" s="1"/>
      <c r="K678" s="1"/>
      <c r="L678" s="1"/>
      <c r="M678" s="1"/>
      <c r="AV678" s="18"/>
      <c r="AW678" s="18"/>
    </row>
    <row r="679" spans="5:49" x14ac:dyDescent="0.2">
      <c r="E679" s="1"/>
      <c r="F679" s="1"/>
      <c r="G679" s="1"/>
      <c r="H679" s="1"/>
      <c r="I679" s="1"/>
      <c r="J679" s="1"/>
      <c r="K679" s="1"/>
      <c r="L679" s="1"/>
      <c r="M679" s="1"/>
      <c r="AV679" s="18"/>
      <c r="AW679" s="18"/>
    </row>
    <row r="680" spans="5:49" x14ac:dyDescent="0.2">
      <c r="E680" s="1"/>
      <c r="F680" s="1"/>
      <c r="G680" s="1"/>
      <c r="H680" s="1"/>
      <c r="I680" s="1"/>
      <c r="J680" s="1"/>
      <c r="K680" s="1"/>
      <c r="L680" s="1"/>
      <c r="M680" s="1"/>
      <c r="AV680" s="18"/>
      <c r="AW680" s="18"/>
    </row>
    <row r="681" spans="5:49" x14ac:dyDescent="0.2">
      <c r="E681" s="1"/>
      <c r="F681" s="1"/>
      <c r="G681" s="1"/>
      <c r="H681" s="1"/>
      <c r="I681" s="1"/>
      <c r="J681" s="1"/>
      <c r="K681" s="1"/>
      <c r="L681" s="1"/>
      <c r="M681" s="1"/>
      <c r="AV681" s="18"/>
      <c r="AW681" s="18"/>
    </row>
    <row r="682" spans="5:49" x14ac:dyDescent="0.2">
      <c r="E682" s="1"/>
      <c r="F682" s="1"/>
      <c r="G682" s="1"/>
      <c r="H682" s="1"/>
      <c r="I682" s="1"/>
      <c r="J682" s="1"/>
      <c r="K682" s="1"/>
      <c r="L682" s="1"/>
      <c r="M682" s="1"/>
      <c r="AV682" s="18"/>
      <c r="AW682" s="18"/>
    </row>
    <row r="683" spans="5:49" x14ac:dyDescent="0.2">
      <c r="E683" s="1"/>
      <c r="F683" s="1"/>
      <c r="G683" s="1"/>
      <c r="H683" s="1"/>
      <c r="I683" s="1"/>
      <c r="J683" s="1"/>
      <c r="K683" s="1"/>
      <c r="L683" s="1"/>
      <c r="M683" s="1"/>
      <c r="AV683" s="18"/>
      <c r="AW683" s="18"/>
    </row>
    <row r="684" spans="5:49" x14ac:dyDescent="0.2">
      <c r="E684" s="1"/>
      <c r="F684" s="1"/>
      <c r="G684" s="1"/>
      <c r="H684" s="1"/>
      <c r="I684" s="1"/>
      <c r="J684" s="1"/>
      <c r="K684" s="1"/>
      <c r="L684" s="1"/>
      <c r="M684" s="1"/>
      <c r="AV684" s="18"/>
      <c r="AW684" s="18"/>
    </row>
    <row r="685" spans="5:49" x14ac:dyDescent="0.2">
      <c r="E685" s="1"/>
      <c r="F685" s="1"/>
      <c r="G685" s="1"/>
      <c r="H685" s="1"/>
      <c r="I685" s="1"/>
      <c r="J685" s="1"/>
      <c r="K685" s="1"/>
      <c r="L685" s="1"/>
      <c r="M685" s="1"/>
      <c r="AV685" s="18"/>
      <c r="AW685" s="18"/>
    </row>
    <row r="686" spans="5:49" x14ac:dyDescent="0.2">
      <c r="E686" s="1"/>
      <c r="F686" s="1"/>
      <c r="G686" s="1"/>
      <c r="H686" s="1"/>
      <c r="I686" s="1"/>
      <c r="J686" s="1"/>
      <c r="K686" s="1"/>
      <c r="L686" s="1"/>
      <c r="M686" s="1"/>
      <c r="AV686" s="18"/>
      <c r="AW686" s="18"/>
    </row>
    <row r="687" spans="5:49" x14ac:dyDescent="0.2">
      <c r="E687" s="1"/>
      <c r="F687" s="1"/>
      <c r="G687" s="1"/>
      <c r="H687" s="1"/>
      <c r="I687" s="1"/>
      <c r="J687" s="1"/>
      <c r="K687" s="1"/>
      <c r="L687" s="1"/>
      <c r="M687" s="1"/>
      <c r="AV687" s="18"/>
      <c r="AW687" s="18"/>
    </row>
    <row r="688" spans="5:49" x14ac:dyDescent="0.2">
      <c r="E688" s="1"/>
      <c r="F688" s="1"/>
      <c r="G688" s="1"/>
      <c r="H688" s="1"/>
      <c r="I688" s="1"/>
      <c r="J688" s="1"/>
      <c r="K688" s="1"/>
      <c r="L688" s="1"/>
      <c r="M688" s="1"/>
      <c r="AV688" s="18"/>
      <c r="AW688" s="18"/>
    </row>
    <row r="689" spans="5:49" x14ac:dyDescent="0.2">
      <c r="E689" s="1"/>
      <c r="F689" s="1"/>
      <c r="G689" s="1"/>
      <c r="H689" s="1"/>
      <c r="I689" s="1"/>
      <c r="J689" s="1"/>
      <c r="K689" s="1"/>
      <c r="L689" s="1"/>
      <c r="M689" s="1"/>
      <c r="AV689" s="18"/>
      <c r="AW689" s="18"/>
    </row>
    <row r="690" spans="5:49" x14ac:dyDescent="0.2">
      <c r="E690" s="1"/>
      <c r="F690" s="1"/>
      <c r="G690" s="1"/>
      <c r="H690" s="1"/>
      <c r="I690" s="1"/>
      <c r="J690" s="1"/>
      <c r="K690" s="1"/>
      <c r="L690" s="1"/>
      <c r="M690" s="1"/>
      <c r="AV690" s="18"/>
      <c r="AW690" s="18"/>
    </row>
    <row r="691" spans="5:49" x14ac:dyDescent="0.2">
      <c r="E691" s="1"/>
      <c r="F691" s="1"/>
      <c r="G691" s="1"/>
      <c r="H691" s="1"/>
      <c r="I691" s="1"/>
      <c r="J691" s="1"/>
      <c r="K691" s="1"/>
      <c r="L691" s="1"/>
      <c r="M691" s="1"/>
      <c r="AV691" s="18"/>
      <c r="AW691" s="18"/>
    </row>
    <row r="692" spans="5:49" x14ac:dyDescent="0.2">
      <c r="E692" s="1"/>
      <c r="F692" s="1"/>
      <c r="G692" s="1"/>
      <c r="H692" s="1"/>
      <c r="I692" s="1"/>
      <c r="J692" s="1"/>
      <c r="K692" s="1"/>
      <c r="L692" s="1"/>
      <c r="M692" s="1"/>
      <c r="AV692" s="18"/>
      <c r="AW692" s="18"/>
    </row>
    <row r="693" spans="5:49" x14ac:dyDescent="0.2">
      <c r="E693" s="1"/>
      <c r="F693" s="1"/>
      <c r="G693" s="1"/>
      <c r="H693" s="1"/>
      <c r="I693" s="1"/>
      <c r="J693" s="1"/>
      <c r="K693" s="1"/>
      <c r="L693" s="1"/>
      <c r="M693" s="1"/>
      <c r="AV693" s="18"/>
      <c r="AW693" s="18"/>
    </row>
    <row r="694" spans="5:49" x14ac:dyDescent="0.2">
      <c r="E694" s="1"/>
      <c r="F694" s="1"/>
      <c r="G694" s="1"/>
      <c r="H694" s="1"/>
      <c r="I694" s="1"/>
      <c r="J694" s="1"/>
      <c r="K694" s="1"/>
      <c r="L694" s="1"/>
      <c r="M694" s="1"/>
      <c r="AV694" s="18"/>
      <c r="AW694" s="18"/>
    </row>
    <row r="695" spans="5:49" x14ac:dyDescent="0.2">
      <c r="E695" s="1"/>
      <c r="F695" s="1"/>
      <c r="G695" s="1"/>
      <c r="H695" s="1"/>
      <c r="I695" s="1"/>
      <c r="J695" s="1"/>
      <c r="K695" s="1"/>
      <c r="L695" s="1"/>
      <c r="M695" s="1"/>
      <c r="AV695" s="18"/>
      <c r="AW695" s="18"/>
    </row>
    <row r="696" spans="5:49" x14ac:dyDescent="0.2">
      <c r="E696" s="1"/>
      <c r="F696" s="1"/>
      <c r="G696" s="1"/>
      <c r="H696" s="1"/>
      <c r="I696" s="1"/>
      <c r="J696" s="1"/>
      <c r="K696" s="1"/>
      <c r="L696" s="1"/>
      <c r="M696" s="1"/>
      <c r="AV696" s="18"/>
      <c r="AW696" s="18"/>
    </row>
    <row r="697" spans="5:49" x14ac:dyDescent="0.2">
      <c r="E697" s="1"/>
      <c r="F697" s="1"/>
      <c r="G697" s="1"/>
      <c r="H697" s="1"/>
      <c r="I697" s="1"/>
      <c r="J697" s="1"/>
      <c r="K697" s="1"/>
      <c r="L697" s="1"/>
      <c r="M697" s="1"/>
      <c r="AV697" s="18"/>
      <c r="AW697" s="18"/>
    </row>
    <row r="698" spans="5:49" x14ac:dyDescent="0.2">
      <c r="E698" s="1"/>
      <c r="F698" s="1"/>
      <c r="G698" s="1"/>
      <c r="H698" s="1"/>
      <c r="I698" s="1"/>
      <c r="J698" s="1"/>
      <c r="K698" s="1"/>
      <c r="L698" s="1"/>
      <c r="M698" s="1"/>
      <c r="AV698" s="18"/>
      <c r="AW698" s="18"/>
    </row>
    <row r="699" spans="5:49" x14ac:dyDescent="0.2">
      <c r="E699" s="1"/>
      <c r="F699" s="1"/>
      <c r="G699" s="1"/>
      <c r="H699" s="1"/>
      <c r="I699" s="1"/>
      <c r="J699" s="1"/>
      <c r="K699" s="1"/>
      <c r="L699" s="1"/>
      <c r="M699" s="1"/>
      <c r="AV699" s="18"/>
      <c r="AW699" s="18"/>
    </row>
    <row r="700" spans="5:49" x14ac:dyDescent="0.2">
      <c r="E700" s="1"/>
      <c r="F700" s="1"/>
      <c r="G700" s="1"/>
      <c r="H700" s="1"/>
      <c r="I700" s="1"/>
      <c r="J700" s="1"/>
      <c r="K700" s="1"/>
      <c r="L700" s="1"/>
      <c r="M700" s="1"/>
      <c r="AV700" s="18"/>
      <c r="AW700" s="18"/>
    </row>
    <row r="701" spans="5:49" x14ac:dyDescent="0.2">
      <c r="E701" s="1"/>
      <c r="F701" s="1"/>
      <c r="G701" s="1"/>
      <c r="H701" s="1"/>
      <c r="I701" s="1"/>
      <c r="J701" s="1"/>
      <c r="K701" s="1"/>
      <c r="L701" s="1"/>
      <c r="M701" s="1"/>
      <c r="AV701" s="18"/>
      <c r="AW701" s="18"/>
    </row>
    <row r="702" spans="5:49" x14ac:dyDescent="0.2">
      <c r="E702" s="1"/>
      <c r="F702" s="1"/>
      <c r="G702" s="1"/>
      <c r="H702" s="1"/>
      <c r="I702" s="1"/>
      <c r="J702" s="1"/>
      <c r="K702" s="1"/>
      <c r="L702" s="1"/>
      <c r="M702" s="1"/>
      <c r="AV702" s="18"/>
      <c r="AW702" s="18"/>
    </row>
    <row r="703" spans="5:49" x14ac:dyDescent="0.2">
      <c r="E703" s="1"/>
      <c r="F703" s="1"/>
      <c r="G703" s="1"/>
      <c r="H703" s="1"/>
      <c r="I703" s="1"/>
      <c r="J703" s="1"/>
      <c r="K703" s="1"/>
      <c r="L703" s="1"/>
      <c r="M703" s="1"/>
      <c r="AV703" s="18"/>
      <c r="AW703" s="18"/>
    </row>
    <row r="704" spans="5:49" x14ac:dyDescent="0.2">
      <c r="E704" s="1"/>
      <c r="F704" s="1"/>
      <c r="G704" s="1"/>
      <c r="H704" s="1"/>
      <c r="I704" s="1"/>
      <c r="J704" s="1"/>
      <c r="K704" s="1"/>
      <c r="L704" s="1"/>
      <c r="M704" s="1"/>
      <c r="AV704" s="18"/>
      <c r="AW704" s="18"/>
    </row>
    <row r="705" spans="5:49" x14ac:dyDescent="0.2">
      <c r="E705" s="1"/>
      <c r="F705" s="1"/>
      <c r="G705" s="1"/>
      <c r="H705" s="1"/>
      <c r="I705" s="1"/>
      <c r="J705" s="1"/>
      <c r="K705" s="1"/>
      <c r="L705" s="1"/>
      <c r="M705" s="1"/>
      <c r="AV705" s="18"/>
      <c r="AW705" s="18"/>
    </row>
    <row r="706" spans="5:49" x14ac:dyDescent="0.2">
      <c r="E706" s="1"/>
      <c r="F706" s="1"/>
      <c r="G706" s="1"/>
      <c r="H706" s="1"/>
      <c r="I706" s="1"/>
      <c r="J706" s="1"/>
      <c r="K706" s="1"/>
      <c r="L706" s="1"/>
      <c r="M706" s="1"/>
      <c r="AV706" s="18"/>
      <c r="AW706" s="18"/>
    </row>
    <row r="707" spans="5:49" x14ac:dyDescent="0.2">
      <c r="E707" s="1"/>
      <c r="F707" s="1"/>
      <c r="G707" s="1"/>
      <c r="H707" s="1"/>
      <c r="I707" s="1"/>
      <c r="J707" s="1"/>
      <c r="K707" s="1"/>
      <c r="L707" s="1"/>
      <c r="M707" s="1"/>
      <c r="AV707" s="18"/>
      <c r="AW707" s="18"/>
    </row>
    <row r="708" spans="5:49" x14ac:dyDescent="0.2">
      <c r="E708" s="1"/>
      <c r="F708" s="1"/>
      <c r="G708" s="1"/>
      <c r="H708" s="1"/>
      <c r="I708" s="1"/>
      <c r="J708" s="1"/>
      <c r="K708" s="1"/>
      <c r="L708" s="1"/>
      <c r="M708" s="1"/>
      <c r="AV708" s="18"/>
      <c r="AW708" s="18"/>
    </row>
    <row r="709" spans="5:49" x14ac:dyDescent="0.2">
      <c r="E709" s="1"/>
      <c r="F709" s="1"/>
      <c r="G709" s="1"/>
      <c r="H709" s="1"/>
      <c r="I709" s="1"/>
      <c r="J709" s="1"/>
      <c r="K709" s="1"/>
      <c r="L709" s="1"/>
      <c r="M709" s="1"/>
      <c r="AV709" s="18"/>
      <c r="AW709" s="18"/>
    </row>
    <row r="710" spans="5:49" x14ac:dyDescent="0.2">
      <c r="E710" s="1"/>
      <c r="F710" s="1"/>
      <c r="G710" s="1"/>
      <c r="H710" s="1"/>
      <c r="I710" s="1"/>
      <c r="J710" s="1"/>
      <c r="K710" s="1"/>
      <c r="L710" s="1"/>
      <c r="M710" s="1"/>
      <c r="AV710" s="18"/>
      <c r="AW710" s="18"/>
    </row>
    <row r="711" spans="5:49" x14ac:dyDescent="0.2">
      <c r="E711" s="1"/>
      <c r="F711" s="1"/>
      <c r="G711" s="1"/>
      <c r="H711" s="1"/>
      <c r="I711" s="1"/>
      <c r="J711" s="1"/>
      <c r="K711" s="1"/>
      <c r="L711" s="1"/>
      <c r="M711" s="1"/>
      <c r="AV711" s="18"/>
      <c r="AW711" s="18"/>
    </row>
    <row r="712" spans="5:49" x14ac:dyDescent="0.2">
      <c r="E712" s="1"/>
      <c r="F712" s="1"/>
      <c r="G712" s="1"/>
      <c r="H712" s="1"/>
      <c r="I712" s="1"/>
      <c r="J712" s="1"/>
      <c r="K712" s="1"/>
      <c r="L712" s="1"/>
      <c r="M712" s="1"/>
      <c r="AV712" s="18"/>
      <c r="AW712" s="18"/>
    </row>
    <row r="713" spans="5:49" x14ac:dyDescent="0.2">
      <c r="E713" s="1"/>
      <c r="F713" s="1"/>
      <c r="G713" s="1"/>
      <c r="H713" s="1"/>
      <c r="I713" s="1"/>
      <c r="J713" s="1"/>
      <c r="K713" s="1"/>
      <c r="L713" s="1"/>
      <c r="M713" s="1"/>
      <c r="AV713" s="18"/>
      <c r="AW713" s="18"/>
    </row>
    <row r="714" spans="5:49" x14ac:dyDescent="0.2">
      <c r="E714" s="1"/>
      <c r="F714" s="1"/>
      <c r="G714" s="1"/>
      <c r="H714" s="1"/>
      <c r="I714" s="1"/>
      <c r="J714" s="1"/>
      <c r="K714" s="1"/>
      <c r="L714" s="1"/>
      <c r="M714" s="1"/>
      <c r="AV714" s="18"/>
      <c r="AW714" s="18"/>
    </row>
    <row r="715" spans="5:49" x14ac:dyDescent="0.2">
      <c r="E715" s="1"/>
      <c r="F715" s="1"/>
      <c r="G715" s="1"/>
      <c r="H715" s="1"/>
      <c r="I715" s="1"/>
      <c r="J715" s="1"/>
      <c r="K715" s="1"/>
      <c r="L715" s="1"/>
      <c r="M715" s="1"/>
      <c r="AV715" s="18"/>
      <c r="AW715" s="18"/>
    </row>
    <row r="716" spans="5:49" x14ac:dyDescent="0.2">
      <c r="E716" s="1"/>
      <c r="F716" s="1"/>
      <c r="G716" s="1"/>
      <c r="H716" s="1"/>
      <c r="I716" s="1"/>
      <c r="J716" s="1"/>
      <c r="K716" s="1"/>
      <c r="L716" s="1"/>
      <c r="M716" s="1"/>
      <c r="AV716" s="18"/>
      <c r="AW716" s="18"/>
    </row>
    <row r="717" spans="5:49" x14ac:dyDescent="0.2">
      <c r="E717" s="1"/>
      <c r="F717" s="1"/>
      <c r="G717" s="1"/>
      <c r="H717" s="1"/>
      <c r="I717" s="1"/>
      <c r="J717" s="1"/>
      <c r="K717" s="1"/>
      <c r="L717" s="1"/>
      <c r="M717" s="1"/>
      <c r="AV717" s="18"/>
      <c r="AW717" s="18"/>
    </row>
    <row r="718" spans="5:49" x14ac:dyDescent="0.2">
      <c r="E718" s="1"/>
      <c r="F718" s="1"/>
      <c r="G718" s="1"/>
      <c r="H718" s="1"/>
      <c r="I718" s="1"/>
      <c r="J718" s="1"/>
      <c r="K718" s="1"/>
      <c r="L718" s="1"/>
      <c r="M718" s="1"/>
      <c r="AV718" s="18"/>
      <c r="AW718" s="18"/>
    </row>
    <row r="719" spans="5:49" x14ac:dyDescent="0.2">
      <c r="E719" s="1"/>
      <c r="F719" s="1"/>
      <c r="G719" s="1"/>
      <c r="H719" s="1"/>
      <c r="I719" s="1"/>
      <c r="J719" s="1"/>
      <c r="K719" s="1"/>
      <c r="L719" s="1"/>
      <c r="M719" s="1"/>
      <c r="AV719" s="18"/>
      <c r="AW719" s="18"/>
    </row>
    <row r="720" spans="5:49" x14ac:dyDescent="0.2">
      <c r="E720" s="1"/>
      <c r="F720" s="1"/>
      <c r="G720" s="1"/>
      <c r="H720" s="1"/>
      <c r="I720" s="1"/>
      <c r="J720" s="1"/>
      <c r="K720" s="1"/>
      <c r="L720" s="1"/>
      <c r="M720" s="1"/>
      <c r="AV720" s="18"/>
      <c r="AW720" s="18"/>
    </row>
    <row r="721" spans="5:49" x14ac:dyDescent="0.2">
      <c r="E721" s="1"/>
      <c r="F721" s="1"/>
      <c r="G721" s="1"/>
      <c r="H721" s="1"/>
      <c r="I721" s="1"/>
      <c r="J721" s="1"/>
      <c r="K721" s="1"/>
      <c r="L721" s="1"/>
      <c r="M721" s="1"/>
      <c r="AV721" s="18"/>
      <c r="AW721" s="18"/>
    </row>
    <row r="722" spans="5:49" x14ac:dyDescent="0.2">
      <c r="E722" s="1"/>
      <c r="F722" s="1"/>
      <c r="G722" s="1"/>
      <c r="H722" s="1"/>
      <c r="I722" s="1"/>
      <c r="J722" s="1"/>
      <c r="K722" s="1"/>
      <c r="L722" s="1"/>
      <c r="M722" s="1"/>
      <c r="AV722" s="18"/>
      <c r="AW722" s="18"/>
    </row>
    <row r="723" spans="5:49" x14ac:dyDescent="0.2">
      <c r="E723" s="1"/>
      <c r="F723" s="1"/>
      <c r="G723" s="1"/>
      <c r="H723" s="1"/>
      <c r="I723" s="1"/>
      <c r="J723" s="1"/>
      <c r="K723" s="1"/>
      <c r="L723" s="1"/>
      <c r="M723" s="1"/>
      <c r="AV723" s="18"/>
      <c r="AW723" s="18"/>
    </row>
    <row r="724" spans="5:49" x14ac:dyDescent="0.2">
      <c r="E724" s="1"/>
      <c r="F724" s="1"/>
      <c r="G724" s="1"/>
      <c r="H724" s="1"/>
      <c r="I724" s="1"/>
      <c r="J724" s="1"/>
      <c r="K724" s="1"/>
      <c r="L724" s="1"/>
      <c r="M724" s="1"/>
      <c r="AV724" s="18"/>
      <c r="AW724" s="18"/>
    </row>
    <row r="725" spans="5:49" x14ac:dyDescent="0.2">
      <c r="E725" s="1"/>
      <c r="F725" s="1"/>
      <c r="G725" s="1"/>
      <c r="H725" s="1"/>
      <c r="I725" s="1"/>
      <c r="J725" s="1"/>
      <c r="K725" s="1"/>
      <c r="L725" s="1"/>
      <c r="M725" s="1"/>
      <c r="AV725" s="18"/>
      <c r="AW725" s="18"/>
    </row>
    <row r="726" spans="5:49" x14ac:dyDescent="0.2">
      <c r="E726" s="1"/>
      <c r="F726" s="1"/>
      <c r="G726" s="1"/>
      <c r="H726" s="1"/>
      <c r="I726" s="1"/>
      <c r="J726" s="1"/>
      <c r="K726" s="1"/>
      <c r="L726" s="1"/>
      <c r="M726" s="1"/>
      <c r="AV726" s="18"/>
      <c r="AW726" s="18"/>
    </row>
    <row r="727" spans="5:49" x14ac:dyDescent="0.2">
      <c r="E727" s="1"/>
      <c r="F727" s="1"/>
      <c r="G727" s="1"/>
      <c r="H727" s="1"/>
      <c r="I727" s="1"/>
      <c r="J727" s="1"/>
      <c r="K727" s="1"/>
      <c r="L727" s="1"/>
      <c r="M727" s="1"/>
      <c r="AV727" s="18"/>
      <c r="AW727" s="18"/>
    </row>
    <row r="728" spans="5:49" x14ac:dyDescent="0.2">
      <c r="E728" s="1"/>
      <c r="F728" s="1"/>
      <c r="G728" s="1"/>
      <c r="H728" s="1"/>
      <c r="I728" s="1"/>
      <c r="J728" s="1"/>
      <c r="K728" s="1"/>
      <c r="L728" s="1"/>
      <c r="M728" s="1"/>
      <c r="AV728" s="18"/>
      <c r="AW728" s="18"/>
    </row>
    <row r="729" spans="5:49" x14ac:dyDescent="0.2">
      <c r="E729" s="1"/>
      <c r="F729" s="1"/>
      <c r="G729" s="1"/>
      <c r="H729" s="1"/>
      <c r="I729" s="1"/>
      <c r="J729" s="1"/>
      <c r="K729" s="1"/>
      <c r="L729" s="1"/>
      <c r="M729" s="1"/>
      <c r="AV729" s="18"/>
      <c r="AW729" s="18"/>
    </row>
    <row r="730" spans="5:49" x14ac:dyDescent="0.2">
      <c r="E730" s="1"/>
      <c r="F730" s="1"/>
      <c r="G730" s="1"/>
      <c r="H730" s="1"/>
      <c r="I730" s="1"/>
      <c r="J730" s="1"/>
      <c r="K730" s="1"/>
      <c r="L730" s="1"/>
      <c r="M730" s="1"/>
      <c r="AV730" s="18"/>
      <c r="AW730" s="18"/>
    </row>
    <row r="731" spans="5:49" x14ac:dyDescent="0.2">
      <c r="E731" s="1"/>
      <c r="F731" s="1"/>
      <c r="G731" s="1"/>
      <c r="H731" s="1"/>
      <c r="I731" s="1"/>
      <c r="J731" s="1"/>
      <c r="K731" s="1"/>
      <c r="L731" s="1"/>
      <c r="M731" s="1"/>
      <c r="AV731" s="18"/>
      <c r="AW731" s="18"/>
    </row>
    <row r="732" spans="5:49" x14ac:dyDescent="0.2">
      <c r="E732" s="1"/>
      <c r="F732" s="1"/>
      <c r="G732" s="1"/>
      <c r="H732" s="1"/>
      <c r="I732" s="1"/>
      <c r="J732" s="1"/>
      <c r="K732" s="1"/>
      <c r="L732" s="1"/>
      <c r="M732" s="1"/>
      <c r="AV732" s="18"/>
      <c r="AW732" s="18"/>
    </row>
    <row r="733" spans="5:49" x14ac:dyDescent="0.2">
      <c r="E733" s="1"/>
      <c r="F733" s="1"/>
      <c r="G733" s="1"/>
      <c r="H733" s="1"/>
      <c r="I733" s="1"/>
      <c r="J733" s="1"/>
      <c r="K733" s="1"/>
      <c r="L733" s="1"/>
      <c r="M733" s="1"/>
      <c r="AV733" s="18"/>
      <c r="AW733" s="18"/>
    </row>
    <row r="734" spans="5:49" x14ac:dyDescent="0.2">
      <c r="E734" s="1"/>
      <c r="F734" s="1"/>
      <c r="G734" s="1"/>
      <c r="H734" s="1"/>
      <c r="I734" s="1"/>
      <c r="J734" s="1"/>
      <c r="K734" s="1"/>
      <c r="L734" s="1"/>
      <c r="M734" s="1"/>
      <c r="AV734" s="18"/>
      <c r="AW734" s="18"/>
    </row>
    <row r="735" spans="5:49" x14ac:dyDescent="0.2">
      <c r="E735" s="1"/>
      <c r="F735" s="1"/>
      <c r="G735" s="1"/>
      <c r="H735" s="1"/>
      <c r="I735" s="1"/>
      <c r="J735" s="1"/>
      <c r="K735" s="1"/>
      <c r="L735" s="1"/>
      <c r="M735" s="1"/>
      <c r="AV735" s="18"/>
      <c r="AW735" s="18"/>
    </row>
    <row r="736" spans="5:49" x14ac:dyDescent="0.2">
      <c r="E736" s="1"/>
      <c r="F736" s="1"/>
      <c r="G736" s="1"/>
      <c r="H736" s="1"/>
      <c r="I736" s="1"/>
      <c r="J736" s="1"/>
      <c r="K736" s="1"/>
      <c r="L736" s="1"/>
      <c r="M736" s="1"/>
      <c r="AV736" s="18"/>
      <c r="AW736" s="18"/>
    </row>
    <row r="737" spans="5:49" x14ac:dyDescent="0.2">
      <c r="E737" s="1"/>
      <c r="F737" s="1"/>
      <c r="G737" s="1"/>
      <c r="H737" s="1"/>
      <c r="I737" s="1"/>
      <c r="J737" s="1"/>
      <c r="K737" s="1"/>
      <c r="L737" s="1"/>
      <c r="M737" s="1"/>
      <c r="AV737" s="18"/>
      <c r="AW737" s="18"/>
    </row>
    <row r="738" spans="5:49" x14ac:dyDescent="0.2">
      <c r="E738" s="1"/>
      <c r="F738" s="1"/>
      <c r="G738" s="1"/>
      <c r="H738" s="1"/>
      <c r="I738" s="1"/>
      <c r="J738" s="1"/>
      <c r="K738" s="1"/>
      <c r="L738" s="1"/>
      <c r="M738" s="1"/>
      <c r="AV738" s="18"/>
      <c r="AW738" s="18"/>
    </row>
    <row r="739" spans="5:49" x14ac:dyDescent="0.2">
      <c r="E739" s="1"/>
      <c r="F739" s="1"/>
      <c r="G739" s="1"/>
      <c r="H739" s="1"/>
      <c r="I739" s="1"/>
      <c r="J739" s="1"/>
      <c r="K739" s="1"/>
      <c r="L739" s="1"/>
      <c r="M739" s="1"/>
      <c r="AV739" s="18"/>
      <c r="AW739" s="18"/>
    </row>
    <row r="740" spans="5:49" x14ac:dyDescent="0.2">
      <c r="E740" s="1"/>
      <c r="F740" s="1"/>
      <c r="G740" s="1"/>
      <c r="H740" s="1"/>
      <c r="I740" s="1"/>
      <c r="J740" s="1"/>
      <c r="K740" s="1"/>
      <c r="L740" s="1"/>
      <c r="M740" s="1"/>
      <c r="AV740" s="18"/>
      <c r="AW740" s="18"/>
    </row>
    <row r="741" spans="5:49" x14ac:dyDescent="0.2">
      <c r="E741" s="1"/>
      <c r="F741" s="1"/>
      <c r="G741" s="1"/>
      <c r="H741" s="1"/>
      <c r="I741" s="1"/>
      <c r="J741" s="1"/>
      <c r="K741" s="1"/>
      <c r="L741" s="1"/>
      <c r="M741" s="1"/>
      <c r="AV741" s="18"/>
      <c r="AW741" s="18"/>
    </row>
    <row r="742" spans="5:49" x14ac:dyDescent="0.2">
      <c r="E742" s="1"/>
      <c r="F742" s="1"/>
      <c r="G742" s="1"/>
      <c r="H742" s="1"/>
      <c r="I742" s="1"/>
      <c r="J742" s="1"/>
      <c r="K742" s="1"/>
      <c r="L742" s="1"/>
      <c r="M742" s="1"/>
      <c r="AV742" s="18"/>
      <c r="AW742" s="18"/>
    </row>
    <row r="743" spans="5:49" x14ac:dyDescent="0.2">
      <c r="E743" s="1"/>
      <c r="F743" s="1"/>
      <c r="G743" s="1"/>
      <c r="H743" s="1"/>
      <c r="I743" s="1"/>
      <c r="J743" s="1"/>
      <c r="K743" s="1"/>
      <c r="L743" s="1"/>
      <c r="M743" s="1"/>
      <c r="AV743" s="18"/>
      <c r="AW743" s="18"/>
    </row>
    <row r="744" spans="5:49" x14ac:dyDescent="0.2">
      <c r="E744" s="1"/>
      <c r="F744" s="1"/>
      <c r="G744" s="1"/>
      <c r="H744" s="1"/>
      <c r="I744" s="1"/>
      <c r="J744" s="1"/>
      <c r="K744" s="1"/>
      <c r="L744" s="1"/>
      <c r="M744" s="1"/>
      <c r="AV744" s="18"/>
      <c r="AW744" s="18"/>
    </row>
    <row r="745" spans="5:49" x14ac:dyDescent="0.2">
      <c r="E745" s="1"/>
      <c r="F745" s="1"/>
      <c r="G745" s="1"/>
      <c r="H745" s="1"/>
      <c r="I745" s="1"/>
      <c r="J745" s="1"/>
      <c r="K745" s="1"/>
      <c r="L745" s="1"/>
      <c r="M745" s="1"/>
      <c r="AV745" s="18"/>
      <c r="AW745" s="18"/>
    </row>
    <row r="746" spans="5:49" x14ac:dyDescent="0.2">
      <c r="E746" s="1"/>
      <c r="F746" s="1"/>
      <c r="G746" s="1"/>
      <c r="H746" s="1"/>
      <c r="I746" s="1"/>
      <c r="J746" s="1"/>
      <c r="K746" s="1"/>
      <c r="L746" s="1"/>
      <c r="M746" s="1"/>
      <c r="AV746" s="18"/>
      <c r="AW746" s="18"/>
    </row>
    <row r="747" spans="5:49" x14ac:dyDescent="0.2">
      <c r="E747" s="1"/>
      <c r="F747" s="1"/>
      <c r="G747" s="1"/>
      <c r="H747" s="1"/>
      <c r="I747" s="1"/>
      <c r="J747" s="1"/>
      <c r="K747" s="1"/>
      <c r="L747" s="1"/>
      <c r="M747" s="1"/>
      <c r="AV747" s="18"/>
      <c r="AW747" s="18"/>
    </row>
    <row r="748" spans="5:49" x14ac:dyDescent="0.2">
      <c r="E748" s="1"/>
      <c r="F748" s="1"/>
      <c r="G748" s="1"/>
      <c r="H748" s="1"/>
      <c r="I748" s="1"/>
      <c r="J748" s="1"/>
      <c r="K748" s="1"/>
      <c r="L748" s="1"/>
      <c r="M748" s="1"/>
      <c r="AV748" s="18"/>
      <c r="AW748" s="18"/>
    </row>
    <row r="749" spans="5:49" x14ac:dyDescent="0.2">
      <c r="E749" s="1"/>
      <c r="F749" s="1"/>
      <c r="G749" s="1"/>
      <c r="H749" s="1"/>
      <c r="I749" s="1"/>
      <c r="J749" s="1"/>
      <c r="K749" s="1"/>
      <c r="L749" s="1"/>
      <c r="M749" s="1"/>
      <c r="AV749" s="18"/>
      <c r="AW749" s="18"/>
    </row>
    <row r="750" spans="5:49" x14ac:dyDescent="0.2">
      <c r="E750" s="1"/>
      <c r="F750" s="1"/>
      <c r="G750" s="1"/>
      <c r="H750" s="1"/>
      <c r="I750" s="1"/>
      <c r="J750" s="1"/>
      <c r="K750" s="1"/>
      <c r="L750" s="1"/>
      <c r="M750" s="1"/>
      <c r="AV750" s="18"/>
      <c r="AW750" s="18"/>
    </row>
    <row r="751" spans="5:49" x14ac:dyDescent="0.2">
      <c r="E751" s="1"/>
      <c r="F751" s="1"/>
      <c r="G751" s="1"/>
      <c r="H751" s="1"/>
      <c r="I751" s="1"/>
      <c r="J751" s="1"/>
      <c r="K751" s="1"/>
      <c r="L751" s="1"/>
      <c r="M751" s="1"/>
      <c r="AV751" s="18"/>
      <c r="AW751" s="18"/>
    </row>
    <row r="752" spans="5:49" x14ac:dyDescent="0.2">
      <c r="E752" s="1"/>
      <c r="F752" s="1"/>
      <c r="G752" s="1"/>
      <c r="H752" s="1"/>
      <c r="I752" s="1"/>
      <c r="J752" s="1"/>
      <c r="K752" s="1"/>
      <c r="L752" s="1"/>
      <c r="M752" s="1"/>
      <c r="AV752" s="18"/>
      <c r="AW752" s="18"/>
    </row>
    <row r="753" spans="5:49" x14ac:dyDescent="0.2">
      <c r="E753" s="1"/>
      <c r="F753" s="1"/>
      <c r="G753" s="1"/>
      <c r="H753" s="1"/>
      <c r="I753" s="1"/>
      <c r="J753" s="1"/>
      <c r="K753" s="1"/>
      <c r="L753" s="1"/>
      <c r="M753" s="1"/>
      <c r="AV753" s="18"/>
      <c r="AW753" s="18"/>
    </row>
    <row r="754" spans="5:49" x14ac:dyDescent="0.2">
      <c r="E754" s="1"/>
      <c r="F754" s="1"/>
      <c r="G754" s="1"/>
      <c r="H754" s="1"/>
      <c r="I754" s="1"/>
      <c r="J754" s="1"/>
      <c r="K754" s="1"/>
      <c r="L754" s="1"/>
      <c r="M754" s="1"/>
      <c r="AV754" s="18"/>
      <c r="AW754" s="18"/>
    </row>
    <row r="755" spans="5:49" x14ac:dyDescent="0.2">
      <c r="E755" s="1"/>
      <c r="F755" s="1"/>
      <c r="G755" s="1"/>
      <c r="H755" s="1"/>
      <c r="I755" s="1"/>
      <c r="J755" s="1"/>
      <c r="K755" s="1"/>
      <c r="L755" s="1"/>
      <c r="M755" s="1"/>
      <c r="AV755" s="18"/>
      <c r="AW755" s="18"/>
    </row>
    <row r="756" spans="5:49" x14ac:dyDescent="0.2">
      <c r="E756" s="1"/>
      <c r="F756" s="1"/>
      <c r="G756" s="1"/>
      <c r="H756" s="1"/>
      <c r="I756" s="1"/>
      <c r="J756" s="1"/>
      <c r="K756" s="1"/>
      <c r="L756" s="1"/>
      <c r="M756" s="1"/>
      <c r="AV756" s="18"/>
      <c r="AW756" s="18"/>
    </row>
    <row r="757" spans="5:49" x14ac:dyDescent="0.2">
      <c r="E757" s="1"/>
      <c r="F757" s="1"/>
      <c r="G757" s="1"/>
      <c r="H757" s="1"/>
      <c r="I757" s="1"/>
      <c r="J757" s="1"/>
      <c r="K757" s="1"/>
      <c r="L757" s="1"/>
      <c r="M757" s="1"/>
      <c r="AV757" s="18"/>
      <c r="AW757" s="18"/>
    </row>
    <row r="758" spans="5:49" x14ac:dyDescent="0.2">
      <c r="E758" s="1"/>
      <c r="F758" s="1"/>
      <c r="G758" s="1"/>
      <c r="H758" s="1"/>
      <c r="I758" s="1"/>
      <c r="J758" s="1"/>
      <c r="K758" s="1"/>
      <c r="L758" s="1"/>
      <c r="M758" s="1"/>
      <c r="AV758" s="18"/>
      <c r="AW758" s="18"/>
    </row>
    <row r="759" spans="5:49" x14ac:dyDescent="0.2">
      <c r="E759" s="1"/>
      <c r="F759" s="1"/>
      <c r="G759" s="1"/>
      <c r="H759" s="1"/>
      <c r="I759" s="1"/>
      <c r="J759" s="1"/>
      <c r="K759" s="1"/>
      <c r="L759" s="1"/>
      <c r="M759" s="1"/>
      <c r="AV759" s="18"/>
      <c r="AW759" s="18"/>
    </row>
    <row r="760" spans="5:49" x14ac:dyDescent="0.2">
      <c r="E760" s="1"/>
      <c r="F760" s="1"/>
      <c r="G760" s="1"/>
      <c r="H760" s="1"/>
      <c r="I760" s="1"/>
      <c r="J760" s="1"/>
      <c r="K760" s="1"/>
      <c r="L760" s="1"/>
      <c r="M760" s="1"/>
      <c r="AV760" s="18"/>
      <c r="AW760" s="18"/>
    </row>
    <row r="761" spans="5:49" x14ac:dyDescent="0.2">
      <c r="E761" s="1"/>
      <c r="F761" s="1"/>
      <c r="G761" s="1"/>
      <c r="H761" s="1"/>
      <c r="I761" s="1"/>
      <c r="J761" s="1"/>
      <c r="K761" s="1"/>
      <c r="L761" s="1"/>
      <c r="M761" s="1"/>
      <c r="AV761" s="18"/>
      <c r="AW761" s="18"/>
    </row>
    <row r="762" spans="5:49" x14ac:dyDescent="0.2">
      <c r="E762" s="1"/>
      <c r="F762" s="1"/>
      <c r="G762" s="1"/>
      <c r="H762" s="1"/>
      <c r="I762" s="1"/>
      <c r="J762" s="1"/>
      <c r="K762" s="1"/>
      <c r="L762" s="1"/>
      <c r="M762" s="1"/>
      <c r="AV762" s="18"/>
      <c r="AW762" s="18"/>
    </row>
    <row r="763" spans="5:49" x14ac:dyDescent="0.2">
      <c r="E763" s="1"/>
      <c r="F763" s="1"/>
      <c r="G763" s="1"/>
      <c r="H763" s="1"/>
      <c r="I763" s="1"/>
      <c r="J763" s="1"/>
      <c r="K763" s="1"/>
      <c r="L763" s="1"/>
      <c r="M763" s="1"/>
      <c r="AV763" s="18"/>
      <c r="AW763" s="18"/>
    </row>
    <row r="764" spans="5:49" x14ac:dyDescent="0.2">
      <c r="E764" s="1"/>
      <c r="F764" s="1"/>
      <c r="G764" s="1"/>
      <c r="H764" s="1"/>
      <c r="I764" s="1"/>
      <c r="J764" s="1"/>
      <c r="K764" s="1"/>
      <c r="L764" s="1"/>
      <c r="M764" s="1"/>
      <c r="AV764" s="18"/>
      <c r="AW764" s="18"/>
    </row>
    <row r="765" spans="5:49" x14ac:dyDescent="0.2">
      <c r="E765" s="1"/>
      <c r="F765" s="1"/>
      <c r="G765" s="1"/>
      <c r="H765" s="1"/>
      <c r="I765" s="1"/>
      <c r="J765" s="1"/>
      <c r="K765" s="1"/>
      <c r="L765" s="1"/>
      <c r="M765" s="1"/>
      <c r="AV765" s="18"/>
      <c r="AW765" s="18"/>
    </row>
    <row r="766" spans="5:49" x14ac:dyDescent="0.2">
      <c r="E766" s="1"/>
      <c r="F766" s="1"/>
      <c r="G766" s="1"/>
      <c r="H766" s="1"/>
      <c r="I766" s="1"/>
      <c r="J766" s="1"/>
      <c r="K766" s="1"/>
      <c r="L766" s="1"/>
      <c r="M766" s="1"/>
      <c r="AV766" s="18"/>
      <c r="AW766" s="18"/>
    </row>
    <row r="767" spans="5:49" x14ac:dyDescent="0.2">
      <c r="E767" s="1"/>
      <c r="F767" s="1"/>
      <c r="G767" s="1"/>
      <c r="H767" s="1"/>
      <c r="I767" s="1"/>
      <c r="J767" s="1"/>
      <c r="K767" s="1"/>
      <c r="L767" s="1"/>
      <c r="M767" s="1"/>
      <c r="AV767" s="18"/>
      <c r="AW767" s="18"/>
    </row>
    <row r="768" spans="5:49" x14ac:dyDescent="0.2">
      <c r="E768" s="1"/>
      <c r="F768" s="1"/>
      <c r="G768" s="1"/>
      <c r="H768" s="1"/>
      <c r="I768" s="1"/>
      <c r="J768" s="1"/>
      <c r="K768" s="1"/>
      <c r="L768" s="1"/>
      <c r="M768" s="1"/>
      <c r="AV768" s="18"/>
      <c r="AW768" s="18"/>
    </row>
    <row r="769" spans="5:49" x14ac:dyDescent="0.2">
      <c r="E769" s="1"/>
      <c r="F769" s="1"/>
      <c r="G769" s="1"/>
      <c r="H769" s="1"/>
      <c r="I769" s="1"/>
      <c r="J769" s="1"/>
      <c r="K769" s="1"/>
      <c r="L769" s="1"/>
      <c r="M769" s="1"/>
      <c r="AV769" s="18"/>
      <c r="AW769" s="18"/>
    </row>
    <row r="770" spans="5:49" x14ac:dyDescent="0.2">
      <c r="E770" s="1"/>
      <c r="F770" s="1"/>
      <c r="G770" s="1"/>
      <c r="H770" s="1"/>
      <c r="I770" s="1"/>
      <c r="J770" s="1"/>
      <c r="K770" s="1"/>
      <c r="L770" s="1"/>
      <c r="M770" s="1"/>
      <c r="AV770" s="18"/>
      <c r="AW770" s="18"/>
    </row>
    <row r="771" spans="5:49" x14ac:dyDescent="0.2">
      <c r="E771" s="1"/>
      <c r="F771" s="1"/>
      <c r="G771" s="1"/>
      <c r="H771" s="1"/>
      <c r="I771" s="1"/>
      <c r="J771" s="1"/>
      <c r="K771" s="1"/>
      <c r="L771" s="1"/>
      <c r="M771" s="1"/>
      <c r="AV771" s="18"/>
      <c r="AW771" s="18"/>
    </row>
    <row r="772" spans="5:49" x14ac:dyDescent="0.2">
      <c r="E772" s="1"/>
      <c r="F772" s="1"/>
      <c r="G772" s="1"/>
      <c r="H772" s="1"/>
      <c r="I772" s="1"/>
      <c r="J772" s="1"/>
      <c r="K772" s="1"/>
      <c r="L772" s="1"/>
      <c r="M772" s="1"/>
      <c r="AV772" s="18"/>
      <c r="AW772" s="18"/>
    </row>
    <row r="773" spans="5:49" x14ac:dyDescent="0.2">
      <c r="E773" s="1"/>
      <c r="F773" s="1"/>
      <c r="G773" s="1"/>
      <c r="H773" s="1"/>
      <c r="I773" s="1"/>
      <c r="J773" s="1"/>
      <c r="K773" s="1"/>
      <c r="L773" s="1"/>
      <c r="M773" s="1"/>
      <c r="AV773" s="18"/>
      <c r="AW773" s="18"/>
    </row>
    <row r="774" spans="5:49" x14ac:dyDescent="0.2">
      <c r="E774" s="1"/>
      <c r="F774" s="1"/>
      <c r="G774" s="1"/>
      <c r="H774" s="1"/>
      <c r="I774" s="1"/>
      <c r="J774" s="1"/>
      <c r="K774" s="1"/>
      <c r="L774" s="1"/>
      <c r="M774" s="1"/>
      <c r="AV774" s="18"/>
      <c r="AW774" s="18"/>
    </row>
    <row r="775" spans="5:49" x14ac:dyDescent="0.2">
      <c r="E775" s="1"/>
      <c r="F775" s="1"/>
      <c r="G775" s="1"/>
      <c r="H775" s="1"/>
      <c r="I775" s="1"/>
      <c r="J775" s="1"/>
      <c r="K775" s="1"/>
      <c r="L775" s="1"/>
      <c r="M775" s="1"/>
      <c r="AV775" s="18"/>
      <c r="AW775" s="18"/>
    </row>
    <row r="776" spans="5:49" x14ac:dyDescent="0.2">
      <c r="E776" s="1"/>
      <c r="F776" s="1"/>
      <c r="G776" s="1"/>
      <c r="H776" s="1"/>
      <c r="I776" s="1"/>
      <c r="J776" s="1"/>
      <c r="K776" s="1"/>
      <c r="L776" s="1"/>
      <c r="M776" s="1"/>
      <c r="AV776" s="18"/>
      <c r="AW776" s="18"/>
    </row>
    <row r="777" spans="5:49" x14ac:dyDescent="0.2">
      <c r="E777" s="1"/>
      <c r="F777" s="1"/>
      <c r="G777" s="1"/>
      <c r="H777" s="1"/>
      <c r="I777" s="1"/>
      <c r="J777" s="1"/>
      <c r="K777" s="1"/>
      <c r="L777" s="1"/>
      <c r="M777" s="1"/>
      <c r="AV777" s="18"/>
      <c r="AW777" s="18"/>
    </row>
    <row r="778" spans="5:49" x14ac:dyDescent="0.2">
      <c r="E778" s="1"/>
      <c r="F778" s="1"/>
      <c r="G778" s="1"/>
      <c r="H778" s="1"/>
      <c r="I778" s="1"/>
      <c r="J778" s="1"/>
      <c r="K778" s="1"/>
      <c r="L778" s="1"/>
      <c r="M778" s="1"/>
      <c r="AV778" s="18"/>
      <c r="AW778" s="18"/>
    </row>
    <row r="779" spans="5:49" x14ac:dyDescent="0.2">
      <c r="E779" s="1"/>
      <c r="F779" s="1"/>
      <c r="G779" s="1"/>
      <c r="H779" s="1"/>
      <c r="I779" s="1"/>
      <c r="J779" s="1"/>
      <c r="K779" s="1"/>
      <c r="L779" s="1"/>
      <c r="M779" s="1"/>
      <c r="AV779" s="18"/>
      <c r="AW779" s="18"/>
    </row>
    <row r="780" spans="5:49" x14ac:dyDescent="0.2">
      <c r="E780" s="1"/>
      <c r="F780" s="1"/>
      <c r="G780" s="1"/>
      <c r="H780" s="1"/>
      <c r="I780" s="1"/>
      <c r="J780" s="1"/>
      <c r="K780" s="1"/>
      <c r="L780" s="1"/>
      <c r="M780" s="1"/>
      <c r="AV780" s="18"/>
      <c r="AW780" s="18"/>
    </row>
    <row r="781" spans="5:49" x14ac:dyDescent="0.2">
      <c r="E781" s="1"/>
      <c r="F781" s="1"/>
      <c r="G781" s="1"/>
      <c r="H781" s="1"/>
      <c r="I781" s="1"/>
      <c r="J781" s="1"/>
      <c r="K781" s="1"/>
      <c r="L781" s="1"/>
      <c r="M781" s="1"/>
      <c r="AV781" s="18"/>
      <c r="AW781" s="18"/>
    </row>
    <row r="782" spans="5:49" x14ac:dyDescent="0.2">
      <c r="E782" s="1"/>
      <c r="F782" s="1"/>
      <c r="G782" s="1"/>
      <c r="H782" s="1"/>
      <c r="I782" s="1"/>
      <c r="J782" s="1"/>
      <c r="K782" s="1"/>
      <c r="L782" s="1"/>
      <c r="M782" s="1"/>
      <c r="AV782" s="18"/>
      <c r="AW782" s="18"/>
    </row>
    <row r="783" spans="5:49" x14ac:dyDescent="0.2">
      <c r="E783" s="1"/>
      <c r="F783" s="1"/>
      <c r="G783" s="1"/>
      <c r="H783" s="1"/>
      <c r="I783" s="1"/>
      <c r="J783" s="1"/>
      <c r="K783" s="1"/>
      <c r="L783" s="1"/>
      <c r="M783" s="1"/>
      <c r="AV783" s="18"/>
      <c r="AW783" s="18"/>
    </row>
    <row r="784" spans="5:49" x14ac:dyDescent="0.2">
      <c r="E784" s="1"/>
      <c r="F784" s="1"/>
      <c r="G784" s="1"/>
      <c r="H784" s="1"/>
      <c r="I784" s="1"/>
      <c r="J784" s="1"/>
      <c r="K784" s="1"/>
      <c r="L784" s="1"/>
      <c r="M784" s="1"/>
      <c r="AV784" s="18"/>
      <c r="AW784" s="18"/>
    </row>
    <row r="785" spans="5:49" x14ac:dyDescent="0.2">
      <c r="E785" s="1"/>
      <c r="F785" s="1"/>
      <c r="G785" s="1"/>
      <c r="H785" s="1"/>
      <c r="I785" s="1"/>
      <c r="J785" s="1"/>
      <c r="K785" s="1"/>
      <c r="L785" s="1"/>
      <c r="M785" s="1"/>
      <c r="AV785" s="18"/>
      <c r="AW785" s="18"/>
    </row>
    <row r="786" spans="5:49" x14ac:dyDescent="0.2">
      <c r="E786" s="1"/>
      <c r="F786" s="1"/>
      <c r="G786" s="1"/>
      <c r="H786" s="1"/>
      <c r="I786" s="1"/>
      <c r="J786" s="1"/>
      <c r="K786" s="1"/>
      <c r="L786" s="1"/>
      <c r="M786" s="1"/>
      <c r="AV786" s="18"/>
      <c r="AW786" s="18"/>
    </row>
    <row r="787" spans="5:49" x14ac:dyDescent="0.2">
      <c r="E787" s="1"/>
      <c r="F787" s="1"/>
      <c r="G787" s="1"/>
      <c r="H787" s="1"/>
      <c r="I787" s="1"/>
      <c r="J787" s="1"/>
      <c r="K787" s="1"/>
      <c r="L787" s="1"/>
      <c r="M787" s="1"/>
      <c r="AV787" s="18"/>
      <c r="AW787" s="18"/>
    </row>
    <row r="788" spans="5:49" x14ac:dyDescent="0.2">
      <c r="E788" s="1"/>
      <c r="F788" s="1"/>
      <c r="G788" s="1"/>
      <c r="H788" s="1"/>
      <c r="I788" s="1"/>
      <c r="J788" s="1"/>
      <c r="K788" s="1"/>
      <c r="L788" s="1"/>
      <c r="M788" s="1"/>
      <c r="AV788" s="18"/>
      <c r="AW788" s="18"/>
    </row>
    <row r="789" spans="5:49" x14ac:dyDescent="0.2">
      <c r="E789" s="1"/>
      <c r="F789" s="1"/>
      <c r="G789" s="1"/>
      <c r="H789" s="1"/>
      <c r="I789" s="1"/>
      <c r="J789" s="1"/>
      <c r="K789" s="1"/>
      <c r="L789" s="1"/>
      <c r="M789" s="1"/>
      <c r="AV789" s="18"/>
      <c r="AW789" s="18"/>
    </row>
    <row r="790" spans="5:49" x14ac:dyDescent="0.2">
      <c r="E790" s="1"/>
      <c r="F790" s="1"/>
      <c r="G790" s="1"/>
      <c r="H790" s="1"/>
      <c r="I790" s="1"/>
      <c r="J790" s="1"/>
      <c r="K790" s="1"/>
      <c r="L790" s="1"/>
      <c r="M790" s="1"/>
      <c r="AV790" s="18"/>
      <c r="AW790" s="18"/>
    </row>
    <row r="791" spans="5:49" x14ac:dyDescent="0.2">
      <c r="E791" s="1"/>
      <c r="F791" s="1"/>
      <c r="G791" s="1"/>
      <c r="H791" s="1"/>
      <c r="I791" s="1"/>
      <c r="J791" s="1"/>
      <c r="K791" s="1"/>
      <c r="L791" s="1"/>
      <c r="M791" s="1"/>
      <c r="AV791" s="18"/>
      <c r="AW791" s="18"/>
    </row>
    <row r="792" spans="5:49" x14ac:dyDescent="0.2">
      <c r="E792" s="1"/>
      <c r="F792" s="1"/>
      <c r="G792" s="1"/>
      <c r="H792" s="1"/>
      <c r="I792" s="1"/>
      <c r="J792" s="1"/>
      <c r="K792" s="1"/>
      <c r="L792" s="1"/>
      <c r="M792" s="1"/>
      <c r="AV792" s="18"/>
      <c r="AW792" s="18"/>
    </row>
    <row r="793" spans="5:49" x14ac:dyDescent="0.2">
      <c r="E793" s="1"/>
      <c r="F793" s="1"/>
      <c r="G793" s="1"/>
      <c r="H793" s="1"/>
      <c r="I793" s="1"/>
      <c r="J793" s="1"/>
      <c r="K793" s="1"/>
      <c r="L793" s="1"/>
      <c r="M793" s="1"/>
      <c r="AV793" s="18"/>
      <c r="AW793" s="18"/>
    </row>
    <row r="794" spans="5:49" x14ac:dyDescent="0.2">
      <c r="E794" s="1"/>
      <c r="F794" s="1"/>
      <c r="G794" s="1"/>
      <c r="H794" s="1"/>
      <c r="I794" s="1"/>
      <c r="J794" s="1"/>
      <c r="K794" s="1"/>
      <c r="L794" s="1"/>
      <c r="M794" s="1"/>
      <c r="AV794" s="18"/>
      <c r="AW794" s="18"/>
    </row>
    <row r="795" spans="5:49" x14ac:dyDescent="0.2">
      <c r="E795" s="1"/>
      <c r="F795" s="1"/>
      <c r="G795" s="1"/>
      <c r="H795" s="1"/>
      <c r="I795" s="1"/>
      <c r="J795" s="1"/>
      <c r="K795" s="1"/>
      <c r="L795" s="1"/>
      <c r="M795" s="1"/>
      <c r="AV795" s="18"/>
      <c r="AW795" s="18"/>
    </row>
    <row r="796" spans="5:49" x14ac:dyDescent="0.2">
      <c r="E796" s="1"/>
      <c r="F796" s="1"/>
      <c r="G796" s="1"/>
      <c r="H796" s="1"/>
      <c r="I796" s="1"/>
      <c r="J796" s="1"/>
      <c r="K796" s="1"/>
      <c r="L796" s="1"/>
      <c r="M796" s="1"/>
      <c r="AV796" s="18"/>
      <c r="AW796" s="18"/>
    </row>
    <row r="797" spans="5:49" x14ac:dyDescent="0.2">
      <c r="E797" s="1"/>
      <c r="F797" s="1"/>
      <c r="G797" s="1"/>
      <c r="H797" s="1"/>
      <c r="I797" s="1"/>
      <c r="J797" s="1"/>
      <c r="K797" s="1"/>
      <c r="L797" s="1"/>
      <c r="M797" s="1"/>
      <c r="AV797" s="18"/>
      <c r="AW797" s="18"/>
    </row>
    <row r="798" spans="5:49" x14ac:dyDescent="0.2">
      <c r="E798" s="1"/>
      <c r="F798" s="1"/>
      <c r="G798" s="1"/>
      <c r="H798" s="1"/>
      <c r="I798" s="1"/>
      <c r="J798" s="1"/>
      <c r="K798" s="1"/>
      <c r="L798" s="1"/>
      <c r="M798" s="1"/>
      <c r="AV798" s="18"/>
      <c r="AW798" s="18"/>
    </row>
    <row r="799" spans="5:49" x14ac:dyDescent="0.2">
      <c r="E799" s="1"/>
      <c r="F799" s="1"/>
      <c r="G799" s="1"/>
      <c r="H799" s="1"/>
      <c r="I799" s="1"/>
      <c r="J799" s="1"/>
      <c r="K799" s="1"/>
      <c r="L799" s="1"/>
      <c r="M799" s="1"/>
      <c r="AV799" s="18"/>
      <c r="AW799" s="18"/>
    </row>
    <row r="800" spans="5:49" x14ac:dyDescent="0.2">
      <c r="E800" s="1"/>
      <c r="F800" s="1"/>
      <c r="G800" s="1"/>
      <c r="H800" s="1"/>
      <c r="I800" s="1"/>
      <c r="J800" s="1"/>
      <c r="K800" s="1"/>
      <c r="L800" s="1"/>
      <c r="M800" s="1"/>
      <c r="AV800" s="18"/>
      <c r="AW800" s="18"/>
    </row>
    <row r="801" spans="5:49" x14ac:dyDescent="0.2">
      <c r="E801" s="1"/>
      <c r="F801" s="1"/>
      <c r="G801" s="1"/>
      <c r="H801" s="1"/>
      <c r="I801" s="1"/>
      <c r="J801" s="1"/>
      <c r="K801" s="1"/>
      <c r="L801" s="1"/>
      <c r="M801" s="1"/>
      <c r="AV801" s="18"/>
      <c r="AW801" s="18"/>
    </row>
    <row r="802" spans="5:49" x14ac:dyDescent="0.2">
      <c r="E802" s="1"/>
      <c r="F802" s="1"/>
      <c r="G802" s="1"/>
      <c r="H802" s="1"/>
      <c r="I802" s="1"/>
      <c r="J802" s="1"/>
      <c r="K802" s="1"/>
      <c r="L802" s="1"/>
      <c r="M802" s="1"/>
      <c r="AV802" s="18"/>
      <c r="AW802" s="18"/>
    </row>
    <row r="803" spans="5:49" x14ac:dyDescent="0.2">
      <c r="E803" s="1"/>
      <c r="F803" s="1"/>
      <c r="G803" s="1"/>
      <c r="H803" s="1"/>
      <c r="I803" s="1"/>
      <c r="J803" s="1"/>
      <c r="K803" s="1"/>
      <c r="L803" s="1"/>
      <c r="M803" s="1"/>
      <c r="AV803" s="18"/>
      <c r="AW803" s="18"/>
    </row>
    <row r="804" spans="5:49" x14ac:dyDescent="0.2">
      <c r="E804" s="1"/>
      <c r="F804" s="1"/>
      <c r="G804" s="1"/>
      <c r="H804" s="1"/>
      <c r="I804" s="1"/>
      <c r="J804" s="1"/>
      <c r="K804" s="1"/>
      <c r="L804" s="1"/>
      <c r="M804" s="1"/>
      <c r="AV804" s="18"/>
      <c r="AW804" s="18"/>
    </row>
    <row r="805" spans="5:49" x14ac:dyDescent="0.2">
      <c r="E805" s="1"/>
      <c r="F805" s="1"/>
      <c r="G805" s="1"/>
      <c r="H805" s="1"/>
      <c r="I805" s="1"/>
      <c r="J805" s="1"/>
      <c r="K805" s="1"/>
      <c r="L805" s="1"/>
      <c r="M805" s="1"/>
      <c r="AV805" s="18"/>
      <c r="AW805" s="18"/>
    </row>
    <row r="806" spans="5:49" x14ac:dyDescent="0.2">
      <c r="E806" s="1"/>
      <c r="F806" s="1"/>
      <c r="G806" s="1"/>
      <c r="H806" s="1"/>
      <c r="I806" s="1"/>
      <c r="J806" s="1"/>
      <c r="K806" s="1"/>
      <c r="L806" s="1"/>
      <c r="M806" s="1"/>
      <c r="AV806" s="18"/>
      <c r="AW806" s="18"/>
    </row>
    <row r="807" spans="5:49" x14ac:dyDescent="0.2">
      <c r="E807" s="1"/>
      <c r="F807" s="1"/>
      <c r="G807" s="1"/>
      <c r="H807" s="1"/>
      <c r="I807" s="1"/>
      <c r="J807" s="1"/>
      <c r="K807" s="1"/>
      <c r="L807" s="1"/>
      <c r="M807" s="1"/>
      <c r="AV807" s="18"/>
      <c r="AW807" s="18"/>
    </row>
    <row r="808" spans="5:49" x14ac:dyDescent="0.2">
      <c r="E808" s="1"/>
      <c r="F808" s="1"/>
      <c r="G808" s="1"/>
      <c r="H808" s="1"/>
      <c r="I808" s="1"/>
      <c r="J808" s="1"/>
      <c r="K808" s="1"/>
      <c r="L808" s="1"/>
      <c r="M808" s="1"/>
      <c r="AV808" s="18"/>
      <c r="AW808" s="18"/>
    </row>
    <row r="809" spans="5:49" x14ac:dyDescent="0.2">
      <c r="E809" s="1"/>
      <c r="F809" s="1"/>
      <c r="G809" s="1"/>
      <c r="H809" s="1"/>
      <c r="I809" s="1"/>
      <c r="J809" s="1"/>
      <c r="K809" s="1"/>
      <c r="L809" s="1"/>
      <c r="M809" s="1"/>
      <c r="AV809" s="18"/>
      <c r="AW809" s="18"/>
    </row>
    <row r="810" spans="5:49" x14ac:dyDescent="0.2">
      <c r="E810" s="1"/>
      <c r="F810" s="1"/>
      <c r="G810" s="1"/>
      <c r="H810" s="1"/>
      <c r="I810" s="1"/>
      <c r="J810" s="1"/>
      <c r="K810" s="1"/>
      <c r="L810" s="1"/>
      <c r="M810" s="1"/>
      <c r="AV810" s="18"/>
      <c r="AW810" s="18"/>
    </row>
    <row r="811" spans="5:49" x14ac:dyDescent="0.2">
      <c r="E811" s="1"/>
      <c r="F811" s="1"/>
      <c r="G811" s="1"/>
      <c r="H811" s="1"/>
      <c r="I811" s="1"/>
      <c r="J811" s="1"/>
      <c r="K811" s="1"/>
      <c r="L811" s="1"/>
      <c r="M811" s="1"/>
      <c r="AV811" s="18"/>
      <c r="AW811" s="18"/>
    </row>
    <row r="812" spans="5:49" x14ac:dyDescent="0.2">
      <c r="E812" s="1"/>
      <c r="F812" s="1"/>
      <c r="G812" s="1"/>
      <c r="H812" s="1"/>
      <c r="I812" s="1"/>
      <c r="J812" s="1"/>
      <c r="K812" s="1"/>
      <c r="L812" s="1"/>
      <c r="M812" s="1"/>
      <c r="AV812" s="18"/>
      <c r="AW812" s="18"/>
    </row>
    <row r="813" spans="5:49" x14ac:dyDescent="0.2">
      <c r="E813" s="1"/>
      <c r="F813" s="1"/>
      <c r="G813" s="1"/>
      <c r="H813" s="1"/>
      <c r="I813" s="1"/>
      <c r="J813" s="1"/>
      <c r="K813" s="1"/>
      <c r="L813" s="1"/>
      <c r="M813" s="1"/>
      <c r="AV813" s="18"/>
      <c r="AW813" s="18"/>
    </row>
    <row r="814" spans="5:49" x14ac:dyDescent="0.2">
      <c r="E814" s="1"/>
      <c r="F814" s="1"/>
      <c r="G814" s="1"/>
      <c r="H814" s="1"/>
      <c r="I814" s="1"/>
      <c r="J814" s="1"/>
      <c r="K814" s="1"/>
      <c r="L814" s="1"/>
      <c r="M814" s="1"/>
      <c r="AV814" s="18"/>
      <c r="AW814" s="18"/>
    </row>
    <row r="815" spans="5:49" x14ac:dyDescent="0.2">
      <c r="E815" s="1"/>
      <c r="F815" s="1"/>
      <c r="G815" s="1"/>
      <c r="H815" s="1"/>
      <c r="I815" s="1"/>
      <c r="J815" s="1"/>
      <c r="K815" s="1"/>
      <c r="L815" s="1"/>
      <c r="M815" s="1"/>
      <c r="AV815" s="18"/>
      <c r="AW815" s="18"/>
    </row>
    <row r="816" spans="5:49" x14ac:dyDescent="0.2">
      <c r="E816" s="1"/>
      <c r="F816" s="1"/>
      <c r="G816" s="1"/>
      <c r="H816" s="1"/>
      <c r="I816" s="1"/>
      <c r="J816" s="1"/>
      <c r="K816" s="1"/>
      <c r="L816" s="1"/>
      <c r="M816" s="1"/>
      <c r="AV816" s="18"/>
      <c r="AW816" s="18"/>
    </row>
    <row r="817" spans="5:49" x14ac:dyDescent="0.2">
      <c r="E817" s="1"/>
      <c r="F817" s="1"/>
      <c r="G817" s="1"/>
      <c r="H817" s="1"/>
      <c r="I817" s="1"/>
      <c r="J817" s="1"/>
      <c r="K817" s="1"/>
      <c r="L817" s="1"/>
      <c r="M817" s="1"/>
      <c r="AV817" s="18"/>
      <c r="AW817" s="18"/>
    </row>
    <row r="818" spans="5:49" x14ac:dyDescent="0.2">
      <c r="E818" s="1"/>
      <c r="F818" s="1"/>
      <c r="G818" s="1"/>
      <c r="H818" s="1"/>
      <c r="I818" s="1"/>
      <c r="J818" s="1"/>
      <c r="K818" s="1"/>
      <c r="L818" s="1"/>
      <c r="M818" s="1"/>
      <c r="AV818" s="18"/>
      <c r="AW818" s="18"/>
    </row>
    <row r="819" spans="5:49" x14ac:dyDescent="0.2">
      <c r="E819" s="1"/>
      <c r="F819" s="1"/>
      <c r="G819" s="1"/>
      <c r="H819" s="1"/>
      <c r="I819" s="1"/>
      <c r="J819" s="1"/>
      <c r="K819" s="1"/>
      <c r="L819" s="1"/>
      <c r="M819" s="1"/>
      <c r="AV819" s="18"/>
      <c r="AW819" s="18"/>
    </row>
    <row r="820" spans="5:49" x14ac:dyDescent="0.2">
      <c r="E820" s="1"/>
      <c r="F820" s="1"/>
      <c r="G820" s="1"/>
      <c r="H820" s="1"/>
      <c r="I820" s="1"/>
      <c r="J820" s="1"/>
      <c r="K820" s="1"/>
      <c r="L820" s="1"/>
      <c r="M820" s="1"/>
      <c r="AV820" s="18"/>
      <c r="AW820" s="18"/>
    </row>
    <row r="821" spans="5:49" x14ac:dyDescent="0.2">
      <c r="E821" s="1"/>
      <c r="F821" s="1"/>
      <c r="G821" s="1"/>
      <c r="H821" s="1"/>
      <c r="I821" s="1"/>
      <c r="J821" s="1"/>
      <c r="K821" s="1"/>
      <c r="L821" s="1"/>
      <c r="M821" s="1"/>
      <c r="AV821" s="18"/>
      <c r="AW821" s="18"/>
    </row>
    <row r="822" spans="5:49" x14ac:dyDescent="0.2">
      <c r="E822" s="1"/>
      <c r="F822" s="1"/>
      <c r="G822" s="1"/>
      <c r="H822" s="1"/>
      <c r="I822" s="1"/>
      <c r="J822" s="1"/>
      <c r="K822" s="1"/>
      <c r="L822" s="1"/>
      <c r="M822" s="1"/>
      <c r="AV822" s="18"/>
      <c r="AW822" s="18"/>
    </row>
    <row r="823" spans="5:49" x14ac:dyDescent="0.2">
      <c r="E823" s="1"/>
      <c r="F823" s="1"/>
      <c r="G823" s="1"/>
      <c r="H823" s="1"/>
      <c r="I823" s="1"/>
      <c r="J823" s="1"/>
      <c r="K823" s="1"/>
      <c r="L823" s="1"/>
      <c r="M823" s="1"/>
      <c r="AV823" s="18"/>
      <c r="AW823" s="18"/>
    </row>
    <row r="824" spans="5:49" x14ac:dyDescent="0.2">
      <c r="E824" s="1"/>
      <c r="F824" s="1"/>
      <c r="G824" s="1"/>
      <c r="H824" s="1"/>
      <c r="I824" s="1"/>
      <c r="J824" s="1"/>
      <c r="K824" s="1"/>
      <c r="L824" s="1"/>
      <c r="M824" s="1"/>
      <c r="AV824" s="18"/>
      <c r="AW824" s="18"/>
    </row>
    <row r="825" spans="5:49" x14ac:dyDescent="0.2">
      <c r="E825" s="1"/>
      <c r="F825" s="1"/>
      <c r="G825" s="1"/>
      <c r="H825" s="1"/>
      <c r="I825" s="1"/>
      <c r="J825" s="1"/>
      <c r="K825" s="1"/>
      <c r="L825" s="1"/>
      <c r="M825" s="1"/>
      <c r="AV825" s="18"/>
      <c r="AW825" s="18"/>
    </row>
    <row r="826" spans="5:49" x14ac:dyDescent="0.2">
      <c r="E826" s="1"/>
      <c r="F826" s="1"/>
      <c r="G826" s="1"/>
      <c r="H826" s="1"/>
      <c r="I826" s="1"/>
      <c r="J826" s="1"/>
      <c r="K826" s="1"/>
      <c r="L826" s="1"/>
      <c r="M826" s="1"/>
      <c r="AV826" s="18"/>
      <c r="AW826" s="18"/>
    </row>
    <row r="827" spans="5:49" x14ac:dyDescent="0.2">
      <c r="E827" s="1"/>
      <c r="F827" s="1"/>
      <c r="G827" s="1"/>
      <c r="H827" s="1"/>
      <c r="I827" s="1"/>
      <c r="J827" s="1"/>
      <c r="K827" s="1"/>
      <c r="L827" s="1"/>
      <c r="M827" s="1"/>
      <c r="AV827" s="18"/>
      <c r="AW827" s="18"/>
    </row>
    <row r="828" spans="5:49" x14ac:dyDescent="0.2">
      <c r="E828" s="1"/>
      <c r="F828" s="1"/>
      <c r="G828" s="1"/>
      <c r="H828" s="1"/>
      <c r="I828" s="1"/>
      <c r="J828" s="1"/>
      <c r="K828" s="1"/>
      <c r="L828" s="1"/>
      <c r="M828" s="1"/>
      <c r="AV828" s="18"/>
      <c r="AW828" s="18"/>
    </row>
    <row r="829" spans="5:49" x14ac:dyDescent="0.2">
      <c r="E829" s="1"/>
      <c r="F829" s="1"/>
      <c r="G829" s="1"/>
      <c r="H829" s="1"/>
      <c r="I829" s="1"/>
      <c r="J829" s="1"/>
      <c r="K829" s="1"/>
      <c r="L829" s="1"/>
      <c r="M829" s="1"/>
      <c r="AV829" s="18"/>
      <c r="AW829" s="18"/>
    </row>
    <row r="830" spans="5:49" x14ac:dyDescent="0.2">
      <c r="E830" s="1"/>
      <c r="F830" s="1"/>
      <c r="G830" s="1"/>
      <c r="H830" s="1"/>
      <c r="I830" s="1"/>
      <c r="J830" s="1"/>
      <c r="K830" s="1"/>
      <c r="L830" s="1"/>
      <c r="M830" s="1"/>
      <c r="AV830" s="18"/>
      <c r="AW830" s="18"/>
    </row>
    <row r="831" spans="5:49" x14ac:dyDescent="0.2">
      <c r="E831" s="1"/>
      <c r="F831" s="1"/>
      <c r="G831" s="1"/>
      <c r="H831" s="1"/>
      <c r="I831" s="1"/>
      <c r="J831" s="1"/>
      <c r="K831" s="1"/>
      <c r="L831" s="1"/>
      <c r="M831" s="1"/>
      <c r="AV831" s="18"/>
      <c r="AW831" s="18"/>
    </row>
    <row r="832" spans="5:49" x14ac:dyDescent="0.2">
      <c r="E832" s="1"/>
      <c r="F832" s="1"/>
      <c r="G832" s="1"/>
      <c r="H832" s="1"/>
      <c r="I832" s="1"/>
      <c r="J832" s="1"/>
      <c r="K832" s="1"/>
      <c r="L832" s="1"/>
      <c r="M832" s="1"/>
      <c r="AV832" s="18"/>
      <c r="AW832" s="18"/>
    </row>
    <row r="833" spans="5:49" x14ac:dyDescent="0.2">
      <c r="E833" s="1"/>
      <c r="F833" s="1"/>
      <c r="G833" s="1"/>
      <c r="H833" s="1"/>
      <c r="I833" s="1"/>
      <c r="J833" s="1"/>
      <c r="K833" s="1"/>
      <c r="L833" s="1"/>
      <c r="M833" s="1"/>
      <c r="AV833" s="18"/>
      <c r="AW833" s="18"/>
    </row>
    <row r="834" spans="5:49" x14ac:dyDescent="0.2">
      <c r="E834" s="1"/>
      <c r="F834" s="1"/>
      <c r="G834" s="1"/>
      <c r="H834" s="1"/>
      <c r="I834" s="1"/>
      <c r="J834" s="1"/>
      <c r="K834" s="1"/>
      <c r="L834" s="1"/>
      <c r="M834" s="1"/>
      <c r="AV834" s="18"/>
      <c r="AW834" s="18"/>
    </row>
    <row r="835" spans="5:49" x14ac:dyDescent="0.2">
      <c r="E835" s="1"/>
      <c r="F835" s="1"/>
      <c r="G835" s="1"/>
      <c r="H835" s="1"/>
      <c r="I835" s="1"/>
      <c r="J835" s="1"/>
      <c r="K835" s="1"/>
      <c r="L835" s="1"/>
      <c r="M835" s="1"/>
      <c r="AV835" s="18"/>
      <c r="AW835" s="18"/>
    </row>
    <row r="836" spans="5:49" x14ac:dyDescent="0.2">
      <c r="E836" s="1"/>
      <c r="F836" s="1"/>
      <c r="G836" s="1"/>
      <c r="H836" s="1"/>
      <c r="I836" s="1"/>
      <c r="J836" s="1"/>
      <c r="K836" s="1"/>
      <c r="L836" s="1"/>
      <c r="M836" s="1"/>
      <c r="AV836" s="18"/>
      <c r="AW836" s="18"/>
    </row>
    <row r="837" spans="5:49" x14ac:dyDescent="0.2">
      <c r="E837" s="1"/>
      <c r="F837" s="1"/>
      <c r="G837" s="1"/>
      <c r="H837" s="1"/>
      <c r="I837" s="1"/>
      <c r="J837" s="1"/>
      <c r="K837" s="1"/>
      <c r="L837" s="1"/>
      <c r="M837" s="1"/>
      <c r="AV837" s="18"/>
      <c r="AW837" s="18"/>
    </row>
    <row r="838" spans="5:49" x14ac:dyDescent="0.2">
      <c r="E838" s="1"/>
      <c r="F838" s="1"/>
      <c r="G838" s="1"/>
      <c r="H838" s="1"/>
      <c r="I838" s="1"/>
      <c r="J838" s="1"/>
      <c r="K838" s="1"/>
      <c r="L838" s="1"/>
      <c r="M838" s="1"/>
      <c r="AV838" s="18"/>
      <c r="AW838" s="18"/>
    </row>
    <row r="839" spans="5:49" x14ac:dyDescent="0.2">
      <c r="E839" s="1"/>
      <c r="F839" s="1"/>
      <c r="G839" s="1"/>
      <c r="H839" s="1"/>
      <c r="I839" s="1"/>
      <c r="J839" s="1"/>
      <c r="K839" s="1"/>
      <c r="L839" s="1"/>
      <c r="M839" s="1"/>
      <c r="AV839" s="18"/>
      <c r="AW839" s="18"/>
    </row>
    <row r="840" spans="5:49" x14ac:dyDescent="0.2">
      <c r="E840" s="1"/>
      <c r="F840" s="1"/>
      <c r="G840" s="1"/>
      <c r="H840" s="1"/>
      <c r="I840" s="1"/>
      <c r="J840" s="1"/>
      <c r="K840" s="1"/>
      <c r="L840" s="1"/>
      <c r="M840" s="1"/>
      <c r="AV840" s="18"/>
      <c r="AW840" s="18"/>
    </row>
    <row r="841" spans="5:49" x14ac:dyDescent="0.2">
      <c r="E841" s="1"/>
      <c r="F841" s="1"/>
      <c r="G841" s="1"/>
      <c r="H841" s="1"/>
      <c r="I841" s="1"/>
      <c r="J841" s="1"/>
      <c r="K841" s="1"/>
      <c r="L841" s="1"/>
      <c r="M841" s="1"/>
      <c r="AV841" s="18"/>
      <c r="AW841" s="18"/>
    </row>
    <row r="842" spans="5:49" x14ac:dyDescent="0.2">
      <c r="E842" s="1"/>
      <c r="F842" s="1"/>
      <c r="G842" s="1"/>
      <c r="H842" s="1"/>
      <c r="I842" s="1"/>
      <c r="J842" s="1"/>
      <c r="K842" s="1"/>
      <c r="L842" s="1"/>
      <c r="M842" s="1"/>
      <c r="AV842" s="18"/>
      <c r="AW842" s="18"/>
    </row>
    <row r="843" spans="5:49" x14ac:dyDescent="0.2">
      <c r="E843" s="1"/>
      <c r="F843" s="1"/>
      <c r="G843" s="1"/>
      <c r="H843" s="1"/>
      <c r="I843" s="1"/>
      <c r="J843" s="1"/>
      <c r="K843" s="1"/>
      <c r="L843" s="1"/>
      <c r="M843" s="1"/>
      <c r="AV843" s="18"/>
      <c r="AW843" s="18"/>
    </row>
    <row r="844" spans="5:49" x14ac:dyDescent="0.2">
      <c r="E844" s="1"/>
      <c r="F844" s="1"/>
      <c r="G844" s="1"/>
      <c r="H844" s="1"/>
      <c r="I844" s="1"/>
      <c r="J844" s="1"/>
      <c r="K844" s="1"/>
      <c r="L844" s="1"/>
      <c r="M844" s="1"/>
      <c r="AV844" s="18"/>
      <c r="AW844" s="18"/>
    </row>
    <row r="845" spans="5:49" x14ac:dyDescent="0.2">
      <c r="E845" s="1"/>
      <c r="F845" s="1"/>
      <c r="G845" s="1"/>
      <c r="H845" s="1"/>
      <c r="I845" s="1"/>
      <c r="J845" s="1"/>
      <c r="K845" s="1"/>
      <c r="L845" s="1"/>
      <c r="M845" s="1"/>
      <c r="AV845" s="18"/>
      <c r="AW845" s="18"/>
    </row>
    <row r="846" spans="5:49" x14ac:dyDescent="0.2">
      <c r="E846" s="1"/>
      <c r="F846" s="1"/>
      <c r="G846" s="1"/>
      <c r="H846" s="1"/>
      <c r="I846" s="1"/>
      <c r="J846" s="1"/>
      <c r="K846" s="1"/>
      <c r="L846" s="1"/>
      <c r="M846" s="1"/>
      <c r="AV846" s="18"/>
      <c r="AW846" s="18"/>
    </row>
    <row r="847" spans="5:49" x14ac:dyDescent="0.2">
      <c r="E847" s="1"/>
      <c r="F847" s="1"/>
      <c r="G847" s="1"/>
      <c r="H847" s="1"/>
      <c r="I847" s="1"/>
      <c r="J847" s="1"/>
      <c r="K847" s="1"/>
      <c r="L847" s="1"/>
      <c r="M847" s="1"/>
      <c r="AV847" s="18"/>
      <c r="AW847" s="18"/>
    </row>
    <row r="848" spans="5:49" x14ac:dyDescent="0.2">
      <c r="E848" s="1"/>
      <c r="F848" s="1"/>
      <c r="G848" s="1"/>
      <c r="H848" s="1"/>
      <c r="I848" s="1"/>
      <c r="J848" s="1"/>
      <c r="K848" s="1"/>
      <c r="L848" s="1"/>
      <c r="M848" s="1"/>
      <c r="AV848" s="18"/>
      <c r="AW848" s="18"/>
    </row>
    <row r="849" spans="5:49" x14ac:dyDescent="0.2">
      <c r="E849" s="1"/>
      <c r="F849" s="1"/>
      <c r="G849" s="1"/>
      <c r="H849" s="1"/>
      <c r="I849" s="1"/>
      <c r="J849" s="1"/>
      <c r="K849" s="1"/>
      <c r="L849" s="1"/>
      <c r="M849" s="1"/>
      <c r="AV849" s="18"/>
      <c r="AW849" s="18"/>
    </row>
    <row r="850" spans="5:49" x14ac:dyDescent="0.2">
      <c r="E850" s="1"/>
      <c r="F850" s="1"/>
      <c r="G850" s="1"/>
      <c r="H850" s="1"/>
      <c r="I850" s="1"/>
      <c r="J850" s="1"/>
      <c r="K850" s="1"/>
      <c r="L850" s="1"/>
      <c r="M850" s="1"/>
      <c r="AV850" s="18"/>
      <c r="AW850" s="18"/>
    </row>
    <row r="851" spans="5:49" x14ac:dyDescent="0.2">
      <c r="E851" s="1"/>
      <c r="F851" s="1"/>
      <c r="G851" s="1"/>
      <c r="H851" s="1"/>
      <c r="I851" s="1"/>
      <c r="J851" s="1"/>
      <c r="K851" s="1"/>
      <c r="L851" s="1"/>
      <c r="M851" s="1"/>
      <c r="AV851" s="18"/>
      <c r="AW851" s="18"/>
    </row>
    <row r="852" spans="5:49" x14ac:dyDescent="0.2">
      <c r="E852" s="1"/>
      <c r="F852" s="1"/>
      <c r="G852" s="1"/>
      <c r="H852" s="1"/>
      <c r="I852" s="1"/>
      <c r="J852" s="1"/>
      <c r="K852" s="1"/>
      <c r="L852" s="1"/>
      <c r="M852" s="1"/>
      <c r="AV852" s="18"/>
      <c r="AW852" s="18"/>
    </row>
    <row r="853" spans="5:49" x14ac:dyDescent="0.2">
      <c r="E853" s="1"/>
      <c r="F853" s="1"/>
      <c r="G853" s="1"/>
      <c r="H853" s="1"/>
      <c r="I853" s="1"/>
      <c r="J853" s="1"/>
      <c r="K853" s="1"/>
      <c r="L853" s="1"/>
      <c r="M853" s="1"/>
      <c r="AV853" s="18"/>
      <c r="AW853" s="18"/>
    </row>
    <row r="854" spans="5:49" x14ac:dyDescent="0.2">
      <c r="E854" s="1"/>
      <c r="F854" s="1"/>
      <c r="G854" s="1"/>
      <c r="H854" s="1"/>
      <c r="I854" s="1"/>
      <c r="J854" s="1"/>
      <c r="K854" s="1"/>
      <c r="L854" s="1"/>
      <c r="M854" s="1"/>
      <c r="AV854" s="18"/>
      <c r="AW854" s="18"/>
    </row>
    <row r="855" spans="5:49" x14ac:dyDescent="0.2">
      <c r="E855" s="1"/>
      <c r="F855" s="1"/>
      <c r="G855" s="1"/>
      <c r="H855" s="1"/>
      <c r="I855" s="1"/>
      <c r="J855" s="1"/>
      <c r="K855" s="1"/>
      <c r="L855" s="1"/>
      <c r="M855" s="1"/>
      <c r="AV855" s="18"/>
      <c r="AW855" s="18"/>
    </row>
    <row r="856" spans="5:49" x14ac:dyDescent="0.2">
      <c r="E856" s="1"/>
      <c r="F856" s="1"/>
      <c r="G856" s="1"/>
      <c r="H856" s="1"/>
      <c r="I856" s="1"/>
      <c r="J856" s="1"/>
      <c r="K856" s="1"/>
      <c r="L856" s="1"/>
      <c r="M856" s="1"/>
      <c r="AV856" s="18"/>
      <c r="AW856" s="18"/>
    </row>
    <row r="857" spans="5:49" x14ac:dyDescent="0.2">
      <c r="E857" s="1"/>
      <c r="F857" s="1"/>
      <c r="G857" s="1"/>
      <c r="H857" s="1"/>
      <c r="I857" s="1"/>
      <c r="J857" s="1"/>
      <c r="K857" s="1"/>
      <c r="L857" s="1"/>
      <c r="M857" s="1"/>
      <c r="AV857" s="18"/>
      <c r="AW857" s="18"/>
    </row>
    <row r="858" spans="5:49" x14ac:dyDescent="0.2">
      <c r="E858" s="1"/>
      <c r="F858" s="1"/>
      <c r="G858" s="1"/>
      <c r="H858" s="1"/>
      <c r="I858" s="1"/>
      <c r="J858" s="1"/>
      <c r="K858" s="1"/>
      <c r="L858" s="1"/>
      <c r="M858" s="1"/>
      <c r="AV858" s="18"/>
      <c r="AW858" s="18"/>
    </row>
    <row r="859" spans="5:49" x14ac:dyDescent="0.2">
      <c r="E859" s="1"/>
      <c r="F859" s="1"/>
      <c r="G859" s="1"/>
      <c r="H859" s="1"/>
      <c r="I859" s="1"/>
      <c r="J859" s="1"/>
      <c r="K859" s="1"/>
      <c r="L859" s="1"/>
      <c r="M859" s="1"/>
      <c r="AV859" s="18"/>
      <c r="AW859" s="18"/>
    </row>
    <row r="860" spans="5:49" x14ac:dyDescent="0.2">
      <c r="E860" s="1"/>
      <c r="F860" s="1"/>
      <c r="G860" s="1"/>
      <c r="H860" s="1"/>
      <c r="I860" s="1"/>
      <c r="J860" s="1"/>
      <c r="K860" s="1"/>
      <c r="L860" s="1"/>
      <c r="M860" s="1"/>
      <c r="AV860" s="18"/>
      <c r="AW860" s="18"/>
    </row>
    <row r="861" spans="5:49" x14ac:dyDescent="0.2">
      <c r="E861" s="1"/>
      <c r="F861" s="1"/>
      <c r="G861" s="1"/>
      <c r="H861" s="1"/>
      <c r="I861" s="1"/>
      <c r="J861" s="1"/>
      <c r="K861" s="1"/>
      <c r="L861" s="1"/>
      <c r="M861" s="1"/>
      <c r="AV861" s="18"/>
      <c r="AW861" s="18"/>
    </row>
    <row r="862" spans="5:49" x14ac:dyDescent="0.2">
      <c r="E862" s="1"/>
      <c r="F862" s="1"/>
      <c r="G862" s="1"/>
      <c r="H862" s="1"/>
      <c r="I862" s="1"/>
      <c r="J862" s="1"/>
      <c r="K862" s="1"/>
      <c r="L862" s="1"/>
      <c r="M862" s="1"/>
      <c r="AV862" s="18"/>
      <c r="AW862" s="18"/>
    </row>
    <row r="863" spans="5:49" x14ac:dyDescent="0.2">
      <c r="E863" s="1"/>
      <c r="F863" s="1"/>
      <c r="G863" s="1"/>
      <c r="H863" s="1"/>
      <c r="I863" s="1"/>
      <c r="J863" s="1"/>
      <c r="K863" s="1"/>
      <c r="L863" s="1"/>
      <c r="M863" s="1"/>
      <c r="AV863" s="18"/>
      <c r="AW863" s="18"/>
    </row>
    <row r="864" spans="5:49" x14ac:dyDescent="0.2">
      <c r="E864" s="1"/>
      <c r="F864" s="1"/>
      <c r="G864" s="1"/>
      <c r="H864" s="1"/>
      <c r="I864" s="1"/>
      <c r="J864" s="1"/>
      <c r="K864" s="1"/>
      <c r="L864" s="1"/>
      <c r="M864" s="1"/>
      <c r="AV864" s="18"/>
      <c r="AW864" s="18"/>
    </row>
    <row r="865" spans="5:49" x14ac:dyDescent="0.2">
      <c r="E865" s="1"/>
      <c r="F865" s="1"/>
      <c r="G865" s="1"/>
      <c r="H865" s="1"/>
      <c r="I865" s="1"/>
      <c r="J865" s="1"/>
      <c r="K865" s="1"/>
      <c r="L865" s="1"/>
      <c r="M865" s="1"/>
      <c r="AV865" s="18"/>
      <c r="AW865" s="18"/>
    </row>
    <row r="866" spans="5:49" x14ac:dyDescent="0.2">
      <c r="E866" s="1"/>
      <c r="F866" s="1"/>
      <c r="G866" s="1"/>
      <c r="H866" s="1"/>
      <c r="I866" s="1"/>
      <c r="J866" s="1"/>
      <c r="K866" s="1"/>
      <c r="L866" s="1"/>
      <c r="M866" s="1"/>
      <c r="AV866" s="18"/>
      <c r="AW866" s="18"/>
    </row>
    <row r="867" spans="5:49" x14ac:dyDescent="0.2">
      <c r="E867" s="1"/>
      <c r="F867" s="1"/>
      <c r="G867" s="1"/>
      <c r="H867" s="1"/>
      <c r="I867" s="1"/>
      <c r="J867" s="1"/>
      <c r="K867" s="1"/>
      <c r="L867" s="1"/>
      <c r="M867" s="1"/>
      <c r="AV867" s="18"/>
      <c r="AW867" s="18"/>
    </row>
    <row r="868" spans="5:49" x14ac:dyDescent="0.2">
      <c r="E868" s="1"/>
      <c r="F868" s="1"/>
      <c r="G868" s="1"/>
      <c r="H868" s="1"/>
      <c r="I868" s="1"/>
      <c r="J868" s="1"/>
      <c r="K868" s="1"/>
      <c r="L868" s="1"/>
      <c r="M868" s="1"/>
      <c r="AV868" s="18"/>
      <c r="AW868" s="18"/>
    </row>
    <row r="869" spans="5:49" x14ac:dyDescent="0.2">
      <c r="E869" s="1"/>
      <c r="F869" s="1"/>
      <c r="G869" s="1"/>
      <c r="H869" s="1"/>
      <c r="I869" s="1"/>
      <c r="J869" s="1"/>
      <c r="K869" s="1"/>
      <c r="L869" s="1"/>
      <c r="M869" s="1"/>
      <c r="AV869" s="18"/>
      <c r="AW869" s="18"/>
    </row>
    <row r="870" spans="5:49" x14ac:dyDescent="0.2">
      <c r="E870" s="1"/>
      <c r="F870" s="1"/>
      <c r="G870" s="1"/>
      <c r="H870" s="1"/>
      <c r="I870" s="1"/>
      <c r="J870" s="1"/>
      <c r="K870" s="1"/>
      <c r="L870" s="1"/>
      <c r="M870" s="1"/>
      <c r="AV870" s="18"/>
      <c r="AW870" s="18"/>
    </row>
    <row r="871" spans="5:49" x14ac:dyDescent="0.2">
      <c r="E871" s="1"/>
      <c r="F871" s="1"/>
      <c r="G871" s="1"/>
      <c r="H871" s="1"/>
      <c r="I871" s="1"/>
      <c r="J871" s="1"/>
      <c r="K871" s="1"/>
      <c r="L871" s="1"/>
      <c r="M871" s="1"/>
      <c r="AV871" s="18"/>
      <c r="AW871" s="18"/>
    </row>
    <row r="872" spans="5:49" x14ac:dyDescent="0.2">
      <c r="E872" s="1"/>
      <c r="F872" s="1"/>
      <c r="G872" s="1"/>
      <c r="H872" s="1"/>
      <c r="I872" s="1"/>
      <c r="J872" s="1"/>
      <c r="K872" s="1"/>
      <c r="L872" s="1"/>
      <c r="M872" s="1"/>
      <c r="AV872" s="18"/>
      <c r="AW872" s="18"/>
    </row>
    <row r="873" spans="5:49" x14ac:dyDescent="0.2">
      <c r="E873" s="1"/>
      <c r="F873" s="1"/>
      <c r="G873" s="1"/>
      <c r="H873" s="1"/>
      <c r="I873" s="1"/>
      <c r="J873" s="1"/>
      <c r="K873" s="1"/>
      <c r="L873" s="1"/>
      <c r="M873" s="1"/>
      <c r="AV873" s="18"/>
      <c r="AW873" s="18"/>
    </row>
    <row r="874" spans="5:49" x14ac:dyDescent="0.2">
      <c r="E874" s="1"/>
      <c r="F874" s="1"/>
      <c r="G874" s="1"/>
      <c r="H874" s="1"/>
      <c r="I874" s="1"/>
      <c r="J874" s="1"/>
      <c r="K874" s="1"/>
      <c r="L874" s="1"/>
      <c r="M874" s="1"/>
      <c r="AV874" s="18"/>
      <c r="AW874" s="18"/>
    </row>
    <row r="875" spans="5:49" x14ac:dyDescent="0.2">
      <c r="E875" s="1"/>
      <c r="F875" s="1"/>
      <c r="G875" s="1"/>
      <c r="H875" s="1"/>
      <c r="I875" s="1"/>
      <c r="J875" s="1"/>
      <c r="K875" s="1"/>
      <c r="L875" s="1"/>
      <c r="M875" s="1"/>
      <c r="AV875" s="18"/>
      <c r="AW875" s="18"/>
    </row>
    <row r="876" spans="5:49" x14ac:dyDescent="0.2">
      <c r="E876" s="1"/>
      <c r="F876" s="1"/>
      <c r="G876" s="1"/>
      <c r="H876" s="1"/>
      <c r="I876" s="1"/>
      <c r="J876" s="1"/>
      <c r="K876" s="1"/>
      <c r="L876" s="1"/>
      <c r="M876" s="1"/>
      <c r="AV876" s="18"/>
      <c r="AW876" s="18"/>
    </row>
    <row r="877" spans="5:49" x14ac:dyDescent="0.2">
      <c r="E877" s="1"/>
      <c r="F877" s="1"/>
      <c r="G877" s="1"/>
      <c r="H877" s="1"/>
      <c r="I877" s="1"/>
      <c r="J877" s="1"/>
      <c r="K877" s="1"/>
      <c r="L877" s="1"/>
      <c r="M877" s="1"/>
      <c r="AV877" s="18"/>
      <c r="AW877" s="18"/>
    </row>
    <row r="878" spans="5:49" x14ac:dyDescent="0.2">
      <c r="E878" s="1"/>
      <c r="F878" s="1"/>
      <c r="G878" s="1"/>
      <c r="H878" s="1"/>
      <c r="I878" s="1"/>
      <c r="J878" s="1"/>
      <c r="K878" s="1"/>
      <c r="L878" s="1"/>
      <c r="M878" s="1"/>
      <c r="AV878" s="18"/>
      <c r="AW878" s="18"/>
    </row>
    <row r="879" spans="5:49" x14ac:dyDescent="0.2">
      <c r="E879" s="1"/>
      <c r="F879" s="1"/>
      <c r="G879" s="1"/>
      <c r="H879" s="1"/>
      <c r="I879" s="1"/>
      <c r="J879" s="1"/>
      <c r="K879" s="1"/>
      <c r="L879" s="1"/>
      <c r="M879" s="1"/>
      <c r="AV879" s="18"/>
      <c r="AW879" s="18"/>
    </row>
    <row r="880" spans="5:49" x14ac:dyDescent="0.2">
      <c r="E880" s="1"/>
      <c r="F880" s="1"/>
      <c r="G880" s="1"/>
      <c r="H880" s="1"/>
      <c r="I880" s="1"/>
      <c r="J880" s="1"/>
      <c r="K880" s="1"/>
      <c r="L880" s="1"/>
      <c r="M880" s="1"/>
      <c r="AV880" s="18"/>
      <c r="AW880" s="18"/>
    </row>
    <row r="881" spans="5:49" x14ac:dyDescent="0.2">
      <c r="E881" s="1"/>
      <c r="F881" s="1"/>
      <c r="G881" s="1"/>
      <c r="H881" s="1"/>
      <c r="I881" s="1"/>
      <c r="J881" s="1"/>
      <c r="K881" s="1"/>
      <c r="L881" s="1"/>
      <c r="M881" s="1"/>
      <c r="AV881" s="18"/>
      <c r="AW881" s="18"/>
    </row>
    <row r="882" spans="5:49" x14ac:dyDescent="0.2">
      <c r="E882" s="1"/>
      <c r="F882" s="1"/>
      <c r="G882" s="1"/>
      <c r="H882" s="1"/>
      <c r="I882" s="1"/>
      <c r="J882" s="1"/>
      <c r="K882" s="1"/>
      <c r="L882" s="1"/>
      <c r="M882" s="1"/>
      <c r="AV882" s="18"/>
      <c r="AW882" s="18"/>
    </row>
    <row r="883" spans="5:49" x14ac:dyDescent="0.2">
      <c r="E883" s="1"/>
      <c r="F883" s="1"/>
      <c r="G883" s="1"/>
      <c r="H883" s="1"/>
      <c r="I883" s="1"/>
      <c r="J883" s="1"/>
      <c r="K883" s="1"/>
      <c r="L883" s="1"/>
      <c r="M883" s="1"/>
      <c r="AV883" s="18"/>
      <c r="AW883" s="18"/>
    </row>
    <row r="884" spans="5:49" x14ac:dyDescent="0.2">
      <c r="E884" s="1"/>
      <c r="F884" s="1"/>
      <c r="G884" s="1"/>
      <c r="H884" s="1"/>
      <c r="I884" s="1"/>
      <c r="J884" s="1"/>
      <c r="K884" s="1"/>
      <c r="L884" s="1"/>
      <c r="M884" s="1"/>
      <c r="AV884" s="18"/>
      <c r="AW884" s="18"/>
    </row>
    <row r="885" spans="5:49" x14ac:dyDescent="0.2">
      <c r="E885" s="1"/>
      <c r="F885" s="1"/>
      <c r="G885" s="1"/>
      <c r="H885" s="1"/>
      <c r="I885" s="1"/>
      <c r="J885" s="1"/>
      <c r="K885" s="1"/>
      <c r="L885" s="1"/>
      <c r="M885" s="1"/>
      <c r="AV885" s="18"/>
      <c r="AW885" s="18"/>
    </row>
    <row r="886" spans="5:49" x14ac:dyDescent="0.2">
      <c r="E886" s="1"/>
      <c r="F886" s="1"/>
      <c r="G886" s="1"/>
      <c r="H886" s="1"/>
      <c r="I886" s="1"/>
      <c r="J886" s="1"/>
      <c r="K886" s="1"/>
      <c r="L886" s="1"/>
      <c r="M886" s="1"/>
      <c r="AV886" s="18"/>
      <c r="AW886" s="18"/>
    </row>
    <row r="887" spans="5:49" x14ac:dyDescent="0.2">
      <c r="E887" s="1"/>
      <c r="F887" s="1"/>
      <c r="G887" s="1"/>
      <c r="H887" s="1"/>
      <c r="I887" s="1"/>
      <c r="J887" s="1"/>
      <c r="K887" s="1"/>
      <c r="L887" s="1"/>
      <c r="M887" s="1"/>
      <c r="AV887" s="18"/>
      <c r="AW887" s="18"/>
    </row>
    <row r="888" spans="5:49" x14ac:dyDescent="0.2">
      <c r="E888" s="1"/>
      <c r="F888" s="1"/>
      <c r="G888" s="1"/>
      <c r="H888" s="1"/>
      <c r="I888" s="1"/>
      <c r="J888" s="1"/>
      <c r="K888" s="1"/>
      <c r="L888" s="1"/>
      <c r="M888" s="1"/>
      <c r="AV888" s="18"/>
      <c r="AW888" s="18"/>
    </row>
    <row r="889" spans="5:49" x14ac:dyDescent="0.2">
      <c r="E889" s="1"/>
      <c r="F889" s="1"/>
      <c r="G889" s="1"/>
      <c r="H889" s="1"/>
      <c r="I889" s="1"/>
      <c r="J889" s="1"/>
      <c r="K889" s="1"/>
      <c r="L889" s="1"/>
      <c r="M889" s="1"/>
      <c r="AV889" s="18"/>
      <c r="AW889" s="18"/>
    </row>
    <row r="890" spans="5:49" x14ac:dyDescent="0.2">
      <c r="E890" s="1"/>
      <c r="F890" s="1"/>
      <c r="G890" s="1"/>
      <c r="H890" s="1"/>
      <c r="I890" s="1"/>
      <c r="J890" s="1"/>
      <c r="K890" s="1"/>
      <c r="L890" s="1"/>
      <c r="M890" s="1"/>
      <c r="AV890" s="18"/>
      <c r="AW890" s="18"/>
    </row>
    <row r="891" spans="5:49" x14ac:dyDescent="0.2">
      <c r="E891" s="1"/>
      <c r="F891" s="1"/>
      <c r="G891" s="1"/>
      <c r="H891" s="1"/>
      <c r="I891" s="1"/>
      <c r="J891" s="1"/>
      <c r="K891" s="1"/>
      <c r="L891" s="1"/>
      <c r="M891" s="1"/>
      <c r="AV891" s="18"/>
      <c r="AW891" s="18"/>
    </row>
    <row r="892" spans="5:49" x14ac:dyDescent="0.2">
      <c r="E892" s="1"/>
      <c r="F892" s="1"/>
      <c r="G892" s="1"/>
      <c r="H892" s="1"/>
      <c r="I892" s="1"/>
      <c r="J892" s="1"/>
      <c r="K892" s="1"/>
      <c r="L892" s="1"/>
      <c r="M892" s="1"/>
      <c r="AV892" s="18"/>
      <c r="AW892" s="18"/>
    </row>
    <row r="893" spans="5:49" x14ac:dyDescent="0.2">
      <c r="E893" s="1"/>
      <c r="F893" s="1"/>
      <c r="G893" s="1"/>
      <c r="H893" s="1"/>
      <c r="I893" s="1"/>
      <c r="J893" s="1"/>
      <c r="K893" s="1"/>
      <c r="L893" s="1"/>
      <c r="M893" s="1"/>
      <c r="AV893" s="18"/>
      <c r="AW893" s="18"/>
    </row>
    <row r="894" spans="5:49" x14ac:dyDescent="0.2">
      <c r="E894" s="1"/>
      <c r="F894" s="1"/>
      <c r="G894" s="1"/>
      <c r="H894" s="1"/>
      <c r="I894" s="1"/>
      <c r="J894" s="1"/>
      <c r="K894" s="1"/>
      <c r="L894" s="1"/>
      <c r="M894" s="1"/>
      <c r="AV894" s="18"/>
      <c r="AW894" s="18"/>
    </row>
    <row r="895" spans="5:49" x14ac:dyDescent="0.2">
      <c r="E895" s="1"/>
      <c r="F895" s="1"/>
      <c r="G895" s="1"/>
      <c r="H895" s="1"/>
      <c r="I895" s="1"/>
      <c r="J895" s="1"/>
      <c r="K895" s="1"/>
      <c r="L895" s="1"/>
      <c r="M895" s="1"/>
      <c r="AV895" s="18"/>
      <c r="AW895" s="18"/>
    </row>
    <row r="896" spans="5:49" x14ac:dyDescent="0.2">
      <c r="E896" s="1"/>
      <c r="F896" s="1"/>
      <c r="G896" s="1"/>
      <c r="H896" s="1"/>
      <c r="I896" s="1"/>
      <c r="J896" s="1"/>
      <c r="K896" s="1"/>
      <c r="L896" s="1"/>
      <c r="M896" s="1"/>
      <c r="AV896" s="18"/>
      <c r="AW896" s="18"/>
    </row>
    <row r="897" spans="5:49" x14ac:dyDescent="0.2">
      <c r="E897" s="1"/>
      <c r="F897" s="1"/>
      <c r="G897" s="1"/>
      <c r="H897" s="1"/>
      <c r="I897" s="1"/>
      <c r="J897" s="1"/>
      <c r="K897" s="1"/>
      <c r="L897" s="1"/>
      <c r="M897" s="1"/>
      <c r="AV897" s="18"/>
      <c r="AW897" s="18"/>
    </row>
    <row r="898" spans="5:49" x14ac:dyDescent="0.2">
      <c r="E898" s="1"/>
      <c r="F898" s="1"/>
      <c r="G898" s="1"/>
      <c r="H898" s="1"/>
      <c r="I898" s="1"/>
      <c r="J898" s="1"/>
      <c r="K898" s="1"/>
      <c r="L898" s="1"/>
      <c r="M898" s="1"/>
      <c r="AV898" s="18"/>
      <c r="AW898" s="18"/>
    </row>
    <row r="899" spans="5:49" x14ac:dyDescent="0.2">
      <c r="E899" s="1"/>
      <c r="F899" s="1"/>
      <c r="G899" s="1"/>
      <c r="H899" s="1"/>
      <c r="I899" s="1"/>
      <c r="J899" s="1"/>
      <c r="K899" s="1"/>
      <c r="L899" s="1"/>
      <c r="M899" s="1"/>
      <c r="AV899" s="18"/>
      <c r="AW899" s="18"/>
    </row>
    <row r="900" spans="5:49" x14ac:dyDescent="0.2">
      <c r="E900" s="1"/>
      <c r="F900" s="1"/>
      <c r="G900" s="1"/>
      <c r="H900" s="1"/>
      <c r="I900" s="1"/>
      <c r="J900" s="1"/>
      <c r="K900" s="1"/>
      <c r="L900" s="1"/>
      <c r="M900" s="1"/>
      <c r="AV900" s="18"/>
      <c r="AW900" s="18"/>
    </row>
    <row r="901" spans="5:49" x14ac:dyDescent="0.2">
      <c r="E901" s="1"/>
      <c r="F901" s="1"/>
      <c r="G901" s="1"/>
      <c r="H901" s="1"/>
      <c r="I901" s="1"/>
      <c r="J901" s="1"/>
      <c r="K901" s="1"/>
      <c r="L901" s="1"/>
      <c r="M901" s="1"/>
      <c r="AV901" s="18"/>
      <c r="AW901" s="18"/>
    </row>
    <row r="902" spans="5:49" x14ac:dyDescent="0.2">
      <c r="E902" s="1"/>
      <c r="F902" s="1"/>
      <c r="G902" s="1"/>
      <c r="H902" s="1"/>
      <c r="I902" s="1"/>
      <c r="J902" s="1"/>
      <c r="K902" s="1"/>
      <c r="L902" s="1"/>
      <c r="M902" s="1"/>
      <c r="AV902" s="18"/>
      <c r="AW902" s="18"/>
    </row>
    <row r="903" spans="5:49" x14ac:dyDescent="0.2">
      <c r="E903" s="1"/>
      <c r="F903" s="1"/>
      <c r="G903" s="1"/>
      <c r="H903" s="1"/>
      <c r="I903" s="1"/>
      <c r="J903" s="1"/>
      <c r="K903" s="1"/>
      <c r="L903" s="1"/>
      <c r="M903" s="1"/>
      <c r="AV903" s="18"/>
      <c r="AW903" s="18"/>
    </row>
    <row r="904" spans="5:49" x14ac:dyDescent="0.2">
      <c r="E904" s="1"/>
      <c r="F904" s="1"/>
      <c r="G904" s="1"/>
      <c r="H904" s="1"/>
      <c r="I904" s="1"/>
      <c r="J904" s="1"/>
      <c r="K904" s="1"/>
      <c r="L904" s="1"/>
      <c r="M904" s="1"/>
      <c r="AV904" s="18"/>
      <c r="AW904" s="18"/>
    </row>
    <row r="905" spans="5:49" x14ac:dyDescent="0.2">
      <c r="E905" s="1"/>
      <c r="F905" s="1"/>
      <c r="G905" s="1"/>
      <c r="H905" s="1"/>
      <c r="I905" s="1"/>
      <c r="J905" s="1"/>
      <c r="K905" s="1"/>
      <c r="L905" s="1"/>
      <c r="M905" s="1"/>
      <c r="AV905" s="18"/>
      <c r="AW905" s="18"/>
    </row>
    <row r="906" spans="5:49" x14ac:dyDescent="0.2">
      <c r="E906" s="1"/>
      <c r="F906" s="1"/>
      <c r="G906" s="1"/>
      <c r="H906" s="1"/>
      <c r="I906" s="1"/>
      <c r="J906" s="1"/>
      <c r="K906" s="1"/>
      <c r="L906" s="1"/>
      <c r="M906" s="1"/>
      <c r="AV906" s="18"/>
      <c r="AW906" s="18"/>
    </row>
    <row r="907" spans="5:49" x14ac:dyDescent="0.2">
      <c r="E907" s="1"/>
      <c r="F907" s="1"/>
      <c r="G907" s="1"/>
      <c r="H907" s="1"/>
      <c r="I907" s="1"/>
      <c r="J907" s="1"/>
      <c r="K907" s="1"/>
      <c r="L907" s="1"/>
      <c r="M907" s="1"/>
      <c r="AV907" s="18"/>
      <c r="AW907" s="18"/>
    </row>
    <row r="908" spans="5:49" x14ac:dyDescent="0.2">
      <c r="E908" s="1"/>
      <c r="F908" s="1"/>
      <c r="G908" s="1"/>
      <c r="H908" s="1"/>
      <c r="I908" s="1"/>
      <c r="J908" s="1"/>
      <c r="K908" s="1"/>
      <c r="L908" s="1"/>
      <c r="M908" s="1"/>
      <c r="AV908" s="18"/>
      <c r="AW908" s="18"/>
    </row>
    <row r="909" spans="5:49" x14ac:dyDescent="0.2">
      <c r="E909" s="1"/>
      <c r="F909" s="1"/>
      <c r="G909" s="1"/>
      <c r="H909" s="1"/>
      <c r="I909" s="1"/>
      <c r="J909" s="1"/>
      <c r="K909" s="1"/>
      <c r="L909" s="1"/>
      <c r="M909" s="1"/>
      <c r="AV909" s="18"/>
      <c r="AW909" s="18"/>
    </row>
    <row r="910" spans="5:49" x14ac:dyDescent="0.2">
      <c r="E910" s="1"/>
      <c r="F910" s="1"/>
      <c r="G910" s="1"/>
      <c r="H910" s="1"/>
      <c r="I910" s="1"/>
      <c r="J910" s="1"/>
      <c r="K910" s="1"/>
      <c r="L910" s="1"/>
      <c r="M910" s="1"/>
      <c r="AV910" s="18"/>
      <c r="AW910" s="18"/>
    </row>
    <row r="911" spans="5:49" x14ac:dyDescent="0.2">
      <c r="E911" s="1"/>
      <c r="F911" s="1"/>
      <c r="G911" s="1"/>
      <c r="H911" s="1"/>
      <c r="I911" s="1"/>
      <c r="J911" s="1"/>
      <c r="K911" s="1"/>
      <c r="L911" s="1"/>
      <c r="M911" s="1"/>
      <c r="AV911" s="18"/>
      <c r="AW911" s="18"/>
    </row>
    <row r="912" spans="5:49" x14ac:dyDescent="0.2">
      <c r="E912" s="1"/>
      <c r="F912" s="1"/>
      <c r="G912" s="1"/>
      <c r="H912" s="1"/>
      <c r="I912" s="1"/>
      <c r="J912" s="1"/>
      <c r="K912" s="1"/>
      <c r="L912" s="1"/>
      <c r="M912" s="1"/>
      <c r="AV912" s="18"/>
      <c r="AW912" s="18"/>
    </row>
    <row r="913" spans="5:49" x14ac:dyDescent="0.2">
      <c r="E913" s="1"/>
      <c r="F913" s="1"/>
      <c r="G913" s="1"/>
      <c r="H913" s="1"/>
      <c r="I913" s="1"/>
      <c r="J913" s="1"/>
      <c r="K913" s="1"/>
      <c r="L913" s="1"/>
      <c r="M913" s="1"/>
      <c r="AV913" s="18"/>
      <c r="AW913" s="18"/>
    </row>
    <row r="914" spans="5:49" x14ac:dyDescent="0.2">
      <c r="E914" s="1"/>
      <c r="F914" s="1"/>
      <c r="G914" s="1"/>
      <c r="H914" s="1"/>
      <c r="I914" s="1"/>
      <c r="J914" s="1"/>
      <c r="K914" s="1"/>
      <c r="L914" s="1"/>
      <c r="M914" s="1"/>
      <c r="AV914" s="18"/>
      <c r="AW914" s="18"/>
    </row>
    <row r="915" spans="5:49" x14ac:dyDescent="0.2">
      <c r="E915" s="1"/>
      <c r="F915" s="1"/>
      <c r="G915" s="1"/>
      <c r="H915" s="1"/>
      <c r="I915" s="1"/>
      <c r="J915" s="1"/>
      <c r="K915" s="1"/>
      <c r="L915" s="1"/>
      <c r="M915" s="1"/>
      <c r="AV915" s="18"/>
      <c r="AW915" s="18"/>
    </row>
    <row r="916" spans="5:49" x14ac:dyDescent="0.2">
      <c r="E916" s="1"/>
      <c r="F916" s="1"/>
      <c r="G916" s="1"/>
      <c r="H916" s="1"/>
      <c r="I916" s="1"/>
      <c r="J916" s="1"/>
      <c r="K916" s="1"/>
      <c r="L916" s="1"/>
      <c r="M916" s="1"/>
      <c r="AV916" s="18"/>
      <c r="AW916" s="18"/>
    </row>
    <row r="917" spans="5:49" x14ac:dyDescent="0.2">
      <c r="E917" s="1"/>
      <c r="F917" s="1"/>
      <c r="G917" s="1"/>
      <c r="H917" s="1"/>
      <c r="I917" s="1"/>
      <c r="J917" s="1"/>
      <c r="K917" s="1"/>
      <c r="L917" s="1"/>
      <c r="M917" s="1"/>
      <c r="AV917" s="18"/>
      <c r="AW917" s="18"/>
    </row>
    <row r="918" spans="5:49" x14ac:dyDescent="0.2">
      <c r="E918" s="1"/>
      <c r="F918" s="1"/>
      <c r="G918" s="1"/>
      <c r="H918" s="1"/>
      <c r="I918" s="1"/>
      <c r="J918" s="1"/>
      <c r="K918" s="1"/>
      <c r="L918" s="1"/>
      <c r="M918" s="1"/>
      <c r="AV918" s="18"/>
      <c r="AW918" s="18"/>
    </row>
    <row r="919" spans="5:49" x14ac:dyDescent="0.2">
      <c r="E919" s="1"/>
      <c r="F919" s="1"/>
      <c r="G919" s="1"/>
      <c r="H919" s="1"/>
      <c r="I919" s="1"/>
      <c r="J919" s="1"/>
      <c r="K919" s="1"/>
      <c r="L919" s="1"/>
      <c r="M919" s="1"/>
      <c r="AV919" s="18"/>
      <c r="AW919" s="18"/>
    </row>
    <row r="920" spans="5:49" x14ac:dyDescent="0.2">
      <c r="E920" s="1"/>
      <c r="F920" s="1"/>
      <c r="G920" s="1"/>
      <c r="H920" s="1"/>
      <c r="I920" s="1"/>
      <c r="J920" s="1"/>
      <c r="K920" s="1"/>
      <c r="L920" s="1"/>
      <c r="M920" s="1"/>
      <c r="AV920" s="18"/>
      <c r="AW920" s="18"/>
    </row>
    <row r="921" spans="5:49" x14ac:dyDescent="0.2">
      <c r="E921" s="1"/>
      <c r="F921" s="1"/>
      <c r="G921" s="1"/>
      <c r="H921" s="1"/>
      <c r="I921" s="1"/>
      <c r="J921" s="1"/>
      <c r="K921" s="1"/>
      <c r="L921" s="1"/>
      <c r="M921" s="1"/>
      <c r="AV921" s="18"/>
      <c r="AW921" s="18"/>
    </row>
    <row r="922" spans="5:49" x14ac:dyDescent="0.2">
      <c r="E922" s="1"/>
      <c r="F922" s="1"/>
      <c r="G922" s="1"/>
      <c r="H922" s="1"/>
      <c r="I922" s="1"/>
      <c r="J922" s="1"/>
      <c r="K922" s="1"/>
      <c r="L922" s="1"/>
      <c r="M922" s="1"/>
      <c r="AV922" s="18"/>
      <c r="AW922" s="18"/>
    </row>
    <row r="923" spans="5:49" x14ac:dyDescent="0.2">
      <c r="E923" s="1"/>
      <c r="F923" s="1"/>
      <c r="G923" s="1"/>
      <c r="H923" s="1"/>
      <c r="I923" s="1"/>
      <c r="J923" s="1"/>
      <c r="K923" s="1"/>
      <c r="L923" s="1"/>
      <c r="M923" s="1"/>
      <c r="AV923" s="18"/>
      <c r="AW923" s="18"/>
    </row>
    <row r="924" spans="5:49" x14ac:dyDescent="0.2">
      <c r="E924" s="1"/>
      <c r="F924" s="1"/>
      <c r="G924" s="1"/>
      <c r="H924" s="1"/>
      <c r="I924" s="1"/>
      <c r="J924" s="1"/>
      <c r="K924" s="1"/>
      <c r="L924" s="1"/>
      <c r="M924" s="1"/>
      <c r="AV924" s="18"/>
      <c r="AW924" s="18"/>
    </row>
    <row r="925" spans="5:49" x14ac:dyDescent="0.2">
      <c r="E925" s="1"/>
      <c r="F925" s="1"/>
      <c r="G925" s="1"/>
      <c r="H925" s="1"/>
      <c r="I925" s="1"/>
      <c r="J925" s="1"/>
      <c r="K925" s="1"/>
      <c r="L925" s="1"/>
      <c r="M925" s="1"/>
      <c r="AV925" s="18"/>
      <c r="AW925" s="18"/>
    </row>
    <row r="926" spans="5:49" x14ac:dyDescent="0.2">
      <c r="E926" s="1"/>
      <c r="F926" s="1"/>
      <c r="G926" s="1"/>
      <c r="H926" s="1"/>
      <c r="I926" s="1"/>
      <c r="J926" s="1"/>
      <c r="K926" s="1"/>
      <c r="L926" s="1"/>
      <c r="M926" s="1"/>
      <c r="AV926" s="18"/>
      <c r="AW926" s="18"/>
    </row>
    <row r="927" spans="5:49" x14ac:dyDescent="0.2">
      <c r="E927" s="1"/>
      <c r="F927" s="1"/>
      <c r="G927" s="1"/>
      <c r="H927" s="1"/>
      <c r="I927" s="1"/>
      <c r="J927" s="1"/>
      <c r="K927" s="1"/>
      <c r="L927" s="1"/>
      <c r="M927" s="1"/>
      <c r="AV927" s="18"/>
      <c r="AW927" s="18"/>
    </row>
    <row r="928" spans="5:49" x14ac:dyDescent="0.2">
      <c r="E928" s="1"/>
      <c r="F928" s="1"/>
      <c r="G928" s="1"/>
      <c r="H928" s="1"/>
      <c r="I928" s="1"/>
      <c r="J928" s="1"/>
      <c r="K928" s="1"/>
      <c r="L928" s="1"/>
      <c r="M928" s="1"/>
      <c r="AV928" s="18"/>
      <c r="AW928" s="18"/>
    </row>
    <row r="929" spans="5:49" x14ac:dyDescent="0.2">
      <c r="E929" s="1"/>
      <c r="F929" s="1"/>
      <c r="G929" s="1"/>
      <c r="H929" s="1"/>
      <c r="I929" s="1"/>
      <c r="J929" s="1"/>
      <c r="K929" s="1"/>
      <c r="L929" s="1"/>
      <c r="M929" s="1"/>
      <c r="AV929" s="18"/>
      <c r="AW929" s="18"/>
    </row>
    <row r="930" spans="5:49" x14ac:dyDescent="0.2">
      <c r="E930" s="1"/>
      <c r="F930" s="1"/>
      <c r="G930" s="1"/>
      <c r="H930" s="1"/>
      <c r="I930" s="1"/>
      <c r="J930" s="1"/>
      <c r="K930" s="1"/>
      <c r="L930" s="1"/>
      <c r="M930" s="1"/>
      <c r="AV930" s="18"/>
      <c r="AW930" s="18"/>
    </row>
    <row r="931" spans="5:49" x14ac:dyDescent="0.2">
      <c r="E931" s="1"/>
      <c r="F931" s="1"/>
      <c r="G931" s="1"/>
      <c r="H931" s="1"/>
      <c r="I931" s="1"/>
      <c r="J931" s="1"/>
      <c r="K931" s="1"/>
      <c r="L931" s="1"/>
      <c r="M931" s="1"/>
      <c r="AV931" s="18"/>
      <c r="AW931" s="18"/>
    </row>
    <row r="932" spans="5:49" x14ac:dyDescent="0.2">
      <c r="E932" s="1"/>
      <c r="F932" s="1"/>
      <c r="G932" s="1"/>
      <c r="H932" s="1"/>
      <c r="I932" s="1"/>
      <c r="J932" s="1"/>
      <c r="K932" s="1"/>
      <c r="L932" s="1"/>
      <c r="M932" s="1"/>
      <c r="AV932" s="18"/>
      <c r="AW932" s="18"/>
    </row>
    <row r="933" spans="5:49" x14ac:dyDescent="0.2">
      <c r="E933" s="1"/>
      <c r="F933" s="1"/>
      <c r="G933" s="1"/>
      <c r="H933" s="1"/>
      <c r="I933" s="1"/>
      <c r="J933" s="1"/>
      <c r="K933" s="1"/>
      <c r="L933" s="1"/>
      <c r="M933" s="1"/>
      <c r="AV933" s="18"/>
      <c r="AW933" s="18"/>
    </row>
    <row r="934" spans="5:49" x14ac:dyDescent="0.2">
      <c r="E934" s="1"/>
      <c r="F934" s="1"/>
      <c r="G934" s="1"/>
      <c r="H934" s="1"/>
      <c r="I934" s="1"/>
      <c r="J934" s="1"/>
      <c r="K934" s="1"/>
      <c r="L934" s="1"/>
      <c r="M934" s="1"/>
      <c r="AV934" s="18"/>
      <c r="AW934" s="18"/>
    </row>
    <row r="935" spans="5:49" x14ac:dyDescent="0.2">
      <c r="E935" s="1"/>
      <c r="F935" s="1"/>
      <c r="G935" s="1"/>
      <c r="H935" s="1"/>
      <c r="I935" s="1"/>
      <c r="J935" s="1"/>
      <c r="K935" s="1"/>
      <c r="L935" s="1"/>
      <c r="M935" s="1"/>
      <c r="AV935" s="18"/>
      <c r="AW935" s="18"/>
    </row>
    <row r="936" spans="5:49" x14ac:dyDescent="0.2">
      <c r="E936" s="1"/>
      <c r="F936" s="1"/>
      <c r="G936" s="1"/>
      <c r="H936" s="1"/>
      <c r="I936" s="1"/>
      <c r="J936" s="1"/>
      <c r="K936" s="1"/>
      <c r="L936" s="1"/>
      <c r="M936" s="1"/>
      <c r="AV936" s="18"/>
      <c r="AW936" s="18"/>
    </row>
    <row r="937" spans="5:49" x14ac:dyDescent="0.2">
      <c r="E937" s="1"/>
      <c r="F937" s="1"/>
      <c r="G937" s="1"/>
      <c r="H937" s="1"/>
      <c r="I937" s="1"/>
      <c r="J937" s="1"/>
      <c r="K937" s="1"/>
      <c r="L937" s="1"/>
      <c r="M937" s="1"/>
      <c r="AV937" s="18"/>
      <c r="AW937" s="18"/>
    </row>
    <row r="938" spans="5:49" x14ac:dyDescent="0.2">
      <c r="E938" s="1"/>
      <c r="F938" s="1"/>
      <c r="G938" s="1"/>
      <c r="H938" s="1"/>
      <c r="I938" s="1"/>
      <c r="J938" s="1"/>
      <c r="K938" s="1"/>
      <c r="L938" s="1"/>
      <c r="M938" s="1"/>
      <c r="AV938" s="18"/>
      <c r="AW938" s="18"/>
    </row>
    <row r="939" spans="5:49" x14ac:dyDescent="0.2">
      <c r="E939" s="1"/>
      <c r="F939" s="1"/>
      <c r="G939" s="1"/>
      <c r="H939" s="1"/>
      <c r="I939" s="1"/>
      <c r="J939" s="1"/>
      <c r="K939" s="1"/>
      <c r="L939" s="1"/>
      <c r="M939" s="1"/>
      <c r="AV939" s="18"/>
      <c r="AW939" s="18"/>
    </row>
    <row r="940" spans="5:49" x14ac:dyDescent="0.2">
      <c r="E940" s="1"/>
      <c r="F940" s="1"/>
      <c r="G940" s="1"/>
      <c r="H940" s="1"/>
      <c r="I940" s="1"/>
      <c r="J940" s="1"/>
      <c r="K940" s="1"/>
      <c r="L940" s="1"/>
      <c r="M940" s="1"/>
      <c r="AV940" s="18"/>
      <c r="AW940" s="18"/>
    </row>
    <row r="941" spans="5:49" x14ac:dyDescent="0.2">
      <c r="E941" s="1"/>
      <c r="F941" s="1"/>
      <c r="G941" s="1"/>
      <c r="H941" s="1"/>
      <c r="I941" s="1"/>
      <c r="J941" s="1"/>
      <c r="K941" s="1"/>
      <c r="L941" s="1"/>
      <c r="M941" s="1"/>
      <c r="AV941" s="18"/>
      <c r="AW941" s="18"/>
    </row>
    <row r="942" spans="5:49" x14ac:dyDescent="0.2">
      <c r="E942" s="1"/>
      <c r="F942" s="1"/>
      <c r="G942" s="1"/>
      <c r="H942" s="1"/>
      <c r="I942" s="1"/>
      <c r="J942" s="1"/>
      <c r="K942" s="1"/>
      <c r="L942" s="1"/>
      <c r="M942" s="1"/>
      <c r="AV942" s="18"/>
      <c r="AW942" s="18"/>
    </row>
    <row r="943" spans="5:49" x14ac:dyDescent="0.2">
      <c r="E943" s="1"/>
      <c r="F943" s="1"/>
      <c r="G943" s="1"/>
      <c r="H943" s="1"/>
      <c r="I943" s="1"/>
      <c r="J943" s="1"/>
      <c r="K943" s="1"/>
      <c r="L943" s="1"/>
      <c r="M943" s="1"/>
      <c r="AV943" s="18"/>
      <c r="AW943" s="18"/>
    </row>
    <row r="944" spans="5:49" x14ac:dyDescent="0.2">
      <c r="E944" s="1"/>
      <c r="F944" s="1"/>
      <c r="G944" s="1"/>
      <c r="H944" s="1"/>
      <c r="I944" s="1"/>
      <c r="J944" s="1"/>
      <c r="K944" s="1"/>
      <c r="L944" s="1"/>
      <c r="M944" s="1"/>
      <c r="AV944" s="18"/>
      <c r="AW944" s="18"/>
    </row>
    <row r="945" spans="5:49" x14ac:dyDescent="0.2">
      <c r="E945" s="1"/>
      <c r="F945" s="1"/>
      <c r="G945" s="1"/>
      <c r="H945" s="1"/>
      <c r="I945" s="1"/>
      <c r="J945" s="1"/>
      <c r="K945" s="1"/>
      <c r="L945" s="1"/>
      <c r="M945" s="1"/>
      <c r="AV945" s="18"/>
      <c r="AW945" s="18"/>
    </row>
    <row r="946" spans="5:49" x14ac:dyDescent="0.2">
      <c r="E946" s="1"/>
      <c r="F946" s="1"/>
      <c r="G946" s="1"/>
      <c r="H946" s="1"/>
      <c r="I946" s="1"/>
      <c r="J946" s="1"/>
      <c r="K946" s="1"/>
      <c r="L946" s="1"/>
      <c r="M946" s="1"/>
      <c r="AV946" s="18"/>
      <c r="AW946" s="18"/>
    </row>
    <row r="947" spans="5:49" x14ac:dyDescent="0.2">
      <c r="E947" s="1"/>
      <c r="F947" s="1"/>
      <c r="G947" s="1"/>
      <c r="H947" s="1"/>
      <c r="I947" s="1"/>
      <c r="J947" s="1"/>
      <c r="K947" s="1"/>
      <c r="L947" s="1"/>
      <c r="M947" s="1"/>
      <c r="AV947" s="18"/>
      <c r="AW947" s="18"/>
    </row>
    <row r="948" spans="5:49" x14ac:dyDescent="0.2">
      <c r="E948" s="1"/>
      <c r="F948" s="1"/>
      <c r="G948" s="1"/>
      <c r="H948" s="1"/>
      <c r="I948" s="1"/>
      <c r="J948" s="1"/>
      <c r="K948" s="1"/>
      <c r="L948" s="1"/>
      <c r="M948" s="1"/>
      <c r="AV948" s="18"/>
      <c r="AW948" s="18"/>
    </row>
    <row r="949" spans="5:49" x14ac:dyDescent="0.2">
      <c r="E949" s="1"/>
      <c r="F949" s="1"/>
      <c r="G949" s="1"/>
      <c r="H949" s="1"/>
      <c r="I949" s="1"/>
      <c r="J949" s="1"/>
      <c r="K949" s="1"/>
      <c r="L949" s="1"/>
      <c r="M949" s="1"/>
      <c r="AV949" s="18"/>
      <c r="AW949" s="18"/>
    </row>
    <row r="950" spans="5:49" x14ac:dyDescent="0.2">
      <c r="E950" s="1"/>
      <c r="F950" s="1"/>
      <c r="G950" s="1"/>
      <c r="H950" s="1"/>
      <c r="I950" s="1"/>
      <c r="J950" s="1"/>
      <c r="K950" s="1"/>
      <c r="L950" s="1"/>
      <c r="M950" s="1"/>
      <c r="AV950" s="18"/>
      <c r="AW950" s="18"/>
    </row>
    <row r="951" spans="5:49" x14ac:dyDescent="0.2">
      <c r="E951" s="1"/>
      <c r="F951" s="1"/>
      <c r="G951" s="1"/>
      <c r="H951" s="1"/>
      <c r="I951" s="1"/>
      <c r="J951" s="1"/>
      <c r="K951" s="1"/>
      <c r="L951" s="1"/>
      <c r="M951" s="1"/>
      <c r="AV951" s="18"/>
      <c r="AW951" s="18"/>
    </row>
    <row r="952" spans="5:49" x14ac:dyDescent="0.2">
      <c r="E952" s="1"/>
      <c r="F952" s="1"/>
      <c r="G952" s="1"/>
      <c r="H952" s="1"/>
      <c r="I952" s="1"/>
      <c r="J952" s="1"/>
      <c r="K952" s="1"/>
      <c r="L952" s="1"/>
      <c r="M952" s="1"/>
      <c r="AV952" s="18"/>
      <c r="AW952" s="18"/>
    </row>
    <row r="953" spans="5:49" x14ac:dyDescent="0.2">
      <c r="E953" s="1"/>
      <c r="F953" s="1"/>
      <c r="G953" s="1"/>
      <c r="H953" s="1"/>
      <c r="I953" s="1"/>
      <c r="J953" s="1"/>
      <c r="K953" s="1"/>
      <c r="L953" s="1"/>
      <c r="M953" s="1"/>
      <c r="AV953" s="18"/>
      <c r="AW953" s="18"/>
    </row>
    <row r="954" spans="5:49" x14ac:dyDescent="0.2">
      <c r="E954" s="1"/>
      <c r="F954" s="1"/>
      <c r="G954" s="1"/>
      <c r="H954" s="1"/>
      <c r="I954" s="1"/>
      <c r="J954" s="1"/>
      <c r="K954" s="1"/>
      <c r="L954" s="1"/>
      <c r="M954" s="1"/>
      <c r="AV954" s="18"/>
      <c r="AW954" s="18"/>
    </row>
    <row r="955" spans="5:49" x14ac:dyDescent="0.2">
      <c r="E955" s="1"/>
      <c r="F955" s="1"/>
      <c r="G955" s="1"/>
      <c r="H955" s="1"/>
      <c r="I955" s="1"/>
      <c r="J955" s="1"/>
      <c r="K955" s="1"/>
      <c r="L955" s="1"/>
      <c r="M955" s="1"/>
      <c r="AV955" s="18"/>
      <c r="AW955" s="18"/>
    </row>
    <row r="956" spans="5:49" x14ac:dyDescent="0.2">
      <c r="E956" s="1"/>
      <c r="F956" s="1"/>
      <c r="G956" s="1"/>
      <c r="H956" s="1"/>
      <c r="I956" s="1"/>
      <c r="J956" s="1"/>
      <c r="K956" s="1"/>
      <c r="L956" s="1"/>
      <c r="M956" s="1"/>
      <c r="AV956" s="18"/>
      <c r="AW956" s="18"/>
    </row>
    <row r="957" spans="5:49" x14ac:dyDescent="0.2">
      <c r="E957" s="1"/>
      <c r="F957" s="1"/>
      <c r="G957" s="1"/>
      <c r="H957" s="1"/>
      <c r="I957" s="1"/>
      <c r="J957" s="1"/>
      <c r="K957" s="1"/>
      <c r="L957" s="1"/>
      <c r="M957" s="1"/>
      <c r="AV957" s="18"/>
      <c r="AW957" s="18"/>
    </row>
    <row r="958" spans="5:49" x14ac:dyDescent="0.2">
      <c r="E958" s="1"/>
      <c r="F958" s="1"/>
      <c r="G958" s="1"/>
      <c r="H958" s="1"/>
      <c r="I958" s="1"/>
      <c r="J958" s="1"/>
      <c r="K958" s="1"/>
      <c r="L958" s="1"/>
      <c r="M958" s="1"/>
      <c r="AV958" s="18"/>
      <c r="AW958" s="18"/>
    </row>
    <row r="959" spans="5:49" x14ac:dyDescent="0.2">
      <c r="E959" s="1"/>
      <c r="F959" s="1"/>
      <c r="G959" s="1"/>
      <c r="H959" s="1"/>
      <c r="I959" s="1"/>
      <c r="J959" s="1"/>
      <c r="K959" s="1"/>
      <c r="L959" s="1"/>
      <c r="M959" s="1"/>
      <c r="AV959" s="18"/>
      <c r="AW959" s="18"/>
    </row>
    <row r="960" spans="5:49" x14ac:dyDescent="0.2">
      <c r="E960" s="1"/>
      <c r="F960" s="1"/>
      <c r="G960" s="1"/>
      <c r="H960" s="1"/>
      <c r="I960" s="1"/>
      <c r="J960" s="1"/>
      <c r="K960" s="1"/>
      <c r="L960" s="1"/>
      <c r="M960" s="1"/>
      <c r="AV960" s="18"/>
      <c r="AW960" s="18"/>
    </row>
    <row r="961" spans="5:49" x14ac:dyDescent="0.2">
      <c r="E961" s="1"/>
      <c r="F961" s="1"/>
      <c r="G961" s="1"/>
      <c r="H961" s="1"/>
      <c r="I961" s="1"/>
      <c r="J961" s="1"/>
      <c r="K961" s="1"/>
      <c r="L961" s="1"/>
      <c r="M961" s="1"/>
      <c r="AV961" s="18"/>
      <c r="AW961" s="18"/>
    </row>
    <row r="962" spans="5:49" x14ac:dyDescent="0.2">
      <c r="E962" s="1"/>
      <c r="F962" s="1"/>
      <c r="G962" s="1"/>
      <c r="H962" s="1"/>
      <c r="I962" s="1"/>
      <c r="J962" s="1"/>
      <c r="K962" s="1"/>
      <c r="L962" s="1"/>
      <c r="M962" s="1"/>
      <c r="AV962" s="18"/>
      <c r="AW962" s="18"/>
    </row>
    <row r="963" spans="5:49" x14ac:dyDescent="0.2">
      <c r="E963" s="1"/>
      <c r="F963" s="1"/>
      <c r="G963" s="1"/>
      <c r="H963" s="1"/>
      <c r="I963" s="1"/>
      <c r="J963" s="1"/>
      <c r="K963" s="1"/>
      <c r="L963" s="1"/>
      <c r="M963" s="1"/>
      <c r="AV963" s="18"/>
      <c r="AW963" s="18"/>
    </row>
    <row r="964" spans="5:49" x14ac:dyDescent="0.2">
      <c r="E964" s="1"/>
      <c r="F964" s="1"/>
      <c r="G964" s="1"/>
      <c r="H964" s="1"/>
      <c r="I964" s="1"/>
      <c r="J964" s="1"/>
      <c r="K964" s="1"/>
      <c r="L964" s="1"/>
      <c r="M964" s="1"/>
      <c r="AV964" s="18"/>
      <c r="AW964" s="18"/>
    </row>
    <row r="965" spans="5:49" x14ac:dyDescent="0.2">
      <c r="E965" s="1"/>
      <c r="F965" s="1"/>
      <c r="G965" s="1"/>
      <c r="H965" s="1"/>
      <c r="I965" s="1"/>
      <c r="J965" s="1"/>
      <c r="K965" s="1"/>
      <c r="L965" s="1"/>
      <c r="M965" s="1"/>
      <c r="AV965" s="18"/>
      <c r="AW965" s="18"/>
    </row>
    <row r="966" spans="5:49" x14ac:dyDescent="0.2">
      <c r="E966" s="1"/>
      <c r="F966" s="1"/>
      <c r="G966" s="1"/>
      <c r="H966" s="1"/>
      <c r="I966" s="1"/>
      <c r="J966" s="1"/>
      <c r="K966" s="1"/>
      <c r="L966" s="1"/>
      <c r="M966" s="1"/>
      <c r="AV966" s="18"/>
      <c r="AW966" s="18"/>
    </row>
    <row r="967" spans="5:49" x14ac:dyDescent="0.2">
      <c r="E967" s="1"/>
      <c r="F967" s="1"/>
      <c r="G967" s="1"/>
      <c r="H967" s="1"/>
      <c r="I967" s="1"/>
      <c r="J967" s="1"/>
      <c r="K967" s="1"/>
      <c r="L967" s="1"/>
      <c r="M967" s="1"/>
      <c r="AV967" s="18"/>
      <c r="AW967" s="18"/>
    </row>
    <row r="968" spans="5:49" x14ac:dyDescent="0.2">
      <c r="E968" s="1"/>
      <c r="F968" s="1"/>
      <c r="G968" s="1"/>
      <c r="H968" s="1"/>
      <c r="I968" s="1"/>
      <c r="J968" s="1"/>
      <c r="K968" s="1"/>
      <c r="L968" s="1"/>
      <c r="M968" s="1"/>
      <c r="AV968" s="18"/>
      <c r="AW968" s="18"/>
    </row>
    <row r="969" spans="5:49" x14ac:dyDescent="0.2">
      <c r="E969" s="1"/>
      <c r="F969" s="1"/>
      <c r="G969" s="1"/>
      <c r="H969" s="1"/>
      <c r="I969" s="1"/>
      <c r="J969" s="1"/>
      <c r="K969" s="1"/>
      <c r="L969" s="1"/>
      <c r="M969" s="1"/>
      <c r="AV969" s="18"/>
      <c r="AW969" s="18"/>
    </row>
    <row r="970" spans="5:49" x14ac:dyDescent="0.2">
      <c r="E970" s="1"/>
      <c r="F970" s="1"/>
      <c r="G970" s="1"/>
      <c r="H970" s="1"/>
      <c r="I970" s="1"/>
      <c r="J970" s="1"/>
      <c r="K970" s="1"/>
      <c r="L970" s="1"/>
      <c r="M970" s="1"/>
      <c r="AV970" s="18"/>
      <c r="AW970" s="18"/>
    </row>
    <row r="971" spans="5:49" x14ac:dyDescent="0.2">
      <c r="E971" s="1"/>
      <c r="F971" s="1"/>
      <c r="G971" s="1"/>
      <c r="H971" s="1"/>
      <c r="I971" s="1"/>
      <c r="J971" s="1"/>
      <c r="K971" s="1"/>
      <c r="L971" s="1"/>
      <c r="M971" s="1"/>
      <c r="AV971" s="18"/>
      <c r="AW971" s="18"/>
    </row>
    <row r="972" spans="5:49" x14ac:dyDescent="0.2">
      <c r="E972" s="1"/>
      <c r="F972" s="1"/>
      <c r="G972" s="1"/>
      <c r="H972" s="1"/>
      <c r="I972" s="1"/>
      <c r="J972" s="1"/>
      <c r="K972" s="1"/>
      <c r="L972" s="1"/>
      <c r="M972" s="1"/>
      <c r="AV972" s="18"/>
      <c r="AW972" s="18"/>
    </row>
    <row r="973" spans="5:49" x14ac:dyDescent="0.2">
      <c r="E973" s="1"/>
      <c r="F973" s="1"/>
      <c r="G973" s="1"/>
      <c r="H973" s="1"/>
      <c r="I973" s="1"/>
      <c r="J973" s="1"/>
      <c r="K973" s="1"/>
      <c r="L973" s="1"/>
      <c r="M973" s="1"/>
      <c r="AV973" s="18"/>
      <c r="AW973" s="18"/>
    </row>
    <row r="974" spans="5:49" x14ac:dyDescent="0.2">
      <c r="E974" s="1"/>
      <c r="F974" s="1"/>
      <c r="G974" s="1"/>
      <c r="H974" s="1"/>
      <c r="I974" s="1"/>
      <c r="J974" s="1"/>
      <c r="K974" s="1"/>
      <c r="L974" s="1"/>
      <c r="M974" s="1"/>
      <c r="AV974" s="18"/>
      <c r="AW974" s="18"/>
    </row>
    <row r="975" spans="5:49" x14ac:dyDescent="0.2">
      <c r="E975" s="1"/>
      <c r="F975" s="1"/>
      <c r="G975" s="1"/>
      <c r="H975" s="1"/>
      <c r="I975" s="1"/>
      <c r="J975" s="1"/>
      <c r="K975" s="1"/>
      <c r="L975" s="1"/>
      <c r="M975" s="1"/>
      <c r="AV975" s="18"/>
      <c r="AW975" s="18"/>
    </row>
    <row r="976" spans="5:49" x14ac:dyDescent="0.2">
      <c r="E976" s="1"/>
      <c r="F976" s="1"/>
      <c r="G976" s="1"/>
      <c r="H976" s="1"/>
      <c r="I976" s="1"/>
      <c r="J976" s="1"/>
      <c r="K976" s="1"/>
      <c r="L976" s="1"/>
      <c r="M976" s="1"/>
      <c r="AV976" s="18"/>
      <c r="AW976" s="18"/>
    </row>
    <row r="977" spans="5:49" x14ac:dyDescent="0.2">
      <c r="E977" s="1"/>
      <c r="F977" s="1"/>
      <c r="G977" s="1"/>
      <c r="H977" s="1"/>
      <c r="I977" s="1"/>
      <c r="J977" s="1"/>
      <c r="K977" s="1"/>
      <c r="L977" s="1"/>
      <c r="M977" s="1"/>
      <c r="AV977" s="18"/>
      <c r="AW977" s="18"/>
    </row>
    <row r="978" spans="5:49" x14ac:dyDescent="0.2">
      <c r="E978" s="1"/>
      <c r="F978" s="1"/>
      <c r="G978" s="1"/>
      <c r="H978" s="1"/>
      <c r="I978" s="1"/>
      <c r="J978" s="1"/>
      <c r="K978" s="1"/>
      <c r="L978" s="1"/>
      <c r="M978" s="1"/>
      <c r="AV978" s="18"/>
      <c r="AW978" s="18"/>
    </row>
    <row r="979" spans="5:49" x14ac:dyDescent="0.2">
      <c r="E979" s="1"/>
      <c r="F979" s="1"/>
      <c r="G979" s="1"/>
      <c r="H979" s="1"/>
      <c r="I979" s="1"/>
      <c r="J979" s="1"/>
      <c r="K979" s="1"/>
      <c r="L979" s="1"/>
      <c r="M979" s="1"/>
      <c r="AV979" s="18"/>
      <c r="AW979" s="18"/>
    </row>
    <row r="980" spans="5:49" x14ac:dyDescent="0.2">
      <c r="E980" s="1"/>
      <c r="F980" s="1"/>
      <c r="G980" s="1"/>
      <c r="H980" s="1"/>
      <c r="I980" s="1"/>
      <c r="J980" s="1"/>
      <c r="K980" s="1"/>
      <c r="L980" s="1"/>
      <c r="M980" s="1"/>
      <c r="AV980" s="18"/>
      <c r="AW980" s="18"/>
    </row>
    <row r="981" spans="5:49" x14ac:dyDescent="0.2">
      <c r="E981" s="1"/>
      <c r="F981" s="1"/>
      <c r="G981" s="1"/>
      <c r="H981" s="1"/>
      <c r="I981" s="1"/>
      <c r="J981" s="1"/>
      <c r="K981" s="1"/>
      <c r="L981" s="1"/>
      <c r="M981" s="1"/>
      <c r="AV981" s="18"/>
      <c r="AW981" s="18"/>
    </row>
    <row r="982" spans="5:49" x14ac:dyDescent="0.2">
      <c r="E982" s="1"/>
      <c r="F982" s="1"/>
      <c r="G982" s="1"/>
      <c r="H982" s="1"/>
      <c r="I982" s="1"/>
      <c r="J982" s="1"/>
      <c r="K982" s="1"/>
      <c r="L982" s="1"/>
      <c r="M982" s="1"/>
      <c r="AV982" s="18"/>
      <c r="AW982" s="18"/>
    </row>
    <row r="983" spans="5:49" x14ac:dyDescent="0.2">
      <c r="E983" s="1"/>
      <c r="F983" s="1"/>
      <c r="G983" s="1"/>
      <c r="H983" s="1"/>
      <c r="I983" s="1"/>
      <c r="J983" s="1"/>
      <c r="K983" s="1"/>
      <c r="L983" s="1"/>
      <c r="M983" s="1"/>
      <c r="AV983" s="18"/>
      <c r="AW983" s="18"/>
    </row>
    <row r="984" spans="5:49" x14ac:dyDescent="0.2">
      <c r="E984" s="1"/>
      <c r="F984" s="1"/>
      <c r="G984" s="1"/>
      <c r="H984" s="1"/>
      <c r="I984" s="1"/>
      <c r="J984" s="1"/>
      <c r="K984" s="1"/>
      <c r="L984" s="1"/>
      <c r="M984" s="1"/>
      <c r="AV984" s="18"/>
      <c r="AW984" s="18"/>
    </row>
    <row r="985" spans="5:49" x14ac:dyDescent="0.2">
      <c r="E985" s="1"/>
      <c r="F985" s="1"/>
      <c r="G985" s="1"/>
      <c r="H985" s="1"/>
      <c r="I985" s="1"/>
      <c r="J985" s="1"/>
      <c r="K985" s="1"/>
      <c r="L985" s="1"/>
      <c r="M985" s="1"/>
      <c r="AV985" s="18"/>
      <c r="AW985" s="18"/>
    </row>
    <row r="986" spans="5:49" x14ac:dyDescent="0.2">
      <c r="E986" s="1"/>
      <c r="F986" s="1"/>
      <c r="G986" s="1"/>
      <c r="H986" s="1"/>
      <c r="I986" s="1"/>
      <c r="J986" s="1"/>
      <c r="K986" s="1"/>
      <c r="L986" s="1"/>
      <c r="M986" s="1"/>
      <c r="AV986" s="18"/>
      <c r="AW986" s="18"/>
    </row>
    <row r="987" spans="5:49" x14ac:dyDescent="0.2">
      <c r="E987" s="1"/>
      <c r="F987" s="1"/>
      <c r="G987" s="1"/>
      <c r="H987" s="1"/>
      <c r="I987" s="1"/>
      <c r="J987" s="1"/>
      <c r="K987" s="1"/>
      <c r="L987" s="1"/>
      <c r="M987" s="1"/>
      <c r="AV987" s="18"/>
      <c r="AW987" s="18"/>
    </row>
    <row r="988" spans="5:49" x14ac:dyDescent="0.2">
      <c r="E988" s="1"/>
      <c r="F988" s="1"/>
      <c r="G988" s="1"/>
      <c r="H988" s="1"/>
      <c r="I988" s="1"/>
      <c r="J988" s="1"/>
      <c r="K988" s="1"/>
      <c r="L988" s="1"/>
      <c r="M988" s="1"/>
      <c r="AV988" s="18"/>
      <c r="AW988" s="18"/>
    </row>
    <row r="989" spans="5:49" x14ac:dyDescent="0.2">
      <c r="E989" s="1"/>
      <c r="F989" s="1"/>
      <c r="G989" s="1"/>
      <c r="H989" s="1"/>
      <c r="I989" s="1"/>
      <c r="J989" s="1"/>
      <c r="K989" s="1"/>
      <c r="L989" s="1"/>
      <c r="M989" s="1"/>
      <c r="AV989" s="18"/>
      <c r="AW989" s="18"/>
    </row>
    <row r="990" spans="5:49" x14ac:dyDescent="0.2">
      <c r="E990" s="1"/>
      <c r="F990" s="1"/>
      <c r="G990" s="1"/>
      <c r="H990" s="1"/>
      <c r="I990" s="1"/>
      <c r="J990" s="1"/>
      <c r="K990" s="1"/>
      <c r="L990" s="1"/>
      <c r="M990" s="1"/>
      <c r="AV990" s="18"/>
      <c r="AW990" s="18"/>
    </row>
    <row r="991" spans="5:49" x14ac:dyDescent="0.2">
      <c r="E991" s="1"/>
      <c r="F991" s="1"/>
      <c r="G991" s="1"/>
      <c r="H991" s="1"/>
      <c r="I991" s="1"/>
      <c r="J991" s="1"/>
      <c r="K991" s="1"/>
      <c r="L991" s="1"/>
      <c r="M991" s="1"/>
      <c r="AV991" s="18"/>
      <c r="AW991" s="18"/>
    </row>
    <row r="992" spans="5:49" x14ac:dyDescent="0.2">
      <c r="E992" s="1"/>
      <c r="F992" s="1"/>
      <c r="G992" s="1"/>
      <c r="H992" s="1"/>
      <c r="I992" s="1"/>
      <c r="J992" s="1"/>
      <c r="K992" s="1"/>
      <c r="L992" s="1"/>
      <c r="M992" s="1"/>
      <c r="AV992" s="18"/>
      <c r="AW992" s="18"/>
    </row>
    <row r="993" spans="5:49" x14ac:dyDescent="0.2">
      <c r="E993" s="1"/>
      <c r="F993" s="1"/>
      <c r="G993" s="1"/>
      <c r="H993" s="1"/>
      <c r="I993" s="1"/>
      <c r="J993" s="1"/>
      <c r="K993" s="1"/>
      <c r="L993" s="1"/>
      <c r="M993" s="1"/>
      <c r="AV993" s="18"/>
      <c r="AW993" s="18"/>
    </row>
    <row r="994" spans="5:49" x14ac:dyDescent="0.2">
      <c r="E994" s="1"/>
      <c r="F994" s="1"/>
      <c r="G994" s="1"/>
      <c r="H994" s="1"/>
      <c r="I994" s="1"/>
      <c r="J994" s="1"/>
      <c r="K994" s="1"/>
      <c r="L994" s="1"/>
      <c r="M994" s="1"/>
      <c r="AV994" s="18"/>
      <c r="AW994" s="18"/>
    </row>
    <row r="995" spans="5:49" x14ac:dyDescent="0.2">
      <c r="E995" s="1"/>
      <c r="F995" s="1"/>
      <c r="G995" s="1"/>
      <c r="H995" s="1"/>
      <c r="I995" s="1"/>
      <c r="J995" s="1"/>
      <c r="K995" s="1"/>
      <c r="L995" s="1"/>
      <c r="M995" s="1"/>
      <c r="AV995" s="18"/>
      <c r="AW995" s="18"/>
    </row>
    <row r="996" spans="5:49" x14ac:dyDescent="0.2">
      <c r="E996" s="1"/>
      <c r="F996" s="1"/>
      <c r="G996" s="1"/>
      <c r="H996" s="1"/>
      <c r="I996" s="1"/>
      <c r="J996" s="1"/>
      <c r="K996" s="1"/>
      <c r="L996" s="1"/>
      <c r="M996" s="1"/>
      <c r="AV996" s="18"/>
      <c r="AW996" s="18"/>
    </row>
    <row r="997" spans="5:49" x14ac:dyDescent="0.2">
      <c r="E997" s="1"/>
      <c r="F997" s="1"/>
      <c r="G997" s="1"/>
      <c r="H997" s="1"/>
      <c r="I997" s="1"/>
      <c r="J997" s="1"/>
      <c r="K997" s="1"/>
      <c r="L997" s="1"/>
      <c r="M997" s="1"/>
      <c r="AV997" s="18"/>
      <c r="AW997" s="18"/>
    </row>
    <row r="998" spans="5:49" x14ac:dyDescent="0.2">
      <c r="E998" s="1"/>
      <c r="F998" s="1"/>
      <c r="G998" s="1"/>
      <c r="H998" s="1"/>
      <c r="I998" s="1"/>
      <c r="J998" s="1"/>
      <c r="K998" s="1"/>
      <c r="L998" s="1"/>
      <c r="M998" s="1"/>
      <c r="AV998" s="18"/>
      <c r="AW998" s="18"/>
    </row>
    <row r="999" spans="5:49" x14ac:dyDescent="0.2">
      <c r="E999" s="1"/>
      <c r="F999" s="1"/>
      <c r="G999" s="1"/>
      <c r="H999" s="1"/>
      <c r="I999" s="1"/>
      <c r="J999" s="1"/>
      <c r="K999" s="1"/>
      <c r="L999" s="1"/>
      <c r="M999" s="1"/>
      <c r="AV999" s="18"/>
      <c r="AW999" s="18"/>
    </row>
    <row r="1000" spans="5:49" x14ac:dyDescent="0.2">
      <c r="E1000" s="1"/>
      <c r="F1000" s="1"/>
      <c r="G1000" s="1"/>
      <c r="H1000" s="1"/>
      <c r="I1000" s="1"/>
      <c r="J1000" s="1"/>
      <c r="K1000" s="1"/>
      <c r="L1000" s="1"/>
      <c r="M1000" s="1"/>
      <c r="AV1000" s="18"/>
      <c r="AW1000" s="18"/>
    </row>
    <row r="1001" spans="5:49" x14ac:dyDescent="0.2">
      <c r="E1001" s="1"/>
      <c r="F1001" s="1"/>
      <c r="G1001" s="1"/>
      <c r="H1001" s="1"/>
      <c r="I1001" s="1"/>
      <c r="J1001" s="1"/>
      <c r="K1001" s="1"/>
      <c r="L1001" s="1"/>
      <c r="M1001" s="1"/>
      <c r="AV1001" s="18"/>
      <c r="AW1001" s="18"/>
    </row>
    <row r="1002" spans="5:49" x14ac:dyDescent="0.2">
      <c r="E1002" s="1"/>
      <c r="F1002" s="1"/>
      <c r="G1002" s="1"/>
      <c r="H1002" s="1"/>
      <c r="I1002" s="1"/>
      <c r="J1002" s="1"/>
      <c r="K1002" s="1"/>
      <c r="L1002" s="1"/>
      <c r="M1002" s="1"/>
      <c r="AV1002" s="18"/>
      <c r="AW1002" s="18"/>
    </row>
    <row r="1003" spans="5:49" x14ac:dyDescent="0.2">
      <c r="E1003" s="1"/>
      <c r="F1003" s="1"/>
      <c r="G1003" s="1"/>
      <c r="H1003" s="1"/>
      <c r="I1003" s="1"/>
      <c r="J1003" s="1"/>
      <c r="K1003" s="1"/>
      <c r="L1003" s="1"/>
      <c r="M1003" s="1"/>
      <c r="AV1003" s="18"/>
      <c r="AW1003" s="18"/>
    </row>
    <row r="1004" spans="5:49" x14ac:dyDescent="0.2">
      <c r="E1004" s="1"/>
      <c r="F1004" s="1"/>
      <c r="G1004" s="1"/>
      <c r="H1004" s="1"/>
      <c r="I1004" s="1"/>
      <c r="J1004" s="1"/>
      <c r="K1004" s="1"/>
      <c r="L1004" s="1"/>
      <c r="M1004" s="1"/>
      <c r="AV1004" s="18"/>
      <c r="AW1004" s="18"/>
    </row>
    <row r="1005" spans="5:49" x14ac:dyDescent="0.2">
      <c r="E1005" s="1"/>
      <c r="F1005" s="1"/>
      <c r="G1005" s="1"/>
      <c r="H1005" s="1"/>
      <c r="I1005" s="1"/>
      <c r="J1005" s="1"/>
      <c r="K1005" s="1"/>
      <c r="L1005" s="1"/>
      <c r="M1005" s="1"/>
      <c r="AV1005" s="18"/>
      <c r="AW1005" s="18"/>
    </row>
    <row r="1006" spans="5:49" x14ac:dyDescent="0.2">
      <c r="E1006" s="1"/>
      <c r="F1006" s="1"/>
      <c r="G1006" s="1"/>
      <c r="H1006" s="1"/>
      <c r="I1006" s="1"/>
      <c r="J1006" s="1"/>
      <c r="K1006" s="1"/>
      <c r="L1006" s="1"/>
      <c r="M1006" s="1"/>
      <c r="AV1006" s="18"/>
      <c r="AW1006" s="18"/>
    </row>
    <row r="1007" spans="5:49" x14ac:dyDescent="0.2">
      <c r="E1007" s="1"/>
      <c r="F1007" s="1"/>
      <c r="G1007" s="1"/>
      <c r="H1007" s="1"/>
      <c r="I1007" s="1"/>
      <c r="J1007" s="1"/>
      <c r="K1007" s="1"/>
      <c r="L1007" s="1"/>
      <c r="M1007" s="1"/>
      <c r="AV1007" s="18"/>
      <c r="AW1007" s="18"/>
    </row>
    <row r="1008" spans="5:49" x14ac:dyDescent="0.2">
      <c r="E1008" s="1"/>
      <c r="F1008" s="1"/>
      <c r="G1008" s="1"/>
      <c r="H1008" s="1"/>
      <c r="I1008" s="1"/>
      <c r="J1008" s="1"/>
      <c r="K1008" s="1"/>
      <c r="L1008" s="1"/>
      <c r="M1008" s="1"/>
      <c r="AV1008" s="18"/>
      <c r="AW1008" s="18"/>
    </row>
    <row r="1009" spans="5:49" x14ac:dyDescent="0.2">
      <c r="E1009" s="1"/>
      <c r="F1009" s="1"/>
      <c r="G1009" s="1"/>
      <c r="H1009" s="1"/>
      <c r="I1009" s="1"/>
      <c r="J1009" s="1"/>
      <c r="K1009" s="1"/>
      <c r="L1009" s="1"/>
      <c r="M1009" s="1"/>
      <c r="AV1009" s="18"/>
      <c r="AW1009" s="18"/>
    </row>
    <row r="1010" spans="5:49" x14ac:dyDescent="0.2">
      <c r="E1010" s="1"/>
      <c r="F1010" s="1"/>
      <c r="G1010" s="1"/>
      <c r="H1010" s="1"/>
      <c r="I1010" s="1"/>
      <c r="J1010" s="1"/>
      <c r="K1010" s="1"/>
      <c r="L1010" s="1"/>
      <c r="M1010" s="1"/>
      <c r="AV1010" s="18"/>
      <c r="AW1010" s="18"/>
    </row>
    <row r="1011" spans="5:49" x14ac:dyDescent="0.2">
      <c r="E1011" s="1"/>
      <c r="F1011" s="1"/>
      <c r="G1011" s="1"/>
      <c r="H1011" s="1"/>
      <c r="I1011" s="1"/>
      <c r="J1011" s="1"/>
      <c r="K1011" s="1"/>
      <c r="L1011" s="1"/>
      <c r="M1011" s="1"/>
      <c r="AV1011" s="18"/>
      <c r="AW1011" s="18"/>
    </row>
    <row r="1012" spans="5:49" x14ac:dyDescent="0.2">
      <c r="E1012" s="1"/>
      <c r="F1012" s="1"/>
      <c r="G1012" s="1"/>
      <c r="H1012" s="1"/>
      <c r="I1012" s="1"/>
      <c r="J1012" s="1"/>
      <c r="K1012" s="1"/>
      <c r="L1012" s="1"/>
      <c r="M1012" s="1"/>
      <c r="AV1012" s="18"/>
      <c r="AW1012" s="18"/>
    </row>
    <row r="1013" spans="5:49" x14ac:dyDescent="0.2">
      <c r="E1013" s="1"/>
      <c r="F1013" s="1"/>
      <c r="G1013" s="1"/>
      <c r="H1013" s="1"/>
      <c r="I1013" s="1"/>
      <c r="J1013" s="1"/>
      <c r="K1013" s="1"/>
      <c r="L1013" s="1"/>
      <c r="M1013" s="1"/>
      <c r="AV1013" s="18"/>
      <c r="AW1013" s="18"/>
    </row>
    <row r="1014" spans="5:49" x14ac:dyDescent="0.2">
      <c r="E1014" s="1"/>
      <c r="F1014" s="1"/>
      <c r="G1014" s="1"/>
      <c r="H1014" s="1"/>
      <c r="I1014" s="1"/>
      <c r="J1014" s="1"/>
      <c r="K1014" s="1"/>
      <c r="L1014" s="1"/>
      <c r="M1014" s="1"/>
      <c r="AV1014" s="18"/>
      <c r="AW1014" s="18"/>
    </row>
    <row r="1015" spans="5:49" x14ac:dyDescent="0.2">
      <c r="E1015" s="1"/>
      <c r="F1015" s="1"/>
      <c r="G1015" s="1"/>
      <c r="H1015" s="1"/>
      <c r="I1015" s="1"/>
      <c r="J1015" s="1"/>
      <c r="K1015" s="1"/>
      <c r="L1015" s="1"/>
      <c r="M1015" s="1"/>
      <c r="AV1015" s="18"/>
      <c r="AW1015" s="18"/>
    </row>
    <row r="1016" spans="5:49" x14ac:dyDescent="0.2">
      <c r="E1016" s="1"/>
      <c r="F1016" s="1"/>
      <c r="G1016" s="1"/>
      <c r="H1016" s="1"/>
      <c r="I1016" s="1"/>
      <c r="J1016" s="1"/>
      <c r="K1016" s="1"/>
      <c r="L1016" s="1"/>
      <c r="M1016" s="1"/>
      <c r="AV1016" s="18"/>
      <c r="AW1016" s="18"/>
    </row>
    <row r="1017" spans="5:49" x14ac:dyDescent="0.2">
      <c r="E1017" s="1"/>
      <c r="F1017" s="1"/>
      <c r="G1017" s="1"/>
      <c r="H1017" s="1"/>
      <c r="I1017" s="1"/>
      <c r="J1017" s="1"/>
      <c r="K1017" s="1"/>
      <c r="L1017" s="1"/>
      <c r="M1017" s="1"/>
      <c r="AV1017" s="18"/>
      <c r="AW1017" s="18"/>
    </row>
    <row r="1018" spans="5:49" x14ac:dyDescent="0.2">
      <c r="E1018" s="1"/>
      <c r="F1018" s="1"/>
      <c r="G1018" s="1"/>
      <c r="H1018" s="1"/>
      <c r="I1018" s="1"/>
      <c r="J1018" s="1"/>
      <c r="K1018" s="1"/>
      <c r="L1018" s="1"/>
      <c r="M1018" s="1"/>
      <c r="AV1018" s="18"/>
      <c r="AW1018" s="18"/>
    </row>
    <row r="1019" spans="5:49" x14ac:dyDescent="0.2">
      <c r="E1019" s="1"/>
      <c r="F1019" s="1"/>
      <c r="G1019" s="1"/>
      <c r="H1019" s="1"/>
      <c r="I1019" s="1"/>
      <c r="J1019" s="1"/>
      <c r="K1019" s="1"/>
      <c r="L1019" s="1"/>
      <c r="M1019" s="1"/>
      <c r="AV1019" s="18"/>
      <c r="AW1019" s="18"/>
    </row>
    <row r="1020" spans="5:49" x14ac:dyDescent="0.2">
      <c r="E1020" s="1"/>
      <c r="F1020" s="1"/>
      <c r="G1020" s="1"/>
      <c r="H1020" s="1"/>
      <c r="I1020" s="1"/>
      <c r="J1020" s="1"/>
      <c r="K1020" s="1"/>
      <c r="L1020" s="1"/>
      <c r="M1020" s="1"/>
      <c r="AV1020" s="18"/>
      <c r="AW1020" s="18"/>
    </row>
    <row r="1021" spans="5:49" x14ac:dyDescent="0.2">
      <c r="E1021" s="1"/>
      <c r="F1021" s="1"/>
      <c r="G1021" s="1"/>
      <c r="H1021" s="1"/>
      <c r="I1021" s="1"/>
      <c r="J1021" s="1"/>
      <c r="K1021" s="1"/>
      <c r="L1021" s="1"/>
      <c r="M1021" s="1"/>
      <c r="AV1021" s="18"/>
      <c r="AW1021" s="18"/>
    </row>
    <row r="1022" spans="5:49" x14ac:dyDescent="0.2">
      <c r="E1022" s="1"/>
      <c r="F1022" s="1"/>
      <c r="G1022" s="1"/>
      <c r="H1022" s="1"/>
      <c r="I1022" s="1"/>
      <c r="J1022" s="1"/>
      <c r="K1022" s="1"/>
      <c r="L1022" s="1"/>
      <c r="M1022" s="1"/>
      <c r="AV1022" s="18"/>
      <c r="AW1022" s="18"/>
    </row>
    <row r="1023" spans="5:49" x14ac:dyDescent="0.2">
      <c r="E1023" s="1"/>
      <c r="F1023" s="1"/>
      <c r="G1023" s="1"/>
      <c r="H1023" s="1"/>
      <c r="I1023" s="1"/>
      <c r="J1023" s="1"/>
      <c r="K1023" s="1"/>
      <c r="L1023" s="1"/>
      <c r="M1023" s="1"/>
      <c r="AV1023" s="18"/>
      <c r="AW1023" s="18"/>
    </row>
    <row r="1024" spans="5:49" x14ac:dyDescent="0.2">
      <c r="E1024" s="1"/>
      <c r="F1024" s="1"/>
      <c r="G1024" s="1"/>
      <c r="H1024" s="1"/>
      <c r="I1024" s="1"/>
      <c r="J1024" s="1"/>
      <c r="K1024" s="1"/>
      <c r="L1024" s="1"/>
      <c r="M1024" s="1"/>
      <c r="AV1024" s="18"/>
      <c r="AW1024" s="18"/>
    </row>
    <row r="1025" spans="5:49" x14ac:dyDescent="0.2">
      <c r="E1025" s="1"/>
      <c r="F1025" s="1"/>
      <c r="G1025" s="1"/>
      <c r="H1025" s="1"/>
      <c r="I1025" s="1"/>
      <c r="J1025" s="1"/>
      <c r="K1025" s="1"/>
      <c r="L1025" s="1"/>
      <c r="M1025" s="1"/>
      <c r="AV1025" s="18"/>
      <c r="AW1025" s="18"/>
    </row>
    <row r="1026" spans="5:49" x14ac:dyDescent="0.2">
      <c r="E1026" s="1"/>
      <c r="F1026" s="1"/>
      <c r="G1026" s="1"/>
      <c r="H1026" s="1"/>
      <c r="I1026" s="1"/>
      <c r="J1026" s="1"/>
      <c r="K1026" s="1"/>
      <c r="L1026" s="1"/>
      <c r="M1026" s="1"/>
      <c r="AV1026" s="18"/>
      <c r="AW1026" s="18"/>
    </row>
    <row r="1027" spans="5:49" x14ac:dyDescent="0.2">
      <c r="E1027" s="1"/>
      <c r="F1027" s="1"/>
      <c r="G1027" s="1"/>
      <c r="H1027" s="1"/>
      <c r="I1027" s="1"/>
      <c r="J1027" s="1"/>
      <c r="K1027" s="1"/>
      <c r="L1027" s="1"/>
      <c r="M1027" s="1"/>
      <c r="AV1027" s="18"/>
      <c r="AW1027" s="18"/>
    </row>
    <row r="1028" spans="5:49" x14ac:dyDescent="0.2">
      <c r="E1028" s="1"/>
      <c r="F1028" s="1"/>
      <c r="G1028" s="1"/>
      <c r="H1028" s="1"/>
      <c r="I1028" s="1"/>
      <c r="J1028" s="1"/>
      <c r="K1028" s="1"/>
      <c r="L1028" s="1"/>
      <c r="M1028" s="1"/>
      <c r="AV1028" s="18"/>
      <c r="AW1028" s="18"/>
    </row>
    <row r="1029" spans="5:49" x14ac:dyDescent="0.2">
      <c r="E1029" s="1"/>
      <c r="F1029" s="1"/>
      <c r="G1029" s="1"/>
      <c r="H1029" s="1"/>
      <c r="I1029" s="1"/>
      <c r="J1029" s="1"/>
      <c r="K1029" s="1"/>
      <c r="L1029" s="1"/>
      <c r="M1029" s="1"/>
      <c r="AV1029" s="18"/>
      <c r="AW1029" s="18"/>
    </row>
    <row r="1030" spans="5:49" x14ac:dyDescent="0.2">
      <c r="E1030" s="1"/>
      <c r="F1030" s="1"/>
      <c r="G1030" s="1"/>
      <c r="H1030" s="1"/>
      <c r="I1030" s="1"/>
      <c r="J1030" s="1"/>
      <c r="K1030" s="1"/>
      <c r="L1030" s="1"/>
      <c r="M1030" s="1"/>
      <c r="AV1030" s="18"/>
      <c r="AW1030" s="18"/>
    </row>
    <row r="1031" spans="5:49" x14ac:dyDescent="0.2">
      <c r="E1031" s="1"/>
      <c r="F1031" s="1"/>
      <c r="G1031" s="1"/>
      <c r="H1031" s="1"/>
      <c r="I1031" s="1"/>
      <c r="J1031" s="1"/>
      <c r="K1031" s="1"/>
      <c r="L1031" s="1"/>
      <c r="M1031" s="1"/>
      <c r="AV1031" s="18"/>
      <c r="AW1031" s="18"/>
    </row>
    <row r="1032" spans="5:49" x14ac:dyDescent="0.2">
      <c r="E1032" s="1"/>
      <c r="F1032" s="1"/>
      <c r="G1032" s="1"/>
      <c r="H1032" s="1"/>
      <c r="I1032" s="1"/>
      <c r="J1032" s="1"/>
      <c r="K1032" s="1"/>
      <c r="L1032" s="1"/>
      <c r="M1032" s="1"/>
      <c r="AV1032" s="18"/>
      <c r="AW1032" s="18"/>
    </row>
    <row r="1033" spans="5:49" x14ac:dyDescent="0.2">
      <c r="E1033" s="1"/>
      <c r="F1033" s="1"/>
      <c r="G1033" s="1"/>
      <c r="H1033" s="1"/>
      <c r="I1033" s="1"/>
      <c r="J1033" s="1"/>
      <c r="K1033" s="1"/>
      <c r="L1033" s="1"/>
      <c r="M1033" s="1"/>
      <c r="AV1033" s="18"/>
      <c r="AW1033" s="18"/>
    </row>
    <row r="1034" spans="5:49" x14ac:dyDescent="0.2">
      <c r="E1034" s="1"/>
      <c r="F1034" s="1"/>
      <c r="G1034" s="1"/>
      <c r="H1034" s="1"/>
      <c r="I1034" s="1"/>
      <c r="J1034" s="1"/>
      <c r="K1034" s="1"/>
      <c r="L1034" s="1"/>
      <c r="M1034" s="1"/>
      <c r="AV1034" s="18"/>
      <c r="AW1034" s="18"/>
    </row>
    <row r="1035" spans="5:49" x14ac:dyDescent="0.2">
      <c r="E1035" s="1"/>
      <c r="F1035" s="1"/>
      <c r="G1035" s="1"/>
      <c r="H1035" s="1"/>
      <c r="I1035" s="1"/>
      <c r="J1035" s="1"/>
      <c r="K1035" s="1"/>
      <c r="L1035" s="1"/>
      <c r="M1035" s="1"/>
      <c r="AV1035" s="18"/>
      <c r="AW1035" s="18"/>
    </row>
    <row r="1036" spans="5:49" x14ac:dyDescent="0.2">
      <c r="E1036" s="1"/>
      <c r="F1036" s="1"/>
      <c r="G1036" s="1"/>
      <c r="H1036" s="1"/>
      <c r="I1036" s="1"/>
      <c r="J1036" s="1"/>
      <c r="K1036" s="1"/>
      <c r="L1036" s="1"/>
      <c r="M1036" s="1"/>
      <c r="AV1036" s="18"/>
      <c r="AW1036" s="18"/>
    </row>
    <row r="1037" spans="5:49" x14ac:dyDescent="0.2">
      <c r="E1037" s="1"/>
      <c r="F1037" s="1"/>
      <c r="G1037" s="1"/>
      <c r="H1037" s="1"/>
      <c r="I1037" s="1"/>
      <c r="J1037" s="1"/>
      <c r="K1037" s="1"/>
      <c r="L1037" s="1"/>
      <c r="M1037" s="1"/>
      <c r="AV1037" s="18"/>
      <c r="AW1037" s="18"/>
    </row>
    <row r="1038" spans="5:49" x14ac:dyDescent="0.2">
      <c r="E1038" s="1"/>
      <c r="F1038" s="1"/>
      <c r="G1038" s="1"/>
      <c r="H1038" s="1"/>
      <c r="I1038" s="1"/>
      <c r="J1038" s="1"/>
      <c r="K1038" s="1"/>
      <c r="L1038" s="1"/>
      <c r="M1038" s="1"/>
      <c r="AV1038" s="18"/>
      <c r="AW1038" s="18"/>
    </row>
    <row r="1039" spans="5:49" x14ac:dyDescent="0.2">
      <c r="E1039" s="1"/>
      <c r="F1039" s="1"/>
      <c r="G1039" s="1"/>
      <c r="H1039" s="1"/>
      <c r="I1039" s="1"/>
      <c r="J1039" s="1"/>
      <c r="K1039" s="1"/>
      <c r="L1039" s="1"/>
      <c r="M1039" s="1"/>
      <c r="AV1039" s="18"/>
      <c r="AW1039" s="18"/>
    </row>
    <row r="1040" spans="5:49" x14ac:dyDescent="0.2">
      <c r="E1040" s="1"/>
      <c r="F1040" s="1"/>
      <c r="G1040" s="1"/>
      <c r="H1040" s="1"/>
      <c r="I1040" s="1"/>
      <c r="J1040" s="1"/>
      <c r="K1040" s="1"/>
      <c r="L1040" s="1"/>
      <c r="M1040" s="1"/>
      <c r="AV1040" s="18"/>
      <c r="AW1040" s="18"/>
    </row>
    <row r="1041" spans="5:49" x14ac:dyDescent="0.2">
      <c r="E1041" s="1"/>
      <c r="F1041" s="1"/>
      <c r="G1041" s="1"/>
      <c r="H1041" s="1"/>
      <c r="I1041" s="1"/>
      <c r="J1041" s="1"/>
      <c r="K1041" s="1"/>
      <c r="L1041" s="1"/>
      <c r="M1041" s="1"/>
      <c r="AV1041" s="18"/>
      <c r="AW1041" s="18"/>
    </row>
    <row r="1042" spans="5:49" x14ac:dyDescent="0.2">
      <c r="E1042" s="1"/>
      <c r="F1042" s="1"/>
      <c r="G1042" s="1"/>
      <c r="H1042" s="1"/>
      <c r="I1042" s="1"/>
      <c r="J1042" s="1"/>
      <c r="K1042" s="1"/>
      <c r="L1042" s="1"/>
      <c r="M1042" s="1"/>
      <c r="AV1042" s="18"/>
      <c r="AW1042" s="18"/>
    </row>
    <row r="1043" spans="5:49" x14ac:dyDescent="0.2">
      <c r="E1043" s="1"/>
      <c r="F1043" s="1"/>
      <c r="G1043" s="1"/>
      <c r="H1043" s="1"/>
      <c r="I1043" s="1"/>
      <c r="J1043" s="1"/>
      <c r="K1043" s="1"/>
      <c r="L1043" s="1"/>
      <c r="M1043" s="1"/>
      <c r="AV1043" s="18"/>
      <c r="AW1043" s="18"/>
    </row>
    <row r="1044" spans="5:49" x14ac:dyDescent="0.2">
      <c r="E1044" s="1"/>
      <c r="F1044" s="1"/>
      <c r="G1044" s="1"/>
      <c r="H1044" s="1"/>
      <c r="I1044" s="1"/>
      <c r="J1044" s="1"/>
      <c r="K1044" s="1"/>
      <c r="L1044" s="1"/>
      <c r="M1044" s="1"/>
      <c r="AV1044" s="18"/>
      <c r="AW1044" s="18"/>
    </row>
    <row r="1045" spans="5:49" x14ac:dyDescent="0.2">
      <c r="E1045" s="1"/>
      <c r="F1045" s="1"/>
      <c r="G1045" s="1"/>
      <c r="H1045" s="1"/>
      <c r="I1045" s="1"/>
      <c r="J1045" s="1"/>
      <c r="K1045" s="1"/>
      <c r="L1045" s="1"/>
      <c r="M1045" s="1"/>
      <c r="AV1045" s="18"/>
      <c r="AW1045" s="18"/>
    </row>
    <row r="1046" spans="5:49" x14ac:dyDescent="0.2">
      <c r="E1046" s="1"/>
      <c r="F1046" s="1"/>
      <c r="G1046" s="1"/>
      <c r="H1046" s="1"/>
      <c r="I1046" s="1"/>
      <c r="J1046" s="1"/>
      <c r="K1046" s="1"/>
      <c r="L1046" s="1"/>
      <c r="M1046" s="1"/>
      <c r="AV1046" s="18"/>
      <c r="AW1046" s="18"/>
    </row>
    <row r="1047" spans="5:49" x14ac:dyDescent="0.2">
      <c r="E1047" s="1"/>
      <c r="F1047" s="1"/>
      <c r="G1047" s="1"/>
      <c r="H1047" s="1"/>
      <c r="I1047" s="1"/>
      <c r="J1047" s="1"/>
      <c r="K1047" s="1"/>
      <c r="L1047" s="1"/>
      <c r="M1047" s="1"/>
      <c r="AV1047" s="18"/>
      <c r="AW1047" s="18"/>
    </row>
    <row r="1048" spans="5:49" x14ac:dyDescent="0.2">
      <c r="E1048" s="1"/>
      <c r="F1048" s="1"/>
      <c r="G1048" s="1"/>
      <c r="H1048" s="1"/>
      <c r="I1048" s="1"/>
      <c r="J1048" s="1"/>
      <c r="K1048" s="1"/>
      <c r="L1048" s="1"/>
      <c r="M1048" s="1"/>
      <c r="AV1048" s="18"/>
      <c r="AW1048" s="18"/>
    </row>
    <row r="1049" spans="5:49" x14ac:dyDescent="0.2">
      <c r="E1049" s="1"/>
      <c r="F1049" s="1"/>
      <c r="G1049" s="1"/>
      <c r="H1049" s="1"/>
      <c r="I1049" s="1"/>
      <c r="J1049" s="1"/>
      <c r="K1049" s="1"/>
      <c r="L1049" s="1"/>
      <c r="M1049" s="1"/>
      <c r="AV1049" s="18"/>
      <c r="AW1049" s="18"/>
    </row>
    <row r="1050" spans="5:49" x14ac:dyDescent="0.2">
      <c r="E1050" s="1"/>
      <c r="F1050" s="1"/>
      <c r="G1050" s="1"/>
      <c r="H1050" s="1"/>
      <c r="I1050" s="1"/>
      <c r="J1050" s="1"/>
      <c r="K1050" s="1"/>
      <c r="L1050" s="1"/>
      <c r="M1050" s="1"/>
      <c r="AV1050" s="18"/>
      <c r="AW1050" s="18"/>
    </row>
    <row r="1051" spans="5:49" x14ac:dyDescent="0.2">
      <c r="E1051" s="1"/>
      <c r="F1051" s="1"/>
      <c r="G1051" s="1"/>
      <c r="H1051" s="1"/>
      <c r="I1051" s="1"/>
      <c r="J1051" s="1"/>
      <c r="K1051" s="1"/>
      <c r="L1051" s="1"/>
      <c r="M1051" s="1"/>
      <c r="AV1051" s="18"/>
      <c r="AW1051" s="18"/>
    </row>
    <row r="1052" spans="5:49" x14ac:dyDescent="0.2">
      <c r="E1052" s="1"/>
      <c r="F1052" s="1"/>
      <c r="G1052" s="1"/>
      <c r="H1052" s="1"/>
      <c r="I1052" s="1"/>
      <c r="J1052" s="1"/>
      <c r="K1052" s="1"/>
      <c r="L1052" s="1"/>
      <c r="M1052" s="1"/>
      <c r="AV1052" s="18"/>
      <c r="AW1052" s="18"/>
    </row>
    <row r="1053" spans="5:49" x14ac:dyDescent="0.2">
      <c r="E1053" s="1"/>
      <c r="F1053" s="1"/>
      <c r="G1053" s="1"/>
      <c r="H1053" s="1"/>
      <c r="I1053" s="1"/>
      <c r="J1053" s="1"/>
      <c r="K1053" s="1"/>
      <c r="L1053" s="1"/>
      <c r="M1053" s="1"/>
      <c r="AV1053" s="18"/>
      <c r="AW1053" s="18"/>
    </row>
    <row r="1054" spans="5:49" x14ac:dyDescent="0.2">
      <c r="E1054" s="1"/>
      <c r="F1054" s="1"/>
      <c r="G1054" s="1"/>
      <c r="H1054" s="1"/>
      <c r="I1054" s="1"/>
      <c r="J1054" s="1"/>
      <c r="K1054" s="1"/>
      <c r="L1054" s="1"/>
      <c r="M1054" s="1"/>
      <c r="AV1054" s="18"/>
      <c r="AW1054" s="18"/>
    </row>
    <row r="1055" spans="5:49" x14ac:dyDescent="0.2">
      <c r="E1055" s="1"/>
      <c r="F1055" s="1"/>
      <c r="G1055" s="1"/>
      <c r="H1055" s="1"/>
      <c r="I1055" s="1"/>
      <c r="J1055" s="1"/>
      <c r="K1055" s="1"/>
      <c r="L1055" s="1"/>
      <c r="M1055" s="1"/>
      <c r="AV1055" s="18"/>
      <c r="AW1055" s="18"/>
    </row>
    <row r="1056" spans="5:49" x14ac:dyDescent="0.2">
      <c r="E1056" s="1"/>
      <c r="F1056" s="1"/>
      <c r="G1056" s="1"/>
      <c r="H1056" s="1"/>
      <c r="I1056" s="1"/>
      <c r="J1056" s="1"/>
      <c r="K1056" s="1"/>
      <c r="L1056" s="1"/>
      <c r="M1056" s="1"/>
      <c r="AV1056" s="18"/>
      <c r="AW1056" s="18"/>
    </row>
    <row r="1057" spans="5:49" x14ac:dyDescent="0.2">
      <c r="E1057" s="1"/>
      <c r="F1057" s="1"/>
      <c r="G1057" s="1"/>
      <c r="H1057" s="1"/>
      <c r="I1057" s="1"/>
      <c r="J1057" s="1"/>
      <c r="K1057" s="1"/>
      <c r="L1057" s="1"/>
      <c r="M1057" s="1"/>
      <c r="AV1057" s="18"/>
      <c r="AW1057" s="18"/>
    </row>
    <row r="1058" spans="5:49" x14ac:dyDescent="0.2">
      <c r="E1058" s="1"/>
      <c r="F1058" s="1"/>
      <c r="G1058" s="1"/>
      <c r="H1058" s="1"/>
      <c r="I1058" s="1"/>
      <c r="J1058" s="1"/>
      <c r="K1058" s="1"/>
      <c r="L1058" s="1"/>
      <c r="M1058" s="1"/>
      <c r="AV1058" s="18"/>
      <c r="AW1058" s="18"/>
    </row>
    <row r="1059" spans="5:49" x14ac:dyDescent="0.2">
      <c r="E1059" s="1"/>
      <c r="F1059" s="1"/>
      <c r="G1059" s="1"/>
      <c r="H1059" s="1"/>
      <c r="I1059" s="1"/>
      <c r="J1059" s="1"/>
      <c r="K1059" s="1"/>
      <c r="L1059" s="1"/>
      <c r="M1059" s="1"/>
      <c r="AV1059" s="18"/>
      <c r="AW1059" s="18"/>
    </row>
    <row r="1060" spans="5:49" x14ac:dyDescent="0.2">
      <c r="E1060" s="1"/>
      <c r="F1060" s="1"/>
      <c r="G1060" s="1"/>
      <c r="H1060" s="1"/>
      <c r="I1060" s="1"/>
      <c r="J1060" s="1"/>
      <c r="K1060" s="1"/>
      <c r="L1060" s="1"/>
      <c r="M1060" s="1"/>
      <c r="AV1060" s="18"/>
      <c r="AW1060" s="18"/>
    </row>
    <row r="1061" spans="5:49" x14ac:dyDescent="0.2">
      <c r="E1061" s="1"/>
      <c r="F1061" s="1"/>
      <c r="G1061" s="1"/>
      <c r="H1061" s="1"/>
      <c r="I1061" s="1"/>
      <c r="J1061" s="1"/>
      <c r="K1061" s="1"/>
      <c r="L1061" s="1"/>
      <c r="M1061" s="1"/>
      <c r="AV1061" s="18"/>
      <c r="AW1061" s="18"/>
    </row>
    <row r="1062" spans="5:49" x14ac:dyDescent="0.2">
      <c r="E1062" s="1"/>
      <c r="F1062" s="1"/>
      <c r="G1062" s="1"/>
      <c r="H1062" s="1"/>
      <c r="I1062" s="1"/>
      <c r="J1062" s="1"/>
      <c r="K1062" s="1"/>
      <c r="L1062" s="1"/>
      <c r="M1062" s="1"/>
      <c r="AV1062" s="18"/>
      <c r="AW1062" s="18"/>
    </row>
    <row r="1063" spans="5:49" x14ac:dyDescent="0.2">
      <c r="E1063" s="1"/>
      <c r="F1063" s="1"/>
      <c r="G1063" s="1"/>
      <c r="H1063" s="1"/>
      <c r="I1063" s="1"/>
      <c r="J1063" s="1"/>
      <c r="K1063" s="1"/>
      <c r="L1063" s="1"/>
      <c r="M1063" s="1"/>
      <c r="AV1063" s="18"/>
      <c r="AW1063" s="18"/>
    </row>
    <row r="1064" spans="5:49" x14ac:dyDescent="0.2">
      <c r="E1064" s="1"/>
      <c r="F1064" s="1"/>
      <c r="G1064" s="1"/>
      <c r="H1064" s="1"/>
      <c r="I1064" s="1"/>
      <c r="J1064" s="1"/>
      <c r="K1064" s="1"/>
      <c r="L1064" s="1"/>
      <c r="M1064" s="1"/>
      <c r="AV1064" s="18"/>
      <c r="AW1064" s="18"/>
    </row>
    <row r="1065" spans="5:49" x14ac:dyDescent="0.2">
      <c r="E1065" s="1"/>
      <c r="F1065" s="1"/>
      <c r="G1065" s="1"/>
      <c r="H1065" s="1"/>
      <c r="I1065" s="1"/>
      <c r="J1065" s="1"/>
      <c r="K1065" s="1"/>
      <c r="L1065" s="1"/>
      <c r="M1065" s="1"/>
      <c r="AV1065" s="18"/>
      <c r="AW1065" s="18"/>
    </row>
    <row r="1066" spans="5:49" x14ac:dyDescent="0.2">
      <c r="E1066" s="1"/>
      <c r="F1066" s="1"/>
      <c r="G1066" s="1"/>
      <c r="H1066" s="1"/>
      <c r="I1066" s="1"/>
      <c r="J1066" s="1"/>
      <c r="K1066" s="1"/>
      <c r="L1066" s="1"/>
      <c r="M1066" s="1"/>
      <c r="AV1066" s="18"/>
      <c r="AW1066" s="18"/>
    </row>
    <row r="1067" spans="5:49" x14ac:dyDescent="0.2">
      <c r="E1067" s="1"/>
      <c r="F1067" s="1"/>
      <c r="G1067" s="1"/>
      <c r="H1067" s="1"/>
      <c r="I1067" s="1"/>
      <c r="J1067" s="1"/>
      <c r="K1067" s="1"/>
      <c r="L1067" s="1"/>
      <c r="M1067" s="1"/>
      <c r="AV1067" s="18"/>
      <c r="AW1067" s="18"/>
    </row>
    <row r="1068" spans="5:49" x14ac:dyDescent="0.2">
      <c r="E1068" s="1"/>
      <c r="F1068" s="1"/>
      <c r="G1068" s="1"/>
      <c r="H1068" s="1"/>
      <c r="I1068" s="1"/>
      <c r="J1068" s="1"/>
      <c r="K1068" s="1"/>
      <c r="L1068" s="1"/>
      <c r="M1068" s="1"/>
      <c r="AV1068" s="18"/>
      <c r="AW1068" s="18"/>
    </row>
    <row r="1069" spans="5:49" x14ac:dyDescent="0.2">
      <c r="E1069" s="1"/>
      <c r="F1069" s="1"/>
      <c r="G1069" s="1"/>
      <c r="H1069" s="1"/>
      <c r="I1069" s="1"/>
      <c r="J1069" s="1"/>
      <c r="K1069" s="1"/>
      <c r="L1069" s="1"/>
      <c r="M1069" s="1"/>
      <c r="AV1069" s="18"/>
      <c r="AW1069" s="18"/>
    </row>
    <row r="1070" spans="5:49" x14ac:dyDescent="0.2">
      <c r="E1070" s="1"/>
      <c r="F1070" s="1"/>
      <c r="G1070" s="1"/>
      <c r="H1070" s="1"/>
      <c r="I1070" s="1"/>
      <c r="J1070" s="1"/>
      <c r="K1070" s="1"/>
      <c r="L1070" s="1"/>
      <c r="M1070" s="1"/>
      <c r="AV1070" s="18"/>
      <c r="AW1070" s="18"/>
    </row>
    <row r="1071" spans="5:49" x14ac:dyDescent="0.2">
      <c r="E1071" s="1"/>
      <c r="F1071" s="1"/>
      <c r="G1071" s="1"/>
      <c r="H1071" s="1"/>
      <c r="I1071" s="1"/>
      <c r="J1071" s="1"/>
      <c r="K1071" s="1"/>
      <c r="L1071" s="1"/>
      <c r="M1071" s="1"/>
      <c r="AV1071" s="18"/>
      <c r="AW1071" s="18"/>
    </row>
    <row r="1072" spans="5:49" x14ac:dyDescent="0.2">
      <c r="E1072" s="1"/>
      <c r="F1072" s="1"/>
      <c r="G1072" s="1"/>
      <c r="H1072" s="1"/>
      <c r="I1072" s="1"/>
      <c r="J1072" s="1"/>
      <c r="K1072" s="1"/>
      <c r="L1072" s="1"/>
      <c r="M1072" s="1"/>
      <c r="AV1072" s="18"/>
      <c r="AW1072" s="18"/>
    </row>
    <row r="1073" spans="5:49" x14ac:dyDescent="0.2">
      <c r="E1073" s="1"/>
      <c r="F1073" s="1"/>
      <c r="G1073" s="1"/>
      <c r="H1073" s="1"/>
      <c r="I1073" s="1"/>
      <c r="J1073" s="1"/>
      <c r="K1073" s="1"/>
      <c r="L1073" s="1"/>
      <c r="M1073" s="1"/>
      <c r="AV1073" s="18"/>
      <c r="AW1073" s="18"/>
    </row>
    <row r="1074" spans="5:49" x14ac:dyDescent="0.2">
      <c r="E1074" s="1"/>
      <c r="F1074" s="1"/>
      <c r="G1074" s="1"/>
      <c r="H1074" s="1"/>
      <c r="I1074" s="1"/>
      <c r="J1074" s="1"/>
      <c r="K1074" s="1"/>
      <c r="L1074" s="1"/>
      <c r="M1074" s="1"/>
      <c r="AV1074" s="18"/>
      <c r="AW1074" s="18"/>
    </row>
    <row r="1075" spans="5:49" x14ac:dyDescent="0.2">
      <c r="E1075" s="1"/>
      <c r="F1075" s="1"/>
      <c r="G1075" s="1"/>
      <c r="H1075" s="1"/>
      <c r="I1075" s="1"/>
      <c r="J1075" s="1"/>
      <c r="K1075" s="1"/>
      <c r="L1075" s="1"/>
      <c r="M1075" s="1"/>
      <c r="AV1075" s="18"/>
      <c r="AW1075" s="18"/>
    </row>
    <row r="1076" spans="5:49" x14ac:dyDescent="0.2">
      <c r="E1076" s="1"/>
      <c r="F1076" s="1"/>
      <c r="G1076" s="1"/>
      <c r="H1076" s="1"/>
      <c r="I1076" s="1"/>
      <c r="J1076" s="1"/>
      <c r="K1076" s="1"/>
      <c r="L1076" s="1"/>
      <c r="M1076" s="1"/>
      <c r="AV1076" s="18"/>
      <c r="AW1076" s="18"/>
    </row>
    <row r="1077" spans="5:49" x14ac:dyDescent="0.2">
      <c r="E1077" s="1"/>
      <c r="F1077" s="1"/>
      <c r="G1077" s="1"/>
      <c r="H1077" s="1"/>
      <c r="I1077" s="1"/>
      <c r="J1077" s="1"/>
      <c r="K1077" s="1"/>
      <c r="L1077" s="1"/>
      <c r="M1077" s="1"/>
      <c r="AV1077" s="18"/>
      <c r="AW1077" s="18"/>
    </row>
    <row r="1078" spans="5:49" x14ac:dyDescent="0.2">
      <c r="E1078" s="1"/>
      <c r="F1078" s="1"/>
      <c r="G1078" s="1"/>
      <c r="H1078" s="1"/>
      <c r="I1078" s="1"/>
      <c r="J1078" s="1"/>
      <c r="K1078" s="1"/>
      <c r="L1078" s="1"/>
      <c r="M1078" s="1"/>
      <c r="AV1078" s="18"/>
      <c r="AW1078" s="18"/>
    </row>
    <row r="1079" spans="5:49" x14ac:dyDescent="0.2">
      <c r="E1079" s="1"/>
      <c r="F1079" s="1"/>
      <c r="G1079" s="1"/>
      <c r="H1079" s="1"/>
      <c r="I1079" s="1"/>
      <c r="J1079" s="1"/>
      <c r="K1079" s="1"/>
      <c r="L1079" s="1"/>
      <c r="M1079" s="1"/>
      <c r="AV1079" s="18"/>
      <c r="AW1079" s="18"/>
    </row>
    <row r="1080" spans="5:49" x14ac:dyDescent="0.2">
      <c r="E1080" s="1"/>
      <c r="F1080" s="1"/>
      <c r="G1080" s="1"/>
      <c r="H1080" s="1"/>
      <c r="I1080" s="1"/>
      <c r="J1080" s="1"/>
      <c r="K1080" s="1"/>
      <c r="L1080" s="1"/>
      <c r="M1080" s="1"/>
      <c r="AV1080" s="18"/>
      <c r="AW1080" s="18"/>
    </row>
    <row r="1081" spans="5:49" x14ac:dyDescent="0.2">
      <c r="E1081" s="1"/>
      <c r="F1081" s="1"/>
      <c r="G1081" s="1"/>
      <c r="H1081" s="1"/>
      <c r="I1081" s="1"/>
      <c r="J1081" s="1"/>
      <c r="K1081" s="1"/>
      <c r="L1081" s="1"/>
      <c r="M1081" s="1"/>
      <c r="AV1081" s="18"/>
      <c r="AW1081" s="18"/>
    </row>
    <row r="1082" spans="5:49" x14ac:dyDescent="0.2">
      <c r="E1082" s="1"/>
      <c r="F1082" s="1"/>
      <c r="G1082" s="1"/>
      <c r="H1082" s="1"/>
      <c r="I1082" s="1"/>
      <c r="J1082" s="1"/>
      <c r="K1082" s="1"/>
      <c r="L1082" s="1"/>
      <c r="M1082" s="1"/>
      <c r="AV1082" s="18"/>
      <c r="AW1082" s="18"/>
    </row>
    <row r="1083" spans="5:49" x14ac:dyDescent="0.2">
      <c r="E1083" s="1"/>
      <c r="F1083" s="1"/>
      <c r="G1083" s="1"/>
      <c r="H1083" s="1"/>
      <c r="I1083" s="1"/>
      <c r="J1083" s="1"/>
      <c r="K1083" s="1"/>
      <c r="L1083" s="1"/>
      <c r="M1083" s="1"/>
      <c r="AV1083" s="18"/>
      <c r="AW1083" s="18"/>
    </row>
    <row r="1084" spans="5:49" x14ac:dyDescent="0.2">
      <c r="E1084" s="1"/>
      <c r="F1084" s="1"/>
      <c r="G1084" s="1"/>
      <c r="H1084" s="1"/>
      <c r="I1084" s="1"/>
      <c r="J1084" s="1"/>
      <c r="K1084" s="1"/>
      <c r="L1084" s="1"/>
      <c r="M1084" s="1"/>
      <c r="AV1084" s="18"/>
      <c r="AW1084" s="18"/>
    </row>
    <row r="1085" spans="5:49" x14ac:dyDescent="0.2">
      <c r="E1085" s="1"/>
      <c r="F1085" s="1"/>
      <c r="G1085" s="1"/>
      <c r="H1085" s="1"/>
      <c r="I1085" s="1"/>
      <c r="J1085" s="1"/>
      <c r="K1085" s="1"/>
      <c r="L1085" s="1"/>
      <c r="M1085" s="1"/>
      <c r="AV1085" s="18"/>
      <c r="AW1085" s="18"/>
    </row>
    <row r="1086" spans="5:49" x14ac:dyDescent="0.2">
      <c r="E1086" s="1"/>
      <c r="F1086" s="1"/>
      <c r="G1086" s="1"/>
      <c r="H1086" s="1"/>
      <c r="I1086" s="1"/>
      <c r="J1086" s="1"/>
      <c r="K1086" s="1"/>
      <c r="L1086" s="1"/>
      <c r="M1086" s="1"/>
      <c r="AV1086" s="18"/>
      <c r="AW1086" s="18"/>
    </row>
    <row r="1087" spans="5:49" x14ac:dyDescent="0.2">
      <c r="E1087" s="1"/>
      <c r="F1087" s="1"/>
      <c r="G1087" s="1"/>
      <c r="H1087" s="1"/>
      <c r="I1087" s="1"/>
      <c r="J1087" s="1"/>
      <c r="K1087" s="1"/>
      <c r="L1087" s="1"/>
      <c r="M1087" s="1"/>
      <c r="AV1087" s="18"/>
      <c r="AW1087" s="18"/>
    </row>
    <row r="1088" spans="5:49" x14ac:dyDescent="0.2">
      <c r="E1088" s="1"/>
      <c r="F1088" s="1"/>
      <c r="G1088" s="1"/>
      <c r="H1088" s="1"/>
      <c r="I1088" s="1"/>
      <c r="J1088" s="1"/>
      <c r="K1088" s="1"/>
      <c r="L1088" s="1"/>
      <c r="M1088" s="1"/>
      <c r="AV1088" s="18"/>
      <c r="AW1088" s="18"/>
    </row>
    <row r="1089" spans="5:49" x14ac:dyDescent="0.2">
      <c r="E1089" s="1"/>
      <c r="F1089" s="1"/>
      <c r="G1089" s="1"/>
      <c r="H1089" s="1"/>
      <c r="I1089" s="1"/>
      <c r="J1089" s="1"/>
      <c r="K1089" s="1"/>
      <c r="L1089" s="1"/>
      <c r="M1089" s="1"/>
      <c r="AV1089" s="18"/>
      <c r="AW1089" s="18"/>
    </row>
    <row r="1090" spans="5:49" x14ac:dyDescent="0.2">
      <c r="E1090" s="1"/>
      <c r="F1090" s="1"/>
      <c r="G1090" s="1"/>
      <c r="H1090" s="1"/>
      <c r="I1090" s="1"/>
      <c r="J1090" s="1"/>
      <c r="K1090" s="1"/>
      <c r="L1090" s="1"/>
      <c r="M1090" s="1"/>
      <c r="AV1090" s="18"/>
      <c r="AW1090" s="18"/>
    </row>
    <row r="1091" spans="5:49" x14ac:dyDescent="0.2">
      <c r="E1091" s="1"/>
      <c r="F1091" s="1"/>
      <c r="G1091" s="1"/>
      <c r="H1091" s="1"/>
      <c r="I1091" s="1"/>
      <c r="J1091" s="1"/>
      <c r="K1091" s="1"/>
      <c r="L1091" s="1"/>
      <c r="M1091" s="1"/>
      <c r="AV1091" s="18"/>
      <c r="AW1091" s="18"/>
    </row>
    <row r="1092" spans="5:49" x14ac:dyDescent="0.2">
      <c r="E1092" s="1"/>
      <c r="F1092" s="1"/>
      <c r="G1092" s="1"/>
      <c r="H1092" s="1"/>
      <c r="I1092" s="1"/>
      <c r="J1092" s="1"/>
      <c r="K1092" s="1"/>
      <c r="L1092" s="1"/>
      <c r="M1092" s="1"/>
      <c r="AV1092" s="18"/>
      <c r="AW1092" s="18"/>
    </row>
    <row r="1093" spans="5:49" x14ac:dyDescent="0.2">
      <c r="E1093" s="1"/>
      <c r="F1093" s="1"/>
      <c r="G1093" s="1"/>
      <c r="H1093" s="1"/>
      <c r="I1093" s="1"/>
      <c r="J1093" s="1"/>
      <c r="K1093" s="1"/>
      <c r="L1093" s="1"/>
      <c r="M1093" s="1"/>
      <c r="AV1093" s="18"/>
      <c r="AW1093" s="18"/>
    </row>
    <row r="1094" spans="5:49" x14ac:dyDescent="0.2">
      <c r="E1094" s="1"/>
      <c r="F1094" s="1"/>
      <c r="G1094" s="1"/>
      <c r="H1094" s="1"/>
      <c r="I1094" s="1"/>
      <c r="J1094" s="1"/>
      <c r="K1094" s="1"/>
      <c r="L1094" s="1"/>
      <c r="M1094" s="1"/>
      <c r="AV1094" s="18"/>
      <c r="AW1094" s="18"/>
    </row>
    <row r="1095" spans="5:49" x14ac:dyDescent="0.2">
      <c r="E1095" s="1"/>
      <c r="F1095" s="1"/>
      <c r="G1095" s="1"/>
      <c r="H1095" s="1"/>
      <c r="I1095" s="1"/>
      <c r="J1095" s="1"/>
      <c r="K1095" s="1"/>
      <c r="L1095" s="1"/>
      <c r="M1095" s="1"/>
      <c r="AV1095" s="18"/>
      <c r="AW1095" s="18"/>
    </row>
    <row r="1096" spans="5:49" x14ac:dyDescent="0.2">
      <c r="E1096" s="1"/>
      <c r="F1096" s="1"/>
      <c r="G1096" s="1"/>
      <c r="H1096" s="1"/>
      <c r="I1096" s="1"/>
      <c r="J1096" s="1"/>
      <c r="K1096" s="1"/>
      <c r="L1096" s="1"/>
      <c r="M1096" s="1"/>
      <c r="AV1096" s="18"/>
      <c r="AW1096" s="18"/>
    </row>
    <row r="1097" spans="5:49" x14ac:dyDescent="0.2">
      <c r="E1097" s="1"/>
      <c r="F1097" s="1"/>
      <c r="G1097" s="1"/>
      <c r="H1097" s="1"/>
      <c r="I1097" s="1"/>
      <c r="J1097" s="1"/>
      <c r="K1097" s="1"/>
      <c r="L1097" s="1"/>
      <c r="M1097" s="1"/>
      <c r="AV1097" s="18"/>
      <c r="AW1097" s="18"/>
    </row>
    <row r="1098" spans="5:49" x14ac:dyDescent="0.2">
      <c r="E1098" s="1"/>
      <c r="F1098" s="1"/>
      <c r="G1098" s="1"/>
      <c r="H1098" s="1"/>
      <c r="I1098" s="1"/>
      <c r="J1098" s="1"/>
      <c r="K1098" s="1"/>
      <c r="L1098" s="1"/>
      <c r="M1098" s="1"/>
      <c r="AV1098" s="18"/>
      <c r="AW1098" s="18"/>
    </row>
    <row r="1099" spans="5:49" x14ac:dyDescent="0.2">
      <c r="E1099" s="1"/>
      <c r="F1099" s="1"/>
      <c r="G1099" s="1"/>
      <c r="H1099" s="1"/>
      <c r="I1099" s="1"/>
      <c r="J1099" s="1"/>
      <c r="K1099" s="1"/>
      <c r="L1099" s="1"/>
      <c r="M1099" s="1"/>
      <c r="AV1099" s="18"/>
      <c r="AW1099" s="18"/>
    </row>
    <row r="1100" spans="5:49" x14ac:dyDescent="0.2">
      <c r="E1100" s="1"/>
      <c r="F1100" s="1"/>
      <c r="G1100" s="1"/>
      <c r="H1100" s="1"/>
      <c r="I1100" s="1"/>
      <c r="J1100" s="1"/>
      <c r="K1100" s="1"/>
      <c r="L1100" s="1"/>
      <c r="M1100" s="1"/>
      <c r="AV1100" s="18"/>
      <c r="AW1100" s="18"/>
    </row>
    <row r="1101" spans="5:49" x14ac:dyDescent="0.2">
      <c r="E1101" s="1"/>
      <c r="F1101" s="1"/>
      <c r="G1101" s="1"/>
      <c r="H1101" s="1"/>
      <c r="I1101" s="1"/>
      <c r="J1101" s="1"/>
      <c r="K1101" s="1"/>
      <c r="L1101" s="1"/>
      <c r="M1101" s="1"/>
      <c r="AV1101" s="18"/>
      <c r="AW1101" s="18"/>
    </row>
    <row r="1102" spans="5:49" x14ac:dyDescent="0.2">
      <c r="E1102" s="1"/>
      <c r="F1102" s="1"/>
      <c r="G1102" s="1"/>
      <c r="H1102" s="1"/>
      <c r="I1102" s="1"/>
      <c r="J1102" s="1"/>
      <c r="K1102" s="1"/>
      <c r="L1102" s="1"/>
      <c r="M1102" s="1"/>
      <c r="AV1102" s="18"/>
      <c r="AW1102" s="18"/>
    </row>
    <row r="1103" spans="5:49" x14ac:dyDescent="0.2">
      <c r="E1103" s="1"/>
      <c r="F1103" s="1"/>
      <c r="G1103" s="1"/>
      <c r="H1103" s="1"/>
      <c r="I1103" s="1"/>
      <c r="J1103" s="1"/>
      <c r="K1103" s="1"/>
      <c r="L1103" s="1"/>
      <c r="M1103" s="1"/>
      <c r="AV1103" s="18"/>
      <c r="AW1103" s="18"/>
    </row>
    <row r="1104" spans="5:49" x14ac:dyDescent="0.2">
      <c r="E1104" s="1"/>
      <c r="F1104" s="1"/>
      <c r="G1104" s="1"/>
      <c r="H1104" s="1"/>
      <c r="I1104" s="1"/>
      <c r="J1104" s="1"/>
      <c r="K1104" s="1"/>
      <c r="L1104" s="1"/>
      <c r="M1104" s="1"/>
      <c r="AV1104" s="18"/>
      <c r="AW1104" s="18"/>
    </row>
    <row r="1105" spans="5:49" x14ac:dyDescent="0.2">
      <c r="E1105" s="1"/>
      <c r="F1105" s="1"/>
      <c r="G1105" s="1"/>
      <c r="H1105" s="1"/>
      <c r="I1105" s="1"/>
      <c r="J1105" s="1"/>
      <c r="K1105" s="1"/>
      <c r="L1105" s="1"/>
      <c r="M1105" s="1"/>
      <c r="AV1105" s="18"/>
      <c r="AW1105" s="18"/>
    </row>
    <row r="1106" spans="5:49" x14ac:dyDescent="0.2">
      <c r="E1106" s="1"/>
      <c r="F1106" s="1"/>
      <c r="G1106" s="1"/>
      <c r="H1106" s="1"/>
      <c r="I1106" s="1"/>
      <c r="J1106" s="1"/>
      <c r="K1106" s="1"/>
      <c r="L1106" s="1"/>
      <c r="M1106" s="1"/>
      <c r="AV1106" s="18"/>
      <c r="AW1106" s="18"/>
    </row>
    <row r="1107" spans="5:49" x14ac:dyDescent="0.2">
      <c r="E1107" s="1"/>
      <c r="F1107" s="1"/>
      <c r="G1107" s="1"/>
      <c r="H1107" s="1"/>
      <c r="I1107" s="1"/>
      <c r="J1107" s="1"/>
      <c r="K1107" s="1"/>
      <c r="L1107" s="1"/>
      <c r="M1107" s="1"/>
      <c r="AV1107" s="18"/>
      <c r="AW1107" s="18"/>
    </row>
    <row r="1108" spans="5:49" x14ac:dyDescent="0.2">
      <c r="E1108" s="1"/>
      <c r="F1108" s="1"/>
      <c r="G1108" s="1"/>
      <c r="H1108" s="1"/>
      <c r="I1108" s="1"/>
      <c r="J1108" s="1"/>
      <c r="K1108" s="1"/>
      <c r="L1108" s="1"/>
      <c r="M1108" s="1"/>
      <c r="AV1108" s="18"/>
      <c r="AW1108" s="18"/>
    </row>
    <row r="1109" spans="5:49" x14ac:dyDescent="0.2">
      <c r="E1109" s="1"/>
      <c r="F1109" s="1"/>
      <c r="G1109" s="1"/>
      <c r="H1109" s="1"/>
      <c r="I1109" s="1"/>
      <c r="J1109" s="1"/>
      <c r="K1109" s="1"/>
      <c r="L1109" s="1"/>
      <c r="M1109" s="1"/>
      <c r="AV1109" s="18"/>
      <c r="AW1109" s="18"/>
    </row>
    <row r="1110" spans="5:49" x14ac:dyDescent="0.2">
      <c r="E1110" s="1"/>
      <c r="F1110" s="1"/>
      <c r="G1110" s="1"/>
      <c r="H1110" s="1"/>
      <c r="I1110" s="1"/>
      <c r="J1110" s="1"/>
      <c r="K1110" s="1"/>
      <c r="L1110" s="1"/>
      <c r="M1110" s="1"/>
      <c r="AV1110" s="18"/>
      <c r="AW1110" s="18"/>
    </row>
    <row r="1111" spans="5:49" x14ac:dyDescent="0.2">
      <c r="E1111" s="1"/>
      <c r="F1111" s="1"/>
      <c r="G1111" s="1"/>
      <c r="H1111" s="1"/>
      <c r="I1111" s="1"/>
      <c r="J1111" s="1"/>
      <c r="K1111" s="1"/>
      <c r="L1111" s="1"/>
      <c r="M1111" s="1"/>
      <c r="AV1111" s="18"/>
      <c r="AW1111" s="18"/>
    </row>
    <row r="1112" spans="5:49" x14ac:dyDescent="0.2">
      <c r="E1112" s="1"/>
      <c r="F1112" s="1"/>
      <c r="G1112" s="1"/>
      <c r="H1112" s="1"/>
      <c r="I1112" s="1"/>
      <c r="J1112" s="1"/>
      <c r="K1112" s="1"/>
      <c r="L1112" s="1"/>
      <c r="M1112" s="1"/>
      <c r="AV1112" s="18"/>
      <c r="AW1112" s="18"/>
    </row>
    <row r="1113" spans="5:49" x14ac:dyDescent="0.2">
      <c r="E1113" s="1"/>
      <c r="F1113" s="1"/>
      <c r="G1113" s="1"/>
      <c r="H1113" s="1"/>
      <c r="I1113" s="1"/>
      <c r="J1113" s="1"/>
      <c r="K1113" s="1"/>
      <c r="L1113" s="1"/>
      <c r="M1113" s="1"/>
      <c r="AV1113" s="18"/>
      <c r="AW1113" s="18"/>
    </row>
    <row r="1114" spans="5:49" x14ac:dyDescent="0.2">
      <c r="E1114" s="1"/>
      <c r="F1114" s="1"/>
      <c r="G1114" s="1"/>
      <c r="H1114" s="1"/>
      <c r="I1114" s="1"/>
      <c r="J1114" s="1"/>
      <c r="K1114" s="1"/>
      <c r="L1114" s="1"/>
      <c r="M1114" s="1"/>
      <c r="AV1114" s="18"/>
      <c r="AW1114" s="18"/>
    </row>
    <row r="1115" spans="5:49" x14ac:dyDescent="0.2">
      <c r="E1115" s="1"/>
      <c r="F1115" s="1"/>
      <c r="G1115" s="1"/>
      <c r="H1115" s="1"/>
      <c r="I1115" s="1"/>
      <c r="J1115" s="1"/>
      <c r="K1115" s="1"/>
      <c r="L1115" s="1"/>
      <c r="M1115" s="1"/>
      <c r="AV1115" s="18"/>
      <c r="AW1115" s="18"/>
    </row>
    <row r="1116" spans="5:49" x14ac:dyDescent="0.2">
      <c r="E1116" s="1"/>
      <c r="F1116" s="1"/>
      <c r="G1116" s="1"/>
      <c r="H1116" s="1"/>
      <c r="I1116" s="1"/>
      <c r="J1116" s="1"/>
      <c r="K1116" s="1"/>
      <c r="L1116" s="1"/>
      <c r="M1116" s="1"/>
      <c r="AV1116" s="18"/>
      <c r="AW1116" s="18"/>
    </row>
    <row r="1117" spans="5:49" x14ac:dyDescent="0.2">
      <c r="E1117" s="1"/>
      <c r="F1117" s="1"/>
      <c r="G1117" s="1"/>
      <c r="H1117" s="1"/>
      <c r="I1117" s="1"/>
      <c r="J1117" s="1"/>
      <c r="K1117" s="1"/>
      <c r="L1117" s="1"/>
      <c r="M1117" s="1"/>
      <c r="AV1117" s="18"/>
      <c r="AW1117" s="18"/>
    </row>
    <row r="1118" spans="5:49" x14ac:dyDescent="0.2">
      <c r="E1118" s="1"/>
      <c r="F1118" s="1"/>
      <c r="G1118" s="1"/>
      <c r="H1118" s="1"/>
      <c r="I1118" s="1"/>
      <c r="J1118" s="1"/>
      <c r="K1118" s="1"/>
      <c r="L1118" s="1"/>
      <c r="M1118" s="1"/>
      <c r="AV1118" s="18"/>
      <c r="AW1118" s="18"/>
    </row>
    <row r="1119" spans="5:49" x14ac:dyDescent="0.2">
      <c r="E1119" s="1"/>
      <c r="F1119" s="1"/>
      <c r="G1119" s="1"/>
      <c r="H1119" s="1"/>
      <c r="I1119" s="1"/>
      <c r="J1119" s="1"/>
      <c r="K1119" s="1"/>
      <c r="L1119" s="1"/>
      <c r="M1119" s="1"/>
      <c r="AV1119" s="18"/>
      <c r="AW1119" s="18"/>
    </row>
    <row r="1120" spans="5:49" x14ac:dyDescent="0.2">
      <c r="E1120" s="1"/>
      <c r="F1120" s="1"/>
      <c r="G1120" s="1"/>
      <c r="H1120" s="1"/>
      <c r="I1120" s="1"/>
      <c r="J1120" s="1"/>
      <c r="K1120" s="1"/>
      <c r="L1120" s="1"/>
      <c r="M1120" s="1"/>
      <c r="AV1120" s="18"/>
      <c r="AW1120" s="18"/>
    </row>
    <row r="1121" spans="5:49" x14ac:dyDescent="0.2">
      <c r="E1121" s="1"/>
      <c r="F1121" s="1"/>
      <c r="G1121" s="1"/>
      <c r="H1121" s="1"/>
      <c r="I1121" s="1"/>
      <c r="J1121" s="1"/>
      <c r="K1121" s="1"/>
      <c r="L1121" s="1"/>
      <c r="M1121" s="1"/>
      <c r="AV1121" s="18"/>
      <c r="AW1121" s="18"/>
    </row>
    <row r="1122" spans="5:49" x14ac:dyDescent="0.2">
      <c r="E1122" s="1"/>
      <c r="F1122" s="1"/>
      <c r="G1122" s="1"/>
      <c r="H1122" s="1"/>
      <c r="I1122" s="1"/>
      <c r="J1122" s="1"/>
      <c r="K1122" s="1"/>
      <c r="L1122" s="1"/>
      <c r="M1122" s="1"/>
      <c r="AV1122" s="18"/>
      <c r="AW1122" s="18"/>
    </row>
    <row r="1123" spans="5:49" x14ac:dyDescent="0.2">
      <c r="E1123" s="1"/>
      <c r="F1123" s="1"/>
      <c r="G1123" s="1"/>
      <c r="H1123" s="1"/>
      <c r="I1123" s="1"/>
      <c r="J1123" s="1"/>
      <c r="K1123" s="1"/>
      <c r="L1123" s="1"/>
      <c r="M1123" s="1"/>
      <c r="AV1123" s="18"/>
      <c r="AW1123" s="18"/>
    </row>
    <row r="1124" spans="5:49" x14ac:dyDescent="0.2">
      <c r="E1124" s="1"/>
      <c r="F1124" s="1"/>
      <c r="G1124" s="1"/>
      <c r="H1124" s="1"/>
      <c r="I1124" s="1"/>
      <c r="J1124" s="1"/>
      <c r="K1124" s="1"/>
      <c r="L1124" s="1"/>
      <c r="M1124" s="1"/>
      <c r="AV1124" s="18"/>
      <c r="AW1124" s="18"/>
    </row>
    <row r="1125" spans="5:49" x14ac:dyDescent="0.2">
      <c r="E1125" s="1"/>
      <c r="F1125" s="1"/>
      <c r="G1125" s="1"/>
      <c r="H1125" s="1"/>
      <c r="I1125" s="1"/>
      <c r="J1125" s="1"/>
      <c r="K1125" s="1"/>
      <c r="L1125" s="1"/>
      <c r="M1125" s="1"/>
      <c r="AV1125" s="18"/>
      <c r="AW1125" s="18"/>
    </row>
    <row r="1126" spans="5:49" x14ac:dyDescent="0.2">
      <c r="E1126" s="1"/>
      <c r="F1126" s="1"/>
      <c r="G1126" s="1"/>
      <c r="H1126" s="1"/>
      <c r="I1126" s="1"/>
      <c r="J1126" s="1"/>
      <c r="K1126" s="1"/>
      <c r="L1126" s="1"/>
      <c r="M1126" s="1"/>
      <c r="AV1126" s="18"/>
      <c r="AW1126" s="18"/>
    </row>
    <row r="1127" spans="5:49" x14ac:dyDescent="0.2">
      <c r="E1127" s="1"/>
      <c r="F1127" s="1"/>
      <c r="G1127" s="1"/>
      <c r="H1127" s="1"/>
      <c r="I1127" s="1"/>
      <c r="J1127" s="1"/>
      <c r="K1127" s="1"/>
      <c r="L1127" s="1"/>
      <c r="M1127" s="1"/>
      <c r="AV1127" s="18"/>
      <c r="AW1127" s="18"/>
    </row>
    <row r="1128" spans="5:49" x14ac:dyDescent="0.2">
      <c r="E1128" s="1"/>
      <c r="F1128" s="1"/>
      <c r="G1128" s="1"/>
      <c r="H1128" s="1"/>
      <c r="I1128" s="1"/>
      <c r="J1128" s="1"/>
      <c r="K1128" s="1"/>
      <c r="L1128" s="1"/>
      <c r="M1128" s="1"/>
      <c r="AV1128" s="18"/>
      <c r="AW1128" s="18"/>
    </row>
    <row r="1129" spans="5:49" x14ac:dyDescent="0.2">
      <c r="E1129" s="1"/>
      <c r="F1129" s="1"/>
      <c r="G1129" s="1"/>
      <c r="H1129" s="1"/>
      <c r="I1129" s="1"/>
      <c r="J1129" s="1"/>
      <c r="K1129" s="1"/>
      <c r="L1129" s="1"/>
      <c r="M1129" s="1"/>
      <c r="AV1129" s="18"/>
      <c r="AW1129" s="18"/>
    </row>
    <row r="1130" spans="5:49" x14ac:dyDescent="0.2">
      <c r="E1130" s="1"/>
      <c r="F1130" s="1"/>
      <c r="G1130" s="1"/>
      <c r="H1130" s="1"/>
      <c r="I1130" s="1"/>
      <c r="J1130" s="1"/>
      <c r="K1130" s="1"/>
      <c r="L1130" s="1"/>
      <c r="M1130" s="1"/>
      <c r="AV1130" s="18"/>
      <c r="AW1130" s="18"/>
    </row>
    <row r="1131" spans="5:49" x14ac:dyDescent="0.2">
      <c r="E1131" s="1"/>
      <c r="F1131" s="1"/>
      <c r="G1131" s="1"/>
      <c r="H1131" s="1"/>
      <c r="I1131" s="1"/>
      <c r="J1131" s="1"/>
      <c r="K1131" s="1"/>
      <c r="L1131" s="1"/>
      <c r="M1131" s="1"/>
      <c r="AV1131" s="18"/>
      <c r="AW1131" s="18"/>
    </row>
    <row r="1132" spans="5:49" x14ac:dyDescent="0.2">
      <c r="E1132" s="1"/>
      <c r="F1132" s="1"/>
      <c r="G1132" s="1"/>
      <c r="H1132" s="1"/>
      <c r="I1132" s="1"/>
      <c r="J1132" s="1"/>
      <c r="K1132" s="1"/>
      <c r="L1132" s="1"/>
      <c r="M1132" s="1"/>
      <c r="AV1132" s="18"/>
      <c r="AW1132" s="18"/>
    </row>
    <row r="1133" spans="5:49" x14ac:dyDescent="0.2">
      <c r="E1133" s="1"/>
      <c r="F1133" s="1"/>
      <c r="G1133" s="1"/>
      <c r="H1133" s="1"/>
      <c r="I1133" s="1"/>
      <c r="J1133" s="1"/>
      <c r="K1133" s="1"/>
      <c r="L1133" s="1"/>
      <c r="M1133" s="1"/>
      <c r="AV1133" s="18"/>
      <c r="AW1133" s="18"/>
    </row>
    <row r="1134" spans="5:49" x14ac:dyDescent="0.2">
      <c r="E1134" s="1"/>
      <c r="F1134" s="1"/>
      <c r="G1134" s="1"/>
      <c r="H1134" s="1"/>
      <c r="I1134" s="1"/>
      <c r="J1134" s="1"/>
      <c r="K1134" s="1"/>
      <c r="L1134" s="1"/>
      <c r="M1134" s="1"/>
      <c r="AV1134" s="18"/>
      <c r="AW1134" s="18"/>
    </row>
    <row r="1135" spans="5:49" x14ac:dyDescent="0.2">
      <c r="E1135" s="1"/>
      <c r="F1135" s="1"/>
      <c r="G1135" s="1"/>
      <c r="H1135" s="1"/>
      <c r="I1135" s="1"/>
      <c r="J1135" s="1"/>
      <c r="K1135" s="1"/>
      <c r="L1135" s="1"/>
      <c r="M1135" s="1"/>
      <c r="AV1135" s="18"/>
      <c r="AW1135" s="18"/>
    </row>
    <row r="1136" spans="5:49" x14ac:dyDescent="0.2">
      <c r="E1136" s="1"/>
      <c r="F1136" s="1"/>
      <c r="G1136" s="1"/>
      <c r="H1136" s="1"/>
      <c r="I1136" s="1"/>
      <c r="J1136" s="1"/>
      <c r="K1136" s="1"/>
      <c r="L1136" s="1"/>
      <c r="M1136" s="1"/>
      <c r="AV1136" s="18"/>
      <c r="AW1136" s="18"/>
    </row>
    <row r="1137" spans="5:49" x14ac:dyDescent="0.2">
      <c r="E1137" s="1"/>
      <c r="F1137" s="1"/>
      <c r="G1137" s="1"/>
      <c r="H1137" s="1"/>
      <c r="I1137" s="1"/>
      <c r="J1137" s="1"/>
      <c r="K1137" s="1"/>
      <c r="L1137" s="1"/>
      <c r="M1137" s="1"/>
      <c r="AV1137" s="18"/>
      <c r="AW1137" s="18"/>
    </row>
    <row r="1138" spans="5:49" x14ac:dyDescent="0.2">
      <c r="E1138" s="1"/>
      <c r="F1138" s="1"/>
      <c r="G1138" s="1"/>
      <c r="H1138" s="1"/>
      <c r="I1138" s="1"/>
      <c r="J1138" s="1"/>
      <c r="K1138" s="1"/>
      <c r="L1138" s="1"/>
      <c r="M1138" s="1"/>
      <c r="AV1138" s="18"/>
      <c r="AW1138" s="18"/>
    </row>
    <row r="1139" spans="5:49" x14ac:dyDescent="0.2">
      <c r="E1139" s="1"/>
      <c r="F1139" s="1"/>
      <c r="G1139" s="1"/>
      <c r="H1139" s="1"/>
      <c r="I1139" s="1"/>
      <c r="J1139" s="1"/>
      <c r="K1139" s="1"/>
      <c r="L1139" s="1"/>
      <c r="M1139" s="1"/>
      <c r="AV1139" s="18"/>
      <c r="AW1139" s="18"/>
    </row>
    <row r="1140" spans="5:49" x14ac:dyDescent="0.2">
      <c r="E1140" s="1"/>
      <c r="F1140" s="1"/>
      <c r="G1140" s="1"/>
      <c r="H1140" s="1"/>
      <c r="I1140" s="1"/>
      <c r="J1140" s="1"/>
      <c r="K1140" s="1"/>
      <c r="L1140" s="1"/>
      <c r="M1140" s="1"/>
      <c r="AV1140" s="18"/>
      <c r="AW1140" s="18"/>
    </row>
    <row r="1141" spans="5:49" x14ac:dyDescent="0.2">
      <c r="E1141" s="1"/>
      <c r="F1141" s="1"/>
      <c r="G1141" s="1"/>
      <c r="H1141" s="1"/>
      <c r="I1141" s="1"/>
      <c r="J1141" s="1"/>
      <c r="K1141" s="1"/>
      <c r="L1141" s="1"/>
      <c r="M1141" s="1"/>
      <c r="AV1141" s="18"/>
      <c r="AW1141" s="18"/>
    </row>
    <row r="1142" spans="5:49" x14ac:dyDescent="0.2">
      <c r="E1142" s="1"/>
      <c r="F1142" s="1"/>
      <c r="G1142" s="1"/>
      <c r="H1142" s="1"/>
      <c r="I1142" s="1"/>
      <c r="J1142" s="1"/>
      <c r="K1142" s="1"/>
      <c r="L1142" s="1"/>
      <c r="M1142" s="1"/>
      <c r="AV1142" s="18"/>
      <c r="AW1142" s="18"/>
    </row>
    <row r="1143" spans="5:49" x14ac:dyDescent="0.2">
      <c r="E1143" s="1"/>
      <c r="F1143" s="1"/>
      <c r="G1143" s="1"/>
      <c r="H1143" s="1"/>
      <c r="I1143" s="1"/>
      <c r="J1143" s="1"/>
      <c r="K1143" s="1"/>
      <c r="L1143" s="1"/>
      <c r="M1143" s="1"/>
      <c r="AV1143" s="18"/>
      <c r="AW1143" s="18"/>
    </row>
    <row r="1144" spans="5:49" x14ac:dyDescent="0.2">
      <c r="E1144" s="1"/>
      <c r="F1144" s="1"/>
      <c r="G1144" s="1"/>
      <c r="H1144" s="1"/>
      <c r="I1144" s="1"/>
      <c r="J1144" s="1"/>
      <c r="K1144" s="1"/>
      <c r="L1144" s="1"/>
      <c r="M1144" s="1"/>
      <c r="AV1144" s="18"/>
      <c r="AW1144" s="18"/>
    </row>
    <row r="1145" spans="5:49" x14ac:dyDescent="0.2">
      <c r="E1145" s="1"/>
      <c r="F1145" s="1"/>
      <c r="G1145" s="1"/>
      <c r="H1145" s="1"/>
      <c r="I1145" s="1"/>
      <c r="J1145" s="1"/>
      <c r="K1145" s="1"/>
      <c r="L1145" s="1"/>
      <c r="M1145" s="1"/>
      <c r="AV1145" s="18"/>
      <c r="AW1145" s="18"/>
    </row>
    <row r="1146" spans="5:49" x14ac:dyDescent="0.2">
      <c r="E1146" s="1"/>
      <c r="F1146" s="1"/>
      <c r="G1146" s="1"/>
      <c r="H1146" s="1"/>
      <c r="I1146" s="1"/>
      <c r="J1146" s="1"/>
      <c r="K1146" s="1"/>
      <c r="L1146" s="1"/>
      <c r="M1146" s="1"/>
      <c r="AV1146" s="18"/>
      <c r="AW1146" s="18"/>
    </row>
    <row r="1147" spans="5:49" x14ac:dyDescent="0.2">
      <c r="E1147" s="1"/>
      <c r="F1147" s="1"/>
      <c r="G1147" s="1"/>
      <c r="H1147" s="1"/>
      <c r="I1147" s="1"/>
      <c r="J1147" s="1"/>
      <c r="K1147" s="1"/>
      <c r="L1147" s="1"/>
      <c r="M1147" s="1"/>
      <c r="AV1147" s="18"/>
      <c r="AW1147" s="18"/>
    </row>
    <row r="1148" spans="5:49" x14ac:dyDescent="0.2">
      <c r="E1148" s="1"/>
      <c r="F1148" s="1"/>
      <c r="G1148" s="1"/>
      <c r="H1148" s="1"/>
      <c r="I1148" s="1"/>
      <c r="J1148" s="1"/>
      <c r="K1148" s="1"/>
      <c r="L1148" s="1"/>
      <c r="M1148" s="1"/>
      <c r="AV1148" s="18"/>
      <c r="AW1148" s="18"/>
    </row>
    <row r="1149" spans="5:49" x14ac:dyDescent="0.2">
      <c r="E1149" s="1"/>
      <c r="F1149" s="1"/>
      <c r="G1149" s="1"/>
      <c r="H1149" s="1"/>
      <c r="I1149" s="1"/>
      <c r="J1149" s="1"/>
      <c r="K1149" s="1"/>
      <c r="L1149" s="1"/>
      <c r="M1149" s="1"/>
      <c r="AV1149" s="18"/>
      <c r="AW1149" s="18"/>
    </row>
    <row r="1150" spans="5:49" x14ac:dyDescent="0.2">
      <c r="E1150" s="1"/>
      <c r="F1150" s="1"/>
      <c r="G1150" s="1"/>
      <c r="H1150" s="1"/>
      <c r="I1150" s="1"/>
      <c r="J1150" s="1"/>
      <c r="K1150" s="1"/>
      <c r="L1150" s="1"/>
      <c r="M1150" s="1"/>
      <c r="AV1150" s="18"/>
      <c r="AW1150" s="18"/>
    </row>
    <row r="1151" spans="5:49" x14ac:dyDescent="0.2">
      <c r="E1151" s="1"/>
      <c r="F1151" s="1"/>
      <c r="G1151" s="1"/>
      <c r="H1151" s="1"/>
      <c r="I1151" s="1"/>
      <c r="J1151" s="1"/>
      <c r="K1151" s="1"/>
      <c r="L1151" s="1"/>
      <c r="M1151" s="1"/>
      <c r="AV1151" s="18"/>
      <c r="AW1151" s="18"/>
    </row>
    <row r="1152" spans="5:49" x14ac:dyDescent="0.2">
      <c r="E1152" s="1"/>
      <c r="F1152" s="1"/>
      <c r="G1152" s="1"/>
      <c r="H1152" s="1"/>
      <c r="I1152" s="1"/>
      <c r="J1152" s="1"/>
      <c r="K1152" s="1"/>
      <c r="L1152" s="1"/>
      <c r="M1152" s="1"/>
      <c r="AV1152" s="18"/>
      <c r="AW1152" s="18"/>
    </row>
    <row r="1153" spans="5:49" x14ac:dyDescent="0.2">
      <c r="E1153" s="1"/>
      <c r="F1153" s="1"/>
      <c r="G1153" s="1"/>
      <c r="H1153" s="1"/>
      <c r="I1153" s="1"/>
      <c r="J1153" s="1"/>
      <c r="K1153" s="1"/>
      <c r="L1153" s="1"/>
      <c r="M1153" s="1"/>
      <c r="AV1153" s="18"/>
      <c r="AW1153" s="18"/>
    </row>
    <row r="1154" spans="5:49" x14ac:dyDescent="0.2">
      <c r="E1154" s="1"/>
      <c r="F1154" s="1"/>
      <c r="G1154" s="1"/>
      <c r="H1154" s="1"/>
      <c r="I1154" s="1"/>
      <c r="J1154" s="1"/>
      <c r="K1154" s="1"/>
      <c r="L1154" s="1"/>
      <c r="M1154" s="1"/>
      <c r="AV1154" s="18"/>
      <c r="AW1154" s="18"/>
    </row>
    <row r="1155" spans="5:49" x14ac:dyDescent="0.2">
      <c r="E1155" s="1"/>
      <c r="F1155" s="1"/>
      <c r="G1155" s="1"/>
      <c r="H1155" s="1"/>
      <c r="I1155" s="1"/>
      <c r="J1155" s="1"/>
      <c r="K1155" s="1"/>
      <c r="L1155" s="1"/>
      <c r="M1155" s="1"/>
      <c r="AV1155" s="18"/>
      <c r="AW1155" s="18"/>
    </row>
    <row r="1156" spans="5:49" x14ac:dyDescent="0.2">
      <c r="E1156" s="1"/>
      <c r="F1156" s="1"/>
      <c r="G1156" s="1"/>
      <c r="H1156" s="1"/>
      <c r="I1156" s="1"/>
      <c r="J1156" s="1"/>
      <c r="K1156" s="1"/>
      <c r="L1156" s="1"/>
      <c r="M1156" s="1"/>
      <c r="AV1156" s="18"/>
      <c r="AW1156" s="18"/>
    </row>
    <row r="1157" spans="5:49" x14ac:dyDescent="0.2">
      <c r="E1157" s="1"/>
      <c r="F1157" s="1"/>
      <c r="G1157" s="1"/>
      <c r="H1157" s="1"/>
      <c r="I1157" s="1"/>
      <c r="J1157" s="1"/>
      <c r="K1157" s="1"/>
      <c r="L1157" s="1"/>
      <c r="M1157" s="1"/>
      <c r="AV1157" s="18"/>
      <c r="AW1157" s="18"/>
    </row>
    <row r="1158" spans="5:49" x14ac:dyDescent="0.2">
      <c r="E1158" s="1"/>
      <c r="F1158" s="1"/>
      <c r="G1158" s="1"/>
      <c r="H1158" s="1"/>
      <c r="I1158" s="1"/>
      <c r="J1158" s="1"/>
      <c r="K1158" s="1"/>
      <c r="L1158" s="1"/>
      <c r="M1158" s="1"/>
      <c r="AV1158" s="18"/>
      <c r="AW1158" s="18"/>
    </row>
    <row r="1159" spans="5:49" x14ac:dyDescent="0.2">
      <c r="E1159" s="1"/>
      <c r="F1159" s="1"/>
      <c r="G1159" s="1"/>
      <c r="H1159" s="1"/>
      <c r="I1159" s="1"/>
      <c r="J1159" s="1"/>
      <c r="K1159" s="1"/>
      <c r="L1159" s="1"/>
      <c r="M1159" s="1"/>
      <c r="AV1159" s="18"/>
      <c r="AW1159" s="18"/>
    </row>
    <row r="1160" spans="5:49" x14ac:dyDescent="0.2">
      <c r="E1160" s="1"/>
      <c r="F1160" s="1"/>
      <c r="G1160" s="1"/>
      <c r="H1160" s="1"/>
      <c r="I1160" s="1"/>
      <c r="J1160" s="1"/>
      <c r="K1160" s="1"/>
      <c r="L1160" s="1"/>
      <c r="M1160" s="1"/>
      <c r="AV1160" s="18"/>
      <c r="AW1160" s="18"/>
    </row>
    <row r="1161" spans="5:49" x14ac:dyDescent="0.2">
      <c r="E1161" s="1"/>
      <c r="F1161" s="1"/>
      <c r="G1161" s="1"/>
      <c r="H1161" s="1"/>
      <c r="I1161" s="1"/>
      <c r="J1161" s="1"/>
      <c r="K1161" s="1"/>
      <c r="L1161" s="1"/>
      <c r="M1161" s="1"/>
      <c r="AV1161" s="18"/>
      <c r="AW1161" s="18"/>
    </row>
    <row r="1162" spans="5:49" x14ac:dyDescent="0.2">
      <c r="E1162" s="1"/>
      <c r="F1162" s="1"/>
      <c r="G1162" s="1"/>
      <c r="H1162" s="1"/>
      <c r="I1162" s="1"/>
      <c r="J1162" s="1"/>
      <c r="K1162" s="1"/>
      <c r="L1162" s="1"/>
      <c r="M1162" s="1"/>
      <c r="AV1162" s="18"/>
      <c r="AW1162" s="18"/>
    </row>
    <row r="1163" spans="5:49" x14ac:dyDescent="0.2">
      <c r="E1163" s="1"/>
      <c r="F1163" s="1"/>
      <c r="G1163" s="1"/>
      <c r="H1163" s="1"/>
      <c r="I1163" s="1"/>
      <c r="J1163" s="1"/>
      <c r="K1163" s="1"/>
      <c r="L1163" s="1"/>
      <c r="M1163" s="1"/>
      <c r="AV1163" s="18"/>
      <c r="AW1163" s="18"/>
    </row>
    <row r="1164" spans="5:49" x14ac:dyDescent="0.2">
      <c r="E1164" s="1"/>
      <c r="F1164" s="1"/>
      <c r="G1164" s="1"/>
      <c r="H1164" s="1"/>
      <c r="I1164" s="1"/>
      <c r="J1164" s="1"/>
      <c r="K1164" s="1"/>
      <c r="L1164" s="1"/>
      <c r="M1164" s="1"/>
      <c r="AV1164" s="18"/>
      <c r="AW1164" s="18"/>
    </row>
    <row r="1165" spans="5:49" x14ac:dyDescent="0.2">
      <c r="E1165" s="1"/>
      <c r="F1165" s="1"/>
      <c r="G1165" s="1"/>
      <c r="H1165" s="1"/>
      <c r="I1165" s="1"/>
      <c r="J1165" s="1"/>
      <c r="K1165" s="1"/>
      <c r="L1165" s="1"/>
      <c r="M1165" s="1"/>
      <c r="AV1165" s="18"/>
      <c r="AW1165" s="18"/>
    </row>
    <row r="1166" spans="5:49" x14ac:dyDescent="0.2">
      <c r="E1166" s="1"/>
      <c r="F1166" s="1"/>
      <c r="G1166" s="1"/>
      <c r="H1166" s="1"/>
      <c r="I1166" s="1"/>
      <c r="J1166" s="1"/>
      <c r="K1166" s="1"/>
      <c r="L1166" s="1"/>
      <c r="M1166" s="1"/>
      <c r="AV1166" s="18"/>
      <c r="AW1166" s="18"/>
    </row>
    <row r="1167" spans="5:49" x14ac:dyDescent="0.2">
      <c r="E1167" s="1"/>
      <c r="F1167" s="1"/>
      <c r="G1167" s="1"/>
      <c r="H1167" s="1"/>
      <c r="I1167" s="1"/>
      <c r="J1167" s="1"/>
      <c r="K1167" s="1"/>
      <c r="L1167" s="1"/>
      <c r="M1167" s="1"/>
      <c r="AV1167" s="18"/>
      <c r="AW1167" s="18"/>
    </row>
    <row r="1168" spans="5:49" x14ac:dyDescent="0.2">
      <c r="E1168" s="1"/>
      <c r="F1168" s="1"/>
      <c r="G1168" s="1"/>
      <c r="H1168" s="1"/>
      <c r="I1168" s="1"/>
      <c r="J1168" s="1"/>
      <c r="K1168" s="1"/>
      <c r="L1168" s="1"/>
      <c r="M1168" s="1"/>
      <c r="AV1168" s="18"/>
      <c r="AW1168" s="18"/>
    </row>
    <row r="1169" spans="5:49" x14ac:dyDescent="0.2">
      <c r="E1169" s="1"/>
      <c r="F1169" s="1"/>
      <c r="G1169" s="1"/>
      <c r="H1169" s="1"/>
      <c r="I1169" s="1"/>
      <c r="J1169" s="1"/>
      <c r="K1169" s="1"/>
      <c r="L1169" s="1"/>
      <c r="M1169" s="1"/>
      <c r="AV1169" s="18"/>
      <c r="AW1169" s="18"/>
    </row>
    <row r="1170" spans="5:49" x14ac:dyDescent="0.2">
      <c r="E1170" s="1"/>
      <c r="F1170" s="1"/>
      <c r="G1170" s="1"/>
      <c r="H1170" s="1"/>
      <c r="I1170" s="1"/>
      <c r="J1170" s="1"/>
      <c r="K1170" s="1"/>
      <c r="L1170" s="1"/>
      <c r="M1170" s="1"/>
      <c r="AV1170" s="18"/>
      <c r="AW1170" s="18"/>
    </row>
    <row r="1171" spans="5:49" x14ac:dyDescent="0.2">
      <c r="E1171" s="1"/>
      <c r="F1171" s="1"/>
      <c r="G1171" s="1"/>
      <c r="H1171" s="1"/>
      <c r="I1171" s="1"/>
      <c r="J1171" s="1"/>
      <c r="K1171" s="1"/>
      <c r="L1171" s="1"/>
      <c r="M1171" s="1"/>
      <c r="AV1171" s="18"/>
      <c r="AW1171" s="18"/>
    </row>
    <row r="1172" spans="5:49" x14ac:dyDescent="0.2">
      <c r="E1172" s="1"/>
      <c r="F1172" s="1"/>
      <c r="G1172" s="1"/>
      <c r="H1172" s="1"/>
      <c r="I1172" s="1"/>
      <c r="J1172" s="1"/>
      <c r="K1172" s="1"/>
      <c r="L1172" s="1"/>
      <c r="M1172" s="1"/>
      <c r="AV1172" s="18"/>
      <c r="AW1172" s="18"/>
    </row>
    <row r="1173" spans="5:49" x14ac:dyDescent="0.2">
      <c r="E1173" s="1"/>
      <c r="F1173" s="1"/>
      <c r="G1173" s="1"/>
      <c r="H1173" s="1"/>
      <c r="I1173" s="1"/>
      <c r="J1173" s="1"/>
      <c r="K1173" s="1"/>
      <c r="L1173" s="1"/>
      <c r="M1173" s="1"/>
      <c r="AV1173" s="18"/>
      <c r="AW1173" s="18"/>
    </row>
    <row r="1174" spans="5:49" x14ac:dyDescent="0.2">
      <c r="E1174" s="1"/>
      <c r="F1174" s="1"/>
      <c r="G1174" s="1"/>
      <c r="H1174" s="1"/>
      <c r="I1174" s="1"/>
      <c r="J1174" s="1"/>
      <c r="K1174" s="1"/>
      <c r="L1174" s="1"/>
      <c r="M1174" s="1"/>
      <c r="AV1174" s="18"/>
      <c r="AW1174" s="18"/>
    </row>
    <row r="1175" spans="5:49" x14ac:dyDescent="0.2">
      <c r="E1175" s="1"/>
      <c r="F1175" s="1"/>
      <c r="G1175" s="1"/>
      <c r="H1175" s="1"/>
      <c r="I1175" s="1"/>
      <c r="J1175" s="1"/>
      <c r="K1175" s="1"/>
      <c r="L1175" s="1"/>
      <c r="M1175" s="1"/>
      <c r="AV1175" s="18"/>
      <c r="AW1175" s="18"/>
    </row>
    <row r="1176" spans="5:49" x14ac:dyDescent="0.2">
      <c r="E1176" s="1"/>
      <c r="F1176" s="1"/>
      <c r="G1176" s="1"/>
      <c r="H1176" s="1"/>
      <c r="I1176" s="1"/>
      <c r="J1176" s="1"/>
      <c r="K1176" s="1"/>
      <c r="L1176" s="1"/>
      <c r="M1176" s="1"/>
      <c r="AV1176" s="18"/>
      <c r="AW1176" s="18"/>
    </row>
    <row r="1177" spans="5:49" x14ac:dyDescent="0.2">
      <c r="E1177" s="1"/>
      <c r="F1177" s="1"/>
      <c r="G1177" s="1"/>
      <c r="H1177" s="1"/>
      <c r="I1177" s="1"/>
      <c r="J1177" s="1"/>
      <c r="K1177" s="1"/>
      <c r="L1177" s="1"/>
      <c r="M1177" s="1"/>
      <c r="AV1177" s="18"/>
      <c r="AW1177" s="18"/>
    </row>
    <row r="1178" spans="5:49" x14ac:dyDescent="0.2">
      <c r="E1178" s="1"/>
      <c r="F1178" s="1"/>
      <c r="G1178" s="1"/>
      <c r="H1178" s="1"/>
      <c r="I1178" s="1"/>
      <c r="J1178" s="1"/>
      <c r="K1178" s="1"/>
      <c r="L1178" s="1"/>
      <c r="M1178" s="1"/>
      <c r="AV1178" s="18"/>
      <c r="AW1178" s="18"/>
    </row>
    <row r="1179" spans="5:49" x14ac:dyDescent="0.2">
      <c r="E1179" s="1"/>
      <c r="F1179" s="1"/>
      <c r="G1179" s="1"/>
      <c r="H1179" s="1"/>
      <c r="I1179" s="1"/>
      <c r="J1179" s="1"/>
      <c r="K1179" s="1"/>
      <c r="L1179" s="1"/>
      <c r="M1179" s="1"/>
      <c r="AV1179" s="18"/>
      <c r="AW1179" s="18"/>
    </row>
    <row r="1180" spans="5:49" x14ac:dyDescent="0.2">
      <c r="E1180" s="1"/>
      <c r="F1180" s="1"/>
      <c r="G1180" s="1"/>
      <c r="H1180" s="1"/>
      <c r="I1180" s="1"/>
      <c r="J1180" s="1"/>
      <c r="K1180" s="1"/>
      <c r="L1180" s="1"/>
      <c r="M1180" s="1"/>
      <c r="AV1180" s="18"/>
      <c r="AW1180" s="18"/>
    </row>
    <row r="1181" spans="5:49" x14ac:dyDescent="0.2">
      <c r="E1181" s="1"/>
      <c r="F1181" s="1"/>
      <c r="G1181" s="1"/>
      <c r="H1181" s="1"/>
      <c r="I1181" s="1"/>
      <c r="J1181" s="1"/>
      <c r="K1181" s="1"/>
      <c r="L1181" s="1"/>
      <c r="M1181" s="1"/>
      <c r="AV1181" s="18"/>
      <c r="AW1181" s="18"/>
    </row>
    <row r="1182" spans="5:49" x14ac:dyDescent="0.2">
      <c r="E1182" s="1"/>
      <c r="F1182" s="1"/>
      <c r="G1182" s="1"/>
      <c r="H1182" s="1"/>
      <c r="I1182" s="1"/>
      <c r="J1182" s="1"/>
      <c r="K1182" s="1"/>
      <c r="L1182" s="1"/>
      <c r="M1182" s="1"/>
      <c r="AV1182" s="18"/>
      <c r="AW1182" s="18"/>
    </row>
    <row r="1183" spans="5:49" x14ac:dyDescent="0.2">
      <c r="E1183" s="1"/>
      <c r="F1183" s="1"/>
      <c r="G1183" s="1"/>
      <c r="H1183" s="1"/>
      <c r="I1183" s="1"/>
      <c r="J1183" s="1"/>
      <c r="K1183" s="1"/>
      <c r="L1183" s="1"/>
      <c r="M1183" s="1"/>
      <c r="AV1183" s="18"/>
      <c r="AW1183" s="18"/>
    </row>
    <row r="1184" spans="5:49" x14ac:dyDescent="0.2">
      <c r="E1184" s="1"/>
      <c r="F1184" s="1"/>
      <c r="G1184" s="1"/>
      <c r="H1184" s="1"/>
      <c r="I1184" s="1"/>
      <c r="J1184" s="1"/>
      <c r="K1184" s="1"/>
      <c r="L1184" s="1"/>
      <c r="M1184" s="1"/>
      <c r="AV1184" s="18"/>
      <c r="AW1184" s="18"/>
    </row>
    <row r="1185" spans="5:49" x14ac:dyDescent="0.2">
      <c r="E1185" s="1"/>
      <c r="F1185" s="1"/>
      <c r="G1185" s="1"/>
      <c r="H1185" s="1"/>
      <c r="I1185" s="1"/>
      <c r="J1185" s="1"/>
      <c r="K1185" s="1"/>
      <c r="L1185" s="1"/>
      <c r="M1185" s="1"/>
      <c r="AV1185" s="18"/>
      <c r="AW1185" s="18"/>
    </row>
    <row r="1186" spans="5:49" x14ac:dyDescent="0.2">
      <c r="E1186" s="1"/>
      <c r="F1186" s="1"/>
      <c r="G1186" s="1"/>
      <c r="H1186" s="1"/>
      <c r="I1186" s="1"/>
      <c r="J1186" s="1"/>
      <c r="K1186" s="1"/>
      <c r="L1186" s="1"/>
      <c r="M1186" s="1"/>
      <c r="AV1186" s="18"/>
      <c r="AW1186" s="18"/>
    </row>
    <row r="1187" spans="5:49" x14ac:dyDescent="0.2">
      <c r="E1187" s="1"/>
      <c r="F1187" s="1"/>
      <c r="G1187" s="1"/>
      <c r="H1187" s="1"/>
      <c r="I1187" s="1"/>
      <c r="J1187" s="1"/>
      <c r="K1187" s="1"/>
      <c r="L1187" s="1"/>
      <c r="M1187" s="1"/>
      <c r="AV1187" s="18"/>
      <c r="AW1187" s="18"/>
    </row>
    <row r="1188" spans="5:49" x14ac:dyDescent="0.2">
      <c r="E1188" s="1"/>
      <c r="F1188" s="1"/>
      <c r="G1188" s="1"/>
      <c r="H1188" s="1"/>
      <c r="I1188" s="1"/>
      <c r="J1188" s="1"/>
      <c r="K1188" s="1"/>
      <c r="L1188" s="1"/>
      <c r="M1188" s="1"/>
      <c r="AV1188" s="18"/>
      <c r="AW1188" s="18"/>
    </row>
    <row r="1189" spans="5:49" x14ac:dyDescent="0.2">
      <c r="E1189" s="1"/>
      <c r="F1189" s="1"/>
      <c r="G1189" s="1"/>
      <c r="H1189" s="1"/>
      <c r="I1189" s="1"/>
      <c r="J1189" s="1"/>
      <c r="K1189" s="1"/>
      <c r="L1189" s="1"/>
      <c r="M1189" s="1"/>
      <c r="AV1189" s="18"/>
      <c r="AW1189" s="18"/>
    </row>
    <row r="1190" spans="5:49" x14ac:dyDescent="0.2">
      <c r="E1190" s="1"/>
      <c r="F1190" s="1"/>
      <c r="G1190" s="1"/>
      <c r="H1190" s="1"/>
      <c r="I1190" s="1"/>
      <c r="J1190" s="1"/>
      <c r="K1190" s="1"/>
      <c r="L1190" s="1"/>
      <c r="M1190" s="1"/>
      <c r="AV1190" s="18"/>
      <c r="AW1190" s="18"/>
    </row>
    <row r="1191" spans="5:49" x14ac:dyDescent="0.2">
      <c r="E1191" s="1"/>
      <c r="F1191" s="1"/>
      <c r="G1191" s="1"/>
      <c r="H1191" s="1"/>
      <c r="I1191" s="1"/>
      <c r="J1191" s="1"/>
      <c r="K1191" s="1"/>
      <c r="L1191" s="1"/>
      <c r="M1191" s="1"/>
      <c r="AV1191" s="18"/>
      <c r="AW1191" s="18"/>
    </row>
    <row r="1192" spans="5:49" x14ac:dyDescent="0.2">
      <c r="E1192" s="1"/>
      <c r="F1192" s="1"/>
      <c r="G1192" s="1"/>
      <c r="H1192" s="1"/>
      <c r="I1192" s="1"/>
      <c r="J1192" s="1"/>
      <c r="K1192" s="1"/>
      <c r="L1192" s="1"/>
      <c r="M1192" s="1"/>
      <c r="AV1192" s="18"/>
      <c r="AW1192" s="18"/>
    </row>
    <row r="1193" spans="5:49" x14ac:dyDescent="0.2">
      <c r="E1193" s="1"/>
      <c r="F1193" s="1"/>
      <c r="G1193" s="1"/>
      <c r="H1193" s="1"/>
      <c r="I1193" s="1"/>
      <c r="J1193" s="1"/>
      <c r="K1193" s="1"/>
      <c r="L1193" s="1"/>
      <c r="M1193" s="1"/>
      <c r="AV1193" s="18"/>
      <c r="AW1193" s="18"/>
    </row>
    <row r="1194" spans="5:49" x14ac:dyDescent="0.2">
      <c r="E1194" s="1"/>
      <c r="F1194" s="1"/>
      <c r="G1194" s="1"/>
      <c r="H1194" s="1"/>
      <c r="I1194" s="1"/>
      <c r="J1194" s="1"/>
      <c r="K1194" s="1"/>
      <c r="L1194" s="1"/>
      <c r="M1194" s="1"/>
      <c r="AV1194" s="18"/>
      <c r="AW1194" s="18"/>
    </row>
    <row r="1195" spans="5:49" x14ac:dyDescent="0.2">
      <c r="E1195" s="1"/>
      <c r="F1195" s="1"/>
      <c r="G1195" s="1"/>
      <c r="H1195" s="1"/>
      <c r="I1195" s="1"/>
      <c r="J1195" s="1"/>
      <c r="K1195" s="1"/>
      <c r="L1195" s="1"/>
      <c r="M1195" s="1"/>
      <c r="AV1195" s="18"/>
      <c r="AW1195" s="18"/>
    </row>
    <row r="1196" spans="5:49" x14ac:dyDescent="0.2">
      <c r="E1196" s="1"/>
      <c r="F1196" s="1"/>
      <c r="G1196" s="1"/>
      <c r="H1196" s="1"/>
      <c r="I1196" s="1"/>
      <c r="J1196" s="1"/>
      <c r="K1196" s="1"/>
      <c r="L1196" s="1"/>
      <c r="M1196" s="1"/>
      <c r="AV1196" s="18"/>
      <c r="AW1196" s="18"/>
    </row>
    <row r="1197" spans="5:49" x14ac:dyDescent="0.2">
      <c r="E1197" s="1"/>
      <c r="F1197" s="1"/>
      <c r="G1197" s="1"/>
      <c r="H1197" s="1"/>
      <c r="I1197" s="1"/>
      <c r="J1197" s="1"/>
      <c r="K1197" s="1"/>
      <c r="L1197" s="1"/>
      <c r="M1197" s="1"/>
      <c r="AV1197" s="18"/>
      <c r="AW1197" s="18"/>
    </row>
    <row r="1198" spans="5:49" x14ac:dyDescent="0.2">
      <c r="E1198" s="1"/>
      <c r="F1198" s="1"/>
      <c r="G1198" s="1"/>
      <c r="H1198" s="1"/>
      <c r="I1198" s="1"/>
      <c r="J1198" s="1"/>
      <c r="K1198" s="1"/>
      <c r="L1198" s="1"/>
      <c r="M1198" s="1"/>
      <c r="AV1198" s="18"/>
      <c r="AW1198" s="18"/>
    </row>
    <row r="1199" spans="5:49" x14ac:dyDescent="0.2">
      <c r="E1199" s="1"/>
      <c r="F1199" s="1"/>
      <c r="G1199" s="1"/>
      <c r="H1199" s="1"/>
      <c r="I1199" s="1"/>
      <c r="J1199" s="1"/>
      <c r="K1199" s="1"/>
      <c r="L1199" s="1"/>
      <c r="M1199" s="1"/>
      <c r="AV1199" s="18"/>
      <c r="AW1199" s="18"/>
    </row>
    <row r="1200" spans="5:49" x14ac:dyDescent="0.2">
      <c r="E1200" s="1"/>
      <c r="F1200" s="1"/>
      <c r="G1200" s="1"/>
      <c r="H1200" s="1"/>
      <c r="I1200" s="1"/>
      <c r="J1200" s="1"/>
      <c r="K1200" s="1"/>
      <c r="L1200" s="1"/>
      <c r="M1200" s="1"/>
      <c r="AV1200" s="18"/>
      <c r="AW1200" s="18"/>
    </row>
    <row r="1201" spans="5:49" x14ac:dyDescent="0.2">
      <c r="E1201" s="1"/>
      <c r="F1201" s="1"/>
      <c r="G1201" s="1"/>
      <c r="H1201" s="1"/>
      <c r="I1201" s="1"/>
      <c r="J1201" s="1"/>
      <c r="K1201" s="1"/>
      <c r="L1201" s="1"/>
      <c r="M1201" s="1"/>
      <c r="AV1201" s="18"/>
      <c r="AW1201" s="18"/>
    </row>
    <row r="1202" spans="5:49" x14ac:dyDescent="0.2">
      <c r="E1202" s="1"/>
      <c r="F1202" s="1"/>
      <c r="G1202" s="1"/>
      <c r="H1202" s="1"/>
      <c r="I1202" s="1"/>
      <c r="J1202" s="1"/>
      <c r="K1202" s="1"/>
      <c r="L1202" s="1"/>
      <c r="M1202" s="1"/>
      <c r="AV1202" s="18"/>
      <c r="AW1202" s="18"/>
    </row>
    <row r="1203" spans="5:49" x14ac:dyDescent="0.2">
      <c r="E1203" s="1"/>
      <c r="F1203" s="1"/>
      <c r="G1203" s="1"/>
      <c r="H1203" s="1"/>
      <c r="I1203" s="1"/>
      <c r="J1203" s="1"/>
      <c r="K1203" s="1"/>
      <c r="L1203" s="1"/>
      <c r="M1203" s="1"/>
      <c r="AV1203" s="18"/>
      <c r="AW1203" s="18"/>
    </row>
    <row r="1204" spans="5:49" x14ac:dyDescent="0.2">
      <c r="E1204" s="1"/>
      <c r="F1204" s="1"/>
      <c r="G1204" s="1"/>
      <c r="H1204" s="1"/>
      <c r="I1204" s="1"/>
      <c r="J1204" s="1"/>
      <c r="K1204" s="1"/>
      <c r="L1204" s="1"/>
      <c r="M1204" s="1"/>
      <c r="AV1204" s="18"/>
      <c r="AW1204" s="18"/>
    </row>
    <row r="1205" spans="5:49" x14ac:dyDescent="0.2">
      <c r="E1205" s="1"/>
      <c r="F1205" s="1"/>
      <c r="G1205" s="1"/>
      <c r="H1205" s="1"/>
      <c r="I1205" s="1"/>
      <c r="J1205" s="1"/>
      <c r="K1205" s="1"/>
      <c r="L1205" s="1"/>
      <c r="M1205" s="1"/>
      <c r="AV1205" s="18"/>
      <c r="AW1205" s="18"/>
    </row>
    <row r="1206" spans="5:49" x14ac:dyDescent="0.2">
      <c r="E1206" s="1"/>
      <c r="F1206" s="1"/>
      <c r="G1206" s="1"/>
      <c r="H1206" s="1"/>
      <c r="I1206" s="1"/>
      <c r="J1206" s="1"/>
      <c r="K1206" s="1"/>
      <c r="L1206" s="1"/>
      <c r="M1206" s="1"/>
      <c r="AV1206" s="18"/>
      <c r="AW1206" s="18"/>
    </row>
    <row r="1207" spans="5:49" x14ac:dyDescent="0.2">
      <c r="E1207" s="1"/>
      <c r="F1207" s="1"/>
      <c r="G1207" s="1"/>
      <c r="H1207" s="1"/>
      <c r="I1207" s="1"/>
      <c r="J1207" s="1"/>
      <c r="K1207" s="1"/>
      <c r="L1207" s="1"/>
      <c r="M1207" s="1"/>
      <c r="AV1207" s="18"/>
      <c r="AW1207" s="18"/>
    </row>
    <row r="1208" spans="5:49" x14ac:dyDescent="0.2">
      <c r="E1208" s="1"/>
      <c r="F1208" s="1"/>
      <c r="G1208" s="1"/>
      <c r="H1208" s="1"/>
      <c r="I1208" s="1"/>
      <c r="J1208" s="1"/>
      <c r="K1208" s="1"/>
      <c r="L1208" s="1"/>
      <c r="M1208" s="1"/>
      <c r="AV1208" s="18"/>
      <c r="AW1208" s="18"/>
    </row>
    <row r="1209" spans="5:49" x14ac:dyDescent="0.2">
      <c r="E1209" s="1"/>
      <c r="F1209" s="1"/>
      <c r="G1209" s="1"/>
      <c r="H1209" s="1"/>
      <c r="I1209" s="1"/>
      <c r="J1209" s="1"/>
      <c r="K1209" s="1"/>
      <c r="L1209" s="1"/>
      <c r="M1209" s="1"/>
      <c r="AV1209" s="18"/>
      <c r="AW1209" s="18"/>
    </row>
    <row r="1210" spans="5:49" x14ac:dyDescent="0.2">
      <c r="E1210" s="1"/>
      <c r="F1210" s="1"/>
      <c r="G1210" s="1"/>
      <c r="H1210" s="1"/>
      <c r="I1210" s="1"/>
      <c r="J1210" s="1"/>
      <c r="K1210" s="1"/>
      <c r="L1210" s="1"/>
      <c r="M1210" s="1"/>
      <c r="AV1210" s="18"/>
      <c r="AW1210" s="18"/>
    </row>
    <row r="1211" spans="5:49" x14ac:dyDescent="0.2">
      <c r="E1211" s="1"/>
      <c r="F1211" s="1"/>
      <c r="G1211" s="1"/>
      <c r="H1211" s="1"/>
      <c r="I1211" s="1"/>
      <c r="J1211" s="1"/>
      <c r="K1211" s="1"/>
      <c r="L1211" s="1"/>
      <c r="M1211" s="1"/>
      <c r="AV1211" s="18"/>
      <c r="AW1211" s="18"/>
    </row>
    <row r="1212" spans="5:49" x14ac:dyDescent="0.2">
      <c r="E1212" s="1"/>
      <c r="F1212" s="1"/>
      <c r="G1212" s="1"/>
      <c r="H1212" s="1"/>
      <c r="I1212" s="1"/>
      <c r="J1212" s="1"/>
      <c r="K1212" s="1"/>
      <c r="L1212" s="1"/>
      <c r="M1212" s="1"/>
      <c r="AV1212" s="18"/>
      <c r="AW1212" s="18"/>
    </row>
    <row r="1213" spans="5:49" x14ac:dyDescent="0.2">
      <c r="E1213" s="1"/>
      <c r="F1213" s="1"/>
      <c r="G1213" s="1"/>
      <c r="H1213" s="1"/>
      <c r="I1213" s="1"/>
      <c r="J1213" s="1"/>
      <c r="K1213" s="1"/>
      <c r="L1213" s="1"/>
      <c r="M1213" s="1"/>
      <c r="AV1213" s="18"/>
      <c r="AW1213" s="18"/>
    </row>
    <row r="1214" spans="5:49" x14ac:dyDescent="0.2">
      <c r="E1214" s="1"/>
      <c r="F1214" s="1"/>
      <c r="G1214" s="1"/>
      <c r="H1214" s="1"/>
      <c r="I1214" s="1"/>
      <c r="J1214" s="1"/>
      <c r="K1214" s="1"/>
      <c r="L1214" s="1"/>
      <c r="M1214" s="1"/>
      <c r="AV1214" s="18"/>
      <c r="AW1214" s="18"/>
    </row>
    <row r="1215" spans="5:49" x14ac:dyDescent="0.2">
      <c r="E1215" s="1"/>
      <c r="F1215" s="1"/>
      <c r="G1215" s="1"/>
      <c r="H1215" s="1"/>
      <c r="I1215" s="1"/>
      <c r="J1215" s="1"/>
      <c r="K1215" s="1"/>
      <c r="L1215" s="1"/>
      <c r="M1215" s="1"/>
      <c r="AV1215" s="18"/>
      <c r="AW1215" s="18"/>
    </row>
    <row r="1216" spans="5:49" x14ac:dyDescent="0.2">
      <c r="E1216" s="1"/>
      <c r="F1216" s="1"/>
      <c r="G1216" s="1"/>
      <c r="H1216" s="1"/>
      <c r="I1216" s="1"/>
      <c r="J1216" s="1"/>
      <c r="K1216" s="1"/>
      <c r="L1216" s="1"/>
      <c r="M1216" s="1"/>
      <c r="AV1216" s="18"/>
      <c r="AW1216" s="18"/>
    </row>
    <row r="1217" spans="5:49" x14ac:dyDescent="0.2">
      <c r="E1217" s="1"/>
      <c r="F1217" s="1"/>
      <c r="G1217" s="1"/>
      <c r="H1217" s="1"/>
      <c r="I1217" s="1"/>
      <c r="J1217" s="1"/>
      <c r="K1217" s="1"/>
      <c r="L1217" s="1"/>
      <c r="M1217" s="1"/>
      <c r="AV1217" s="18"/>
      <c r="AW1217" s="18"/>
    </row>
    <row r="1218" spans="5:49" x14ac:dyDescent="0.2">
      <c r="E1218" s="1"/>
      <c r="F1218" s="1"/>
      <c r="G1218" s="1"/>
      <c r="H1218" s="1"/>
      <c r="I1218" s="1"/>
      <c r="J1218" s="1"/>
      <c r="K1218" s="1"/>
      <c r="L1218" s="1"/>
      <c r="M1218" s="1"/>
      <c r="AV1218" s="18"/>
      <c r="AW1218" s="18"/>
    </row>
    <row r="1219" spans="5:49" x14ac:dyDescent="0.2">
      <c r="E1219" s="1"/>
      <c r="F1219" s="1"/>
      <c r="G1219" s="1"/>
      <c r="H1219" s="1"/>
      <c r="I1219" s="1"/>
      <c r="J1219" s="1"/>
      <c r="K1219" s="1"/>
      <c r="L1219" s="1"/>
      <c r="M1219" s="1"/>
      <c r="AV1219" s="18"/>
      <c r="AW1219" s="18"/>
    </row>
    <row r="1220" spans="5:49" x14ac:dyDescent="0.2">
      <c r="E1220" s="1"/>
      <c r="F1220" s="1"/>
      <c r="G1220" s="1"/>
      <c r="H1220" s="1"/>
      <c r="I1220" s="1"/>
      <c r="J1220" s="1"/>
      <c r="K1220" s="1"/>
      <c r="L1220" s="1"/>
      <c r="M1220" s="1"/>
      <c r="AV1220" s="18"/>
      <c r="AW1220" s="18"/>
    </row>
    <row r="1221" spans="5:49" x14ac:dyDescent="0.2">
      <c r="E1221" s="1"/>
      <c r="F1221" s="1"/>
      <c r="G1221" s="1"/>
      <c r="H1221" s="1"/>
      <c r="I1221" s="1"/>
      <c r="J1221" s="1"/>
      <c r="K1221" s="1"/>
      <c r="L1221" s="1"/>
      <c r="M1221" s="1"/>
      <c r="AV1221" s="18"/>
      <c r="AW1221" s="18"/>
    </row>
    <row r="1222" spans="5:49" x14ac:dyDescent="0.2">
      <c r="E1222" s="1"/>
      <c r="F1222" s="1"/>
      <c r="G1222" s="1"/>
      <c r="H1222" s="1"/>
      <c r="I1222" s="1"/>
      <c r="J1222" s="1"/>
      <c r="K1222" s="1"/>
      <c r="L1222" s="1"/>
      <c r="M1222" s="1"/>
      <c r="AV1222" s="18"/>
      <c r="AW1222" s="18"/>
    </row>
    <row r="1223" spans="5:49" x14ac:dyDescent="0.2">
      <c r="E1223" s="1"/>
      <c r="F1223" s="1"/>
      <c r="G1223" s="1"/>
      <c r="H1223" s="1"/>
      <c r="I1223" s="1"/>
      <c r="J1223" s="1"/>
      <c r="K1223" s="1"/>
      <c r="L1223" s="1"/>
      <c r="M1223" s="1"/>
      <c r="AV1223" s="18"/>
      <c r="AW1223" s="18"/>
    </row>
    <row r="1224" spans="5:49" x14ac:dyDescent="0.2">
      <c r="E1224" s="1"/>
      <c r="F1224" s="1"/>
      <c r="G1224" s="1"/>
      <c r="H1224" s="1"/>
      <c r="I1224" s="1"/>
      <c r="J1224" s="1"/>
      <c r="K1224" s="1"/>
      <c r="L1224" s="1"/>
      <c r="M1224" s="1"/>
      <c r="AV1224" s="18"/>
      <c r="AW1224" s="18"/>
    </row>
    <row r="1225" spans="5:49" x14ac:dyDescent="0.2">
      <c r="E1225" s="1"/>
      <c r="F1225" s="1"/>
      <c r="G1225" s="1"/>
      <c r="H1225" s="1"/>
      <c r="I1225" s="1"/>
      <c r="J1225" s="1"/>
      <c r="K1225" s="1"/>
      <c r="L1225" s="1"/>
      <c r="M1225" s="1"/>
      <c r="AV1225" s="18"/>
      <c r="AW1225" s="18"/>
    </row>
    <row r="1226" spans="5:49" x14ac:dyDescent="0.2">
      <c r="E1226" s="1"/>
      <c r="F1226" s="1"/>
      <c r="G1226" s="1"/>
      <c r="H1226" s="1"/>
      <c r="I1226" s="1"/>
      <c r="J1226" s="1"/>
      <c r="K1226" s="1"/>
      <c r="L1226" s="1"/>
      <c r="M1226" s="1"/>
      <c r="AV1226" s="18"/>
      <c r="AW1226" s="18"/>
    </row>
    <row r="1227" spans="5:49" x14ac:dyDescent="0.2">
      <c r="E1227" s="1"/>
      <c r="F1227" s="1"/>
      <c r="G1227" s="1"/>
      <c r="H1227" s="1"/>
      <c r="I1227" s="1"/>
      <c r="J1227" s="1"/>
      <c r="K1227" s="1"/>
      <c r="L1227" s="1"/>
      <c r="M1227" s="1"/>
      <c r="AV1227" s="18"/>
      <c r="AW1227" s="18"/>
    </row>
    <row r="1228" spans="5:49" x14ac:dyDescent="0.2">
      <c r="E1228" s="1"/>
      <c r="F1228" s="1"/>
      <c r="G1228" s="1"/>
      <c r="H1228" s="1"/>
      <c r="I1228" s="1"/>
      <c r="J1228" s="1"/>
      <c r="K1228" s="1"/>
      <c r="L1228" s="1"/>
      <c r="M1228" s="1"/>
      <c r="AV1228" s="18"/>
      <c r="AW1228" s="18"/>
    </row>
    <row r="1229" spans="5:49" x14ac:dyDescent="0.2">
      <c r="E1229" s="1"/>
      <c r="F1229" s="1"/>
      <c r="G1229" s="1"/>
      <c r="H1229" s="1"/>
      <c r="I1229" s="1"/>
      <c r="J1229" s="1"/>
      <c r="K1229" s="1"/>
      <c r="L1229" s="1"/>
      <c r="M1229" s="1"/>
      <c r="AV1229" s="18"/>
      <c r="AW1229" s="18"/>
    </row>
    <row r="1230" spans="5:49" x14ac:dyDescent="0.2">
      <c r="E1230" s="1"/>
      <c r="F1230" s="1"/>
      <c r="G1230" s="1"/>
      <c r="H1230" s="1"/>
      <c r="I1230" s="1"/>
      <c r="J1230" s="1"/>
      <c r="K1230" s="1"/>
      <c r="L1230" s="1"/>
      <c r="M1230" s="1"/>
      <c r="AV1230" s="18"/>
      <c r="AW1230" s="18"/>
    </row>
    <row r="1231" spans="5:49" x14ac:dyDescent="0.2">
      <c r="E1231" s="1"/>
      <c r="F1231" s="1"/>
      <c r="G1231" s="1"/>
      <c r="H1231" s="1"/>
      <c r="I1231" s="1"/>
      <c r="J1231" s="1"/>
      <c r="K1231" s="1"/>
      <c r="L1231" s="1"/>
      <c r="M1231" s="1"/>
      <c r="AV1231" s="18"/>
      <c r="AW1231" s="18"/>
    </row>
    <row r="1232" spans="5:49" x14ac:dyDescent="0.2">
      <c r="E1232" s="1"/>
      <c r="F1232" s="1"/>
      <c r="G1232" s="1"/>
      <c r="H1232" s="1"/>
      <c r="I1232" s="1"/>
      <c r="J1232" s="1"/>
      <c r="K1232" s="1"/>
      <c r="L1232" s="1"/>
      <c r="M1232" s="1"/>
      <c r="AV1232" s="18"/>
      <c r="AW1232" s="18"/>
    </row>
    <row r="1233" spans="5:49" x14ac:dyDescent="0.2">
      <c r="E1233" s="1"/>
      <c r="F1233" s="1"/>
      <c r="G1233" s="1"/>
      <c r="H1233" s="1"/>
      <c r="I1233" s="1"/>
      <c r="J1233" s="1"/>
      <c r="K1233" s="1"/>
      <c r="L1233" s="1"/>
      <c r="M1233" s="1"/>
      <c r="AV1233" s="18"/>
      <c r="AW1233" s="18"/>
    </row>
    <row r="1234" spans="5:49" x14ac:dyDescent="0.2">
      <c r="E1234" s="1"/>
      <c r="F1234" s="1"/>
      <c r="G1234" s="1"/>
      <c r="H1234" s="1"/>
      <c r="I1234" s="1"/>
      <c r="J1234" s="1"/>
      <c r="K1234" s="1"/>
      <c r="L1234" s="1"/>
      <c r="M1234" s="1"/>
      <c r="AV1234" s="18"/>
      <c r="AW1234" s="18"/>
    </row>
    <row r="1235" spans="5:49" x14ac:dyDescent="0.2">
      <c r="E1235" s="1"/>
      <c r="F1235" s="1"/>
      <c r="G1235" s="1"/>
      <c r="H1235" s="1"/>
      <c r="I1235" s="1"/>
      <c r="J1235" s="1"/>
      <c r="K1235" s="1"/>
      <c r="L1235" s="1"/>
      <c r="M1235" s="1"/>
      <c r="AV1235" s="18"/>
      <c r="AW1235" s="18"/>
    </row>
    <row r="1236" spans="5:49" x14ac:dyDescent="0.2">
      <c r="E1236" s="1"/>
      <c r="F1236" s="1"/>
      <c r="G1236" s="1"/>
      <c r="H1236" s="1"/>
      <c r="I1236" s="1"/>
      <c r="J1236" s="1"/>
      <c r="K1236" s="1"/>
      <c r="L1236" s="1"/>
      <c r="M1236" s="1"/>
      <c r="AV1236" s="18"/>
      <c r="AW1236" s="18"/>
    </row>
    <row r="1237" spans="5:49" x14ac:dyDescent="0.2">
      <c r="E1237" s="1"/>
      <c r="F1237" s="1"/>
      <c r="G1237" s="1"/>
      <c r="H1237" s="1"/>
      <c r="I1237" s="1"/>
      <c r="J1237" s="1"/>
      <c r="K1237" s="1"/>
      <c r="L1237" s="1"/>
      <c r="M1237" s="1"/>
      <c r="AV1237" s="18"/>
      <c r="AW1237" s="18"/>
    </row>
    <row r="1238" spans="5:49" x14ac:dyDescent="0.2">
      <c r="E1238" s="1"/>
      <c r="F1238" s="1"/>
      <c r="G1238" s="1"/>
      <c r="H1238" s="1"/>
      <c r="I1238" s="1"/>
      <c r="J1238" s="1"/>
      <c r="K1238" s="1"/>
      <c r="L1238" s="1"/>
      <c r="M1238" s="1"/>
      <c r="AV1238" s="18"/>
      <c r="AW1238" s="18"/>
    </row>
    <row r="1239" spans="5:49" x14ac:dyDescent="0.2">
      <c r="E1239" s="1"/>
      <c r="F1239" s="1"/>
      <c r="G1239" s="1"/>
      <c r="H1239" s="1"/>
      <c r="I1239" s="1"/>
      <c r="J1239" s="1"/>
      <c r="K1239" s="1"/>
      <c r="L1239" s="1"/>
      <c r="M1239" s="1"/>
      <c r="AV1239" s="18"/>
      <c r="AW1239" s="18"/>
    </row>
    <row r="1240" spans="5:49" x14ac:dyDescent="0.2">
      <c r="E1240" s="1"/>
      <c r="F1240" s="1"/>
      <c r="G1240" s="1"/>
      <c r="H1240" s="1"/>
      <c r="I1240" s="1"/>
      <c r="J1240" s="1"/>
      <c r="K1240" s="1"/>
      <c r="L1240" s="1"/>
      <c r="M1240" s="1"/>
      <c r="AV1240" s="18"/>
      <c r="AW1240" s="18"/>
    </row>
    <row r="1241" spans="5:49" x14ac:dyDescent="0.2">
      <c r="E1241" s="1"/>
      <c r="F1241" s="1"/>
      <c r="G1241" s="1"/>
      <c r="H1241" s="1"/>
      <c r="I1241" s="1"/>
      <c r="J1241" s="1"/>
      <c r="K1241" s="1"/>
      <c r="L1241" s="1"/>
      <c r="M1241" s="1"/>
      <c r="AV1241" s="18"/>
      <c r="AW1241" s="18"/>
    </row>
    <row r="1242" spans="5:49" x14ac:dyDescent="0.2">
      <c r="E1242" s="1"/>
      <c r="F1242" s="1"/>
      <c r="G1242" s="1"/>
      <c r="H1242" s="1"/>
      <c r="I1242" s="1"/>
      <c r="J1242" s="1"/>
      <c r="K1242" s="1"/>
      <c r="L1242" s="1"/>
      <c r="M1242" s="1"/>
      <c r="AV1242" s="18"/>
      <c r="AW1242" s="18"/>
    </row>
    <row r="1243" spans="5:49" x14ac:dyDescent="0.2">
      <c r="E1243" s="1"/>
      <c r="F1243" s="1"/>
      <c r="G1243" s="1"/>
      <c r="H1243" s="1"/>
      <c r="I1243" s="1"/>
      <c r="J1243" s="1"/>
      <c r="K1243" s="1"/>
      <c r="L1243" s="1"/>
      <c r="M1243" s="1"/>
      <c r="AV1243" s="18"/>
      <c r="AW1243" s="18"/>
    </row>
    <row r="1244" spans="5:49" x14ac:dyDescent="0.2">
      <c r="E1244" s="1"/>
      <c r="F1244" s="1"/>
      <c r="G1244" s="1"/>
      <c r="H1244" s="1"/>
      <c r="I1244" s="1"/>
      <c r="J1244" s="1"/>
      <c r="K1244" s="1"/>
      <c r="L1244" s="1"/>
      <c r="M1244" s="1"/>
      <c r="AV1244" s="18"/>
      <c r="AW1244" s="18"/>
    </row>
    <row r="1245" spans="5:49" x14ac:dyDescent="0.2">
      <c r="E1245" s="1"/>
      <c r="F1245" s="1"/>
      <c r="G1245" s="1"/>
      <c r="H1245" s="1"/>
      <c r="I1245" s="1"/>
      <c r="J1245" s="1"/>
      <c r="K1245" s="1"/>
      <c r="L1245" s="1"/>
      <c r="M1245" s="1"/>
      <c r="AV1245" s="18"/>
      <c r="AW1245" s="18"/>
    </row>
    <row r="1246" spans="5:49" x14ac:dyDescent="0.2">
      <c r="E1246" s="1"/>
      <c r="F1246" s="1"/>
      <c r="G1246" s="1"/>
      <c r="H1246" s="1"/>
      <c r="I1246" s="1"/>
      <c r="J1246" s="1"/>
      <c r="K1246" s="1"/>
      <c r="L1246" s="1"/>
      <c r="M1246" s="1"/>
      <c r="AV1246" s="18"/>
      <c r="AW1246" s="18"/>
    </row>
    <row r="1247" spans="5:49" x14ac:dyDescent="0.2">
      <c r="E1247" s="1"/>
      <c r="F1247" s="1"/>
      <c r="G1247" s="1"/>
      <c r="H1247" s="1"/>
      <c r="I1247" s="1"/>
      <c r="J1247" s="1"/>
      <c r="K1247" s="1"/>
      <c r="L1247" s="1"/>
      <c r="M1247" s="1"/>
      <c r="AV1247" s="18"/>
      <c r="AW1247" s="18"/>
    </row>
    <row r="1248" spans="5:49" x14ac:dyDescent="0.2">
      <c r="E1248" s="1"/>
      <c r="F1248" s="1"/>
      <c r="G1248" s="1"/>
      <c r="H1248" s="1"/>
      <c r="I1248" s="1"/>
      <c r="J1248" s="1"/>
      <c r="K1248" s="1"/>
      <c r="L1248" s="1"/>
      <c r="M1248" s="1"/>
      <c r="AV1248" s="18"/>
      <c r="AW1248" s="18"/>
    </row>
    <row r="1249" spans="5:49" x14ac:dyDescent="0.2">
      <c r="E1249" s="1"/>
      <c r="F1249" s="1"/>
      <c r="G1249" s="1"/>
      <c r="H1249" s="1"/>
      <c r="I1249" s="1"/>
      <c r="J1249" s="1"/>
      <c r="K1249" s="1"/>
      <c r="L1249" s="1"/>
      <c r="M1249" s="1"/>
      <c r="AV1249" s="18"/>
      <c r="AW1249" s="18"/>
    </row>
    <row r="1250" spans="5:49" x14ac:dyDescent="0.2">
      <c r="E1250" s="1"/>
      <c r="F1250" s="1"/>
      <c r="G1250" s="1"/>
      <c r="H1250" s="1"/>
      <c r="I1250" s="1"/>
      <c r="J1250" s="1"/>
      <c r="K1250" s="1"/>
      <c r="L1250" s="1"/>
      <c r="M1250" s="1"/>
      <c r="AV1250" s="18"/>
      <c r="AW1250" s="18"/>
    </row>
    <row r="1251" spans="5:49" x14ac:dyDescent="0.2">
      <c r="E1251" s="1"/>
      <c r="F1251" s="1"/>
      <c r="G1251" s="1"/>
      <c r="H1251" s="1"/>
      <c r="I1251" s="1"/>
      <c r="J1251" s="1"/>
      <c r="K1251" s="1"/>
      <c r="L1251" s="1"/>
      <c r="M1251" s="1"/>
      <c r="AV1251" s="18"/>
      <c r="AW1251" s="18"/>
    </row>
    <row r="1252" spans="5:49" x14ac:dyDescent="0.2">
      <c r="E1252" s="1"/>
      <c r="F1252" s="1"/>
      <c r="G1252" s="1"/>
      <c r="H1252" s="1"/>
      <c r="I1252" s="1"/>
      <c r="J1252" s="1"/>
      <c r="K1252" s="1"/>
      <c r="L1252" s="1"/>
      <c r="M1252" s="1"/>
      <c r="AV1252" s="18"/>
      <c r="AW1252" s="18"/>
    </row>
    <row r="1253" spans="5:49" x14ac:dyDescent="0.2">
      <c r="E1253" s="1"/>
      <c r="F1253" s="1"/>
      <c r="G1253" s="1"/>
      <c r="H1253" s="1"/>
      <c r="I1253" s="1"/>
      <c r="J1253" s="1"/>
      <c r="K1253" s="1"/>
      <c r="L1253" s="1"/>
      <c r="M1253" s="1"/>
      <c r="AV1253" s="18"/>
      <c r="AW1253" s="18"/>
    </row>
    <row r="1254" spans="5:49" x14ac:dyDescent="0.2">
      <c r="E1254" s="1"/>
      <c r="F1254" s="1"/>
      <c r="G1254" s="1"/>
      <c r="H1254" s="1"/>
      <c r="I1254" s="1"/>
      <c r="J1254" s="1"/>
      <c r="K1254" s="1"/>
      <c r="L1254" s="1"/>
      <c r="M1254" s="1"/>
      <c r="AV1254" s="18"/>
      <c r="AW1254" s="18"/>
    </row>
    <row r="1255" spans="5:49" x14ac:dyDescent="0.2">
      <c r="E1255" s="1"/>
      <c r="F1255" s="1"/>
      <c r="G1255" s="1"/>
      <c r="H1255" s="1"/>
      <c r="I1255" s="1"/>
      <c r="J1255" s="1"/>
      <c r="K1255" s="1"/>
      <c r="L1255" s="1"/>
      <c r="M1255" s="1"/>
      <c r="AV1255" s="18"/>
      <c r="AW1255" s="18"/>
    </row>
    <row r="1256" spans="5:49" x14ac:dyDescent="0.2">
      <c r="E1256" s="1"/>
      <c r="F1256" s="1"/>
      <c r="G1256" s="1"/>
      <c r="H1256" s="1"/>
      <c r="I1256" s="1"/>
      <c r="J1256" s="1"/>
      <c r="K1256" s="1"/>
      <c r="L1256" s="1"/>
      <c r="M1256" s="1"/>
      <c r="AV1256" s="18"/>
      <c r="AW1256" s="18"/>
    </row>
    <row r="1257" spans="5:49" x14ac:dyDescent="0.2">
      <c r="E1257" s="1"/>
      <c r="F1257" s="1"/>
      <c r="G1257" s="1"/>
      <c r="H1257" s="1"/>
      <c r="I1257" s="1"/>
      <c r="J1257" s="1"/>
      <c r="K1257" s="1"/>
      <c r="L1257" s="1"/>
      <c r="M1257" s="1"/>
      <c r="AV1257" s="18"/>
      <c r="AW1257" s="18"/>
    </row>
    <row r="1258" spans="5:49" x14ac:dyDescent="0.2">
      <c r="E1258" s="1"/>
      <c r="F1258" s="1"/>
      <c r="G1258" s="1"/>
      <c r="H1258" s="1"/>
      <c r="I1258" s="1"/>
      <c r="J1258" s="1"/>
      <c r="K1258" s="1"/>
      <c r="L1258" s="1"/>
      <c r="M1258" s="1"/>
      <c r="AV1258" s="18"/>
      <c r="AW1258" s="18"/>
    </row>
    <row r="1259" spans="5:49" x14ac:dyDescent="0.2">
      <c r="E1259" s="1"/>
      <c r="F1259" s="1"/>
      <c r="G1259" s="1"/>
      <c r="H1259" s="1"/>
      <c r="I1259" s="1"/>
      <c r="J1259" s="1"/>
      <c r="K1259" s="1"/>
      <c r="L1259" s="1"/>
      <c r="M1259" s="1"/>
      <c r="AV1259" s="18"/>
      <c r="AW1259" s="18"/>
    </row>
    <row r="1260" spans="5:49" x14ac:dyDescent="0.2">
      <c r="E1260" s="1"/>
      <c r="F1260" s="1"/>
      <c r="G1260" s="1"/>
      <c r="H1260" s="1"/>
      <c r="I1260" s="1"/>
      <c r="J1260" s="1"/>
      <c r="K1260" s="1"/>
      <c r="L1260" s="1"/>
      <c r="M1260" s="1"/>
      <c r="AV1260" s="18"/>
      <c r="AW1260" s="18"/>
    </row>
    <row r="1261" spans="5:49" x14ac:dyDescent="0.2">
      <c r="E1261" s="1"/>
      <c r="F1261" s="1"/>
      <c r="G1261" s="1"/>
      <c r="H1261" s="1"/>
      <c r="I1261" s="1"/>
      <c r="J1261" s="1"/>
      <c r="K1261" s="1"/>
      <c r="L1261" s="1"/>
      <c r="M1261" s="1"/>
      <c r="AV1261" s="18"/>
      <c r="AW1261" s="18"/>
    </row>
    <row r="1262" spans="5:49" x14ac:dyDescent="0.2">
      <c r="E1262" s="1"/>
      <c r="F1262" s="1"/>
      <c r="G1262" s="1"/>
      <c r="H1262" s="1"/>
      <c r="I1262" s="1"/>
      <c r="J1262" s="1"/>
      <c r="K1262" s="1"/>
      <c r="L1262" s="1"/>
      <c r="M1262" s="1"/>
      <c r="AV1262" s="18"/>
      <c r="AW1262" s="18"/>
    </row>
    <row r="1263" spans="5:49" x14ac:dyDescent="0.2">
      <c r="E1263" s="1"/>
      <c r="F1263" s="1"/>
      <c r="G1263" s="1"/>
      <c r="H1263" s="1"/>
      <c r="I1263" s="1"/>
      <c r="J1263" s="1"/>
      <c r="K1263" s="1"/>
      <c r="L1263" s="1"/>
      <c r="M1263" s="1"/>
      <c r="AV1263" s="18"/>
      <c r="AW1263" s="18"/>
    </row>
    <row r="1264" spans="5:49" x14ac:dyDescent="0.2">
      <c r="E1264" s="1"/>
      <c r="F1264" s="1"/>
      <c r="G1264" s="1"/>
      <c r="H1264" s="1"/>
      <c r="I1264" s="1"/>
      <c r="J1264" s="1"/>
      <c r="K1264" s="1"/>
      <c r="L1264" s="1"/>
      <c r="M1264" s="1"/>
      <c r="AV1264" s="18"/>
      <c r="AW1264" s="18"/>
    </row>
    <row r="1265" spans="5:49" x14ac:dyDescent="0.2">
      <c r="E1265" s="1"/>
      <c r="F1265" s="1"/>
      <c r="G1265" s="1"/>
      <c r="H1265" s="1"/>
      <c r="I1265" s="1"/>
      <c r="J1265" s="1"/>
      <c r="K1265" s="1"/>
      <c r="L1265" s="1"/>
      <c r="M1265" s="1"/>
      <c r="AV1265" s="18"/>
      <c r="AW1265" s="18"/>
    </row>
    <row r="1266" spans="5:49" x14ac:dyDescent="0.2">
      <c r="E1266" s="1"/>
      <c r="F1266" s="1"/>
      <c r="G1266" s="1"/>
      <c r="H1266" s="1"/>
      <c r="I1266" s="1"/>
      <c r="J1266" s="1"/>
      <c r="K1266" s="1"/>
      <c r="L1266" s="1"/>
      <c r="M1266" s="1"/>
      <c r="AV1266" s="18"/>
      <c r="AW1266" s="18"/>
    </row>
    <row r="1267" spans="5:49" x14ac:dyDescent="0.2">
      <c r="E1267" s="1"/>
      <c r="F1267" s="1"/>
      <c r="G1267" s="1"/>
      <c r="H1267" s="1"/>
      <c r="I1267" s="1"/>
      <c r="J1267" s="1"/>
      <c r="K1267" s="1"/>
      <c r="L1267" s="1"/>
      <c r="M1267" s="1"/>
      <c r="AV1267" s="18"/>
      <c r="AW1267" s="18"/>
    </row>
    <row r="1268" spans="5:49" x14ac:dyDescent="0.2">
      <c r="E1268" s="1"/>
      <c r="F1268" s="1"/>
      <c r="G1268" s="1"/>
      <c r="H1268" s="1"/>
      <c r="I1268" s="1"/>
      <c r="J1268" s="1"/>
      <c r="K1268" s="1"/>
      <c r="L1268" s="1"/>
      <c r="M1268" s="1"/>
      <c r="AV1268" s="18"/>
      <c r="AW1268" s="18"/>
    </row>
    <row r="1269" spans="5:49" x14ac:dyDescent="0.2">
      <c r="E1269" s="1"/>
      <c r="F1269" s="1"/>
      <c r="G1269" s="1"/>
      <c r="H1269" s="1"/>
      <c r="I1269" s="1"/>
      <c r="J1269" s="1"/>
      <c r="K1269" s="1"/>
      <c r="L1269" s="1"/>
      <c r="M1269" s="1"/>
      <c r="AV1269" s="18"/>
      <c r="AW1269" s="18"/>
    </row>
    <row r="1270" spans="5:49" x14ac:dyDescent="0.2">
      <c r="E1270" s="1"/>
      <c r="F1270" s="1"/>
      <c r="G1270" s="1"/>
      <c r="H1270" s="1"/>
      <c r="I1270" s="1"/>
      <c r="J1270" s="1"/>
      <c r="K1270" s="1"/>
      <c r="L1270" s="1"/>
      <c r="M1270" s="1"/>
      <c r="AV1270" s="18"/>
      <c r="AW1270" s="18"/>
    </row>
    <row r="1271" spans="5:49" x14ac:dyDescent="0.2">
      <c r="E1271" s="1"/>
      <c r="F1271" s="1"/>
      <c r="G1271" s="1"/>
      <c r="H1271" s="1"/>
      <c r="I1271" s="1"/>
      <c r="J1271" s="1"/>
      <c r="K1271" s="1"/>
      <c r="L1271" s="1"/>
      <c r="M1271" s="1"/>
      <c r="AV1271" s="18"/>
      <c r="AW1271" s="18"/>
    </row>
    <row r="1272" spans="5:49" x14ac:dyDescent="0.2">
      <c r="E1272" s="1"/>
      <c r="F1272" s="1"/>
      <c r="G1272" s="1"/>
      <c r="H1272" s="1"/>
      <c r="I1272" s="1"/>
      <c r="J1272" s="1"/>
      <c r="K1272" s="1"/>
      <c r="L1272" s="1"/>
      <c r="M1272" s="1"/>
      <c r="AV1272" s="18"/>
      <c r="AW1272" s="18"/>
    </row>
    <row r="1273" spans="5:49" x14ac:dyDescent="0.2">
      <c r="E1273" s="1"/>
      <c r="F1273" s="1"/>
      <c r="G1273" s="1"/>
      <c r="H1273" s="1"/>
      <c r="I1273" s="1"/>
      <c r="J1273" s="1"/>
      <c r="K1273" s="1"/>
      <c r="L1273" s="1"/>
      <c r="M1273" s="1"/>
      <c r="AV1273" s="18"/>
      <c r="AW1273" s="18"/>
    </row>
    <row r="1274" spans="5:49" x14ac:dyDescent="0.2">
      <c r="E1274" s="1"/>
      <c r="F1274" s="1"/>
      <c r="G1274" s="1"/>
      <c r="H1274" s="1"/>
      <c r="I1274" s="1"/>
      <c r="J1274" s="1"/>
      <c r="K1274" s="1"/>
      <c r="L1274" s="1"/>
      <c r="M1274" s="1"/>
      <c r="AV1274" s="18"/>
      <c r="AW1274" s="18"/>
    </row>
    <row r="1275" spans="5:49" x14ac:dyDescent="0.2">
      <c r="E1275" s="1"/>
      <c r="F1275" s="1"/>
      <c r="G1275" s="1"/>
      <c r="H1275" s="1"/>
      <c r="I1275" s="1"/>
      <c r="J1275" s="1"/>
      <c r="K1275" s="1"/>
      <c r="L1275" s="1"/>
      <c r="M1275" s="1"/>
      <c r="AV1275" s="18"/>
      <c r="AW1275" s="18"/>
    </row>
    <row r="1276" spans="5:49" x14ac:dyDescent="0.2">
      <c r="E1276" s="1"/>
      <c r="F1276" s="1"/>
      <c r="G1276" s="1"/>
      <c r="H1276" s="1"/>
      <c r="I1276" s="1"/>
      <c r="J1276" s="1"/>
      <c r="K1276" s="1"/>
      <c r="L1276" s="1"/>
      <c r="M1276" s="1"/>
      <c r="AV1276" s="18"/>
      <c r="AW1276" s="18"/>
    </row>
    <row r="1277" spans="5:49" x14ac:dyDescent="0.2">
      <c r="E1277" s="1"/>
      <c r="F1277" s="1"/>
      <c r="G1277" s="1"/>
      <c r="H1277" s="1"/>
      <c r="I1277" s="1"/>
      <c r="J1277" s="1"/>
      <c r="K1277" s="1"/>
      <c r="L1277" s="1"/>
      <c r="M1277" s="1"/>
      <c r="AV1277" s="18"/>
      <c r="AW1277" s="18"/>
    </row>
    <row r="1278" spans="5:49" x14ac:dyDescent="0.2">
      <c r="E1278" s="1"/>
      <c r="F1278" s="1"/>
      <c r="G1278" s="1"/>
      <c r="H1278" s="1"/>
      <c r="I1278" s="1"/>
      <c r="J1278" s="1"/>
      <c r="K1278" s="1"/>
      <c r="L1278" s="1"/>
      <c r="M1278" s="1"/>
      <c r="AV1278" s="18"/>
      <c r="AW1278" s="18"/>
    </row>
    <row r="1279" spans="5:49" x14ac:dyDescent="0.2">
      <c r="E1279" s="1"/>
      <c r="F1279" s="1"/>
      <c r="G1279" s="1"/>
      <c r="H1279" s="1"/>
      <c r="I1279" s="1"/>
      <c r="J1279" s="1"/>
      <c r="K1279" s="1"/>
      <c r="L1279" s="1"/>
      <c r="M1279" s="1"/>
      <c r="AV1279" s="18"/>
      <c r="AW1279" s="18"/>
    </row>
    <row r="1280" spans="5:49" x14ac:dyDescent="0.2">
      <c r="E1280" s="1"/>
      <c r="F1280" s="1"/>
      <c r="G1280" s="1"/>
      <c r="H1280" s="1"/>
      <c r="I1280" s="1"/>
      <c r="J1280" s="1"/>
      <c r="K1280" s="1"/>
      <c r="L1280" s="1"/>
      <c r="M1280" s="1"/>
      <c r="AV1280" s="18"/>
      <c r="AW1280" s="18"/>
    </row>
    <row r="1281" spans="5:49" x14ac:dyDescent="0.2">
      <c r="E1281" s="1"/>
      <c r="F1281" s="1"/>
      <c r="G1281" s="1"/>
      <c r="H1281" s="1"/>
      <c r="I1281" s="1"/>
      <c r="J1281" s="1"/>
      <c r="K1281" s="1"/>
      <c r="L1281" s="1"/>
      <c r="M1281" s="1"/>
      <c r="AV1281" s="18"/>
      <c r="AW1281" s="18"/>
    </row>
    <row r="1282" spans="5:49" x14ac:dyDescent="0.2">
      <c r="E1282" s="1"/>
      <c r="F1282" s="1"/>
      <c r="G1282" s="1"/>
      <c r="H1282" s="1"/>
      <c r="I1282" s="1"/>
      <c r="J1282" s="1"/>
      <c r="K1282" s="1"/>
      <c r="L1282" s="1"/>
      <c r="M1282" s="1"/>
      <c r="AV1282" s="18"/>
      <c r="AW1282" s="18"/>
    </row>
    <row r="1283" spans="5:49" x14ac:dyDescent="0.2">
      <c r="E1283" s="1"/>
      <c r="F1283" s="1"/>
      <c r="G1283" s="1"/>
      <c r="H1283" s="1"/>
      <c r="I1283" s="1"/>
      <c r="J1283" s="1"/>
      <c r="K1283" s="1"/>
      <c r="L1283" s="1"/>
      <c r="M1283" s="1"/>
      <c r="AV1283" s="18"/>
      <c r="AW1283" s="18"/>
    </row>
    <row r="1284" spans="5:49" x14ac:dyDescent="0.2">
      <c r="E1284" s="1"/>
      <c r="F1284" s="1"/>
      <c r="G1284" s="1"/>
      <c r="H1284" s="1"/>
      <c r="I1284" s="1"/>
      <c r="J1284" s="1"/>
      <c r="K1284" s="1"/>
      <c r="L1284" s="1"/>
      <c r="M1284" s="1"/>
      <c r="AV1284" s="18"/>
      <c r="AW1284" s="18"/>
    </row>
    <row r="1285" spans="5:49" x14ac:dyDescent="0.2">
      <c r="E1285" s="1"/>
      <c r="F1285" s="1"/>
      <c r="G1285" s="1"/>
      <c r="H1285" s="1"/>
      <c r="I1285" s="1"/>
      <c r="J1285" s="1"/>
      <c r="K1285" s="1"/>
      <c r="L1285" s="1"/>
      <c r="M1285" s="1"/>
      <c r="AV1285" s="18"/>
      <c r="AW1285" s="18"/>
    </row>
    <row r="1286" spans="5:49" x14ac:dyDescent="0.2">
      <c r="E1286" s="1"/>
      <c r="F1286" s="1"/>
      <c r="G1286" s="1"/>
      <c r="H1286" s="1"/>
      <c r="I1286" s="1"/>
      <c r="J1286" s="1"/>
      <c r="K1286" s="1"/>
      <c r="L1286" s="1"/>
      <c r="M1286" s="1"/>
      <c r="AV1286" s="18"/>
      <c r="AW1286" s="18"/>
    </row>
    <row r="1287" spans="5:49" x14ac:dyDescent="0.2">
      <c r="E1287" s="1"/>
      <c r="F1287" s="1"/>
      <c r="G1287" s="1"/>
      <c r="H1287" s="1"/>
      <c r="I1287" s="1"/>
      <c r="J1287" s="1"/>
      <c r="K1287" s="1"/>
      <c r="L1287" s="1"/>
      <c r="M1287" s="1"/>
      <c r="AV1287" s="18"/>
      <c r="AW1287" s="18"/>
    </row>
    <row r="1288" spans="5:49" x14ac:dyDescent="0.2">
      <c r="E1288" s="1"/>
      <c r="F1288" s="1"/>
      <c r="G1288" s="1"/>
      <c r="H1288" s="1"/>
      <c r="I1288" s="1"/>
      <c r="J1288" s="1"/>
      <c r="K1288" s="1"/>
      <c r="L1288" s="1"/>
      <c r="M1288" s="1"/>
      <c r="AV1288" s="18"/>
      <c r="AW1288" s="18"/>
    </row>
    <row r="1289" spans="5:49" x14ac:dyDescent="0.2">
      <c r="E1289" s="1"/>
      <c r="F1289" s="1"/>
      <c r="G1289" s="1"/>
      <c r="H1289" s="1"/>
      <c r="I1289" s="1"/>
      <c r="J1289" s="1"/>
      <c r="K1289" s="1"/>
      <c r="L1289" s="1"/>
      <c r="M1289" s="1"/>
      <c r="AV1289" s="18"/>
      <c r="AW1289" s="18"/>
    </row>
    <row r="1290" spans="5:49" x14ac:dyDescent="0.2">
      <c r="E1290" s="1"/>
      <c r="F1290" s="1"/>
      <c r="G1290" s="1"/>
      <c r="H1290" s="1"/>
      <c r="I1290" s="1"/>
      <c r="J1290" s="1"/>
      <c r="K1290" s="1"/>
      <c r="L1290" s="1"/>
      <c r="M1290" s="1"/>
      <c r="AV1290" s="18"/>
      <c r="AW1290" s="18"/>
    </row>
    <row r="1291" spans="5:49" x14ac:dyDescent="0.2">
      <c r="E1291" s="1"/>
      <c r="F1291" s="1"/>
      <c r="G1291" s="1"/>
      <c r="H1291" s="1"/>
      <c r="I1291" s="1"/>
      <c r="J1291" s="1"/>
      <c r="K1291" s="1"/>
      <c r="L1291" s="1"/>
      <c r="M1291" s="1"/>
      <c r="AV1291" s="18"/>
      <c r="AW1291" s="18"/>
    </row>
    <row r="1292" spans="5:49" x14ac:dyDescent="0.2">
      <c r="E1292" s="1"/>
      <c r="F1292" s="1"/>
      <c r="G1292" s="1"/>
      <c r="H1292" s="1"/>
      <c r="I1292" s="1"/>
      <c r="J1292" s="1"/>
      <c r="K1292" s="1"/>
      <c r="L1292" s="1"/>
      <c r="M1292" s="1"/>
      <c r="AV1292" s="18"/>
      <c r="AW1292" s="18"/>
    </row>
    <row r="1293" spans="5:49" x14ac:dyDescent="0.2">
      <c r="E1293" s="1"/>
      <c r="F1293" s="1"/>
      <c r="G1293" s="1"/>
      <c r="H1293" s="1"/>
      <c r="I1293" s="1"/>
      <c r="J1293" s="1"/>
      <c r="K1293" s="1"/>
      <c r="L1293" s="1"/>
      <c r="M1293" s="1"/>
      <c r="AV1293" s="18"/>
      <c r="AW1293" s="18"/>
    </row>
    <row r="1294" spans="5:49" x14ac:dyDescent="0.2">
      <c r="E1294" s="1"/>
      <c r="F1294" s="1"/>
      <c r="G1294" s="1"/>
      <c r="H1294" s="1"/>
      <c r="I1294" s="1"/>
      <c r="J1294" s="1"/>
      <c r="K1294" s="1"/>
      <c r="L1294" s="1"/>
      <c r="M1294" s="1"/>
      <c r="AV1294" s="18"/>
      <c r="AW1294" s="18"/>
    </row>
    <row r="1295" spans="5:49" x14ac:dyDescent="0.2">
      <c r="E1295" s="1"/>
      <c r="F1295" s="1"/>
      <c r="G1295" s="1"/>
      <c r="H1295" s="1"/>
      <c r="I1295" s="1"/>
      <c r="J1295" s="1"/>
      <c r="K1295" s="1"/>
      <c r="L1295" s="1"/>
      <c r="M1295" s="1"/>
      <c r="AV1295" s="18"/>
      <c r="AW1295" s="18"/>
    </row>
    <row r="1296" spans="5:49" x14ac:dyDescent="0.2">
      <c r="E1296" s="1"/>
      <c r="F1296" s="1"/>
      <c r="G1296" s="1"/>
      <c r="H1296" s="1"/>
      <c r="I1296" s="1"/>
      <c r="J1296" s="1"/>
      <c r="K1296" s="1"/>
      <c r="L1296" s="1"/>
      <c r="M1296" s="1"/>
      <c r="AV1296" s="18"/>
      <c r="AW1296" s="18"/>
    </row>
    <row r="1297" spans="5:49" x14ac:dyDescent="0.2">
      <c r="E1297" s="1"/>
      <c r="F1297" s="1"/>
      <c r="G1297" s="1"/>
      <c r="H1297" s="1"/>
      <c r="I1297" s="1"/>
      <c r="J1297" s="1"/>
      <c r="K1297" s="1"/>
      <c r="L1297" s="1"/>
      <c r="M1297" s="1"/>
      <c r="AV1297" s="18"/>
      <c r="AW1297" s="18"/>
    </row>
    <row r="1298" spans="5:49" x14ac:dyDescent="0.2">
      <c r="E1298" s="1"/>
      <c r="F1298" s="1"/>
      <c r="G1298" s="1"/>
      <c r="H1298" s="1"/>
      <c r="I1298" s="1"/>
      <c r="J1298" s="1"/>
      <c r="K1298" s="1"/>
      <c r="L1298" s="1"/>
      <c r="M1298" s="1"/>
      <c r="AV1298" s="18"/>
      <c r="AW1298" s="18"/>
    </row>
    <row r="1299" spans="5:49" x14ac:dyDescent="0.2">
      <c r="E1299" s="1"/>
      <c r="F1299" s="1"/>
      <c r="G1299" s="1"/>
      <c r="H1299" s="1"/>
      <c r="I1299" s="1"/>
      <c r="J1299" s="1"/>
      <c r="K1299" s="1"/>
      <c r="L1299" s="1"/>
      <c r="M1299" s="1"/>
      <c r="AV1299" s="18"/>
      <c r="AW1299" s="18"/>
    </row>
    <row r="1300" spans="5:49" x14ac:dyDescent="0.2">
      <c r="E1300" s="1"/>
      <c r="F1300" s="1"/>
      <c r="G1300" s="1"/>
      <c r="H1300" s="1"/>
      <c r="I1300" s="1"/>
      <c r="J1300" s="1"/>
      <c r="K1300" s="1"/>
      <c r="L1300" s="1"/>
      <c r="M1300" s="1"/>
      <c r="AV1300" s="18"/>
      <c r="AW1300" s="18"/>
    </row>
    <row r="1301" spans="5:49" x14ac:dyDescent="0.2">
      <c r="E1301" s="1"/>
      <c r="F1301" s="1"/>
      <c r="G1301" s="1"/>
      <c r="H1301" s="1"/>
      <c r="I1301" s="1"/>
      <c r="J1301" s="1"/>
      <c r="K1301" s="1"/>
      <c r="L1301" s="1"/>
      <c r="M1301" s="1"/>
      <c r="AV1301" s="18"/>
      <c r="AW1301" s="18"/>
    </row>
    <row r="1302" spans="5:49" x14ac:dyDescent="0.2">
      <c r="E1302" s="1"/>
      <c r="F1302" s="1"/>
      <c r="G1302" s="1"/>
      <c r="H1302" s="1"/>
      <c r="I1302" s="1"/>
      <c r="J1302" s="1"/>
      <c r="K1302" s="1"/>
      <c r="L1302" s="1"/>
      <c r="M1302" s="1"/>
      <c r="AV1302" s="18"/>
      <c r="AW1302" s="18"/>
    </row>
    <row r="1303" spans="5:49" x14ac:dyDescent="0.2">
      <c r="E1303" s="1"/>
      <c r="F1303" s="1"/>
      <c r="G1303" s="1"/>
      <c r="H1303" s="1"/>
      <c r="I1303" s="1"/>
      <c r="J1303" s="1"/>
      <c r="K1303" s="1"/>
      <c r="L1303" s="1"/>
      <c r="M1303" s="1"/>
      <c r="AV1303" s="18"/>
      <c r="AW1303" s="18"/>
    </row>
    <row r="1304" spans="5:49" x14ac:dyDescent="0.2">
      <c r="E1304" s="1"/>
      <c r="F1304" s="1"/>
      <c r="G1304" s="1"/>
      <c r="H1304" s="1"/>
      <c r="I1304" s="1"/>
      <c r="J1304" s="1"/>
      <c r="K1304" s="1"/>
      <c r="L1304" s="1"/>
      <c r="M1304" s="1"/>
      <c r="AV1304" s="18"/>
      <c r="AW1304" s="18"/>
    </row>
    <row r="1305" spans="5:49" x14ac:dyDescent="0.2">
      <c r="E1305" s="1"/>
      <c r="F1305" s="1"/>
      <c r="G1305" s="1"/>
      <c r="H1305" s="1"/>
      <c r="I1305" s="1"/>
      <c r="J1305" s="1"/>
      <c r="K1305" s="1"/>
      <c r="L1305" s="1"/>
      <c r="M1305" s="1"/>
      <c r="AV1305" s="18"/>
      <c r="AW1305" s="18"/>
    </row>
    <row r="1306" spans="5:49" x14ac:dyDescent="0.2">
      <c r="E1306" s="1"/>
      <c r="F1306" s="1"/>
      <c r="G1306" s="1"/>
      <c r="H1306" s="1"/>
      <c r="I1306" s="1"/>
      <c r="J1306" s="1"/>
      <c r="K1306" s="1"/>
      <c r="L1306" s="1"/>
      <c r="M1306" s="1"/>
      <c r="AV1306" s="18"/>
      <c r="AW1306" s="18"/>
    </row>
    <row r="1307" spans="5:49" x14ac:dyDescent="0.2">
      <c r="E1307" s="1"/>
      <c r="F1307" s="1"/>
      <c r="G1307" s="1"/>
      <c r="H1307" s="1"/>
      <c r="I1307" s="1"/>
      <c r="J1307" s="1"/>
      <c r="K1307" s="1"/>
      <c r="L1307" s="1"/>
      <c r="M1307" s="1"/>
      <c r="AV1307" s="18"/>
      <c r="AW1307" s="18"/>
    </row>
    <row r="1308" spans="5:49" x14ac:dyDescent="0.2">
      <c r="E1308" s="1"/>
      <c r="F1308" s="1"/>
      <c r="G1308" s="1"/>
      <c r="H1308" s="1"/>
      <c r="I1308" s="1"/>
      <c r="J1308" s="1"/>
      <c r="K1308" s="1"/>
      <c r="L1308" s="1"/>
      <c r="M1308" s="1"/>
      <c r="AV1308" s="18"/>
      <c r="AW1308" s="18"/>
    </row>
    <row r="1309" spans="5:49" x14ac:dyDescent="0.2">
      <c r="E1309" s="1"/>
      <c r="F1309" s="1"/>
      <c r="G1309" s="1"/>
      <c r="H1309" s="1"/>
      <c r="I1309" s="1"/>
      <c r="J1309" s="1"/>
      <c r="K1309" s="1"/>
      <c r="L1309" s="1"/>
      <c r="M1309" s="1"/>
      <c r="AV1309" s="18"/>
      <c r="AW1309" s="18"/>
    </row>
    <row r="1310" spans="5:49" x14ac:dyDescent="0.2">
      <c r="E1310" s="1"/>
      <c r="F1310" s="1"/>
      <c r="G1310" s="1"/>
      <c r="H1310" s="1"/>
      <c r="I1310" s="1"/>
      <c r="J1310" s="1"/>
      <c r="K1310" s="1"/>
      <c r="L1310" s="1"/>
      <c r="M1310" s="1"/>
      <c r="AV1310" s="18"/>
      <c r="AW1310" s="18"/>
    </row>
    <row r="1311" spans="5:49" x14ac:dyDescent="0.2">
      <c r="E1311" s="1"/>
      <c r="F1311" s="1"/>
      <c r="G1311" s="1"/>
      <c r="H1311" s="1"/>
      <c r="I1311" s="1"/>
      <c r="J1311" s="1"/>
      <c r="K1311" s="1"/>
      <c r="L1311" s="1"/>
      <c r="M1311" s="1"/>
      <c r="AV1311" s="18"/>
      <c r="AW1311" s="18"/>
    </row>
    <row r="1312" spans="5:49" x14ac:dyDescent="0.2">
      <c r="E1312" s="1"/>
      <c r="F1312" s="1"/>
      <c r="G1312" s="1"/>
      <c r="H1312" s="1"/>
      <c r="I1312" s="1"/>
      <c r="J1312" s="1"/>
      <c r="K1312" s="1"/>
      <c r="L1312" s="1"/>
      <c r="M1312" s="1"/>
      <c r="AV1312" s="18"/>
      <c r="AW1312" s="18"/>
    </row>
    <row r="1313" spans="5:49" x14ac:dyDescent="0.2">
      <c r="E1313" s="1"/>
      <c r="F1313" s="1"/>
      <c r="G1313" s="1"/>
      <c r="H1313" s="1"/>
      <c r="I1313" s="1"/>
      <c r="J1313" s="1"/>
      <c r="K1313" s="1"/>
      <c r="L1313" s="1"/>
      <c r="M1313" s="1"/>
      <c r="AV1313" s="18"/>
      <c r="AW1313" s="18"/>
    </row>
    <row r="1314" spans="5:49" x14ac:dyDescent="0.2">
      <c r="E1314" s="1"/>
      <c r="F1314" s="1"/>
      <c r="G1314" s="1"/>
      <c r="H1314" s="1"/>
      <c r="I1314" s="1"/>
      <c r="J1314" s="1"/>
      <c r="K1314" s="1"/>
      <c r="L1314" s="1"/>
      <c r="M1314" s="1"/>
      <c r="AV1314" s="18"/>
      <c r="AW1314" s="18"/>
    </row>
    <row r="1315" spans="5:49" x14ac:dyDescent="0.2">
      <c r="E1315" s="1"/>
      <c r="F1315" s="1"/>
      <c r="G1315" s="1"/>
      <c r="H1315" s="1"/>
      <c r="I1315" s="1"/>
      <c r="J1315" s="1"/>
      <c r="K1315" s="1"/>
      <c r="L1315" s="1"/>
      <c r="M1315" s="1"/>
      <c r="AV1315" s="18"/>
      <c r="AW1315" s="18"/>
    </row>
    <row r="1316" spans="5:49" x14ac:dyDescent="0.2">
      <c r="E1316" s="1"/>
      <c r="F1316" s="1"/>
      <c r="G1316" s="1"/>
      <c r="H1316" s="1"/>
      <c r="I1316" s="1"/>
      <c r="J1316" s="1"/>
      <c r="K1316" s="1"/>
      <c r="L1316" s="1"/>
      <c r="M1316" s="1"/>
      <c r="AV1316" s="18"/>
      <c r="AW1316" s="18"/>
    </row>
    <row r="1317" spans="5:49" x14ac:dyDescent="0.2">
      <c r="E1317" s="1"/>
      <c r="F1317" s="1"/>
      <c r="G1317" s="1"/>
      <c r="H1317" s="1"/>
      <c r="I1317" s="1"/>
      <c r="J1317" s="1"/>
      <c r="K1317" s="1"/>
      <c r="L1317" s="1"/>
      <c r="M1317" s="1"/>
      <c r="AV1317" s="18"/>
      <c r="AW1317" s="18"/>
    </row>
    <row r="1318" spans="5:49" x14ac:dyDescent="0.2">
      <c r="E1318" s="1"/>
      <c r="F1318" s="1"/>
      <c r="G1318" s="1"/>
      <c r="H1318" s="1"/>
      <c r="I1318" s="1"/>
      <c r="J1318" s="1"/>
      <c r="K1318" s="1"/>
      <c r="L1318" s="1"/>
      <c r="M1318" s="1"/>
      <c r="AV1318" s="18"/>
      <c r="AW1318" s="18"/>
    </row>
    <row r="1319" spans="5:49" x14ac:dyDescent="0.2">
      <c r="E1319" s="1"/>
      <c r="F1319" s="1"/>
      <c r="G1319" s="1"/>
      <c r="H1319" s="1"/>
      <c r="I1319" s="1"/>
      <c r="J1319" s="1"/>
      <c r="K1319" s="1"/>
      <c r="L1319" s="1"/>
      <c r="M1319" s="1"/>
      <c r="AV1319" s="18"/>
      <c r="AW1319" s="18"/>
    </row>
    <row r="1320" spans="5:49" x14ac:dyDescent="0.2">
      <c r="E1320" s="1"/>
      <c r="F1320" s="1"/>
      <c r="G1320" s="1"/>
      <c r="H1320" s="1"/>
      <c r="I1320" s="1"/>
      <c r="J1320" s="1"/>
      <c r="K1320" s="1"/>
      <c r="L1320" s="1"/>
      <c r="M1320" s="1"/>
      <c r="AV1320" s="18"/>
      <c r="AW1320" s="18"/>
    </row>
    <row r="1321" spans="5:49" x14ac:dyDescent="0.2">
      <c r="E1321" s="1"/>
      <c r="F1321" s="1"/>
      <c r="G1321" s="1"/>
      <c r="H1321" s="1"/>
      <c r="I1321" s="1"/>
      <c r="J1321" s="1"/>
      <c r="K1321" s="1"/>
      <c r="L1321" s="1"/>
      <c r="M1321" s="1"/>
      <c r="AV1321" s="18"/>
      <c r="AW1321" s="18"/>
    </row>
    <row r="1322" spans="5:49" x14ac:dyDescent="0.2">
      <c r="E1322" s="1"/>
      <c r="F1322" s="1"/>
      <c r="G1322" s="1"/>
      <c r="H1322" s="1"/>
      <c r="I1322" s="1"/>
      <c r="J1322" s="1"/>
      <c r="K1322" s="1"/>
      <c r="L1322" s="1"/>
      <c r="M1322" s="1"/>
      <c r="AV1322" s="18"/>
      <c r="AW1322" s="18"/>
    </row>
    <row r="1323" spans="5:49" x14ac:dyDescent="0.2">
      <c r="E1323" s="1"/>
      <c r="F1323" s="1"/>
      <c r="G1323" s="1"/>
      <c r="H1323" s="1"/>
      <c r="I1323" s="1"/>
      <c r="J1323" s="1"/>
      <c r="K1323" s="1"/>
      <c r="L1323" s="1"/>
      <c r="M1323" s="1"/>
      <c r="AV1323" s="18"/>
      <c r="AW1323" s="18"/>
    </row>
    <row r="1324" spans="5:49" x14ac:dyDescent="0.2">
      <c r="E1324" s="1"/>
      <c r="F1324" s="1"/>
      <c r="G1324" s="1"/>
      <c r="H1324" s="1"/>
      <c r="I1324" s="1"/>
      <c r="J1324" s="1"/>
      <c r="K1324" s="1"/>
      <c r="L1324" s="1"/>
      <c r="M1324" s="1"/>
      <c r="AV1324" s="18"/>
      <c r="AW1324" s="18"/>
    </row>
    <row r="1325" spans="5:49" x14ac:dyDescent="0.2">
      <c r="E1325" s="1"/>
      <c r="F1325" s="1"/>
      <c r="G1325" s="1"/>
      <c r="H1325" s="1"/>
      <c r="I1325" s="1"/>
      <c r="J1325" s="1"/>
      <c r="K1325" s="1"/>
      <c r="L1325" s="1"/>
      <c r="M1325" s="1"/>
      <c r="AV1325" s="18"/>
      <c r="AW1325" s="18"/>
    </row>
    <row r="1326" spans="5:49" x14ac:dyDescent="0.2">
      <c r="E1326" s="1"/>
      <c r="F1326" s="1"/>
      <c r="G1326" s="1"/>
      <c r="H1326" s="1"/>
      <c r="I1326" s="1"/>
      <c r="J1326" s="1"/>
      <c r="K1326" s="1"/>
      <c r="L1326" s="1"/>
      <c r="M1326" s="1"/>
      <c r="AV1326" s="18"/>
      <c r="AW1326" s="18"/>
    </row>
    <row r="1327" spans="5:49" x14ac:dyDescent="0.2">
      <c r="E1327" s="1"/>
      <c r="F1327" s="1"/>
      <c r="G1327" s="1"/>
      <c r="H1327" s="1"/>
      <c r="I1327" s="1"/>
      <c r="J1327" s="1"/>
      <c r="K1327" s="1"/>
      <c r="L1327" s="1"/>
      <c r="M1327" s="1"/>
      <c r="AV1327" s="18"/>
      <c r="AW1327" s="18"/>
    </row>
    <row r="1328" spans="5:49" x14ac:dyDescent="0.2">
      <c r="E1328" s="1"/>
      <c r="F1328" s="1"/>
      <c r="G1328" s="1"/>
      <c r="H1328" s="1"/>
      <c r="I1328" s="1"/>
      <c r="J1328" s="1"/>
      <c r="K1328" s="1"/>
      <c r="L1328" s="1"/>
      <c r="M1328" s="1"/>
      <c r="AV1328" s="18"/>
      <c r="AW1328" s="18"/>
    </row>
    <row r="1329" spans="5:49" x14ac:dyDescent="0.2">
      <c r="E1329" s="1"/>
      <c r="F1329" s="1"/>
      <c r="G1329" s="1"/>
      <c r="H1329" s="1"/>
      <c r="I1329" s="1"/>
      <c r="J1329" s="1"/>
      <c r="K1329" s="1"/>
      <c r="L1329" s="1"/>
      <c r="M1329" s="1"/>
      <c r="AV1329" s="18"/>
      <c r="AW1329" s="18"/>
    </row>
    <row r="1330" spans="5:49" x14ac:dyDescent="0.2">
      <c r="E1330" s="1"/>
      <c r="F1330" s="1"/>
      <c r="G1330" s="1"/>
      <c r="H1330" s="1"/>
      <c r="I1330" s="1"/>
      <c r="J1330" s="1"/>
      <c r="K1330" s="1"/>
      <c r="L1330" s="1"/>
      <c r="M1330" s="1"/>
      <c r="AV1330" s="18"/>
      <c r="AW1330" s="18"/>
    </row>
    <row r="1331" spans="5:49" x14ac:dyDescent="0.2">
      <c r="E1331" s="1"/>
      <c r="F1331" s="1"/>
      <c r="G1331" s="1"/>
      <c r="H1331" s="1"/>
      <c r="I1331" s="1"/>
      <c r="J1331" s="1"/>
      <c r="K1331" s="1"/>
      <c r="L1331" s="1"/>
      <c r="M1331" s="1"/>
      <c r="AV1331" s="18"/>
      <c r="AW1331" s="18"/>
    </row>
    <row r="1332" spans="5:49" x14ac:dyDescent="0.2">
      <c r="E1332" s="1"/>
      <c r="F1332" s="1"/>
      <c r="G1332" s="1"/>
      <c r="H1332" s="1"/>
      <c r="I1332" s="1"/>
      <c r="J1332" s="1"/>
      <c r="K1332" s="1"/>
      <c r="L1332" s="1"/>
      <c r="M1332" s="1"/>
      <c r="AV1332" s="18"/>
      <c r="AW1332" s="18"/>
    </row>
    <row r="1333" spans="5:49" x14ac:dyDescent="0.2">
      <c r="E1333" s="1"/>
      <c r="F1333" s="1"/>
      <c r="G1333" s="1"/>
      <c r="H1333" s="1"/>
      <c r="I1333" s="1"/>
      <c r="J1333" s="1"/>
      <c r="K1333" s="1"/>
      <c r="L1333" s="1"/>
      <c r="M1333" s="1"/>
      <c r="AV1333" s="18"/>
      <c r="AW1333" s="18"/>
    </row>
    <row r="1334" spans="5:49" x14ac:dyDescent="0.2">
      <c r="E1334" s="1"/>
      <c r="F1334" s="1"/>
      <c r="G1334" s="1"/>
      <c r="H1334" s="1"/>
      <c r="I1334" s="1"/>
      <c r="J1334" s="1"/>
      <c r="K1334" s="1"/>
      <c r="L1334" s="1"/>
      <c r="M1334" s="1"/>
      <c r="AV1334" s="18"/>
      <c r="AW1334" s="18"/>
    </row>
    <row r="1335" spans="5:49" x14ac:dyDescent="0.2">
      <c r="E1335" s="1"/>
      <c r="F1335" s="1"/>
      <c r="G1335" s="1"/>
      <c r="H1335" s="1"/>
      <c r="I1335" s="1"/>
      <c r="J1335" s="1"/>
      <c r="K1335" s="1"/>
      <c r="L1335" s="1"/>
      <c r="M1335" s="1"/>
      <c r="AV1335" s="18"/>
      <c r="AW1335" s="18"/>
    </row>
    <row r="1336" spans="5:49" x14ac:dyDescent="0.2">
      <c r="E1336" s="1"/>
      <c r="F1336" s="1"/>
      <c r="G1336" s="1"/>
      <c r="H1336" s="1"/>
      <c r="I1336" s="1"/>
      <c r="J1336" s="1"/>
      <c r="K1336" s="1"/>
      <c r="L1336" s="1"/>
      <c r="M1336" s="1"/>
      <c r="AV1336" s="18"/>
      <c r="AW1336" s="18"/>
    </row>
    <row r="1337" spans="5:49" x14ac:dyDescent="0.2">
      <c r="E1337" s="1"/>
      <c r="F1337" s="1"/>
      <c r="G1337" s="1"/>
      <c r="H1337" s="1"/>
      <c r="I1337" s="1"/>
      <c r="J1337" s="1"/>
      <c r="K1337" s="1"/>
      <c r="L1337" s="1"/>
      <c r="M1337" s="1"/>
      <c r="AV1337" s="18"/>
      <c r="AW1337" s="18"/>
    </row>
    <row r="1338" spans="5:49" x14ac:dyDescent="0.2">
      <c r="E1338" s="1"/>
      <c r="F1338" s="1"/>
      <c r="G1338" s="1"/>
      <c r="H1338" s="1"/>
      <c r="I1338" s="1"/>
      <c r="J1338" s="1"/>
      <c r="K1338" s="1"/>
      <c r="L1338" s="1"/>
      <c r="M1338" s="1"/>
      <c r="AV1338" s="18"/>
      <c r="AW1338" s="18"/>
    </row>
    <row r="1339" spans="5:49" x14ac:dyDescent="0.2">
      <c r="E1339" s="1"/>
      <c r="F1339" s="1"/>
      <c r="G1339" s="1"/>
      <c r="H1339" s="1"/>
      <c r="I1339" s="1"/>
      <c r="J1339" s="1"/>
      <c r="K1339" s="1"/>
      <c r="L1339" s="1"/>
      <c r="M1339" s="1"/>
      <c r="AV1339" s="18"/>
      <c r="AW1339" s="18"/>
    </row>
    <row r="1340" spans="5:49" x14ac:dyDescent="0.2">
      <c r="E1340" s="1"/>
      <c r="F1340" s="1"/>
      <c r="G1340" s="1"/>
      <c r="H1340" s="1"/>
      <c r="I1340" s="1"/>
      <c r="J1340" s="1"/>
      <c r="K1340" s="1"/>
      <c r="L1340" s="1"/>
      <c r="M1340" s="1"/>
      <c r="AV1340" s="18"/>
      <c r="AW1340" s="18"/>
    </row>
  </sheetData>
  <sheetProtection selectLockedCells="1" selectUnlockedCells="1"/>
  <mergeCells count="59">
    <mergeCell ref="W7:AC7"/>
    <mergeCell ref="AJ31:AK31"/>
    <mergeCell ref="AH29:AI29"/>
    <mergeCell ref="AJ29:AK29"/>
    <mergeCell ref="AF28:AG28"/>
    <mergeCell ref="AD28:AE28"/>
    <mergeCell ref="AD29:AE29"/>
    <mergeCell ref="AD31:AE31"/>
    <mergeCell ref="AB9:AC9"/>
    <mergeCell ref="AB31:AC31"/>
    <mergeCell ref="Z9:AA9"/>
    <mergeCell ref="AJ32:AK32"/>
    <mergeCell ref="AF31:AG31"/>
    <mergeCell ref="AH31:AI31"/>
    <mergeCell ref="AH32:AI32"/>
    <mergeCell ref="O35:O36"/>
    <mergeCell ref="AD32:AE32"/>
    <mergeCell ref="AH35:AK35"/>
    <mergeCell ref="Z35:AC35"/>
    <mergeCell ref="AB32:AC32"/>
    <mergeCell ref="Z32:AA32"/>
    <mergeCell ref="AF32:AG32"/>
    <mergeCell ref="AO24:AS25"/>
    <mergeCell ref="W18:Z18"/>
    <mergeCell ref="AR35:AV35"/>
    <mergeCell ref="AM35:AP35"/>
    <mergeCell ref="V31:W31"/>
    <mergeCell ref="X31:Y31"/>
    <mergeCell ref="V32:W32"/>
    <mergeCell ref="X32:Y32"/>
    <mergeCell ref="AB29:AC29"/>
    <mergeCell ref="AD35:AG35"/>
    <mergeCell ref="AB28:AC28"/>
    <mergeCell ref="Z29:AA29"/>
    <mergeCell ref="Z31:AA31"/>
    <mergeCell ref="AH28:AI28"/>
    <mergeCell ref="AJ28:AK28"/>
    <mergeCell ref="AF29:AG29"/>
    <mergeCell ref="F1:G1"/>
    <mergeCell ref="A3:C3"/>
    <mergeCell ref="A5:C5"/>
    <mergeCell ref="A6:C6"/>
    <mergeCell ref="D3:F3"/>
    <mergeCell ref="D5:F5"/>
    <mergeCell ref="A34:B34"/>
    <mergeCell ref="P35:P36"/>
    <mergeCell ref="R35:U35"/>
    <mergeCell ref="Z28:AA28"/>
    <mergeCell ref="V35:Y35"/>
    <mergeCell ref="V28:W28"/>
    <mergeCell ref="A35:B35"/>
    <mergeCell ref="D35:H35"/>
    <mergeCell ref="C35:C36"/>
    <mergeCell ref="I35:I36"/>
    <mergeCell ref="N35:N36"/>
    <mergeCell ref="J35:M35"/>
    <mergeCell ref="V29:W29"/>
    <mergeCell ref="X29:Y29"/>
    <mergeCell ref="X28:Y28"/>
  </mergeCells>
  <phoneticPr fontId="11" type="noConversion"/>
  <conditionalFormatting sqref="D39:G218 D221:G400">
    <cfRule type="cellIs" dxfId="11" priority="1" stopIfTrue="1" operator="equal">
      <formula>$H39</formula>
    </cfRule>
  </conditionalFormatting>
  <conditionalFormatting sqref="A39:A218 A221:A400">
    <cfRule type="expression" dxfId="10" priority="2" stopIfTrue="1">
      <formula>$N39=$AF$15</formula>
    </cfRule>
    <cfRule type="expression" dxfId="9" priority="3" stopIfTrue="1">
      <formula>$N39&lt;$AF$15</formula>
    </cfRule>
  </conditionalFormatting>
  <dataValidations disablePrompts="1" count="1">
    <dataValidation type="list" allowBlank="1" showInputMessage="1" showErrorMessage="1" sqref="X19" xr:uid="{00000000-0002-0000-0500-000000000000}">
      <formula1>"Ja, Nein"</formula1>
    </dataValidation>
  </dataValidations>
  <pageMargins left="0.75" right="0.75" top="1" bottom="1" header="0.4921259845" footer="0.4921259845"/>
  <pageSetup paperSize="8" scale="40" orientation="landscape"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12"/>
  <dimension ref="A1:AV1340"/>
  <sheetViews>
    <sheetView topLeftCell="A34" workbookViewId="0">
      <selection activeCell="P56" sqref="P56"/>
    </sheetView>
  </sheetViews>
  <sheetFormatPr baseColWidth="10" defaultColWidth="11.42578125" defaultRowHeight="12.75" x14ac:dyDescent="0.2"/>
  <cols>
    <col min="1" max="1" width="8.7109375" customWidth="1"/>
    <col min="2" max="4" width="8.7109375" style="1" customWidth="1"/>
    <col min="5" max="8" width="8.7109375" customWidth="1"/>
    <col min="21" max="36" width="11.28515625" customWidth="1"/>
    <col min="37" max="37" width="3.7109375" customWidth="1"/>
    <col min="38" max="41" width="11.28515625" customWidth="1"/>
    <col min="42" max="42" width="2.85546875" style="6" customWidth="1"/>
    <col min="43" max="45" width="11.28515625" style="6" customWidth="1"/>
    <col min="46" max="46" width="11.7109375" customWidth="1"/>
    <col min="48" max="48" width="9.5703125" customWidth="1"/>
    <col min="50" max="51" width="11.28515625" bestFit="1" customWidth="1"/>
    <col min="52" max="53" width="9.5703125" bestFit="1" customWidth="1"/>
  </cols>
  <sheetData>
    <row r="1" spans="1:45" ht="18" x14ac:dyDescent="0.25">
      <c r="A1" s="4" t="s">
        <v>135</v>
      </c>
      <c r="F1" s="794" t="str">
        <f>Geraetedaten!B1</f>
        <v>P570</v>
      </c>
      <c r="G1" s="794"/>
    </row>
    <row r="2" spans="1:45" x14ac:dyDescent="0.2">
      <c r="AN2" s="108" t="s">
        <v>205</v>
      </c>
      <c r="AO2" s="109"/>
      <c r="AP2" s="110"/>
      <c r="AQ2" s="110"/>
      <c r="AR2" s="110"/>
      <c r="AS2" s="111"/>
    </row>
    <row r="3" spans="1:45" x14ac:dyDescent="0.2">
      <c r="A3" s="795" t="s">
        <v>157</v>
      </c>
      <c r="B3" s="795"/>
      <c r="C3" s="795"/>
      <c r="D3" s="796">
        <f>Eingabewerte!D4</f>
        <v>11570035</v>
      </c>
      <c r="E3" s="796"/>
      <c r="F3" s="796"/>
      <c r="AN3" s="112"/>
      <c r="AO3" s="113"/>
      <c r="AP3" s="114"/>
      <c r="AQ3" s="114"/>
      <c r="AR3" s="114"/>
      <c r="AS3" s="115"/>
    </row>
    <row r="4" spans="1:45" x14ac:dyDescent="0.2">
      <c r="AN4" s="116" t="s">
        <v>206</v>
      </c>
      <c r="AO4" s="113" t="s">
        <v>207</v>
      </c>
      <c r="AP4" s="114"/>
      <c r="AQ4" s="114"/>
      <c r="AR4" s="114"/>
      <c r="AS4" s="115"/>
    </row>
    <row r="5" spans="1:45" x14ac:dyDescent="0.2">
      <c r="A5" s="795" t="s">
        <v>158</v>
      </c>
      <c r="B5" s="795"/>
      <c r="C5" s="795"/>
      <c r="D5" s="796" t="str">
        <f>Eingabewerte!D5</f>
        <v>Sonder</v>
      </c>
      <c r="E5" s="796"/>
      <c r="F5" s="796"/>
      <c r="AN5" s="116" t="s">
        <v>208</v>
      </c>
      <c r="AO5" s="113" t="s">
        <v>209</v>
      </c>
      <c r="AP5" s="114"/>
      <c r="AQ5" s="114"/>
      <c r="AR5" s="114"/>
      <c r="AS5" s="115"/>
    </row>
    <row r="6" spans="1:45" x14ac:dyDescent="0.2">
      <c r="A6" s="795" t="s">
        <v>83</v>
      </c>
      <c r="B6" s="795"/>
      <c r="C6" s="795"/>
      <c r="D6" s="57">
        <f>Geraetedaten!B7</f>
        <v>5701.2195121951218</v>
      </c>
      <c r="E6" t="s">
        <v>28</v>
      </c>
      <c r="Q6" s="76"/>
      <c r="R6" s="76"/>
      <c r="S6" s="76"/>
      <c r="AN6" s="116" t="s">
        <v>210</v>
      </c>
      <c r="AO6" s="113" t="s">
        <v>211</v>
      </c>
      <c r="AP6" s="114"/>
      <c r="AQ6" s="114"/>
      <c r="AR6" s="114"/>
      <c r="AS6" s="115"/>
    </row>
    <row r="7" spans="1:45" s="3" customFormat="1" x14ac:dyDescent="0.2">
      <c r="Q7" s="13"/>
      <c r="R7" s="13"/>
      <c r="S7" s="13"/>
      <c r="V7" s="1053" t="s">
        <v>180</v>
      </c>
      <c r="W7" s="1054"/>
      <c r="X7" s="1054"/>
      <c r="Y7" s="1054"/>
      <c r="Z7" s="1054"/>
      <c r="AA7" s="1054"/>
      <c r="AB7" s="1055"/>
      <c r="AN7" s="116" t="s">
        <v>212</v>
      </c>
      <c r="AO7" s="113" t="s">
        <v>213</v>
      </c>
      <c r="AP7" s="114"/>
      <c r="AQ7" s="114"/>
      <c r="AR7" s="114"/>
      <c r="AS7" s="115"/>
    </row>
    <row r="8" spans="1:45" x14ac:dyDescent="0.2">
      <c r="A8" s="13"/>
      <c r="B8" s="14"/>
      <c r="C8" s="6" t="s">
        <v>133</v>
      </c>
      <c r="D8" s="3"/>
      <c r="E8" s="6" t="s">
        <v>134</v>
      </c>
      <c r="F8" s="3"/>
      <c r="G8" s="55" t="s">
        <v>140</v>
      </c>
      <c r="H8" s="24"/>
      <c r="N8" s="3"/>
      <c r="O8" s="3"/>
      <c r="P8" s="3"/>
      <c r="Q8" s="13"/>
      <c r="R8" s="76"/>
      <c r="S8" s="76"/>
      <c r="AN8" s="116"/>
      <c r="AO8" s="113"/>
      <c r="AP8" s="114"/>
      <c r="AQ8" s="114"/>
      <c r="AR8" s="114"/>
      <c r="AS8" s="115"/>
    </row>
    <row r="9" spans="1:45" ht="13.5" x14ac:dyDescent="0.25">
      <c r="A9" s="3" t="s">
        <v>137</v>
      </c>
      <c r="B9" s="24"/>
      <c r="C9" s="20">
        <f>(Geraetedaten!B20*(Geraetedaten!B17+Geraetedaten!B21))/Geraetedaten!B7</f>
        <v>7200.0000000000009</v>
      </c>
      <c r="D9" s="24" t="s">
        <v>13</v>
      </c>
      <c r="E9" s="20">
        <f>G9-C9</f>
        <v>18000</v>
      </c>
      <c r="F9" s="24" t="s">
        <v>13</v>
      </c>
      <c r="G9" s="20">
        <f>Geraetedaten!B20</f>
        <v>25200</v>
      </c>
      <c r="H9" s="24" t="s">
        <v>13</v>
      </c>
      <c r="N9" s="3"/>
      <c r="O9" s="3"/>
      <c r="P9" s="3"/>
      <c r="Q9" s="13"/>
      <c r="R9" s="76"/>
      <c r="S9" s="76"/>
      <c r="W9" s="1"/>
      <c r="X9" s="1"/>
      <c r="Y9" s="1056" t="s">
        <v>0</v>
      </c>
      <c r="Z9" s="1057"/>
      <c r="AA9" s="1056" t="s">
        <v>45</v>
      </c>
      <c r="AB9" s="1057"/>
      <c r="AD9" t="s">
        <v>2</v>
      </c>
      <c r="AE9" s="1">
        <f>Geraetedaten!B154*10</f>
        <v>980.18000000000006</v>
      </c>
      <c r="AF9" t="s">
        <v>59</v>
      </c>
      <c r="AG9" t="s">
        <v>174</v>
      </c>
      <c r="AN9" s="116" t="s">
        <v>214</v>
      </c>
      <c r="AO9" s="113" t="s">
        <v>215</v>
      </c>
      <c r="AP9" s="114"/>
      <c r="AQ9" s="114"/>
      <c r="AR9" s="114"/>
      <c r="AS9" s="115"/>
    </row>
    <row r="10" spans="1:45" x14ac:dyDescent="0.2">
      <c r="N10" s="3"/>
      <c r="O10" s="3"/>
      <c r="P10" s="3"/>
      <c r="Q10" s="13"/>
      <c r="R10" s="76"/>
      <c r="S10" s="76"/>
      <c r="W10" s="7" t="s">
        <v>56</v>
      </c>
      <c r="X10" s="7" t="s">
        <v>57</v>
      </c>
      <c r="Y10" s="8" t="s">
        <v>6</v>
      </c>
      <c r="Z10" s="9" t="s">
        <v>5</v>
      </c>
      <c r="AA10" s="8" t="s">
        <v>6</v>
      </c>
      <c r="AB10" s="9" t="s">
        <v>5</v>
      </c>
      <c r="AD10" t="s">
        <v>3</v>
      </c>
      <c r="AE10" s="1">
        <f>Geraetedaten!B26*9.81/100</f>
        <v>1533.7554799999998</v>
      </c>
      <c r="AF10" t="s">
        <v>59</v>
      </c>
      <c r="AG10" t="s">
        <v>60</v>
      </c>
      <c r="AN10" s="116" t="s">
        <v>216</v>
      </c>
      <c r="AO10" s="113" t="s">
        <v>217</v>
      </c>
      <c r="AP10" s="114"/>
      <c r="AQ10" s="114"/>
      <c r="AR10" s="114"/>
      <c r="AS10" s="115"/>
    </row>
    <row r="11" spans="1:45" x14ac:dyDescent="0.2">
      <c r="D11" s="6"/>
      <c r="N11" s="3"/>
      <c r="O11" s="3"/>
      <c r="P11" s="3"/>
      <c r="Q11" s="13"/>
      <c r="R11" s="76"/>
      <c r="S11" s="76"/>
      <c r="V11" s="10" t="s">
        <v>46</v>
      </c>
      <c r="W11" s="11">
        <f>(Z11+A16*(Y11-Z11))</f>
        <v>-1152</v>
      </c>
      <c r="X11" s="11">
        <f>AB11+A16*(AA11-AB11)</f>
        <v>6128</v>
      </c>
      <c r="Y11" s="12">
        <f>Geraetedaten!B104</f>
        <v>-4228</v>
      </c>
      <c r="Z11" s="12">
        <f>Geraetedaten!B102</f>
        <v>-1152</v>
      </c>
      <c r="AA11" s="12">
        <f>Geraetedaten!B103</f>
        <v>6186</v>
      </c>
      <c r="AB11" s="12">
        <f>Geraetedaten!B101</f>
        <v>6128</v>
      </c>
      <c r="AD11" t="s">
        <v>307</v>
      </c>
      <c r="AE11" s="24">
        <f>Geraetedaten!B27</f>
        <v>4238.9881903056585</v>
      </c>
      <c r="AF11" t="s">
        <v>28</v>
      </c>
      <c r="AG11" t="s">
        <v>310</v>
      </c>
      <c r="AN11" s="116" t="s">
        <v>218</v>
      </c>
      <c r="AO11" s="113" t="s">
        <v>219</v>
      </c>
      <c r="AP11" s="114"/>
      <c r="AQ11" s="114"/>
      <c r="AR11" s="114"/>
      <c r="AS11" s="115"/>
    </row>
    <row r="12" spans="1:45" ht="13.5" x14ac:dyDescent="0.25">
      <c r="A12" s="13"/>
      <c r="B12" s="14"/>
      <c r="C12" s="75"/>
      <c r="D12" s="79"/>
      <c r="E12" s="75"/>
      <c r="F12" s="14"/>
      <c r="G12" s="75"/>
      <c r="H12" s="14"/>
      <c r="V12" s="10" t="s">
        <v>47</v>
      </c>
      <c r="W12" s="11">
        <f>(Z12+A28*(Y12-Z12))</f>
        <v>-1140</v>
      </c>
      <c r="X12" s="11">
        <f>AB12+A28*(AA12-AB12)</f>
        <v>-750</v>
      </c>
      <c r="Y12" s="12">
        <f>Geraetedaten!B109</f>
        <v>-4225</v>
      </c>
      <c r="Z12" s="12">
        <f>Geraetedaten!B107</f>
        <v>-1140</v>
      </c>
      <c r="AA12" s="12">
        <f>Geraetedaten!B108</f>
        <v>-750</v>
      </c>
      <c r="AB12" s="12">
        <f>Geraetedaten!B106</f>
        <v>-750</v>
      </c>
      <c r="AD12" t="s">
        <v>308</v>
      </c>
      <c r="AE12" s="1">
        <f>Geraetedaten!B86</f>
        <v>-33.057238032144035</v>
      </c>
      <c r="AF12" t="s">
        <v>28</v>
      </c>
      <c r="AG12" t="s">
        <v>309</v>
      </c>
      <c r="AN12" s="116" t="s">
        <v>220</v>
      </c>
      <c r="AO12" s="113" t="s">
        <v>221</v>
      </c>
      <c r="AP12" s="114"/>
      <c r="AQ12" s="114"/>
      <c r="AR12" s="114"/>
      <c r="AS12" s="115"/>
    </row>
    <row r="13" spans="1:45" ht="13.5" x14ac:dyDescent="0.25">
      <c r="A13" s="13"/>
      <c r="B13" s="14"/>
      <c r="C13" s="75"/>
      <c r="D13" s="14"/>
      <c r="E13" s="75"/>
      <c r="F13" s="14"/>
      <c r="G13" s="75"/>
      <c r="H13" s="14"/>
      <c r="V13" s="10" t="s">
        <v>48</v>
      </c>
      <c r="W13" s="11">
        <f>(Z13+G28*(Y13-Z13))</f>
        <v>1055</v>
      </c>
      <c r="X13" s="11">
        <f>AB13+G28*(AA13-AB13)</f>
        <v>-750</v>
      </c>
      <c r="Y13" s="12">
        <f>Geraetedaten!B114</f>
        <v>4140</v>
      </c>
      <c r="Z13" s="12">
        <f>Geraetedaten!B112</f>
        <v>1055</v>
      </c>
      <c r="AA13" s="12">
        <f>Geraetedaten!B113</f>
        <v>-1075</v>
      </c>
      <c r="AB13" s="12">
        <f>Geraetedaten!B111</f>
        <v>-750</v>
      </c>
      <c r="AD13" t="s">
        <v>4</v>
      </c>
      <c r="AE13">
        <v>1</v>
      </c>
      <c r="AG13" t="s">
        <v>175</v>
      </c>
      <c r="AN13" s="116"/>
      <c r="AO13" s="113"/>
      <c r="AP13" s="114"/>
      <c r="AQ13" s="114"/>
      <c r="AR13" s="114"/>
      <c r="AS13" s="115"/>
    </row>
    <row r="14" spans="1:45" x14ac:dyDescent="0.2">
      <c r="A14" s="3"/>
      <c r="B14" s="24"/>
      <c r="C14" s="24"/>
      <c r="D14" s="24"/>
      <c r="E14" s="3"/>
      <c r="F14" s="3"/>
      <c r="V14" s="10" t="s">
        <v>49</v>
      </c>
      <c r="W14" s="11">
        <f>(Z14+G16*(Y14-Z14))</f>
        <v>1062</v>
      </c>
      <c r="X14" s="11">
        <f>AB14+G16*(AA14-AB14)</f>
        <v>6128</v>
      </c>
      <c r="Y14" s="12">
        <f>Geraetedaten!B119</f>
        <v>4143</v>
      </c>
      <c r="Z14" s="12">
        <f>Geraetedaten!B117</f>
        <v>1062</v>
      </c>
      <c r="AA14" s="12">
        <f>Geraetedaten!B118</f>
        <v>6290</v>
      </c>
      <c r="AB14" s="12">
        <f>Geraetedaten!B116</f>
        <v>6128</v>
      </c>
      <c r="AD14" t="s">
        <v>55</v>
      </c>
      <c r="AE14">
        <f>PI()/180</f>
        <v>1.7453292519943295E-2</v>
      </c>
      <c r="AF14" s="3"/>
      <c r="AG14" t="s">
        <v>176</v>
      </c>
      <c r="AN14" s="116" t="s">
        <v>222</v>
      </c>
      <c r="AO14" s="113" t="s">
        <v>223</v>
      </c>
      <c r="AP14" s="114"/>
      <c r="AQ14" s="114"/>
      <c r="AR14" s="114"/>
      <c r="AS14" s="115"/>
    </row>
    <row r="15" spans="1:45" x14ac:dyDescent="0.2">
      <c r="A15" s="5" t="s">
        <v>46</v>
      </c>
      <c r="G15" s="6" t="s">
        <v>49</v>
      </c>
      <c r="V15" s="13"/>
      <c r="W15" s="14">
        <f>W11</f>
        <v>-1152</v>
      </c>
      <c r="X15" s="14">
        <f>X11</f>
        <v>6128</v>
      </c>
      <c r="Y15" s="13"/>
      <c r="Z15" s="13"/>
      <c r="AA15" s="13"/>
      <c r="AB15" s="13"/>
      <c r="AD15" s="3" t="s">
        <v>164</v>
      </c>
      <c r="AE15" s="3">
        <f>Geraetedaten!B174</f>
        <v>400</v>
      </c>
      <c r="AF15" s="3" t="s">
        <v>14</v>
      </c>
      <c r="AG15" t="s">
        <v>177</v>
      </c>
      <c r="AN15" s="116" t="s">
        <v>224</v>
      </c>
      <c r="AO15" s="113" t="s">
        <v>225</v>
      </c>
      <c r="AP15" s="114"/>
      <c r="AQ15" s="114"/>
      <c r="AR15" s="114"/>
      <c r="AS15" s="115"/>
    </row>
    <row r="16" spans="1:45" x14ac:dyDescent="0.2">
      <c r="A16" s="56">
        <v>0</v>
      </c>
      <c r="G16" s="56">
        <v>0</v>
      </c>
      <c r="AD16" s="3" t="s">
        <v>70</v>
      </c>
      <c r="AE16">
        <f>Geraetedaten!B90/10000*Geraetedaten!B94*Geraetedaten!B91/1000/100</f>
        <v>29.946840000000002</v>
      </c>
      <c r="AF16" t="s">
        <v>75</v>
      </c>
      <c r="AG16" t="s">
        <v>178</v>
      </c>
      <c r="AN16" s="116" t="s">
        <v>226</v>
      </c>
      <c r="AO16" s="113" t="s">
        <v>227</v>
      </c>
      <c r="AP16" s="114"/>
      <c r="AQ16" s="114"/>
      <c r="AR16" s="114"/>
      <c r="AS16" s="115"/>
    </row>
    <row r="17" spans="1:46" x14ac:dyDescent="0.2">
      <c r="AD17" s="3" t="s">
        <v>71</v>
      </c>
      <c r="AE17">
        <f>Geraetedaten!B92/10000*Geraetedaten!B94*Geraetedaten!B93/1000/100</f>
        <v>63.548099999999998</v>
      </c>
      <c r="AF17" t="s">
        <v>75</v>
      </c>
      <c r="AG17" t="s">
        <v>179</v>
      </c>
      <c r="AN17" s="116" t="s">
        <v>228</v>
      </c>
      <c r="AO17" s="113" t="s">
        <v>229</v>
      </c>
      <c r="AP17" s="114"/>
      <c r="AQ17" s="114"/>
      <c r="AR17" s="114"/>
      <c r="AS17" s="115"/>
    </row>
    <row r="18" spans="1:46" x14ac:dyDescent="0.2">
      <c r="C18"/>
      <c r="D18"/>
      <c r="V18" s="1047" t="s">
        <v>247</v>
      </c>
      <c r="W18" s="1048"/>
      <c r="X18" s="1048"/>
      <c r="Y18" s="1048"/>
      <c r="Z18" s="123"/>
      <c r="AA18" s="124"/>
      <c r="AD18" s="3"/>
      <c r="AE18" s="3"/>
      <c r="AF18" s="3"/>
      <c r="AN18" s="116"/>
      <c r="AO18" s="113"/>
      <c r="AP18" s="114"/>
      <c r="AQ18" s="114"/>
      <c r="AR18" s="114"/>
      <c r="AS18" s="115"/>
    </row>
    <row r="19" spans="1:46" x14ac:dyDescent="0.2">
      <c r="C19"/>
      <c r="D19"/>
      <c r="V19" s="107" t="s">
        <v>280</v>
      </c>
      <c r="W19" s="105" t="str">
        <f>Geraetedaten!B122</f>
        <v>Nein</v>
      </c>
      <c r="X19" s="76"/>
      <c r="Y19" s="76"/>
      <c r="Z19" s="76"/>
      <c r="AA19" s="101"/>
      <c r="AD19" s="3"/>
      <c r="AF19" s="3"/>
      <c r="AN19" s="116" t="s">
        <v>230</v>
      </c>
      <c r="AO19" s="113" t="s">
        <v>231</v>
      </c>
      <c r="AP19" s="114"/>
      <c r="AQ19" s="114"/>
      <c r="AR19" s="114"/>
      <c r="AS19" s="115"/>
    </row>
    <row r="20" spans="1:46" x14ac:dyDescent="0.2">
      <c r="C20"/>
      <c r="D20"/>
      <c r="V20" s="140" t="s">
        <v>248</v>
      </c>
      <c r="W20" s="117">
        <f>IF($W$19="Ja",Geraetedaten!B123,0)</f>
        <v>0</v>
      </c>
      <c r="X20" s="118" t="s">
        <v>28</v>
      </c>
      <c r="Y20" s="140" t="s">
        <v>302</v>
      </c>
      <c r="Z20" s="117">
        <f>IF($W$19="Ja",Geraetedaten!B127,0)</f>
        <v>0</v>
      </c>
      <c r="AA20" s="118" t="s">
        <v>28</v>
      </c>
      <c r="AD20" s="3"/>
      <c r="AF20" s="3"/>
      <c r="AN20" s="116" t="s">
        <v>232</v>
      </c>
      <c r="AO20" s="113" t="s">
        <v>233</v>
      </c>
      <c r="AP20" s="114"/>
      <c r="AQ20" s="114"/>
      <c r="AR20" s="114"/>
      <c r="AS20" s="115"/>
    </row>
    <row r="21" spans="1:46" x14ac:dyDescent="0.2">
      <c r="A21" s="6" t="s">
        <v>196</v>
      </c>
      <c r="C21"/>
      <c r="D21"/>
      <c r="G21" s="6" t="s">
        <v>196</v>
      </c>
      <c r="V21" s="140" t="s">
        <v>261</v>
      </c>
      <c r="W21" s="117">
        <f>IF($W$19="Ja",Geraetedaten!B124,0)</f>
        <v>0</v>
      </c>
      <c r="X21" s="118" t="s">
        <v>28</v>
      </c>
      <c r="Y21" s="140" t="s">
        <v>303</v>
      </c>
      <c r="Z21" s="117">
        <f>IF($W$19="Ja",Geraetedaten!B128,0)</f>
        <v>0</v>
      </c>
      <c r="AA21" s="118" t="s">
        <v>28</v>
      </c>
      <c r="AD21" s="3"/>
      <c r="AE21" s="18"/>
      <c r="AF21" s="3"/>
      <c r="AN21" s="116"/>
      <c r="AO21" s="113"/>
      <c r="AP21" s="114"/>
      <c r="AQ21" s="114"/>
      <c r="AR21" s="114"/>
      <c r="AS21" s="115"/>
    </row>
    <row r="22" spans="1:46" x14ac:dyDescent="0.2">
      <c r="A22" s="17">
        <f>180+g_L</f>
        <v>269.90003654310334</v>
      </c>
      <c r="C22"/>
      <c r="D22"/>
      <c r="G22" s="17">
        <f>g_R</f>
        <v>90.058312055556371</v>
      </c>
      <c r="V22" s="140" t="s">
        <v>20</v>
      </c>
      <c r="W22" s="117">
        <f>IF($W$19="Ja",Geraetedaten!B125,0)</f>
        <v>0</v>
      </c>
      <c r="X22" s="118" t="s">
        <v>13</v>
      </c>
      <c r="Y22" s="142" t="s">
        <v>301</v>
      </c>
      <c r="Z22" s="117">
        <f>IF($W$19="Ja",W22*9.81/100,0)</f>
        <v>0</v>
      </c>
      <c r="AA22" s="118" t="s">
        <v>59</v>
      </c>
      <c r="AF22" s="3"/>
      <c r="AN22" s="116" t="s">
        <v>50</v>
      </c>
      <c r="AO22" s="113" t="s">
        <v>234</v>
      </c>
      <c r="AP22" s="114"/>
      <c r="AQ22" s="114"/>
      <c r="AR22" s="114"/>
      <c r="AS22" s="115"/>
    </row>
    <row r="23" spans="1:46" x14ac:dyDescent="0.2">
      <c r="A23" s="1"/>
      <c r="C23"/>
      <c r="D23"/>
      <c r="V23" s="141" t="s">
        <v>305</v>
      </c>
      <c r="W23" s="117">
        <f>IF($W$19="Ja",Geraetedaten!B126,0)</f>
        <v>0</v>
      </c>
      <c r="X23" s="118" t="s">
        <v>28</v>
      </c>
      <c r="Y23" s="141" t="s">
        <v>304</v>
      </c>
      <c r="Z23" s="117">
        <f>IF($W$19="Ja",Geraetedaten!B129,0)</f>
        <v>0</v>
      </c>
      <c r="AA23" s="118" t="s">
        <v>28</v>
      </c>
      <c r="AB23" s="3"/>
      <c r="AF23" s="3"/>
      <c r="AN23" s="112"/>
      <c r="AO23" s="113"/>
      <c r="AP23" s="114"/>
      <c r="AQ23" s="114"/>
      <c r="AR23" s="114"/>
      <c r="AS23" s="115"/>
    </row>
    <row r="24" spans="1:46" ht="12.75" customHeight="1" x14ac:dyDescent="0.2">
      <c r="A24" s="1"/>
      <c r="C24"/>
      <c r="D24"/>
      <c r="V24" s="125" t="s">
        <v>285</v>
      </c>
      <c r="AF24" s="3"/>
      <c r="AM24" s="101"/>
      <c r="AN24" s="1043" t="s">
        <v>306</v>
      </c>
      <c r="AO24" s="1044"/>
      <c r="AP24" s="1044"/>
      <c r="AQ24" s="1044"/>
      <c r="AR24" s="1044"/>
      <c r="AS24" s="115"/>
    </row>
    <row r="25" spans="1:46" x14ac:dyDescent="0.2">
      <c r="A25" s="1"/>
      <c r="C25"/>
      <c r="D25"/>
      <c r="AG25" s="18"/>
      <c r="AM25" s="101"/>
      <c r="AN25" s="1045"/>
      <c r="AO25" s="1046"/>
      <c r="AP25" s="1046"/>
      <c r="AQ25" s="1046"/>
      <c r="AR25" s="1046"/>
      <c r="AS25" s="143"/>
      <c r="AT25" s="107"/>
    </row>
    <row r="26" spans="1:46" x14ac:dyDescent="0.2">
      <c r="A26" s="1"/>
      <c r="C26"/>
      <c r="D26"/>
      <c r="U26" s="76"/>
      <c r="V26" s="76"/>
      <c r="W26" s="76"/>
      <c r="X26" s="76"/>
      <c r="Y26" s="76"/>
      <c r="Z26" s="76"/>
      <c r="AA26" s="76"/>
      <c r="AB26" s="76"/>
      <c r="AC26" s="76"/>
      <c r="AD26" s="76"/>
      <c r="AE26" s="76"/>
      <c r="AF26" s="76"/>
      <c r="AG26" s="18"/>
      <c r="AH26" s="76"/>
      <c r="AI26" s="76"/>
      <c r="AJ26" s="76"/>
      <c r="AK26" s="76"/>
      <c r="AL26" s="76"/>
      <c r="AM26" s="76"/>
      <c r="AN26" s="76"/>
      <c r="AS26"/>
    </row>
    <row r="27" spans="1:46" ht="13.5" thickBot="1" x14ac:dyDescent="0.25">
      <c r="A27" s="5" t="s">
        <v>47</v>
      </c>
      <c r="C27"/>
      <c r="D27"/>
      <c r="G27" s="6" t="s">
        <v>48</v>
      </c>
      <c r="T27" s="76"/>
      <c r="U27" s="139"/>
      <c r="V27" s="139"/>
      <c r="W27" s="139"/>
      <c r="X27" s="139"/>
      <c r="Y27" s="139"/>
      <c r="Z27" s="139"/>
      <c r="AA27" s="139"/>
      <c r="AB27" s="139"/>
      <c r="AC27" s="139"/>
      <c r="AD27" s="139"/>
      <c r="AE27" s="139"/>
      <c r="AF27" s="139"/>
      <c r="AG27" s="139"/>
      <c r="AH27" s="139"/>
      <c r="AI27" s="139"/>
      <c r="AJ27" s="139"/>
      <c r="AK27" s="13"/>
      <c r="AL27" s="6"/>
      <c r="AM27" s="6"/>
      <c r="AN27" s="6"/>
      <c r="AO27" s="6"/>
      <c r="AP27"/>
      <c r="AQ27"/>
      <c r="AR27"/>
      <c r="AS27"/>
    </row>
    <row r="28" spans="1:46" x14ac:dyDescent="0.2">
      <c r="A28" s="56">
        <v>0</v>
      </c>
      <c r="C28"/>
      <c r="D28"/>
      <c r="G28" s="56">
        <v>0</v>
      </c>
      <c r="T28" s="134"/>
      <c r="U28" s="1026" t="s">
        <v>249</v>
      </c>
      <c r="V28" s="1027"/>
      <c r="W28" s="1027" t="s">
        <v>250</v>
      </c>
      <c r="X28" s="1042"/>
      <c r="Y28" s="1026" t="s">
        <v>241</v>
      </c>
      <c r="Z28" s="1027"/>
      <c r="AA28" s="1027" t="s">
        <v>242</v>
      </c>
      <c r="AB28" s="1042"/>
      <c r="AC28" s="1026" t="s">
        <v>238</v>
      </c>
      <c r="AD28" s="1027"/>
      <c r="AE28" s="1027" t="s">
        <v>239</v>
      </c>
      <c r="AF28" s="1042"/>
      <c r="AG28" s="1026" t="s">
        <v>235</v>
      </c>
      <c r="AH28" s="1027"/>
      <c r="AI28" s="1027" t="s">
        <v>236</v>
      </c>
      <c r="AJ28" s="1042"/>
      <c r="AL28" s="6"/>
      <c r="AM28" s="6"/>
      <c r="AN28" s="6"/>
      <c r="AO28" s="6"/>
      <c r="AP28"/>
      <c r="AQ28"/>
      <c r="AR28"/>
      <c r="AS28"/>
    </row>
    <row r="29" spans="1:46" x14ac:dyDescent="0.2">
      <c r="C29"/>
      <c r="D29"/>
      <c r="T29" s="134"/>
      <c r="U29" s="1038">
        <f>IF(HL_Z-VL_Z=0,0,DEGREES(ATAN((HL_X-VL_X)/(HL_Z-VL_Z))))</f>
        <v>-89.900036543103326</v>
      </c>
      <c r="V29" s="1039"/>
      <c r="W29" s="1040">
        <f>IF(U29&lt;0,ABS(U29),IF(U29=0,90,180-U29))</f>
        <v>89.900036543103326</v>
      </c>
      <c r="X29" s="1041"/>
      <c r="Y29" s="1038">
        <f>IF(HR_X-HL_X=0,90,DEGREES(ATAN((HR_Z-HL_Z)/(HR_X-HL_X))))</f>
        <v>90</v>
      </c>
      <c r="Z29" s="1039"/>
      <c r="AA29" s="1040">
        <f>IF(Y29&lt;0,180+Y29,Y29)</f>
        <v>90</v>
      </c>
      <c r="AB29" s="1041"/>
      <c r="AC29" s="1038">
        <f>IF(VR_Z-HR_Z=0,0,DEGREES(ATAN((VR_X-HR_X)/(VR_Z-HR_Z))))</f>
        <v>89.941687944443629</v>
      </c>
      <c r="AD29" s="1039"/>
      <c r="AE29" s="1040">
        <f>IF(AC29&lt;0,ABS(AC29),IF(AC29=0,90,180-AC29))</f>
        <v>90.058312055556371</v>
      </c>
      <c r="AF29" s="1041"/>
      <c r="AG29" s="1038">
        <f>IF(VL_X-VR_X=0,90,DEGREES(ATAN((VL_Z-VR_Z)/(VL_X-VR_X))))</f>
        <v>90</v>
      </c>
      <c r="AH29" s="1039"/>
      <c r="AI29" s="1040">
        <f>IF(AG29&lt;0,180+AG29,AG29)</f>
        <v>90</v>
      </c>
      <c r="AJ29" s="1041"/>
      <c r="AL29" s="6"/>
      <c r="AM29" s="6"/>
      <c r="AN29" s="6"/>
      <c r="AO29" s="6"/>
      <c r="AP29"/>
      <c r="AQ29"/>
      <c r="AR29"/>
      <c r="AS29"/>
    </row>
    <row r="30" spans="1:46" x14ac:dyDescent="0.2">
      <c r="C30"/>
      <c r="D30"/>
      <c r="T30" s="134"/>
      <c r="U30" s="99"/>
      <c r="V30" s="99"/>
      <c r="W30" s="99"/>
      <c r="X30" s="132"/>
      <c r="Y30" s="99"/>
      <c r="Z30" s="99"/>
      <c r="AA30" s="99"/>
      <c r="AB30" s="130"/>
      <c r="AC30" s="133"/>
      <c r="AD30" s="99"/>
      <c r="AE30" s="99"/>
      <c r="AF30" s="132"/>
      <c r="AG30" s="99"/>
      <c r="AH30" s="99"/>
      <c r="AI30" s="99"/>
      <c r="AJ30" s="132"/>
      <c r="AL30" s="6"/>
      <c r="AM30" s="6"/>
      <c r="AN30" s="6"/>
      <c r="AO30" s="6"/>
      <c r="AP30"/>
      <c r="AQ30"/>
      <c r="AR30"/>
      <c r="AS30"/>
    </row>
    <row r="31" spans="1:46" x14ac:dyDescent="0.2">
      <c r="C31"/>
      <c r="D31" s="6"/>
      <c r="T31" s="134"/>
      <c r="U31" s="1049" t="s">
        <v>251</v>
      </c>
      <c r="V31" s="1050"/>
      <c r="W31" s="1050" t="s">
        <v>252</v>
      </c>
      <c r="X31" s="1051"/>
      <c r="Y31" s="1049" t="s">
        <v>243</v>
      </c>
      <c r="Z31" s="1050"/>
      <c r="AA31" s="1050" t="s">
        <v>269</v>
      </c>
      <c r="AB31" s="1051"/>
      <c r="AC31" s="1049" t="s">
        <v>240</v>
      </c>
      <c r="AD31" s="1050"/>
      <c r="AE31" s="1050" t="s">
        <v>268</v>
      </c>
      <c r="AF31" s="1051"/>
      <c r="AG31" s="1049" t="s">
        <v>237</v>
      </c>
      <c r="AH31" s="1050"/>
      <c r="AI31" s="1050" t="s">
        <v>270</v>
      </c>
      <c r="AJ31" s="1051"/>
      <c r="AL31" s="6"/>
      <c r="AM31" s="6"/>
      <c r="AN31" s="6"/>
      <c r="AO31" s="6"/>
      <c r="AP31"/>
      <c r="AQ31"/>
      <c r="AR31"/>
      <c r="AS31"/>
    </row>
    <row r="32" spans="1:46" x14ac:dyDescent="0.2">
      <c r="A32" s="1"/>
      <c r="C32"/>
      <c r="D32" s="79"/>
      <c r="T32" s="134"/>
      <c r="U32" s="1038">
        <f>(SIN(RADIANS(W29)))*(((VL_Z-HL_Z)/(VL_X-HL_X))*(HL_X)-HL_Z)</f>
        <v>1141.3067828769733</v>
      </c>
      <c r="V32" s="1039"/>
      <c r="W32" s="1039">
        <f>SIN(RADIANS(W29))*(((VL_Z-HL_Z)/(VL_X-HL_X))*(-SPG_X+HL_X)-HL_Z+SPG_Z)</f>
        <v>1115.6453178764909</v>
      </c>
      <c r="X32" s="1052"/>
      <c r="Y32" s="1038">
        <f>(SIN(RADIANS(AA29)))*(((HL_X-HR_X)/(HL_Z-HR_Z))*(HR_Z)-HR_X)</f>
        <v>750</v>
      </c>
      <c r="Z32" s="1039"/>
      <c r="AA32" s="1039">
        <f>SIN(RADIANS(AA29))*(((HL_X-HR_X)/(HL_Z-HR_Z))*(-SPG_Z+HR_Z)-HR_X+SPG_X)</f>
        <v>4988.9881903056585</v>
      </c>
      <c r="AB32" s="1052"/>
      <c r="AC32" s="1038">
        <f>(SIN(RADIANS(AE29)))*(((HR_Z-VR_Z)/(HR_X-VR_X))*(-VR_X)+VR_Z)</f>
        <v>1055.7627565116984</v>
      </c>
      <c r="AD32" s="1039"/>
      <c r="AE32" s="1039">
        <f>SIN(RADIANS(AE29))*(((HR_Z-VR_Z)/(HR_X-VR_X))*(SPG_X-VR_X)+VR_Z-SPG_Z)</f>
        <v>1093.1341533417772</v>
      </c>
      <c r="AF32" s="1052"/>
      <c r="AG32" s="1038">
        <f>(SIN(RADIANS(AI29)))*(((VR_X-VL_X)/(VR_Z-VL_Z))*(-VL_Z)+VL_X)</f>
        <v>6128</v>
      </c>
      <c r="AH32" s="1039"/>
      <c r="AI32" s="1039">
        <f>SIN(RADIANS(AI29))*(((VR_X-VL_X)/(VR_Z-VL_Z))*(SPG_Z-VL_Z)+VL_X-SPG_X)</f>
        <v>1889.0118096943415</v>
      </c>
      <c r="AJ32" s="1052"/>
      <c r="AL32" s="6"/>
      <c r="AM32" s="6"/>
      <c r="AN32" s="6"/>
      <c r="AO32" s="6"/>
      <c r="AP32"/>
      <c r="AQ32"/>
      <c r="AR32"/>
      <c r="AS32"/>
    </row>
    <row r="33" spans="1:47" x14ac:dyDescent="0.2">
      <c r="A33" s="1"/>
      <c r="C33"/>
      <c r="D33"/>
      <c r="T33" s="134"/>
      <c r="U33" s="99"/>
      <c r="V33" s="99"/>
      <c r="W33" s="99"/>
      <c r="X33" s="130"/>
      <c r="Y33" s="99"/>
      <c r="Z33" s="99"/>
      <c r="AA33" s="99"/>
      <c r="AB33" s="130"/>
      <c r="AC33" s="99"/>
      <c r="AD33" s="99"/>
      <c r="AE33" s="99"/>
      <c r="AF33" s="130"/>
      <c r="AG33" s="99"/>
      <c r="AH33" s="99"/>
      <c r="AI33" s="99"/>
      <c r="AJ33" s="138"/>
      <c r="AL33" s="6"/>
      <c r="AM33" s="6"/>
      <c r="AN33" s="6"/>
      <c r="AO33" s="6"/>
      <c r="AP33"/>
      <c r="AQ33"/>
      <c r="AR33"/>
      <c r="AS33"/>
    </row>
    <row r="34" spans="1:47" s="65" customFormat="1" ht="15" customHeight="1" thickBot="1" x14ac:dyDescent="0.3">
      <c r="A34" s="1020" t="s">
        <v>159</v>
      </c>
      <c r="B34" s="1020"/>
      <c r="D34" s="66"/>
      <c r="E34" s="66"/>
      <c r="F34" s="66"/>
      <c r="G34" s="66"/>
      <c r="H34"/>
      <c r="I34" s="66"/>
      <c r="J34" s="126"/>
      <c r="P34" s="20">
        <f>MAX(P39:P400)</f>
        <v>247.80048549651039</v>
      </c>
      <c r="Q34" s="127"/>
      <c r="T34" s="135"/>
      <c r="U34" s="100"/>
      <c r="V34" s="100"/>
      <c r="W34" s="100"/>
      <c r="X34" s="131"/>
      <c r="Y34" s="100"/>
      <c r="Z34" s="100"/>
      <c r="AA34" s="100"/>
      <c r="AB34" s="131"/>
      <c r="AC34" s="100"/>
      <c r="AD34" s="100"/>
      <c r="AE34" s="100"/>
      <c r="AF34" s="131"/>
      <c r="AG34" s="100"/>
      <c r="AH34" s="100"/>
      <c r="AI34" s="100"/>
      <c r="AJ34" s="131"/>
      <c r="AL34" s="94"/>
      <c r="AM34" s="94"/>
      <c r="AN34" s="94"/>
      <c r="AO34" s="94"/>
    </row>
    <row r="35" spans="1:47" s="65" customFormat="1" ht="15" customHeight="1" thickBot="1" x14ac:dyDescent="0.25">
      <c r="A35" s="1031" t="s">
        <v>173</v>
      </c>
      <c r="B35" s="1032"/>
      <c r="C35" s="1021" t="s">
        <v>183</v>
      </c>
      <c r="D35" s="1033" t="s">
        <v>182</v>
      </c>
      <c r="E35" s="1033"/>
      <c r="F35" s="1033"/>
      <c r="G35" s="1033"/>
      <c r="H35" s="1033"/>
      <c r="I35" s="1035" t="s">
        <v>277</v>
      </c>
      <c r="J35" s="1037" t="s">
        <v>161</v>
      </c>
      <c r="K35" s="1037"/>
      <c r="L35" s="1037"/>
      <c r="M35" s="1037"/>
      <c r="N35" s="1021" t="s">
        <v>184</v>
      </c>
      <c r="O35" s="1021" t="s">
        <v>185</v>
      </c>
      <c r="P35" s="1021" t="s">
        <v>186</v>
      </c>
      <c r="Q35" s="1023" t="s">
        <v>166</v>
      </c>
      <c r="R35" s="1024"/>
      <c r="S35" s="1024"/>
      <c r="T35" s="1025"/>
      <c r="U35" s="1028" t="s">
        <v>51</v>
      </c>
      <c r="V35" s="1029"/>
      <c r="W35" s="1029"/>
      <c r="X35" s="1030"/>
      <c r="Y35" s="1028" t="s">
        <v>52</v>
      </c>
      <c r="Z35" s="1029"/>
      <c r="AA35" s="1029"/>
      <c r="AB35" s="1030"/>
      <c r="AC35" s="1028" t="s">
        <v>53</v>
      </c>
      <c r="AD35" s="1029"/>
      <c r="AE35" s="1029"/>
      <c r="AF35" s="1030"/>
      <c r="AG35" s="1028" t="s">
        <v>54</v>
      </c>
      <c r="AH35" s="1029"/>
      <c r="AI35" s="1029"/>
      <c r="AJ35" s="1030"/>
      <c r="AK35" s="69"/>
      <c r="AL35" s="1028" t="s">
        <v>274</v>
      </c>
      <c r="AM35" s="1029"/>
      <c r="AN35" s="1029"/>
      <c r="AO35" s="1030"/>
      <c r="AP35" s="70"/>
      <c r="AQ35" s="1028" t="s">
        <v>287</v>
      </c>
      <c r="AR35" s="1029"/>
      <c r="AS35" s="1029"/>
      <c r="AT35" s="1029"/>
      <c r="AU35" s="1030"/>
    </row>
    <row r="36" spans="1:47" s="65" customFormat="1" ht="15" customHeight="1" x14ac:dyDescent="0.2">
      <c r="A36" s="71" t="s">
        <v>50</v>
      </c>
      <c r="B36" s="72" t="s">
        <v>1</v>
      </c>
      <c r="C36" s="1034"/>
      <c r="D36" s="73" t="s">
        <v>167</v>
      </c>
      <c r="E36" s="74" t="s">
        <v>168</v>
      </c>
      <c r="F36" s="74" t="s">
        <v>169</v>
      </c>
      <c r="G36" s="74" t="s">
        <v>170</v>
      </c>
      <c r="H36" s="72" t="s">
        <v>61</v>
      </c>
      <c r="I36" s="1036"/>
      <c r="J36" s="67" t="s">
        <v>162</v>
      </c>
      <c r="K36" s="71" t="s">
        <v>163</v>
      </c>
      <c r="L36" s="71" t="s">
        <v>171</v>
      </c>
      <c r="M36" s="68" t="s">
        <v>172</v>
      </c>
      <c r="N36" s="1022"/>
      <c r="O36" s="1022"/>
      <c r="P36" s="1022"/>
      <c r="Q36" s="71" t="s">
        <v>278</v>
      </c>
      <c r="R36" s="67" t="s">
        <v>181</v>
      </c>
      <c r="S36" s="71" t="s">
        <v>165</v>
      </c>
      <c r="T36" s="89" t="s">
        <v>58</v>
      </c>
      <c r="U36" s="92" t="s">
        <v>273</v>
      </c>
      <c r="V36" s="91" t="s">
        <v>256</v>
      </c>
      <c r="W36" s="91" t="s">
        <v>257</v>
      </c>
      <c r="X36" s="93" t="s">
        <v>266</v>
      </c>
      <c r="Y36" s="92" t="s">
        <v>272</v>
      </c>
      <c r="Z36" s="91" t="s">
        <v>255</v>
      </c>
      <c r="AA36" s="91" t="s">
        <v>258</v>
      </c>
      <c r="AB36" s="93" t="s">
        <v>265</v>
      </c>
      <c r="AC36" s="92" t="s">
        <v>271</v>
      </c>
      <c r="AD36" s="91" t="s">
        <v>253</v>
      </c>
      <c r="AE36" s="91" t="s">
        <v>259</v>
      </c>
      <c r="AF36" s="93" t="s">
        <v>264</v>
      </c>
      <c r="AG36" s="92" t="s">
        <v>267</v>
      </c>
      <c r="AH36" s="91" t="s">
        <v>254</v>
      </c>
      <c r="AI36" s="91" t="s">
        <v>260</v>
      </c>
      <c r="AJ36" s="136" t="s">
        <v>262</v>
      </c>
      <c r="AL36" s="94" t="s">
        <v>244</v>
      </c>
      <c r="AM36" s="94" t="s">
        <v>245</v>
      </c>
      <c r="AN36" s="94" t="s">
        <v>246</v>
      </c>
      <c r="AO36" s="94" t="s">
        <v>263</v>
      </c>
      <c r="AQ36" s="94" t="s">
        <v>297</v>
      </c>
      <c r="AR36" s="94" t="s">
        <v>298</v>
      </c>
      <c r="AS36" s="94" t="s">
        <v>288</v>
      </c>
      <c r="AT36" s="94" t="s">
        <v>289</v>
      </c>
      <c r="AU36" s="94" t="s">
        <v>296</v>
      </c>
    </row>
    <row r="37" spans="1:47" s="3" customFormat="1" ht="13.5" x14ac:dyDescent="0.25">
      <c r="A37" s="59" t="s">
        <v>76</v>
      </c>
      <c r="B37" s="60"/>
      <c r="C37" s="63"/>
      <c r="D37" s="60"/>
      <c r="E37" s="60"/>
      <c r="F37" s="60"/>
      <c r="G37" s="60"/>
      <c r="H37" s="60"/>
      <c r="I37" s="64"/>
      <c r="J37" s="22"/>
      <c r="K37" s="22"/>
      <c r="L37" s="22"/>
      <c r="M37" s="22"/>
      <c r="N37" s="62"/>
      <c r="O37" s="62"/>
      <c r="P37" s="62"/>
      <c r="Q37" s="62"/>
      <c r="R37" s="61"/>
      <c r="S37" s="61">
        <f>Geraetedaten!B175</f>
        <v>41.1</v>
      </c>
      <c r="T37" s="87">
        <f>Geraetedaten!B175</f>
        <v>41.1</v>
      </c>
      <c r="U37" s="119" t="s">
        <v>75</v>
      </c>
      <c r="V37" s="120" t="s">
        <v>28</v>
      </c>
      <c r="W37" s="120" t="s">
        <v>28</v>
      </c>
      <c r="X37" s="128" t="s">
        <v>28</v>
      </c>
      <c r="Y37" s="129" t="s">
        <v>75</v>
      </c>
      <c r="Z37" s="120" t="s">
        <v>28</v>
      </c>
      <c r="AA37" s="120" t="s">
        <v>28</v>
      </c>
      <c r="AB37" s="128" t="s">
        <v>28</v>
      </c>
      <c r="AC37" s="129" t="s">
        <v>75</v>
      </c>
      <c r="AD37" s="120" t="s">
        <v>28</v>
      </c>
      <c r="AE37" s="120" t="s">
        <v>28</v>
      </c>
      <c r="AF37" s="128" t="s">
        <v>28</v>
      </c>
      <c r="AG37" s="129" t="s">
        <v>75</v>
      </c>
      <c r="AH37" s="120" t="s">
        <v>28</v>
      </c>
      <c r="AI37" s="120" t="s">
        <v>28</v>
      </c>
      <c r="AJ37" s="137" t="s">
        <v>28</v>
      </c>
      <c r="AK37" s="121"/>
      <c r="AL37" s="122" t="s">
        <v>28</v>
      </c>
      <c r="AM37" s="122" t="s">
        <v>28</v>
      </c>
      <c r="AN37" s="122" t="s">
        <v>28</v>
      </c>
      <c r="AO37" s="122" t="s">
        <v>28</v>
      </c>
      <c r="AP37" s="121"/>
      <c r="AQ37" s="122" t="s">
        <v>299</v>
      </c>
      <c r="AR37" s="122" t="s">
        <v>299</v>
      </c>
      <c r="AS37" s="122" t="s">
        <v>300</v>
      </c>
      <c r="AT37" s="122" t="s">
        <v>300</v>
      </c>
      <c r="AU37" s="122" t="s">
        <v>75</v>
      </c>
    </row>
    <row r="38" spans="1:47" s="3" customFormat="1" ht="13.5" x14ac:dyDescent="0.25">
      <c r="A38" s="59" t="s">
        <v>76</v>
      </c>
      <c r="B38" s="60"/>
      <c r="C38" s="22"/>
      <c r="D38" s="60"/>
      <c r="E38" s="60"/>
      <c r="F38" s="60"/>
      <c r="G38" s="60"/>
      <c r="H38" s="60"/>
      <c r="I38" s="60"/>
      <c r="J38" s="22"/>
      <c r="K38" s="22"/>
      <c r="L38" s="22"/>
      <c r="M38" s="22"/>
      <c r="N38" s="61"/>
      <c r="O38" s="61"/>
      <c r="P38" s="22"/>
      <c r="Q38" s="22"/>
      <c r="R38" s="61"/>
      <c r="S38" s="61">
        <f>Geraetedaten!B175</f>
        <v>41.1</v>
      </c>
      <c r="T38" s="87">
        <f>Geraetedaten!B175*(-1)</f>
        <v>-41.1</v>
      </c>
      <c r="U38" s="86"/>
      <c r="V38" s="85"/>
      <c r="W38" s="85"/>
      <c r="X38" s="90"/>
      <c r="Y38" s="86"/>
      <c r="Z38" s="85"/>
      <c r="AA38" s="85"/>
      <c r="AB38" s="90"/>
      <c r="AC38" s="86"/>
      <c r="AD38" s="85"/>
      <c r="AE38" s="85"/>
      <c r="AF38" s="90"/>
      <c r="AG38" s="86"/>
      <c r="AH38" s="85"/>
      <c r="AI38" s="85"/>
      <c r="AJ38" s="90"/>
      <c r="AL38" s="55"/>
      <c r="AM38" s="55"/>
      <c r="AN38" s="55"/>
      <c r="AO38" s="55"/>
    </row>
    <row r="39" spans="1:47" ht="13.5" x14ac:dyDescent="0.25">
      <c r="A39" s="16">
        <v>0</v>
      </c>
      <c r="B39" s="16">
        <f t="shared" ref="B39:B70" si="0">360-A39+90</f>
        <v>450</v>
      </c>
      <c r="C39" s="19">
        <f>$AE$16*ABS(COS(RADIANS(A39)))+$AE$17*ABS(SIN(RADIANS(A39)))+AU39</f>
        <v>29.946840000000002</v>
      </c>
      <c r="D39" s="17">
        <f t="shared" ref="D39:D70" si="1">IF(ISNUMBER(U39),U39-C39,"unendlich")</f>
        <v>-1621987.0159700001</v>
      </c>
      <c r="E39" s="17">
        <f t="shared" ref="E39:E70" si="2">IF(ISNUMBER(Y39),Y39-C39,"unendlich")</f>
        <v>-8416.9698200000003</v>
      </c>
      <c r="F39" s="17">
        <f t="shared" ref="F39:F70" si="3">IF(ISNUMBER(AC39),AC39-C39,"unendlich")</f>
        <v>-2664212.8718499998</v>
      </c>
      <c r="G39" s="17">
        <f t="shared" ref="G39:G70" si="4">IF(ISNUMBER(AG39),AG39-C39,"unendlich")</f>
        <v>8873.8784099999993</v>
      </c>
      <c r="H39" s="17">
        <f>SMALL(($U39,$Y39,$AC39,$AG39),COUNTIF(D39:G39,"&lt;0")+1)-C39</f>
        <v>8873.8784099999993</v>
      </c>
      <c r="I39" s="17">
        <f t="shared" ref="I39:I70" si="5">IF(H39+C39=U39,W39,IF(H39+C39=Y39,AA39,IF(H39+C39=AC39,AE39,IF(H39+C39=AG39,AI39,"???"))))</f>
        <v>6128</v>
      </c>
      <c r="J39" s="20">
        <f>(Geraetedaten!$B$152+(Geraetedaten!$B$153*(Geraetedaten!$B$18+d_y_Sw)/1000))*10</f>
        <v>6051.0442000000003</v>
      </c>
      <c r="K39" s="20">
        <f>(Geraetedaten!$B$165+(Geraetedaten!$B$166*(Geraetedaten!$B$18+d_y_Sw)/1000))*10</f>
        <v>10816.164000000001</v>
      </c>
      <c r="L39" s="20">
        <f>(Geraetedaten!$B$158+(Geraetedaten!$B$159*(Geraetedaten!$B$18+d_y_Sw)/1000)-(Geraetedaten!$B$160*I39/1000))*10</f>
        <v>152.17035999999985</v>
      </c>
      <c r="M39" s="20">
        <f>(Geraetedaten!$B$171+(Geraetedaten!$B$172*(Geraetedaten!$B$18+d_y_Sw)/1000)-(Geraetedaten!$B$173*I39/1000))*10</f>
        <v>608.69868000000088</v>
      </c>
      <c r="N39" s="20">
        <f>IF((H39-J39)/(K39-J39)*(Geraetedaten!$B$174-Geraetedaten!$B$161)&lt;Geraetedaten!$B$174,(H39-J39)/(K39-J39)*(Geraetedaten!$B$174-Geraetedaten!$B$161),Geraetedaten!$B$174)</f>
        <v>236.95808949021585</v>
      </c>
      <c r="O39" s="20">
        <f>N39/Geraetedaten!$B$174*(M39-L39)+L39+C39</f>
        <v>452.56239626344524</v>
      </c>
      <c r="P39" s="20">
        <f t="shared" ref="P39:P70" si="6">O39*100/9.81/(Q39-(I39/1000))</f>
        <v>153.15557745488999</v>
      </c>
      <c r="Q39" s="21">
        <f>(N39-Geraetedaten!$B$161)/(Geraetedaten!$B$174-Geraetedaten!$B$161)*(Geraetedaten!$B$175-Geraetedaten!$B$162)+Geraetedaten!$B$162</f>
        <v>36.249503162333923</v>
      </c>
      <c r="R39" s="21">
        <f t="shared" ref="R39:R70" si="7">SQRT((r_K_D/1000)^2+Q39^2-(2*(r_K_D/1000)*Q39*COS(RADIANS(2*A39))))</f>
        <v>36.249503162333923</v>
      </c>
      <c r="S39" s="21">
        <f t="shared" ref="S39:S70" si="8">R39*SIN(A39*Const_2)</f>
        <v>0</v>
      </c>
      <c r="T39" s="88">
        <f t="shared" ref="T39:T70" si="9">R39*COS(A39*Const_2)</f>
        <v>36.249503162333923</v>
      </c>
      <c r="U39" s="86">
        <f t="shared" ref="U39:U70" si="10">ROUND((F_S*r_Su_L-F_G*V39+F_SSw*X39)/(SIN(RADIANS(270+g_L-A39)))/1000,5)</f>
        <v>-1621957.06913</v>
      </c>
      <c r="V39" s="85">
        <f t="shared" ref="V39:V70" si="11">(SIN(RADIANS(g_L)))*(((VL_Z-HL_Z)/(VL_X-HL_X))*(-HL_X+AM39)+HL_Z-AL39)</f>
        <v>-1141.3067828769733</v>
      </c>
      <c r="W39" s="85">
        <f t="shared" ref="W39:W70" si="12">V39/(SIN(RADIANS(180-g_L-(90-$A39))))</f>
        <v>-654159.99999996764</v>
      </c>
      <c r="X39" s="90">
        <f t="shared" ref="X39:X70" si="13">SIN(RADIANS(g_L))*(((VL_Z-HL_Z)/(VL_X-HL_X))*(-AO39+HL_X)-HL_Z+AN39)</f>
        <v>1141.3067828769733</v>
      </c>
      <c r="Y39" s="86">
        <f t="shared" ref="Y39:Y70" si="14">ROUND((F_S*r_Su_H-F_G*Z39+F_SSw*AB39)/(SIN(RADIANS(180+g_H-A39)))/1000,5)</f>
        <v>-8387.0229799999997</v>
      </c>
      <c r="Z39" s="85">
        <f t="shared" ref="Z39:Z70" si="15">(SIN(RADIANS(g_H)))*(((HL_X-HR_X)/(HL_Z-HR_Z))*(-HR_Z+AL39)+HR_X-AM39)</f>
        <v>-750</v>
      </c>
      <c r="AA39" s="85">
        <f t="shared" ref="AA39:AA70" si="16">Z39/(SIN(RADIANS(g_H-$A39)))</f>
        <v>-750</v>
      </c>
      <c r="AB39" s="90">
        <f t="shared" ref="AB39:AB70" si="17">SIN(RADIANS(g_H))*(((HL_X-HR_X)/(HL_Z-HR_Z))*(-AN39+HR_Z)-HR_X+AO39)</f>
        <v>750</v>
      </c>
      <c r="AC39" s="86">
        <f t="shared" ref="AC39:AC70" si="18">ROUND((F_S*r_Su_R+F_G*AD39+F_SSw*AF39)/(SIN(RADIANS(90+g_R-A39)))/1000,5)</f>
        <v>-2664182.9250099999</v>
      </c>
      <c r="AD39" s="85">
        <f t="shared" ref="AD39:AD70" si="19">(SIN(RADIANS(g_R)))*(((HR_Z-VR_Z)/(HR_X-VR_X))*(-VR_X+AM39)+VR_Z-AL39)</f>
        <v>1055.7627565116984</v>
      </c>
      <c r="AE39" s="85">
        <f t="shared" ref="AE39:AE70" si="20">AD39/(SIN(RADIANS(180-g_R-(90-$A39))))</f>
        <v>-1037362.8571428895</v>
      </c>
      <c r="AF39" s="90">
        <f t="shared" ref="AF39:AF70" si="21">(SIN(RADIANS(g_R)))*(((HR_Z-VR_Z)/(HR_X-VR_X))*(-VR_X+AO39)+VR_Z-AN39)</f>
        <v>1055.7627565116984</v>
      </c>
      <c r="AG39" s="86">
        <f t="shared" ref="AG39:AG70" si="22">ROUND((F_S*r_Su_V+F_G*AH39+F_SSw*AJ39)/(SIN(RADIANS(g_V-A39)))/1000,5)</f>
        <v>8903.8252499999999</v>
      </c>
      <c r="AH39" s="85">
        <f t="shared" ref="AH39:AH70" si="23">(SIN(RADIANS(g_V)))*(((VR_X-VL_X)/(VR_Z-VL_Z))*(AL39-VL_Z)+VL_X-AM39)</f>
        <v>6128</v>
      </c>
      <c r="AI39" s="85">
        <f t="shared" ref="AI39:AI70" si="24">AH39/(SIN(RADIANS(g_V-$A39)))</f>
        <v>6128</v>
      </c>
      <c r="AJ39" s="90">
        <f t="shared" ref="AJ39:AJ70" si="25">(SIN(RADIANS(g_V)))*(((VR_X-VL_X)/(VR_Z-VL_Z))*(-VL_Z+AN39)+VL_X-AO39)</f>
        <v>6128</v>
      </c>
      <c r="AL39" s="95">
        <f t="shared" ref="AL39:AL70" si="26">SIN(RADIANS(A39))*r_K_D</f>
        <v>0</v>
      </c>
      <c r="AM39" s="95">
        <f t="shared" ref="AM39:AM70" si="27">COS(RADIANS(A39-180))*r_K_D</f>
        <v>0</v>
      </c>
      <c r="AN39" s="95">
        <f t="shared" ref="AN39:AN70" si="28">SIN(RADIANS(A39))*r_K_SSw</f>
        <v>0</v>
      </c>
      <c r="AO39" s="95">
        <f t="shared" ref="AO39:AO70" si="29">-COS(RADIANS(A39))*r_K_SSw</f>
        <v>0</v>
      </c>
      <c r="AP39"/>
      <c r="AQ39" s="95">
        <f t="shared" ref="AQ39:AQ70" si="30">MAX(d_y_Sw*(r_K_D*ABS(COS(RADIANS($A39)))+_r1_Sw+_r2_Sw), 2*_r1_Sw*d_y_Sw)/1000000</f>
        <v>0</v>
      </c>
      <c r="AR39" s="95">
        <f t="shared" ref="AR39:AR70" si="31">MAX(d_y_Sw*(r_K_D*ABS(SIN(RADIANS($A39)))+_r1_Sw+_r2_Sw), 2*_r1_Sw*d_y_Sw)/1000000</f>
        <v>0</v>
      </c>
      <c r="AS39" s="95">
        <f>Geraetedaten!$B$94*ABS(SIN(RADIANS($A39)))</f>
        <v>0</v>
      </c>
      <c r="AT39" s="95">
        <f>Geraetedaten!$B$94*ABS(COS(RADIANS($A39)))</f>
        <v>154</v>
      </c>
      <c r="AU39" s="95">
        <f>((h_Aw_Sw+Geraetedaten!$B$18)/1000)*(AQ39*AS39+AR39*AT39)/100</f>
        <v>0</v>
      </c>
    </row>
    <row r="40" spans="1:47" ht="13.5" x14ac:dyDescent="0.25">
      <c r="A40" s="16">
        <v>1</v>
      </c>
      <c r="B40" s="16">
        <f t="shared" si="0"/>
        <v>449</v>
      </c>
      <c r="C40" s="19">
        <f t="shared" ref="C40:C70" si="32">$AE$16*ABS(COS(RADIANS(A40)))+$AE$17*ABS(SIN(RADIANS(A40)))+AU40</f>
        <v>31.051346220734363</v>
      </c>
      <c r="D40" s="17">
        <f t="shared" si="1"/>
        <v>-147441.68784622074</v>
      </c>
      <c r="E40" s="17">
        <f t="shared" si="2"/>
        <v>-8419.3519062207342</v>
      </c>
      <c r="F40" s="17">
        <f t="shared" si="3"/>
        <v>164950.30079377926</v>
      </c>
      <c r="G40" s="17">
        <f t="shared" si="4"/>
        <v>8874.1302137792663</v>
      </c>
      <c r="H40" s="17">
        <f t="shared" ref="H40:H71" si="33">SMALL(D40:G40,COUNTIF(D40:G40,"&lt;0")+1)</f>
        <v>8874.1302137792663</v>
      </c>
      <c r="I40" s="17">
        <f t="shared" si="5"/>
        <v>6128.9334662530664</v>
      </c>
      <c r="J40" s="20">
        <f>(Geraetedaten!$B$152+(Geraetedaten!$B$153*(Geraetedaten!$B$18+d_y_Sw)/1000))*10</f>
        <v>6051.0442000000003</v>
      </c>
      <c r="K40" s="20">
        <f>(Geraetedaten!$B$165+(Geraetedaten!$B$166*(Geraetedaten!$B$18+d_y_Sw)/1000))*10</f>
        <v>10816.164000000001</v>
      </c>
      <c r="L40" s="20">
        <f>(Geraetedaten!$B$158+(Geraetedaten!$B$159*(Geraetedaten!$B$18+d_y_Sw)/1000)-(Geraetedaten!$B$160*I40/1000))*10</f>
        <v>152.10190891966243</v>
      </c>
      <c r="M40" s="20">
        <f>(Geraetedaten!$B$171+(Geraetedaten!$B$172*(Geraetedaten!$B$18+d_y_Sw)/1000)-(Geraetedaten!$B$173*I40/1000))*10</f>
        <v>608.62919277212256</v>
      </c>
      <c r="N40" s="20">
        <f>IF((H40-J40)/(K40-J40)*(Geraetedaten!$B$174-Geraetedaten!$B$161)&lt;Geraetedaten!$B$174,(H40-J40)/(K40-J40)*(Geraetedaten!$B$174-Geraetedaten!$B$161),Geraetedaten!$B$174)</f>
        <v>236.97922673669325</v>
      </c>
      <c r="O40" s="20">
        <f>N40/Geraetedaten!$B$174*(M40-L40)+L40+C40</f>
        <v>453.62196191929399</v>
      </c>
      <c r="P40" s="20">
        <f t="shared" si="6"/>
        <v>153.51570686364911</v>
      </c>
      <c r="Q40" s="21">
        <f>(N40-Geraetedaten!$B$161)/(Geraetedaten!$B$174-Geraetedaten!$B$161)*(Geraetedaten!$B$175-Geraetedaten!$B$162)+Geraetedaten!$B$162</f>
        <v>36.250131995416623</v>
      </c>
      <c r="R40" s="21">
        <f t="shared" si="7"/>
        <v>36.250131995416623</v>
      </c>
      <c r="S40" s="21">
        <f t="shared" si="8"/>
        <v>0.63265203698918604</v>
      </c>
      <c r="T40" s="88">
        <f t="shared" si="9"/>
        <v>36.244610924732264</v>
      </c>
      <c r="U40" s="86">
        <f t="shared" si="10"/>
        <v>-147410.63649999999</v>
      </c>
      <c r="V40" s="85">
        <f t="shared" si="11"/>
        <v>-1141.3067828769733</v>
      </c>
      <c r="W40" s="85">
        <f t="shared" si="12"/>
        <v>-59452.955819394701</v>
      </c>
      <c r="X40" s="90">
        <f t="shared" si="13"/>
        <v>1141.3067828769733</v>
      </c>
      <c r="Y40" s="86">
        <f t="shared" si="14"/>
        <v>-8388.3005599999997</v>
      </c>
      <c r="Z40" s="85">
        <f t="shared" si="15"/>
        <v>-750</v>
      </c>
      <c r="AA40" s="85">
        <f t="shared" si="16"/>
        <v>-750.11424603293074</v>
      </c>
      <c r="AB40" s="90">
        <f t="shared" si="17"/>
        <v>750</v>
      </c>
      <c r="AC40" s="86">
        <f t="shared" si="18"/>
        <v>164981.35214</v>
      </c>
      <c r="AD40" s="85">
        <f t="shared" si="19"/>
        <v>1055.7627565116984</v>
      </c>
      <c r="AE40" s="85">
        <f t="shared" si="20"/>
        <v>64239.405343245511</v>
      </c>
      <c r="AF40" s="90">
        <f t="shared" si="21"/>
        <v>1055.7627565116984</v>
      </c>
      <c r="AG40" s="86">
        <f t="shared" si="22"/>
        <v>8905.1815600000009</v>
      </c>
      <c r="AH40" s="85">
        <f t="shared" si="23"/>
        <v>6128</v>
      </c>
      <c r="AI40" s="85">
        <f t="shared" si="24"/>
        <v>6128.9334662530664</v>
      </c>
      <c r="AJ40" s="90">
        <f t="shared" si="25"/>
        <v>6128</v>
      </c>
      <c r="AL40" s="95">
        <f t="shared" si="26"/>
        <v>0</v>
      </c>
      <c r="AM40" s="95">
        <f t="shared" si="27"/>
        <v>0</v>
      </c>
      <c r="AN40" s="95">
        <f t="shared" si="28"/>
        <v>0</v>
      </c>
      <c r="AO40" s="95">
        <f t="shared" si="29"/>
        <v>0</v>
      </c>
      <c r="AP40"/>
      <c r="AQ40" s="95">
        <f t="shared" si="30"/>
        <v>0</v>
      </c>
      <c r="AR40" s="95">
        <f t="shared" si="31"/>
        <v>0</v>
      </c>
      <c r="AS40" s="95">
        <f>Geraetedaten!$B$94*ABS(SIN(RADIANS($A40)))</f>
        <v>2.6876705913416608</v>
      </c>
      <c r="AT40" s="95">
        <f>Geraetedaten!$B$94*ABS(COS(RADIANS($A40)))</f>
        <v>153.97654505408426</v>
      </c>
      <c r="AU40" s="95">
        <f>((h_Aw_Sw+Geraetedaten!$B$18)/1000)*(AQ40*AS40+AR40*AT40)/100</f>
        <v>0</v>
      </c>
    </row>
    <row r="41" spans="1:47" ht="13.5" x14ac:dyDescent="0.25">
      <c r="A41" s="16">
        <v>2</v>
      </c>
      <c r="B41" s="16">
        <f t="shared" si="0"/>
        <v>448</v>
      </c>
      <c r="C41" s="19">
        <f t="shared" si="32"/>
        <v>32.146393900608743</v>
      </c>
      <c r="D41" s="17">
        <f t="shared" si="1"/>
        <v>-77258.5659939006</v>
      </c>
      <c r="E41" s="17">
        <f t="shared" si="2"/>
        <v>-8424.2816339006076</v>
      </c>
      <c r="F41" s="17">
        <f t="shared" si="3"/>
        <v>79992.914526099397</v>
      </c>
      <c r="G41" s="17">
        <f t="shared" si="4"/>
        <v>8877.1061360993917</v>
      </c>
      <c r="H41" s="17">
        <f t="shared" si="33"/>
        <v>8877.1061360993917</v>
      </c>
      <c r="I41" s="17">
        <f t="shared" si="5"/>
        <v>6131.7352874631797</v>
      </c>
      <c r="J41" s="20">
        <f>(Geraetedaten!$B$152+(Geraetedaten!$B$153*(Geraetedaten!$B$18+d_y_Sw)/1000))*10</f>
        <v>6051.0442000000003</v>
      </c>
      <c r="K41" s="20">
        <f>(Geraetedaten!$B$165+(Geraetedaten!$B$166*(Geraetedaten!$B$18+d_y_Sw)/1000))*10</f>
        <v>10816.164000000001</v>
      </c>
      <c r="L41" s="20">
        <f>(Geraetedaten!$B$158+(Geraetedaten!$B$159*(Geraetedaten!$B$18+d_y_Sw)/1000)-(Geraetedaten!$B$160*I41/1000))*10</f>
        <v>151.89645137032485</v>
      </c>
      <c r="M41" s="20">
        <f>(Geraetedaten!$B$171+(Geraetedaten!$B$172*(Geraetedaten!$B$18+d_y_Sw)/1000)-(Geraetedaten!$B$173*I41/1000))*10</f>
        <v>608.42062520124171</v>
      </c>
      <c r="N41" s="20">
        <f>IF((H41-J41)/(K41-J41)*(Geraetedaten!$B$174-Geraetedaten!$B$161)&lt;Geraetedaten!$B$174,(H41-J41)/(K41-J41)*(Geraetedaten!$B$174-Geraetedaten!$B$161),Geraetedaten!$B$174)</f>
        <v>237.2290355511642</v>
      </c>
      <c r="O41" s="20">
        <f>N41/Geraetedaten!$B$174*(M41-L41)+L41+C41</f>
        <v>454.7948189301847</v>
      </c>
      <c r="P41" s="20">
        <f t="shared" si="6"/>
        <v>153.88897303315306</v>
      </c>
      <c r="Q41" s="21">
        <f>(N41-Geraetedaten!$B$161)/(Geraetedaten!$B$174-Geraetedaten!$B$161)*(Geraetedaten!$B$175-Geraetedaten!$B$162)+Geraetedaten!$B$162</f>
        <v>36.257563807647138</v>
      </c>
      <c r="R41" s="21">
        <f>SQRT((r_K_D/1000)^2+Q41^2-(2*(r_K_D/1000)*Q41*COS(RADIANS(2*A41))))</f>
        <v>36.257563807647138</v>
      </c>
      <c r="S41" s="21">
        <f t="shared" si="8"/>
        <v>1.2653707285456999</v>
      </c>
      <c r="T41" s="88">
        <f t="shared" si="9"/>
        <v>36.235476679422106</v>
      </c>
      <c r="U41" s="86">
        <f t="shared" si="10"/>
        <v>-77226.419599999994</v>
      </c>
      <c r="V41" s="85">
        <f t="shared" si="11"/>
        <v>-1141.3067828769733</v>
      </c>
      <c r="W41" s="85">
        <f t="shared" si="12"/>
        <v>-31146.591735373779</v>
      </c>
      <c r="X41" s="90">
        <f t="shared" si="13"/>
        <v>1141.3067828769733</v>
      </c>
      <c r="Y41" s="86">
        <f t="shared" si="14"/>
        <v>-8392.1352399999996</v>
      </c>
      <c r="Z41" s="85">
        <f t="shared" si="15"/>
        <v>-750</v>
      </c>
      <c r="AA41" s="85">
        <f t="shared" si="16"/>
        <v>-750.45715822411626</v>
      </c>
      <c r="AB41" s="90">
        <f t="shared" si="17"/>
        <v>750</v>
      </c>
      <c r="AC41" s="86">
        <f t="shared" si="18"/>
        <v>80025.060920000004</v>
      </c>
      <c r="AD41" s="85">
        <f t="shared" si="19"/>
        <v>1055.7627565116984</v>
      </c>
      <c r="AE41" s="85">
        <f t="shared" si="20"/>
        <v>31159.656892269864</v>
      </c>
      <c r="AF41" s="90">
        <f t="shared" si="21"/>
        <v>1055.7627565116984</v>
      </c>
      <c r="AG41" s="86">
        <f t="shared" si="22"/>
        <v>8909.2525299999998</v>
      </c>
      <c r="AH41" s="85">
        <f t="shared" si="23"/>
        <v>6128</v>
      </c>
      <c r="AI41" s="85">
        <f t="shared" si="24"/>
        <v>6131.7352874631797</v>
      </c>
      <c r="AJ41" s="90">
        <f t="shared" si="25"/>
        <v>6128</v>
      </c>
      <c r="AL41" s="95">
        <f t="shared" si="26"/>
        <v>0</v>
      </c>
      <c r="AM41" s="95">
        <f t="shared" si="27"/>
        <v>0</v>
      </c>
      <c r="AN41" s="95">
        <f t="shared" si="28"/>
        <v>0</v>
      </c>
      <c r="AO41" s="95">
        <f t="shared" si="29"/>
        <v>0</v>
      </c>
      <c r="AP41"/>
      <c r="AQ41" s="95">
        <f t="shared" si="30"/>
        <v>0</v>
      </c>
      <c r="AR41" s="95">
        <f t="shared" si="31"/>
        <v>0</v>
      </c>
      <c r="AS41" s="95">
        <f>Geraetedaten!$B$94*ABS(SIN(RADIANS($A41)))</f>
        <v>5.3745224921851493</v>
      </c>
      <c r="AT41" s="95">
        <f>Geraetedaten!$B$94*ABS(COS(RADIANS($A41)))</f>
        <v>153.90618736094075</v>
      </c>
      <c r="AU41" s="95">
        <f>((h_Aw_Sw+Geraetedaten!$B$18)/1000)*(AQ41*AS41+AR41*AT41)/100</f>
        <v>0</v>
      </c>
    </row>
    <row r="42" spans="1:47" ht="13.5" x14ac:dyDescent="0.25">
      <c r="A42" s="16">
        <v>3</v>
      </c>
      <c r="B42" s="16">
        <f t="shared" si="0"/>
        <v>447</v>
      </c>
      <c r="C42" s="19">
        <f t="shared" si="32"/>
        <v>33.231649477491885</v>
      </c>
      <c r="D42" s="17">
        <f t="shared" si="1"/>
        <v>-52361.424009477494</v>
      </c>
      <c r="E42" s="17">
        <f t="shared" si="2"/>
        <v>-8431.7645194774905</v>
      </c>
      <c r="F42" s="17">
        <f t="shared" si="3"/>
        <v>52801.138420522504</v>
      </c>
      <c r="G42" s="17">
        <f t="shared" si="4"/>
        <v>8882.812730522508</v>
      </c>
      <c r="H42" s="17">
        <f t="shared" si="33"/>
        <v>8882.812730522508</v>
      </c>
      <c r="I42" s="17">
        <f t="shared" si="5"/>
        <v>6136.40973627526</v>
      </c>
      <c r="J42" s="20">
        <f>(Geraetedaten!$B$152+(Geraetedaten!$B$153*(Geraetedaten!$B$18+d_y_Sw)/1000))*10</f>
        <v>6051.0442000000003</v>
      </c>
      <c r="K42" s="20">
        <f>(Geraetedaten!$B$165+(Geraetedaten!$B$166*(Geraetedaten!$B$18+d_y_Sw)/1000))*10</f>
        <v>10816.164000000001</v>
      </c>
      <c r="L42" s="20">
        <f>(Geraetedaten!$B$158+(Geraetedaten!$B$159*(Geraetedaten!$B$18+d_y_Sw)/1000)-(Geraetedaten!$B$160*I42/1000))*10</f>
        <v>151.55367403893507</v>
      </c>
      <c r="M42" s="20">
        <f>(Geraetedaten!$B$171+(Geraetedaten!$B$172*(Geraetedaten!$B$18+d_y_Sw)/1000)-(Geraetedaten!$B$173*I42/1000))*10</f>
        <v>608.0726592316704</v>
      </c>
      <c r="N42" s="20">
        <f>IF((H42-J42)/(K42-J42)*(Geraetedaten!$B$174-Geraetedaten!$B$161)&lt;Geraetedaten!$B$174,(H42-J42)/(K42-J42)*(Geraetedaten!$B$174-Geraetedaten!$B$161),Geraetedaten!$B$174)</f>
        <v>237.70806606142472</v>
      </c>
      <c r="O42" s="20">
        <f>N42/Geraetedaten!$B$174*(M42-L42)+L42+C42</f>
        <v>456.08093624265018</v>
      </c>
      <c r="P42" s="20">
        <f t="shared" si="6"/>
        <v>154.27511412664907</v>
      </c>
      <c r="Q42" s="21">
        <f>(N42-Geraetedaten!$B$161)/(Geraetedaten!$B$174-Geraetedaten!$B$161)*(Geraetedaten!$B$175-Geraetedaten!$B$162)+Geraetedaten!$B$162</f>
        <v>36.271814965327387</v>
      </c>
      <c r="R42" s="21">
        <f t="shared" si="7"/>
        <v>36.271814965327387</v>
      </c>
      <c r="S42" s="21">
        <f t="shared" si="8"/>
        <v>1.8983201208775295</v>
      </c>
      <c r="T42" s="88">
        <f t="shared" si="9"/>
        <v>36.222105703528875</v>
      </c>
      <c r="U42" s="86">
        <f t="shared" si="10"/>
        <v>-52328.192360000001</v>
      </c>
      <c r="V42" s="85">
        <f t="shared" si="11"/>
        <v>-1141.3067828769733</v>
      </c>
      <c r="W42" s="85">
        <f t="shared" si="12"/>
        <v>-21104.757311558227</v>
      </c>
      <c r="X42" s="90">
        <f t="shared" si="13"/>
        <v>1141.3067828769733</v>
      </c>
      <c r="Y42" s="86">
        <f t="shared" si="14"/>
        <v>-8398.5328699999991</v>
      </c>
      <c r="Z42" s="85">
        <f t="shared" si="15"/>
        <v>-750</v>
      </c>
      <c r="AA42" s="85">
        <f t="shared" si="16"/>
        <v>-751.02925949844075</v>
      </c>
      <c r="AB42" s="90">
        <f t="shared" si="17"/>
        <v>750</v>
      </c>
      <c r="AC42" s="86">
        <f t="shared" si="18"/>
        <v>52834.370069999997</v>
      </c>
      <c r="AD42" s="85">
        <f t="shared" si="19"/>
        <v>1055.7627565116984</v>
      </c>
      <c r="AE42" s="85">
        <f t="shared" si="20"/>
        <v>20572.316027781628</v>
      </c>
      <c r="AF42" s="90">
        <f t="shared" si="21"/>
        <v>1055.7627565116984</v>
      </c>
      <c r="AG42" s="86">
        <f t="shared" si="22"/>
        <v>8916.0443799999994</v>
      </c>
      <c r="AH42" s="85">
        <f t="shared" si="23"/>
        <v>6128</v>
      </c>
      <c r="AI42" s="85">
        <f t="shared" si="24"/>
        <v>6136.40973627526</v>
      </c>
      <c r="AJ42" s="90">
        <f t="shared" si="25"/>
        <v>6128</v>
      </c>
      <c r="AL42" s="95">
        <f t="shared" si="26"/>
        <v>0</v>
      </c>
      <c r="AM42" s="95">
        <f t="shared" si="27"/>
        <v>0</v>
      </c>
      <c r="AN42" s="95">
        <f t="shared" si="28"/>
        <v>0</v>
      </c>
      <c r="AO42" s="95">
        <f t="shared" si="29"/>
        <v>0</v>
      </c>
      <c r="AP42"/>
      <c r="AQ42" s="95">
        <f t="shared" si="30"/>
        <v>0</v>
      </c>
      <c r="AR42" s="95">
        <f t="shared" si="31"/>
        <v>0</v>
      </c>
      <c r="AS42" s="95">
        <f>Geraetedaten!$B$94*ABS(SIN(RADIANS($A42)))</f>
        <v>8.0597372614133498</v>
      </c>
      <c r="AT42" s="95">
        <f>Geraetedaten!$B$94*ABS(COS(RADIANS($A42)))</f>
        <v>153.78894835220436</v>
      </c>
      <c r="AU42" s="95">
        <f>((h_Aw_Sw+Geraetedaten!$B$18)/1000)*(AQ42*AS42+AR42*AT42)/100</f>
        <v>0</v>
      </c>
    </row>
    <row r="43" spans="1:47" ht="13.5" x14ac:dyDescent="0.25">
      <c r="A43" s="16">
        <v>4</v>
      </c>
      <c r="B43" s="16">
        <f t="shared" si="0"/>
        <v>446</v>
      </c>
      <c r="C43" s="19">
        <f t="shared" si="32"/>
        <v>34.306782372021964</v>
      </c>
      <c r="D43" s="17">
        <f t="shared" si="1"/>
        <v>-39613.880682372022</v>
      </c>
      <c r="E43" s="17">
        <f t="shared" si="2"/>
        <v>-8441.8100123720214</v>
      </c>
      <c r="F43" s="17">
        <f t="shared" si="3"/>
        <v>39409.85249762798</v>
      </c>
      <c r="G43" s="17">
        <f t="shared" si="4"/>
        <v>8891.2607076279783</v>
      </c>
      <c r="H43" s="17">
        <f t="shared" si="33"/>
        <v>8891.2607076279783</v>
      </c>
      <c r="I43" s="17">
        <f t="shared" si="5"/>
        <v>6142.963951441423</v>
      </c>
      <c r="J43" s="20">
        <f>(Geraetedaten!$B$152+(Geraetedaten!$B$153*(Geraetedaten!$B$18+d_y_Sw)/1000))*10</f>
        <v>6051.0442000000003</v>
      </c>
      <c r="K43" s="20">
        <f>(Geraetedaten!$B$165+(Geraetedaten!$B$166*(Geraetedaten!$B$18+d_y_Sw)/1000))*10</f>
        <v>10816.164000000001</v>
      </c>
      <c r="L43" s="20">
        <f>(Geraetedaten!$B$158+(Geraetedaten!$B$159*(Geraetedaten!$B$18+d_y_Sw)/1000)-(Geraetedaten!$B$160*I43/1000))*10</f>
        <v>151.07305344080027</v>
      </c>
      <c r="M43" s="20">
        <f>(Geraetedaten!$B$171+(Geraetedaten!$B$172*(Geraetedaten!$B$18+d_y_Sw)/1000)-(Geraetedaten!$B$173*I43/1000))*10</f>
        <v>607.58476345470126</v>
      </c>
      <c r="N43" s="20">
        <f>IF((H43-J43)/(K43-J43)*(Geraetedaten!$B$174-Geraetedaten!$B$161)&lt;Geraetedaten!$B$174,(H43-J43)/(K43-J43)*(Geraetedaten!$B$174-Geraetedaten!$B$161),Geraetedaten!$B$174)</f>
        <v>238.41721734911911</v>
      </c>
      <c r="O43" s="20">
        <f>N43/Geraetedaten!$B$174*(M43-L43)+L43+C43</f>
        <v>457.48046478482792</v>
      </c>
      <c r="P43" s="20">
        <f>O43*100/9.81/(Q43-(I43/1000))</f>
        <v>154.67387824413984</v>
      </c>
      <c r="Q43" s="21">
        <f>(N43-Geraetedaten!$B$161)/(Geraetedaten!$B$174-Geraetedaten!$B$161)*(Geraetedaten!$B$175-Geraetedaten!$B$162)+Geraetedaten!$B$162</f>
        <v>36.292912216136294</v>
      </c>
      <c r="R43" s="21">
        <f t="shared" si="7"/>
        <v>36.292912216136294</v>
      </c>
      <c r="S43" s="21">
        <f>R43*SIN(A43*Const_2)</f>
        <v>2.5316655781027557</v>
      </c>
      <c r="T43" s="88">
        <f t="shared" si="9"/>
        <v>36.204504506053176</v>
      </c>
      <c r="U43" s="86">
        <f t="shared" si="10"/>
        <v>-39579.573900000003</v>
      </c>
      <c r="V43" s="85">
        <f t="shared" si="11"/>
        <v>-1141.3067828769733</v>
      </c>
      <c r="W43" s="85">
        <f t="shared" si="12"/>
        <v>-15963.045234184103</v>
      </c>
      <c r="X43" s="90">
        <f t="shared" si="13"/>
        <v>1141.3067828769733</v>
      </c>
      <c r="Y43" s="86">
        <f t="shared" si="14"/>
        <v>-8407.5032300000003</v>
      </c>
      <c r="Z43" s="85">
        <f t="shared" si="15"/>
        <v>-750</v>
      </c>
      <c r="AA43" s="85">
        <f t="shared" si="16"/>
        <v>-751.8314235608791</v>
      </c>
      <c r="AB43" s="90">
        <f t="shared" si="17"/>
        <v>750</v>
      </c>
      <c r="AC43" s="86">
        <f t="shared" si="18"/>
        <v>39444.15928</v>
      </c>
      <c r="AD43" s="85">
        <f t="shared" si="19"/>
        <v>1055.7627565116984</v>
      </c>
      <c r="AE43" s="85">
        <f t="shared" si="20"/>
        <v>15358.519636358835</v>
      </c>
      <c r="AF43" s="90">
        <f t="shared" si="21"/>
        <v>1055.7627565116984</v>
      </c>
      <c r="AG43" s="86">
        <f t="shared" si="22"/>
        <v>8925.5674899999995</v>
      </c>
      <c r="AH43" s="85">
        <f t="shared" si="23"/>
        <v>6128</v>
      </c>
      <c r="AI43" s="85">
        <f t="shared" si="24"/>
        <v>6142.963951441423</v>
      </c>
      <c r="AJ43" s="90">
        <f t="shared" si="25"/>
        <v>6128</v>
      </c>
      <c r="AL43" s="95">
        <f t="shared" si="26"/>
        <v>0</v>
      </c>
      <c r="AM43" s="95">
        <f t="shared" si="27"/>
        <v>0</v>
      </c>
      <c r="AN43" s="95">
        <f t="shared" si="28"/>
        <v>0</v>
      </c>
      <c r="AO43" s="95">
        <f t="shared" si="29"/>
        <v>0</v>
      </c>
      <c r="AP43"/>
      <c r="AQ43" s="95">
        <f t="shared" si="30"/>
        <v>0</v>
      </c>
      <c r="AR43" s="95">
        <f t="shared" si="31"/>
        <v>0</v>
      </c>
      <c r="AS43" s="95">
        <f>Geraetedaten!$B$94*ABS(SIN(RADIANS($A43)))</f>
        <v>10.742496956595296</v>
      </c>
      <c r="AT43" s="95">
        <f>Geraetedaten!$B$94*ABS(COS(RADIANS($A43)))</f>
        <v>153.62486374001293</v>
      </c>
      <c r="AU43" s="95">
        <f>((h_Aw_Sw+Geraetedaten!$B$18)/1000)*(AQ43*AS43+AR43*AT43)/100</f>
        <v>0</v>
      </c>
    </row>
    <row r="44" spans="1:47" ht="13.5" x14ac:dyDescent="0.25">
      <c r="A44" s="16">
        <v>5</v>
      </c>
      <c r="B44" s="16">
        <f t="shared" si="0"/>
        <v>445</v>
      </c>
      <c r="C44" s="19">
        <f t="shared" si="32"/>
        <v>35.371465088304269</v>
      </c>
      <c r="D44" s="17">
        <f t="shared" si="1"/>
        <v>-31869.060745088304</v>
      </c>
      <c r="E44" s="17">
        <f t="shared" si="2"/>
        <v>-8454.4315050883051</v>
      </c>
      <c r="F44" s="17">
        <f t="shared" si="3"/>
        <v>31441.066114911697</v>
      </c>
      <c r="G44" s="17">
        <f t="shared" si="4"/>
        <v>8902.4649549116948</v>
      </c>
      <c r="H44" s="17">
        <f t="shared" si="33"/>
        <v>8902.4649549116948</v>
      </c>
      <c r="I44" s="17">
        <f t="shared" si="5"/>
        <v>6151.4079644656331</v>
      </c>
      <c r="J44" s="20">
        <f>(Geraetedaten!$B$152+(Geraetedaten!$B$153*(Geraetedaten!$B$18+d_y_Sw)/1000))*10</f>
        <v>6051.0442000000003</v>
      </c>
      <c r="K44" s="20">
        <f>(Geraetedaten!$B$165+(Geraetedaten!$B$166*(Geraetedaten!$B$18+d_y_Sw)/1000))*10</f>
        <v>10816.164000000001</v>
      </c>
      <c r="L44" s="20">
        <f>(Geraetedaten!$B$158+(Geraetedaten!$B$159*(Geraetedaten!$B$18+d_y_Sw)/1000)-(Geraetedaten!$B$160*I44/1000))*10</f>
        <v>150.45385396573494</v>
      </c>
      <c r="M44" s="20">
        <f>(Geraetedaten!$B$171+(Geraetedaten!$B$172*(Geraetedaten!$B$18+d_y_Sw)/1000)-(Geraetedaten!$B$173*I44/1000))*10</f>
        <v>606.95619112517909</v>
      </c>
      <c r="N44" s="20">
        <f>IF((H44-J44)/(K44-J44)*(Geraetedaten!$B$174-Geraetedaten!$B$161)&lt;Geraetedaten!$B$174,(H44-J44)/(K44-J44)*(Geraetedaten!$B$174-Geraetedaten!$B$161),Geraetedaten!$B$174)</f>
        <v>239.35773912015344</v>
      </c>
      <c r="O44" s="20">
        <f>N44/Geraetedaten!$B$174*(M44-L44)+L44+C44</f>
        <v>458.99373736791557</v>
      </c>
      <c r="P44" s="20">
        <f>O44*100/9.81/(Q44-(I44/1000))</f>
        <v>155.08502310514885</v>
      </c>
      <c r="Q44" s="21">
        <f>(N44-Geraetedaten!$B$161)/(Geraetedaten!$B$174-Geraetedaten!$B$161)*(Geraetedaten!$B$175-Geraetedaten!$B$162)+Geraetedaten!$B$162</f>
        <v>36.320892738824568</v>
      </c>
      <c r="R44" s="21">
        <f t="shared" si="7"/>
        <v>36.320892738824568</v>
      </c>
      <c r="S44" s="21">
        <f t="shared" si="8"/>
        <v>3.1655743839102795</v>
      </c>
      <c r="T44" s="88">
        <f t="shared" si="9"/>
        <v>36.182680776376017</v>
      </c>
      <c r="U44" s="86">
        <f t="shared" si="10"/>
        <v>-31833.689279999999</v>
      </c>
      <c r="V44" s="85">
        <f t="shared" si="11"/>
        <v>-1141.3067828769733</v>
      </c>
      <c r="W44" s="85">
        <f t="shared" si="12"/>
        <v>-12839.011943171545</v>
      </c>
      <c r="X44" s="90">
        <f t="shared" si="13"/>
        <v>1141.3067828769733</v>
      </c>
      <c r="Y44" s="86">
        <f t="shared" si="14"/>
        <v>-8419.0600400000003</v>
      </c>
      <c r="Z44" s="85">
        <f t="shared" si="15"/>
        <v>-750</v>
      </c>
      <c r="AA44" s="85">
        <f t="shared" si="16"/>
        <v>-752.86487815751059</v>
      </c>
      <c r="AB44" s="90">
        <f t="shared" si="17"/>
        <v>750</v>
      </c>
      <c r="AC44" s="86">
        <f t="shared" si="18"/>
        <v>31476.437580000002</v>
      </c>
      <c r="AD44" s="85">
        <f t="shared" si="19"/>
        <v>1055.7627565116984</v>
      </c>
      <c r="AE44" s="85">
        <f t="shared" si="20"/>
        <v>12256.098077395798</v>
      </c>
      <c r="AF44" s="90">
        <f t="shared" si="21"/>
        <v>1055.7627565116984</v>
      </c>
      <c r="AG44" s="86">
        <f t="shared" si="22"/>
        <v>8937.8364199999996</v>
      </c>
      <c r="AH44" s="85">
        <f t="shared" si="23"/>
        <v>6128</v>
      </c>
      <c r="AI44" s="85">
        <f t="shared" si="24"/>
        <v>6151.4079644656331</v>
      </c>
      <c r="AJ44" s="90">
        <f t="shared" si="25"/>
        <v>6128</v>
      </c>
      <c r="AL44" s="95">
        <f t="shared" si="26"/>
        <v>0</v>
      </c>
      <c r="AM44" s="95">
        <f t="shared" si="27"/>
        <v>0</v>
      </c>
      <c r="AN44" s="95">
        <f t="shared" si="28"/>
        <v>0</v>
      </c>
      <c r="AO44" s="95">
        <f t="shared" si="29"/>
        <v>0</v>
      </c>
      <c r="AP44"/>
      <c r="AQ44" s="95">
        <f t="shared" si="30"/>
        <v>0</v>
      </c>
      <c r="AR44" s="95">
        <f t="shared" si="31"/>
        <v>0</v>
      </c>
      <c r="AS44" s="95">
        <f>Geraetedaten!$B$94*ABS(SIN(RADIANS($A44)))</f>
        <v>13.421984383139357</v>
      </c>
      <c r="AT44" s="95">
        <f>Geraetedaten!$B$94*ABS(COS(RADIANS($A44)))</f>
        <v>153.4139835061288</v>
      </c>
      <c r="AU44" s="95">
        <f>((h_Aw_Sw+Geraetedaten!$B$18)/1000)*(AQ44*AS44+AR44*AT44)/100</f>
        <v>0</v>
      </c>
    </row>
    <row r="45" spans="1:47" ht="13.5" x14ac:dyDescent="0.25">
      <c r="A45" s="16">
        <v>6</v>
      </c>
      <c r="B45" s="16">
        <f t="shared" si="0"/>
        <v>444</v>
      </c>
      <c r="C45" s="19">
        <f t="shared" si="32"/>
        <v>36.425373313669596</v>
      </c>
      <c r="D45" s="17">
        <f t="shared" si="1"/>
        <v>-26666.593553313669</v>
      </c>
      <c r="E45" s="17">
        <f t="shared" si="2"/>
        <v>-8469.6464133136706</v>
      </c>
      <c r="F45" s="17">
        <f t="shared" si="3"/>
        <v>26156.931796686331</v>
      </c>
      <c r="G45" s="17">
        <f t="shared" si="4"/>
        <v>8916.4446366863303</v>
      </c>
      <c r="H45" s="17">
        <f t="shared" si="33"/>
        <v>8916.4446366863303</v>
      </c>
      <c r="I45" s="17">
        <f t="shared" si="5"/>
        <v>6161.754737165229</v>
      </c>
      <c r="J45" s="20">
        <f>(Geraetedaten!$B$152+(Geraetedaten!$B$153*(Geraetedaten!$B$18+d_y_Sw)/1000))*10</f>
        <v>6051.0442000000003</v>
      </c>
      <c r="K45" s="20">
        <f>(Geraetedaten!$B$165+(Geraetedaten!$B$166*(Geraetedaten!$B$18+d_y_Sw)/1000))*10</f>
        <v>10816.164000000001</v>
      </c>
      <c r="L45" s="20">
        <f>(Geraetedaten!$B$158+(Geraetedaten!$B$159*(Geraetedaten!$B$18+d_y_Sw)/1000)-(Geraetedaten!$B$160*I45/1000))*10</f>
        <v>149.69512512367359</v>
      </c>
      <c r="M45" s="20">
        <f>(Geraetedaten!$B$171+(Geraetedaten!$B$172*(Geraetedaten!$B$18+d_y_Sw)/1000)-(Geraetedaten!$B$173*I45/1000))*10</f>
        <v>606.18597736542119</v>
      </c>
      <c r="N45" s="20">
        <f>IF((H45-J45)/(K45-J45)*(Geraetedaten!$B$174-Geraetedaten!$B$161)&lt;Geraetedaten!$B$174,(H45-J45)/(K45-J45)*(Geraetedaten!$B$174-Geraetedaten!$B$161),Geraetedaten!$B$174)</f>
        <v>240.53124009065456</v>
      </c>
      <c r="O45" s="20">
        <f>N45/Geraetedaten!$B$174*(M45-L45)+L45+C45</f>
        <v>460.62127538671137</v>
      </c>
      <c r="P45" s="20">
        <f>O45*100/9.81/(Q45-(I45/1000))</f>
        <v>155.50831698590559</v>
      </c>
      <c r="Q45" s="21">
        <f>(N45-Geraetedaten!$B$161)/(Geraetedaten!$B$174-Geraetedaten!$B$161)*(Geraetedaten!$B$175-Geraetedaten!$B$162)+Geraetedaten!$B$162</f>
        <v>36.355804392696975</v>
      </c>
      <c r="R45" s="21">
        <f t="shared" si="7"/>
        <v>36.355804392696975</v>
      </c>
      <c r="S45" s="21">
        <f t="shared" si="8"/>
        <v>3.8002163640280204</v>
      </c>
      <c r="T45" s="88">
        <f t="shared" si="9"/>
        <v>36.156643492263193</v>
      </c>
      <c r="U45" s="86">
        <f t="shared" si="10"/>
        <v>-26630.168180000001</v>
      </c>
      <c r="V45" s="85">
        <f t="shared" si="11"/>
        <v>-1141.3067828769733</v>
      </c>
      <c r="W45" s="85">
        <f t="shared" si="12"/>
        <v>-10740.352594336717</v>
      </c>
      <c r="X45" s="90">
        <f t="shared" si="13"/>
        <v>1141.3067828769733</v>
      </c>
      <c r="Y45" s="86">
        <f t="shared" si="14"/>
        <v>-8433.2210400000004</v>
      </c>
      <c r="Z45" s="85">
        <f t="shared" si="15"/>
        <v>-750</v>
      </c>
      <c r="AA45" s="85">
        <f t="shared" si="16"/>
        <v>-754.1312096726374</v>
      </c>
      <c r="AB45" s="90">
        <f t="shared" si="17"/>
        <v>750</v>
      </c>
      <c r="AC45" s="86">
        <f t="shared" si="18"/>
        <v>26193.357169999999</v>
      </c>
      <c r="AD45" s="85">
        <f t="shared" si="19"/>
        <v>1055.7627565116984</v>
      </c>
      <c r="AE45" s="85">
        <f t="shared" si="20"/>
        <v>10199.005324305379</v>
      </c>
      <c r="AF45" s="90">
        <f t="shared" si="21"/>
        <v>1055.7627565116984</v>
      </c>
      <c r="AG45" s="86">
        <f t="shared" si="22"/>
        <v>8952.8700100000005</v>
      </c>
      <c r="AH45" s="85">
        <f t="shared" si="23"/>
        <v>6128</v>
      </c>
      <c r="AI45" s="85">
        <f t="shared" si="24"/>
        <v>6161.754737165229</v>
      </c>
      <c r="AJ45" s="90">
        <f t="shared" si="25"/>
        <v>6128</v>
      </c>
      <c r="AL45" s="95">
        <f t="shared" si="26"/>
        <v>0</v>
      </c>
      <c r="AM45" s="95">
        <f t="shared" si="27"/>
        <v>0</v>
      </c>
      <c r="AN45" s="95">
        <f t="shared" si="28"/>
        <v>0</v>
      </c>
      <c r="AO45" s="95">
        <f t="shared" si="29"/>
        <v>0</v>
      </c>
      <c r="AP45"/>
      <c r="AQ45" s="95">
        <f t="shared" si="30"/>
        <v>0</v>
      </c>
      <c r="AR45" s="95">
        <f t="shared" si="31"/>
        <v>0</v>
      </c>
      <c r="AS45" s="95">
        <f>Geraetedaten!$B$94*ABS(SIN(RADIANS($A45)))</f>
        <v>16.097383343218635</v>
      </c>
      <c r="AT45" s="95">
        <f>Geraetedaten!$B$94*ABS(COS(RADIANS($A45)))</f>
        <v>153.15637188671408</v>
      </c>
      <c r="AU45" s="95">
        <f>((h_Aw_Sw+Geraetedaten!$B$18)/1000)*(AQ45*AS45+AR45*AT45)/100</f>
        <v>0</v>
      </c>
    </row>
    <row r="46" spans="1:47" ht="13.5" x14ac:dyDescent="0.25">
      <c r="A46" s="16">
        <v>7</v>
      </c>
      <c r="B46" s="16">
        <f t="shared" si="0"/>
        <v>443</v>
      </c>
      <c r="C46" s="19">
        <f t="shared" si="32"/>
        <v>37.468186017463061</v>
      </c>
      <c r="D46" s="17">
        <f t="shared" si="1"/>
        <v>-22932.240706017463</v>
      </c>
      <c r="E46" s="17">
        <f t="shared" si="2"/>
        <v>-8487.4762460174625</v>
      </c>
      <c r="F46" s="17">
        <f t="shared" si="3"/>
        <v>22397.229593982534</v>
      </c>
      <c r="G46" s="17">
        <f t="shared" si="4"/>
        <v>8933.2232439825384</v>
      </c>
      <c r="H46" s="17">
        <f t="shared" si="33"/>
        <v>8933.2232439825384</v>
      </c>
      <c r="I46" s="17">
        <f t="shared" si="5"/>
        <v>6174.0202104118234</v>
      </c>
      <c r="J46" s="20">
        <f>(Geraetedaten!$B$152+(Geraetedaten!$B$153*(Geraetedaten!$B$18+d_y_Sw)/1000))*10</f>
        <v>6051.0442000000003</v>
      </c>
      <c r="K46" s="20">
        <f>(Geraetedaten!$B$165+(Geraetedaten!$B$166*(Geraetedaten!$B$18+d_y_Sw)/1000))*10</f>
        <v>10816.164000000001</v>
      </c>
      <c r="L46" s="20">
        <f>(Geraetedaten!$B$158+(Geraetedaten!$B$159*(Geraetedaten!$B$18+d_y_Sw)/1000)-(Geraetedaten!$B$160*I46/1000))*10</f>
        <v>148.79569797050081</v>
      </c>
      <c r="M46" s="20">
        <f>(Geraetedaten!$B$171+(Geraetedaten!$B$172*(Geraetedaten!$B$18+d_y_Sw)/1000)-(Geraetedaten!$B$173*I46/1000))*10</f>
        <v>605.27293553694471</v>
      </c>
      <c r="N46" s="20">
        <f>IF((H46-J46)/(K46-J46)*(Geraetedaten!$B$174-Geraetedaten!$B$161)&lt;Geraetedaten!$B$174,(H46-J46)/(K46-J46)*(Geraetedaten!$B$174-Geraetedaten!$B$161),Geraetedaten!$B$174)</f>
        <v>241.93969217584313</v>
      </c>
      <c r="O46" s="20">
        <f>N46/Geraetedaten!$B$174*(M46-L46)+L46+C46</f>
        <v>462.3637898432255</v>
      </c>
      <c r="P46" s="20">
        <f t="shared" si="6"/>
        <v>155.94353835461871</v>
      </c>
      <c r="Q46" s="21">
        <f>(N46-Geraetedaten!$B$161)/(Geraetedaten!$B$174-Geraetedaten!$B$161)*(Geraetedaten!$B$175-Geraetedaten!$B$162)+Geraetedaten!$B$162</f>
        <v>36.397705842231332</v>
      </c>
      <c r="R46" s="21">
        <f t="shared" si="7"/>
        <v>36.397705842231332</v>
      </c>
      <c r="S46" s="21">
        <f t="shared" si="8"/>
        <v>4.4357645124464327</v>
      </c>
      <c r="T46" s="88">
        <f t="shared" si="9"/>
        <v>36.126402862279569</v>
      </c>
      <c r="U46" s="86">
        <f t="shared" si="10"/>
        <v>-22894.772519999999</v>
      </c>
      <c r="V46" s="85">
        <f t="shared" si="11"/>
        <v>-1141.3067828769733</v>
      </c>
      <c r="W46" s="85">
        <f t="shared" si="12"/>
        <v>-9233.8106074167863</v>
      </c>
      <c r="X46" s="90">
        <f t="shared" si="13"/>
        <v>1141.3067828769733</v>
      </c>
      <c r="Y46" s="86">
        <f t="shared" si="14"/>
        <v>-8450.0080600000001</v>
      </c>
      <c r="Z46" s="85">
        <f t="shared" si="15"/>
        <v>-750</v>
      </c>
      <c r="AA46" s="85">
        <f t="shared" si="16"/>
        <v>-755.63236909413627</v>
      </c>
      <c r="AB46" s="90">
        <f t="shared" si="17"/>
        <v>750</v>
      </c>
      <c r="AC46" s="86">
        <f t="shared" si="18"/>
        <v>22434.697779999999</v>
      </c>
      <c r="AD46" s="85">
        <f t="shared" si="19"/>
        <v>1055.7627565116984</v>
      </c>
      <c r="AE46" s="85">
        <f t="shared" si="20"/>
        <v>8735.4820760425609</v>
      </c>
      <c r="AF46" s="90">
        <f t="shared" si="21"/>
        <v>1055.7627565116984</v>
      </c>
      <c r="AG46" s="86">
        <f t="shared" si="22"/>
        <v>8970.6914300000008</v>
      </c>
      <c r="AH46" s="85">
        <f t="shared" si="23"/>
        <v>6128</v>
      </c>
      <c r="AI46" s="85">
        <f t="shared" si="24"/>
        <v>6174.0202104118234</v>
      </c>
      <c r="AJ46" s="90">
        <f t="shared" si="25"/>
        <v>6128</v>
      </c>
      <c r="AL46" s="95">
        <f t="shared" si="26"/>
        <v>0</v>
      </c>
      <c r="AM46" s="95">
        <f t="shared" si="27"/>
        <v>0</v>
      </c>
      <c r="AN46" s="95">
        <f t="shared" si="28"/>
        <v>0</v>
      </c>
      <c r="AO46" s="95">
        <f t="shared" si="29"/>
        <v>0</v>
      </c>
      <c r="AP46"/>
      <c r="AQ46" s="95">
        <f t="shared" si="30"/>
        <v>0</v>
      </c>
      <c r="AR46" s="95">
        <f t="shared" si="31"/>
        <v>0</v>
      </c>
      <c r="AS46" s="95">
        <f>Geraetedaten!$B$94*ABS(SIN(RADIANS($A46)))</f>
        <v>18.767878884392712</v>
      </c>
      <c r="AT46" s="95">
        <f>Geraetedaten!$B$94*ABS(COS(RADIANS($A46)))</f>
        <v>152.8521073527636</v>
      </c>
      <c r="AU46" s="95">
        <f>((h_Aw_Sw+Geraetedaten!$B$18)/1000)*(AQ46*AS46+AR46*AT46)/100</f>
        <v>0</v>
      </c>
    </row>
    <row r="47" spans="1:47" ht="13.5" x14ac:dyDescent="0.25">
      <c r="A47" s="16">
        <v>8</v>
      </c>
      <c r="B47" s="16">
        <f t="shared" si="0"/>
        <v>442</v>
      </c>
      <c r="C47" s="19">
        <f t="shared" si="32"/>
        <v>38.499585548833146</v>
      </c>
      <c r="D47" s="17">
        <f t="shared" si="1"/>
        <v>-20122.255025548835</v>
      </c>
      <c r="E47" s="17">
        <f t="shared" si="2"/>
        <v>-8507.946635548833</v>
      </c>
      <c r="F47" s="17">
        <f t="shared" si="3"/>
        <v>19586.110014451166</v>
      </c>
      <c r="G47" s="17">
        <f t="shared" si="4"/>
        <v>8952.8286544511684</v>
      </c>
      <c r="H47" s="17">
        <f t="shared" si="33"/>
        <v>8952.8286544511684</v>
      </c>
      <c r="I47" s="17">
        <f t="shared" si="5"/>
        <v>6188.2233643940917</v>
      </c>
      <c r="J47" s="20">
        <f>(Geraetedaten!$B$152+(Geraetedaten!$B$153*(Geraetedaten!$B$18+d_y_Sw)/1000))*10</f>
        <v>6051.0442000000003</v>
      </c>
      <c r="K47" s="20">
        <f>(Geraetedaten!$B$165+(Geraetedaten!$B$166*(Geraetedaten!$B$18+d_y_Sw)/1000))*10</f>
        <v>10816.164000000001</v>
      </c>
      <c r="L47" s="20">
        <f>(Geraetedaten!$B$158+(Geraetedaten!$B$159*(Geraetedaten!$B$18+d_y_Sw)/1000)-(Geraetedaten!$B$160*I47/1000))*10</f>
        <v>147.75418068898105</v>
      </c>
      <c r="M47" s="20">
        <f>(Geraetedaten!$B$171+(Geraetedaten!$B$172*(Geraetedaten!$B$18+d_y_Sw)/1000)-(Geraetedaten!$B$173*I47/1000))*10</f>
        <v>604.21565275450462</v>
      </c>
      <c r="N47" s="20">
        <f>IF((H47-J47)/(K47-J47)*(Geraetedaten!$B$174-Geraetedaten!$B$161)&lt;Geraetedaten!$B$174,(H47-J47)/(K47-J47)*(Geraetedaten!$B$174-Geraetedaten!$B$161),Geraetedaten!$B$174)</f>
        <v>243.58543551842439</v>
      </c>
      <c r="O47" s="20">
        <f>N47/Geraetedaten!$B$174*(M47-L47)+L47+C47</f>
        <v>464.22218241396831</v>
      </c>
      <c r="P47" s="20">
        <f t="shared" si="6"/>
        <v>156.39047538048737</v>
      </c>
      <c r="Q47" s="21">
        <f>(N47-Geraetedaten!$B$161)/(Geraetedaten!$B$174-Geraetedaten!$B$161)*(Geraetedaten!$B$175-Geraetedaten!$B$162)+Geraetedaten!$B$162</f>
        <v>36.446666706673128</v>
      </c>
      <c r="R47" s="21">
        <f t="shared" si="7"/>
        <v>36.446666706673128</v>
      </c>
      <c r="S47" s="21">
        <f t="shared" si="8"/>
        <v>5.072395625225675</v>
      </c>
      <c r="T47" s="88">
        <f t="shared" si="9"/>
        <v>36.091970251684891</v>
      </c>
      <c r="U47" s="86">
        <f t="shared" si="10"/>
        <v>-20083.755440000001</v>
      </c>
      <c r="V47" s="85">
        <f t="shared" si="11"/>
        <v>-1141.3067828769733</v>
      </c>
      <c r="W47" s="85">
        <f t="shared" si="12"/>
        <v>-8100.0845901500106</v>
      </c>
      <c r="X47" s="90">
        <f t="shared" si="13"/>
        <v>1141.3067828769733</v>
      </c>
      <c r="Y47" s="86">
        <f t="shared" si="14"/>
        <v>-8469.4470500000007</v>
      </c>
      <c r="Z47" s="85">
        <f t="shared" si="15"/>
        <v>-750</v>
      </c>
      <c r="AA47" s="85">
        <f t="shared" si="16"/>
        <v>-757.37067938896359</v>
      </c>
      <c r="AB47" s="90">
        <f t="shared" si="17"/>
        <v>750</v>
      </c>
      <c r="AC47" s="86">
        <f t="shared" si="18"/>
        <v>19624.6096</v>
      </c>
      <c r="AD47" s="85">
        <f t="shared" si="19"/>
        <v>1055.7627565116984</v>
      </c>
      <c r="AE47" s="85">
        <f t="shared" si="20"/>
        <v>7641.3075449689404</v>
      </c>
      <c r="AF47" s="90">
        <f t="shared" si="21"/>
        <v>1055.7627565116984</v>
      </c>
      <c r="AG47" s="86">
        <f t="shared" si="22"/>
        <v>8991.3282400000007</v>
      </c>
      <c r="AH47" s="85">
        <f t="shared" si="23"/>
        <v>6128</v>
      </c>
      <c r="AI47" s="85">
        <f t="shared" si="24"/>
        <v>6188.2233643940917</v>
      </c>
      <c r="AJ47" s="90">
        <f t="shared" si="25"/>
        <v>6128</v>
      </c>
      <c r="AL47" s="95">
        <f t="shared" si="26"/>
        <v>0</v>
      </c>
      <c r="AM47" s="95">
        <f t="shared" si="27"/>
        <v>0</v>
      </c>
      <c r="AN47" s="95">
        <f t="shared" si="28"/>
        <v>0</v>
      </c>
      <c r="AO47" s="95">
        <f t="shared" si="29"/>
        <v>0</v>
      </c>
      <c r="AP47"/>
      <c r="AQ47" s="95">
        <f t="shared" si="30"/>
        <v>0</v>
      </c>
      <c r="AR47" s="95">
        <f t="shared" si="31"/>
        <v>0</v>
      </c>
      <c r="AS47" s="95">
        <f>Geraetedaten!$B$94*ABS(SIN(RADIANS($A47)))</f>
        <v>21.432657547850077</v>
      </c>
      <c r="AT47" s="95">
        <f>Geraetedaten!$B$94*ABS(COS(RADIANS($A47)))</f>
        <v>152.50128258620182</v>
      </c>
      <c r="AU47" s="95">
        <f>((h_Aw_Sw+Geraetedaten!$B$18)/1000)*(AQ47*AS47+AR47*AT47)/100</f>
        <v>0</v>
      </c>
    </row>
    <row r="48" spans="1:47" ht="13.5" x14ac:dyDescent="0.25">
      <c r="A48" s="16">
        <v>9</v>
      </c>
      <c r="B48" s="16">
        <f t="shared" si="0"/>
        <v>441</v>
      </c>
      <c r="C48" s="19">
        <f>$AE$16*ABS(COS(RADIANS(A48)))+$AE$17*ABS(SIN(RADIANS(A48)))+AU48</f>
        <v>39.519257733491195</v>
      </c>
      <c r="D48" s="17">
        <f t="shared" si="1"/>
        <v>-17931.900717733493</v>
      </c>
      <c r="E48" s="17">
        <f t="shared" si="2"/>
        <v>-8531.0875277334908</v>
      </c>
      <c r="F48" s="17">
        <f t="shared" si="3"/>
        <v>17405.326632266508</v>
      </c>
      <c r="G48" s="17">
        <f t="shared" si="4"/>
        <v>8975.2933022665093</v>
      </c>
      <c r="H48" s="17">
        <f t="shared" si="33"/>
        <v>8975.2933022665093</v>
      </c>
      <c r="I48" s="17">
        <f t="shared" si="5"/>
        <v>6204.386290828882</v>
      </c>
      <c r="J48" s="20">
        <f>(Geraetedaten!$B$152+(Geraetedaten!$B$153*(Geraetedaten!$B$18+d_y_Sw)/1000))*10</f>
        <v>6051.0442000000003</v>
      </c>
      <c r="K48" s="20">
        <f>(Geraetedaten!$B$165+(Geraetedaten!$B$166*(Geraetedaten!$B$18+d_y_Sw)/1000))*10</f>
        <v>10816.164000000001</v>
      </c>
      <c r="L48" s="20">
        <f>(Geraetedaten!$B$158+(Geraetedaten!$B$159*(Geraetedaten!$B$18+d_y_Sw)/1000)-(Geraetedaten!$B$160*I48/1000))*10</f>
        <v>146.56895329351789</v>
      </c>
      <c r="M48" s="20">
        <f>(Geraetedaten!$B$171+(Geraetedaten!$B$172*(Geraetedaten!$B$18+d_y_Sw)/1000)-(Geraetedaten!$B$173*I48/1000))*10</f>
        <v>603.01248451069887</v>
      </c>
      <c r="N48" s="20">
        <f>IF((H48-J48)/(K48-J48)*(Geraetedaten!$B$174-Geraetedaten!$B$161)&lt;Geraetedaten!$B$174,(H48-J48)/(K48-J48)*(Geraetedaten!$B$174-Geraetedaten!$B$161),Geraetedaten!$B$174)</f>
        <v>245.47119275083148</v>
      </c>
      <c r="O48" s="20">
        <f>N48/Geraetedaten!$B$174*(M48-L48)+L48+C48</f>
        <v>466.19755610521605</v>
      </c>
      <c r="P48" s="20">
        <f t="shared" si="6"/>
        <v>156.8489272388656</v>
      </c>
      <c r="Q48" s="21">
        <f>(N48-Geraetedaten!$B$161)/(Geraetedaten!$B$174-Geraetedaten!$B$161)*(Geraetedaten!$B$175-Geraetedaten!$B$162)+Geraetedaten!$B$162</f>
        <v>36.50276798433724</v>
      </c>
      <c r="R48" s="21">
        <f t="shared" si="7"/>
        <v>36.50276798433724</v>
      </c>
      <c r="S48" s="21">
        <f t="shared" si="8"/>
        <v>5.7102909821174626</v>
      </c>
      <c r="T48" s="88">
        <f t="shared" si="9"/>
        <v>36.053358337579368</v>
      </c>
      <c r="U48" s="86">
        <f t="shared" si="10"/>
        <v>-17892.381460000001</v>
      </c>
      <c r="V48" s="85">
        <f t="shared" si="11"/>
        <v>-1141.3067828769733</v>
      </c>
      <c r="W48" s="85">
        <f t="shared" si="12"/>
        <v>-7216.270072593903</v>
      </c>
      <c r="X48" s="90">
        <f t="shared" si="13"/>
        <v>1141.3067828769733</v>
      </c>
      <c r="Y48" s="86">
        <f t="shared" si="14"/>
        <v>-8491.5682699999998</v>
      </c>
      <c r="Z48" s="85">
        <f t="shared" si="15"/>
        <v>-750</v>
      </c>
      <c r="AA48" s="85">
        <f t="shared" si="16"/>
        <v>-759.34884434100218</v>
      </c>
      <c r="AB48" s="90">
        <f t="shared" si="17"/>
        <v>750</v>
      </c>
      <c r="AC48" s="86">
        <f t="shared" si="18"/>
        <v>17444.845890000001</v>
      </c>
      <c r="AD48" s="85">
        <f t="shared" si="19"/>
        <v>1055.7627565116984</v>
      </c>
      <c r="AE48" s="85">
        <f t="shared" si="20"/>
        <v>6792.5648052255438</v>
      </c>
      <c r="AF48" s="90">
        <f t="shared" si="21"/>
        <v>1055.7627565116984</v>
      </c>
      <c r="AG48" s="86">
        <f t="shared" si="22"/>
        <v>9014.8125600000003</v>
      </c>
      <c r="AH48" s="85">
        <f t="shared" si="23"/>
        <v>6128</v>
      </c>
      <c r="AI48" s="85">
        <f t="shared" si="24"/>
        <v>6204.386290828882</v>
      </c>
      <c r="AJ48" s="90">
        <f t="shared" si="25"/>
        <v>6128</v>
      </c>
      <c r="AL48" s="95">
        <f t="shared" si="26"/>
        <v>0</v>
      </c>
      <c r="AM48" s="95">
        <f t="shared" si="27"/>
        <v>0</v>
      </c>
      <c r="AN48" s="95">
        <f t="shared" si="28"/>
        <v>0</v>
      </c>
      <c r="AO48" s="95">
        <f t="shared" si="29"/>
        <v>0</v>
      </c>
      <c r="AP48"/>
      <c r="AQ48" s="95">
        <f t="shared" si="30"/>
        <v>0</v>
      </c>
      <c r="AR48" s="95">
        <f t="shared" si="31"/>
        <v>0</v>
      </c>
      <c r="AS48" s="95">
        <f>Geraetedaten!$B$94*ABS(SIN(RADIANS($A48)))</f>
        <v>24.090907616195555</v>
      </c>
      <c r="AT48" s="95">
        <f>Geraetedaten!$B$94*ABS(COS(RADIANS($A48)))</f>
        <v>152.10400445165121</v>
      </c>
      <c r="AU48" s="95">
        <f>((h_Aw_Sw+Geraetedaten!$B$18)/1000)*(AQ48*AS48+AR48*AT48)/100</f>
        <v>0</v>
      </c>
    </row>
    <row r="49" spans="1:47" ht="13.5" x14ac:dyDescent="0.25">
      <c r="A49" s="16">
        <v>10</v>
      </c>
      <c r="B49" s="16">
        <f t="shared" si="0"/>
        <v>440</v>
      </c>
      <c r="C49" s="19">
        <f t="shared" si="32"/>
        <v>40.52689196941197</v>
      </c>
      <c r="D49" s="17">
        <f t="shared" si="1"/>
        <v>-16177.130441969412</v>
      </c>
      <c r="E49" s="17">
        <f t="shared" si="2"/>
        <v>-8556.9332119694118</v>
      </c>
      <c r="F49" s="17">
        <f t="shared" si="3"/>
        <v>15664.679048030588</v>
      </c>
      <c r="G49" s="17">
        <f t="shared" si="4"/>
        <v>9000.6542180305878</v>
      </c>
      <c r="H49" s="17">
        <f t="shared" si="33"/>
        <v>9000.6542180305878</v>
      </c>
      <c r="I49" s="17">
        <f t="shared" si="5"/>
        <v>6222.5342776358457</v>
      </c>
      <c r="J49" s="20">
        <f>(Geraetedaten!$B$152+(Geraetedaten!$B$153*(Geraetedaten!$B$18+d_y_Sw)/1000))*10</f>
        <v>6051.0442000000003</v>
      </c>
      <c r="K49" s="20">
        <f>(Geraetedaten!$B$165+(Geraetedaten!$B$166*(Geraetedaten!$B$18+d_y_Sw)/1000))*10</f>
        <v>10816.164000000001</v>
      </c>
      <c r="L49" s="20">
        <f>(Geraetedaten!$B$158+(Geraetedaten!$B$159*(Geraetedaten!$B$18+d_y_Sw)/1000)-(Geraetedaten!$B$160*I49/1000))*10</f>
        <v>145.23816142096331</v>
      </c>
      <c r="M49" s="20">
        <f>(Geraetedaten!$B$171+(Geraetedaten!$B$172*(Geraetedaten!$B$18+d_y_Sw)/1000)-(Geraetedaten!$B$173*I49/1000))*10</f>
        <v>601.6615483727885</v>
      </c>
      <c r="N49" s="20">
        <f>IF((H49-J49)/(K49-J49)*(Geraetedaten!$B$174-Geraetedaten!$B$161)&lt;Geraetedaten!$B$174,(H49-J49)/(K49-J49)*(Geraetedaten!$B$174-Geraetedaten!$B$161),Geraetedaten!$B$174)</f>
        <v>247.60007234492508</v>
      </c>
      <c r="O49" s="20">
        <f>N49/Geraetedaten!$B$174*(M49-L49)+L49+C49</f>
        <v>468.29121246334438</v>
      </c>
      <c r="P49" s="20">
        <f t="shared" si="6"/>
        <v>157.31870254012921</v>
      </c>
      <c r="Q49" s="21">
        <f>(N49-Geraetedaten!$B$161)/(Geraetedaten!$B$174-Geraetedaten!$B$161)*(Geraetedaten!$B$175-Geraetedaten!$B$162)+Geraetedaten!$B$162</f>
        <v>36.566102152261521</v>
      </c>
      <c r="R49" s="21">
        <f t="shared" si="7"/>
        <v>36.566102152261521</v>
      </c>
      <c r="S49" s="21">
        <f t="shared" si="8"/>
        <v>6.349637003123032</v>
      </c>
      <c r="T49" s="88">
        <f t="shared" si="9"/>
        <v>36.010580896983534</v>
      </c>
      <c r="U49" s="86">
        <f t="shared" si="10"/>
        <v>-16136.60355</v>
      </c>
      <c r="V49" s="85">
        <f t="shared" si="11"/>
        <v>-1141.3067828769733</v>
      </c>
      <c r="W49" s="85">
        <f t="shared" si="12"/>
        <v>-6508.1380878788405</v>
      </c>
      <c r="X49" s="90">
        <f t="shared" si="13"/>
        <v>1141.3067828769733</v>
      </c>
      <c r="Y49" s="86">
        <f t="shared" si="14"/>
        <v>-8516.4063200000001</v>
      </c>
      <c r="Z49" s="85">
        <f t="shared" si="15"/>
        <v>-750</v>
      </c>
      <c r="AA49" s="85">
        <f t="shared" si="16"/>
        <v>-761.56995891430881</v>
      </c>
      <c r="AB49" s="90">
        <f t="shared" si="17"/>
        <v>750</v>
      </c>
      <c r="AC49" s="86">
        <f t="shared" si="18"/>
        <v>15705.20594</v>
      </c>
      <c r="AD49" s="85">
        <f t="shared" si="19"/>
        <v>1055.7627565116984</v>
      </c>
      <c r="AE49" s="85">
        <f t="shared" si="20"/>
        <v>6115.1947022294335</v>
      </c>
      <c r="AF49" s="90">
        <f t="shared" si="21"/>
        <v>1055.7627565116984</v>
      </c>
      <c r="AG49" s="86">
        <f t="shared" si="22"/>
        <v>9041.1811099999995</v>
      </c>
      <c r="AH49" s="85">
        <f t="shared" si="23"/>
        <v>6128</v>
      </c>
      <c r="AI49" s="85">
        <f t="shared" si="24"/>
        <v>6222.5342776358457</v>
      </c>
      <c r="AJ49" s="90">
        <f t="shared" si="25"/>
        <v>6128</v>
      </c>
      <c r="AL49" s="95">
        <f t="shared" si="26"/>
        <v>0</v>
      </c>
      <c r="AM49" s="95">
        <f t="shared" si="27"/>
        <v>0</v>
      </c>
      <c r="AN49" s="95">
        <f t="shared" si="28"/>
        <v>0</v>
      </c>
      <c r="AO49" s="95">
        <f t="shared" si="29"/>
        <v>0</v>
      </c>
      <c r="AP49"/>
      <c r="AQ49" s="95">
        <f t="shared" si="30"/>
        <v>0</v>
      </c>
      <c r="AR49" s="95">
        <f t="shared" si="31"/>
        <v>0</v>
      </c>
      <c r="AS49" s="95">
        <f>Geraetedaten!$B$94*ABS(SIN(RADIANS($A49)))</f>
        <v>26.741819360707272</v>
      </c>
      <c r="AT49" s="95">
        <f>Geraetedaten!$B$94*ABS(COS(RADIANS($A49)))</f>
        <v>151.66039396388004</v>
      </c>
      <c r="AU49" s="95">
        <f>((h_Aw_Sw+Geraetedaten!$B$18)/1000)*(AQ49*AS49+AR49*AT49)/100</f>
        <v>0</v>
      </c>
    </row>
    <row r="50" spans="1:47" ht="13.5" x14ac:dyDescent="0.25">
      <c r="A50" s="16">
        <v>11</v>
      </c>
      <c r="B50" s="16">
        <f t="shared" si="0"/>
        <v>439</v>
      </c>
      <c r="C50" s="19">
        <f t="shared" si="32"/>
        <v>41.522181321446048</v>
      </c>
      <c r="D50" s="17">
        <f t="shared" si="1"/>
        <v>-14740.221001321446</v>
      </c>
      <c r="E50" s="17">
        <f t="shared" si="2"/>
        <v>-8585.5225113214474</v>
      </c>
      <c r="F50" s="17">
        <f t="shared" si="3"/>
        <v>14243.500018678553</v>
      </c>
      <c r="G50" s="17">
        <f t="shared" si="4"/>
        <v>9028.9532586785535</v>
      </c>
      <c r="H50" s="17">
        <f t="shared" si="33"/>
        <v>9028.9532586785535</v>
      </c>
      <c r="I50" s="17">
        <f t="shared" si="5"/>
        <v>6242.6959066855525</v>
      </c>
      <c r="J50" s="20">
        <f>(Geraetedaten!$B$152+(Geraetedaten!$B$153*(Geraetedaten!$B$18+d_y_Sw)/1000))*10</f>
        <v>6051.0442000000003</v>
      </c>
      <c r="K50" s="20">
        <f>(Geraetedaten!$B$165+(Geraetedaten!$B$166*(Geraetedaten!$B$18+d_y_Sw)/1000))*10</f>
        <v>10816.164000000001</v>
      </c>
      <c r="L50" s="20">
        <f>(Geraetedaten!$B$158+(Geraetedaten!$B$159*(Geraetedaten!$B$18+d_y_Sw)/1000)-(Geraetedaten!$B$160*I50/1000))*10</f>
        <v>143.75970916274824</v>
      </c>
      <c r="M50" s="20">
        <f>(Geraetedaten!$B$171+(Geraetedaten!$B$172*(Geraetedaten!$B$18+d_y_Sw)/1000)-(Geraetedaten!$B$173*I50/1000))*10</f>
        <v>600.16071670632834</v>
      </c>
      <c r="N50" s="20">
        <f>IF((H50-J50)/(K50-J50)*(Geraetedaten!$B$174-Geraetedaten!$B$161)&lt;Geraetedaten!$B$174,(H50-J50)/(K50-J50)*(Geraetedaten!$B$174-Geraetedaten!$B$161),Geraetedaten!$B$174)</f>
        <v>249.97558791101562</v>
      </c>
      <c r="O50" s="20">
        <f>N50/Geraetedaten!$B$174*(M50-L50)+L50+C50</f>
        <v>470.50466594391014</v>
      </c>
      <c r="P50" s="20">
        <f t="shared" si="6"/>
        <v>157.79962106489904</v>
      </c>
      <c r="Q50" s="21">
        <f>(N50-Geraetedaten!$B$161)/(Geraetedaten!$B$174-Geraetedaten!$B$161)*(Geraetedaten!$B$175-Geraetedaten!$B$162)+Geraetedaten!$B$162</f>
        <v>36.636773740352716</v>
      </c>
      <c r="R50" s="21">
        <f t="shared" si="7"/>
        <v>36.636773740352716</v>
      </c>
      <c r="S50" s="21">
        <f t="shared" si="8"/>
        <v>6.990625991234479</v>
      </c>
      <c r="T50" s="88">
        <f t="shared" si="9"/>
        <v>35.963653017351774</v>
      </c>
      <c r="U50" s="86">
        <f t="shared" si="10"/>
        <v>-14698.69882</v>
      </c>
      <c r="V50" s="85">
        <f t="shared" si="11"/>
        <v>-1141.3067828769733</v>
      </c>
      <c r="W50" s="85">
        <f t="shared" si="12"/>
        <v>-5928.2091998997066</v>
      </c>
      <c r="X50" s="90">
        <f t="shared" si="13"/>
        <v>1141.3067828769733</v>
      </c>
      <c r="Y50" s="86">
        <f t="shared" si="14"/>
        <v>-8544.0003300000008</v>
      </c>
      <c r="Z50" s="85">
        <f t="shared" si="15"/>
        <v>-750</v>
      </c>
      <c r="AA50" s="85">
        <f t="shared" si="16"/>
        <v>-764.03752121641071</v>
      </c>
      <c r="AB50" s="90">
        <f t="shared" si="17"/>
        <v>750</v>
      </c>
      <c r="AC50" s="86">
        <f t="shared" si="18"/>
        <v>14285.022199999999</v>
      </c>
      <c r="AD50" s="85">
        <f t="shared" si="19"/>
        <v>1055.7627565116984</v>
      </c>
      <c r="AE50" s="85">
        <f t="shared" si="20"/>
        <v>5562.2124543640357</v>
      </c>
      <c r="AF50" s="90">
        <f t="shared" si="21"/>
        <v>1055.7627565116984</v>
      </c>
      <c r="AG50" s="86">
        <f t="shared" si="22"/>
        <v>9070.4754400000002</v>
      </c>
      <c r="AH50" s="85">
        <f t="shared" si="23"/>
        <v>6128</v>
      </c>
      <c r="AI50" s="85">
        <f t="shared" si="24"/>
        <v>6242.6959066855525</v>
      </c>
      <c r="AJ50" s="90">
        <f t="shared" si="25"/>
        <v>6128</v>
      </c>
      <c r="AL50" s="95">
        <f t="shared" si="26"/>
        <v>0</v>
      </c>
      <c r="AM50" s="95">
        <f t="shared" si="27"/>
        <v>0</v>
      </c>
      <c r="AN50" s="95">
        <f t="shared" si="28"/>
        <v>0</v>
      </c>
      <c r="AO50" s="95">
        <f t="shared" si="29"/>
        <v>0</v>
      </c>
      <c r="AP50"/>
      <c r="AQ50" s="95">
        <f t="shared" si="30"/>
        <v>0</v>
      </c>
      <c r="AR50" s="95">
        <f t="shared" si="31"/>
        <v>0</v>
      </c>
      <c r="AS50" s="95">
        <f>Geraetedaten!$B$94*ABS(SIN(RADIANS($A50)))</f>
        <v>29.3845852879879</v>
      </c>
      <c r="AT50" s="95">
        <f>Geraetedaten!$B$94*ABS(COS(RADIANS($A50)))</f>
        <v>151.17058625094026</v>
      </c>
      <c r="AU50" s="95">
        <f>((h_Aw_Sw+Geraetedaten!$B$18)/1000)*(AQ50*AS50+AR50*AT50)/100</f>
        <v>0</v>
      </c>
    </row>
    <row r="51" spans="1:47" ht="13.5" x14ac:dyDescent="0.25">
      <c r="A51" s="16">
        <v>12</v>
      </c>
      <c r="B51" s="16">
        <f t="shared" si="0"/>
        <v>438</v>
      </c>
      <c r="C51" s="19">
        <f t="shared" si="32"/>
        <v>42.504822614815218</v>
      </c>
      <c r="D51" s="17">
        <f t="shared" si="1"/>
        <v>-13542.366582614815</v>
      </c>
      <c r="E51" s="17">
        <f t="shared" si="2"/>
        <v>-8616.8988826148161</v>
      </c>
      <c r="F51" s="17">
        <f t="shared" si="3"/>
        <v>13061.541797385184</v>
      </c>
      <c r="G51" s="17">
        <f t="shared" si="4"/>
        <v>9060.2371873851844</v>
      </c>
      <c r="H51" s="17">
        <f t="shared" si="33"/>
        <v>9060.2371873851844</v>
      </c>
      <c r="I51" s="17">
        <f t="shared" si="5"/>
        <v>6264.9031653328993</v>
      </c>
      <c r="J51" s="20">
        <f>(Geraetedaten!$B$152+(Geraetedaten!$B$153*(Geraetedaten!$B$18+d_y_Sw)/1000))*10</f>
        <v>6051.0442000000003</v>
      </c>
      <c r="K51" s="20">
        <f>(Geraetedaten!$B$165+(Geraetedaten!$B$166*(Geraetedaten!$B$18+d_y_Sw)/1000))*10</f>
        <v>10816.164000000001</v>
      </c>
      <c r="L51" s="20">
        <f>(Geraetedaten!$B$158+(Geraetedaten!$B$159*(Geraetedaten!$B$18+d_y_Sw)/1000)-(Geraetedaten!$B$160*I51/1000))*10</f>
        <v>142.13125088613836</v>
      </c>
      <c r="M51" s="20">
        <f>(Geraetedaten!$B$171+(Geraetedaten!$B$172*(Geraetedaten!$B$18+d_y_Sw)/1000)-(Geraetedaten!$B$173*I51/1000))*10</f>
        <v>598.50760837261976</v>
      </c>
      <c r="N51" s="20">
        <f>IF((H51-J51)/(K51-J51)*(Geraetedaten!$B$174-Geraetedaten!$B$161)&lt;Geraetedaten!$B$174,(H51-J51)/(K51-J51)*(Geraetedaten!$B$174-Geraetedaten!$B$161),Geraetedaten!$B$174)</f>
        <v>252.60166490548119</v>
      </c>
      <c r="O51" s="20">
        <f>N51/Geraetedaten!$B$174*(M51-L51)+L51+C51</f>
        <v>472.83964281241424</v>
      </c>
      <c r="P51" s="20">
        <f t="shared" si="6"/>
        <v>158.29151221274537</v>
      </c>
      <c r="Q51" s="21">
        <f>(N51-Geraetedaten!$B$161)/(Geraetedaten!$B$174-Geraetedaten!$B$161)*(Geraetedaten!$B$175-Geraetedaten!$B$162)+Geraetedaten!$B$162</f>
        <v>36.714899530938069</v>
      </c>
      <c r="R51" s="21">
        <f t="shared" si="7"/>
        <v>36.714899530938069</v>
      </c>
      <c r="S51" s="21">
        <f t="shared" si="8"/>
        <v>7.633456839681493</v>
      </c>
      <c r="T51" s="88">
        <f t="shared" si="9"/>
        <v>35.912590887369802</v>
      </c>
      <c r="U51" s="86">
        <f t="shared" si="10"/>
        <v>-13499.86176</v>
      </c>
      <c r="V51" s="85">
        <f t="shared" si="11"/>
        <v>-1141.3067828769733</v>
      </c>
      <c r="W51" s="85">
        <f t="shared" si="12"/>
        <v>-5444.6999470483161</v>
      </c>
      <c r="X51" s="90">
        <f t="shared" si="13"/>
        <v>1141.3067828769733</v>
      </c>
      <c r="Y51" s="86">
        <f t="shared" si="14"/>
        <v>-8574.3940600000005</v>
      </c>
      <c r="Z51" s="85">
        <f t="shared" si="15"/>
        <v>-750</v>
      </c>
      <c r="AA51" s="85">
        <f t="shared" si="16"/>
        <v>-766.75544614877197</v>
      </c>
      <c r="AB51" s="90">
        <f t="shared" si="17"/>
        <v>750</v>
      </c>
      <c r="AC51" s="86">
        <f t="shared" si="18"/>
        <v>13104.046619999999</v>
      </c>
      <c r="AD51" s="85">
        <f t="shared" si="19"/>
        <v>1055.7627565116984</v>
      </c>
      <c r="AE51" s="85">
        <f t="shared" si="20"/>
        <v>5102.3715804745598</v>
      </c>
      <c r="AF51" s="90">
        <f t="shared" si="21"/>
        <v>1055.7627565116984</v>
      </c>
      <c r="AG51" s="86">
        <f t="shared" si="22"/>
        <v>9102.7420099999999</v>
      </c>
      <c r="AH51" s="85">
        <f t="shared" si="23"/>
        <v>6128</v>
      </c>
      <c r="AI51" s="85">
        <f t="shared" si="24"/>
        <v>6264.9031653328993</v>
      </c>
      <c r="AJ51" s="90">
        <f t="shared" si="25"/>
        <v>6128</v>
      </c>
      <c r="AL51" s="95">
        <f t="shared" si="26"/>
        <v>0</v>
      </c>
      <c r="AM51" s="95">
        <f t="shared" si="27"/>
        <v>0</v>
      </c>
      <c r="AN51" s="95">
        <f t="shared" si="28"/>
        <v>0</v>
      </c>
      <c r="AO51" s="95">
        <f t="shared" si="29"/>
        <v>0</v>
      </c>
      <c r="AP51"/>
      <c r="AQ51" s="95">
        <f t="shared" si="30"/>
        <v>0</v>
      </c>
      <c r="AR51" s="95">
        <f t="shared" si="31"/>
        <v>0</v>
      </c>
      <c r="AS51" s="95">
        <f>Geraetedaten!$B$94*ABS(SIN(RADIANS($A51)))</f>
        <v>32.018400385934939</v>
      </c>
      <c r="AT51" s="95">
        <f>Geraetedaten!$B$94*ABS(COS(RADIANS($A51)))</f>
        <v>150.63473051300608</v>
      </c>
      <c r="AU51" s="95">
        <f>((h_Aw_Sw+Geraetedaten!$B$18)/1000)*(AQ51*AS51+AR51*AT51)/100</f>
        <v>0</v>
      </c>
    </row>
    <row r="52" spans="1:47" ht="13.5" x14ac:dyDescent="0.25">
      <c r="A52" s="16">
        <v>13</v>
      </c>
      <c r="B52" s="16">
        <f t="shared" si="0"/>
        <v>437</v>
      </c>
      <c r="C52" s="19">
        <f t="shared" si="32"/>
        <v>43.474516527462441</v>
      </c>
      <c r="D52" s="17">
        <f t="shared" si="1"/>
        <v>-12528.824766527461</v>
      </c>
      <c r="E52" s="17">
        <f t="shared" si="2"/>
        <v>-8651.1106465274624</v>
      </c>
      <c r="F52" s="17">
        <f t="shared" si="3"/>
        <v>12063.360143472539</v>
      </c>
      <c r="G52" s="17">
        <f t="shared" si="4"/>
        <v>9094.5579134725376</v>
      </c>
      <c r="H52" s="17">
        <f t="shared" si="33"/>
        <v>9094.5579134725376</v>
      </c>
      <c r="I52" s="17">
        <f t="shared" si="5"/>
        <v>6289.1915725579038</v>
      </c>
      <c r="J52" s="20">
        <f>(Geraetedaten!$B$152+(Geraetedaten!$B$153*(Geraetedaten!$B$18+d_y_Sw)/1000))*10</f>
        <v>6051.0442000000003</v>
      </c>
      <c r="K52" s="20">
        <f>(Geraetedaten!$B$165+(Geraetedaten!$B$166*(Geraetedaten!$B$18+d_y_Sw)/1000))*10</f>
        <v>10816.164000000001</v>
      </c>
      <c r="L52" s="20">
        <f>(Geraetedaten!$B$158+(Geraetedaten!$B$159*(Geraetedaten!$B$18+d_y_Sw)/1000)-(Geraetedaten!$B$160*I52/1000))*10</f>
        <v>140.35018198432874</v>
      </c>
      <c r="M52" s="20">
        <f>(Geraetedaten!$B$171+(Geraetedaten!$B$172*(Geraetedaten!$B$18+d_y_Sw)/1000)-(Geraetedaten!$B$173*I52/1000))*10</f>
        <v>596.6995793387905</v>
      </c>
      <c r="N52" s="20">
        <f>IF((H52-J52)/(K52-J52)*(Geraetedaten!$B$174-Geraetedaten!$B$161)&lt;Geraetedaten!$B$174,(H52-J52)/(K52-J52)*(Geraetedaten!$B$174-Geraetedaten!$B$161),Geraetedaten!$B$174)</f>
        <v>255.48266076941334</v>
      </c>
      <c r="O52" s="20">
        <f>N52/Geraetedaten!$B$174*(M52-L52)+L52+C52</f>
        <v>475.29809420338165</v>
      </c>
      <c r="P52" s="20">
        <f t="shared" si="6"/>
        <v>158.7942161195422</v>
      </c>
      <c r="Q52" s="21">
        <f>(N52-Geraetedaten!$B$161)/(Geraetedaten!$B$174-Geraetedaten!$B$161)*(Geraetedaten!$B$175-Geraetedaten!$B$162)+Geraetedaten!$B$162</f>
        <v>36.800609157890051</v>
      </c>
      <c r="R52" s="21">
        <f t="shared" si="7"/>
        <v>36.800609157890051</v>
      </c>
      <c r="S52" s="21">
        <f t="shared" si="8"/>
        <v>8.2783358305638615</v>
      </c>
      <c r="T52" s="88">
        <f t="shared" si="9"/>
        <v>35.85741192930945</v>
      </c>
      <c r="U52" s="86">
        <f t="shared" si="10"/>
        <v>-12485.35025</v>
      </c>
      <c r="V52" s="85">
        <f t="shared" si="11"/>
        <v>-1141.3067828769733</v>
      </c>
      <c r="W52" s="85">
        <f t="shared" si="12"/>
        <v>-5035.5319978230364</v>
      </c>
      <c r="X52" s="90">
        <f t="shared" si="13"/>
        <v>1141.3067828769733</v>
      </c>
      <c r="Y52" s="86">
        <f t="shared" si="14"/>
        <v>-8607.6361300000008</v>
      </c>
      <c r="Z52" s="85">
        <f t="shared" si="15"/>
        <v>-750</v>
      </c>
      <c r="AA52" s="85">
        <f t="shared" si="16"/>
        <v>-769.72808084504368</v>
      </c>
      <c r="AB52" s="90">
        <f t="shared" si="17"/>
        <v>750</v>
      </c>
      <c r="AC52" s="86">
        <f t="shared" si="18"/>
        <v>12106.83466</v>
      </c>
      <c r="AD52" s="85">
        <f t="shared" si="19"/>
        <v>1055.7627565116984</v>
      </c>
      <c r="AE52" s="85">
        <f t="shared" si="20"/>
        <v>4714.0834352924421</v>
      </c>
      <c r="AF52" s="90">
        <f t="shared" si="21"/>
        <v>1055.7627565116984</v>
      </c>
      <c r="AG52" s="86">
        <f t="shared" si="22"/>
        <v>9138.0324299999993</v>
      </c>
      <c r="AH52" s="85">
        <f t="shared" si="23"/>
        <v>6128</v>
      </c>
      <c r="AI52" s="85">
        <f t="shared" si="24"/>
        <v>6289.1915725579038</v>
      </c>
      <c r="AJ52" s="90">
        <f t="shared" si="25"/>
        <v>6128</v>
      </c>
      <c r="AL52" s="95">
        <f t="shared" si="26"/>
        <v>0</v>
      </c>
      <c r="AM52" s="95">
        <f t="shared" si="27"/>
        <v>0</v>
      </c>
      <c r="AN52" s="95">
        <f t="shared" si="28"/>
        <v>0</v>
      </c>
      <c r="AO52" s="95">
        <f t="shared" si="29"/>
        <v>0</v>
      </c>
      <c r="AP52"/>
      <c r="AQ52" s="95">
        <f t="shared" si="30"/>
        <v>0</v>
      </c>
      <c r="AR52" s="95">
        <f t="shared" si="31"/>
        <v>0</v>
      </c>
      <c r="AS52" s="95">
        <f>Geraetedaten!$B$94*ABS(SIN(RADIANS($A52)))</f>
        <v>34.642462368955208</v>
      </c>
      <c r="AT52" s="95">
        <f>Geraetedaten!$B$94*ABS(COS(RADIANS($A52)))</f>
        <v>150.05298997692623</v>
      </c>
      <c r="AU52" s="95">
        <f>((h_Aw_Sw+Geraetedaten!$B$18)/1000)*(AQ52*AS52+AR52*AT52)/100</f>
        <v>0</v>
      </c>
    </row>
    <row r="53" spans="1:47" ht="13.5" x14ac:dyDescent="0.25">
      <c r="A53" s="16">
        <v>14</v>
      </c>
      <c r="B53" s="16">
        <f t="shared" si="0"/>
        <v>436</v>
      </c>
      <c r="C53" s="19">
        <f t="shared" si="32"/>
        <v>44.43096768122831</v>
      </c>
      <c r="D53" s="17">
        <f t="shared" si="1"/>
        <v>-11660.383397681228</v>
      </c>
      <c r="E53" s="17">
        <f t="shared" si="2"/>
        <v>-8688.2111576812276</v>
      </c>
      <c r="F53" s="17">
        <f t="shared" si="3"/>
        <v>11209.418892318772</v>
      </c>
      <c r="G53" s="17">
        <f t="shared" si="4"/>
        <v>9131.9726923187718</v>
      </c>
      <c r="H53" s="17">
        <f t="shared" si="33"/>
        <v>9131.9726923187718</v>
      </c>
      <c r="I53" s="17">
        <f t="shared" si="5"/>
        <v>6315.6003206561754</v>
      </c>
      <c r="J53" s="20">
        <f>(Geraetedaten!$B$152+(Geraetedaten!$B$153*(Geraetedaten!$B$18+d_y_Sw)/1000))*10</f>
        <v>6051.0442000000003</v>
      </c>
      <c r="K53" s="20">
        <f>(Geraetedaten!$B$165+(Geraetedaten!$B$166*(Geraetedaten!$B$18+d_y_Sw)/1000))*10</f>
        <v>10816.164000000001</v>
      </c>
      <c r="L53" s="20">
        <f>(Geraetedaten!$B$158+(Geraetedaten!$B$159*(Geraetedaten!$B$18+d_y_Sw)/1000)-(Geraetedaten!$B$160*I53/1000))*10</f>
        <v>138.41362848628245</v>
      </c>
      <c r="M53" s="20">
        <f>(Geraetedaten!$B$171+(Geraetedaten!$B$172*(Geraetedaten!$B$18+d_y_Sw)/1000)-(Geraetedaten!$B$173*I53/1000))*10</f>
        <v>594.73371213035512</v>
      </c>
      <c r="N53" s="20">
        <f>IF((H53-J53)/(K53-J53)*(Geraetedaten!$B$174-Geraetedaten!$B$161)&lt;Geraetedaten!$B$174,(H53-J53)/(K53-J53)*(Geraetedaten!$B$174-Geraetedaten!$B$161),Geraetedaten!$B$174)</f>
        <v>258.62338170962846</v>
      </c>
      <c r="O53" s="20">
        <f>N53/Geraetedaten!$B$174*(M53-L53)+L53+C53</f>
        <v>477.88220410263722</v>
      </c>
      <c r="P53" s="20">
        <f t="shared" si="6"/>
        <v>159.30758355797951</v>
      </c>
      <c r="Q53" s="21">
        <f>(N53-Geraetedaten!$B$161)/(Geraetedaten!$B$174-Geraetedaten!$B$161)*(Geraetedaten!$B$175-Geraetedaten!$B$162)+Geraetedaten!$B$162</f>
        <v>36.89404560586145</v>
      </c>
      <c r="R53" s="21">
        <f t="shared" si="7"/>
        <v>36.89404560586145</v>
      </c>
      <c r="S53" s="21">
        <f t="shared" si="8"/>
        <v>8.9254774493105931</v>
      </c>
      <c r="T53" s="88">
        <f t="shared" si="9"/>
        <v>35.798134776399074</v>
      </c>
      <c r="U53" s="86">
        <f t="shared" si="10"/>
        <v>-11615.952429999999</v>
      </c>
      <c r="V53" s="85">
        <f t="shared" si="11"/>
        <v>-1141.3067828769733</v>
      </c>
      <c r="W53" s="85">
        <f t="shared" si="12"/>
        <v>-4684.8906087457854</v>
      </c>
      <c r="X53" s="90">
        <f t="shared" si="13"/>
        <v>1141.3067828769733</v>
      </c>
      <c r="Y53" s="86">
        <f t="shared" si="14"/>
        <v>-8643.7801899999995</v>
      </c>
      <c r="Z53" s="85">
        <f t="shared" si="15"/>
        <v>-750</v>
      </c>
      <c r="AA53" s="85">
        <f t="shared" si="16"/>
        <v>-772.96022201242351</v>
      </c>
      <c r="AB53" s="90">
        <f t="shared" si="17"/>
        <v>750</v>
      </c>
      <c r="AC53" s="86">
        <f t="shared" si="18"/>
        <v>11253.84986</v>
      </c>
      <c r="AD53" s="85">
        <f t="shared" si="19"/>
        <v>1055.7627565116984</v>
      </c>
      <c r="AE53" s="85">
        <f t="shared" si="20"/>
        <v>4381.953557859445</v>
      </c>
      <c r="AF53" s="90">
        <f t="shared" si="21"/>
        <v>1055.7627565116984</v>
      </c>
      <c r="AG53" s="86">
        <f t="shared" si="22"/>
        <v>9176.4036599999999</v>
      </c>
      <c r="AH53" s="85">
        <f t="shared" si="23"/>
        <v>6128</v>
      </c>
      <c r="AI53" s="85">
        <f t="shared" si="24"/>
        <v>6315.6003206561754</v>
      </c>
      <c r="AJ53" s="90">
        <f t="shared" si="25"/>
        <v>6128</v>
      </c>
      <c r="AL53" s="95">
        <f t="shared" si="26"/>
        <v>0</v>
      </c>
      <c r="AM53" s="95">
        <f t="shared" si="27"/>
        <v>0</v>
      </c>
      <c r="AN53" s="95">
        <f t="shared" si="28"/>
        <v>0</v>
      </c>
      <c r="AO53" s="95">
        <f t="shared" si="29"/>
        <v>0</v>
      </c>
      <c r="AP53"/>
      <c r="AQ53" s="95">
        <f t="shared" si="30"/>
        <v>0</v>
      </c>
      <c r="AR53" s="95">
        <f t="shared" si="31"/>
        <v>0</v>
      </c>
      <c r="AS53" s="95">
        <f>Geraetedaten!$B$94*ABS(SIN(RADIANS($A53)))</f>
        <v>37.255971922348827</v>
      </c>
      <c r="AT53" s="95">
        <f>Geraetedaten!$B$94*ABS(COS(RADIANS($A53)))</f>
        <v>149.42554184650345</v>
      </c>
      <c r="AU53" s="95">
        <f>((h_Aw_Sw+Geraetedaten!$B$18)/1000)*(AQ53*AS53+AR53*AT53)/100</f>
        <v>0</v>
      </c>
    </row>
    <row r="54" spans="1:47" ht="13.5" x14ac:dyDescent="0.25">
      <c r="A54" s="16">
        <v>15</v>
      </c>
      <c r="B54" s="16">
        <f t="shared" si="0"/>
        <v>435</v>
      </c>
      <c r="C54" s="19">
        <f t="shared" si="32"/>
        <v>45.373884731826024</v>
      </c>
      <c r="D54" s="17">
        <f t="shared" si="1"/>
        <v>-10908.218084731825</v>
      </c>
      <c r="E54" s="17">
        <f t="shared" si="2"/>
        <v>-8728.2589947318247</v>
      </c>
      <c r="F54" s="17">
        <f t="shared" si="3"/>
        <v>10470.766565268175</v>
      </c>
      <c r="G54" s="17">
        <f t="shared" si="4"/>
        <v>9172.5443152681746</v>
      </c>
      <c r="H54" s="17">
        <f t="shared" si="33"/>
        <v>9172.5443152681746</v>
      </c>
      <c r="I54" s="17">
        <f t="shared" si="5"/>
        <v>6344.1724335529889</v>
      </c>
      <c r="J54" s="20">
        <f>(Geraetedaten!$B$152+(Geraetedaten!$B$153*(Geraetedaten!$B$18+d_y_Sw)/1000))*10</f>
        <v>6051.0442000000003</v>
      </c>
      <c r="K54" s="20">
        <f>(Geraetedaten!$B$165+(Geraetedaten!$B$166*(Geraetedaten!$B$18+d_y_Sw)/1000))*10</f>
        <v>10816.164000000001</v>
      </c>
      <c r="L54" s="20">
        <f>(Geraetedaten!$B$158+(Geraetedaten!$B$159*(Geraetedaten!$B$18+d_y_Sw)/1000)-(Geraetedaten!$B$160*I54/1000))*10</f>
        <v>136.31843544755918</v>
      </c>
      <c r="M54" s="20">
        <f>(Geraetedaten!$B$171+(Geraetedaten!$B$172*(Geraetedaten!$B$18+d_y_Sw)/1000)-(Geraetedaten!$B$173*I54/1000))*10</f>
        <v>592.60680404631626</v>
      </c>
      <c r="N54" s="20">
        <f>IF((H54-J54)/(K54-J54)*(Geraetedaten!$B$174-Geraetedaten!$B$161)&lt;Geraetedaten!$B$174,(H54-J54)/(K54-J54)*(Geraetedaten!$B$174-Geraetedaten!$B$161),Geraetedaten!$B$174)</f>
        <v>262.02909864034677</v>
      </c>
      <c r="O54" s="20">
        <f>N54/Geraetedaten!$B$174*(M54-L54)+L54+C54</f>
        <v>480.59439503940177</v>
      </c>
      <c r="P54" s="20">
        <f t="shared" si="6"/>
        <v>159.8314751897511</v>
      </c>
      <c r="Q54" s="21">
        <f>(N54-Geraetedaten!$B$161)/(Geraetedaten!$B$174-Geraetedaten!$B$161)*(Geraetedaten!$B$175-Geraetedaten!$B$162)+Geraetedaten!$B$162</f>
        <v>36.995365684550315</v>
      </c>
      <c r="R54" s="21">
        <f t="shared" si="7"/>
        <v>36.995365684550315</v>
      </c>
      <c r="S54" s="21">
        <f t="shared" si="8"/>
        <v>9.5751052196938762</v>
      </c>
      <c r="T54" s="88">
        <f t="shared" si="9"/>
        <v>35.734779167715509</v>
      </c>
      <c r="U54" s="86">
        <f t="shared" si="10"/>
        <v>-10862.8442</v>
      </c>
      <c r="V54" s="85">
        <f t="shared" si="11"/>
        <v>-1141.3067828769733</v>
      </c>
      <c r="W54" s="85">
        <f t="shared" si="12"/>
        <v>-4381.150585958625</v>
      </c>
      <c r="X54" s="90">
        <f t="shared" si="13"/>
        <v>1141.3067828769733</v>
      </c>
      <c r="Y54" s="86">
        <f t="shared" si="14"/>
        <v>-8682.8851099999993</v>
      </c>
      <c r="Z54" s="85">
        <f t="shared" si="15"/>
        <v>-750</v>
      </c>
      <c r="AA54" s="85">
        <f t="shared" si="16"/>
        <v>-776.45713530756223</v>
      </c>
      <c r="AB54" s="90">
        <f t="shared" si="17"/>
        <v>750</v>
      </c>
      <c r="AC54" s="86">
        <f t="shared" si="18"/>
        <v>10516.140450000001</v>
      </c>
      <c r="AD54" s="85">
        <f t="shared" si="19"/>
        <v>1055.7627565116984</v>
      </c>
      <c r="AE54" s="85">
        <f t="shared" si="20"/>
        <v>4094.7088877294191</v>
      </c>
      <c r="AF54" s="90">
        <f t="shared" si="21"/>
        <v>1055.7627565116984</v>
      </c>
      <c r="AG54" s="86">
        <f t="shared" si="22"/>
        <v>9217.9182000000001</v>
      </c>
      <c r="AH54" s="85">
        <f t="shared" si="23"/>
        <v>6128</v>
      </c>
      <c r="AI54" s="85">
        <f t="shared" si="24"/>
        <v>6344.1724335529889</v>
      </c>
      <c r="AJ54" s="90">
        <f t="shared" si="25"/>
        <v>6128</v>
      </c>
      <c r="AL54" s="95">
        <f t="shared" si="26"/>
        <v>0</v>
      </c>
      <c r="AM54" s="95">
        <f t="shared" si="27"/>
        <v>0</v>
      </c>
      <c r="AN54" s="95">
        <f t="shared" si="28"/>
        <v>0</v>
      </c>
      <c r="AO54" s="95">
        <f t="shared" si="29"/>
        <v>0</v>
      </c>
      <c r="AP54"/>
      <c r="AQ54" s="95">
        <f t="shared" si="30"/>
        <v>0</v>
      </c>
      <c r="AR54" s="95">
        <f t="shared" si="31"/>
        <v>0</v>
      </c>
      <c r="AS54" s="95">
        <f>Geraetedaten!$B$94*ABS(SIN(RADIANS($A54)))</f>
        <v>39.858132945788192</v>
      </c>
      <c r="AT54" s="95">
        <f>Geraetedaten!$B$94*ABS(COS(RADIANS($A54)))</f>
        <v>148.75257724851653</v>
      </c>
      <c r="AU54" s="95">
        <f>((h_Aw_Sw+Geraetedaten!$B$18)/1000)*(AQ54*AS54+AR54*AT54)/100</f>
        <v>0</v>
      </c>
    </row>
    <row r="55" spans="1:47" ht="13.5" x14ac:dyDescent="0.25">
      <c r="A55" s="16">
        <v>16</v>
      </c>
      <c r="B55" s="16">
        <f t="shared" si="0"/>
        <v>434</v>
      </c>
      <c r="C55" s="19">
        <f t="shared" si="32"/>
        <v>46.302980457587736</v>
      </c>
      <c r="D55" s="17">
        <f t="shared" si="1"/>
        <v>-10250.666230457588</v>
      </c>
      <c r="E55" s="17">
        <f t="shared" si="2"/>
        <v>-8771.3182504575871</v>
      </c>
      <c r="F55" s="17">
        <f t="shared" si="3"/>
        <v>9825.7165495424124</v>
      </c>
      <c r="G55" s="17">
        <f t="shared" si="4"/>
        <v>9216.3414095424123</v>
      </c>
      <c r="H55" s="17">
        <f t="shared" si="33"/>
        <v>9216.3414095424123</v>
      </c>
      <c r="I55" s="17">
        <f t="shared" si="5"/>
        <v>6374.9549429598974</v>
      </c>
      <c r="J55" s="20">
        <f>(Geraetedaten!$B$152+(Geraetedaten!$B$153*(Geraetedaten!$B$18+d_y_Sw)/1000))*10</f>
        <v>6051.0442000000003</v>
      </c>
      <c r="K55" s="20">
        <f>(Geraetedaten!$B$165+(Geraetedaten!$B$166*(Geraetedaten!$B$18+d_y_Sw)/1000))*10</f>
        <v>10816.164000000001</v>
      </c>
      <c r="L55" s="20">
        <f>(Geraetedaten!$B$158+(Geraetedaten!$B$159*(Geraetedaten!$B$18+d_y_Sw)/1000)-(Geraetedaten!$B$160*I55/1000))*10</f>
        <v>134.06115403275052</v>
      </c>
      <c r="M55" s="20">
        <f>(Geraetedaten!$B$171+(Geraetedaten!$B$172*(Geraetedaten!$B$18+d_y_Sw)/1000)-(Geraetedaten!$B$173*I55/1000))*10</f>
        <v>590.31535404606609</v>
      </c>
      <c r="N55" s="20">
        <f>IF((H55-J55)/(K55-J55)*(Geraetedaten!$B$174-Geraetedaten!$B$161)&lt;Geraetedaten!$B$174,(H55-J55)/(K55-J55)*(Geraetedaten!$B$174-Geraetedaten!$B$161),Geraetedaten!$B$174)</f>
        <v>265.70557235873997</v>
      </c>
      <c r="O55" s="20">
        <f>N55/Geraetedaten!$B$174*(M55-L55)+L55+C55</f>
        <v>483.43734287938082</v>
      </c>
      <c r="P55" s="20">
        <f t="shared" si="6"/>
        <v>160.36576240540947</v>
      </c>
      <c r="Q55" s="21">
        <f>(N55-Geraetedaten!$B$161)/(Geraetedaten!$B$174-Geraetedaten!$B$161)*(Geraetedaten!$B$175-Geraetedaten!$B$162)+Geraetedaten!$B$162</f>
        <v>37.104740777672518</v>
      </c>
      <c r="R55" s="21">
        <f t="shared" si="7"/>
        <v>37.104740777672518</v>
      </c>
      <c r="S55" s="21">
        <f t="shared" si="8"/>
        <v>10.227452636232838</v>
      </c>
      <c r="T55" s="88">
        <f t="shared" si="9"/>
        <v>35.667366047297179</v>
      </c>
      <c r="U55" s="86">
        <f t="shared" si="10"/>
        <v>-10204.36325</v>
      </c>
      <c r="V55" s="85">
        <f t="shared" si="11"/>
        <v>-1141.3067828769733</v>
      </c>
      <c r="W55" s="85">
        <f t="shared" si="12"/>
        <v>-4115.5751823372293</v>
      </c>
      <c r="X55" s="90">
        <f t="shared" si="13"/>
        <v>1141.3067828769733</v>
      </c>
      <c r="Y55" s="86">
        <f t="shared" si="14"/>
        <v>-8725.0152699999999</v>
      </c>
      <c r="Z55" s="85">
        <f t="shared" si="15"/>
        <v>-750</v>
      </c>
      <c r="AA55" s="85">
        <f t="shared" si="16"/>
        <v>-780.2245768962016</v>
      </c>
      <c r="AB55" s="90">
        <f t="shared" si="17"/>
        <v>750</v>
      </c>
      <c r="AC55" s="86">
        <f t="shared" si="18"/>
        <v>9872.0195299999996</v>
      </c>
      <c r="AD55" s="85">
        <f t="shared" si="19"/>
        <v>1055.7627565116984</v>
      </c>
      <c r="AE55" s="85">
        <f t="shared" si="20"/>
        <v>3843.9051184894051</v>
      </c>
      <c r="AF55" s="90">
        <f t="shared" si="21"/>
        <v>1055.7627565116984</v>
      </c>
      <c r="AG55" s="86">
        <f t="shared" si="22"/>
        <v>9262.6443899999995</v>
      </c>
      <c r="AH55" s="85">
        <f t="shared" si="23"/>
        <v>6128</v>
      </c>
      <c r="AI55" s="85">
        <f t="shared" si="24"/>
        <v>6374.9549429598974</v>
      </c>
      <c r="AJ55" s="90">
        <f t="shared" si="25"/>
        <v>6128</v>
      </c>
      <c r="AL55" s="95">
        <f t="shared" si="26"/>
        <v>0</v>
      </c>
      <c r="AM55" s="95">
        <f t="shared" si="27"/>
        <v>0</v>
      </c>
      <c r="AN55" s="95">
        <f t="shared" si="28"/>
        <v>0</v>
      </c>
      <c r="AO55" s="95">
        <f t="shared" si="29"/>
        <v>0</v>
      </c>
      <c r="AP55"/>
      <c r="AQ55" s="95">
        <f t="shared" si="30"/>
        <v>0</v>
      </c>
      <c r="AR55" s="95">
        <f t="shared" si="31"/>
        <v>0</v>
      </c>
      <c r="AS55" s="95">
        <f>Geraetedaten!$B$94*ABS(SIN(RADIANS($A55)))</f>
        <v>42.448152795817869</v>
      </c>
      <c r="AT55" s="95">
        <f>Geraetedaten!$B$94*ABS(COS(RADIANS($A55)))</f>
        <v>148.03430117450111</v>
      </c>
      <c r="AU55" s="95">
        <f>((h_Aw_Sw+Geraetedaten!$B$18)/1000)*(AQ55*AS55+AR55*AT55)/100</f>
        <v>0</v>
      </c>
    </row>
    <row r="56" spans="1:47" ht="13.5" x14ac:dyDescent="0.25">
      <c r="A56" s="16">
        <v>17</v>
      </c>
      <c r="B56" s="16">
        <f t="shared" si="0"/>
        <v>433</v>
      </c>
      <c r="C56" s="19">
        <f t="shared" si="32"/>
        <v>47.217971846955017</v>
      </c>
      <c r="D56" s="17">
        <f t="shared" si="1"/>
        <v>-9671.1328818469538</v>
      </c>
      <c r="E56" s="17">
        <f t="shared" si="2"/>
        <v>-8817.4587618469541</v>
      </c>
      <c r="F56" s="17">
        <f t="shared" si="3"/>
        <v>9257.7030381530458</v>
      </c>
      <c r="G56" s="17">
        <f t="shared" si="4"/>
        <v>9263.4386981530461</v>
      </c>
      <c r="H56" s="17">
        <f>SMALL(D56:G56,COUNTIF(D56:G56,"&lt;0")+1)</f>
        <v>9257.7030381530458</v>
      </c>
      <c r="I56" s="17">
        <f t="shared" si="5"/>
        <v>3623.0918499294157</v>
      </c>
      <c r="J56" s="20">
        <f>(Geraetedaten!$B$152+(Geraetedaten!$B$153*(Geraetedaten!$B$18+d_y_Sw)/1000))*10</f>
        <v>6051.0442000000003</v>
      </c>
      <c r="K56" s="20">
        <f>(Geraetedaten!$B$165+(Geraetedaten!$B$166*(Geraetedaten!$B$18+d_y_Sw)/1000))*10</f>
        <v>10816.164000000001</v>
      </c>
      <c r="L56" s="20">
        <f>(Geraetedaten!$B$158+(Geraetedaten!$B$159*(Geraetedaten!$B$18+d_y_Sw)/1000)-(Geraetedaten!$B$160*I56/1000))*10</f>
        <v>335.85527464467577</v>
      </c>
      <c r="M56" s="20">
        <f>(Geraetedaten!$B$171+(Geraetedaten!$B$172*(Geraetedaten!$B$18+d_y_Sw)/1000)-(Geraetedaten!$B$173*I56/1000))*10</f>
        <v>795.16404269125519</v>
      </c>
      <c r="N56" s="20">
        <f>IF((H56-J56)/(K56-J56)*(Geraetedaten!$B$174-Geraetedaten!$B$161)&lt;Geraetedaten!$B$174,(H56-J56)/(K56-J56)*(Geraetedaten!$B$174-Geraetedaten!$B$161),Geraetedaten!$B$174)</f>
        <v>269.17760499142503</v>
      </c>
      <c r="O56" s="20">
        <f>N56/Geraetedaten!$B$174*(M56-L56)+L56+C56</f>
        <v>692.16233182748135</v>
      </c>
      <c r="P56" s="20">
        <f>O56*100/9.81/(Q56-(I56/1000))</f>
        <v>210.08466483484017</v>
      </c>
      <c r="Q56" s="21">
        <f>(N56-Geraetedaten!$B$161)/(Geraetedaten!$B$174-Geraetedaten!$B$161)*(Geraetedaten!$B$175-Geraetedaten!$B$162)+Geraetedaten!$B$162</f>
        <v>37.208033748494898</v>
      </c>
      <c r="R56" s="21">
        <f t="shared" si="7"/>
        <v>37.208033748494898</v>
      </c>
      <c r="S56" s="21">
        <f t="shared" si="8"/>
        <v>10.878576256428575</v>
      </c>
      <c r="T56" s="88">
        <f t="shared" si="9"/>
        <v>35.5822196337188</v>
      </c>
      <c r="U56" s="86">
        <f t="shared" si="10"/>
        <v>-9623.9149099999995</v>
      </c>
      <c r="V56" s="85">
        <f t="shared" si="11"/>
        <v>-1141.3067828769733</v>
      </c>
      <c r="W56" s="85">
        <f t="shared" si="12"/>
        <v>-3881.471523097242</v>
      </c>
      <c r="X56" s="90">
        <f t="shared" si="13"/>
        <v>1141.3067828769733</v>
      </c>
      <c r="Y56" s="86">
        <f t="shared" si="14"/>
        <v>-8770.2407899999998</v>
      </c>
      <c r="Z56" s="85">
        <f t="shared" si="15"/>
        <v>-750</v>
      </c>
      <c r="AA56" s="85">
        <f t="shared" si="16"/>
        <v>-784.26881736536109</v>
      </c>
      <c r="AB56" s="90">
        <f t="shared" si="17"/>
        <v>750</v>
      </c>
      <c r="AC56" s="86">
        <f t="shared" si="18"/>
        <v>9304.92101</v>
      </c>
      <c r="AD56" s="85">
        <f t="shared" si="19"/>
        <v>1055.7627565116984</v>
      </c>
      <c r="AE56" s="85">
        <f t="shared" si="20"/>
        <v>3623.0918499294157</v>
      </c>
      <c r="AF56" s="90">
        <f t="shared" si="21"/>
        <v>1055.7627565116984</v>
      </c>
      <c r="AG56" s="86">
        <f t="shared" si="22"/>
        <v>9310.6566700000003</v>
      </c>
      <c r="AH56" s="85">
        <f t="shared" si="23"/>
        <v>6128</v>
      </c>
      <c r="AI56" s="85">
        <f t="shared" si="24"/>
        <v>6407.9990837532432</v>
      </c>
      <c r="AJ56" s="90">
        <f t="shared" si="25"/>
        <v>6128</v>
      </c>
      <c r="AL56" s="95">
        <f t="shared" si="26"/>
        <v>0</v>
      </c>
      <c r="AM56" s="95">
        <f t="shared" si="27"/>
        <v>0</v>
      </c>
      <c r="AN56" s="95">
        <f t="shared" si="28"/>
        <v>0</v>
      </c>
      <c r="AO56" s="95">
        <f t="shared" si="29"/>
        <v>0</v>
      </c>
      <c r="AP56"/>
      <c r="AQ56" s="95">
        <f t="shared" si="30"/>
        <v>0</v>
      </c>
      <c r="AR56" s="95">
        <f t="shared" si="31"/>
        <v>0</v>
      </c>
      <c r="AS56" s="95">
        <f>Geraetedaten!$B$94*ABS(SIN(RADIANS($A56)))</f>
        <v>45.025242527301465</v>
      </c>
      <c r="AT56" s="95">
        <f>Geraetedaten!$B$94*ABS(COS(RADIANS($A56)))</f>
        <v>147.27093241830747</v>
      </c>
      <c r="AU56" s="95">
        <f>((h_Aw_Sw+Geraetedaten!$B$18)/1000)*(AQ56*AS56+AR56*AT56)/100</f>
        <v>0</v>
      </c>
    </row>
    <row r="57" spans="1:47" ht="13.5" x14ac:dyDescent="0.25">
      <c r="A57" s="16">
        <v>18</v>
      </c>
      <c r="B57" s="16">
        <f t="shared" si="0"/>
        <v>432</v>
      </c>
      <c r="C57" s="19">
        <f t="shared" si="32"/>
        <v>48.118580184686948</v>
      </c>
      <c r="D57" s="17">
        <f t="shared" si="1"/>
        <v>-9156.6908901846873</v>
      </c>
      <c r="E57" s="17">
        <f t="shared" si="2"/>
        <v>-8866.7564101846874</v>
      </c>
      <c r="F57" s="17">
        <f t="shared" si="3"/>
        <v>8753.8539598153129</v>
      </c>
      <c r="G57" s="17">
        <f t="shared" si="4"/>
        <v>9313.9173298153128</v>
      </c>
      <c r="H57" s="17">
        <f t="shared" si="33"/>
        <v>8753.8539598153129</v>
      </c>
      <c r="I57" s="17">
        <f t="shared" si="5"/>
        <v>3427.2569274347884</v>
      </c>
      <c r="J57" s="20">
        <f>(Geraetedaten!$B$152+(Geraetedaten!$B$153*(Geraetedaten!$B$18+d_y_Sw)/1000))*10</f>
        <v>6051.0442000000003</v>
      </c>
      <c r="K57" s="20">
        <f>(Geraetedaten!$B$165+(Geraetedaten!$B$166*(Geraetedaten!$B$18+d_y_Sw)/1000))*10</f>
        <v>10816.164000000001</v>
      </c>
      <c r="L57" s="20">
        <f>(Geraetedaten!$B$158+(Geraetedaten!$B$159*(Geraetedaten!$B$18+d_y_Sw)/1000)-(Geraetedaten!$B$160*I57/1000))*10</f>
        <v>350.21584951120673</v>
      </c>
      <c r="M57" s="20">
        <f>(Geraetedaten!$B$171+(Geraetedaten!$B$172*(Geraetedaten!$B$18+d_y_Sw)/1000)-(Geraetedaten!$B$173*I57/1000))*10</f>
        <v>809.74199432175521</v>
      </c>
      <c r="N57" s="20">
        <f>IF((H57-J57)/(K57-J57)*(Geraetedaten!$B$174-Geraetedaten!$B$161)&lt;Geraetedaten!$B$174,(H57-J57)/(K57-J57)*(Geraetedaten!$B$174-Geraetedaten!$B$161),Geraetedaten!$B$174)</f>
        <v>226.88283806130647</v>
      </c>
      <c r="O57" s="20">
        <f>N57/Geraetedaten!$B$174*(M57-L57)+L57+C57</f>
        <v>658.980919440864</v>
      </c>
      <c r="P57" s="20">
        <f t="shared" si="6"/>
        <v>206.54743685235817</v>
      </c>
      <c r="Q57" s="21">
        <f>(N57-Geraetedaten!$B$161)/(Geraetedaten!$B$174-Geraetedaten!$B$161)*(Geraetedaten!$B$175-Geraetedaten!$B$162)+Geraetedaten!$B$162</f>
        <v>35.949764432323867</v>
      </c>
      <c r="R57" s="21">
        <f t="shared" si="7"/>
        <v>35.949764432323867</v>
      </c>
      <c r="S57" s="21">
        <f t="shared" si="8"/>
        <v>11.109088153364109</v>
      </c>
      <c r="T57" s="88">
        <f t="shared" si="9"/>
        <v>34.190257722637355</v>
      </c>
      <c r="U57" s="86">
        <f t="shared" si="10"/>
        <v>-9108.5723099999996</v>
      </c>
      <c r="V57" s="85">
        <f t="shared" si="11"/>
        <v>-1141.3067828769733</v>
      </c>
      <c r="W57" s="85">
        <f t="shared" si="12"/>
        <v>-3673.6260015606622</v>
      </c>
      <c r="X57" s="90">
        <f t="shared" si="13"/>
        <v>1141.3067828769733</v>
      </c>
      <c r="Y57" s="86">
        <f t="shared" si="14"/>
        <v>-8818.6378299999997</v>
      </c>
      <c r="Z57" s="85">
        <f t="shared" si="15"/>
        <v>-750</v>
      </c>
      <c r="AA57" s="85">
        <f t="shared" si="16"/>
        <v>-788.5966681787005</v>
      </c>
      <c r="AB57" s="90">
        <f t="shared" si="17"/>
        <v>750</v>
      </c>
      <c r="AC57" s="86">
        <f t="shared" si="18"/>
        <v>8801.9725400000007</v>
      </c>
      <c r="AD57" s="85">
        <f t="shared" si="19"/>
        <v>1055.7627565116984</v>
      </c>
      <c r="AE57" s="85">
        <f t="shared" si="20"/>
        <v>3427.2569274347884</v>
      </c>
      <c r="AF57" s="90">
        <f t="shared" si="21"/>
        <v>1055.7627565116984</v>
      </c>
      <c r="AG57" s="86">
        <f t="shared" si="22"/>
        <v>9362.0359100000005</v>
      </c>
      <c r="AH57" s="85">
        <f t="shared" si="23"/>
        <v>6128</v>
      </c>
      <c r="AI57" s="85">
        <f t="shared" si="24"/>
        <v>6443.3605101321018</v>
      </c>
      <c r="AJ57" s="90">
        <f t="shared" si="25"/>
        <v>6128</v>
      </c>
      <c r="AL57" s="95">
        <f t="shared" si="26"/>
        <v>0</v>
      </c>
      <c r="AM57" s="95">
        <f t="shared" si="27"/>
        <v>0</v>
      </c>
      <c r="AN57" s="95">
        <f t="shared" si="28"/>
        <v>0</v>
      </c>
      <c r="AO57" s="95">
        <f t="shared" si="29"/>
        <v>0</v>
      </c>
      <c r="AP57"/>
      <c r="AQ57" s="95">
        <f t="shared" si="30"/>
        <v>0</v>
      </c>
      <c r="AR57" s="95">
        <f t="shared" si="31"/>
        <v>0</v>
      </c>
      <c r="AS57" s="95">
        <f>Geraetedaten!$B$94*ABS(SIN(RADIANS($A57)))</f>
        <v>47.588617133741899</v>
      </c>
      <c r="AT57" s="95">
        <f>Geraetedaten!$B$94*ABS(COS(RADIANS($A57)))</f>
        <v>146.46270350945363</v>
      </c>
      <c r="AU57" s="95">
        <f>((h_Aw_Sw+Geraetedaten!$B$18)/1000)*(AQ57*AS57+AR57*AT57)/100</f>
        <v>0</v>
      </c>
    </row>
    <row r="58" spans="1:47" ht="13.5" x14ac:dyDescent="0.25">
      <c r="A58" s="16">
        <v>19</v>
      </c>
      <c r="B58" s="16">
        <f t="shared" si="0"/>
        <v>431</v>
      </c>
      <c r="C58" s="19">
        <f t="shared" si="32"/>
        <v>49.004531136759482</v>
      </c>
      <c r="D58" s="17">
        <f t="shared" si="1"/>
        <v>-8697.1207311367598</v>
      </c>
      <c r="E58" s="17">
        <f t="shared" si="2"/>
        <v>-8919.2934811367595</v>
      </c>
      <c r="F58" s="17">
        <f t="shared" si="3"/>
        <v>8304.0159688632411</v>
      </c>
      <c r="G58" s="17">
        <f t="shared" si="4"/>
        <v>9367.8651988632409</v>
      </c>
      <c r="H58" s="17">
        <f t="shared" si="33"/>
        <v>8304.0159688632411</v>
      </c>
      <c r="I58" s="17">
        <f t="shared" si="5"/>
        <v>3252.4467935045782</v>
      </c>
      <c r="J58" s="20">
        <f>(Geraetedaten!$B$152+(Geraetedaten!$B$153*(Geraetedaten!$B$18+d_y_Sw)/1000))*10</f>
        <v>6051.0442000000003</v>
      </c>
      <c r="K58" s="20">
        <f>(Geraetedaten!$B$165+(Geraetedaten!$B$166*(Geraetedaten!$B$18+d_y_Sw)/1000))*10</f>
        <v>10816.164000000001</v>
      </c>
      <c r="L58" s="20">
        <f>(Geraetedaten!$B$158+(Geraetedaten!$B$159*(Geraetedaten!$B$18+d_y_Sw)/1000)-(Geraetedaten!$B$160*I58/1000))*10</f>
        <v>363.03467663230902</v>
      </c>
      <c r="M58" s="20">
        <f>(Geraetedaten!$B$171+(Geraetedaten!$B$172*(Geraetedaten!$B$18+d_y_Sw)/1000)-(Geraetedaten!$B$173*I58/1000))*10</f>
        <v>822.75486069152009</v>
      </c>
      <c r="N58" s="20">
        <f>IF((H58-J58)/(K58-J58)*(Geraetedaten!$B$174-Geraetedaten!$B$161)&lt;Geraetedaten!$B$174,(H58-J58)/(K58-J58)*(Geraetedaten!$B$174-Geraetedaten!$B$161),Geraetedaten!$B$174)</f>
        <v>189.12194139280533</v>
      </c>
      <c r="O58" s="20">
        <f>N58/Geraetedaten!$B$174*(M58-L58)+L58+C58</f>
        <v>629.39714203590802</v>
      </c>
      <c r="P58" s="20">
        <f t="shared" si="6"/>
        <v>203.20159105415203</v>
      </c>
      <c r="Q58" s="21">
        <f>(N58-Geraetedaten!$B$161)/(Geraetedaten!$B$174-Geraetedaten!$B$161)*(Geraetedaten!$B$175-Geraetedaten!$B$162)+Geraetedaten!$B$162</f>
        <v>34.82637775643596</v>
      </c>
      <c r="R58" s="21">
        <f t="shared" si="7"/>
        <v>34.82637775643596</v>
      </c>
      <c r="S58" s="21">
        <f t="shared" si="8"/>
        <v>11.33835953259063</v>
      </c>
      <c r="T58" s="88">
        <f t="shared" si="9"/>
        <v>32.928987089549061</v>
      </c>
      <c r="U58" s="86">
        <f t="shared" si="10"/>
        <v>-8648.1162000000004</v>
      </c>
      <c r="V58" s="85">
        <f t="shared" si="11"/>
        <v>-1141.3067828769733</v>
      </c>
      <c r="W58" s="85">
        <f t="shared" si="12"/>
        <v>-3487.9170380253322</v>
      </c>
      <c r="X58" s="90">
        <f t="shared" si="13"/>
        <v>1141.3067828769733</v>
      </c>
      <c r="Y58" s="86">
        <f t="shared" si="14"/>
        <v>-8870.2889500000001</v>
      </c>
      <c r="Z58" s="85">
        <f t="shared" si="15"/>
        <v>-750</v>
      </c>
      <c r="AA58" s="85">
        <f t="shared" si="16"/>
        <v>-793.21551089000309</v>
      </c>
      <c r="AB58" s="90">
        <f t="shared" si="17"/>
        <v>750</v>
      </c>
      <c r="AC58" s="86">
        <f t="shared" si="18"/>
        <v>8353.0205000000005</v>
      </c>
      <c r="AD58" s="85">
        <f t="shared" si="19"/>
        <v>1055.7627565116984</v>
      </c>
      <c r="AE58" s="85">
        <f t="shared" si="20"/>
        <v>3252.4467935045782</v>
      </c>
      <c r="AF58" s="90">
        <f t="shared" si="21"/>
        <v>1055.7627565116984</v>
      </c>
      <c r="AG58" s="86">
        <f t="shared" si="22"/>
        <v>9416.8697300000003</v>
      </c>
      <c r="AH58" s="85">
        <f t="shared" si="23"/>
        <v>6128</v>
      </c>
      <c r="AI58" s="85">
        <f t="shared" si="24"/>
        <v>6481.0995343119184</v>
      </c>
      <c r="AJ58" s="90">
        <f t="shared" si="25"/>
        <v>6128</v>
      </c>
      <c r="AL58" s="95">
        <f t="shared" si="26"/>
        <v>0</v>
      </c>
      <c r="AM58" s="95">
        <f t="shared" si="27"/>
        <v>0</v>
      </c>
      <c r="AN58" s="95">
        <f t="shared" si="28"/>
        <v>0</v>
      </c>
      <c r="AO58" s="95">
        <f t="shared" si="29"/>
        <v>0</v>
      </c>
      <c r="AP58"/>
      <c r="AQ58" s="95">
        <f t="shared" si="30"/>
        <v>0</v>
      </c>
      <c r="AR58" s="95">
        <f t="shared" si="31"/>
        <v>0</v>
      </c>
      <c r="AS58" s="95">
        <f>Geraetedaten!$B$94*ABS(SIN(RADIANS($A58)))</f>
        <v>50.137495786402134</v>
      </c>
      <c r="AT58" s="95">
        <f>Geraetedaten!$B$94*ABS(COS(RADIANS($A58)))</f>
        <v>145.60986064229479</v>
      </c>
      <c r="AU58" s="95">
        <f>((h_Aw_Sw+Geraetedaten!$B$18)/1000)*(AQ58*AS58+AR58*AT58)/100</f>
        <v>0</v>
      </c>
    </row>
    <row r="59" spans="1:47" ht="13.5" x14ac:dyDescent="0.25">
      <c r="A59" s="16">
        <v>20</v>
      </c>
      <c r="B59" s="16">
        <f t="shared" si="0"/>
        <v>430</v>
      </c>
      <c r="C59" s="19">
        <f t="shared" si="32"/>
        <v>49.875554833930202</v>
      </c>
      <c r="D59" s="17">
        <f t="shared" si="1"/>
        <v>-8284.2369848339313</v>
      </c>
      <c r="E59" s="17">
        <f t="shared" si="2"/>
        <v>-8975.1589848339299</v>
      </c>
      <c r="F59" s="17">
        <f t="shared" si="3"/>
        <v>7900.0727451660696</v>
      </c>
      <c r="G59" s="17">
        <f t="shared" si="4"/>
        <v>9425.3773751660701</v>
      </c>
      <c r="H59" s="17">
        <f t="shared" si="33"/>
        <v>7900.0727451660696</v>
      </c>
      <c r="I59" s="17">
        <f t="shared" si="5"/>
        <v>3095.5010670172946</v>
      </c>
      <c r="J59" s="20">
        <f>(Geraetedaten!$B$152+(Geraetedaten!$B$153*(Geraetedaten!$B$18+d_y_Sw)/1000))*10</f>
        <v>6051.0442000000003</v>
      </c>
      <c r="K59" s="20">
        <f>(Geraetedaten!$B$165+(Geraetedaten!$B$166*(Geraetedaten!$B$18+d_y_Sw)/1000))*10</f>
        <v>10816.164000000001</v>
      </c>
      <c r="L59" s="20">
        <f>(Geraetedaten!$B$158+(Geraetedaten!$B$159*(Geraetedaten!$B$18+d_y_Sw)/1000)-(Geraetedaten!$B$160*I59/1000))*10</f>
        <v>374.54350675562154</v>
      </c>
      <c r="M59" s="20">
        <f>(Geraetedaten!$B$171+(Geraetedaten!$B$172*(Geraetedaten!$B$18+d_y_Sw)/1000)-(Geraetedaten!$B$173*I59/1000))*10</f>
        <v>834.43790057123351</v>
      </c>
      <c r="N59" s="20">
        <f>IF((H59-J59)/(K59-J59)*(Geraetedaten!$B$174-Geraetedaten!$B$161)&lt;Geraetedaten!$B$174,(H59-J59)/(K59-J59)*(Geraetedaten!$B$174-Geraetedaten!$B$161),Geraetedaten!$B$174)</f>
        <v>155.21360408744133</v>
      </c>
      <c r="O59" s="20">
        <f>N59/Geraetedaten!$B$174*(M59-L59)+L59+C59</f>
        <v>602.87372749887732</v>
      </c>
      <c r="P59" s="20">
        <f t="shared" si="6"/>
        <v>200.03518894611125</v>
      </c>
      <c r="Q59" s="21">
        <f>(N59-Geraetedaten!$B$161)/(Geraetedaten!$B$174-Geraetedaten!$B$161)*(Geraetedaten!$B$175-Geraetedaten!$B$162)+Geraetedaten!$B$162</f>
        <v>33.817604721601377</v>
      </c>
      <c r="R59" s="21">
        <f t="shared" si="7"/>
        <v>33.817604721601377</v>
      </c>
      <c r="S59" s="21">
        <f t="shared" si="8"/>
        <v>11.566302013812914</v>
      </c>
      <c r="T59" s="88">
        <f t="shared" si="9"/>
        <v>31.778153609543509</v>
      </c>
      <c r="U59" s="86">
        <f t="shared" si="10"/>
        <v>-8234.3614300000008</v>
      </c>
      <c r="V59" s="85">
        <f t="shared" si="11"/>
        <v>-1141.3067828769733</v>
      </c>
      <c r="W59" s="85">
        <f t="shared" si="12"/>
        <v>-3321.0434333848766</v>
      </c>
      <c r="X59" s="90">
        <f t="shared" si="13"/>
        <v>1141.3067828769733</v>
      </c>
      <c r="Y59" s="86">
        <f t="shared" si="14"/>
        <v>-8925.2834299999995</v>
      </c>
      <c r="Z59" s="85">
        <f t="shared" si="15"/>
        <v>-750</v>
      </c>
      <c r="AA59" s="85">
        <f t="shared" si="16"/>
        <v>-798.13332935693415</v>
      </c>
      <c r="AB59" s="90">
        <f t="shared" si="17"/>
        <v>750</v>
      </c>
      <c r="AC59" s="86">
        <f t="shared" si="18"/>
        <v>7949.9483</v>
      </c>
      <c r="AD59" s="85">
        <f t="shared" si="19"/>
        <v>1055.7627565116984</v>
      </c>
      <c r="AE59" s="85">
        <f t="shared" si="20"/>
        <v>3095.5010670172946</v>
      </c>
      <c r="AF59" s="90">
        <f t="shared" si="21"/>
        <v>1055.7627565116984</v>
      </c>
      <c r="AG59" s="86">
        <f t="shared" si="22"/>
        <v>9475.2529300000006</v>
      </c>
      <c r="AH59" s="85">
        <f t="shared" si="23"/>
        <v>6128</v>
      </c>
      <c r="AI59" s="85">
        <f t="shared" si="24"/>
        <v>6521.2813897323904</v>
      </c>
      <c r="AJ59" s="90">
        <f t="shared" si="25"/>
        <v>6128</v>
      </c>
      <c r="AL59" s="95">
        <f t="shared" si="26"/>
        <v>0</v>
      </c>
      <c r="AM59" s="95">
        <f t="shared" si="27"/>
        <v>0</v>
      </c>
      <c r="AN59" s="95">
        <f t="shared" si="28"/>
        <v>0</v>
      </c>
      <c r="AO59" s="95">
        <f t="shared" si="29"/>
        <v>0</v>
      </c>
      <c r="AP59"/>
      <c r="AQ59" s="95">
        <f t="shared" si="30"/>
        <v>0</v>
      </c>
      <c r="AR59" s="95">
        <f t="shared" si="31"/>
        <v>0</v>
      </c>
      <c r="AS59" s="95">
        <f>Geraetedaten!$B$94*ABS(SIN(RADIANS($A59)))</f>
        <v>52.671102072152983</v>
      </c>
      <c r="AT59" s="95">
        <f>Geraetedaten!$B$94*ABS(COS(RADIANS($A59)))</f>
        <v>144.7126636010299</v>
      </c>
      <c r="AU59" s="95">
        <f>((h_Aw_Sw+Geraetedaten!$B$18)/1000)*(AQ59*AS59+AR59*AT59)/100</f>
        <v>0</v>
      </c>
    </row>
    <row r="60" spans="1:47" ht="13.5" x14ac:dyDescent="0.25">
      <c r="A60" s="16">
        <v>21</v>
      </c>
      <c r="B60" s="16">
        <f t="shared" si="0"/>
        <v>429</v>
      </c>
      <c r="C60" s="19">
        <f t="shared" si="32"/>
        <v>50.73138595394316</v>
      </c>
      <c r="D60" s="17">
        <f t="shared" si="1"/>
        <v>-7911.406305953944</v>
      </c>
      <c r="E60" s="17">
        <f t="shared" si="2"/>
        <v>-9034.4490559539427</v>
      </c>
      <c r="F60" s="17">
        <f t="shared" si="3"/>
        <v>7535.4586940460567</v>
      </c>
      <c r="G60" s="17">
        <f t="shared" si="4"/>
        <v>9486.556464046058</v>
      </c>
      <c r="H60" s="17">
        <f t="shared" si="33"/>
        <v>7535.4586940460567</v>
      </c>
      <c r="I60" s="17">
        <f t="shared" si="5"/>
        <v>2953.8631683101667</v>
      </c>
      <c r="J60" s="20">
        <f>(Geraetedaten!$B$152+(Geraetedaten!$B$153*(Geraetedaten!$B$18+d_y_Sw)/1000))*10</f>
        <v>6051.0442000000003</v>
      </c>
      <c r="K60" s="20">
        <f>(Geraetedaten!$B$165+(Geraetedaten!$B$166*(Geraetedaten!$B$18+d_y_Sw)/1000))*10</f>
        <v>10816.164000000001</v>
      </c>
      <c r="L60" s="20">
        <f>(Geraetedaten!$B$158+(Geraetedaten!$B$159*(Geraetedaten!$B$18+d_y_Sw)/1000)-(Geraetedaten!$B$160*I60/1000))*10</f>
        <v>384.92981386781526</v>
      </c>
      <c r="M60" s="20">
        <f>(Geraetedaten!$B$171+(Geraetedaten!$B$172*(Geraetedaten!$B$18+d_y_Sw)/1000)-(Geraetedaten!$B$173*I60/1000))*10</f>
        <v>844.98142575099212</v>
      </c>
      <c r="N60" s="20">
        <f>IF((H60-J60)/(K60-J60)*(Geraetedaten!$B$174-Geraetedaten!$B$161)&lt;Geraetedaten!$B$174,(H60-J60)/(K60-J60)*(Geraetedaten!$B$174-Geraetedaten!$B$161),Geraetedaten!$B$174)</f>
        <v>124.60668829741124</v>
      </c>
      <c r="O60" s="20">
        <f>N60/Geraetedaten!$B$174*(M60-L60)+L60+C60</f>
        <v>578.97496932837998</v>
      </c>
      <c r="P60" s="20">
        <f t="shared" si="6"/>
        <v>197.03698818060184</v>
      </c>
      <c r="Q60" s="21">
        <f>(N60-Geraetedaten!$B$161)/(Geraetedaten!$B$174-Geraetedaten!$B$161)*(Geraetedaten!$B$175-Geraetedaten!$B$162)+Geraetedaten!$B$162</f>
        <v>32.907048976847982</v>
      </c>
      <c r="R60" s="21">
        <f t="shared" si="7"/>
        <v>32.907048976847982</v>
      </c>
      <c r="S60" s="21">
        <f t="shared" si="8"/>
        <v>11.792831667419783</v>
      </c>
      <c r="T60" s="88">
        <f t="shared" si="9"/>
        <v>30.721376818570047</v>
      </c>
      <c r="U60" s="86">
        <f t="shared" si="10"/>
        <v>-7860.6749200000004</v>
      </c>
      <c r="V60" s="85">
        <f t="shared" si="11"/>
        <v>-1141.3067828769733</v>
      </c>
      <c r="W60" s="85">
        <f t="shared" si="12"/>
        <v>-3170.3299684678964</v>
      </c>
      <c r="X60" s="90">
        <f t="shared" si="13"/>
        <v>1141.3067828769733</v>
      </c>
      <c r="Y60" s="86">
        <f t="shared" si="14"/>
        <v>-8983.71767</v>
      </c>
      <c r="Z60" s="85">
        <f t="shared" si="15"/>
        <v>-750</v>
      </c>
      <c r="AA60" s="85">
        <f t="shared" si="16"/>
        <v>-803.35874522777181</v>
      </c>
      <c r="AB60" s="90">
        <f t="shared" si="17"/>
        <v>750</v>
      </c>
      <c r="AC60" s="86">
        <f t="shared" si="18"/>
        <v>7586.1900800000003</v>
      </c>
      <c r="AD60" s="85">
        <f t="shared" si="19"/>
        <v>1055.7627565116984</v>
      </c>
      <c r="AE60" s="85">
        <f t="shared" si="20"/>
        <v>2953.8631683101667</v>
      </c>
      <c r="AF60" s="90">
        <f t="shared" si="21"/>
        <v>1055.7627565116984</v>
      </c>
      <c r="AG60" s="86">
        <f t="shared" si="22"/>
        <v>9537.2878500000006</v>
      </c>
      <c r="AH60" s="85">
        <f t="shared" si="23"/>
        <v>6128</v>
      </c>
      <c r="AI60" s="85">
        <f t="shared" si="24"/>
        <v>6563.9765210077139</v>
      </c>
      <c r="AJ60" s="90">
        <f t="shared" si="25"/>
        <v>6128</v>
      </c>
      <c r="AL60" s="95">
        <f t="shared" si="26"/>
        <v>0</v>
      </c>
      <c r="AM60" s="95">
        <f t="shared" si="27"/>
        <v>0</v>
      </c>
      <c r="AN60" s="95">
        <f t="shared" si="28"/>
        <v>0</v>
      </c>
      <c r="AO60" s="95">
        <f t="shared" si="29"/>
        <v>0</v>
      </c>
      <c r="AP60"/>
      <c r="AQ60" s="95">
        <f t="shared" si="30"/>
        <v>0</v>
      </c>
      <c r="AR60" s="95">
        <f t="shared" si="31"/>
        <v>0</v>
      </c>
      <c r="AS60" s="95">
        <f>Geraetedaten!$B$94*ABS(SIN(RADIANS($A60)))</f>
        <v>55.18866422997624</v>
      </c>
      <c r="AT60" s="95">
        <f>Geraetedaten!$B$94*ABS(COS(RADIANS($A60)))</f>
        <v>143.77138568056907</v>
      </c>
      <c r="AU60" s="95">
        <f>((h_Aw_Sw+Geraetedaten!$B$18)/1000)*(AQ60*AS60+AR60*AT60)/100</f>
        <v>0</v>
      </c>
    </row>
    <row r="61" spans="1:47" ht="13.5" x14ac:dyDescent="0.25">
      <c r="A61" s="16">
        <v>22</v>
      </c>
      <c r="B61" s="16">
        <f t="shared" si="0"/>
        <v>428</v>
      </c>
      <c r="C61" s="19">
        <f t="shared" si="32"/>
        <v>51.57176380234857</v>
      </c>
      <c r="D61" s="17">
        <f t="shared" si="1"/>
        <v>-7573.1962938023489</v>
      </c>
      <c r="E61" s="17">
        <f t="shared" si="2"/>
        <v>-9097.267433802348</v>
      </c>
      <c r="F61" s="17">
        <f t="shared" si="3"/>
        <v>7204.8055261976515</v>
      </c>
      <c r="G61" s="17">
        <f t="shared" si="4"/>
        <v>9551.5131161976515</v>
      </c>
      <c r="H61" s="17">
        <f t="shared" si="33"/>
        <v>7204.8055261976515</v>
      </c>
      <c r="I61" s="17">
        <f t="shared" si="5"/>
        <v>2825.4427293769127</v>
      </c>
      <c r="J61" s="20">
        <f>(Geraetedaten!$B$152+(Geraetedaten!$B$153*(Geraetedaten!$B$18+d_y_Sw)/1000))*10</f>
        <v>6051.0442000000003</v>
      </c>
      <c r="K61" s="20">
        <f>(Geraetedaten!$B$165+(Geraetedaten!$B$166*(Geraetedaten!$B$18+d_y_Sw)/1000))*10</f>
        <v>10816.164000000001</v>
      </c>
      <c r="L61" s="20">
        <f>(Geraetedaten!$B$158+(Geraetedaten!$B$159*(Geraetedaten!$B$18+d_y_Sw)/1000)-(Geraetedaten!$B$160*I61/1000))*10</f>
        <v>394.34688465479076</v>
      </c>
      <c r="M61" s="20">
        <f>(Geraetedaten!$B$171+(Geraetedaten!$B$172*(Geraetedaten!$B$18+d_y_Sw)/1000)-(Geraetedaten!$B$173*I61/1000))*10</f>
        <v>854.54104322518356</v>
      </c>
      <c r="N61" s="20">
        <f>IF((H61-J61)/(K61-J61)*(Geraetedaten!$B$174-Geraetedaten!$B$161)&lt;Geraetedaten!$B$174,(H61-J61)/(K61-J61)*(Geraetedaten!$B$174-Geraetedaten!$B$161),Geraetedaten!$B$174)</f>
        <v>96.850561968884904</v>
      </c>
      <c r="O61" s="20">
        <f>N61/Geraetedaten!$B$174*(M61-L61)+L61+C61</f>
        <v>557.34380563799095</v>
      </c>
      <c r="P61" s="20">
        <f t="shared" si="6"/>
        <v>194.19644713940914</v>
      </c>
      <c r="Q61" s="21">
        <f>(N61-Geraetedaten!$B$161)/(Geraetedaten!$B$174-Geraetedaten!$B$161)*(Geraetedaten!$B$175-Geraetedaten!$B$162)+Geraetedaten!$B$162</f>
        <v>32.081304218574324</v>
      </c>
      <c r="R61" s="21">
        <f t="shared" si="7"/>
        <v>32.081304218574324</v>
      </c>
      <c r="S61" s="21">
        <f t="shared" si="8"/>
        <v>12.017868085659655</v>
      </c>
      <c r="T61" s="88">
        <f t="shared" si="9"/>
        <v>29.745267304907479</v>
      </c>
      <c r="U61" s="86">
        <f t="shared" si="10"/>
        <v>-7521.62453</v>
      </c>
      <c r="V61" s="85">
        <f t="shared" si="11"/>
        <v>-1141.3067828769733</v>
      </c>
      <c r="W61" s="85">
        <f t="shared" si="12"/>
        <v>-3033.5857820907881</v>
      </c>
      <c r="X61" s="90">
        <f t="shared" si="13"/>
        <v>1141.3067828769733</v>
      </c>
      <c r="Y61" s="86">
        <f t="shared" si="14"/>
        <v>-9045.6956699999992</v>
      </c>
      <c r="Z61" s="85">
        <f t="shared" si="15"/>
        <v>-750</v>
      </c>
      <c r="AA61" s="85">
        <f t="shared" si="16"/>
        <v>-808.90105700818754</v>
      </c>
      <c r="AB61" s="90">
        <f t="shared" si="17"/>
        <v>750</v>
      </c>
      <c r="AC61" s="86">
        <f t="shared" si="18"/>
        <v>7256.3772900000004</v>
      </c>
      <c r="AD61" s="85">
        <f t="shared" si="19"/>
        <v>1055.7627565116984</v>
      </c>
      <c r="AE61" s="85">
        <f t="shared" si="20"/>
        <v>2825.4427293769127</v>
      </c>
      <c r="AF61" s="90">
        <f t="shared" si="21"/>
        <v>1055.7627565116984</v>
      </c>
      <c r="AG61" s="86">
        <f t="shared" si="22"/>
        <v>9603.0848800000003</v>
      </c>
      <c r="AH61" s="85">
        <f t="shared" si="23"/>
        <v>6128</v>
      </c>
      <c r="AI61" s="85">
        <f t="shared" si="24"/>
        <v>6609.2609031282309</v>
      </c>
      <c r="AJ61" s="90">
        <f t="shared" si="25"/>
        <v>6128</v>
      </c>
      <c r="AL61" s="95">
        <f t="shared" si="26"/>
        <v>0</v>
      </c>
      <c r="AM61" s="95">
        <f t="shared" si="27"/>
        <v>0</v>
      </c>
      <c r="AN61" s="95">
        <f t="shared" si="28"/>
        <v>0</v>
      </c>
      <c r="AO61" s="95">
        <f t="shared" si="29"/>
        <v>0</v>
      </c>
      <c r="AP61"/>
      <c r="AQ61" s="95">
        <f t="shared" si="30"/>
        <v>0</v>
      </c>
      <c r="AR61" s="95">
        <f t="shared" si="31"/>
        <v>0</v>
      </c>
      <c r="AS61" s="95">
        <f>Geraetedaten!$B$94*ABS(SIN(RADIANS($A61)))</f>
        <v>57.689415386050449</v>
      </c>
      <c r="AT61" s="95">
        <f>Geraetedaten!$B$94*ABS(COS(RADIANS($A61)))</f>
        <v>142.78631360328527</v>
      </c>
      <c r="AU61" s="95">
        <f>((h_Aw_Sw+Geraetedaten!$B$18)/1000)*(AQ61*AS61+AR61*AT61)/100</f>
        <v>0</v>
      </c>
    </row>
    <row r="62" spans="1:47" ht="13.5" x14ac:dyDescent="0.25">
      <c r="A62" s="16">
        <v>23</v>
      </c>
      <c r="B62" s="16">
        <f t="shared" si="0"/>
        <v>427</v>
      </c>
      <c r="C62" s="19">
        <f t="shared" si="32"/>
        <v>52.396432391912896</v>
      </c>
      <c r="D62" s="17">
        <f t="shared" si="1"/>
        <v>-7265.1155823919125</v>
      </c>
      <c r="E62" s="17">
        <f t="shared" si="2"/>
        <v>-9163.7258823919128</v>
      </c>
      <c r="F62" s="17">
        <f t="shared" si="3"/>
        <v>6903.681347608087</v>
      </c>
      <c r="G62" s="17">
        <f t="shared" si="4"/>
        <v>9620.3665276080865</v>
      </c>
      <c r="H62" s="17">
        <f t="shared" si="33"/>
        <v>6903.681347608087</v>
      </c>
      <c r="I62" s="17">
        <f t="shared" si="5"/>
        <v>2708.5139884404948</v>
      </c>
      <c r="J62" s="20">
        <f>(Geraetedaten!$B$152+(Geraetedaten!$B$153*(Geraetedaten!$B$18+d_y_Sw)/1000))*10</f>
        <v>6051.0442000000003</v>
      </c>
      <c r="K62" s="20">
        <f>(Geraetedaten!$B$165+(Geraetedaten!$B$166*(Geraetedaten!$B$18+d_y_Sw)/1000))*10</f>
        <v>10816.164000000001</v>
      </c>
      <c r="L62" s="20">
        <f>(Geraetedaten!$B$158+(Geraetedaten!$B$159*(Geraetedaten!$B$18+d_y_Sw)/1000)-(Geraetedaten!$B$160*I62/1000))*10</f>
        <v>402.92126922765829</v>
      </c>
      <c r="M62" s="20">
        <f>(Geraetedaten!$B$171+(Geraetedaten!$B$172*(Geraetedaten!$B$18+d_y_Sw)/1000)-(Geraetedaten!$B$173*I62/1000))*10</f>
        <v>863.24521870049034</v>
      </c>
      <c r="N62" s="20">
        <f>IF((H62-J62)/(K62-J62)*(Geraetedaten!$B$174-Geraetedaten!$B$161)&lt;Geraetedaten!$B$174,(H62-J62)/(K62-J62)*(Geraetedaten!$B$174-Geraetedaten!$B$161),Geraetedaten!$B$174)</f>
        <v>71.573197182415996</v>
      </c>
      <c r="O62" s="20">
        <f>N62/Geraetedaten!$B$174*(M62-L62)+L62+C62</f>
        <v>537.68484362808999</v>
      </c>
      <c r="P62" s="20">
        <f t="shared" si="6"/>
        <v>191.50370956708269</v>
      </c>
      <c r="Q62" s="21">
        <f>(N62-Geraetedaten!$B$161)/(Geraetedaten!$B$174-Geraetedaten!$B$161)*(Geraetedaten!$B$175-Geraetedaten!$B$162)+Geraetedaten!$B$162</f>
        <v>31.329302616176875</v>
      </c>
      <c r="R62" s="21">
        <f t="shared" si="7"/>
        <v>31.329302616176875</v>
      </c>
      <c r="S62" s="21">
        <f t="shared" si="8"/>
        <v>12.241333766000748</v>
      </c>
      <c r="T62" s="88">
        <f t="shared" si="9"/>
        <v>28.838775113471051</v>
      </c>
      <c r="U62" s="86">
        <f t="shared" si="10"/>
        <v>-7212.7191499999999</v>
      </c>
      <c r="V62" s="85">
        <f t="shared" si="11"/>
        <v>-1141.3067828769733</v>
      </c>
      <c r="W62" s="85">
        <f t="shared" si="12"/>
        <v>-2908.999534254121</v>
      </c>
      <c r="X62" s="90">
        <f t="shared" si="13"/>
        <v>1141.3067828769733</v>
      </c>
      <c r="Y62" s="86">
        <f t="shared" si="14"/>
        <v>-9111.3294499999993</v>
      </c>
      <c r="Z62" s="85">
        <f t="shared" si="15"/>
        <v>-750</v>
      </c>
      <c r="AA62" s="85">
        <f t="shared" si="16"/>
        <v>-814.77028305397221</v>
      </c>
      <c r="AB62" s="90">
        <f t="shared" si="17"/>
        <v>750</v>
      </c>
      <c r="AC62" s="86">
        <f t="shared" si="18"/>
        <v>6956.0777799999996</v>
      </c>
      <c r="AD62" s="85">
        <f t="shared" si="19"/>
        <v>1055.7627565116984</v>
      </c>
      <c r="AE62" s="85">
        <f t="shared" si="20"/>
        <v>2708.5139884404948</v>
      </c>
      <c r="AF62" s="90">
        <f t="shared" si="21"/>
        <v>1055.7627565116984</v>
      </c>
      <c r="AG62" s="86">
        <f t="shared" si="22"/>
        <v>9672.76296</v>
      </c>
      <c r="AH62" s="85">
        <f t="shared" si="23"/>
        <v>6128</v>
      </c>
      <c r="AI62" s="85">
        <f t="shared" si="24"/>
        <v>6657.216392739655</v>
      </c>
      <c r="AJ62" s="90">
        <f t="shared" si="25"/>
        <v>6128</v>
      </c>
      <c r="AL62" s="95">
        <f t="shared" si="26"/>
        <v>0</v>
      </c>
      <c r="AM62" s="95">
        <f t="shared" si="27"/>
        <v>0</v>
      </c>
      <c r="AN62" s="95">
        <f t="shared" si="28"/>
        <v>0</v>
      </c>
      <c r="AO62" s="95">
        <f t="shared" si="29"/>
        <v>0</v>
      </c>
      <c r="AP62"/>
      <c r="AQ62" s="95">
        <f t="shared" si="30"/>
        <v>0</v>
      </c>
      <c r="AR62" s="95">
        <f t="shared" si="31"/>
        <v>0</v>
      </c>
      <c r="AS62" s="95">
        <f>Geraetedaten!$B$94*ABS(SIN(RADIANS($A62)))</f>
        <v>60.172593787348163</v>
      </c>
      <c r="AT62" s="95">
        <f>Geraetedaten!$B$94*ABS(COS(RADIANS($A62)))</f>
        <v>141.75774743167582</v>
      </c>
      <c r="AU62" s="95">
        <f>((h_Aw_Sw+Geraetedaten!$B$18)/1000)*(AQ62*AS62+AR62*AT62)/100</f>
        <v>0</v>
      </c>
    </row>
    <row r="63" spans="1:47" ht="13.5" x14ac:dyDescent="0.25">
      <c r="A63" s="16">
        <v>24</v>
      </c>
      <c r="B63" s="16">
        <f t="shared" si="0"/>
        <v>426</v>
      </c>
      <c r="C63" s="19">
        <f t="shared" si="32"/>
        <v>53.205140520595009</v>
      </c>
      <c r="D63" s="17">
        <f t="shared" si="1"/>
        <v>-6983.4185605205948</v>
      </c>
      <c r="E63" s="17">
        <f t="shared" si="2"/>
        <v>-9233.9447605205951</v>
      </c>
      <c r="F63" s="17">
        <f t="shared" si="3"/>
        <v>6628.3951094794056</v>
      </c>
      <c r="G63" s="17">
        <f t="shared" si="4"/>
        <v>9693.244999479406</v>
      </c>
      <c r="H63" s="17">
        <f t="shared" si="33"/>
        <v>6628.3951094794056</v>
      </c>
      <c r="I63" s="17">
        <f t="shared" si="5"/>
        <v>2601.639647900141</v>
      </c>
      <c r="J63" s="20">
        <f>(Geraetedaten!$B$152+(Geraetedaten!$B$153*(Geraetedaten!$B$18+d_y_Sw)/1000))*10</f>
        <v>6051.0442000000003</v>
      </c>
      <c r="K63" s="20">
        <f>(Geraetedaten!$B$165+(Geraetedaten!$B$166*(Geraetedaten!$B$18+d_y_Sw)/1000))*10</f>
        <v>10816.164000000001</v>
      </c>
      <c r="L63" s="20">
        <f>(Geraetedaten!$B$158+(Geraetedaten!$B$159*(Geraetedaten!$B$18+d_y_Sw)/1000)-(Geraetedaten!$B$160*I63/1000))*10</f>
        <v>410.75836461948245</v>
      </c>
      <c r="M63" s="20">
        <f>(Geraetedaten!$B$171+(Geraetedaten!$B$172*(Geraetedaten!$B$18+d_y_Sw)/1000)-(Geraetedaten!$B$173*I63/1000))*10</f>
        <v>871.20094461031442</v>
      </c>
      <c r="N63" s="20">
        <f>IF((H63-J63)/(K63-J63)*(Geraetedaten!$B$174-Geraetedaten!$B$161)&lt;Geraetedaten!$B$174,(H63-J63)/(K63-J63)*(Geraetedaten!$B$174-Geraetedaten!$B$161),Geraetedaten!$B$174)</f>
        <v>48.464755029194045</v>
      </c>
      <c r="O63" s="20">
        <f>N63/Geraetedaten!$B$174*(M63-L63)+L63+C63</f>
        <v>519.75159725074184</v>
      </c>
      <c r="P63" s="20">
        <f t="shared" si="6"/>
        <v>188.94957635556599</v>
      </c>
      <c r="Q63" s="21">
        <f>(N63-Geraetedaten!$B$161)/(Geraetedaten!$B$174-Geraetedaten!$B$161)*(Geraetedaten!$B$175-Geraetedaten!$B$162)+Geraetedaten!$B$162</f>
        <v>30.641826462118523</v>
      </c>
      <c r="R63" s="21">
        <f t="shared" si="7"/>
        <v>30.641826462118523</v>
      </c>
      <c r="S63" s="21">
        <f t="shared" si="8"/>
        <v>12.463153632913311</v>
      </c>
      <c r="T63" s="88">
        <f t="shared" si="9"/>
        <v>27.992701378341224</v>
      </c>
      <c r="U63" s="86">
        <f t="shared" si="10"/>
        <v>-6930.21342</v>
      </c>
      <c r="V63" s="85">
        <f t="shared" si="11"/>
        <v>-1141.3067828769733</v>
      </c>
      <c r="W63" s="85">
        <f t="shared" si="12"/>
        <v>-2795.0606699897985</v>
      </c>
      <c r="X63" s="90">
        <f t="shared" si="13"/>
        <v>1141.3067828769733</v>
      </c>
      <c r="Y63" s="86">
        <f t="shared" si="14"/>
        <v>-9180.7396200000003</v>
      </c>
      <c r="Z63" s="85">
        <f t="shared" si="15"/>
        <v>-750</v>
      </c>
      <c r="AA63" s="85">
        <f t="shared" si="16"/>
        <v>-820.97720887953506</v>
      </c>
      <c r="AB63" s="90">
        <f t="shared" si="17"/>
        <v>750</v>
      </c>
      <c r="AC63" s="86">
        <f t="shared" si="18"/>
        <v>6681.6002500000004</v>
      </c>
      <c r="AD63" s="85">
        <f t="shared" si="19"/>
        <v>1055.7627565116984</v>
      </c>
      <c r="AE63" s="85">
        <f t="shared" si="20"/>
        <v>2601.639647900141</v>
      </c>
      <c r="AF63" s="90">
        <f t="shared" si="21"/>
        <v>1055.7627565116984</v>
      </c>
      <c r="AG63" s="86">
        <f t="shared" si="22"/>
        <v>9746.4501400000008</v>
      </c>
      <c r="AH63" s="85">
        <f t="shared" si="23"/>
        <v>6128</v>
      </c>
      <c r="AI63" s="85">
        <f t="shared" si="24"/>
        <v>6707.931114685055</v>
      </c>
      <c r="AJ63" s="90">
        <f t="shared" si="25"/>
        <v>6128</v>
      </c>
      <c r="AL63" s="95">
        <f t="shared" si="26"/>
        <v>0</v>
      </c>
      <c r="AM63" s="95">
        <f t="shared" si="27"/>
        <v>0</v>
      </c>
      <c r="AN63" s="95">
        <f t="shared" si="28"/>
        <v>0</v>
      </c>
      <c r="AO63" s="95">
        <f t="shared" si="29"/>
        <v>0</v>
      </c>
      <c r="AP63"/>
      <c r="AQ63" s="95">
        <f t="shared" si="30"/>
        <v>0</v>
      </c>
      <c r="AR63" s="95">
        <f t="shared" si="31"/>
        <v>0</v>
      </c>
      <c r="AS63" s="95">
        <f>Geraetedaten!$B$94*ABS(SIN(RADIANS($A63)))</f>
        <v>62.637443033673229</v>
      </c>
      <c r="AT63" s="95">
        <f>Geraetedaten!$B$94*ABS(COS(RADIANS($A63)))</f>
        <v>140.68600047696054</v>
      </c>
      <c r="AU63" s="95">
        <f>((h_Aw_Sw+Geraetedaten!$B$18)/1000)*(AQ63*AS63+AR63*AT63)/100</f>
        <v>0</v>
      </c>
    </row>
    <row r="64" spans="1:47" ht="13.5" x14ac:dyDescent="0.25">
      <c r="A64" s="16">
        <v>25</v>
      </c>
      <c r="B64" s="16">
        <f t="shared" si="0"/>
        <v>425</v>
      </c>
      <c r="C64" s="19">
        <f t="shared" si="32"/>
        <v>53.997641848064774</v>
      </c>
      <c r="D64" s="17">
        <f t="shared" si="1"/>
        <v>-6724.956871848065</v>
      </c>
      <c r="E64" s="17">
        <f t="shared" si="2"/>
        <v>-9308.0536018480652</v>
      </c>
      <c r="F64" s="17">
        <f t="shared" si="3"/>
        <v>6375.8480881519354</v>
      </c>
      <c r="G64" s="17">
        <f t="shared" si="4"/>
        <v>9770.286538151935</v>
      </c>
      <c r="H64" s="17">
        <f t="shared" si="33"/>
        <v>6375.8480881519354</v>
      </c>
      <c r="I64" s="17">
        <f t="shared" si="5"/>
        <v>2503.613049243655</v>
      </c>
      <c r="J64" s="20">
        <f>(Geraetedaten!$B$152+(Geraetedaten!$B$153*(Geraetedaten!$B$18+d_y_Sw)/1000))*10</f>
        <v>6051.0442000000003</v>
      </c>
      <c r="K64" s="20">
        <f>(Geraetedaten!$B$165+(Geraetedaten!$B$166*(Geraetedaten!$B$18+d_y_Sw)/1000))*10</f>
        <v>10816.164000000001</v>
      </c>
      <c r="L64" s="20">
        <f>(Geraetedaten!$B$158+(Geraetedaten!$B$159*(Geraetedaten!$B$18+d_y_Sw)/1000)-(Geraetedaten!$B$160*I64/1000))*10</f>
        <v>417.94665509896254</v>
      </c>
      <c r="M64" s="20">
        <f>(Geraetedaten!$B$171+(Geraetedaten!$B$172*(Geraetedaten!$B$18+d_y_Sw)/1000)-(Geraetedaten!$B$173*I64/1000))*10</f>
        <v>878.49804461430324</v>
      </c>
      <c r="N64" s="20">
        <f>IF((H64-J64)/(K64-J64)*(Geraetedaten!$B$174-Geraetedaten!$B$161)&lt;Geraetedaten!$B$174,(H64-J64)/(K64-J64)*(Geraetedaten!$B$174-Geraetedaten!$B$161),Geraetedaten!$B$174)</f>
        <v>27.265118341992999</v>
      </c>
      <c r="O64" s="20">
        <f>N64/Geraetedaten!$B$174*(M64-L64)+L64+C64</f>
        <v>503.33676729129002</v>
      </c>
      <c r="P64" s="20">
        <f t="shared" si="6"/>
        <v>186.52547047319098</v>
      </c>
      <c r="Q64" s="21">
        <f>(N64-Geraetedaten!$B$161)/(Geraetedaten!$B$174-Geraetedaten!$B$161)*(Geraetedaten!$B$175-Geraetedaten!$B$162)+Geraetedaten!$B$162</f>
        <v>30.01113727067429</v>
      </c>
      <c r="R64" s="21">
        <f t="shared" si="7"/>
        <v>30.01113727067429</v>
      </c>
      <c r="S64" s="21">
        <f t="shared" si="8"/>
        <v>12.683254666193887</v>
      </c>
      <c r="T64" s="88">
        <f t="shared" si="9"/>
        <v>27.199327406237941</v>
      </c>
      <c r="U64" s="86">
        <f t="shared" si="10"/>
        <v>-6670.9592300000004</v>
      </c>
      <c r="V64" s="85">
        <f t="shared" si="11"/>
        <v>-1141.3067828769733</v>
      </c>
      <c r="W64" s="85">
        <f t="shared" si="12"/>
        <v>-2690.4995047875436</v>
      </c>
      <c r="X64" s="90">
        <f t="shared" si="13"/>
        <v>1141.3067828769733</v>
      </c>
      <c r="Y64" s="86">
        <f t="shared" si="14"/>
        <v>-9254.0559599999997</v>
      </c>
      <c r="Z64" s="85">
        <f t="shared" si="15"/>
        <v>-750</v>
      </c>
      <c r="AA64" s="85">
        <f t="shared" si="16"/>
        <v>-827.53343922186889</v>
      </c>
      <c r="AB64" s="90">
        <f t="shared" si="17"/>
        <v>750</v>
      </c>
      <c r="AC64" s="86">
        <f t="shared" si="18"/>
        <v>6429.84573</v>
      </c>
      <c r="AD64" s="85">
        <f t="shared" si="19"/>
        <v>1055.7627565116984</v>
      </c>
      <c r="AE64" s="85">
        <f t="shared" si="20"/>
        <v>2503.613049243655</v>
      </c>
      <c r="AF64" s="90">
        <f t="shared" si="21"/>
        <v>1055.7627565116984</v>
      </c>
      <c r="AG64" s="86">
        <f t="shared" si="22"/>
        <v>9824.2841800000006</v>
      </c>
      <c r="AH64" s="85">
        <f t="shared" si="23"/>
        <v>6128</v>
      </c>
      <c r="AI64" s="85">
        <f t="shared" si="24"/>
        <v>6761.4998874021494</v>
      </c>
      <c r="AJ64" s="90">
        <f t="shared" si="25"/>
        <v>6128</v>
      </c>
      <c r="AL64" s="95">
        <f t="shared" si="26"/>
        <v>0</v>
      </c>
      <c r="AM64" s="95">
        <f t="shared" si="27"/>
        <v>0</v>
      </c>
      <c r="AN64" s="95">
        <f t="shared" si="28"/>
        <v>0</v>
      </c>
      <c r="AO64" s="95">
        <f t="shared" si="29"/>
        <v>0</v>
      </c>
      <c r="AP64"/>
      <c r="AQ64" s="95">
        <f t="shared" si="30"/>
        <v>0</v>
      </c>
      <c r="AR64" s="95">
        <f t="shared" si="31"/>
        <v>0</v>
      </c>
      <c r="AS64" s="95">
        <f>Geraetedaten!$B$94*ABS(SIN(RADIANS($A64)))</f>
        <v>65.083212308067715</v>
      </c>
      <c r="AT64" s="95">
        <f>Geraetedaten!$B$94*ABS(COS(RADIANS($A64)))</f>
        <v>139.57139920364409</v>
      </c>
      <c r="AU64" s="95">
        <f>((h_Aw_Sw+Geraetedaten!$B$18)/1000)*(AQ64*AS64+AR64*AT64)/100</f>
        <v>0</v>
      </c>
    </row>
    <row r="65" spans="1:47" ht="13.5" x14ac:dyDescent="0.25">
      <c r="A65" s="16">
        <v>26</v>
      </c>
      <c r="B65" s="16">
        <f t="shared" si="0"/>
        <v>424</v>
      </c>
      <c r="C65" s="19">
        <f t="shared" si="32"/>
        <v>54.773694970740721</v>
      </c>
      <c r="D65" s="17">
        <f t="shared" si="1"/>
        <v>-6487.0649749707409</v>
      </c>
      <c r="E65" s="17">
        <f t="shared" si="2"/>
        <v>-9386.1917349707419</v>
      </c>
      <c r="F65" s="17">
        <f t="shared" si="3"/>
        <v>6143.4197150292594</v>
      </c>
      <c r="G65" s="17">
        <f t="shared" si="4"/>
        <v>9851.6395650292579</v>
      </c>
      <c r="H65" s="17">
        <f t="shared" si="33"/>
        <v>6143.4197150292594</v>
      </c>
      <c r="I65" s="17">
        <f t="shared" si="5"/>
        <v>2413.4137223540974</v>
      </c>
      <c r="J65" s="20">
        <f>(Geraetedaten!$B$152+(Geraetedaten!$B$153*(Geraetedaten!$B$18+d_y_Sw)/1000))*10</f>
        <v>6051.0442000000003</v>
      </c>
      <c r="K65" s="20">
        <f>(Geraetedaten!$B$165+(Geraetedaten!$B$166*(Geraetedaten!$B$18+d_y_Sw)/1000))*10</f>
        <v>10816.164000000001</v>
      </c>
      <c r="L65" s="20">
        <f>(Geraetedaten!$B$158+(Geraetedaten!$B$159*(Geraetedaten!$B$18+d_y_Sw)/1000)-(Geraetedaten!$B$160*I65/1000))*10</f>
        <v>424.56097173977383</v>
      </c>
      <c r="M65" s="20">
        <f>(Geraetedaten!$B$171+(Geraetedaten!$B$172*(Geraetedaten!$B$18+d_y_Sw)/1000)-(Geraetedaten!$B$173*I65/1000))*10</f>
        <v>885.21248250796191</v>
      </c>
      <c r="N65" s="20">
        <f>IF((H65-J65)/(K65-J65)*(Geraetedaten!$B$174-Geraetedaten!$B$161)&lt;Geraetedaten!$B$174,(H65-J65)/(K65-J65)*(Geraetedaten!$B$174-Geraetedaten!$B$161),Geraetedaten!$B$174)</f>
        <v>7.7543078794584828</v>
      </c>
      <c r="O65" s="20">
        <f>N65/Geraetedaten!$B$174*(M65-L65)+L65+C65</f>
        <v>488.26475080960012</v>
      </c>
      <c r="P65" s="20">
        <f t="shared" si="6"/>
        <v>184.22339885733658</v>
      </c>
      <c r="Q65" s="21">
        <f>(N65-Geraetedaten!$B$161)/(Geraetedaten!$B$174-Geraetedaten!$B$161)*(Geraetedaten!$B$175-Geraetedaten!$B$162)+Geraetedaten!$B$162</f>
        <v>29.430690659413891</v>
      </c>
      <c r="R65" s="21">
        <f t="shared" si="7"/>
        <v>29.430690659413891</v>
      </c>
      <c r="S65" s="21">
        <f t="shared" si="8"/>
        <v>12.901565615161855</v>
      </c>
      <c r="T65" s="88">
        <f t="shared" si="9"/>
        <v>26.45212954315371</v>
      </c>
      <c r="U65" s="86">
        <f t="shared" si="10"/>
        <v>-6432.2912800000004</v>
      </c>
      <c r="V65" s="85">
        <f t="shared" si="11"/>
        <v>-1141.3067828769733</v>
      </c>
      <c r="W65" s="85">
        <f t="shared" si="12"/>
        <v>-2594.2410836656954</v>
      </c>
      <c r="X65" s="90">
        <f t="shared" si="13"/>
        <v>1141.3067828769733</v>
      </c>
      <c r="Y65" s="86">
        <f t="shared" si="14"/>
        <v>-9331.4180400000005</v>
      </c>
      <c r="Z65" s="85">
        <f t="shared" si="15"/>
        <v>-750</v>
      </c>
      <c r="AA65" s="85">
        <f t="shared" si="16"/>
        <v>-834.45145535639165</v>
      </c>
      <c r="AB65" s="90">
        <f t="shared" si="17"/>
        <v>750</v>
      </c>
      <c r="AC65" s="86">
        <f t="shared" si="18"/>
        <v>6198.1934099999999</v>
      </c>
      <c r="AD65" s="85">
        <f t="shared" si="19"/>
        <v>1055.7627565116984</v>
      </c>
      <c r="AE65" s="85">
        <f t="shared" si="20"/>
        <v>2413.4137223540974</v>
      </c>
      <c r="AF65" s="90">
        <f t="shared" si="21"/>
        <v>1055.7627565116984</v>
      </c>
      <c r="AG65" s="86">
        <f t="shared" si="22"/>
        <v>9906.4132599999994</v>
      </c>
      <c r="AH65" s="85">
        <f t="shared" si="23"/>
        <v>6128</v>
      </c>
      <c r="AI65" s="85">
        <f t="shared" si="24"/>
        <v>6818.0246912319571</v>
      </c>
      <c r="AJ65" s="90">
        <f t="shared" si="25"/>
        <v>6128</v>
      </c>
      <c r="AL65" s="95">
        <f t="shared" si="26"/>
        <v>0</v>
      </c>
      <c r="AM65" s="95">
        <f t="shared" si="27"/>
        <v>0</v>
      </c>
      <c r="AN65" s="95">
        <f t="shared" si="28"/>
        <v>0</v>
      </c>
      <c r="AO65" s="95">
        <f t="shared" si="29"/>
        <v>0</v>
      </c>
      <c r="AP65"/>
      <c r="AQ65" s="95">
        <f t="shared" si="30"/>
        <v>0</v>
      </c>
      <c r="AR65" s="95">
        <f t="shared" si="31"/>
        <v>0</v>
      </c>
      <c r="AS65" s="95">
        <f>Geraetedaten!$B$94*ABS(SIN(RADIANS($A65)))</f>
        <v>67.509156605517916</v>
      </c>
      <c r="AT65" s="95">
        <f>Geraetedaten!$B$94*ABS(COS(RADIANS($A65)))</f>
        <v>138.41428313007174</v>
      </c>
      <c r="AU65" s="95">
        <f>((h_Aw_Sw+Geraetedaten!$B$18)/1000)*(AQ65*AS65+AR65*AT65)/100</f>
        <v>0</v>
      </c>
    </row>
    <row r="66" spans="1:47" ht="13.5" x14ac:dyDescent="0.25">
      <c r="A66" s="16">
        <v>27</v>
      </c>
      <c r="B66" s="16">
        <f t="shared" si="0"/>
        <v>423</v>
      </c>
      <c r="C66" s="19">
        <f t="shared" si="32"/>
        <v>55.533063495323873</v>
      </c>
      <c r="D66" s="17">
        <f t="shared" si="1"/>
        <v>-6267.4710834953239</v>
      </c>
      <c r="E66" s="17">
        <f t="shared" si="2"/>
        <v>-9468.5090034953246</v>
      </c>
      <c r="F66" s="17">
        <f t="shared" si="3"/>
        <v>5928.8788865046754</v>
      </c>
      <c r="G66" s="17">
        <f t="shared" si="4"/>
        <v>9937.4636365046754</v>
      </c>
      <c r="H66" s="17">
        <f t="shared" si="33"/>
        <v>5928.8788865046754</v>
      </c>
      <c r="I66" s="17">
        <f t="shared" si="5"/>
        <v>2330.1728342753468</v>
      </c>
      <c r="J66" s="20">
        <f>(Geraetedaten!$B$152+(Geraetedaten!$B$153*(Geraetedaten!$B$18+d_y_Sw)/1000))*10</f>
        <v>6051.0442000000003</v>
      </c>
      <c r="K66" s="20">
        <f>(Geraetedaten!$B$165+(Geraetedaten!$B$166*(Geraetedaten!$B$18+d_y_Sw)/1000))*10</f>
        <v>10816.164000000001</v>
      </c>
      <c r="L66" s="20">
        <f>(Geraetedaten!$B$158+(Geraetedaten!$B$159*(Geraetedaten!$B$18+d_y_Sw)/1000)-(Geraetedaten!$B$160*I66/1000))*10</f>
        <v>430.66502606258859</v>
      </c>
      <c r="M66" s="20">
        <f>(Geraetedaten!$B$171+(Geraetedaten!$B$172*(Geraetedaten!$B$18+d_y_Sw)/1000)-(Geraetedaten!$B$173*I66/1000))*10</f>
        <v>891.40893421654414</v>
      </c>
      <c r="N66" s="20">
        <f>IF((H66-J66)/(K66-J66)*(Geraetedaten!$B$174-Geraetedaten!$B$161)&lt;Geraetedaten!$B$174,(H66-J66)/(K66-J66)*(Geraetedaten!$B$174-Geraetedaten!$B$161),Geraetedaten!$B$174)</f>
        <v>-10.254962613559043</v>
      </c>
      <c r="O66" s="20">
        <f>N66/Geraetedaten!$B$174*(M66-L66)+L66+C66</f>
        <v>474.38581067655269</v>
      </c>
      <c r="P66" s="20">
        <f t="shared" si="6"/>
        <v>182.0359146269777</v>
      </c>
      <c r="Q66" s="21">
        <f>(N66-Geraetedaten!$B$161)/(Geraetedaten!$B$174-Geraetedaten!$B$161)*(Geraetedaten!$B$175-Geraetedaten!$B$162)+Geraetedaten!$B$162</f>
        <v>28.894914862246619</v>
      </c>
      <c r="R66" s="21">
        <f t="shared" si="7"/>
        <v>28.894914862246619</v>
      </c>
      <c r="S66" s="21">
        <f t="shared" si="8"/>
        <v>13.118016838242999</v>
      </c>
      <c r="T66" s="88">
        <f t="shared" si="9"/>
        <v>25.745557658129172</v>
      </c>
      <c r="U66" s="86">
        <f t="shared" si="10"/>
        <v>-6211.9380199999996</v>
      </c>
      <c r="V66" s="85">
        <f t="shared" si="11"/>
        <v>-1141.3067828769733</v>
      </c>
      <c r="W66" s="85">
        <f t="shared" si="12"/>
        <v>-2505.3692561189923</v>
      </c>
      <c r="X66" s="90">
        <f t="shared" si="13"/>
        <v>1141.3067828769733</v>
      </c>
      <c r="Y66" s="86">
        <f t="shared" si="14"/>
        <v>-9412.9759400000003</v>
      </c>
      <c r="Z66" s="85">
        <f t="shared" si="15"/>
        <v>-750</v>
      </c>
      <c r="AA66" s="85">
        <f t="shared" si="16"/>
        <v>-841.74467822577071</v>
      </c>
      <c r="AB66" s="90">
        <f t="shared" si="17"/>
        <v>750</v>
      </c>
      <c r="AC66" s="86">
        <f t="shared" si="18"/>
        <v>5984.4119499999997</v>
      </c>
      <c r="AD66" s="85">
        <f t="shared" si="19"/>
        <v>1055.7627565116984</v>
      </c>
      <c r="AE66" s="85">
        <f t="shared" si="20"/>
        <v>2330.1728342753468</v>
      </c>
      <c r="AF66" s="90">
        <f t="shared" si="21"/>
        <v>1055.7627565116984</v>
      </c>
      <c r="AG66" s="86">
        <f t="shared" si="22"/>
        <v>9992.9966999999997</v>
      </c>
      <c r="AH66" s="85">
        <f t="shared" si="23"/>
        <v>6128</v>
      </c>
      <c r="AI66" s="85">
        <f t="shared" si="24"/>
        <v>6877.6151842233639</v>
      </c>
      <c r="AJ66" s="90">
        <f t="shared" si="25"/>
        <v>6128</v>
      </c>
      <c r="AL66" s="95">
        <f t="shared" si="26"/>
        <v>0</v>
      </c>
      <c r="AM66" s="95">
        <f t="shared" si="27"/>
        <v>0</v>
      </c>
      <c r="AN66" s="95">
        <f t="shared" si="28"/>
        <v>0</v>
      </c>
      <c r="AO66" s="95">
        <f t="shared" si="29"/>
        <v>0</v>
      </c>
      <c r="AP66"/>
      <c r="AQ66" s="95">
        <f t="shared" si="30"/>
        <v>0</v>
      </c>
      <c r="AR66" s="95">
        <f t="shared" si="31"/>
        <v>0</v>
      </c>
      <c r="AS66" s="95">
        <f>Geraetedaten!$B$94*ABS(SIN(RADIANS($A66)))</f>
        <v>69.914536959890199</v>
      </c>
      <c r="AT66" s="95">
        <f>Geraetedaten!$B$94*ABS(COS(RADIANS($A66)))</f>
        <v>137.21500472500867</v>
      </c>
      <c r="AU66" s="95">
        <f>((h_Aw_Sw+Geraetedaten!$B$18)/1000)*(AQ66*AS66+AR66*AT66)/100</f>
        <v>0</v>
      </c>
    </row>
    <row r="67" spans="1:47" ht="13.5" x14ac:dyDescent="0.25">
      <c r="A67" s="16">
        <v>28</v>
      </c>
      <c r="B67" s="16">
        <f t="shared" si="0"/>
        <v>422</v>
      </c>
      <c r="C67" s="19">
        <f t="shared" si="32"/>
        <v>56.275516110805498</v>
      </c>
      <c r="D67" s="17">
        <f t="shared" si="1"/>
        <v>-6064.2271061108049</v>
      </c>
      <c r="E67" s="17">
        <f t="shared" si="2"/>
        <v>-9555.1665561108057</v>
      </c>
      <c r="F67" s="17">
        <f t="shared" si="3"/>
        <v>5730.3142138891944</v>
      </c>
      <c r="G67" s="17">
        <f t="shared" si="4"/>
        <v>10027.930303889194</v>
      </c>
      <c r="H67" s="17">
        <f t="shared" si="33"/>
        <v>5730.3142138891944</v>
      </c>
      <c r="I67" s="17">
        <f t="shared" si="5"/>
        <v>2253.1460574120574</v>
      </c>
      <c r="J67" s="20">
        <f>(Geraetedaten!$B$152+(Geraetedaten!$B$153*(Geraetedaten!$B$18+d_y_Sw)/1000))*10</f>
        <v>6051.0442000000003</v>
      </c>
      <c r="K67" s="20">
        <f>(Geraetedaten!$B$165+(Geraetedaten!$B$166*(Geraetedaten!$B$18+d_y_Sw)/1000))*10</f>
        <v>10816.164000000001</v>
      </c>
      <c r="L67" s="20">
        <f>(Geraetedaten!$B$158+(Geraetedaten!$B$159*(Geraetedaten!$B$18+d_y_Sw)/1000)-(Geraetedaten!$B$160*I67/1000))*10</f>
        <v>436.3133996099736</v>
      </c>
      <c r="M67" s="20">
        <f>(Geraetedaten!$B$171+(Geraetedaten!$B$172*(Geraetedaten!$B$18+d_y_Sw)/1000)-(Geraetedaten!$B$173*I67/1000))*10</f>
        <v>897.14280748624731</v>
      </c>
      <c r="N67" s="20">
        <f>IF((H67-J67)/(K67-J67)*(Geraetedaten!$B$174-Geraetedaten!$B$161)&lt;Geraetedaten!$B$174,(H67-J67)/(K67-J67)*(Geraetedaten!$B$174-Geraetedaten!$B$161),Geraetedaten!$B$174)</f>
        <v>-26.923141458966537</v>
      </c>
      <c r="O67" s="20">
        <f>N67/Geraetedaten!$B$174*(M67-L67)+L67+C67</f>
        <v>461.57147737901732</v>
      </c>
      <c r="P67" s="20">
        <f t="shared" si="6"/>
        <v>179.95607771455659</v>
      </c>
      <c r="Q67" s="21">
        <f>(N67-Geraetedaten!$B$161)/(Geraetedaten!$B$174-Geraetedaten!$B$161)*(Geraetedaten!$B$175-Geraetedaten!$B$162)+Geraetedaten!$B$162</f>
        <v>28.399036541595745</v>
      </c>
      <c r="R67" s="21">
        <f t="shared" si="7"/>
        <v>28.399036541595745</v>
      </c>
      <c r="S67" s="21">
        <f t="shared" si="8"/>
        <v>13.332540066796573</v>
      </c>
      <c r="T67" s="88">
        <f t="shared" si="9"/>
        <v>25.074860953914669</v>
      </c>
      <c r="U67" s="86">
        <f t="shared" si="10"/>
        <v>-6007.9515899999997</v>
      </c>
      <c r="V67" s="85">
        <f t="shared" si="11"/>
        <v>-1141.3067828769733</v>
      </c>
      <c r="W67" s="85">
        <f t="shared" si="12"/>
        <v>-2423.0984220651371</v>
      </c>
      <c r="X67" s="90">
        <f t="shared" si="13"/>
        <v>1141.3067828769733</v>
      </c>
      <c r="Y67" s="86">
        <f t="shared" si="14"/>
        <v>-9498.8910400000004</v>
      </c>
      <c r="Z67" s="85">
        <f t="shared" si="15"/>
        <v>-750</v>
      </c>
      <c r="AA67" s="85">
        <f t="shared" si="16"/>
        <v>-849.42753801677941</v>
      </c>
      <c r="AB67" s="90">
        <f t="shared" si="17"/>
        <v>750</v>
      </c>
      <c r="AC67" s="86">
        <f t="shared" si="18"/>
        <v>5786.5897299999997</v>
      </c>
      <c r="AD67" s="85">
        <f t="shared" si="19"/>
        <v>1055.7627565116984</v>
      </c>
      <c r="AE67" s="85">
        <f t="shared" si="20"/>
        <v>2253.1460574120574</v>
      </c>
      <c r="AF67" s="90">
        <f t="shared" si="21"/>
        <v>1055.7627565116984</v>
      </c>
      <c r="AG67" s="86">
        <f t="shared" si="22"/>
        <v>10084.205819999999</v>
      </c>
      <c r="AH67" s="85">
        <f t="shared" si="23"/>
        <v>6128</v>
      </c>
      <c r="AI67" s="85">
        <f t="shared" si="24"/>
        <v>6940.3892706224324</v>
      </c>
      <c r="AJ67" s="90">
        <f t="shared" si="25"/>
        <v>6128</v>
      </c>
      <c r="AL67" s="95">
        <f t="shared" si="26"/>
        <v>0</v>
      </c>
      <c r="AM67" s="95">
        <f t="shared" si="27"/>
        <v>0</v>
      </c>
      <c r="AN67" s="95">
        <f t="shared" si="28"/>
        <v>0</v>
      </c>
      <c r="AO67" s="95">
        <f t="shared" si="29"/>
        <v>0</v>
      </c>
      <c r="AP67"/>
      <c r="AQ67" s="95">
        <f t="shared" si="30"/>
        <v>0</v>
      </c>
      <c r="AR67" s="95">
        <f t="shared" si="31"/>
        <v>0</v>
      </c>
      <c r="AS67" s="95">
        <f>Geraetedaten!$B$94*ABS(SIN(RADIANS($A67)))</f>
        <v>72.298620669027187</v>
      </c>
      <c r="AT67" s="95">
        <f>Geraetedaten!$B$94*ABS(COS(RADIANS($A67)))</f>
        <v>135.97392930027476</v>
      </c>
      <c r="AU67" s="95">
        <f>((h_Aw_Sw+Geraetedaten!$B$18)/1000)*(AQ67*AS67+AR67*AT67)/100</f>
        <v>0</v>
      </c>
    </row>
    <row r="68" spans="1:47" ht="13.5" x14ac:dyDescent="0.25">
      <c r="A68" s="16">
        <v>29</v>
      </c>
      <c r="B68" s="16">
        <f t="shared" si="0"/>
        <v>421</v>
      </c>
      <c r="C68" s="19">
        <f t="shared" si="32"/>
        <v>57.000826658926599</v>
      </c>
      <c r="D68" s="17">
        <f t="shared" si="1"/>
        <v>-5875.6530566589263</v>
      </c>
      <c r="E68" s="17">
        <f t="shared" si="2"/>
        <v>-9646.3376666589265</v>
      </c>
      <c r="F68" s="17">
        <f t="shared" si="3"/>
        <v>5546.0788533410732</v>
      </c>
      <c r="G68" s="17">
        <f t="shared" si="4"/>
        <v>10123.223993341073</v>
      </c>
      <c r="H68" s="17">
        <f t="shared" si="33"/>
        <v>5546.0788533410732</v>
      </c>
      <c r="I68" s="17">
        <f t="shared" si="5"/>
        <v>2181.6920626629412</v>
      </c>
      <c r="J68" s="20">
        <f>(Geraetedaten!$B$152+(Geraetedaten!$B$153*(Geraetedaten!$B$18+d_y_Sw)/1000))*10</f>
        <v>6051.0442000000003</v>
      </c>
      <c r="K68" s="20">
        <f>(Geraetedaten!$B$165+(Geraetedaten!$B$166*(Geraetedaten!$B$18+d_y_Sw)/1000))*10</f>
        <v>10816.164000000001</v>
      </c>
      <c r="L68" s="20">
        <f>(Geraetedaten!$B$158+(Geraetedaten!$B$159*(Geraetedaten!$B$18+d_y_Sw)/1000)-(Geraetedaten!$B$160*I68/1000))*10</f>
        <v>441.55312104492629</v>
      </c>
      <c r="M68" s="20">
        <f>(Geraetedaten!$B$171+(Geraetedaten!$B$172*(Geraetedaten!$B$18+d_y_Sw)/1000)-(Geraetedaten!$B$173*I68/1000))*10</f>
        <v>902.46184285537151</v>
      </c>
      <c r="N68" s="20">
        <f>IF((H68-J68)/(K68-J68)*(Geraetedaten!$B$174-Geraetedaten!$B$161)&lt;Geraetedaten!$B$174,(H68-J68)/(K68-J68)*(Geraetedaten!$B$174-Geraetedaten!$B$161),Geraetedaten!$B$174)</f>
        <v>-42.388470204583484</v>
      </c>
      <c r="O68" s="20">
        <f>N68/Geraetedaten!$B$174*(M68-L68)+L68+C68</f>
        <v>449.7109086501161</v>
      </c>
      <c r="P68" s="20">
        <f t="shared" si="6"/>
        <v>177.97741955211214</v>
      </c>
      <c r="Q68" s="21">
        <f>(N68-Geraetedaten!$B$161)/(Geraetedaten!$B$174-Geraetedaten!$B$161)*(Geraetedaten!$B$175-Geraetedaten!$B$162)+Geraetedaten!$B$162</f>
        <v>27.938943011413642</v>
      </c>
      <c r="R68" s="21">
        <f t="shared" si="7"/>
        <v>27.938943011413642</v>
      </c>
      <c r="S68" s="21">
        <f t="shared" si="8"/>
        <v>13.545068351447501</v>
      </c>
      <c r="T68" s="88">
        <f t="shared" si="9"/>
        <v>24.435950154426866</v>
      </c>
      <c r="U68" s="86">
        <f t="shared" si="10"/>
        <v>-5818.6522299999997</v>
      </c>
      <c r="V68" s="85">
        <f t="shared" si="11"/>
        <v>-1141.3067828769733</v>
      </c>
      <c r="W68" s="85">
        <f t="shared" si="12"/>
        <v>-2346.7511035360662</v>
      </c>
      <c r="X68" s="90">
        <f t="shared" si="13"/>
        <v>1141.3067828769733</v>
      </c>
      <c r="Y68" s="86">
        <f t="shared" si="14"/>
        <v>-9589.3368399999999</v>
      </c>
      <c r="Z68" s="85">
        <f t="shared" si="15"/>
        <v>-750</v>
      </c>
      <c r="AA68" s="85">
        <f t="shared" si="16"/>
        <v>-857.51555090499005</v>
      </c>
      <c r="AB68" s="90">
        <f t="shared" si="17"/>
        <v>750</v>
      </c>
      <c r="AC68" s="86">
        <f t="shared" si="18"/>
        <v>5603.0796799999998</v>
      </c>
      <c r="AD68" s="85">
        <f t="shared" si="19"/>
        <v>1055.7627565116984</v>
      </c>
      <c r="AE68" s="85">
        <f t="shared" si="20"/>
        <v>2181.6920626629412</v>
      </c>
      <c r="AF68" s="90">
        <f t="shared" si="21"/>
        <v>1055.7627565116984</v>
      </c>
      <c r="AG68" s="86">
        <f t="shared" si="22"/>
        <v>10180.224819999999</v>
      </c>
      <c r="AH68" s="85">
        <f t="shared" si="23"/>
        <v>6128</v>
      </c>
      <c r="AI68" s="85">
        <f t="shared" si="24"/>
        <v>7006.4737279277051</v>
      </c>
      <c r="AJ68" s="90">
        <f t="shared" si="25"/>
        <v>6128</v>
      </c>
      <c r="AL68" s="95">
        <f t="shared" si="26"/>
        <v>0</v>
      </c>
      <c r="AM68" s="95">
        <f t="shared" si="27"/>
        <v>0</v>
      </c>
      <c r="AN68" s="95">
        <f t="shared" si="28"/>
        <v>0</v>
      </c>
      <c r="AO68" s="95">
        <f t="shared" si="29"/>
        <v>0</v>
      </c>
      <c r="AP68"/>
      <c r="AQ68" s="95">
        <f t="shared" si="30"/>
        <v>0</v>
      </c>
      <c r="AR68" s="95">
        <f t="shared" si="31"/>
        <v>0</v>
      </c>
      <c r="AS68" s="95">
        <f>Geraetedaten!$B$94*ABS(SIN(RADIANS($A68)))</f>
        <v>74.660681517935913</v>
      </c>
      <c r="AT68" s="95">
        <f>Geraetedaten!$B$94*ABS(COS(RADIANS($A68)))</f>
        <v>134.69143489946694</v>
      </c>
      <c r="AU68" s="95">
        <f>((h_Aw_Sw+Geraetedaten!$B$18)/1000)*(AQ68*AS68+AR68*AT68)/100</f>
        <v>0</v>
      </c>
    </row>
    <row r="69" spans="1:47" ht="13.5" x14ac:dyDescent="0.25">
      <c r="A69" s="16">
        <v>30</v>
      </c>
      <c r="B69" s="16">
        <f t="shared" si="0"/>
        <v>420</v>
      </c>
      <c r="C69" s="19">
        <f t="shared" si="32"/>
        <v>57.708774203067975</v>
      </c>
      <c r="D69" s="17">
        <f t="shared" si="1"/>
        <v>-5700.2924842030679</v>
      </c>
      <c r="E69" s="17">
        <f t="shared" si="2"/>
        <v>-9742.2087242030666</v>
      </c>
      <c r="F69" s="17">
        <f t="shared" si="3"/>
        <v>5374.7462957969319</v>
      </c>
      <c r="G69" s="17">
        <f t="shared" si="4"/>
        <v>10223.543045796932</v>
      </c>
      <c r="H69" s="17">
        <f t="shared" si="33"/>
        <v>5374.7462957969319</v>
      </c>
      <c r="I69" s="17">
        <f t="shared" si="5"/>
        <v>2115.2553224522057</v>
      </c>
      <c r="J69" s="20">
        <f>(Geraetedaten!$B$152+(Geraetedaten!$B$153*(Geraetedaten!$B$18+d_y_Sw)/1000))*10</f>
        <v>6051.0442000000003</v>
      </c>
      <c r="K69" s="20">
        <f>(Geraetedaten!$B$165+(Geraetedaten!$B$166*(Geraetedaten!$B$18+d_y_Sw)/1000))*10</f>
        <v>10816.164000000001</v>
      </c>
      <c r="L69" s="20">
        <f>(Geraetedaten!$B$158+(Geraetedaten!$B$159*(Geraetedaten!$B$18+d_y_Sw)/1000)-(Geraetedaten!$B$160*I69/1000))*10</f>
        <v>446.42492720457949</v>
      </c>
      <c r="M69" s="20">
        <f>(Geraetedaten!$B$171+(Geraetedaten!$B$172*(Geraetedaten!$B$18+d_y_Sw)/1000)-(Geraetedaten!$B$173*I69/1000))*10</f>
        <v>907.40739379665865</v>
      </c>
      <c r="N69" s="20">
        <f>IF((H69-J69)/(K69-J69)*(Geraetedaten!$B$174-Geraetedaten!$B$161)&lt;Geraetedaten!$B$174,(H69-J69)/(K69-J69)*(Geraetedaten!$B$174-Geraetedaten!$B$161),Geraetedaten!$B$174)</f>
        <v>-56.770694764322052</v>
      </c>
      <c r="O69" s="20">
        <f>N69/Geraetedaten!$B$174*(M69-L69)+L69+C69</f>
        <v>438.70796415113944</v>
      </c>
      <c r="P69" s="20">
        <f t="shared" si="6"/>
        <v>176.09390754452005</v>
      </c>
      <c r="Q69" s="21">
        <f>(N69-Geraetedaten!$B$161)/(Geraetedaten!$B$174-Geraetedaten!$B$161)*(Geraetedaten!$B$175-Geraetedaten!$B$162)+Geraetedaten!$B$162</f>
        <v>27.511071830761416</v>
      </c>
      <c r="R69" s="21">
        <f t="shared" si="7"/>
        <v>27.511071830761416</v>
      </c>
      <c r="S69" s="21">
        <f t="shared" si="8"/>
        <v>13.755535915380706</v>
      </c>
      <c r="T69" s="88">
        <f t="shared" si="9"/>
        <v>23.825287090777852</v>
      </c>
      <c r="U69" s="86">
        <f t="shared" si="10"/>
        <v>-5642.5837099999999</v>
      </c>
      <c r="V69" s="85">
        <f t="shared" si="11"/>
        <v>-1141.3067828769733</v>
      </c>
      <c r="W69" s="85">
        <f t="shared" si="12"/>
        <v>-2275.7399872937322</v>
      </c>
      <c r="X69" s="90">
        <f t="shared" si="13"/>
        <v>1141.3067828769733</v>
      </c>
      <c r="Y69" s="86">
        <f t="shared" si="14"/>
        <v>-9684.4999499999994</v>
      </c>
      <c r="Z69" s="85">
        <f t="shared" si="15"/>
        <v>-750</v>
      </c>
      <c r="AA69" s="85">
        <f t="shared" si="16"/>
        <v>-866.02540378443871</v>
      </c>
      <c r="AB69" s="90">
        <f t="shared" si="17"/>
        <v>750</v>
      </c>
      <c r="AC69" s="86">
        <f t="shared" si="18"/>
        <v>5432.45507</v>
      </c>
      <c r="AD69" s="85">
        <f t="shared" si="19"/>
        <v>1055.7627565116984</v>
      </c>
      <c r="AE69" s="85">
        <f t="shared" si="20"/>
        <v>2115.2553224522057</v>
      </c>
      <c r="AF69" s="90">
        <f t="shared" si="21"/>
        <v>1055.7627565116984</v>
      </c>
      <c r="AG69" s="86">
        <f t="shared" si="22"/>
        <v>10281.251819999999</v>
      </c>
      <c r="AH69" s="85">
        <f t="shared" si="23"/>
        <v>6128</v>
      </c>
      <c r="AI69" s="85">
        <f t="shared" si="24"/>
        <v>7076.004899188054</v>
      </c>
      <c r="AJ69" s="90">
        <f t="shared" si="25"/>
        <v>6128</v>
      </c>
      <c r="AL69" s="95">
        <f t="shared" si="26"/>
        <v>0</v>
      </c>
      <c r="AM69" s="95">
        <f t="shared" si="27"/>
        <v>0</v>
      </c>
      <c r="AN69" s="95">
        <f t="shared" si="28"/>
        <v>0</v>
      </c>
      <c r="AO69" s="95">
        <f t="shared" si="29"/>
        <v>0</v>
      </c>
      <c r="AP69"/>
      <c r="AQ69" s="95">
        <f t="shared" si="30"/>
        <v>0</v>
      </c>
      <c r="AR69" s="95">
        <f t="shared" si="31"/>
        <v>0</v>
      </c>
      <c r="AS69" s="95">
        <f>Geraetedaten!$B$94*ABS(SIN(RADIANS($A69)))</f>
        <v>76.999999999999986</v>
      </c>
      <c r="AT69" s="95">
        <f>Geraetedaten!$B$94*ABS(COS(RADIANS($A69)))</f>
        <v>133.36791218280356</v>
      </c>
      <c r="AU69" s="95">
        <f>((h_Aw_Sw+Geraetedaten!$B$18)/1000)*(AQ69*AS69+AR69*AT69)/100</f>
        <v>0</v>
      </c>
    </row>
    <row r="70" spans="1:47" ht="13.5" x14ac:dyDescent="0.25">
      <c r="A70" s="16">
        <v>31</v>
      </c>
      <c r="B70" s="16">
        <f t="shared" si="0"/>
        <v>419</v>
      </c>
      <c r="C70" s="19">
        <f t="shared" si="32"/>
        <v>58.399143095549661</v>
      </c>
      <c r="D70" s="17">
        <f t="shared" si="1"/>
        <v>-5536.8765930955497</v>
      </c>
      <c r="E70" s="17">
        <f t="shared" si="2"/>
        <v>-9842.9802530955494</v>
      </c>
      <c r="F70" s="17">
        <f t="shared" si="3"/>
        <v>5215.0748069044503</v>
      </c>
      <c r="G70" s="17">
        <f t="shared" si="4"/>
        <v>10329.10076690445</v>
      </c>
      <c r="H70" s="17">
        <f t="shared" si="33"/>
        <v>5215.0748069044503</v>
      </c>
      <c r="I70" s="17">
        <f t="shared" si="5"/>
        <v>2053.3522486277793</v>
      </c>
      <c r="J70" s="20">
        <f>(Geraetedaten!$B$152+(Geraetedaten!$B$153*(Geraetedaten!$B$18+d_y_Sw)/1000))*10</f>
        <v>6051.0442000000003</v>
      </c>
      <c r="K70" s="20">
        <f>(Geraetedaten!$B$165+(Geraetedaten!$B$166*(Geraetedaten!$B$18+d_y_Sw)/1000))*10</f>
        <v>10816.164000000001</v>
      </c>
      <c r="L70" s="20">
        <f>(Geraetedaten!$B$158+(Geraetedaten!$B$159*(Geraetedaten!$B$18+d_y_Sw)/1000)-(Geraetedaten!$B$160*I70/1000))*10</f>
        <v>450.96427960812468</v>
      </c>
      <c r="M70" s="20">
        <f>(Geraetedaten!$B$171+(Geraetedaten!$B$172*(Geraetedaten!$B$18+d_y_Sw)/1000)-(Geraetedaten!$B$173*I70/1000))*10</f>
        <v>912.01545861214913</v>
      </c>
      <c r="N70" s="20">
        <f>IF((H70-J70)/(K70-J70)*(Geraetedaten!$B$174-Geraetedaten!$B$161)&lt;Geraetedaten!$B$174,(H70-J70)/(K70-J70)*(Geraetedaten!$B$174-Geraetedaten!$B$161),Geraetedaten!$B$174)</f>
        <v>-70.174050448473508</v>
      </c>
      <c r="O70" s="20">
        <f>N70/Geraetedaten!$B$174*(M70-L70)+L70+C70</f>
        <v>428.47885096678283</v>
      </c>
      <c r="P70" s="20">
        <f t="shared" si="6"/>
        <v>174.29991344669955</v>
      </c>
      <c r="Q70" s="21">
        <f>(N70-Geraetedaten!$B$161)/(Geraetedaten!$B$174-Geraetedaten!$B$161)*(Geraetedaten!$B$175-Geraetedaten!$B$162)+Geraetedaten!$B$162</f>
        <v>27.112321999157913</v>
      </c>
      <c r="R70" s="21">
        <f t="shared" si="7"/>
        <v>27.112321999157913</v>
      </c>
      <c r="S70" s="21">
        <f t="shared" si="8"/>
        <v>13.963878128787803</v>
      </c>
      <c r="T70" s="88">
        <f t="shared" si="9"/>
        <v>23.239795863784686</v>
      </c>
      <c r="U70" s="86">
        <f t="shared" si="10"/>
        <v>-5478.4774500000003</v>
      </c>
      <c r="V70" s="85">
        <f t="shared" si="11"/>
        <v>-1141.3067828769733</v>
      </c>
      <c r="W70" s="85">
        <f t="shared" si="12"/>
        <v>-2209.553432057809</v>
      </c>
      <c r="X70" s="90">
        <f t="shared" si="13"/>
        <v>1141.3067828769733</v>
      </c>
      <c r="Y70" s="86">
        <f t="shared" si="14"/>
        <v>-9784.5811099999992</v>
      </c>
      <c r="Z70" s="85">
        <f t="shared" si="15"/>
        <v>-750</v>
      </c>
      <c r="AA70" s="85">
        <f t="shared" si="16"/>
        <v>-874.97504791149777</v>
      </c>
      <c r="AB70" s="90">
        <f t="shared" si="17"/>
        <v>750</v>
      </c>
      <c r="AC70" s="86">
        <f t="shared" si="18"/>
        <v>5273.4739499999996</v>
      </c>
      <c r="AD70" s="85">
        <f t="shared" si="19"/>
        <v>1055.7627565116984</v>
      </c>
      <c r="AE70" s="85">
        <f t="shared" si="20"/>
        <v>2053.3522486277793</v>
      </c>
      <c r="AF70" s="90">
        <f t="shared" si="21"/>
        <v>1055.7627565116984</v>
      </c>
      <c r="AG70" s="86">
        <f t="shared" si="22"/>
        <v>10387.49991</v>
      </c>
      <c r="AH70" s="85">
        <f t="shared" si="23"/>
        <v>6128</v>
      </c>
      <c r="AI70" s="85">
        <f t="shared" si="24"/>
        <v>7149.1294581355451</v>
      </c>
      <c r="AJ70" s="90">
        <f t="shared" si="25"/>
        <v>6128</v>
      </c>
      <c r="AL70" s="95">
        <f t="shared" si="26"/>
        <v>0</v>
      </c>
      <c r="AM70" s="95">
        <f t="shared" si="27"/>
        <v>0</v>
      </c>
      <c r="AN70" s="95">
        <f t="shared" si="28"/>
        <v>0</v>
      </c>
      <c r="AO70" s="95">
        <f t="shared" si="29"/>
        <v>0</v>
      </c>
      <c r="AP70"/>
      <c r="AQ70" s="95">
        <f t="shared" si="30"/>
        <v>0</v>
      </c>
      <c r="AR70" s="95">
        <f t="shared" si="31"/>
        <v>0</v>
      </c>
      <c r="AS70" s="95">
        <f>Geraetedaten!$B$94*ABS(SIN(RADIANS($A70)))</f>
        <v>79.315863536148342</v>
      </c>
      <c r="AT70" s="95">
        <f>Geraetedaten!$B$94*ABS(COS(RADIANS($A70)))</f>
        <v>132.00376430812531</v>
      </c>
      <c r="AU70" s="95">
        <f>((h_Aw_Sw+Geraetedaten!$B$18)/1000)*(AQ70*AS70+AR70*AT70)/100</f>
        <v>0</v>
      </c>
    </row>
    <row r="71" spans="1:47" ht="13.5" x14ac:dyDescent="0.25">
      <c r="A71" s="16">
        <v>32</v>
      </c>
      <c r="B71" s="16">
        <f t="shared" ref="B71:B102" si="34">360-A71+90</f>
        <v>418</v>
      </c>
      <c r="C71" s="19">
        <f t="shared" ref="C71:C102" si="35">$AE$16*ABS(COS(RADIANS(A71)))+$AE$17*ABS(SIN(RADIANS(A71)))+AU71</f>
        <v>59.071723043319231</v>
      </c>
      <c r="D71" s="17">
        <f t="shared" ref="D71:D102" si="36">IF(ISNUMBER(U71),U71-C71,"unendlich")</f>
        <v>-5384.2949930433197</v>
      </c>
      <c r="E71" s="17">
        <f t="shared" ref="E71:E102" si="37">IF(ISNUMBER(Y71),Y71-C71,"unendlich")</f>
        <v>-9948.8680830433186</v>
      </c>
      <c r="F71" s="17">
        <f t="shared" ref="F71:F102" si="38">IF(ISNUMBER(AC71),AC71-C71,"unendlich")</f>
        <v>5065.9784669566807</v>
      </c>
      <c r="G71" s="17">
        <f t="shared" ref="G71:G102" si="39">IF(ISNUMBER(AG71),AG71-C71,"unendlich")</f>
        <v>10440.126726956682</v>
      </c>
      <c r="H71" s="17">
        <f t="shared" si="33"/>
        <v>5065.9784669566807</v>
      </c>
      <c r="I71" s="17">
        <f t="shared" ref="I71:I102" si="40">IF(H71+C71=U71,W71,IF(H71+C71=Y71,AA71,IF(H71+C71=AC71,AE71,IF(H71+C71=AG71,AI71,"???"))))</f>
        <v>1995.5599343981212</v>
      </c>
      <c r="J71" s="20">
        <f>(Geraetedaten!$B$152+(Geraetedaten!$B$153*(Geraetedaten!$B$18+d_y_Sw)/1000))*10</f>
        <v>6051.0442000000003</v>
      </c>
      <c r="K71" s="20">
        <f>(Geraetedaten!$B$165+(Geraetedaten!$B$166*(Geraetedaten!$B$18+d_y_Sw)/1000))*10</f>
        <v>10816.164000000001</v>
      </c>
      <c r="L71" s="20">
        <f>(Geraetedaten!$B$158+(Geraetedaten!$B$159*(Geraetedaten!$B$18+d_y_Sw)/1000)-(Geraetedaten!$B$160*I71/1000))*10</f>
        <v>455.20219001058547</v>
      </c>
      <c r="M71" s="20">
        <f>(Geraetedaten!$B$171+(Geraetedaten!$B$172*(Geraetedaten!$B$18+d_y_Sw)/1000)-(Geraetedaten!$B$173*I71/1000))*10</f>
        <v>916.31751848340491</v>
      </c>
      <c r="N71" s="20">
        <f>IF((H71-J71)/(K71-J71)*(Geraetedaten!$B$174-Geraetedaten!$B$161)&lt;Geraetedaten!$B$174,(H71-J71)/(K71-J71)*(Geraetedaten!$B$174-Geraetedaten!$B$161),Geraetedaten!$B$174)</f>
        <v>-82.689692967914013</v>
      </c>
      <c r="O71" s="20">
        <f>N71/Geraetedaten!$B$174*(M71-L71)+L71+C71</f>
        <v>418.9502007183641</v>
      </c>
      <c r="P71" s="20">
        <f t="shared" ref="P71:P102" si="41">O71*100/9.81/(Q71-(I71/1000))</f>
        <v>172.5901821309094</v>
      </c>
      <c r="Q71" s="21">
        <f>(N71-Geraetedaten!$B$161)/(Geraetedaten!$B$174-Geraetedaten!$B$161)*(Geraetedaten!$B$175-Geraetedaten!$B$162)+Geraetedaten!$B$162</f>
        <v>26.739981634204558</v>
      </c>
      <c r="R71" s="21">
        <f t="shared" ref="R71:R102" si="42">SQRT((r_K_D/1000)^2+Q71^2-(2*(r_K_D/1000)*Q71*COS(RADIANS(2*A71))))</f>
        <v>26.739981634204558</v>
      </c>
      <c r="S71" s="21">
        <f t="shared" ref="S71:S102" si="43">R71*SIN(A71*Const_2)</f>
        <v>14.170031393207092</v>
      </c>
      <c r="T71" s="88">
        <f t="shared" ref="T71:T102" si="44">R71*COS(A71*Const_2)</f>
        <v>22.676790516144969</v>
      </c>
      <c r="U71" s="86">
        <f t="shared" ref="U71:U102" si="45">ROUND((F_S*r_Su_L-F_G*V71+F_SSw*X71)/(SIN(RADIANS(270+g_L-A71)))/1000,5)</f>
        <v>-5325.2232700000004</v>
      </c>
      <c r="V71" s="85">
        <f t="shared" ref="V71:V102" si="46">(SIN(RADIANS(g_L)))*(((VL_Z-HL_Z)/(VL_X-HL_X))*(-HL_X+AM71)+HL_Z-AL71)</f>
        <v>-1141.3067828769733</v>
      </c>
      <c r="W71" s="85">
        <f t="shared" ref="W71:W102" si="47">V71/(SIN(RADIANS(180-g_L-(90-$A71))))</f>
        <v>-2147.7436848277675</v>
      </c>
      <c r="X71" s="90">
        <f t="shared" ref="X71:X102" si="48">SIN(RADIANS(g_L))*(((VL_Z-HL_Z)/(VL_X-HL_X))*(-AO71+HL_X)-HL_Z+AN71)</f>
        <v>1141.3067828769733</v>
      </c>
      <c r="Y71" s="86">
        <f t="shared" ref="Y71:Y102" si="49">ROUND((F_S*r_Su_H-F_G*Z71+F_SSw*AB71)/(SIN(RADIANS(180+g_H-A71)))/1000,5)</f>
        <v>-9889.7963600000003</v>
      </c>
      <c r="Z71" s="85">
        <f t="shared" ref="Z71:Z102" si="50">(SIN(RADIANS(g_H)))*(((HL_X-HR_X)/(HL_Z-HR_Z))*(-HR_Z+AL71)+HR_X-AM71)</f>
        <v>-750</v>
      </c>
      <c r="AA71" s="85">
        <f t="shared" ref="AA71:AA102" si="51">Z71/(SIN(RADIANS(g_H-$A71)))</f>
        <v>-884.38380252157231</v>
      </c>
      <c r="AB71" s="90">
        <f t="shared" ref="AB71:AB102" si="52">SIN(RADIANS(g_H))*(((HL_X-HR_X)/(HL_Z-HR_Z))*(-AN71+HR_Z)-HR_X+AO71)</f>
        <v>750</v>
      </c>
      <c r="AC71" s="86">
        <f t="shared" ref="AC71:AC102" si="53">ROUND((F_S*r_Su_R+F_G*AD71+F_SSw*AF71)/(SIN(RADIANS(90+g_R-A71)))/1000,5)</f>
        <v>5125.0501899999999</v>
      </c>
      <c r="AD71" s="85">
        <f t="shared" ref="AD71:AD102" si="54">(SIN(RADIANS(g_R)))*(((HR_Z-VR_Z)/(HR_X-VR_X))*(-VR_X+AM71)+VR_Z-AL71)</f>
        <v>1055.7627565116984</v>
      </c>
      <c r="AE71" s="85">
        <f t="shared" ref="AE71:AE102" si="55">AD71/(SIN(RADIANS(180-g_R-(90-$A71))))</f>
        <v>1995.5599343981212</v>
      </c>
      <c r="AF71" s="90">
        <f t="shared" ref="AF71:AF102" si="56">(SIN(RADIANS(g_R)))*(((HR_Z-VR_Z)/(HR_X-VR_X))*(-VR_X+AO71)+VR_Z-AN71)</f>
        <v>1055.7627565116984</v>
      </c>
      <c r="AG71" s="86">
        <f t="shared" ref="AG71:AG102" si="57">ROUND((F_S*r_Su_V+F_G*AH71+F_SSw*AJ71)/(SIN(RADIANS(g_V-A71)))/1000,5)</f>
        <v>10499.19845</v>
      </c>
      <c r="AH71" s="85">
        <f t="shared" ref="AH71:AH102" si="58">(SIN(RADIANS(g_V)))*(((VR_X-VL_X)/(VR_Z-VL_Z))*(AL71-VL_Z)+VL_X-AM71)</f>
        <v>6128</v>
      </c>
      <c r="AI71" s="85">
        <f t="shared" ref="AI71:AI102" si="59">AH71/(SIN(RADIANS(g_V-$A71)))</f>
        <v>7226.0052558029274</v>
      </c>
      <c r="AJ71" s="90">
        <f t="shared" ref="AJ71:AJ102" si="60">(SIN(RADIANS(g_V)))*(((VR_X-VL_X)/(VR_Z-VL_Z))*(-VL_Z+AN71)+VL_X-AO71)</f>
        <v>6128</v>
      </c>
      <c r="AL71" s="95">
        <f t="shared" ref="AL71:AL102" si="61">SIN(RADIANS(A71))*r_K_D</f>
        <v>0</v>
      </c>
      <c r="AM71" s="95">
        <f t="shared" ref="AM71:AM102" si="62">COS(RADIANS(A71-180))*r_K_D</f>
        <v>0</v>
      </c>
      <c r="AN71" s="95">
        <f t="shared" ref="AN71:AN102" si="63">SIN(RADIANS(A71))*r_K_SSw</f>
        <v>0</v>
      </c>
      <c r="AO71" s="95">
        <f t="shared" ref="AO71:AO102" si="64">-COS(RADIANS(A71))*r_K_SSw</f>
        <v>0</v>
      </c>
      <c r="AP71"/>
      <c r="AQ71" s="95">
        <f t="shared" ref="AQ71:AQ102" si="65">MAX(d_y_Sw*(r_K_D*ABS(COS(RADIANS($A71)))+_r1_Sw+_r2_Sw), 2*_r1_Sw*d_y_Sw)/1000000</f>
        <v>0</v>
      </c>
      <c r="AR71" s="95">
        <f t="shared" ref="AR71:AR102" si="66">MAX(d_y_Sw*(r_K_D*ABS(SIN(RADIANS($A71)))+_r1_Sw+_r2_Sw), 2*_r1_Sw*d_y_Sw)/1000000</f>
        <v>0</v>
      </c>
      <c r="AS71" s="95">
        <f>Geraetedaten!$B$94*ABS(SIN(RADIANS($A71)))</f>
        <v>81.607566691913561</v>
      </c>
      <c r="AT71" s="95">
        <f>Geraetedaten!$B$94*ABS(COS(RADIANS($A71)))</f>
        <v>130.59940680808961</v>
      </c>
      <c r="AU71" s="95">
        <f>((h_Aw_Sw+Geraetedaten!$B$18)/1000)*(AQ71*AS71+AR71*AT71)/100</f>
        <v>0</v>
      </c>
    </row>
    <row r="72" spans="1:47" ht="13.5" x14ac:dyDescent="0.25">
      <c r="A72" s="16">
        <v>33</v>
      </c>
      <c r="B72" s="16">
        <f t="shared" si="34"/>
        <v>417</v>
      </c>
      <c r="C72" s="19">
        <f t="shared" si="35"/>
        <v>59.726309172009181</v>
      </c>
      <c r="D72" s="17">
        <f t="shared" si="36"/>
        <v>-5241.571779172009</v>
      </c>
      <c r="E72" s="17">
        <f t="shared" si="37"/>
        <v>-10060.104639172008</v>
      </c>
      <c r="F72" s="17">
        <f t="shared" si="38"/>
        <v>4926.5035508279916</v>
      </c>
      <c r="G72" s="17">
        <f t="shared" si="39"/>
        <v>10556.868090827991</v>
      </c>
      <c r="H72" s="17">
        <f t="shared" ref="H72:H103" si="67">SMALL(D72:G72,COUNTIF(D72:G72,"&lt;0")+1)</f>
        <v>4926.5035508279916</v>
      </c>
      <c r="I72" s="17">
        <f t="shared" si="40"/>
        <v>1941.5069469638725</v>
      </c>
      <c r="J72" s="20">
        <f>(Geraetedaten!$B$152+(Geraetedaten!$B$153*(Geraetedaten!$B$18+d_y_Sw)/1000))*10</f>
        <v>6051.0442000000003</v>
      </c>
      <c r="K72" s="20">
        <f>(Geraetedaten!$B$165+(Geraetedaten!$B$166*(Geraetedaten!$B$18+d_y_Sw)/1000))*10</f>
        <v>10816.164000000001</v>
      </c>
      <c r="L72" s="20">
        <f>(Geraetedaten!$B$158+(Geraetedaten!$B$159*(Geraetedaten!$B$18+d_y_Sw)/1000)-(Geraetedaten!$B$160*I72/1000))*10</f>
        <v>459.16589557913903</v>
      </c>
      <c r="M72" s="20">
        <f>(Geraetedaten!$B$171+(Geraetedaten!$B$172*(Geraetedaten!$B$18+d_y_Sw)/1000)-(Geraetedaten!$B$173*I72/1000))*10</f>
        <v>920.34122286801016</v>
      </c>
      <c r="N72" s="20">
        <f>IF((H72-J72)/(K72-J72)*(Geraetedaten!$B$174-Geraetedaten!$B$161)&lt;Geraetedaten!$B$174,(H72-J72)/(K72-J72)*(Geraetedaten!$B$174-Geraetedaten!$B$161),Geraetedaten!$B$174)</f>
        <v>-94.39768118081804</v>
      </c>
      <c r="O72" s="20">
        <f>N72/Geraetedaten!$B$174*(M72-L72)+L72+C72</f>
        <v>410.05750096646256</v>
      </c>
      <c r="P72" s="20">
        <f t="shared" si="41"/>
        <v>170.95980413263982</v>
      </c>
      <c r="Q72" s="21">
        <f>(N72-Geraetedaten!$B$161)/(Geraetedaten!$B$174-Geraetedaten!$B$161)*(Geraetedaten!$B$175-Geraetedaten!$B$162)+Geraetedaten!$B$162</f>
        <v>26.391668984870662</v>
      </c>
      <c r="R72" s="21">
        <f t="shared" si="42"/>
        <v>26.391668984870662</v>
      </c>
      <c r="S72" s="21">
        <f t="shared" si="43"/>
        <v>14.373933128355977</v>
      </c>
      <c r="T72" s="88">
        <f t="shared" si="44"/>
        <v>22.13391601656911</v>
      </c>
      <c r="U72" s="86">
        <f t="shared" si="45"/>
        <v>-5181.8454700000002</v>
      </c>
      <c r="V72" s="85">
        <f t="shared" si="46"/>
        <v>-1141.3067828769733</v>
      </c>
      <c r="W72" s="85">
        <f t="shared" si="47"/>
        <v>-2089.9172333847869</v>
      </c>
      <c r="X72" s="90">
        <f t="shared" si="48"/>
        <v>1141.3067828769733</v>
      </c>
      <c r="Y72" s="86">
        <f t="shared" si="49"/>
        <v>-10000.37833</v>
      </c>
      <c r="Z72" s="85">
        <f t="shared" si="50"/>
        <v>-750</v>
      </c>
      <c r="AA72" s="85">
        <f t="shared" si="51"/>
        <v>-894.27246962696051</v>
      </c>
      <c r="AB72" s="90">
        <f t="shared" si="52"/>
        <v>750</v>
      </c>
      <c r="AC72" s="86">
        <f t="shared" si="53"/>
        <v>4986.2298600000004</v>
      </c>
      <c r="AD72" s="85">
        <f t="shared" si="54"/>
        <v>1055.7627565116984</v>
      </c>
      <c r="AE72" s="85">
        <f t="shared" si="55"/>
        <v>1941.5069469638725</v>
      </c>
      <c r="AF72" s="90">
        <f t="shared" si="56"/>
        <v>1055.7627565116984</v>
      </c>
      <c r="AG72" s="86">
        <f t="shared" si="57"/>
        <v>10616.5944</v>
      </c>
      <c r="AH72" s="85">
        <f t="shared" si="58"/>
        <v>6128</v>
      </c>
      <c r="AI72" s="85">
        <f t="shared" si="59"/>
        <v>7306.8022584986857</v>
      </c>
      <c r="AJ72" s="90">
        <f t="shared" si="60"/>
        <v>6128</v>
      </c>
      <c r="AL72" s="95">
        <f t="shared" si="61"/>
        <v>0</v>
      </c>
      <c r="AM72" s="95">
        <f t="shared" si="62"/>
        <v>0</v>
      </c>
      <c r="AN72" s="95">
        <f t="shared" si="63"/>
        <v>0</v>
      </c>
      <c r="AO72" s="95">
        <f t="shared" si="64"/>
        <v>0</v>
      </c>
      <c r="AP72"/>
      <c r="AQ72" s="95">
        <f t="shared" si="65"/>
        <v>0</v>
      </c>
      <c r="AR72" s="95">
        <f t="shared" si="66"/>
        <v>0</v>
      </c>
      <c r="AS72" s="95">
        <f>Geraetedaten!$B$94*ABS(SIN(RADIANS($A72)))</f>
        <v>83.874411392314173</v>
      </c>
      <c r="AT72" s="95">
        <f>Geraetedaten!$B$94*ABS(COS(RADIANS($A72)))</f>
        <v>129.15526746359529</v>
      </c>
      <c r="AU72" s="95">
        <f>((h_Aw_Sw+Geraetedaten!$B$18)/1000)*(AQ72*AS72+AR72*AT72)/100</f>
        <v>0</v>
      </c>
    </row>
    <row r="73" spans="1:47" ht="13.5" x14ac:dyDescent="0.25">
      <c r="A73" s="16">
        <v>34</v>
      </c>
      <c r="B73" s="16">
        <f t="shared" si="34"/>
        <v>416</v>
      </c>
      <c r="C73" s="19">
        <f t="shared" si="35"/>
        <v>60.362702088343596</v>
      </c>
      <c r="D73" s="17">
        <f t="shared" si="36"/>
        <v>-5107.8458320883428</v>
      </c>
      <c r="E73" s="17">
        <f t="shared" si="37"/>
        <v>-10176.940352088342</v>
      </c>
      <c r="F73" s="17">
        <f t="shared" si="38"/>
        <v>4795.8090879116571</v>
      </c>
      <c r="G73" s="17">
        <f t="shared" si="39"/>
        <v>10679.591127911657</v>
      </c>
      <c r="H73" s="17">
        <f t="shared" si="67"/>
        <v>4795.8090879116571</v>
      </c>
      <c r="I73" s="17">
        <f t="shared" si="40"/>
        <v>1890.8657479231322</v>
      </c>
      <c r="J73" s="20">
        <f>(Geraetedaten!$B$152+(Geraetedaten!$B$153*(Geraetedaten!$B$18+d_y_Sw)/1000))*10</f>
        <v>6051.0442000000003</v>
      </c>
      <c r="K73" s="20">
        <f>(Geraetedaten!$B$165+(Geraetedaten!$B$166*(Geraetedaten!$B$18+d_y_Sw)/1000))*10</f>
        <v>10816.164000000001</v>
      </c>
      <c r="L73" s="20">
        <f>(Geraetedaten!$B$158+(Geraetedaten!$B$159*(Geraetedaten!$B$18+d_y_Sw)/1000)-(Geraetedaten!$B$160*I73/1000))*10</f>
        <v>462.87941470479655</v>
      </c>
      <c r="M73" s="20">
        <f>(Geraetedaten!$B$171+(Geraetedaten!$B$172*(Geraetedaten!$B$18+d_y_Sw)/1000)-(Geraetedaten!$B$173*I73/1000))*10</f>
        <v>924.11095372460295</v>
      </c>
      <c r="N73" s="20">
        <f>IF((H73-J73)/(K73-J73)*(Geraetedaten!$B$174-Geraetedaten!$B$161)&lt;Geraetedaten!$B$174,(H73-J73)/(K73-J73)*(Geraetedaten!$B$174-Geraetedaten!$B$161),Geraetedaten!$B$174)</f>
        <v>-105.3686089561352</v>
      </c>
      <c r="O73" s="20">
        <f>N73/Geraetedaten!$B$174*(M73-L73)+L73+C73</f>
        <v>401.74380261010418</v>
      </c>
      <c r="P73" s="20">
        <f t="shared" si="41"/>
        <v>169.40419041533832</v>
      </c>
      <c r="Q73" s="21">
        <f>(N73-Geraetedaten!$B$161)/(Geraetedaten!$B$174-Geraetedaten!$B$161)*(Geraetedaten!$B$175-Geraetedaten!$B$162)+Geraetedaten!$B$162</f>
        <v>26.065283883554976</v>
      </c>
      <c r="R73" s="21">
        <f t="shared" si="42"/>
        <v>26.065283883554976</v>
      </c>
      <c r="S73" s="21">
        <f t="shared" si="43"/>
        <v>14.575521774634373</v>
      </c>
      <c r="T73" s="88">
        <f t="shared" si="44"/>
        <v>21.609099678780467</v>
      </c>
      <c r="U73" s="86">
        <f t="shared" si="45"/>
        <v>-5047.4831299999996</v>
      </c>
      <c r="V73" s="85">
        <f t="shared" si="46"/>
        <v>-1141.3067828769733</v>
      </c>
      <c r="W73" s="85">
        <f t="shared" si="47"/>
        <v>-2035.726856467588</v>
      </c>
      <c r="X73" s="90">
        <f t="shared" si="48"/>
        <v>1141.3067828769733</v>
      </c>
      <c r="Y73" s="86">
        <f t="shared" si="49"/>
        <v>-10116.577649999999</v>
      </c>
      <c r="Z73" s="85">
        <f t="shared" si="50"/>
        <v>-750</v>
      </c>
      <c r="AA73" s="85">
        <f t="shared" si="51"/>
        <v>-904.66346137792902</v>
      </c>
      <c r="AB73" s="90">
        <f t="shared" si="52"/>
        <v>750</v>
      </c>
      <c r="AC73" s="86">
        <f t="shared" si="53"/>
        <v>4856.1717900000003</v>
      </c>
      <c r="AD73" s="85">
        <f t="shared" si="54"/>
        <v>1055.7627565116984</v>
      </c>
      <c r="AE73" s="85">
        <f t="shared" si="55"/>
        <v>1890.8657479231322</v>
      </c>
      <c r="AF73" s="90">
        <f t="shared" si="56"/>
        <v>1055.7627565116984</v>
      </c>
      <c r="AG73" s="86">
        <f t="shared" si="57"/>
        <v>10739.95383</v>
      </c>
      <c r="AH73" s="85">
        <f t="shared" si="58"/>
        <v>6128</v>
      </c>
      <c r="AI73" s="85">
        <f t="shared" si="59"/>
        <v>7391.7035884319321</v>
      </c>
      <c r="AJ73" s="90">
        <f t="shared" si="60"/>
        <v>6128</v>
      </c>
      <c r="AL73" s="95">
        <f t="shared" si="61"/>
        <v>0</v>
      </c>
      <c r="AM73" s="95">
        <f t="shared" si="62"/>
        <v>0</v>
      </c>
      <c r="AN73" s="95">
        <f t="shared" si="63"/>
        <v>0</v>
      </c>
      <c r="AO73" s="95">
        <f t="shared" si="64"/>
        <v>0</v>
      </c>
      <c r="AP73"/>
      <c r="AQ73" s="95">
        <f t="shared" si="65"/>
        <v>0</v>
      </c>
      <c r="AR73" s="95">
        <f t="shared" si="66"/>
        <v>0</v>
      </c>
      <c r="AS73" s="95">
        <f>Geraetedaten!$B$94*ABS(SIN(RADIANS($A73)))</f>
        <v>86.115707134495025</v>
      </c>
      <c r="AT73" s="95">
        <f>Geraetedaten!$B$94*ABS(COS(RADIANS($A73)))</f>
        <v>127.67178617347641</v>
      </c>
      <c r="AU73" s="95">
        <f>((h_Aw_Sw+Geraetedaten!$B$18)/1000)*(AQ73*AS73+AR73*AT73)/100</f>
        <v>0</v>
      </c>
    </row>
    <row r="74" spans="1:47" ht="13.5" x14ac:dyDescent="0.25">
      <c r="A74" s="16">
        <v>35</v>
      </c>
      <c r="B74" s="16">
        <f t="shared" si="34"/>
        <v>415</v>
      </c>
      <c r="C74" s="19">
        <f t="shared" si="35"/>
        <v>60.980707940875263</v>
      </c>
      <c r="D74" s="17">
        <f t="shared" si="36"/>
        <v>-4982.3544879408755</v>
      </c>
      <c r="E74" s="17">
        <f t="shared" si="37"/>
        <v>-10299.645237940875</v>
      </c>
      <c r="F74" s="17">
        <f t="shared" si="38"/>
        <v>4673.1506620591244</v>
      </c>
      <c r="G74" s="17">
        <f t="shared" si="39"/>
        <v>10808.582902059125</v>
      </c>
      <c r="H74" s="17">
        <f t="shared" si="67"/>
        <v>4673.1506620591244</v>
      </c>
      <c r="I74" s="17">
        <f t="shared" si="40"/>
        <v>1843.3464153585685</v>
      </c>
      <c r="J74" s="20">
        <f>(Geraetedaten!$B$152+(Geraetedaten!$B$153*(Geraetedaten!$B$18+d_y_Sw)/1000))*10</f>
        <v>6051.0442000000003</v>
      </c>
      <c r="K74" s="20">
        <f>(Geraetedaten!$B$165+(Geraetedaten!$B$166*(Geraetedaten!$B$18+d_y_Sw)/1000))*10</f>
        <v>10816.164000000001</v>
      </c>
      <c r="L74" s="20">
        <f>(Geraetedaten!$B$158+(Geraetedaten!$B$159*(Geraetedaten!$B$18+d_y_Sw)/1000)-(Geraetedaten!$B$160*I74/1000))*10</f>
        <v>466.36400736175597</v>
      </c>
      <c r="M74" s="20">
        <f>(Geraetedaten!$B$171+(Geraetedaten!$B$172*(Geraetedaten!$B$18+d_y_Sw)/1000)-(Geraetedaten!$B$173*I74/1000))*10</f>
        <v>927.64829284070913</v>
      </c>
      <c r="N74" s="20">
        <f>IF((H74-J74)/(K74-J74)*(Geraetedaten!$B$174-Geraetedaten!$B$161)&lt;Geraetedaten!$B$174,(H74-J74)/(K74-J74)*(Geraetedaten!$B$174-Geraetedaten!$B$161),Geraetedaten!$B$174)</f>
        <v>-115.66496506055321</v>
      </c>
      <c r="O74" s="20">
        <f>N74/Geraetedaten!$B$174*(M74-L74)+L74+C74</f>
        <v>393.95863839536781</v>
      </c>
      <c r="P74" s="20">
        <f t="shared" si="41"/>
        <v>167.91904680433254</v>
      </c>
      <c r="Q74" s="21">
        <f>(N74-Geraetedaten!$B$161)/(Geraetedaten!$B$174-Geraetedaten!$B$161)*(Geraetedaten!$B$175-Geraetedaten!$B$162)+Geraetedaten!$B$162</f>
        <v>25.758967289448542</v>
      </c>
      <c r="R74" s="21">
        <f t="shared" si="42"/>
        <v>25.758967289448542</v>
      </c>
      <c r="S74" s="21">
        <f t="shared" si="43"/>
        <v>14.77473666196506</v>
      </c>
      <c r="T74" s="88">
        <f t="shared" si="44"/>
        <v>21.100510713925043</v>
      </c>
      <c r="U74" s="86">
        <f t="shared" si="45"/>
        <v>-4921.3737799999999</v>
      </c>
      <c r="V74" s="85">
        <f t="shared" si="46"/>
        <v>-1141.3067828769733</v>
      </c>
      <c r="W74" s="85">
        <f t="shared" si="47"/>
        <v>-1984.8650330611438</v>
      </c>
      <c r="X74" s="90">
        <f t="shared" si="48"/>
        <v>1141.3067828769733</v>
      </c>
      <c r="Y74" s="86">
        <f t="shared" si="49"/>
        <v>-10238.66453</v>
      </c>
      <c r="Z74" s="85">
        <f t="shared" si="50"/>
        <v>-750</v>
      </c>
      <c r="AA74" s="85">
        <f t="shared" si="51"/>
        <v>-915.58094157109201</v>
      </c>
      <c r="AB74" s="90">
        <f t="shared" si="52"/>
        <v>750</v>
      </c>
      <c r="AC74" s="86">
        <f t="shared" si="53"/>
        <v>4734.1313700000001</v>
      </c>
      <c r="AD74" s="85">
        <f t="shared" si="54"/>
        <v>1055.7627565116984</v>
      </c>
      <c r="AE74" s="85">
        <f t="shared" si="55"/>
        <v>1843.3464153585685</v>
      </c>
      <c r="AF74" s="90">
        <f t="shared" si="56"/>
        <v>1055.7627565116984</v>
      </c>
      <c r="AG74" s="86">
        <f t="shared" si="57"/>
        <v>10869.563609999999</v>
      </c>
      <c r="AH74" s="85">
        <f t="shared" si="58"/>
        <v>6128</v>
      </c>
      <c r="AI74" s="85">
        <f t="shared" si="59"/>
        <v>7480.9066799302027</v>
      </c>
      <c r="AJ74" s="90">
        <f t="shared" si="60"/>
        <v>6128</v>
      </c>
      <c r="AL74" s="95">
        <f t="shared" si="61"/>
        <v>0</v>
      </c>
      <c r="AM74" s="95">
        <f t="shared" si="62"/>
        <v>0</v>
      </c>
      <c r="AN74" s="95">
        <f t="shared" si="63"/>
        <v>0</v>
      </c>
      <c r="AO74" s="95">
        <f t="shared" si="64"/>
        <v>0</v>
      </c>
      <c r="AP74"/>
      <c r="AQ74" s="95">
        <f t="shared" si="65"/>
        <v>0</v>
      </c>
      <c r="AR74" s="95">
        <f t="shared" si="66"/>
        <v>0</v>
      </c>
      <c r="AS74" s="95">
        <f>Geraetedaten!$B$94*ABS(SIN(RADIANS($A74)))</f>
        <v>88.330771198061086</v>
      </c>
      <c r="AT74" s="95">
        <f>Geraetedaten!$B$94*ABS(COS(RADIANS($A74)))</f>
        <v>126.14941482050473</v>
      </c>
      <c r="AU74" s="95">
        <f>((h_Aw_Sw+Geraetedaten!$B$18)/1000)*(AQ74*AS74+AR74*AT74)/100</f>
        <v>0</v>
      </c>
    </row>
    <row r="75" spans="1:47" ht="13.5" x14ac:dyDescent="0.25">
      <c r="A75" s="16">
        <v>36</v>
      </c>
      <c r="B75" s="16">
        <f t="shared" si="34"/>
        <v>414</v>
      </c>
      <c r="C75" s="19">
        <f t="shared" si="35"/>
        <v>61.580138479034758</v>
      </c>
      <c r="D75" s="17">
        <f t="shared" si="36"/>
        <v>-4864.4198784790351</v>
      </c>
      <c r="E75" s="17">
        <f t="shared" si="37"/>
        <v>-10428.510668479033</v>
      </c>
      <c r="F75" s="17">
        <f t="shared" si="38"/>
        <v>4557.8670715209655</v>
      </c>
      <c r="G75" s="17">
        <f t="shared" si="39"/>
        <v>10944.153131520965</v>
      </c>
      <c r="H75" s="17">
        <f t="shared" si="67"/>
        <v>4557.8670715209655</v>
      </c>
      <c r="I75" s="17">
        <f t="shared" si="40"/>
        <v>1798.6914140973299</v>
      </c>
      <c r="J75" s="20">
        <f>(Geraetedaten!$B$152+(Geraetedaten!$B$153*(Geraetedaten!$B$18+d_y_Sw)/1000))*10</f>
        <v>6051.0442000000003</v>
      </c>
      <c r="K75" s="20">
        <f>(Geraetedaten!$B$165+(Geraetedaten!$B$166*(Geraetedaten!$B$18+d_y_Sw)/1000))*10</f>
        <v>10816.164000000001</v>
      </c>
      <c r="L75" s="20">
        <f>(Geraetedaten!$B$158+(Geraetedaten!$B$159*(Geraetedaten!$B$18+d_y_Sw)/1000)-(Geraetedaten!$B$160*I75/1000))*10</f>
        <v>469.63855860424258</v>
      </c>
      <c r="M75" s="20">
        <f>(Geraetedaten!$B$171+(Geraetedaten!$B$172*(Geraetedaten!$B$18+d_y_Sw)/1000)-(Geraetedaten!$B$173*I75/1000))*10</f>
        <v>930.97241113459575</v>
      </c>
      <c r="N75" s="20">
        <f>IF((H75-J75)/(K75-J75)*(Geraetedaten!$B$174-Geraetedaten!$B$161)&lt;Geraetedaten!$B$174,(H75-J75)/(K75-J75)*(Geraetedaten!$B$174-Geraetedaten!$B$161),Geraetedaten!$B$174)</f>
        <v>-125.34225296740993</v>
      </c>
      <c r="O75" s="20">
        <f>N75/Geraetedaten!$B$174*(M75-L75)+L75+C75</f>
        <v>386.65713596755404</v>
      </c>
      <c r="P75" s="20">
        <f t="shared" si="41"/>
        <v>166.5003542093753</v>
      </c>
      <c r="Q75" s="21">
        <f>(N75-Geraetedaten!$B$161)/(Geraetedaten!$B$174-Geraetedaten!$B$161)*(Geraetedaten!$B$175-Geraetedaten!$B$162)+Geraetedaten!$B$162</f>
        <v>25.471067974219554</v>
      </c>
      <c r="R75" s="21">
        <f t="shared" si="42"/>
        <v>25.471067974219554</v>
      </c>
      <c r="S75" s="21">
        <f t="shared" si="43"/>
        <v>14.971518115385374</v>
      </c>
      <c r="T75" s="88">
        <f t="shared" si="44"/>
        <v>20.606526856023084</v>
      </c>
      <c r="U75" s="86">
        <f t="shared" si="45"/>
        <v>-4802.8397400000003</v>
      </c>
      <c r="V75" s="85">
        <f t="shared" si="46"/>
        <v>-1141.3067828769733</v>
      </c>
      <c r="W75" s="85">
        <f t="shared" si="47"/>
        <v>-1937.0584472650698</v>
      </c>
      <c r="X75" s="90">
        <f t="shared" si="48"/>
        <v>1141.3067828769733</v>
      </c>
      <c r="Y75" s="86">
        <f t="shared" si="49"/>
        <v>-10366.93053</v>
      </c>
      <c r="Z75" s="85">
        <f t="shared" si="50"/>
        <v>-750</v>
      </c>
      <c r="AA75" s="85">
        <f t="shared" si="51"/>
        <v>-927.05098312484222</v>
      </c>
      <c r="AB75" s="90">
        <f t="shared" si="52"/>
        <v>750</v>
      </c>
      <c r="AC75" s="86">
        <f t="shared" si="53"/>
        <v>4619.4472100000003</v>
      </c>
      <c r="AD75" s="85">
        <f t="shared" si="54"/>
        <v>1055.7627565116984</v>
      </c>
      <c r="AE75" s="85">
        <f t="shared" si="55"/>
        <v>1798.6914140973299</v>
      </c>
      <c r="AF75" s="90">
        <f t="shared" si="56"/>
        <v>1055.7627565116984</v>
      </c>
      <c r="AG75" s="86">
        <f t="shared" si="57"/>
        <v>11005.733270000001</v>
      </c>
      <c r="AH75" s="85">
        <f t="shared" si="58"/>
        <v>6128</v>
      </c>
      <c r="AI75" s="85">
        <f t="shared" si="59"/>
        <v>7574.6245661187113</v>
      </c>
      <c r="AJ75" s="90">
        <f t="shared" si="60"/>
        <v>6128</v>
      </c>
      <c r="AL75" s="95">
        <f t="shared" si="61"/>
        <v>0</v>
      </c>
      <c r="AM75" s="95">
        <f t="shared" si="62"/>
        <v>0</v>
      </c>
      <c r="AN75" s="95">
        <f t="shared" si="63"/>
        <v>0</v>
      </c>
      <c r="AO75" s="95">
        <f t="shared" si="64"/>
        <v>0</v>
      </c>
      <c r="AP75"/>
      <c r="AQ75" s="95">
        <f t="shared" si="65"/>
        <v>0</v>
      </c>
      <c r="AR75" s="95">
        <f t="shared" si="66"/>
        <v>0</v>
      </c>
      <c r="AS75" s="95">
        <f>Geraetedaten!$B$94*ABS(SIN(RADIANS($A75)))</f>
        <v>90.518928853040862</v>
      </c>
      <c r="AT75" s="95">
        <f>Geraetedaten!$B$94*ABS(COS(RADIANS($A75)))</f>
        <v>124.58861713374191</v>
      </c>
      <c r="AU75" s="95">
        <f>((h_Aw_Sw+Geraetedaten!$B$18)/1000)*(AQ75*AS75+AR75*AT75)/100</f>
        <v>0</v>
      </c>
    </row>
    <row r="76" spans="1:47" ht="13.5" x14ac:dyDescent="0.25">
      <c r="A76" s="16">
        <v>37</v>
      </c>
      <c r="B76" s="16">
        <f t="shared" si="34"/>
        <v>413</v>
      </c>
      <c r="C76" s="19">
        <f t="shared" si="35"/>
        <v>62.160811110473347</v>
      </c>
      <c r="D76" s="17">
        <f t="shared" si="36"/>
        <v>-4753.4375311104732</v>
      </c>
      <c r="E76" s="17">
        <f t="shared" si="37"/>
        <v>-10563.851341110474</v>
      </c>
      <c r="F76" s="17">
        <f t="shared" si="38"/>
        <v>4449.3689988895267</v>
      </c>
      <c r="G76" s="17">
        <f t="shared" si="39"/>
        <v>11086.636288889526</v>
      </c>
      <c r="H76" s="17">
        <f t="shared" si="67"/>
        <v>4449.3689988895267</v>
      </c>
      <c r="I76" s="17">
        <f t="shared" si="40"/>
        <v>1756.6712155344005</v>
      </c>
      <c r="J76" s="20">
        <f>(Geraetedaten!$B$152+(Geraetedaten!$B$153*(Geraetedaten!$B$18+d_y_Sw)/1000))*10</f>
        <v>6051.0442000000003</v>
      </c>
      <c r="K76" s="20">
        <f>(Geraetedaten!$B$165+(Geraetedaten!$B$166*(Geraetedaten!$B$18+d_y_Sw)/1000))*10</f>
        <v>10816.164000000001</v>
      </c>
      <c r="L76" s="20">
        <f>(Geraetedaten!$B$158+(Geraetedaten!$B$159*(Geraetedaten!$B$18+d_y_Sw)/1000)-(Geraetedaten!$B$160*I76/1000))*10</f>
        <v>472.71989976486219</v>
      </c>
      <c r="M76" s="20">
        <f>(Geraetedaten!$B$171+(Geraetedaten!$B$172*(Geraetedaten!$B$18+d_y_Sw)/1000)-(Geraetedaten!$B$173*I76/1000))*10</f>
        <v>934.10039471562015</v>
      </c>
      <c r="N76" s="20">
        <f>IF((H76-J76)/(K76-J76)*(Geraetedaten!$B$174-Geraetedaten!$B$161)&lt;Geraetedaten!$B$174,(H76-J76)/(K76-J76)*(Geraetedaten!$B$174-Geraetedaten!$B$161),Geraetedaten!$B$174)</f>
        <v>-134.44994193937987</v>
      </c>
      <c r="O76" s="20">
        <f>N76/Geraetedaten!$B$174*(M76-L76)+L76+C76</f>
        <v>379.79925898010617</v>
      </c>
      <c r="P76" s="20">
        <f t="shared" si="41"/>
        <v>165.14434664585403</v>
      </c>
      <c r="Q76" s="21">
        <f>(N76-Geraetedaten!$B$161)/(Geraetedaten!$B$174-Geraetedaten!$B$161)*(Geraetedaten!$B$175-Geraetedaten!$B$162)+Geraetedaten!$B$162</f>
        <v>25.200114227303448</v>
      </c>
      <c r="R76" s="21">
        <f t="shared" si="42"/>
        <v>25.200114227303448</v>
      </c>
      <c r="S76" s="21">
        <f t="shared" si="43"/>
        <v>15.165807327138886</v>
      </c>
      <c r="T76" s="88">
        <f t="shared" si="44"/>
        <v>20.125706079172531</v>
      </c>
      <c r="U76" s="86">
        <f t="shared" si="45"/>
        <v>-4691.2767199999998</v>
      </c>
      <c r="V76" s="85">
        <f t="shared" si="46"/>
        <v>-1141.3067828769733</v>
      </c>
      <c r="W76" s="85">
        <f t="shared" si="47"/>
        <v>-1892.063382035549</v>
      </c>
      <c r="X76" s="90">
        <f t="shared" si="48"/>
        <v>1141.3067828769733</v>
      </c>
      <c r="Y76" s="86">
        <f t="shared" si="49"/>
        <v>-10501.69053</v>
      </c>
      <c r="Z76" s="85">
        <f t="shared" si="50"/>
        <v>-750</v>
      </c>
      <c r="AA76" s="85">
        <f t="shared" si="51"/>
        <v>-939.10174361716929</v>
      </c>
      <c r="AB76" s="90">
        <f t="shared" si="52"/>
        <v>750</v>
      </c>
      <c r="AC76" s="86">
        <f t="shared" si="53"/>
        <v>4511.52981</v>
      </c>
      <c r="AD76" s="85">
        <f t="shared" si="54"/>
        <v>1055.7627565116984</v>
      </c>
      <c r="AE76" s="85">
        <f t="shared" si="55"/>
        <v>1756.6712155344005</v>
      </c>
      <c r="AF76" s="90">
        <f t="shared" si="56"/>
        <v>1055.7627565116984</v>
      </c>
      <c r="AG76" s="86">
        <f t="shared" si="57"/>
        <v>11148.7971</v>
      </c>
      <c r="AH76" s="85">
        <f t="shared" si="58"/>
        <v>6128</v>
      </c>
      <c r="AI76" s="85">
        <f t="shared" si="59"/>
        <v>7673.0873131813514</v>
      </c>
      <c r="AJ76" s="90">
        <f t="shared" si="60"/>
        <v>6128</v>
      </c>
      <c r="AL76" s="95">
        <f t="shared" si="61"/>
        <v>0</v>
      </c>
      <c r="AM76" s="95">
        <f t="shared" si="62"/>
        <v>0</v>
      </c>
      <c r="AN76" s="95">
        <f t="shared" si="63"/>
        <v>0</v>
      </c>
      <c r="AO76" s="95">
        <f t="shared" si="64"/>
        <v>0</v>
      </c>
      <c r="AP76"/>
      <c r="AQ76" s="95">
        <f t="shared" si="65"/>
        <v>0</v>
      </c>
      <c r="AR76" s="95">
        <f t="shared" si="66"/>
        <v>0</v>
      </c>
      <c r="AS76" s="95">
        <f>Geraetedaten!$B$94*ABS(SIN(RADIANS($A76)))</f>
        <v>92.679513565415434</v>
      </c>
      <c r="AT76" s="95">
        <f>Geraetedaten!$B$94*ABS(COS(RADIANS($A76)))</f>
        <v>122.98986854728309</v>
      </c>
      <c r="AU76" s="95">
        <f>((h_Aw_Sw+Geraetedaten!$B$18)/1000)*(AQ76*AS76+AR76*AT76)/100</f>
        <v>0</v>
      </c>
    </row>
    <row r="77" spans="1:47" ht="13.5" x14ac:dyDescent="0.25">
      <c r="A77" s="16">
        <v>38</v>
      </c>
      <c r="B77" s="16">
        <f t="shared" si="34"/>
        <v>412</v>
      </c>
      <c r="C77" s="19">
        <f t="shared" si="35"/>
        <v>62.722548956682388</v>
      </c>
      <c r="D77" s="17">
        <f t="shared" si="36"/>
        <v>-4648.866758956683</v>
      </c>
      <c r="E77" s="17">
        <f t="shared" si="37"/>
        <v>-10706.007478956682</v>
      </c>
      <c r="F77" s="17">
        <f t="shared" si="38"/>
        <v>4347.1296210433175</v>
      </c>
      <c r="G77" s="17">
        <f t="shared" si="39"/>
        <v>11236.393881043317</v>
      </c>
      <c r="H77" s="17">
        <f t="shared" si="67"/>
        <v>4347.1296210433175</v>
      </c>
      <c r="I77" s="17">
        <f t="shared" si="40"/>
        <v>1717.0806102871954</v>
      </c>
      <c r="J77" s="20">
        <f>(Geraetedaten!$B$152+(Geraetedaten!$B$153*(Geraetedaten!$B$18+d_y_Sw)/1000))*10</f>
        <v>6051.0442000000003</v>
      </c>
      <c r="K77" s="20">
        <f>(Geraetedaten!$B$165+(Geraetedaten!$B$166*(Geraetedaten!$B$18+d_y_Sw)/1000))*10</f>
        <v>10816.164000000001</v>
      </c>
      <c r="L77" s="20">
        <f>(Geraetedaten!$B$158+(Geraetedaten!$B$159*(Geraetedaten!$B$18+d_y_Sw)/1000)-(Geraetedaten!$B$160*I77/1000))*10</f>
        <v>475.62307884763976</v>
      </c>
      <c r="M77" s="20">
        <f>(Geraetedaten!$B$171+(Geraetedaten!$B$172*(Geraetedaten!$B$18+d_y_Sw)/1000)-(Geraetedaten!$B$173*I77/1000))*10</f>
        <v>937.04751937022206</v>
      </c>
      <c r="N77" s="20">
        <f>IF((H77-J77)/(K77-J77)*(Geraetedaten!$B$174-Geraetedaten!$B$161)&lt;Geraetedaten!$B$174,(H77-J77)/(K77-J77)*(Geraetedaten!$B$174-Geraetedaten!$B$161),Geraetedaten!$B$174)</f>
        <v>-143.03225526096386</v>
      </c>
      <c r="O77" s="20">
        <f>N77/Geraetedaten!$B$174*(M77-L77)+L77+C77</f>
        <v>373.34918190313857</v>
      </c>
      <c r="P77" s="20">
        <f t="shared" si="41"/>
        <v>163.84749472118236</v>
      </c>
      <c r="Q77" s="21">
        <f>(N77-Geraetedaten!$B$161)/(Geraetedaten!$B$174-Geraetedaten!$B$161)*(Geraetedaten!$B$175-Geraetedaten!$B$162)+Geraetedaten!$B$162</f>
        <v>24.944790405986325</v>
      </c>
      <c r="R77" s="21">
        <f t="shared" si="42"/>
        <v>24.944790405986325</v>
      </c>
      <c r="S77" s="21">
        <f t="shared" si="43"/>
        <v>15.357546463038867</v>
      </c>
      <c r="T77" s="88">
        <f t="shared" si="44"/>
        <v>19.656763086383009</v>
      </c>
      <c r="U77" s="86">
        <f t="shared" si="45"/>
        <v>-4586.1442100000004</v>
      </c>
      <c r="V77" s="85">
        <f t="shared" si="46"/>
        <v>-1141.3067828769733</v>
      </c>
      <c r="W77" s="85">
        <f t="shared" si="47"/>
        <v>-1849.6618384979693</v>
      </c>
      <c r="X77" s="90">
        <f t="shared" si="48"/>
        <v>1141.3067828769733</v>
      </c>
      <c r="Y77" s="86">
        <f t="shared" si="49"/>
        <v>-10643.28493</v>
      </c>
      <c r="Z77" s="85">
        <f t="shared" si="50"/>
        <v>-750</v>
      </c>
      <c r="AA77" s="85">
        <f t="shared" si="51"/>
        <v>-951.76366130443409</v>
      </c>
      <c r="AB77" s="90">
        <f t="shared" si="52"/>
        <v>750</v>
      </c>
      <c r="AC77" s="86">
        <f t="shared" si="53"/>
        <v>4409.8521700000001</v>
      </c>
      <c r="AD77" s="85">
        <f t="shared" si="54"/>
        <v>1055.7627565116984</v>
      </c>
      <c r="AE77" s="85">
        <f t="shared" si="55"/>
        <v>1717.0806102871954</v>
      </c>
      <c r="AF77" s="90">
        <f t="shared" si="56"/>
        <v>1055.7627565116984</v>
      </c>
      <c r="AG77" s="86">
        <f t="shared" si="57"/>
        <v>11299.11643</v>
      </c>
      <c r="AH77" s="85">
        <f t="shared" si="58"/>
        <v>6128</v>
      </c>
      <c r="AI77" s="85">
        <f t="shared" si="59"/>
        <v>7776.5436219647627</v>
      </c>
      <c r="AJ77" s="90">
        <f t="shared" si="60"/>
        <v>6128</v>
      </c>
      <c r="AL77" s="95">
        <f t="shared" si="61"/>
        <v>0</v>
      </c>
      <c r="AM77" s="95">
        <f t="shared" si="62"/>
        <v>0</v>
      </c>
      <c r="AN77" s="95">
        <f t="shared" si="63"/>
        <v>0</v>
      </c>
      <c r="AO77" s="95">
        <f t="shared" si="64"/>
        <v>0</v>
      </c>
      <c r="AP77"/>
      <c r="AQ77" s="95">
        <f t="shared" si="65"/>
        <v>0</v>
      </c>
      <c r="AR77" s="95">
        <f t="shared" si="66"/>
        <v>0</v>
      </c>
      <c r="AS77" s="95">
        <f>Geraetedaten!$B$94*ABS(SIN(RADIANS($A77)))</f>
        <v>94.811867200151383</v>
      </c>
      <c r="AT77" s="95">
        <f>Geraetedaten!$B$94*ABS(COS(RADIANS($A77)))</f>
        <v>121.35365605543517</v>
      </c>
      <c r="AU77" s="95">
        <f>((h_Aw_Sw+Geraetedaten!$B$18)/1000)*(AQ77*AS77+AR77*AT77)/100</f>
        <v>0</v>
      </c>
    </row>
    <row r="78" spans="1:47" ht="13.5" x14ac:dyDescent="0.25">
      <c r="A78" s="16">
        <v>39</v>
      </c>
      <c r="B78" s="16">
        <f t="shared" si="34"/>
        <v>411</v>
      </c>
      <c r="C78" s="19">
        <f t="shared" si="35"/>
        <v>63.265180906872246</v>
      </c>
      <c r="D78" s="17">
        <f t="shared" si="36"/>
        <v>-4550.2224909068718</v>
      </c>
      <c r="E78" s="17">
        <f t="shared" si="37"/>
        <v>-10855.347220906871</v>
      </c>
      <c r="F78" s="17">
        <f t="shared" si="38"/>
        <v>4250.6765090931276</v>
      </c>
      <c r="G78" s="17">
        <f t="shared" si="39"/>
        <v>11393.817139093127</v>
      </c>
      <c r="H78" s="17">
        <f t="shared" si="67"/>
        <v>4250.6765090931276</v>
      </c>
      <c r="I78" s="17">
        <f t="shared" si="40"/>
        <v>1679.7355891479335</v>
      </c>
      <c r="J78" s="20">
        <f>(Geraetedaten!$B$152+(Geraetedaten!$B$153*(Geraetedaten!$B$18+d_y_Sw)/1000))*10</f>
        <v>6051.0442000000003</v>
      </c>
      <c r="K78" s="20">
        <f>(Geraetedaten!$B$165+(Geraetedaten!$B$166*(Geraetedaten!$B$18+d_y_Sw)/1000))*10</f>
        <v>10816.164000000001</v>
      </c>
      <c r="L78" s="20">
        <f>(Geraetedaten!$B$158+(Geraetedaten!$B$159*(Geraetedaten!$B$18+d_y_Sw)/1000)-(Geraetedaten!$B$160*I78/1000))*10</f>
        <v>478.36158924778181</v>
      </c>
      <c r="M78" s="20">
        <f>(Geraetedaten!$B$171+(Geraetedaten!$B$172*(Geraetedaten!$B$18+d_y_Sw)/1000)-(Geraetedaten!$B$173*I78/1000))*10</f>
        <v>939.82748274382868</v>
      </c>
      <c r="N78" s="20">
        <f>IF((H78-J78)/(K78-J78)*(Geraetedaten!$B$174-Geraetedaten!$B$161)&lt;Geraetedaten!$B$174,(H78-J78)/(K78-J78)*(Geraetedaten!$B$174-Geraetedaten!$B$161),Geraetedaten!$B$174)</f>
        <v>-151.12885018394479</v>
      </c>
      <c r="O78" s="20">
        <f>N78/Geraetedaten!$B$174*(M78-L78)+L78+C78</f>
        <v>367.27474544674328</v>
      </c>
      <c r="P78" s="20">
        <f t="shared" si="41"/>
        <v>162.60648654762153</v>
      </c>
      <c r="Q78" s="21">
        <f>(N78-Geraetedaten!$B$161)/(Geraetedaten!$B$174-Geraetedaten!$B$161)*(Geraetedaten!$B$175-Geraetedaten!$B$162)+Geraetedaten!$B$162</f>
        <v>24.703916707027641</v>
      </c>
      <c r="R78" s="21">
        <f t="shared" si="42"/>
        <v>24.703916707027641</v>
      </c>
      <c r="S78" s="21">
        <f t="shared" si="43"/>
        <v>15.546678522529247</v>
      </c>
      <c r="T78" s="88">
        <f t="shared" si="44"/>
        <v>19.198549101035923</v>
      </c>
      <c r="U78" s="86">
        <f t="shared" si="45"/>
        <v>-4486.9573099999998</v>
      </c>
      <c r="V78" s="85">
        <f t="shared" si="46"/>
        <v>-1141.3067828769733</v>
      </c>
      <c r="W78" s="85">
        <f t="shared" si="47"/>
        <v>-1809.6582509402688</v>
      </c>
      <c r="X78" s="90">
        <f t="shared" si="48"/>
        <v>1141.3067828769733</v>
      </c>
      <c r="Y78" s="86">
        <f t="shared" si="49"/>
        <v>-10792.082039999999</v>
      </c>
      <c r="Z78" s="85">
        <f t="shared" si="50"/>
        <v>-750</v>
      </c>
      <c r="AA78" s="85">
        <f t="shared" si="51"/>
        <v>-965.06967441987547</v>
      </c>
      <c r="AB78" s="90">
        <f t="shared" si="52"/>
        <v>750</v>
      </c>
      <c r="AC78" s="86">
        <f t="shared" si="53"/>
        <v>4313.9416899999997</v>
      </c>
      <c r="AD78" s="85">
        <f t="shared" si="54"/>
        <v>1055.7627565116984</v>
      </c>
      <c r="AE78" s="85">
        <f t="shared" si="55"/>
        <v>1679.7355891479335</v>
      </c>
      <c r="AF78" s="90">
        <f t="shared" si="56"/>
        <v>1055.7627565116984</v>
      </c>
      <c r="AG78" s="86">
        <f t="shared" si="57"/>
        <v>11457.08232</v>
      </c>
      <c r="AH78" s="85">
        <f t="shared" si="58"/>
        <v>6128</v>
      </c>
      <c r="AI78" s="85">
        <f t="shared" si="59"/>
        <v>7885.2626197933296</v>
      </c>
      <c r="AJ78" s="90">
        <f t="shared" si="60"/>
        <v>6128</v>
      </c>
      <c r="AL78" s="95">
        <f t="shared" si="61"/>
        <v>0</v>
      </c>
      <c r="AM78" s="95">
        <f t="shared" si="62"/>
        <v>0</v>
      </c>
      <c r="AN78" s="95">
        <f t="shared" si="63"/>
        <v>0</v>
      </c>
      <c r="AO78" s="95">
        <f t="shared" si="64"/>
        <v>0</v>
      </c>
      <c r="AP78"/>
      <c r="AQ78" s="95">
        <f t="shared" si="65"/>
        <v>0</v>
      </c>
      <c r="AR78" s="95">
        <f t="shared" si="66"/>
        <v>0</v>
      </c>
      <c r="AS78" s="95">
        <f>Geraetedaten!$B$94*ABS(SIN(RADIANS($A78)))</f>
        <v>96.915340221674953</v>
      </c>
      <c r="AT78" s="95">
        <f>Geraetedaten!$B$94*ABS(COS(RADIANS($A78)))</f>
        <v>119.68047806437352</v>
      </c>
      <c r="AU78" s="95">
        <f>((h_Aw_Sw+Geraetedaten!$B$18)/1000)*(AQ78*AS78+AR78*AT78)/100</f>
        <v>0</v>
      </c>
    </row>
    <row r="79" spans="1:47" ht="13.5" x14ac:dyDescent="0.25">
      <c r="A79" s="16">
        <v>40</v>
      </c>
      <c r="B79" s="16">
        <f t="shared" si="34"/>
        <v>410</v>
      </c>
      <c r="C79" s="19">
        <f t="shared" si="35"/>
        <v>63.788541670094304</v>
      </c>
      <c r="D79" s="17">
        <f t="shared" si="36"/>
        <v>-4457.0683616700944</v>
      </c>
      <c r="E79" s="17">
        <f t="shared" si="37"/>
        <v>-11012.269471670093</v>
      </c>
      <c r="F79" s="17">
        <f t="shared" si="38"/>
        <v>4159.5848983299056</v>
      </c>
      <c r="G79" s="17">
        <f t="shared" si="39"/>
        <v>11559.329848329906</v>
      </c>
      <c r="H79" s="17">
        <f t="shared" si="67"/>
        <v>4159.5848983299056</v>
      </c>
      <c r="I79" s="17">
        <f t="shared" si="40"/>
        <v>1644.4706927438078</v>
      </c>
      <c r="J79" s="20">
        <f>(Geraetedaten!$B$152+(Geraetedaten!$B$153*(Geraetedaten!$B$18+d_y_Sw)/1000))*10</f>
        <v>6051.0442000000003</v>
      </c>
      <c r="K79" s="20">
        <f>(Geraetedaten!$B$165+(Geraetedaten!$B$166*(Geraetedaten!$B$18+d_y_Sw)/1000))*10</f>
        <v>10816.164000000001</v>
      </c>
      <c r="L79" s="20">
        <f>(Geraetedaten!$B$158+(Geraetedaten!$B$159*(Geraetedaten!$B$18+d_y_Sw)/1000)-(Geraetedaten!$B$160*I79/1000))*10</f>
        <v>480.9475641010963</v>
      </c>
      <c r="M79" s="20">
        <f>(Geraetedaten!$B$171+(Geraetedaten!$B$172*(Geraetedaten!$B$18+d_y_Sw)/1000)-(Geraetedaten!$B$173*I79/1000))*10</f>
        <v>942.45260163215198</v>
      </c>
      <c r="N79" s="20">
        <f>IF((H79-J79)/(K79-J79)*(Geraetedaten!$B$174-Geraetedaten!$B$161)&lt;Geraetedaten!$B$174,(H79-J79)/(K79-J79)*(Geraetedaten!$B$174-Geraetedaten!$B$161),Geraetedaten!$B$174)</f>
        <v>-158.77538287033997</v>
      </c>
      <c r="O79" s="20">
        <f>N79/Geraetedaten!$B$174*(M79-L79)+L79+C79</f>
        <v>361.54700819473067</v>
      </c>
      <c r="P79" s="20">
        <f t="shared" si="41"/>
        <v>161.41821411514229</v>
      </c>
      <c r="Q79" s="21">
        <f>(N79-Geraetedaten!$B$161)/(Geraetedaten!$B$174-Geraetedaten!$B$161)*(Geraetedaten!$B$175-Geraetedaten!$B$162)+Geraetedaten!$B$162</f>
        <v>24.476432359607387</v>
      </c>
      <c r="R79" s="21">
        <f t="shared" si="42"/>
        <v>24.476432359607387</v>
      </c>
      <c r="S79" s="21">
        <f t="shared" si="43"/>
        <v>15.733147450086292</v>
      </c>
      <c r="T79" s="88">
        <f t="shared" si="44"/>
        <v>18.750034996454772</v>
      </c>
      <c r="U79" s="86">
        <f t="shared" si="45"/>
        <v>-4393.2798199999997</v>
      </c>
      <c r="V79" s="85">
        <f t="shared" si="46"/>
        <v>-1141.3067828769733</v>
      </c>
      <c r="W79" s="85">
        <f t="shared" si="47"/>
        <v>-1771.8766935106983</v>
      </c>
      <c r="X79" s="90">
        <f t="shared" si="48"/>
        <v>1141.3067828769733</v>
      </c>
      <c r="Y79" s="86">
        <f t="shared" si="49"/>
        <v>-10948.48093</v>
      </c>
      <c r="Z79" s="85">
        <f t="shared" si="50"/>
        <v>-750</v>
      </c>
      <c r="AA79" s="85">
        <f t="shared" si="51"/>
        <v>-979.05546699920899</v>
      </c>
      <c r="AB79" s="90">
        <f t="shared" si="52"/>
        <v>750</v>
      </c>
      <c r="AC79" s="86">
        <f t="shared" si="53"/>
        <v>4223.3734400000003</v>
      </c>
      <c r="AD79" s="85">
        <f t="shared" si="54"/>
        <v>1055.7627565116984</v>
      </c>
      <c r="AE79" s="85">
        <f t="shared" si="55"/>
        <v>1644.4706927438078</v>
      </c>
      <c r="AF79" s="90">
        <f t="shared" si="56"/>
        <v>1055.7627565116984</v>
      </c>
      <c r="AG79" s="86">
        <f t="shared" si="57"/>
        <v>11623.11839</v>
      </c>
      <c r="AH79" s="85">
        <f t="shared" si="58"/>
        <v>6128</v>
      </c>
      <c r="AI79" s="85">
        <f t="shared" si="59"/>
        <v>7999.5358690282037</v>
      </c>
      <c r="AJ79" s="90">
        <f t="shared" si="60"/>
        <v>6128</v>
      </c>
      <c r="AL79" s="95">
        <f t="shared" si="61"/>
        <v>0</v>
      </c>
      <c r="AM79" s="95">
        <f t="shared" si="62"/>
        <v>0</v>
      </c>
      <c r="AN79" s="95">
        <f t="shared" si="63"/>
        <v>0</v>
      </c>
      <c r="AO79" s="95">
        <f t="shared" si="64"/>
        <v>0</v>
      </c>
      <c r="AP79"/>
      <c r="AQ79" s="95">
        <f t="shared" si="65"/>
        <v>0</v>
      </c>
      <c r="AR79" s="95">
        <f t="shared" si="66"/>
        <v>0</v>
      </c>
      <c r="AS79" s="95">
        <f>Geraetedaten!$B$94*ABS(SIN(RADIANS($A79)))</f>
        <v>98.989291891727049</v>
      </c>
      <c r="AT79" s="95">
        <f>Geraetedaten!$B$94*ABS(COS(RADIANS($A79)))</f>
        <v>117.97084424032262</v>
      </c>
      <c r="AU79" s="95">
        <f>((h_Aw_Sw+Geraetedaten!$B$18)/1000)*(AQ79*AS79+AR79*AT79)/100</f>
        <v>0</v>
      </c>
    </row>
    <row r="80" spans="1:47" ht="13.5" x14ac:dyDescent="0.25">
      <c r="A80" s="16">
        <v>41</v>
      </c>
      <c r="B80" s="16">
        <f t="shared" si="34"/>
        <v>409</v>
      </c>
      <c r="C80" s="19">
        <f t="shared" si="35"/>
        <v>64.292471825590184</v>
      </c>
      <c r="D80" s="17">
        <f t="shared" si="36"/>
        <v>-4369.0108018255896</v>
      </c>
      <c r="E80" s="17">
        <f t="shared" si="37"/>
        <v>-11177.20689182559</v>
      </c>
      <c r="F80" s="17">
        <f t="shared" si="38"/>
        <v>4073.4718481744098</v>
      </c>
      <c r="G80" s="17">
        <f t="shared" si="39"/>
        <v>11733.391678174408</v>
      </c>
      <c r="H80" s="17">
        <f t="shared" si="67"/>
        <v>4073.4718481744098</v>
      </c>
      <c r="I80" s="17">
        <f t="shared" si="40"/>
        <v>1611.1367497752715</v>
      </c>
      <c r="J80" s="20">
        <f>(Geraetedaten!$B$152+(Geraetedaten!$B$153*(Geraetedaten!$B$18+d_y_Sw)/1000))*10</f>
        <v>6051.0442000000003</v>
      </c>
      <c r="K80" s="20">
        <f>(Geraetedaten!$B$165+(Geraetedaten!$B$166*(Geraetedaten!$B$18+d_y_Sw)/1000))*10</f>
        <v>10816.164000000001</v>
      </c>
      <c r="L80" s="20">
        <f>(Geraetedaten!$B$158+(Geraetedaten!$B$159*(Geraetedaten!$B$18+d_y_Sw)/1000)-(Geraetedaten!$B$160*I80/1000))*10</f>
        <v>483.39194213897912</v>
      </c>
      <c r="M80" s="20">
        <f>(Geraetedaten!$B$171+(Geraetedaten!$B$172*(Geraetedaten!$B$18+d_y_Sw)/1000)-(Geraetedaten!$B$173*I80/1000))*10</f>
        <v>944.93398034672975</v>
      </c>
      <c r="N80" s="20">
        <f>IF((H80-J80)/(K80-J80)*(Geraetedaten!$B$174-Geraetedaten!$B$161)&lt;Geraetedaten!$B$174,(H80-J80)/(K80-J80)*(Geraetedaten!$B$174-Geraetedaten!$B$161),Geraetedaten!$B$174)</f>
        <v>-166.00399862564549</v>
      </c>
      <c r="O80" s="20">
        <f>N80/Geraetedaten!$B$174*(M80-L80)+L80+C80</f>
        <v>356.13985427377668</v>
      </c>
      <c r="P80" s="20">
        <f t="shared" si="41"/>
        <v>160.27975831126506</v>
      </c>
      <c r="Q80" s="21">
        <f>(N80-Geraetedaten!$B$161)/(Geraetedaten!$B$174-Geraetedaten!$B$161)*(Geraetedaten!$B$175-Geraetedaten!$B$162)+Geraetedaten!$B$162</f>
        <v>24.261381040887045</v>
      </c>
      <c r="R80" s="21">
        <f t="shared" si="42"/>
        <v>24.261381040887045</v>
      </c>
      <c r="S80" s="21">
        <f t="shared" si="43"/>
        <v>15.916898087653058</v>
      </c>
      <c r="T80" s="88">
        <f t="shared" si="44"/>
        <v>18.310296700992581</v>
      </c>
      <c r="U80" s="86">
        <f t="shared" si="45"/>
        <v>-4304.7183299999997</v>
      </c>
      <c r="V80" s="85">
        <f t="shared" si="46"/>
        <v>-1141.3067828769733</v>
      </c>
      <c r="W80" s="85">
        <f t="shared" si="47"/>
        <v>-1736.1584948828736</v>
      </c>
      <c r="X80" s="90">
        <f t="shared" si="48"/>
        <v>1141.3067828769733</v>
      </c>
      <c r="Y80" s="86">
        <f t="shared" si="49"/>
        <v>-11112.914419999999</v>
      </c>
      <c r="Z80" s="85">
        <f t="shared" si="50"/>
        <v>-750</v>
      </c>
      <c r="AA80" s="85">
        <f t="shared" si="51"/>
        <v>-993.75974501160852</v>
      </c>
      <c r="AB80" s="90">
        <f t="shared" si="52"/>
        <v>750</v>
      </c>
      <c r="AC80" s="86">
        <f t="shared" si="53"/>
        <v>4137.7643200000002</v>
      </c>
      <c r="AD80" s="85">
        <f t="shared" si="54"/>
        <v>1055.7627565116984</v>
      </c>
      <c r="AE80" s="85">
        <f t="shared" si="55"/>
        <v>1611.1367497752715</v>
      </c>
      <c r="AF80" s="90">
        <f t="shared" si="56"/>
        <v>1055.7627565116984</v>
      </c>
      <c r="AG80" s="86">
        <f t="shared" si="57"/>
        <v>11797.684149999999</v>
      </c>
      <c r="AH80" s="85">
        <f t="shared" si="58"/>
        <v>6128</v>
      </c>
      <c r="AI80" s="85">
        <f t="shared" si="59"/>
        <v>8119.6796232415154</v>
      </c>
      <c r="AJ80" s="90">
        <f t="shared" si="60"/>
        <v>6128</v>
      </c>
      <c r="AL80" s="95">
        <f t="shared" si="61"/>
        <v>0</v>
      </c>
      <c r="AM80" s="95">
        <f t="shared" si="62"/>
        <v>0</v>
      </c>
      <c r="AN80" s="95">
        <f t="shared" si="63"/>
        <v>0</v>
      </c>
      <c r="AO80" s="95">
        <f t="shared" si="64"/>
        <v>0</v>
      </c>
      <c r="AP80"/>
      <c r="AQ80" s="95">
        <f t="shared" si="65"/>
        <v>0</v>
      </c>
      <c r="AR80" s="95">
        <f t="shared" si="66"/>
        <v>0</v>
      </c>
      <c r="AS80" s="95">
        <f>Geraetedaten!$B$94*ABS(SIN(RADIANS($A80)))</f>
        <v>101.03309046453812</v>
      </c>
      <c r="AT80" s="95">
        <f>Geraetedaten!$B$94*ABS(COS(RADIANS($A80)))</f>
        <v>116.22527535430689</v>
      </c>
      <c r="AU80" s="95">
        <f>((h_Aw_Sw+Geraetedaten!$B$18)/1000)*(AQ80*AS80+AR80*AT80)/100</f>
        <v>0</v>
      </c>
    </row>
    <row r="81" spans="1:47" ht="13.5" x14ac:dyDescent="0.25">
      <c r="A81" s="16">
        <v>42</v>
      </c>
      <c r="B81" s="16">
        <f t="shared" si="34"/>
        <v>408</v>
      </c>
      <c r="C81" s="19">
        <f t="shared" si="35"/>
        <v>64.776817871352804</v>
      </c>
      <c r="D81" s="17">
        <f t="shared" si="36"/>
        <v>-4285.693947871353</v>
      </c>
      <c r="E81" s="17">
        <f t="shared" si="37"/>
        <v>-11350.629437871352</v>
      </c>
      <c r="F81" s="17">
        <f t="shared" si="38"/>
        <v>3991.9912621286471</v>
      </c>
      <c r="G81" s="17">
        <f t="shared" si="39"/>
        <v>11916.501862128647</v>
      </c>
      <c r="H81" s="17">
        <f t="shared" si="67"/>
        <v>3991.9912621286471</v>
      </c>
      <c r="I81" s="17">
        <f t="shared" si="40"/>
        <v>1579.5989389872345</v>
      </c>
      <c r="J81" s="20">
        <f>(Geraetedaten!$B$152+(Geraetedaten!$B$153*(Geraetedaten!$B$18+d_y_Sw)/1000))*10</f>
        <v>6051.0442000000003</v>
      </c>
      <c r="K81" s="20">
        <f>(Geraetedaten!$B$165+(Geraetedaten!$B$166*(Geraetedaten!$B$18+d_y_Sw)/1000))*10</f>
        <v>10816.164000000001</v>
      </c>
      <c r="L81" s="20">
        <f>(Geraetedaten!$B$158+(Geraetedaten!$B$159*(Geraetedaten!$B$18+d_y_Sw)/1000)-(Geraetedaten!$B$160*I81/1000))*10</f>
        <v>485.70460980406585</v>
      </c>
      <c r="M81" s="20">
        <f>(Geraetedaten!$B$171+(Geraetedaten!$B$172*(Geraetedaten!$B$18+d_y_Sw)/1000)-(Geraetedaten!$B$173*I81/1000))*10</f>
        <v>947.28165498179123</v>
      </c>
      <c r="N81" s="20">
        <f>IF((H81-J81)/(K81-J81)*(Geraetedaten!$B$174-Geraetedaten!$B$161)&lt;Geraetedaten!$B$174,(H81-J81)/(K81-J81)*(Geraetedaten!$B$174-Geraetedaten!$B$161),Geraetedaten!$B$174)</f>
        <v>-172.84374994067119</v>
      </c>
      <c r="O81" s="20">
        <f>N81/Geraetedaten!$B$174*(M81-L81)+L81+C81</f>
        <v>351.02965923778703</v>
      </c>
      <c r="P81" s="20">
        <f t="shared" si="41"/>
        <v>159.1883757981137</v>
      </c>
      <c r="Q81" s="21">
        <f>(N81-Geraetedaten!$B$161)/(Geraetedaten!$B$174-Geraetedaten!$B$161)*(Geraetedaten!$B$175-Geraetedaten!$B$162)+Geraetedaten!$B$162</f>
        <v>24.057898439265031</v>
      </c>
      <c r="R81" s="21">
        <f t="shared" si="42"/>
        <v>24.057898439265031</v>
      </c>
      <c r="S81" s="21">
        <f t="shared" si="43"/>
        <v>16.097876170385241</v>
      </c>
      <c r="T81" s="88">
        <f t="shared" si="44"/>
        <v>17.878502737000488</v>
      </c>
      <c r="U81" s="86">
        <f t="shared" si="45"/>
        <v>-4220.9171299999998</v>
      </c>
      <c r="V81" s="85">
        <f t="shared" si="46"/>
        <v>-1141.3067828769733</v>
      </c>
      <c r="W81" s="85">
        <f t="shared" si="47"/>
        <v>-1702.3601930635689</v>
      </c>
      <c r="X81" s="90">
        <f t="shared" si="48"/>
        <v>1141.3067828769733</v>
      </c>
      <c r="Y81" s="86">
        <f t="shared" si="49"/>
        <v>-11285.85262</v>
      </c>
      <c r="Z81" s="85">
        <f t="shared" si="50"/>
        <v>-750</v>
      </c>
      <c r="AA81" s="85">
        <f t="shared" si="51"/>
        <v>-1009.2245472047821</v>
      </c>
      <c r="AB81" s="90">
        <f t="shared" si="52"/>
        <v>750</v>
      </c>
      <c r="AC81" s="86">
        <f t="shared" si="53"/>
        <v>4056.7680799999998</v>
      </c>
      <c r="AD81" s="85">
        <f t="shared" si="54"/>
        <v>1055.7627565116984</v>
      </c>
      <c r="AE81" s="85">
        <f t="shared" si="55"/>
        <v>1579.5989389872345</v>
      </c>
      <c r="AF81" s="90">
        <f t="shared" si="56"/>
        <v>1055.7627565116984</v>
      </c>
      <c r="AG81" s="86">
        <f t="shared" si="57"/>
        <v>11981.278679999999</v>
      </c>
      <c r="AH81" s="85">
        <f t="shared" si="58"/>
        <v>6128</v>
      </c>
      <c r="AI81" s="85">
        <f t="shared" si="59"/>
        <v>8246.0373670278732</v>
      </c>
      <c r="AJ81" s="90">
        <f t="shared" si="60"/>
        <v>6128</v>
      </c>
      <c r="AL81" s="95">
        <f t="shared" si="61"/>
        <v>0</v>
      </c>
      <c r="AM81" s="95">
        <f t="shared" si="62"/>
        <v>0</v>
      </c>
      <c r="AN81" s="95">
        <f t="shared" si="63"/>
        <v>0</v>
      </c>
      <c r="AO81" s="95">
        <f t="shared" si="64"/>
        <v>0</v>
      </c>
      <c r="AP81"/>
      <c r="AQ81" s="95">
        <f t="shared" si="65"/>
        <v>0</v>
      </c>
      <c r="AR81" s="95">
        <f t="shared" si="66"/>
        <v>0</v>
      </c>
      <c r="AS81" s="95">
        <f>Geraetedaten!$B$94*ABS(SIN(RADIANS($A81)))</f>
        <v>103.04611337926417</v>
      </c>
      <c r="AT81" s="95">
        <f>Geraetedaten!$B$94*ABS(COS(RADIANS($A81)))</f>
        <v>114.44430312351871</v>
      </c>
      <c r="AU81" s="95">
        <f>((h_Aw_Sw+Geraetedaten!$B$18)/1000)*(AQ81*AS81+AR81*AT81)/100</f>
        <v>0</v>
      </c>
    </row>
    <row r="82" spans="1:47" ht="13.5" x14ac:dyDescent="0.25">
      <c r="A82" s="16">
        <v>43</v>
      </c>
      <c r="B82" s="16">
        <f t="shared" si="34"/>
        <v>407</v>
      </c>
      <c r="C82" s="19">
        <f t="shared" si="35"/>
        <v>65.241432270884701</v>
      </c>
      <c r="D82" s="17">
        <f t="shared" si="36"/>
        <v>-4206.7952822708849</v>
      </c>
      <c r="E82" s="17">
        <f t="shared" si="37"/>
        <v>-11533.048262270884</v>
      </c>
      <c r="F82" s="17">
        <f t="shared" si="38"/>
        <v>3914.8295977291154</v>
      </c>
      <c r="G82" s="17">
        <f t="shared" si="39"/>
        <v>12109.203347729115</v>
      </c>
      <c r="H82" s="17">
        <f t="shared" si="67"/>
        <v>3914.8295977291154</v>
      </c>
      <c r="I82" s="17">
        <f t="shared" si="40"/>
        <v>1549.7351221090423</v>
      </c>
      <c r="J82" s="20">
        <f>(Geraetedaten!$B$152+(Geraetedaten!$B$153*(Geraetedaten!$B$18+d_y_Sw)/1000))*10</f>
        <v>6051.0442000000003</v>
      </c>
      <c r="K82" s="20">
        <f>(Geraetedaten!$B$165+(Geraetedaten!$B$166*(Geraetedaten!$B$18+d_y_Sw)/1000))*10</f>
        <v>10816.164000000001</v>
      </c>
      <c r="L82" s="20">
        <f>(Geraetedaten!$B$158+(Geraetedaten!$B$159*(Geraetedaten!$B$18+d_y_Sw)/1000)-(Geraetedaten!$B$160*I82/1000))*10</f>
        <v>487.89452349574367</v>
      </c>
      <c r="M82" s="20">
        <f>(Geraetedaten!$B$171+(Geraetedaten!$B$172*(Geraetedaten!$B$18+d_y_Sw)/1000)-(Geraetedaten!$B$173*I82/1000))*10</f>
        <v>949.50471751020382</v>
      </c>
      <c r="N82" s="20">
        <f>IF((H82-J82)/(K82-J82)*(Geraetedaten!$B$174-Geraetedaten!$B$161)&lt;Geraetedaten!$B$174,(H82-J82)/(K82-J82)*(Geraetedaten!$B$174-Geraetedaten!$B$161),Geraetedaten!$B$174)</f>
        <v>-179.32095661232984</v>
      </c>
      <c r="O82" s="20">
        <f>N82/Geraetedaten!$B$174*(M82-L82)+L82+C82</f>
        <v>346.19500183493801</v>
      </c>
      <c r="P82" s="20">
        <f t="shared" si="41"/>
        <v>158.14148679946953</v>
      </c>
      <c r="Q82" s="21">
        <f>(N82-Geraetedaten!$B$161)/(Geraetedaten!$B$174-Geraetedaten!$B$161)*(Geraetedaten!$B$175-Geraetedaten!$B$162)+Geraetedaten!$B$162</f>
        <v>23.865201540783186</v>
      </c>
      <c r="R82" s="21">
        <f t="shared" si="42"/>
        <v>23.865201540783186</v>
      </c>
      <c r="S82" s="21">
        <f t="shared" si="43"/>
        <v>16.276028313375146</v>
      </c>
      <c r="T82" s="88">
        <f t="shared" si="44"/>
        <v>17.453903486739314</v>
      </c>
      <c r="U82" s="86">
        <f t="shared" si="45"/>
        <v>-4141.5538500000002</v>
      </c>
      <c r="V82" s="85">
        <f t="shared" si="46"/>
        <v>-1141.3067828769733</v>
      </c>
      <c r="W82" s="85">
        <f t="shared" si="47"/>
        <v>-1670.3517751084439</v>
      </c>
      <c r="X82" s="90">
        <f t="shared" si="48"/>
        <v>1141.3067828769733</v>
      </c>
      <c r="Y82" s="86">
        <f t="shared" si="49"/>
        <v>-11467.80683</v>
      </c>
      <c r="Z82" s="85">
        <f t="shared" si="50"/>
        <v>-750</v>
      </c>
      <c r="AA82" s="85">
        <f t="shared" si="51"/>
        <v>-1025.4955958239466</v>
      </c>
      <c r="AB82" s="90">
        <f t="shared" si="52"/>
        <v>750</v>
      </c>
      <c r="AC82" s="86">
        <f t="shared" si="53"/>
        <v>3980.0710300000001</v>
      </c>
      <c r="AD82" s="85">
        <f t="shared" si="54"/>
        <v>1055.7627565116984</v>
      </c>
      <c r="AE82" s="85">
        <f t="shared" si="55"/>
        <v>1549.7351221090423</v>
      </c>
      <c r="AF82" s="90">
        <f t="shared" si="56"/>
        <v>1055.7627565116984</v>
      </c>
      <c r="AG82" s="86">
        <f t="shared" si="57"/>
        <v>12174.44478</v>
      </c>
      <c r="AH82" s="85">
        <f t="shared" si="58"/>
        <v>6128</v>
      </c>
      <c r="AI82" s="85">
        <f t="shared" si="59"/>
        <v>8378.9826816121931</v>
      </c>
      <c r="AJ82" s="90">
        <f t="shared" si="60"/>
        <v>6128</v>
      </c>
      <c r="AL82" s="95">
        <f t="shared" si="61"/>
        <v>0</v>
      </c>
      <c r="AM82" s="95">
        <f t="shared" si="62"/>
        <v>0</v>
      </c>
      <c r="AN82" s="95">
        <f t="shared" si="63"/>
        <v>0</v>
      </c>
      <c r="AO82" s="95">
        <f t="shared" si="64"/>
        <v>0</v>
      </c>
      <c r="AP82"/>
      <c r="AQ82" s="95">
        <f t="shared" si="65"/>
        <v>0</v>
      </c>
      <c r="AR82" s="95">
        <f t="shared" si="66"/>
        <v>0</v>
      </c>
      <c r="AS82" s="95">
        <f>Geraetedaten!$B$94*ABS(SIN(RADIANS($A82)))</f>
        <v>105.02774744962477</v>
      </c>
      <c r="AT82" s="95">
        <f>Geraetedaten!$B$94*ABS(COS(RADIANS($A82)))</f>
        <v>112.62847004935225</v>
      </c>
      <c r="AU82" s="95">
        <f>((h_Aw_Sw+Geraetedaten!$B$18)/1000)*(AQ82*AS82+AR82*AT82)/100</f>
        <v>0</v>
      </c>
    </row>
    <row r="83" spans="1:47" ht="13.5" x14ac:dyDescent="0.25">
      <c r="A83" s="16">
        <v>44</v>
      </c>
      <c r="B83" s="16">
        <f t="shared" si="34"/>
        <v>406</v>
      </c>
      <c r="C83" s="19">
        <f t="shared" si="35"/>
        <v>65.686173498138942</v>
      </c>
      <c r="D83" s="17">
        <f t="shared" si="36"/>
        <v>-4132.0218934981385</v>
      </c>
      <c r="E83" s="17">
        <f t="shared" si="37"/>
        <v>-11725.020153498139</v>
      </c>
      <c r="F83" s="17">
        <f t="shared" si="38"/>
        <v>3841.7021965018612</v>
      </c>
      <c r="G83" s="17">
        <f t="shared" si="39"/>
        <v>12312.087516501861</v>
      </c>
      <c r="H83" s="17">
        <f t="shared" si="67"/>
        <v>3841.7021965018612</v>
      </c>
      <c r="I83" s="17">
        <f t="shared" si="40"/>
        <v>1521.4344046057995</v>
      </c>
      <c r="J83" s="20">
        <f>(Geraetedaten!$B$152+(Geraetedaten!$B$153*(Geraetedaten!$B$18+d_y_Sw)/1000))*10</f>
        <v>6051.0442000000003</v>
      </c>
      <c r="K83" s="20">
        <f>(Geraetedaten!$B$165+(Geraetedaten!$B$166*(Geraetedaten!$B$18+d_y_Sw)/1000))*10</f>
        <v>10816.164000000001</v>
      </c>
      <c r="L83" s="20">
        <f>(Geraetedaten!$B$158+(Geraetedaten!$B$159*(Geraetedaten!$B$18+d_y_Sw)/1000)-(Geraetedaten!$B$160*I83/1000))*10</f>
        <v>489.96981511025649</v>
      </c>
      <c r="M83" s="20">
        <f>(Geraetedaten!$B$171+(Geraetedaten!$B$172*(Geraetedaten!$B$18+d_y_Sw)/1000)-(Geraetedaten!$B$173*I83/1000))*10</f>
        <v>951.61142292114516</v>
      </c>
      <c r="N83" s="20">
        <f>IF((H83-J83)/(K83-J83)*(Geraetedaten!$B$174-Geraetedaten!$B$161)&lt;Geraetedaten!$B$174,(H83-J83)/(K83-J83)*(Geraetedaten!$B$174-Geraetedaten!$B$161),Geraetedaten!$B$174)</f>
        <v>-185.45951381941239</v>
      </c>
      <c r="O83" s="20">
        <f>N83/Geraetedaten!$B$174*(M83-L83)+L83+C83</f>
        <v>341.61641824984724</v>
      </c>
      <c r="P83" s="20">
        <f t="shared" si="41"/>
        <v>157.13666478936477</v>
      </c>
      <c r="Q83" s="21">
        <f>(N83-Geraetedaten!$B$161)/(Geraetedaten!$B$174-Geraetedaten!$B$161)*(Geraetedaten!$B$175-Geraetedaten!$B$162)+Geraetedaten!$B$162</f>
        <v>23.682579463872479</v>
      </c>
      <c r="R83" s="21">
        <f t="shared" si="42"/>
        <v>23.682579463872479</v>
      </c>
      <c r="S83" s="21">
        <f t="shared" si="43"/>
        <v>16.451302058639367</v>
      </c>
      <c r="T83" s="88">
        <f t="shared" si="44"/>
        <v>17.035821983046269</v>
      </c>
      <c r="U83" s="86">
        <f t="shared" si="45"/>
        <v>-4066.33572</v>
      </c>
      <c r="V83" s="85">
        <f t="shared" si="46"/>
        <v>-1141.3067828769733</v>
      </c>
      <c r="W83" s="85">
        <f t="shared" si="47"/>
        <v>-1640.015156531377</v>
      </c>
      <c r="X83" s="90">
        <f t="shared" si="48"/>
        <v>1141.3067828769733</v>
      </c>
      <c r="Y83" s="86">
        <f t="shared" si="49"/>
        <v>-11659.333979999999</v>
      </c>
      <c r="Z83" s="85">
        <f t="shared" si="50"/>
        <v>-750</v>
      </c>
      <c r="AA83" s="85">
        <f t="shared" si="51"/>
        <v>-1042.6226932625091</v>
      </c>
      <c r="AB83" s="90">
        <f t="shared" si="52"/>
        <v>750</v>
      </c>
      <c r="AC83" s="86">
        <f t="shared" si="53"/>
        <v>3907.3883700000001</v>
      </c>
      <c r="AD83" s="85">
        <f t="shared" si="54"/>
        <v>1055.7627565116984</v>
      </c>
      <c r="AE83" s="85">
        <f t="shared" si="55"/>
        <v>1521.4344046057995</v>
      </c>
      <c r="AF83" s="90">
        <f t="shared" si="56"/>
        <v>1055.7627565116984</v>
      </c>
      <c r="AG83" s="86">
        <f t="shared" si="57"/>
        <v>12377.77369</v>
      </c>
      <c r="AH83" s="85">
        <f t="shared" si="58"/>
        <v>6128</v>
      </c>
      <c r="AI83" s="85">
        <f t="shared" si="59"/>
        <v>8518.9224857502086</v>
      </c>
      <c r="AJ83" s="90">
        <f t="shared" si="60"/>
        <v>6128</v>
      </c>
      <c r="AL83" s="95">
        <f t="shared" si="61"/>
        <v>0</v>
      </c>
      <c r="AM83" s="95">
        <f t="shared" si="62"/>
        <v>0</v>
      </c>
      <c r="AN83" s="95">
        <f t="shared" si="63"/>
        <v>0</v>
      </c>
      <c r="AO83" s="95">
        <f t="shared" si="64"/>
        <v>0</v>
      </c>
      <c r="AP83"/>
      <c r="AQ83" s="95">
        <f t="shared" si="65"/>
        <v>0</v>
      </c>
      <c r="AR83" s="95">
        <f t="shared" si="66"/>
        <v>0</v>
      </c>
      <c r="AS83" s="95">
        <f>Geraetedaten!$B$94*ABS(SIN(RADIANS($A83)))</f>
        <v>106.97738905068557</v>
      </c>
      <c r="AT83" s="95">
        <f>Geraetedaten!$B$94*ABS(COS(RADIANS($A83)))</f>
        <v>110.77832925215229</v>
      </c>
      <c r="AU83" s="95">
        <f>((h_Aw_Sw+Geraetedaten!$B$18)/1000)*(AQ83*AS83+AR83*AT83)/100</f>
        <v>0</v>
      </c>
    </row>
    <row r="84" spans="1:47" ht="13.5" x14ac:dyDescent="0.25">
      <c r="A84" s="16">
        <v>45</v>
      </c>
      <c r="B84" s="16">
        <f t="shared" si="34"/>
        <v>405</v>
      </c>
      <c r="C84" s="19">
        <f t="shared" si="35"/>
        <v>66.110906080629391</v>
      </c>
      <c r="D84" s="17">
        <f t="shared" si="36"/>
        <v>-4061.1071660806292</v>
      </c>
      <c r="E84" s="17">
        <f t="shared" si="37"/>
        <v>-11927.15254608063</v>
      </c>
      <c r="F84" s="17">
        <f t="shared" si="38"/>
        <v>3772.3500739193705</v>
      </c>
      <c r="G84" s="17">
        <f t="shared" si="39"/>
        <v>12525.79952391937</v>
      </c>
      <c r="H84" s="17">
        <f t="shared" si="67"/>
        <v>3772.3500739193705</v>
      </c>
      <c r="I84" s="17">
        <f t="shared" si="40"/>
        <v>1494.5958887665149</v>
      </c>
      <c r="J84" s="20">
        <f>(Geraetedaten!$B$152+(Geraetedaten!$B$153*(Geraetedaten!$B$18+d_y_Sw)/1000))*10</f>
        <v>6051.0442000000003</v>
      </c>
      <c r="K84" s="20">
        <f>(Geraetedaten!$B$165+(Geraetedaten!$B$166*(Geraetedaten!$B$18+d_y_Sw)/1000))*10</f>
        <v>10816.164000000001</v>
      </c>
      <c r="L84" s="20">
        <f>(Geraetedaten!$B$158+(Geraetedaten!$B$159*(Geraetedaten!$B$18+d_y_Sw)/1000)-(Geraetedaten!$B$160*I84/1000))*10</f>
        <v>491.93788347675127</v>
      </c>
      <c r="M84" s="20">
        <f>(Geraetedaten!$B$171+(Geraetedaten!$B$172*(Geraetedaten!$B$18+d_y_Sw)/1000)-(Geraetedaten!$B$173*I84/1000))*10</f>
        <v>953.60928204022161</v>
      </c>
      <c r="N84" s="20">
        <f>IF((H84-J84)/(K84-J84)*(Geraetedaten!$B$174-Geraetedaten!$B$161)&lt;Geraetedaten!$B$174,(H84-J84)/(K84-J84)*(Geraetedaten!$B$174-Geraetedaten!$B$161),Geraetedaten!$B$174)</f>
        <v>-191.28116158427997</v>
      </c>
      <c r="O84" s="20">
        <f>N84/Geraetedaten!$B$174*(M84-L84)+L84+C84</f>
        <v>337.27618608873144</v>
      </c>
      <c r="P84" s="20">
        <f t="shared" si="41"/>
        <v>156.17162619952512</v>
      </c>
      <c r="Q84" s="21">
        <f>(N84-Geraetedaten!$B$161)/(Geraetedaten!$B$174-Geraetedaten!$B$161)*(Geraetedaten!$B$175-Geraetedaten!$B$162)+Geraetedaten!$B$162</f>
        <v>23.509385442867668</v>
      </c>
      <c r="R84" s="21">
        <f t="shared" si="42"/>
        <v>23.509385442867668</v>
      </c>
      <c r="S84" s="21">
        <f t="shared" si="43"/>
        <v>16.623645868180031</v>
      </c>
      <c r="T84" s="88">
        <f t="shared" si="44"/>
        <v>16.623645868180034</v>
      </c>
      <c r="U84" s="86">
        <f t="shared" si="45"/>
        <v>-3994.9962599999999</v>
      </c>
      <c r="V84" s="85">
        <f t="shared" si="46"/>
        <v>-1141.3067828769733</v>
      </c>
      <c r="W84" s="85">
        <f t="shared" si="47"/>
        <v>-1611.2428632139049</v>
      </c>
      <c r="X84" s="90">
        <f t="shared" si="48"/>
        <v>1141.3067828769733</v>
      </c>
      <c r="Y84" s="86">
        <f t="shared" si="49"/>
        <v>-11861.041639999999</v>
      </c>
      <c r="Z84" s="85">
        <f t="shared" si="50"/>
        <v>-750</v>
      </c>
      <c r="AA84" s="85">
        <f t="shared" si="51"/>
        <v>-1060.6601717798214</v>
      </c>
      <c r="AB84" s="90">
        <f t="shared" si="52"/>
        <v>750</v>
      </c>
      <c r="AC84" s="86">
        <f t="shared" si="53"/>
        <v>3838.4609799999998</v>
      </c>
      <c r="AD84" s="85">
        <f t="shared" si="54"/>
        <v>1055.7627565116984</v>
      </c>
      <c r="AE84" s="85">
        <f t="shared" si="55"/>
        <v>1494.5958887665149</v>
      </c>
      <c r="AF84" s="90">
        <f t="shared" si="56"/>
        <v>1055.7627565116984</v>
      </c>
      <c r="AG84" s="86">
        <f t="shared" si="57"/>
        <v>12591.91043</v>
      </c>
      <c r="AH84" s="85">
        <f t="shared" si="58"/>
        <v>6128</v>
      </c>
      <c r="AI84" s="85">
        <f t="shared" si="59"/>
        <v>8666.3007102223273</v>
      </c>
      <c r="AJ84" s="90">
        <f t="shared" si="60"/>
        <v>6128</v>
      </c>
      <c r="AL84" s="95">
        <f t="shared" si="61"/>
        <v>0</v>
      </c>
      <c r="AM84" s="95">
        <f t="shared" si="62"/>
        <v>0</v>
      </c>
      <c r="AN84" s="95">
        <f t="shared" si="63"/>
        <v>0</v>
      </c>
      <c r="AO84" s="95">
        <f t="shared" si="64"/>
        <v>0</v>
      </c>
      <c r="AP84"/>
      <c r="AQ84" s="95">
        <f t="shared" si="65"/>
        <v>0</v>
      </c>
      <c r="AR84" s="95">
        <f t="shared" si="66"/>
        <v>0</v>
      </c>
      <c r="AS84" s="95">
        <f>Geraetedaten!$B$94*ABS(SIN(RADIANS($A84)))</f>
        <v>108.8944443027283</v>
      </c>
      <c r="AT84" s="95">
        <f>Geraetedaten!$B$94*ABS(COS(RADIANS($A84)))</f>
        <v>108.89444430272833</v>
      </c>
      <c r="AU84" s="95">
        <f>((h_Aw_Sw+Geraetedaten!$B$18)/1000)*(AQ84*AS84+AR84*AT84)/100</f>
        <v>0</v>
      </c>
    </row>
    <row r="85" spans="1:47" ht="13.5" x14ac:dyDescent="0.25">
      <c r="A85" s="16">
        <v>46</v>
      </c>
      <c r="B85" s="16">
        <f t="shared" si="34"/>
        <v>404</v>
      </c>
      <c r="C85" s="19">
        <f t="shared" si="35"/>
        <v>66.515500640696956</v>
      </c>
      <c r="D85" s="17">
        <f t="shared" si="36"/>
        <v>-3993.8079506406971</v>
      </c>
      <c r="E85" s="17">
        <f t="shared" si="37"/>
        <v>-12140.109270640696</v>
      </c>
      <c r="F85" s="17">
        <f t="shared" si="38"/>
        <v>3706.537109359303</v>
      </c>
      <c r="G85" s="17">
        <f t="shared" si="39"/>
        <v>12751.044369359302</v>
      </c>
      <c r="H85" s="17">
        <f t="shared" si="67"/>
        <v>3706.537109359303</v>
      </c>
      <c r="I85" s="17">
        <f t="shared" si="40"/>
        <v>1469.1275898323752</v>
      </c>
      <c r="J85" s="20">
        <f>(Geraetedaten!$B$152+(Geraetedaten!$B$153*(Geraetedaten!$B$18+d_y_Sw)/1000))*10</f>
        <v>6051.0442000000003</v>
      </c>
      <c r="K85" s="20">
        <f>(Geraetedaten!$B$165+(Geraetedaten!$B$166*(Geraetedaten!$B$18+d_y_Sw)/1000))*10</f>
        <v>10816.164000000001</v>
      </c>
      <c r="L85" s="20">
        <f>(Geraetedaten!$B$158+(Geraetedaten!$B$159*(Geraetedaten!$B$18+d_y_Sw)/1000)-(Geraetedaten!$B$160*I85/1000))*10</f>
        <v>493.80547383759165</v>
      </c>
      <c r="M85" s="20">
        <f>(Geraetedaten!$B$171+(Geraetedaten!$B$172*(Geraetedaten!$B$18+d_y_Sw)/1000)-(Geraetedaten!$B$173*I85/1000))*10</f>
        <v>955.50514221287904</v>
      </c>
      <c r="N85" s="20">
        <f>IF((H85-J85)/(K85-J85)*(Geraetedaten!$B$174-Geraetedaten!$B$161)&lt;Geraetedaten!$B$174,(H85-J85)/(K85-J85)*(Geraetedaten!$B$174-Geraetedaten!$B$161),Geraetedaten!$B$174)</f>
        <v>-196.80572065707116</v>
      </c>
      <c r="O85" s="20">
        <f>N85/Geraetedaten!$B$174*(M85-L85)+L85+C85</f>
        <v>333.15813457396564</v>
      </c>
      <c r="P85" s="20">
        <f t="shared" si="41"/>
        <v>155.24422041318073</v>
      </c>
      <c r="Q85" s="21">
        <f>(N85-Geraetedaten!$B$161)/(Geraetedaten!$B$174-Geraetedaten!$B$161)*(Geraetedaten!$B$175-Geraetedaten!$B$162)+Geraetedaten!$B$162</f>
        <v>23.345029810452132</v>
      </c>
      <c r="R85" s="21">
        <f t="shared" si="42"/>
        <v>23.345029810452132</v>
      </c>
      <c r="S85" s="21">
        <f t="shared" si="43"/>
        <v>16.793009082750494</v>
      </c>
      <c r="T85" s="88">
        <f t="shared" si="44"/>
        <v>16.216820366445393</v>
      </c>
      <c r="U85" s="86">
        <f t="shared" si="45"/>
        <v>-3927.2924499999999</v>
      </c>
      <c r="V85" s="85">
        <f t="shared" si="46"/>
        <v>-1141.3067828769733</v>
      </c>
      <c r="W85" s="85">
        <f t="shared" si="47"/>
        <v>-1583.9368850762712</v>
      </c>
      <c r="X85" s="90">
        <f t="shared" si="48"/>
        <v>1141.3067828769733</v>
      </c>
      <c r="Y85" s="86">
        <f t="shared" si="49"/>
        <v>-12073.593769999999</v>
      </c>
      <c r="Z85" s="85">
        <f t="shared" si="50"/>
        <v>-750</v>
      </c>
      <c r="AA85" s="85">
        <f t="shared" si="51"/>
        <v>-1079.6674047192948</v>
      </c>
      <c r="AB85" s="90">
        <f t="shared" si="52"/>
        <v>750</v>
      </c>
      <c r="AC85" s="86">
        <f t="shared" si="53"/>
        <v>3773.0526100000002</v>
      </c>
      <c r="AD85" s="85">
        <f t="shared" si="54"/>
        <v>1055.7627565116984</v>
      </c>
      <c r="AE85" s="85">
        <f t="shared" si="55"/>
        <v>1469.1275898323752</v>
      </c>
      <c r="AF85" s="90">
        <f t="shared" si="56"/>
        <v>1055.7627565116984</v>
      </c>
      <c r="AG85" s="86">
        <f t="shared" si="57"/>
        <v>12817.559869999999</v>
      </c>
      <c r="AH85" s="85">
        <f t="shared" si="58"/>
        <v>6128</v>
      </c>
      <c r="AI85" s="85">
        <f t="shared" si="59"/>
        <v>8821.6024748264517</v>
      </c>
      <c r="AJ85" s="90">
        <f t="shared" si="60"/>
        <v>6128</v>
      </c>
      <c r="AL85" s="95">
        <f t="shared" si="61"/>
        <v>0</v>
      </c>
      <c r="AM85" s="95">
        <f t="shared" si="62"/>
        <v>0</v>
      </c>
      <c r="AN85" s="95">
        <f t="shared" si="63"/>
        <v>0</v>
      </c>
      <c r="AO85" s="95">
        <f t="shared" si="64"/>
        <v>0</v>
      </c>
      <c r="AP85"/>
      <c r="AQ85" s="95">
        <f t="shared" si="65"/>
        <v>0</v>
      </c>
      <c r="AR85" s="95">
        <f t="shared" si="66"/>
        <v>0</v>
      </c>
      <c r="AS85" s="95">
        <f>Geraetedaten!$B$94*ABS(SIN(RADIANS($A85)))</f>
        <v>110.77832925215226</v>
      </c>
      <c r="AT85" s="95">
        <f>Geraetedaten!$B$94*ABS(COS(RADIANS($A85)))</f>
        <v>106.97738905068557</v>
      </c>
      <c r="AU85" s="95">
        <f>((h_Aw_Sw+Geraetedaten!$B$18)/1000)*(AQ85*AS85+AR85*AT85)/100</f>
        <v>0</v>
      </c>
    </row>
    <row r="86" spans="1:47" ht="13.5" x14ac:dyDescent="0.25">
      <c r="A86" s="16">
        <v>47</v>
      </c>
      <c r="B86" s="16">
        <f t="shared" si="34"/>
        <v>403</v>
      </c>
      <c r="C86" s="19">
        <f t="shared" si="35"/>
        <v>66.899833934919243</v>
      </c>
      <c r="D86" s="17">
        <f t="shared" si="36"/>
        <v>-3929.9021039349191</v>
      </c>
      <c r="E86" s="17">
        <f t="shared" si="37"/>
        <v>-12364.61705393492</v>
      </c>
      <c r="F86" s="17">
        <f t="shared" si="38"/>
        <v>3644.0476660650811</v>
      </c>
      <c r="G86" s="17">
        <f t="shared" si="39"/>
        <v>12988.593806065081</v>
      </c>
      <c r="H86" s="17">
        <f t="shared" si="67"/>
        <v>3644.0476660650811</v>
      </c>
      <c r="I86" s="17">
        <f t="shared" si="40"/>
        <v>1444.9454908618814</v>
      </c>
      <c r="J86" s="20">
        <f>(Geraetedaten!$B$152+(Geraetedaten!$B$153*(Geraetedaten!$B$18+d_y_Sw)/1000))*10</f>
        <v>6051.0442000000003</v>
      </c>
      <c r="K86" s="20">
        <f>(Geraetedaten!$B$165+(Geraetedaten!$B$166*(Geraetedaten!$B$18+d_y_Sw)/1000))*10</f>
        <v>10816.164000000001</v>
      </c>
      <c r="L86" s="20">
        <f>(Geraetedaten!$B$158+(Geraetedaten!$B$159*(Geraetedaten!$B$18+d_y_Sw)/1000)-(Geraetedaten!$B$160*I86/1000))*10</f>
        <v>495.57874715509797</v>
      </c>
      <c r="M86" s="20">
        <f>(Geraetedaten!$B$171+(Geraetedaten!$B$172*(Geraetedaten!$B$18+d_y_Sw)/1000)-(Geraetedaten!$B$173*I86/1000))*10</f>
        <v>957.30525766024243</v>
      </c>
      <c r="N86" s="20">
        <f>IF((H86-J86)/(K86-J86)*(Geraetedaten!$B$174-Geraetedaten!$B$161)&lt;Geraetedaten!$B$174,(H86-J86)/(K86-J86)*(Geraetedaten!$B$174-Geraetedaten!$B$161),Geraetedaten!$B$174)</f>
        <v>-202.05129230412373</v>
      </c>
      <c r="O86" s="20">
        <f>N86/Geraetedaten!$B$174*(M86-L86)+L86+C86</f>
        <v>329.2474857434222</v>
      </c>
      <c r="P86" s="20">
        <f t="shared" si="41"/>
        <v>154.35242250003941</v>
      </c>
      <c r="Q86" s="21">
        <f>(N86-Geraetedaten!$B$161)/(Geraetedaten!$B$174-Geraetedaten!$B$161)*(Geraetedaten!$B$175-Geraetedaten!$B$162)+Geraetedaten!$B$162</f>
        <v>23.188974053952318</v>
      </c>
      <c r="R86" s="21">
        <f t="shared" si="42"/>
        <v>23.188974053952318</v>
      </c>
      <c r="S86" s="21">
        <f t="shared" si="43"/>
        <v>16.95934201110893</v>
      </c>
      <c r="T86" s="88">
        <f t="shared" si="44"/>
        <v>15.814842276327308</v>
      </c>
      <c r="U86" s="86">
        <f t="shared" si="45"/>
        <v>-3863.00227</v>
      </c>
      <c r="V86" s="85">
        <f t="shared" si="46"/>
        <v>-1141.3067828769733</v>
      </c>
      <c r="W86" s="85">
        <f t="shared" si="47"/>
        <v>-1558.0076759931521</v>
      </c>
      <c r="X86" s="90">
        <f t="shared" si="48"/>
        <v>1141.3067828769733</v>
      </c>
      <c r="Y86" s="86">
        <f t="shared" si="49"/>
        <v>-12297.71722</v>
      </c>
      <c r="Z86" s="85">
        <f t="shared" si="50"/>
        <v>-750</v>
      </c>
      <c r="AA86" s="85">
        <f t="shared" si="51"/>
        <v>-1099.7093892297187</v>
      </c>
      <c r="AB86" s="90">
        <f t="shared" si="52"/>
        <v>750</v>
      </c>
      <c r="AC86" s="86">
        <f t="shared" si="53"/>
        <v>3710.9475000000002</v>
      </c>
      <c r="AD86" s="85">
        <f t="shared" si="54"/>
        <v>1055.7627565116984</v>
      </c>
      <c r="AE86" s="85">
        <f t="shared" si="55"/>
        <v>1444.9454908618814</v>
      </c>
      <c r="AF86" s="90">
        <f t="shared" si="56"/>
        <v>1055.7627565116984</v>
      </c>
      <c r="AG86" s="86">
        <f t="shared" si="57"/>
        <v>13055.493640000001</v>
      </c>
      <c r="AH86" s="85">
        <f t="shared" si="58"/>
        <v>6128</v>
      </c>
      <c r="AI86" s="85">
        <f t="shared" si="59"/>
        <v>8985.358849599621</v>
      </c>
      <c r="AJ86" s="90">
        <f t="shared" si="60"/>
        <v>6128</v>
      </c>
      <c r="AL86" s="95">
        <f t="shared" si="61"/>
        <v>0</v>
      </c>
      <c r="AM86" s="95">
        <f t="shared" si="62"/>
        <v>0</v>
      </c>
      <c r="AN86" s="95">
        <f t="shared" si="63"/>
        <v>0</v>
      </c>
      <c r="AO86" s="95">
        <f t="shared" si="64"/>
        <v>0</v>
      </c>
      <c r="AP86"/>
      <c r="AQ86" s="95">
        <f t="shared" si="65"/>
        <v>0</v>
      </c>
      <c r="AR86" s="95">
        <f t="shared" si="66"/>
        <v>0</v>
      </c>
      <c r="AS86" s="95">
        <f>Geraetedaten!$B$94*ABS(SIN(RADIANS($A86)))</f>
        <v>112.62847004935225</v>
      </c>
      <c r="AT86" s="95">
        <f>Geraetedaten!$B$94*ABS(COS(RADIANS($A86)))</f>
        <v>105.02774744962477</v>
      </c>
      <c r="AU86" s="95">
        <f>((h_Aw_Sw+Geraetedaten!$B$18)/1000)*(AQ86*AS86+AR86*AT86)/100</f>
        <v>0</v>
      </c>
    </row>
    <row r="87" spans="1:47" ht="13.5" x14ac:dyDescent="0.25">
      <c r="A87" s="16">
        <v>48</v>
      </c>
      <c r="B87" s="16">
        <f t="shared" si="34"/>
        <v>402</v>
      </c>
      <c r="C87" s="19">
        <f t="shared" si="35"/>
        <v>67.2637888916517</v>
      </c>
      <c r="D87" s="17">
        <f t="shared" si="36"/>
        <v>-3869.1862988916514</v>
      </c>
      <c r="E87" s="17">
        <f t="shared" si="37"/>
        <v>-12601.472948891653</v>
      </c>
      <c r="F87" s="17">
        <f t="shared" si="38"/>
        <v>3584.6844211083485</v>
      </c>
      <c r="G87" s="17">
        <f t="shared" si="39"/>
        <v>13239.294261108347</v>
      </c>
      <c r="H87" s="17">
        <f t="shared" si="67"/>
        <v>3584.6844211083485</v>
      </c>
      <c r="I87" s="17">
        <f t="shared" si="40"/>
        <v>1421.9727160856348</v>
      </c>
      <c r="J87" s="20">
        <f>(Geraetedaten!$B$152+(Geraetedaten!$B$153*(Geraetedaten!$B$18+d_y_Sw)/1000))*10</f>
        <v>6051.0442000000003</v>
      </c>
      <c r="K87" s="20">
        <f>(Geraetedaten!$B$165+(Geraetedaten!$B$166*(Geraetedaten!$B$18+d_y_Sw)/1000))*10</f>
        <v>10816.164000000001</v>
      </c>
      <c r="L87" s="20">
        <f>(Geraetedaten!$B$158+(Geraetedaten!$B$159*(Geraetedaten!$B$18+d_y_Sw)/1000)-(Geraetedaten!$B$160*I87/1000))*10</f>
        <v>497.26334072944013</v>
      </c>
      <c r="M87" s="20">
        <f>(Geraetedaten!$B$171+(Geraetedaten!$B$172*(Geraetedaten!$B$18+d_y_Sw)/1000)-(Geraetedaten!$B$173*I87/1000))*10</f>
        <v>959.01535101458637</v>
      </c>
      <c r="N87" s="20">
        <f>IF((H87-J87)/(K87-J87)*(Geraetedaten!$B$174-Geraetedaten!$B$161)&lt;Geraetedaten!$B$174,(H87-J87)/(K87-J87)*(Geraetedaten!$B$174-Geraetedaten!$B$161),Geraetedaten!$B$174)</f>
        <v>-207.03444046814116</v>
      </c>
      <c r="O87" s="20">
        <f>N87/Geraetedaten!$B$174*(M87-L87)+L87+C87</f>
        <v>325.53070691003035</v>
      </c>
      <c r="P87" s="20">
        <f t="shared" si="41"/>
        <v>153.49432407077066</v>
      </c>
      <c r="Q87" s="21">
        <f>(N87-Geraetedaten!$B$161)/(Geraetedaten!$B$174-Geraetedaten!$B$161)*(Geraetedaten!$B$175-Geraetedaten!$B$162)+Geraetedaten!$B$162</f>
        <v>23.040725396072798</v>
      </c>
      <c r="R87" s="21">
        <f t="shared" si="42"/>
        <v>23.040725396072798</v>
      </c>
      <c r="S87" s="21">
        <f t="shared" si="43"/>
        <v>17.122595853337085</v>
      </c>
      <c r="T87" s="88">
        <f t="shared" si="44"/>
        <v>15.417254555222135</v>
      </c>
      <c r="U87" s="86">
        <f t="shared" si="45"/>
        <v>-3801.9225099999999</v>
      </c>
      <c r="V87" s="85">
        <f t="shared" si="46"/>
        <v>-1141.3067828769733</v>
      </c>
      <c r="W87" s="85">
        <f t="shared" si="47"/>
        <v>-1533.3732786817625</v>
      </c>
      <c r="X87" s="90">
        <f t="shared" si="48"/>
        <v>1141.3067828769733</v>
      </c>
      <c r="Y87" s="86">
        <f t="shared" si="49"/>
        <v>-12534.20916</v>
      </c>
      <c r="Z87" s="85">
        <f t="shared" si="50"/>
        <v>-750</v>
      </c>
      <c r="AA87" s="85">
        <f t="shared" si="51"/>
        <v>-1120.8574123984565</v>
      </c>
      <c r="AB87" s="90">
        <f t="shared" si="52"/>
        <v>750</v>
      </c>
      <c r="AC87" s="86">
        <f t="shared" si="53"/>
        <v>3651.94821</v>
      </c>
      <c r="AD87" s="85">
        <f t="shared" si="54"/>
        <v>1055.7627565116984</v>
      </c>
      <c r="AE87" s="85">
        <f t="shared" si="55"/>
        <v>1421.9727160856348</v>
      </c>
      <c r="AF87" s="90">
        <f t="shared" si="56"/>
        <v>1055.7627565116984</v>
      </c>
      <c r="AG87" s="86">
        <f t="shared" si="57"/>
        <v>13306.55805</v>
      </c>
      <c r="AH87" s="85">
        <f t="shared" si="58"/>
        <v>6128</v>
      </c>
      <c r="AI87" s="85">
        <f t="shared" si="59"/>
        <v>9158.152297570321</v>
      </c>
      <c r="AJ87" s="90">
        <f t="shared" si="60"/>
        <v>6128</v>
      </c>
      <c r="AL87" s="95">
        <f t="shared" si="61"/>
        <v>0</v>
      </c>
      <c r="AM87" s="95">
        <f t="shared" si="62"/>
        <v>0</v>
      </c>
      <c r="AN87" s="95">
        <f t="shared" si="63"/>
        <v>0</v>
      </c>
      <c r="AO87" s="95">
        <f t="shared" si="64"/>
        <v>0</v>
      </c>
      <c r="AP87"/>
      <c r="AQ87" s="95">
        <f t="shared" si="65"/>
        <v>0</v>
      </c>
      <c r="AR87" s="95">
        <f t="shared" si="66"/>
        <v>0</v>
      </c>
      <c r="AS87" s="95">
        <f>Geraetedaten!$B$94*ABS(SIN(RADIANS($A87)))</f>
        <v>114.44430312351871</v>
      </c>
      <c r="AT87" s="95">
        <f>Geraetedaten!$B$94*ABS(COS(RADIANS($A87)))</f>
        <v>103.04611337926417</v>
      </c>
      <c r="AU87" s="95">
        <f>((h_Aw_Sw+Geraetedaten!$B$18)/1000)*(AQ87*AS87+AR87*AT87)/100</f>
        <v>0</v>
      </c>
    </row>
    <row r="88" spans="1:47" ht="13.5" x14ac:dyDescent="0.25">
      <c r="A88" s="16">
        <v>49</v>
      </c>
      <c r="B88" s="16">
        <f t="shared" si="34"/>
        <v>401</v>
      </c>
      <c r="C88" s="19">
        <f t="shared" si="35"/>
        <v>67.60725464668883</v>
      </c>
      <c r="D88" s="17">
        <f t="shared" si="36"/>
        <v>-3811.474134646689</v>
      </c>
      <c r="E88" s="17">
        <f t="shared" si="37"/>
        <v>-12851.552914646689</v>
      </c>
      <c r="F88" s="17">
        <f t="shared" si="38"/>
        <v>3528.266525353311</v>
      </c>
      <c r="G88" s="17">
        <f t="shared" si="39"/>
        <v>13504.07587535331</v>
      </c>
      <c r="H88" s="17">
        <f t="shared" si="67"/>
        <v>3528.266525353311</v>
      </c>
      <c r="I88" s="17">
        <f t="shared" si="40"/>
        <v>1400.1388058137682</v>
      </c>
      <c r="J88" s="20">
        <f>(Geraetedaten!$B$152+(Geraetedaten!$B$153*(Geraetedaten!$B$18+d_y_Sw)/1000))*10</f>
        <v>6051.0442000000003</v>
      </c>
      <c r="K88" s="20">
        <f>(Geraetedaten!$B$165+(Geraetedaten!$B$166*(Geraetedaten!$B$18+d_y_Sw)/1000))*10</f>
        <v>10816.164000000001</v>
      </c>
      <c r="L88" s="20">
        <f>(Geraetedaten!$B$158+(Geraetedaten!$B$159*(Geraetedaten!$B$18+d_y_Sw)/1000)-(Geraetedaten!$B$160*I88/1000))*10</f>
        <v>498.86442136967617</v>
      </c>
      <c r="M88" s="20">
        <f>(Geraetedaten!$B$171+(Geraetedaten!$B$172*(Geraetedaten!$B$18+d_y_Sw)/1000)-(Geraetedaten!$B$173*I88/1000))*10</f>
        <v>960.64066729522415</v>
      </c>
      <c r="N88" s="20">
        <f>IF((H88-J88)/(K88-J88)*(Geraetedaten!$B$174-Geraetedaten!$B$161)&lt;Geraetedaten!$B$174,(H88-J88)/(K88-J88)*(Geraetedaten!$B$174-Geraetedaten!$B$161),Geraetedaten!$B$174)</f>
        <v>-211.770346226904</v>
      </c>
      <c r="O88" s="20">
        <f>N88/Geraetedaten!$B$174*(M88-L88)+L88+C88</f>
        <v>321.99538731883183</v>
      </c>
      <c r="P88" s="20">
        <f t="shared" si="41"/>
        <v>152.66812662879605</v>
      </c>
      <c r="Q88" s="21">
        <f>(N88-Geraetedaten!$B$161)/(Geraetedaten!$B$174-Geraetedaten!$B$161)*(Geraetedaten!$B$175-Geraetedaten!$B$162)+Geraetedaten!$B$162</f>
        <v>22.899832199749603</v>
      </c>
      <c r="R88" s="21">
        <f t="shared" si="42"/>
        <v>22.899832199749603</v>
      </c>
      <c r="S88" s="21">
        <f t="shared" si="43"/>
        <v>17.282722746644939</v>
      </c>
      <c r="T88" s="88">
        <f t="shared" si="44"/>
        <v>15.023641677013277</v>
      </c>
      <c r="U88" s="86">
        <f t="shared" si="45"/>
        <v>-3743.86688</v>
      </c>
      <c r="V88" s="85">
        <f t="shared" si="46"/>
        <v>-1141.3067828769733</v>
      </c>
      <c r="W88" s="85">
        <f t="shared" si="47"/>
        <v>-1509.9585567566462</v>
      </c>
      <c r="X88" s="90">
        <f t="shared" si="48"/>
        <v>1141.3067828769733</v>
      </c>
      <c r="Y88" s="86">
        <f t="shared" si="49"/>
        <v>-12783.945659999999</v>
      </c>
      <c r="Z88" s="85">
        <f t="shared" si="50"/>
        <v>-750</v>
      </c>
      <c r="AA88" s="85">
        <f t="shared" si="51"/>
        <v>-1143.1898150293607</v>
      </c>
      <c r="AB88" s="90">
        <f t="shared" si="52"/>
        <v>750</v>
      </c>
      <c r="AC88" s="86">
        <f t="shared" si="53"/>
        <v>3595.8737799999999</v>
      </c>
      <c r="AD88" s="85">
        <f t="shared" si="54"/>
        <v>1055.7627565116984</v>
      </c>
      <c r="AE88" s="85">
        <f t="shared" si="55"/>
        <v>1400.1388058137682</v>
      </c>
      <c r="AF88" s="90">
        <f t="shared" si="56"/>
        <v>1055.7627565116984</v>
      </c>
      <c r="AG88" s="86">
        <f t="shared" si="57"/>
        <v>13571.683129999999</v>
      </c>
      <c r="AH88" s="85">
        <f t="shared" si="58"/>
        <v>6128</v>
      </c>
      <c r="AI88" s="85">
        <f t="shared" si="59"/>
        <v>9340.6229153332297</v>
      </c>
      <c r="AJ88" s="90">
        <f t="shared" si="60"/>
        <v>6128</v>
      </c>
      <c r="AL88" s="95">
        <f t="shared" si="61"/>
        <v>0</v>
      </c>
      <c r="AM88" s="95">
        <f t="shared" si="62"/>
        <v>0</v>
      </c>
      <c r="AN88" s="95">
        <f t="shared" si="63"/>
        <v>0</v>
      </c>
      <c r="AO88" s="95">
        <f t="shared" si="64"/>
        <v>0</v>
      </c>
      <c r="AP88"/>
      <c r="AQ88" s="95">
        <f t="shared" si="65"/>
        <v>0</v>
      </c>
      <c r="AR88" s="95">
        <f t="shared" si="66"/>
        <v>0</v>
      </c>
      <c r="AS88" s="95">
        <f>Geraetedaten!$B$94*ABS(SIN(RADIANS($A88)))</f>
        <v>116.22527535430689</v>
      </c>
      <c r="AT88" s="95">
        <f>Geraetedaten!$B$94*ABS(COS(RADIANS($A88)))</f>
        <v>101.03309046453812</v>
      </c>
      <c r="AU88" s="95">
        <f>((h_Aw_Sw+Geraetedaten!$B$18)/1000)*(AQ88*AS88+AR88*AT88)/100</f>
        <v>0</v>
      </c>
    </row>
    <row r="89" spans="1:47" ht="13.5" x14ac:dyDescent="0.25">
      <c r="A89" s="16">
        <v>50</v>
      </c>
      <c r="B89" s="16">
        <f t="shared" si="34"/>
        <v>400</v>
      </c>
      <c r="C89" s="19">
        <f t="shared" si="35"/>
        <v>67.930126577034372</v>
      </c>
      <c r="D89" s="17">
        <f t="shared" si="36"/>
        <v>-3756.5944365770347</v>
      </c>
      <c r="E89" s="17">
        <f t="shared" si="37"/>
        <v>-13115.821606577034</v>
      </c>
      <c r="F89" s="17">
        <f t="shared" si="38"/>
        <v>3474.6279734229656</v>
      </c>
      <c r="G89" s="17">
        <f t="shared" si="39"/>
        <v>13783.962973422966</v>
      </c>
      <c r="H89" s="17">
        <f t="shared" si="67"/>
        <v>3474.6279734229656</v>
      </c>
      <c r="I89" s="17">
        <f t="shared" si="40"/>
        <v>1379.3790786727375</v>
      </c>
      <c r="J89" s="20">
        <f>(Geraetedaten!$B$152+(Geraetedaten!$B$153*(Geraetedaten!$B$18+d_y_Sw)/1000))*10</f>
        <v>6051.0442000000003</v>
      </c>
      <c r="K89" s="20">
        <f>(Geraetedaten!$B$165+(Geraetedaten!$B$166*(Geraetedaten!$B$18+d_y_Sw)/1000))*10</f>
        <v>10816.164000000001</v>
      </c>
      <c r="L89" s="20">
        <f>(Geraetedaten!$B$158+(Geraetedaten!$B$159*(Geraetedaten!$B$18+d_y_Sw)/1000)-(Geraetedaten!$B$160*I89/1000))*10</f>
        <v>500.38673216092786</v>
      </c>
      <c r="M89" s="20">
        <f>(Geraetedaten!$B$171+(Geraetedaten!$B$172*(Geraetedaten!$B$18+d_y_Sw)/1000)-(Geraetedaten!$B$173*I89/1000))*10</f>
        <v>962.18602138360234</v>
      </c>
      <c r="N89" s="20">
        <f>IF((H89-J89)/(K89-J89)*(Geraetedaten!$B$174-Geraetedaten!$B$161)&lt;Geraetedaten!$B$174,(H89-J89)/(K89-J89)*(Geraetedaten!$B$174-Geraetedaten!$B$161),Geraetedaten!$B$174)</f>
        <v>-216.27294462372464</v>
      </c>
      <c r="O89" s="20">
        <f>N89/Geraetedaten!$B$174*(M89-L89)+L89+C89</f>
        <v>318.63012847463506</v>
      </c>
      <c r="P89" s="20">
        <f t="shared" si="41"/>
        <v>151.87213511779117</v>
      </c>
      <c r="Q89" s="21">
        <f>(N89-Geraetedaten!$B$161)/(Geraetedaten!$B$174-Geraetedaten!$B$161)*(Geraetedaten!$B$175-Geraetedaten!$B$162)+Geraetedaten!$B$162</f>
        <v>22.76587989744419</v>
      </c>
      <c r="R89" s="21">
        <f t="shared" si="42"/>
        <v>22.76587989744419</v>
      </c>
      <c r="S89" s="21">
        <f t="shared" si="43"/>
        <v>17.43967578815117</v>
      </c>
      <c r="T89" s="88">
        <f t="shared" si="44"/>
        <v>14.633625521688989</v>
      </c>
      <c r="U89" s="86">
        <f t="shared" si="45"/>
        <v>-3688.6643100000001</v>
      </c>
      <c r="V89" s="85">
        <f t="shared" si="46"/>
        <v>-1141.3067828769733</v>
      </c>
      <c r="W89" s="85">
        <f t="shared" si="47"/>
        <v>-1487.6945189893834</v>
      </c>
      <c r="X89" s="90">
        <f t="shared" si="48"/>
        <v>1141.3067828769733</v>
      </c>
      <c r="Y89" s="86">
        <f t="shared" si="49"/>
        <v>-13047.89148</v>
      </c>
      <c r="Z89" s="85">
        <f t="shared" si="50"/>
        <v>-750</v>
      </c>
      <c r="AA89" s="85">
        <f t="shared" si="51"/>
        <v>-1166.7928701453093</v>
      </c>
      <c r="AB89" s="90">
        <f t="shared" si="52"/>
        <v>750</v>
      </c>
      <c r="AC89" s="86">
        <f t="shared" si="53"/>
        <v>3542.5581000000002</v>
      </c>
      <c r="AD89" s="85">
        <f t="shared" si="54"/>
        <v>1055.7627565116984</v>
      </c>
      <c r="AE89" s="85">
        <f t="shared" si="55"/>
        <v>1379.3790786727375</v>
      </c>
      <c r="AF89" s="90">
        <f t="shared" si="56"/>
        <v>1055.7627565116984</v>
      </c>
      <c r="AG89" s="86">
        <f t="shared" si="57"/>
        <v>13851.893099999999</v>
      </c>
      <c r="AH89" s="85">
        <f t="shared" si="58"/>
        <v>6128</v>
      </c>
      <c r="AI89" s="85">
        <f t="shared" si="59"/>
        <v>9533.4756110006074</v>
      </c>
      <c r="AJ89" s="90">
        <f t="shared" si="60"/>
        <v>6128</v>
      </c>
      <c r="AL89" s="95">
        <f t="shared" si="61"/>
        <v>0</v>
      </c>
      <c r="AM89" s="95">
        <f t="shared" si="62"/>
        <v>0</v>
      </c>
      <c r="AN89" s="95">
        <f t="shared" si="63"/>
        <v>0</v>
      </c>
      <c r="AO89" s="95">
        <f t="shared" si="64"/>
        <v>0</v>
      </c>
      <c r="AP89"/>
      <c r="AQ89" s="95">
        <f t="shared" si="65"/>
        <v>0</v>
      </c>
      <c r="AR89" s="95">
        <f t="shared" si="66"/>
        <v>0</v>
      </c>
      <c r="AS89" s="95">
        <f>Geraetedaten!$B$94*ABS(SIN(RADIANS($A89)))</f>
        <v>117.97084424032262</v>
      </c>
      <c r="AT89" s="95">
        <f>Geraetedaten!$B$94*ABS(COS(RADIANS($A89)))</f>
        <v>98.989291891727063</v>
      </c>
      <c r="AU89" s="95">
        <f>((h_Aw_Sw+Geraetedaten!$B$18)/1000)*(AQ89*AS89+AR89*AT89)/100</f>
        <v>0</v>
      </c>
    </row>
    <row r="90" spans="1:47" ht="13.5" x14ac:dyDescent="0.25">
      <c r="A90" s="16">
        <v>51</v>
      </c>
      <c r="B90" s="16">
        <f t="shared" si="34"/>
        <v>399</v>
      </c>
      <c r="C90" s="19">
        <f t="shared" si="35"/>
        <v>68.232306332770648</v>
      </c>
      <c r="D90" s="17">
        <f t="shared" si="36"/>
        <v>-3704.3898063327706</v>
      </c>
      <c r="E90" s="17">
        <f t="shared" si="37"/>
        <v>-13395.343736332772</v>
      </c>
      <c r="F90" s="17">
        <f t="shared" si="38"/>
        <v>3423.6161336672294</v>
      </c>
      <c r="G90" s="17">
        <f t="shared" si="39"/>
        <v>14080.086073667229</v>
      </c>
      <c r="H90" s="17">
        <f t="shared" si="67"/>
        <v>3423.6161336672294</v>
      </c>
      <c r="I90" s="17">
        <f t="shared" si="40"/>
        <v>1359.6340691825171</v>
      </c>
      <c r="J90" s="20">
        <f>(Geraetedaten!$B$152+(Geraetedaten!$B$153*(Geraetedaten!$B$18+d_y_Sw)/1000))*10</f>
        <v>6051.0442000000003</v>
      </c>
      <c r="K90" s="20">
        <f>(Geraetedaten!$B$165+(Geraetedaten!$B$166*(Geraetedaten!$B$18+d_y_Sw)/1000))*10</f>
        <v>10816.164000000001</v>
      </c>
      <c r="L90" s="20">
        <f>(Geraetedaten!$B$158+(Geraetedaten!$B$159*(Geraetedaten!$B$18+d_y_Sw)/1000)-(Geraetedaten!$B$160*I90/1000))*10</f>
        <v>501.83463370684581</v>
      </c>
      <c r="M90" s="20">
        <f>(Geraetedaten!$B$171+(Geraetedaten!$B$172*(Geraetedaten!$B$18+d_y_Sw)/1000)-(Geraetedaten!$B$173*I90/1000))*10</f>
        <v>963.65583989005449</v>
      </c>
      <c r="N90" s="20">
        <f>IF((H90-J90)/(K90-J90)*(Geraetedaten!$B$174-Geraetedaten!$B$161)&lt;Geraetedaten!$B$174,(H90-J90)/(K90-J90)*(Geraetedaten!$B$174-Geraetedaten!$B$161),Geraetedaten!$B$174)</f>
        <v>-220.55504806681006</v>
      </c>
      <c r="O90" s="20">
        <f>N90/Geraetedaten!$B$174*(M90-L90)+L90+C90</f>
        <v>315.42444421959198</v>
      </c>
      <c r="P90" s="20">
        <f t="shared" si="41"/>
        <v>151.10475103747822</v>
      </c>
      <c r="Q90" s="21">
        <f>(N90-Geraetedaten!$B$161)/(Geraetedaten!$B$174-Geraetedaten!$B$161)*(Geraetedaten!$B$175-Geraetedaten!$B$162)+Geraetedaten!$B$162</f>
        <v>22.638487320012398</v>
      </c>
      <c r="R90" s="21">
        <f t="shared" si="42"/>
        <v>22.638487320012398</v>
      </c>
      <c r="S90" s="21">
        <f t="shared" si="43"/>
        <v>17.593408994242481</v>
      </c>
      <c r="T90" s="88">
        <f t="shared" si="44"/>
        <v>14.24686169300699</v>
      </c>
      <c r="U90" s="86">
        <f t="shared" si="45"/>
        <v>-3636.1574999999998</v>
      </c>
      <c r="V90" s="85">
        <f t="shared" si="46"/>
        <v>-1141.3067828769733</v>
      </c>
      <c r="W90" s="85">
        <f t="shared" si="47"/>
        <v>-1466.5177231545208</v>
      </c>
      <c r="X90" s="90">
        <f t="shared" si="48"/>
        <v>1141.3067828769733</v>
      </c>
      <c r="Y90" s="86">
        <f t="shared" si="49"/>
        <v>-13327.111430000001</v>
      </c>
      <c r="Z90" s="85">
        <f t="shared" si="50"/>
        <v>-750</v>
      </c>
      <c r="AA90" s="85">
        <f t="shared" si="51"/>
        <v>-1191.7617967993122</v>
      </c>
      <c r="AB90" s="90">
        <f t="shared" si="52"/>
        <v>750</v>
      </c>
      <c r="AC90" s="86">
        <f t="shared" si="53"/>
        <v>3491.8484400000002</v>
      </c>
      <c r="AD90" s="85">
        <f t="shared" si="54"/>
        <v>1055.7627565116984</v>
      </c>
      <c r="AE90" s="85">
        <f t="shared" si="55"/>
        <v>1359.6340691825171</v>
      </c>
      <c r="AF90" s="90">
        <f t="shared" si="56"/>
        <v>1055.7627565116984</v>
      </c>
      <c r="AG90" s="86">
        <f t="shared" si="57"/>
        <v>14148.318380000001</v>
      </c>
      <c r="AH90" s="85">
        <f t="shared" si="58"/>
        <v>6128</v>
      </c>
      <c r="AI90" s="85">
        <f t="shared" si="59"/>
        <v>9737.4883877149132</v>
      </c>
      <c r="AJ90" s="90">
        <f t="shared" si="60"/>
        <v>6128</v>
      </c>
      <c r="AL90" s="95">
        <f t="shared" si="61"/>
        <v>0</v>
      </c>
      <c r="AM90" s="95">
        <f t="shared" si="62"/>
        <v>0</v>
      </c>
      <c r="AN90" s="95">
        <f t="shared" si="63"/>
        <v>0</v>
      </c>
      <c r="AO90" s="95">
        <f t="shared" si="64"/>
        <v>0</v>
      </c>
      <c r="AP90"/>
      <c r="AQ90" s="95">
        <f t="shared" si="65"/>
        <v>0</v>
      </c>
      <c r="AR90" s="95">
        <f t="shared" si="66"/>
        <v>0</v>
      </c>
      <c r="AS90" s="95">
        <f>Geraetedaten!$B$94*ABS(SIN(RADIANS($A90)))</f>
        <v>119.68047806437352</v>
      </c>
      <c r="AT90" s="95">
        <f>Geraetedaten!$B$94*ABS(COS(RADIANS($A90)))</f>
        <v>96.915340221674981</v>
      </c>
      <c r="AU90" s="95">
        <f>((h_Aw_Sw+Geraetedaten!$B$18)/1000)*(AQ90*AS90+AR90*AT90)/100</f>
        <v>0</v>
      </c>
    </row>
    <row r="91" spans="1:47" ht="13.5" x14ac:dyDescent="0.25">
      <c r="A91" s="16">
        <v>52</v>
      </c>
      <c r="B91" s="16">
        <f t="shared" si="34"/>
        <v>398</v>
      </c>
      <c r="C91" s="19">
        <f t="shared" si="35"/>
        <v>68.513701867016763</v>
      </c>
      <c r="D91" s="17">
        <f t="shared" si="36"/>
        <v>-3654.7153018670165</v>
      </c>
      <c r="E91" s="17">
        <f t="shared" si="37"/>
        <v>-13691.297181867018</v>
      </c>
      <c r="F91" s="17">
        <f t="shared" si="38"/>
        <v>3375.0904981329836</v>
      </c>
      <c r="G91" s="17">
        <f t="shared" si="39"/>
        <v>14393.695828132983</v>
      </c>
      <c r="H91" s="17">
        <f t="shared" si="67"/>
        <v>3375.0904981329836</v>
      </c>
      <c r="I91" s="17">
        <f t="shared" si="40"/>
        <v>1340.8490305324551</v>
      </c>
      <c r="J91" s="20">
        <f>(Geraetedaten!$B$152+(Geraetedaten!$B$153*(Geraetedaten!$B$18+d_y_Sw)/1000))*10</f>
        <v>6051.0442000000003</v>
      </c>
      <c r="K91" s="20">
        <f>(Geraetedaten!$B$165+(Geraetedaten!$B$166*(Geraetedaten!$B$18+d_y_Sw)/1000))*10</f>
        <v>10816.164000000001</v>
      </c>
      <c r="L91" s="20">
        <f>(Geraetedaten!$B$158+(Geraetedaten!$B$159*(Geraetedaten!$B$18+d_y_Sw)/1000)-(Geraetedaten!$B$160*I91/1000))*10</f>
        <v>503.21214059105489</v>
      </c>
      <c r="M91" s="20">
        <f>(Geraetedaten!$B$171+(Geraetedaten!$B$172*(Geraetedaten!$B$18+d_y_Sw)/1000)-(Geraetedaten!$B$173*I91/1000))*10</f>
        <v>965.05419816716494</v>
      </c>
      <c r="N91" s="20">
        <f>IF((H91-J91)/(K91-J91)*(Geraetedaten!$B$174-Geraetedaten!$B$161)&lt;Geraetedaten!$B$174,(H91-J91)/(K91-J91)*(Geraetedaten!$B$174-Geraetedaten!$B$161),Geraetedaten!$B$174)</f>
        <v>-224.62845126093293</v>
      </c>
      <c r="O91" s="20">
        <f>N91/Geraetedaten!$B$174*(M91-L91)+L91+C91</f>
        <v>312.36867715686111</v>
      </c>
      <c r="P91" s="20">
        <f t="shared" si="41"/>
        <v>150.36446751756492</v>
      </c>
      <c r="Q91" s="21">
        <f>(N91-Geraetedaten!$B$161)/(Geraetedaten!$B$174-Geraetedaten!$B$161)*(Geraetedaten!$B$175-Geraetedaten!$B$162)+Geraetedaten!$B$162</f>
        <v>22.517303574987242</v>
      </c>
      <c r="R91" s="21">
        <f t="shared" si="42"/>
        <v>22.517303574987242</v>
      </c>
      <c r="S91" s="21">
        <f t="shared" si="43"/>
        <v>17.743877359317032</v>
      </c>
      <c r="T91" s="88">
        <f t="shared" si="44"/>
        <v>13.863036339332366</v>
      </c>
      <c r="U91" s="86">
        <f t="shared" si="45"/>
        <v>-3586.2015999999999</v>
      </c>
      <c r="V91" s="85">
        <f t="shared" si="46"/>
        <v>-1141.3067828769733</v>
      </c>
      <c r="W91" s="85">
        <f t="shared" si="47"/>
        <v>-1446.3697487814034</v>
      </c>
      <c r="X91" s="90">
        <f t="shared" si="48"/>
        <v>1141.3067828769733</v>
      </c>
      <c r="Y91" s="86">
        <f t="shared" si="49"/>
        <v>-13622.78348</v>
      </c>
      <c r="Z91" s="85">
        <f t="shared" si="50"/>
        <v>-750</v>
      </c>
      <c r="AA91" s="85">
        <f t="shared" si="51"/>
        <v>-1218.2019341120581</v>
      </c>
      <c r="AB91" s="90">
        <f t="shared" si="52"/>
        <v>750</v>
      </c>
      <c r="AC91" s="86">
        <f t="shared" si="53"/>
        <v>3443.6042000000002</v>
      </c>
      <c r="AD91" s="85">
        <f t="shared" si="54"/>
        <v>1055.7627565116984</v>
      </c>
      <c r="AE91" s="85">
        <f t="shared" si="55"/>
        <v>1340.8490305324551</v>
      </c>
      <c r="AF91" s="90">
        <f t="shared" si="56"/>
        <v>1055.7627565116984</v>
      </c>
      <c r="AG91" s="86">
        <f t="shared" si="57"/>
        <v>14462.20953</v>
      </c>
      <c r="AH91" s="85">
        <f t="shared" si="58"/>
        <v>6128</v>
      </c>
      <c r="AI91" s="85">
        <f t="shared" si="59"/>
        <v>9953.521936318255</v>
      </c>
      <c r="AJ91" s="90">
        <f t="shared" si="60"/>
        <v>6128</v>
      </c>
      <c r="AL91" s="95">
        <f t="shared" si="61"/>
        <v>0</v>
      </c>
      <c r="AM91" s="95">
        <f t="shared" si="62"/>
        <v>0</v>
      </c>
      <c r="AN91" s="95">
        <f t="shared" si="63"/>
        <v>0</v>
      </c>
      <c r="AO91" s="95">
        <f t="shared" si="64"/>
        <v>0</v>
      </c>
      <c r="AP91"/>
      <c r="AQ91" s="95">
        <f t="shared" si="65"/>
        <v>0</v>
      </c>
      <c r="AR91" s="95">
        <f t="shared" si="66"/>
        <v>0</v>
      </c>
      <c r="AS91" s="95">
        <f>Geraetedaten!$B$94*ABS(SIN(RADIANS($A91)))</f>
        <v>121.3536560554352</v>
      </c>
      <c r="AT91" s="95">
        <f>Geraetedaten!$B$94*ABS(COS(RADIANS($A91)))</f>
        <v>94.811867200151383</v>
      </c>
      <c r="AU91" s="95">
        <f>((h_Aw_Sw+Geraetedaten!$B$18)/1000)*(AQ91*AS91+AR91*AT91)/100</f>
        <v>0</v>
      </c>
    </row>
    <row r="92" spans="1:47" ht="13.5" x14ac:dyDescent="0.25">
      <c r="A92" s="16">
        <v>53</v>
      </c>
      <c r="B92" s="16">
        <f t="shared" si="34"/>
        <v>397</v>
      </c>
      <c r="C92" s="19">
        <f t="shared" si="35"/>
        <v>68.774227463967065</v>
      </c>
      <c r="D92" s="17">
        <f t="shared" si="36"/>
        <v>-3607.4372874639671</v>
      </c>
      <c r="E92" s="17">
        <f t="shared" si="37"/>
        <v>-14004.988267463968</v>
      </c>
      <c r="F92" s="17">
        <f t="shared" si="38"/>
        <v>3328.9215425360326</v>
      </c>
      <c r="G92" s="17">
        <f t="shared" si="39"/>
        <v>14726.179222536033</v>
      </c>
      <c r="H92" s="17">
        <f t="shared" si="67"/>
        <v>3328.9215425360326</v>
      </c>
      <c r="I92" s="17">
        <f t="shared" si="40"/>
        <v>1322.973493947304</v>
      </c>
      <c r="J92" s="20">
        <f>(Geraetedaten!$B$152+(Geraetedaten!$B$153*(Geraetedaten!$B$18+d_y_Sw)/1000))*10</f>
        <v>6051.0442000000003</v>
      </c>
      <c r="K92" s="20">
        <f>(Geraetedaten!$B$165+(Geraetedaten!$B$166*(Geraetedaten!$B$18+d_y_Sw)/1000))*10</f>
        <v>10816.164000000001</v>
      </c>
      <c r="L92" s="20">
        <f>(Geraetedaten!$B$158+(Geraetedaten!$B$159*(Geraetedaten!$B$18+d_y_Sw)/1000)-(Geraetedaten!$B$160*I92/1000))*10</f>
        <v>504.52295368884393</v>
      </c>
      <c r="M92" s="20">
        <f>(Geraetedaten!$B$171+(Geraetedaten!$B$172*(Geraetedaten!$B$18+d_y_Sw)/1000)-(Geraetedaten!$B$173*I92/1000))*10</f>
        <v>966.38485311056365</v>
      </c>
      <c r="N92" s="20">
        <f>IF((H92-J92)/(K92-J92)*(Geraetedaten!$B$174-Geraetedaten!$B$161)&lt;Geraetedaten!$B$174,(H92-J92)/(K92-J92)*(Geraetedaten!$B$174-Geraetedaten!$B$161),Geraetedaten!$B$174)</f>
        <v>-228.50402690517603</v>
      </c>
      <c r="O92" s="20">
        <f>N92/Geraetedaten!$B$174*(M92-L92)+L92+C92</f>
        <v>309.4539214229701</v>
      </c>
      <c r="P92" s="20">
        <f t="shared" si="41"/>
        <v>149.64986383380793</v>
      </c>
      <c r="Q92" s="21">
        <f>(N92-Geraetedaten!$B$161)/(Geraetedaten!$B$174-Geraetedaten!$B$161)*(Geraetedaten!$B$175-Geraetedaten!$B$162)+Geraetedaten!$B$162</f>
        <v>22.402005199571011</v>
      </c>
      <c r="R92" s="21">
        <f t="shared" si="42"/>
        <v>22.402005199571011</v>
      </c>
      <c r="S92" s="21">
        <f t="shared" si="43"/>
        <v>17.891036848641502</v>
      </c>
      <c r="T92" s="88">
        <f t="shared" si="44"/>
        <v>13.481863277832137</v>
      </c>
      <c r="U92" s="86">
        <f t="shared" si="45"/>
        <v>-3538.6630599999999</v>
      </c>
      <c r="V92" s="85">
        <f t="shared" si="46"/>
        <v>-1141.3067828769733</v>
      </c>
      <c r="W92" s="85">
        <f t="shared" si="47"/>
        <v>-1427.1967297414708</v>
      </c>
      <c r="X92" s="90">
        <f t="shared" si="48"/>
        <v>1141.3067828769733</v>
      </c>
      <c r="Y92" s="86">
        <f t="shared" si="49"/>
        <v>-13936.214040000001</v>
      </c>
      <c r="Z92" s="85">
        <f t="shared" si="50"/>
        <v>-750</v>
      </c>
      <c r="AA92" s="85">
        <f t="shared" si="51"/>
        <v>-1246.2301058418625</v>
      </c>
      <c r="AB92" s="90">
        <f t="shared" si="52"/>
        <v>750</v>
      </c>
      <c r="AC92" s="86">
        <f t="shared" si="53"/>
        <v>3397.6957699999998</v>
      </c>
      <c r="AD92" s="85">
        <f t="shared" si="54"/>
        <v>1055.7627565116984</v>
      </c>
      <c r="AE92" s="85">
        <f t="shared" si="55"/>
        <v>1322.973493947304</v>
      </c>
      <c r="AF92" s="90">
        <f t="shared" si="56"/>
        <v>1055.7627565116984</v>
      </c>
      <c r="AG92" s="86">
        <f t="shared" si="57"/>
        <v>14794.953450000001</v>
      </c>
      <c r="AH92" s="85">
        <f t="shared" si="58"/>
        <v>6128</v>
      </c>
      <c r="AI92" s="85">
        <f t="shared" si="59"/>
        <v>10182.530784798577</v>
      </c>
      <c r="AJ92" s="90">
        <f t="shared" si="60"/>
        <v>6128</v>
      </c>
      <c r="AL92" s="95">
        <f t="shared" si="61"/>
        <v>0</v>
      </c>
      <c r="AM92" s="95">
        <f t="shared" si="62"/>
        <v>0</v>
      </c>
      <c r="AN92" s="95">
        <f t="shared" si="63"/>
        <v>0</v>
      </c>
      <c r="AO92" s="95">
        <f t="shared" si="64"/>
        <v>0</v>
      </c>
      <c r="AP92"/>
      <c r="AQ92" s="95">
        <f t="shared" si="65"/>
        <v>0</v>
      </c>
      <c r="AR92" s="95">
        <f t="shared" si="66"/>
        <v>0</v>
      </c>
      <c r="AS92" s="95">
        <f>Geraetedaten!$B$94*ABS(SIN(RADIANS($A92)))</f>
        <v>122.98986854728309</v>
      </c>
      <c r="AT92" s="95">
        <f>Geraetedaten!$B$94*ABS(COS(RADIANS($A92)))</f>
        <v>92.679513565415448</v>
      </c>
      <c r="AU92" s="95">
        <f>((h_Aw_Sw+Geraetedaten!$B$18)/1000)*(AQ92*AS92+AR92*AT92)/100</f>
        <v>0</v>
      </c>
    </row>
    <row r="93" spans="1:47" ht="13.5" x14ac:dyDescent="0.25">
      <c r="A93" s="16">
        <v>54</v>
      </c>
      <c r="B93" s="16">
        <f t="shared" si="34"/>
        <v>396</v>
      </c>
      <c r="C93" s="19">
        <f t="shared" si="35"/>
        <v>69.013803765000915</v>
      </c>
      <c r="D93" s="17">
        <f t="shared" si="36"/>
        <v>-3562.4323737650006</v>
      </c>
      <c r="E93" s="17">
        <f t="shared" si="37"/>
        <v>-14337.869553765002</v>
      </c>
      <c r="F93" s="17">
        <f t="shared" si="38"/>
        <v>3284.9897162349994</v>
      </c>
      <c r="G93" s="17">
        <f t="shared" si="39"/>
        <v>15079.078496234999</v>
      </c>
      <c r="H93" s="17">
        <f t="shared" si="67"/>
        <v>3284.9897162349994</v>
      </c>
      <c r="I93" s="17">
        <f t="shared" si="40"/>
        <v>1305.9608773124125</v>
      </c>
      <c r="J93" s="20">
        <f>(Geraetedaten!$B$152+(Geraetedaten!$B$153*(Geraetedaten!$B$18+d_y_Sw)/1000))*10</f>
        <v>6051.0442000000003</v>
      </c>
      <c r="K93" s="20">
        <f>(Geraetedaten!$B$165+(Geraetedaten!$B$166*(Geraetedaten!$B$18+d_y_Sw)/1000))*10</f>
        <v>10816.164000000001</v>
      </c>
      <c r="L93" s="20">
        <f>(Geraetedaten!$B$158+(Geraetedaten!$B$159*(Geraetedaten!$B$18+d_y_Sw)/1000)-(Geraetedaten!$B$160*I93/1000))*10</f>
        <v>505.77048886668052</v>
      </c>
      <c r="M93" s="20">
        <f>(Geraetedaten!$B$171+(Geraetedaten!$B$172*(Geraetedaten!$B$18+d_y_Sw)/1000)-(Geraetedaten!$B$173*I93/1000))*10</f>
        <v>967.65127229286486</v>
      </c>
      <c r="N93" s="20">
        <f>IF((H93-J93)/(K93-J93)*(Geraetedaten!$B$174-Geraetedaten!$B$161)&lt;Geraetedaten!$B$174,(H93-J93)/(K93-J93)*(Geraetedaten!$B$174-Geraetedaten!$B$161),Geraetedaten!$B$174)</f>
        <v>-232.19181047788143</v>
      </c>
      <c r="O93" s="20">
        <f>N93/Geraetedaten!$B$174*(M93-L93)+L93+C93</f>
        <v>306.67195431001142</v>
      </c>
      <c r="P93" s="20">
        <f t="shared" si="41"/>
        <v>148.95960041269109</v>
      </c>
      <c r="Q93" s="21">
        <f>(N93-Geraetedaten!$B$161)/(Geraetedaten!$B$174-Geraetedaten!$B$161)*(Geraetedaten!$B$175-Geraetedaten!$B$162)+Geraetedaten!$B$162</f>
        <v>22.292293638283027</v>
      </c>
      <c r="R93" s="21">
        <f t="shared" si="42"/>
        <v>22.292293638283027</v>
      </c>
      <c r="S93" s="21">
        <f t="shared" si="43"/>
        <v>18.034844396967497</v>
      </c>
      <c r="T93" s="88">
        <f t="shared" si="44"/>
        <v>13.103081440356084</v>
      </c>
      <c r="U93" s="86">
        <f t="shared" si="45"/>
        <v>-3493.4185699999998</v>
      </c>
      <c r="V93" s="85">
        <f t="shared" si="46"/>
        <v>-1141.3067828769733</v>
      </c>
      <c r="W93" s="85">
        <f t="shared" si="47"/>
        <v>-1408.9489389427144</v>
      </c>
      <c r="X93" s="90">
        <f t="shared" si="48"/>
        <v>1141.3067828769733</v>
      </c>
      <c r="Y93" s="86">
        <f t="shared" si="49"/>
        <v>-14268.855750000001</v>
      </c>
      <c r="Z93" s="85">
        <f t="shared" si="50"/>
        <v>-750</v>
      </c>
      <c r="AA93" s="85">
        <f t="shared" si="51"/>
        <v>-1275.9762125280599</v>
      </c>
      <c r="AB93" s="90">
        <f t="shared" si="52"/>
        <v>750</v>
      </c>
      <c r="AC93" s="86">
        <f t="shared" si="53"/>
        <v>3354.0035200000002</v>
      </c>
      <c r="AD93" s="85">
        <f t="shared" si="54"/>
        <v>1055.7627565116984</v>
      </c>
      <c r="AE93" s="85">
        <f t="shared" si="55"/>
        <v>1305.9608773124125</v>
      </c>
      <c r="AF93" s="90">
        <f t="shared" si="56"/>
        <v>1055.7627565116984</v>
      </c>
      <c r="AG93" s="86">
        <f t="shared" si="57"/>
        <v>15148.0923</v>
      </c>
      <c r="AH93" s="85">
        <f t="shared" si="58"/>
        <v>6128</v>
      </c>
      <c r="AI93" s="85">
        <f t="shared" si="59"/>
        <v>10425.576307162601</v>
      </c>
      <c r="AJ93" s="90">
        <f t="shared" si="60"/>
        <v>6128</v>
      </c>
      <c r="AL93" s="95">
        <f t="shared" si="61"/>
        <v>0</v>
      </c>
      <c r="AM93" s="95">
        <f t="shared" si="62"/>
        <v>0</v>
      </c>
      <c r="AN93" s="95">
        <f t="shared" si="63"/>
        <v>0</v>
      </c>
      <c r="AO93" s="95">
        <f t="shared" si="64"/>
        <v>0</v>
      </c>
      <c r="AP93"/>
      <c r="AQ93" s="95">
        <f t="shared" si="65"/>
        <v>0</v>
      </c>
      <c r="AR93" s="95">
        <f t="shared" si="66"/>
        <v>0</v>
      </c>
      <c r="AS93" s="95">
        <f>Geraetedaten!$B$94*ABS(SIN(RADIANS($A93)))</f>
        <v>124.58861713374191</v>
      </c>
      <c r="AT93" s="95">
        <f>Geraetedaten!$B$94*ABS(COS(RADIANS($A93)))</f>
        <v>90.518928853040862</v>
      </c>
      <c r="AU93" s="95">
        <f>((h_Aw_Sw+Geraetedaten!$B$18)/1000)*(AQ93*AS93+AR93*AT93)/100</f>
        <v>0</v>
      </c>
    </row>
    <row r="94" spans="1:47" ht="13.5" x14ac:dyDescent="0.25">
      <c r="A94" s="16">
        <v>55</v>
      </c>
      <c r="B94" s="16">
        <f t="shared" si="34"/>
        <v>395</v>
      </c>
      <c r="C94" s="19">
        <f t="shared" si="35"/>
        <v>69.232357792856249</v>
      </c>
      <c r="D94" s="17">
        <f t="shared" si="36"/>
        <v>-3519.5865477928564</v>
      </c>
      <c r="E94" s="17">
        <f t="shared" si="37"/>
        <v>-14691.560687792857</v>
      </c>
      <c r="F94" s="17">
        <f t="shared" si="38"/>
        <v>3243.1845322071435</v>
      </c>
      <c r="G94" s="17">
        <f t="shared" si="39"/>
        <v>15454.113252207144</v>
      </c>
      <c r="H94" s="17">
        <f t="shared" si="67"/>
        <v>3243.1845322071435</v>
      </c>
      <c r="I94" s="17">
        <f t="shared" si="40"/>
        <v>1289.7681367953403</v>
      </c>
      <c r="J94" s="20">
        <f>(Geraetedaten!$B$152+(Geraetedaten!$B$153*(Geraetedaten!$B$18+d_y_Sw)/1000))*10</f>
        <v>6051.0442000000003</v>
      </c>
      <c r="K94" s="20">
        <f>(Geraetedaten!$B$165+(Geraetedaten!$B$166*(Geraetedaten!$B$18+d_y_Sw)/1000))*10</f>
        <v>10816.164000000001</v>
      </c>
      <c r="L94" s="20">
        <f>(Geraetedaten!$B$158+(Geraetedaten!$B$159*(Geraetedaten!$B$18+d_y_Sw)/1000)-(Geraetedaten!$B$160*I94/1000))*10</f>
        <v>506.95790252879749</v>
      </c>
      <c r="M94" s="20">
        <f>(Geraetedaten!$B$171+(Geraetedaten!$B$172*(Geraetedaten!$B$18+d_y_Sw)/1000)-(Geraetedaten!$B$173*I94/1000))*10</f>
        <v>968.85665989695576</v>
      </c>
      <c r="N94" s="20">
        <f>IF((H94-J94)/(K94-J94)*(Geraetedaten!$B$174-Geraetedaten!$B$161)&lt;Geraetedaten!$B$174,(H94-J94)/(K94-J94)*(Geraetedaten!$B$174-Geraetedaten!$B$161),Geraetedaten!$B$174)</f>
        <v>-235.70107662710654</v>
      </c>
      <c r="O94" s="20">
        <f>N94/Geraetedaten!$B$174*(M94-L94)+L94+C94</f>
        <v>304.0151743106598</v>
      </c>
      <c r="P94" s="20">
        <f t="shared" si="41"/>
        <v>148.29241388681299</v>
      </c>
      <c r="Q94" s="21">
        <f>(N94-Geraetedaten!$B$161)/(Geraetedaten!$B$174-Geraetedaten!$B$161)*(Geraetedaten!$B$175-Geraetedaten!$B$162)+Geraetedaten!$B$162</f>
        <v>22.187892970343576</v>
      </c>
      <c r="R94" s="21">
        <f t="shared" si="42"/>
        <v>22.187892970343576</v>
      </c>
      <c r="S94" s="21">
        <f t="shared" si="43"/>
        <v>18.175257885122292</v>
      </c>
      <c r="T94" s="88">
        <f t="shared" si="44"/>
        <v>12.726452580068097</v>
      </c>
      <c r="U94" s="86">
        <f t="shared" si="45"/>
        <v>-3450.35419</v>
      </c>
      <c r="V94" s="85">
        <f t="shared" si="46"/>
        <v>-1141.3067828769733</v>
      </c>
      <c r="W94" s="85">
        <f t="shared" si="47"/>
        <v>-1391.5804185259387</v>
      </c>
      <c r="X94" s="90">
        <f t="shared" si="48"/>
        <v>1141.3067828769733</v>
      </c>
      <c r="Y94" s="86">
        <f t="shared" si="49"/>
        <v>-14622.32833</v>
      </c>
      <c r="Z94" s="85">
        <f t="shared" si="50"/>
        <v>-750</v>
      </c>
      <c r="AA94" s="85">
        <f t="shared" si="51"/>
        <v>-1307.5850967158235</v>
      </c>
      <c r="AB94" s="90">
        <f t="shared" si="52"/>
        <v>750</v>
      </c>
      <c r="AC94" s="86">
        <f t="shared" si="53"/>
        <v>3312.41689</v>
      </c>
      <c r="AD94" s="85">
        <f t="shared" si="54"/>
        <v>1055.7627565116984</v>
      </c>
      <c r="AE94" s="85">
        <f t="shared" si="55"/>
        <v>1289.7681367953403</v>
      </c>
      <c r="AF94" s="90">
        <f t="shared" si="56"/>
        <v>1055.7627565116984</v>
      </c>
      <c r="AG94" s="86">
        <f t="shared" si="57"/>
        <v>15523.34561</v>
      </c>
      <c r="AH94" s="85">
        <f t="shared" si="58"/>
        <v>6128</v>
      </c>
      <c r="AI94" s="85">
        <f t="shared" si="59"/>
        <v>10683.84196356609</v>
      </c>
      <c r="AJ94" s="90">
        <f t="shared" si="60"/>
        <v>6128</v>
      </c>
      <c r="AL94" s="95">
        <f t="shared" si="61"/>
        <v>0</v>
      </c>
      <c r="AM94" s="95">
        <f t="shared" si="62"/>
        <v>0</v>
      </c>
      <c r="AN94" s="95">
        <f t="shared" si="63"/>
        <v>0</v>
      </c>
      <c r="AO94" s="95">
        <f t="shared" si="64"/>
        <v>0</v>
      </c>
      <c r="AP94"/>
      <c r="AQ94" s="95">
        <f t="shared" si="65"/>
        <v>0</v>
      </c>
      <c r="AR94" s="95">
        <f t="shared" si="66"/>
        <v>0</v>
      </c>
      <c r="AS94" s="95">
        <f>Geraetedaten!$B$94*ABS(SIN(RADIANS($A94)))</f>
        <v>126.14941482050473</v>
      </c>
      <c r="AT94" s="95">
        <f>Geraetedaten!$B$94*ABS(COS(RADIANS($A94)))</f>
        <v>88.330771198061115</v>
      </c>
      <c r="AU94" s="95">
        <f>((h_Aw_Sw+Geraetedaten!$B$18)/1000)*(AQ94*AS94+AR94*AT94)/100</f>
        <v>0</v>
      </c>
    </row>
    <row r="95" spans="1:47" ht="13.5" x14ac:dyDescent="0.25">
      <c r="A95" s="16">
        <v>56</v>
      </c>
      <c r="B95" s="16">
        <f t="shared" si="34"/>
        <v>394</v>
      </c>
      <c r="C95" s="19">
        <f t="shared" si="35"/>
        <v>69.429822973858947</v>
      </c>
      <c r="D95" s="17">
        <f t="shared" si="36"/>
        <v>-3478.7943229738589</v>
      </c>
      <c r="E95" s="17">
        <f t="shared" si="37"/>
        <v>-15067.87298297386</v>
      </c>
      <c r="F95" s="17">
        <f t="shared" si="38"/>
        <v>3203.4038070261413</v>
      </c>
      <c r="G95" s="17">
        <f t="shared" si="39"/>
        <v>15853.206537026141</v>
      </c>
      <c r="H95" s="17">
        <f t="shared" si="67"/>
        <v>3203.4038070261413</v>
      </c>
      <c r="I95" s="17">
        <f t="shared" si="40"/>
        <v>1274.3554560976163</v>
      </c>
      <c r="J95" s="20">
        <f>(Geraetedaten!$B$152+(Geraetedaten!$B$153*(Geraetedaten!$B$18+d_y_Sw)/1000))*10</f>
        <v>6051.0442000000003</v>
      </c>
      <c r="K95" s="20">
        <f>(Geraetedaten!$B$165+(Geraetedaten!$B$166*(Geraetedaten!$B$18+d_y_Sw)/1000))*10</f>
        <v>10816.164000000001</v>
      </c>
      <c r="L95" s="20">
        <f>(Geraetedaten!$B$158+(Geraetedaten!$B$159*(Geraetedaten!$B$18+d_y_Sw)/1000)-(Geraetedaten!$B$160*I95/1000))*10</f>
        <v>508.08811440436159</v>
      </c>
      <c r="M95" s="20">
        <f>(Geraetedaten!$B$171+(Geraetedaten!$B$172*(Geraetedaten!$B$18+d_y_Sw)/1000)-(Geraetedaten!$B$173*I95/1000))*10</f>
        <v>970.00397984809433</v>
      </c>
      <c r="N95" s="20">
        <f>IF((H95-J95)/(K95-J95)*(Geraetedaten!$B$174-Geraetedaten!$B$161)&lt;Geraetedaten!$B$174,(H95-J95)/(K95-J95)*(Geraetedaten!$B$174-Geraetedaten!$B$161),Geraetedaten!$B$174)</f>
        <v>-239.04040296941611</v>
      </c>
      <c r="O95" s="20">
        <f>N95/Geraetedaten!$B$174*(M95-L95)+L95+C95</f>
        <v>301.47655084412941</v>
      </c>
      <c r="P95" s="20">
        <f t="shared" si="41"/>
        <v>147.64711405546649</v>
      </c>
      <c r="Q95" s="21">
        <f>(N95-Geraetedaten!$B$161)/(Geraetedaten!$B$174-Geraetedaten!$B$161)*(Geraetedaten!$B$175-Geraetedaten!$B$162)+Geraetedaten!$B$162</f>
        <v>22.088548011659867</v>
      </c>
      <c r="R95" s="21">
        <f t="shared" si="42"/>
        <v>22.088548011659867</v>
      </c>
      <c r="S95" s="21">
        <f t="shared" si="43"/>
        <v>18.31223622485199</v>
      </c>
      <c r="T95" s="88">
        <f t="shared" si="44"/>
        <v>12.351759296093071</v>
      </c>
      <c r="U95" s="86">
        <f t="shared" si="45"/>
        <v>-3409.3645000000001</v>
      </c>
      <c r="V95" s="85">
        <f t="shared" si="46"/>
        <v>-1141.3067828769733</v>
      </c>
      <c r="W95" s="85">
        <f t="shared" si="47"/>
        <v>-1375.0486499003505</v>
      </c>
      <c r="X95" s="90">
        <f t="shared" si="48"/>
        <v>1141.3067828769733</v>
      </c>
      <c r="Y95" s="86">
        <f t="shared" si="49"/>
        <v>-14998.443160000001</v>
      </c>
      <c r="Z95" s="85">
        <f t="shared" si="50"/>
        <v>-750</v>
      </c>
      <c r="AA95" s="85">
        <f t="shared" si="51"/>
        <v>-1341.2187374785503</v>
      </c>
      <c r="AB95" s="90">
        <f t="shared" si="52"/>
        <v>750</v>
      </c>
      <c r="AC95" s="86">
        <f t="shared" si="53"/>
        <v>3272.8336300000001</v>
      </c>
      <c r="AD95" s="85">
        <f t="shared" si="54"/>
        <v>1055.7627565116984</v>
      </c>
      <c r="AE95" s="85">
        <f t="shared" si="55"/>
        <v>1274.3554560976163</v>
      </c>
      <c r="AF95" s="90">
        <f t="shared" si="56"/>
        <v>1055.7627565116984</v>
      </c>
      <c r="AG95" s="86">
        <f t="shared" si="57"/>
        <v>15922.63636</v>
      </c>
      <c r="AH95" s="85">
        <f t="shared" si="58"/>
        <v>6128</v>
      </c>
      <c r="AI95" s="85">
        <f t="shared" si="59"/>
        <v>10958.651231024742</v>
      </c>
      <c r="AJ95" s="90">
        <f t="shared" si="60"/>
        <v>6128</v>
      </c>
      <c r="AL95" s="95">
        <f t="shared" si="61"/>
        <v>0</v>
      </c>
      <c r="AM95" s="95">
        <f t="shared" si="62"/>
        <v>0</v>
      </c>
      <c r="AN95" s="95">
        <f t="shared" si="63"/>
        <v>0</v>
      </c>
      <c r="AO95" s="95">
        <f t="shared" si="64"/>
        <v>0</v>
      </c>
      <c r="AP95"/>
      <c r="AQ95" s="95">
        <f t="shared" si="65"/>
        <v>0</v>
      </c>
      <c r="AR95" s="95">
        <f t="shared" si="66"/>
        <v>0</v>
      </c>
      <c r="AS95" s="95">
        <f>Geraetedaten!$B$94*ABS(SIN(RADIANS($A95)))</f>
        <v>127.67178617347643</v>
      </c>
      <c r="AT95" s="95">
        <f>Geraetedaten!$B$94*ABS(COS(RADIANS($A95)))</f>
        <v>86.115707134495011</v>
      </c>
      <c r="AU95" s="95">
        <f>((h_Aw_Sw+Geraetedaten!$B$18)/1000)*(AQ95*AS95+AR95*AT95)/100</f>
        <v>0</v>
      </c>
    </row>
    <row r="96" spans="1:47" ht="13.5" x14ac:dyDescent="0.25">
      <c r="A96" s="16">
        <v>57</v>
      </c>
      <c r="B96" s="16">
        <f t="shared" si="34"/>
        <v>393</v>
      </c>
      <c r="C96" s="19">
        <f t="shared" si="35"/>
        <v>69.606139158202012</v>
      </c>
      <c r="D96" s="17">
        <f t="shared" si="36"/>
        <v>-3439.9579991582023</v>
      </c>
      <c r="E96" s="17">
        <f t="shared" si="37"/>
        <v>-15468.838359158202</v>
      </c>
      <c r="F96" s="17">
        <f t="shared" si="38"/>
        <v>3165.5529208417979</v>
      </c>
      <c r="G96" s="17">
        <f t="shared" si="39"/>
        <v>16278.515610841798</v>
      </c>
      <c r="H96" s="17">
        <f t="shared" si="67"/>
        <v>3165.5529208417979</v>
      </c>
      <c r="I96" s="17">
        <f t="shared" si="40"/>
        <v>1259.6859687251945</v>
      </c>
      <c r="J96" s="20">
        <f>(Geraetedaten!$B$152+(Geraetedaten!$B$153*(Geraetedaten!$B$18+d_y_Sw)/1000))*10</f>
        <v>6051.0442000000003</v>
      </c>
      <c r="K96" s="20">
        <f>(Geraetedaten!$B$165+(Geraetedaten!$B$166*(Geraetedaten!$B$18+d_y_Sw)/1000))*10</f>
        <v>10816.164000000001</v>
      </c>
      <c r="L96" s="20">
        <f>(Geraetedaten!$B$158+(Geraetedaten!$B$159*(Geraetedaten!$B$18+d_y_Sw)/1000)-(Geraetedaten!$B$160*I96/1000))*10</f>
        <v>509.16382791338123</v>
      </c>
      <c r="M96" s="20">
        <f>(Geraetedaten!$B$171+(Geraetedaten!$B$172*(Geraetedaten!$B$18+d_y_Sw)/1000)-(Geraetedaten!$B$173*I96/1000))*10</f>
        <v>971.09597648809745</v>
      </c>
      <c r="N96" s="20">
        <f>IF((H96-J96)/(K96-J96)*(Geraetedaten!$B$174-Geraetedaten!$B$161)&lt;Geraetedaten!$B$174,(H96-J96)/(K96-J96)*(Geraetedaten!$B$174-Geraetedaten!$B$161),Geraetedaten!$B$174)</f>
        <v>-242.21773220964579</v>
      </c>
      <c r="O96" s="20">
        <f>N96/Geraetedaten!$B$174*(M96-L96)+L96+C96</f>
        <v>299.04957341534089</v>
      </c>
      <c r="P96" s="20">
        <f t="shared" si="41"/>
        <v>147.02257925801717</v>
      </c>
      <c r="Q96" s="21">
        <f>(N96-Geraetedaten!$B$161)/(Geraetedaten!$B$174-Geraetedaten!$B$161)*(Geraetedaten!$B$175-Geraetedaten!$B$162)+Geraetedaten!$B$162</f>
        <v>21.994022466763035</v>
      </c>
      <c r="R96" s="21">
        <f t="shared" si="42"/>
        <v>21.994022466763035</v>
      </c>
      <c r="S96" s="21">
        <f t="shared" si="43"/>
        <v>18.44573931360457</v>
      </c>
      <c r="T96" s="88">
        <f t="shared" si="44"/>
        <v>11.978803172396645</v>
      </c>
      <c r="U96" s="86">
        <f t="shared" si="45"/>
        <v>-3370.3518600000002</v>
      </c>
      <c r="V96" s="85">
        <f t="shared" si="46"/>
        <v>-1141.3067828769733</v>
      </c>
      <c r="W96" s="85">
        <f t="shared" si="47"/>
        <v>-1359.3142587503155</v>
      </c>
      <c r="X96" s="90">
        <f t="shared" si="48"/>
        <v>1141.3067828769733</v>
      </c>
      <c r="Y96" s="86">
        <f t="shared" si="49"/>
        <v>-15399.23222</v>
      </c>
      <c r="Z96" s="85">
        <f t="shared" si="50"/>
        <v>-750</v>
      </c>
      <c r="AA96" s="85">
        <f t="shared" si="51"/>
        <v>-1377.0588440824974</v>
      </c>
      <c r="AB96" s="90">
        <f t="shared" si="52"/>
        <v>750</v>
      </c>
      <c r="AC96" s="86">
        <f t="shared" si="53"/>
        <v>3235.15906</v>
      </c>
      <c r="AD96" s="85">
        <f t="shared" si="54"/>
        <v>1055.7627565116984</v>
      </c>
      <c r="AE96" s="85">
        <f t="shared" si="55"/>
        <v>1259.6859687251945</v>
      </c>
      <c r="AF96" s="90">
        <f t="shared" si="56"/>
        <v>1055.7627565116984</v>
      </c>
      <c r="AG96" s="86">
        <f t="shared" si="57"/>
        <v>16348.12175</v>
      </c>
      <c r="AH96" s="85">
        <f t="shared" si="58"/>
        <v>6128</v>
      </c>
      <c r="AI96" s="85">
        <f t="shared" si="59"/>
        <v>11251.488795383391</v>
      </c>
      <c r="AJ96" s="90">
        <f t="shared" si="60"/>
        <v>6128</v>
      </c>
      <c r="AL96" s="95">
        <f t="shared" si="61"/>
        <v>0</v>
      </c>
      <c r="AM96" s="95">
        <f t="shared" si="62"/>
        <v>0</v>
      </c>
      <c r="AN96" s="95">
        <f t="shared" si="63"/>
        <v>0</v>
      </c>
      <c r="AO96" s="95">
        <f t="shared" si="64"/>
        <v>0</v>
      </c>
      <c r="AP96"/>
      <c r="AQ96" s="95">
        <f t="shared" si="65"/>
        <v>0</v>
      </c>
      <c r="AR96" s="95">
        <f t="shared" si="66"/>
        <v>0</v>
      </c>
      <c r="AS96" s="95">
        <f>Geraetedaten!$B$94*ABS(SIN(RADIANS($A96)))</f>
        <v>129.15526746359529</v>
      </c>
      <c r="AT96" s="95">
        <f>Geraetedaten!$B$94*ABS(COS(RADIANS($A96)))</f>
        <v>83.874411392314173</v>
      </c>
      <c r="AU96" s="95">
        <f>((h_Aw_Sw+Geraetedaten!$B$18)/1000)*(AQ96*AS96+AR96*AT96)/100</f>
        <v>0</v>
      </c>
    </row>
    <row r="97" spans="1:47" ht="13.5" x14ac:dyDescent="0.25">
      <c r="A97" s="16">
        <v>58</v>
      </c>
      <c r="B97" s="16">
        <f t="shared" si="34"/>
        <v>392</v>
      </c>
      <c r="C97" s="19">
        <f t="shared" si="35"/>
        <v>69.761252638267678</v>
      </c>
      <c r="D97" s="17">
        <f t="shared" si="36"/>
        <v>-3402.9870426382677</v>
      </c>
      <c r="E97" s="17">
        <f t="shared" si="37"/>
        <v>-15896.743852638267</v>
      </c>
      <c r="F97" s="17">
        <f t="shared" si="38"/>
        <v>3129.5441873617324</v>
      </c>
      <c r="G97" s="17">
        <f t="shared" si="39"/>
        <v>16732.468547361732</v>
      </c>
      <c r="H97" s="17">
        <f t="shared" si="67"/>
        <v>3129.5441873617324</v>
      </c>
      <c r="I97" s="17">
        <f t="shared" si="40"/>
        <v>1245.7255093038073</v>
      </c>
      <c r="J97" s="20">
        <f>(Geraetedaten!$B$152+(Geraetedaten!$B$153*(Geraetedaten!$B$18+d_y_Sw)/1000))*10</f>
        <v>6051.0442000000003</v>
      </c>
      <c r="K97" s="20">
        <f>(Geraetedaten!$B$165+(Geraetedaten!$B$166*(Geraetedaten!$B$18+d_y_Sw)/1000))*10</f>
        <v>10816.164000000001</v>
      </c>
      <c r="L97" s="20">
        <f>(Geraetedaten!$B$158+(Geraetedaten!$B$159*(Geraetedaten!$B$18+d_y_Sw)/1000)-(Geraetedaten!$B$160*I97/1000))*10</f>
        <v>510.18754840275159</v>
      </c>
      <c r="M97" s="20">
        <f>(Geraetedaten!$B$171+(Geraetedaten!$B$172*(Geraetedaten!$B$18+d_y_Sw)/1000)-(Geraetedaten!$B$173*I97/1000))*10</f>
        <v>972.13519308742548</v>
      </c>
      <c r="N97" s="20">
        <f>IF((H97-J97)/(K97-J97)*(Geraetedaten!$B$174-Geraetedaten!$B$161)&lt;Geraetedaten!$B$174,(H97-J97)/(K97-J97)*(Geraetedaten!$B$174-Geraetedaten!$B$161),Geraetedaten!$B$174)</f>
        <v>-245.2404250267343</v>
      </c>
      <c r="O97" s="20">
        <f>N97/Geraetedaten!$B$174*(M97-L97)+L97+C97</f>
        <v>296.72820923459858</v>
      </c>
      <c r="P97" s="20">
        <f t="shared" si="41"/>
        <v>146.41775306586459</v>
      </c>
      <c r="Q97" s="21">
        <f>(N97-Geraetedaten!$B$161)/(Geraetedaten!$B$174-Geraetedaten!$B$161)*(Geraetedaten!$B$175-Geraetedaten!$B$162)+Geraetedaten!$B$162</f>
        <v>21.904097355454653</v>
      </c>
      <c r="R97" s="21">
        <f t="shared" si="42"/>
        <v>21.904097355454653</v>
      </c>
      <c r="S97" s="21">
        <f t="shared" si="43"/>
        <v>18.575728060318323</v>
      </c>
      <c r="T97" s="88">
        <f t="shared" si="44"/>
        <v>11.607403154295019</v>
      </c>
      <c r="U97" s="86">
        <f t="shared" si="45"/>
        <v>-3333.22579</v>
      </c>
      <c r="V97" s="85">
        <f t="shared" si="46"/>
        <v>-1141.3067828769733</v>
      </c>
      <c r="W97" s="85">
        <f t="shared" si="47"/>
        <v>-1344.3407508164714</v>
      </c>
      <c r="X97" s="90">
        <f t="shared" si="48"/>
        <v>1141.3067828769733</v>
      </c>
      <c r="Y97" s="86">
        <f t="shared" si="49"/>
        <v>-15826.982599999999</v>
      </c>
      <c r="Z97" s="85">
        <f t="shared" si="50"/>
        <v>-750</v>
      </c>
      <c r="AA97" s="85">
        <f t="shared" si="51"/>
        <v>-1415.3099360998938</v>
      </c>
      <c r="AB97" s="90">
        <f t="shared" si="52"/>
        <v>750</v>
      </c>
      <c r="AC97" s="86">
        <f t="shared" si="53"/>
        <v>3199.3054400000001</v>
      </c>
      <c r="AD97" s="85">
        <f t="shared" si="54"/>
        <v>1055.7627565116984</v>
      </c>
      <c r="AE97" s="85">
        <f t="shared" si="55"/>
        <v>1245.7255093038073</v>
      </c>
      <c r="AF97" s="90">
        <f t="shared" si="56"/>
        <v>1055.7627565116984</v>
      </c>
      <c r="AG97" s="86">
        <f t="shared" si="57"/>
        <v>16802.229800000001</v>
      </c>
      <c r="AH97" s="85">
        <f t="shared" si="58"/>
        <v>6128</v>
      </c>
      <c r="AI97" s="85">
        <f t="shared" si="59"/>
        <v>11564.025717893534</v>
      </c>
      <c r="AJ97" s="90">
        <f t="shared" si="60"/>
        <v>6128</v>
      </c>
      <c r="AL97" s="95">
        <f t="shared" si="61"/>
        <v>0</v>
      </c>
      <c r="AM97" s="95">
        <f t="shared" si="62"/>
        <v>0</v>
      </c>
      <c r="AN97" s="95">
        <f t="shared" si="63"/>
        <v>0</v>
      </c>
      <c r="AO97" s="95">
        <f t="shared" si="64"/>
        <v>0</v>
      </c>
      <c r="AP97"/>
      <c r="AQ97" s="95">
        <f t="shared" si="65"/>
        <v>0</v>
      </c>
      <c r="AR97" s="95">
        <f t="shared" si="66"/>
        <v>0</v>
      </c>
      <c r="AS97" s="95">
        <f>Geraetedaten!$B$94*ABS(SIN(RADIANS($A97)))</f>
        <v>130.59940680808961</v>
      </c>
      <c r="AT97" s="95">
        <f>Geraetedaten!$B$94*ABS(COS(RADIANS($A97)))</f>
        <v>81.607566691913561</v>
      </c>
      <c r="AU97" s="95">
        <f>((h_Aw_Sw+Geraetedaten!$B$18)/1000)*(AQ97*AS97+AR97*AT97)/100</f>
        <v>0</v>
      </c>
    </row>
    <row r="98" spans="1:47" ht="13.5" x14ac:dyDescent="0.25">
      <c r="A98" s="16">
        <v>59</v>
      </c>
      <c r="B98" s="16">
        <f t="shared" si="34"/>
        <v>391</v>
      </c>
      <c r="C98" s="19">
        <f t="shared" si="35"/>
        <v>69.895116164987314</v>
      </c>
      <c r="D98" s="17">
        <f t="shared" si="36"/>
        <v>-3367.7974861649873</v>
      </c>
      <c r="E98" s="17">
        <f t="shared" si="37"/>
        <v>-16354.172696164987</v>
      </c>
      <c r="F98" s="17">
        <f t="shared" si="38"/>
        <v>3095.2962638350127</v>
      </c>
      <c r="G98" s="17">
        <f t="shared" si="39"/>
        <v>17217.807853835013</v>
      </c>
      <c r="H98" s="17">
        <f t="shared" si="67"/>
        <v>3095.2962638350127</v>
      </c>
      <c r="I98" s="17">
        <f t="shared" si="40"/>
        <v>1232.4423905057772</v>
      </c>
      <c r="J98" s="20">
        <f>(Geraetedaten!$B$152+(Geraetedaten!$B$153*(Geraetedaten!$B$18+d_y_Sw)/1000))*10</f>
        <v>6051.0442000000003</v>
      </c>
      <c r="K98" s="20">
        <f>(Geraetedaten!$B$165+(Geraetedaten!$B$166*(Geraetedaten!$B$18+d_y_Sw)/1000))*10</f>
        <v>10816.164000000001</v>
      </c>
      <c r="L98" s="20">
        <f>(Geraetedaten!$B$158+(Geraetedaten!$B$159*(Geraetedaten!$B$18+d_y_Sw)/1000)-(Geraetedaten!$B$160*I98/1000))*10</f>
        <v>511.16159950421104</v>
      </c>
      <c r="M98" s="20">
        <f>(Geraetedaten!$B$171+(Geraetedaten!$B$172*(Geraetedaten!$B$18+d_y_Sw)/1000)-(Geraetedaten!$B$173*I98/1000))*10</f>
        <v>973.12398845075097</v>
      </c>
      <c r="N98" s="20">
        <f>IF((H98-J98)/(K98-J98)*(Geraetedaten!$B$174-Geraetedaten!$B$161)&lt;Geraetedaten!$B$174,(H98-J98)/(K98-J98)*(Geraetedaten!$B$174-Geraetedaten!$B$161),Geraetedaten!$B$174)</f>
        <v>-248.11530960165888</v>
      </c>
      <c r="O98" s="20">
        <f>N98/Geraetedaten!$B$174*(M98-L98)+L98+C98</f>
        <v>294.50686277471658</v>
      </c>
      <c r="P98" s="20">
        <f t="shared" si="41"/>
        <v>145.83164046380418</v>
      </c>
      <c r="Q98" s="21">
        <f>(N98-Geraetedaten!$B$161)/(Geraetedaten!$B$174-Geraetedaten!$B$161)*(Geraetedaten!$B$175-Geraetedaten!$B$162)+Geraetedaten!$B$162</f>
        <v>21.818569539350648</v>
      </c>
      <c r="R98" s="21">
        <f t="shared" si="42"/>
        <v>21.818569539350648</v>
      </c>
      <c r="S98" s="21">
        <f t="shared" si="43"/>
        <v>18.702164357226525</v>
      </c>
      <c r="T98" s="88">
        <f t="shared" si="44"/>
        <v>11.237394052838305</v>
      </c>
      <c r="U98" s="86">
        <f t="shared" si="45"/>
        <v>-3297.9023699999998</v>
      </c>
      <c r="V98" s="85">
        <f t="shared" si="46"/>
        <v>-1141.3067828769733</v>
      </c>
      <c r="W98" s="85">
        <f t="shared" si="47"/>
        <v>-1330.0942748235736</v>
      </c>
      <c r="X98" s="90">
        <f t="shared" si="48"/>
        <v>1141.3067828769733</v>
      </c>
      <c r="Y98" s="86">
        <f t="shared" si="49"/>
        <v>-16284.27758</v>
      </c>
      <c r="Z98" s="85">
        <f t="shared" si="50"/>
        <v>-750</v>
      </c>
      <c r="AA98" s="85">
        <f t="shared" si="51"/>
        <v>-1456.2030198077675</v>
      </c>
      <c r="AB98" s="90">
        <f t="shared" si="52"/>
        <v>750</v>
      </c>
      <c r="AC98" s="86">
        <f t="shared" si="53"/>
        <v>3165.1913800000002</v>
      </c>
      <c r="AD98" s="85">
        <f t="shared" si="54"/>
        <v>1055.7627565116984</v>
      </c>
      <c r="AE98" s="85">
        <f t="shared" si="55"/>
        <v>1232.4423905057772</v>
      </c>
      <c r="AF98" s="90">
        <f t="shared" si="56"/>
        <v>1055.7627565116984</v>
      </c>
      <c r="AG98" s="86">
        <f t="shared" si="57"/>
        <v>17287.702969999998</v>
      </c>
      <c r="AH98" s="85">
        <f t="shared" si="58"/>
        <v>6128</v>
      </c>
      <c r="AI98" s="85">
        <f t="shared" si="59"/>
        <v>11898.149473842665</v>
      </c>
      <c r="AJ98" s="90">
        <f t="shared" si="60"/>
        <v>6128</v>
      </c>
      <c r="AL98" s="95">
        <f t="shared" si="61"/>
        <v>0</v>
      </c>
      <c r="AM98" s="95">
        <f t="shared" si="62"/>
        <v>0</v>
      </c>
      <c r="AN98" s="95">
        <f t="shared" si="63"/>
        <v>0</v>
      </c>
      <c r="AO98" s="95">
        <f t="shared" si="64"/>
        <v>0</v>
      </c>
      <c r="AP98"/>
      <c r="AQ98" s="95">
        <f t="shared" si="65"/>
        <v>0</v>
      </c>
      <c r="AR98" s="95">
        <f t="shared" si="66"/>
        <v>0</v>
      </c>
      <c r="AS98" s="95">
        <f>Geraetedaten!$B$94*ABS(SIN(RADIANS($A98)))</f>
        <v>132.00376430812531</v>
      </c>
      <c r="AT98" s="95">
        <f>Geraetedaten!$B$94*ABS(COS(RADIANS($A98)))</f>
        <v>79.315863536148342</v>
      </c>
      <c r="AU98" s="95">
        <f>((h_Aw_Sw+Geraetedaten!$B$18)/1000)*(AQ98*AS98+AR98*AT98)/100</f>
        <v>0</v>
      </c>
    </row>
    <row r="99" spans="1:47" ht="13.5" x14ac:dyDescent="0.25">
      <c r="A99" s="16">
        <v>60</v>
      </c>
      <c r="B99" s="16">
        <f t="shared" si="34"/>
        <v>390</v>
      </c>
      <c r="C99" s="19">
        <f t="shared" si="35"/>
        <v>70.007688962233885</v>
      </c>
      <c r="D99" s="17">
        <f t="shared" si="36"/>
        <v>-3334.3113589622335</v>
      </c>
      <c r="E99" s="17">
        <f t="shared" si="37"/>
        <v>-16844.053638962232</v>
      </c>
      <c r="F99" s="17">
        <f t="shared" si="38"/>
        <v>3062.7336610377661</v>
      </c>
      <c r="G99" s="17">
        <f t="shared" si="39"/>
        <v>17737.642821037767</v>
      </c>
      <c r="H99" s="17">
        <f t="shared" si="67"/>
        <v>3062.7336610377661</v>
      </c>
      <c r="I99" s="17">
        <f t="shared" si="40"/>
        <v>1219.8072026141306</v>
      </c>
      <c r="J99" s="20">
        <f>(Geraetedaten!$B$152+(Geraetedaten!$B$153*(Geraetedaten!$B$18+d_y_Sw)/1000))*10</f>
        <v>6051.0442000000003</v>
      </c>
      <c r="K99" s="20">
        <f>(Geraetedaten!$B$165+(Geraetedaten!$B$166*(Geraetedaten!$B$18+d_y_Sw)/1000))*10</f>
        <v>10816.164000000001</v>
      </c>
      <c r="L99" s="20">
        <f>(Geraetedaten!$B$158+(Geraetedaten!$B$159*(Geraetedaten!$B$18+d_y_Sw)/1000)-(Geraetedaten!$B$160*I99/1000))*10</f>
        <v>512.08813783230551</v>
      </c>
      <c r="M99" s="20">
        <f>(Geraetedaten!$B$171+(Geraetedaten!$B$172*(Geraetedaten!$B$18+d_y_Sw)/1000)-(Geraetedaten!$B$173*I99/1000))*10</f>
        <v>974.06455183740502</v>
      </c>
      <c r="N99" s="20">
        <f>IF((H99-J99)/(K99-J99)*(Geraetedaten!$B$174-Geraetedaten!$B$161)&lt;Geraetedaten!$B$174,(H99-J99)/(K99-J99)*(Geraetedaten!$B$174-Geraetedaten!$B$161),Geraetedaten!$B$174)</f>
        <v>-250.84872275087261</v>
      </c>
      <c r="O99" s="20">
        <f>N99/Geraetedaten!$B$174*(M99-L99)+L99+C99</f>
        <v>292.38034330902047</v>
      </c>
      <c r="P99" s="20">
        <f t="shared" si="41"/>
        <v>145.26330553016035</v>
      </c>
      <c r="Q99" s="21">
        <f>(N99-Geraetedaten!$B$161)/(Geraetedaten!$B$174-Geraetedaten!$B$161)*(Geraetedaten!$B$175-Geraetedaten!$B$162)+Geraetedaten!$B$162</f>
        <v>21.737250498161536</v>
      </c>
      <c r="R99" s="21">
        <f t="shared" si="42"/>
        <v>21.737250498161536</v>
      </c>
      <c r="S99" s="21">
        <f t="shared" si="43"/>
        <v>18.825011139833833</v>
      </c>
      <c r="T99" s="88">
        <f t="shared" si="44"/>
        <v>10.86862524908077</v>
      </c>
      <c r="U99" s="86">
        <f t="shared" si="45"/>
        <v>-3264.3036699999998</v>
      </c>
      <c r="V99" s="85">
        <f t="shared" si="46"/>
        <v>-1141.3067828769733</v>
      </c>
      <c r="W99" s="85">
        <f t="shared" si="47"/>
        <v>-1316.5434094114817</v>
      </c>
      <c r="X99" s="90">
        <f t="shared" si="48"/>
        <v>1141.3067828769733</v>
      </c>
      <c r="Y99" s="86">
        <f t="shared" si="49"/>
        <v>-16774.04595</v>
      </c>
      <c r="Z99" s="85">
        <f t="shared" si="50"/>
        <v>-750</v>
      </c>
      <c r="AA99" s="85">
        <f t="shared" si="51"/>
        <v>-1500.0000000000002</v>
      </c>
      <c r="AB99" s="90">
        <f t="shared" si="52"/>
        <v>750</v>
      </c>
      <c r="AC99" s="86">
        <f t="shared" si="53"/>
        <v>3132.7413499999998</v>
      </c>
      <c r="AD99" s="85">
        <f t="shared" si="54"/>
        <v>1055.7627565116984</v>
      </c>
      <c r="AE99" s="85">
        <f t="shared" si="55"/>
        <v>1219.8072026141306</v>
      </c>
      <c r="AF99" s="90">
        <f t="shared" si="56"/>
        <v>1055.7627565116984</v>
      </c>
      <c r="AG99" s="86">
        <f t="shared" si="57"/>
        <v>17807.650509999999</v>
      </c>
      <c r="AH99" s="85">
        <f t="shared" si="58"/>
        <v>6128</v>
      </c>
      <c r="AI99" s="85">
        <f t="shared" si="59"/>
        <v>12256.000000000002</v>
      </c>
      <c r="AJ99" s="90">
        <f t="shared" si="60"/>
        <v>6128</v>
      </c>
      <c r="AL99" s="95">
        <f t="shared" si="61"/>
        <v>0</v>
      </c>
      <c r="AM99" s="95">
        <f t="shared" si="62"/>
        <v>0</v>
      </c>
      <c r="AN99" s="95">
        <f t="shared" si="63"/>
        <v>0</v>
      </c>
      <c r="AO99" s="95">
        <f t="shared" si="64"/>
        <v>0</v>
      </c>
      <c r="AP99"/>
      <c r="AQ99" s="95">
        <f t="shared" si="65"/>
        <v>0</v>
      </c>
      <c r="AR99" s="95">
        <f t="shared" si="66"/>
        <v>0</v>
      </c>
      <c r="AS99" s="95">
        <f>Geraetedaten!$B$94*ABS(SIN(RADIANS($A99)))</f>
        <v>133.36791218280354</v>
      </c>
      <c r="AT99" s="95">
        <f>Geraetedaten!$B$94*ABS(COS(RADIANS($A99)))</f>
        <v>77.000000000000014</v>
      </c>
      <c r="AU99" s="95">
        <f>((h_Aw_Sw+Geraetedaten!$B$18)/1000)*(AQ99*AS99+AR99*AT99)/100</f>
        <v>0</v>
      </c>
    </row>
    <row r="100" spans="1:47" ht="13.5" x14ac:dyDescent="0.25">
      <c r="A100" s="16">
        <v>61</v>
      </c>
      <c r="B100" s="16">
        <f t="shared" si="34"/>
        <v>389</v>
      </c>
      <c r="C100" s="19">
        <f t="shared" si="35"/>
        <v>70.098936739242845</v>
      </c>
      <c r="D100" s="17">
        <f t="shared" si="36"/>
        <v>-3302.4562867392433</v>
      </c>
      <c r="E100" s="17">
        <f t="shared" si="37"/>
        <v>-17369.720536739242</v>
      </c>
      <c r="F100" s="17">
        <f t="shared" si="38"/>
        <v>3031.786283260757</v>
      </c>
      <c r="G100" s="17">
        <f t="shared" si="39"/>
        <v>18295.512803260757</v>
      </c>
      <c r="H100" s="17">
        <f t="shared" si="67"/>
        <v>3031.786283260757</v>
      </c>
      <c r="I100" s="17">
        <f t="shared" si="40"/>
        <v>1207.792633141411</v>
      </c>
      <c r="J100" s="20">
        <f>(Geraetedaten!$B$152+(Geraetedaten!$B$153*(Geraetedaten!$B$18+d_y_Sw)/1000))*10</f>
        <v>6051.0442000000003</v>
      </c>
      <c r="K100" s="20">
        <f>(Geraetedaten!$B$165+(Geraetedaten!$B$166*(Geraetedaten!$B$18+d_y_Sw)/1000))*10</f>
        <v>10816.164000000001</v>
      </c>
      <c r="L100" s="20">
        <f>(Geraetedaten!$B$158+(Geraetedaten!$B$159*(Geraetedaten!$B$18+d_y_Sw)/1000)-(Geraetedaten!$B$160*I100/1000))*10</f>
        <v>512.96916621174</v>
      </c>
      <c r="M100" s="20">
        <f>(Geraetedaten!$B$171+(Geraetedaten!$B$172*(Geraetedaten!$B$18+d_y_Sw)/1000)-(Geraetedaten!$B$173*I100/1000))*10</f>
        <v>974.95891638895432</v>
      </c>
      <c r="N100" s="20">
        <f>IF((H100-J100)/(K100-J100)*(Geraetedaten!$B$174-Geraetedaten!$B$161)&lt;Geraetedaten!$B$174,(H100-J100)/(K100-J100)*(Geraetedaten!$B$174-Geraetedaten!$B$161),Geraetedaten!$B$174)</f>
        <v>-253.44654854127637</v>
      </c>
      <c r="O100" s="20">
        <f>N100/Geraetedaten!$B$174*(M100-L100)+L100+C100</f>
        <v>290.34383384132911</v>
      </c>
      <c r="P100" s="20">
        <f t="shared" si="41"/>
        <v>144.71186870556164</v>
      </c>
      <c r="Q100" s="21">
        <f>(N100-Geraetedaten!$B$161)/(Geraetedaten!$B$174-Geraetedaten!$B$161)*(Geraetedaten!$B$175-Geraetedaten!$B$162)+Geraetedaten!$B$162</f>
        <v>21.659965180897025</v>
      </c>
      <c r="R100" s="21">
        <f t="shared" si="42"/>
        <v>21.659965180897025</v>
      </c>
      <c r="S100" s="21">
        <f t="shared" si="43"/>
        <v>18.944232403165664</v>
      </c>
      <c r="T100" s="88">
        <f t="shared" si="44"/>
        <v>10.500959493899572</v>
      </c>
      <c r="U100" s="86">
        <f t="shared" si="45"/>
        <v>-3232.3573500000002</v>
      </c>
      <c r="V100" s="85">
        <f t="shared" si="46"/>
        <v>-1141.3067828769733</v>
      </c>
      <c r="W100" s="85">
        <f t="shared" si="47"/>
        <v>-1303.6589713385119</v>
      </c>
      <c r="X100" s="90">
        <f t="shared" si="48"/>
        <v>1141.3067828769733</v>
      </c>
      <c r="Y100" s="86">
        <f t="shared" si="49"/>
        <v>-17299.621599999999</v>
      </c>
      <c r="Z100" s="85">
        <f t="shared" si="50"/>
        <v>-750</v>
      </c>
      <c r="AA100" s="85">
        <f t="shared" si="51"/>
        <v>-1546.9990047204856</v>
      </c>
      <c r="AB100" s="90">
        <f t="shared" si="52"/>
        <v>750</v>
      </c>
      <c r="AC100" s="86">
        <f t="shared" si="53"/>
        <v>3101.8852200000001</v>
      </c>
      <c r="AD100" s="85">
        <f t="shared" si="54"/>
        <v>1055.7627565116984</v>
      </c>
      <c r="AE100" s="85">
        <f t="shared" si="55"/>
        <v>1207.792633141411</v>
      </c>
      <c r="AF100" s="90">
        <f t="shared" si="56"/>
        <v>1055.7627565116984</v>
      </c>
      <c r="AG100" s="86">
        <f t="shared" si="57"/>
        <v>18365.61174</v>
      </c>
      <c r="AH100" s="85">
        <f t="shared" si="58"/>
        <v>6128</v>
      </c>
      <c r="AI100" s="85">
        <f t="shared" si="59"/>
        <v>12640.013201236181</v>
      </c>
      <c r="AJ100" s="90">
        <f t="shared" si="60"/>
        <v>6128</v>
      </c>
      <c r="AL100" s="95">
        <f t="shared" si="61"/>
        <v>0</v>
      </c>
      <c r="AM100" s="95">
        <f t="shared" si="62"/>
        <v>0</v>
      </c>
      <c r="AN100" s="95">
        <f t="shared" si="63"/>
        <v>0</v>
      </c>
      <c r="AO100" s="95">
        <f t="shared" si="64"/>
        <v>0</v>
      </c>
      <c r="AP100"/>
      <c r="AQ100" s="95">
        <f t="shared" si="65"/>
        <v>0</v>
      </c>
      <c r="AR100" s="95">
        <f t="shared" si="66"/>
        <v>0</v>
      </c>
      <c r="AS100" s="95">
        <f>Geraetedaten!$B$94*ABS(SIN(RADIANS($A100)))</f>
        <v>134.69143489946694</v>
      </c>
      <c r="AT100" s="95">
        <f>Geraetedaten!$B$94*ABS(COS(RADIANS($A100)))</f>
        <v>74.660681517935913</v>
      </c>
      <c r="AU100" s="95">
        <f>((h_Aw_Sw+Geraetedaten!$B$18)/1000)*(AQ100*AS100+AR100*AT100)/100</f>
        <v>0</v>
      </c>
    </row>
    <row r="101" spans="1:47" ht="13.5" x14ac:dyDescent="0.25">
      <c r="A101" s="16">
        <v>62</v>
      </c>
      <c r="B101" s="16">
        <f t="shared" si="34"/>
        <v>388</v>
      </c>
      <c r="C101" s="19">
        <f t="shared" si="35"/>
        <v>70.1688317010574</v>
      </c>
      <c r="D101" s="17">
        <f t="shared" si="36"/>
        <v>-3272.1649917010577</v>
      </c>
      <c r="E101" s="17">
        <f t="shared" si="37"/>
        <v>-17934.984601701057</v>
      </c>
      <c r="F101" s="17">
        <f t="shared" si="38"/>
        <v>3002.3889582989423</v>
      </c>
      <c r="G101" s="17">
        <f t="shared" si="39"/>
        <v>18895.463938298944</v>
      </c>
      <c r="H101" s="17">
        <f t="shared" si="67"/>
        <v>3002.3889582989423</v>
      </c>
      <c r="I101" s="17">
        <f t="shared" si="40"/>
        <v>1196.3733042553226</v>
      </c>
      <c r="J101" s="20">
        <f>(Geraetedaten!$B$152+(Geraetedaten!$B$153*(Geraetedaten!$B$18+d_y_Sw)/1000))*10</f>
        <v>6051.0442000000003</v>
      </c>
      <c r="K101" s="20">
        <f>(Geraetedaten!$B$165+(Geraetedaten!$B$166*(Geraetedaten!$B$18+d_y_Sw)/1000))*10</f>
        <v>10816.164000000001</v>
      </c>
      <c r="L101" s="20">
        <f>(Geraetedaten!$B$158+(Geraetedaten!$B$159*(Geraetedaten!$B$18+d_y_Sw)/1000)-(Geraetedaten!$B$160*I101/1000))*10</f>
        <v>513.80654559895697</v>
      </c>
      <c r="M101" s="20">
        <f>(Geraetedaten!$B$171+(Geraetedaten!$B$172*(Geraetedaten!$B$18+d_y_Sw)/1000)-(Geraetedaten!$B$173*I101/1000))*10</f>
        <v>975.80897123123475</v>
      </c>
      <c r="N101" s="20">
        <f>IF((H101-J101)/(K101-J101)*(Geraetedaten!$B$174-Geraetedaten!$B$161)&lt;Geraetedaten!$B$174,(H101-J101)/(K101-J101)*(Geraetedaten!$B$174-Geraetedaten!$B$161),Geraetedaten!$B$174)</f>
        <v>-255.91425774445864</v>
      </c>
      <c r="O101" s="20">
        <f>N101/Geraetedaten!$B$174*(M101-L101)+L101+C101</f>
        <v>288.3928577204548</v>
      </c>
      <c r="P101" s="20">
        <f t="shared" si="41"/>
        <v>144.17650255151935</v>
      </c>
      <c r="Q101" s="21">
        <f>(N101-Geraetedaten!$B$161)/(Geraetedaten!$B$174-Geraetedaten!$B$161)*(Geraetedaten!$B$175-Geraetedaten!$B$162)+Geraetedaten!$B$162</f>
        <v>21.586550832102354</v>
      </c>
      <c r="R101" s="21">
        <f t="shared" si="42"/>
        <v>21.586550832102354</v>
      </c>
      <c r="S101" s="21">
        <f t="shared" si="43"/>
        <v>19.059793095331639</v>
      </c>
      <c r="T101" s="88">
        <f t="shared" si="44"/>
        <v>10.134271754304164</v>
      </c>
      <c r="U101" s="86">
        <f t="shared" si="45"/>
        <v>-3201.9961600000001</v>
      </c>
      <c r="V101" s="85">
        <f t="shared" si="46"/>
        <v>-1141.3067828769733</v>
      </c>
      <c r="W101" s="85">
        <f t="shared" si="47"/>
        <v>-1291.4138425794663</v>
      </c>
      <c r="X101" s="90">
        <f t="shared" si="48"/>
        <v>1141.3067828769733</v>
      </c>
      <c r="Y101" s="86">
        <f t="shared" si="49"/>
        <v>-17864.815770000001</v>
      </c>
      <c r="Z101" s="85">
        <f t="shared" si="50"/>
        <v>-750</v>
      </c>
      <c r="AA101" s="85">
        <f t="shared" si="51"/>
        <v>-1597.5408511421344</v>
      </c>
      <c r="AB101" s="90">
        <f t="shared" si="52"/>
        <v>750</v>
      </c>
      <c r="AC101" s="86">
        <f t="shared" si="53"/>
        <v>3072.5577899999998</v>
      </c>
      <c r="AD101" s="85">
        <f t="shared" si="54"/>
        <v>1055.7627565116984</v>
      </c>
      <c r="AE101" s="85">
        <f t="shared" si="55"/>
        <v>1196.3733042553226</v>
      </c>
      <c r="AF101" s="90">
        <f t="shared" si="56"/>
        <v>1055.7627565116984</v>
      </c>
      <c r="AG101" s="86">
        <f t="shared" si="57"/>
        <v>18965.63277</v>
      </c>
      <c r="AH101" s="85">
        <f t="shared" si="58"/>
        <v>6128</v>
      </c>
      <c r="AI101" s="85">
        <f t="shared" si="59"/>
        <v>13052.973781065333</v>
      </c>
      <c r="AJ101" s="90">
        <f t="shared" si="60"/>
        <v>6128</v>
      </c>
      <c r="AL101" s="95">
        <f t="shared" si="61"/>
        <v>0</v>
      </c>
      <c r="AM101" s="95">
        <f t="shared" si="62"/>
        <v>0</v>
      </c>
      <c r="AN101" s="95">
        <f t="shared" si="63"/>
        <v>0</v>
      </c>
      <c r="AO101" s="95">
        <f t="shared" si="64"/>
        <v>0</v>
      </c>
      <c r="AP101"/>
      <c r="AQ101" s="95">
        <f t="shared" si="65"/>
        <v>0</v>
      </c>
      <c r="AR101" s="95">
        <f t="shared" si="66"/>
        <v>0</v>
      </c>
      <c r="AS101" s="95">
        <f>Geraetedaten!$B$94*ABS(SIN(RADIANS($A101)))</f>
        <v>135.97392930027473</v>
      </c>
      <c r="AT101" s="95">
        <f>Geraetedaten!$B$94*ABS(COS(RADIANS($A101)))</f>
        <v>72.298620669027187</v>
      </c>
      <c r="AU101" s="95">
        <f>((h_Aw_Sw+Geraetedaten!$B$18)/1000)*(AQ101*AS101+AR101*AT101)/100</f>
        <v>0</v>
      </c>
    </row>
    <row r="102" spans="1:47" ht="13.5" x14ac:dyDescent="0.25">
      <c r="A102" s="16">
        <v>63</v>
      </c>
      <c r="B102" s="16">
        <f t="shared" si="34"/>
        <v>387</v>
      </c>
      <c r="C102" s="19">
        <f t="shared" si="35"/>
        <v>70.217352556995067</v>
      </c>
      <c r="D102" s="17">
        <f t="shared" si="36"/>
        <v>-3243.3749625569953</v>
      </c>
      <c r="E102" s="17">
        <f t="shared" si="37"/>
        <v>-18544.222822556996</v>
      </c>
      <c r="F102" s="17">
        <f t="shared" si="38"/>
        <v>2974.4811474430048</v>
      </c>
      <c r="G102" s="17">
        <f t="shared" si="39"/>
        <v>19542.142947443004</v>
      </c>
      <c r="H102" s="17">
        <f t="shared" si="67"/>
        <v>2974.4811474430048</v>
      </c>
      <c r="I102" s="17">
        <f t="shared" si="40"/>
        <v>1185.5256260502933</v>
      </c>
      <c r="J102" s="20">
        <f>(Geraetedaten!$B$152+(Geraetedaten!$B$153*(Geraetedaten!$B$18+d_y_Sw)/1000))*10</f>
        <v>6051.0442000000003</v>
      </c>
      <c r="K102" s="20">
        <f>(Geraetedaten!$B$165+(Geraetedaten!$B$166*(Geraetedaten!$B$18+d_y_Sw)/1000))*10</f>
        <v>10816.164000000001</v>
      </c>
      <c r="L102" s="20">
        <f>(Geraetedaten!$B$158+(Geraetedaten!$B$159*(Geraetedaten!$B$18+d_y_Sw)/1000)-(Geraetedaten!$B$160*I102/1000))*10</f>
        <v>514.60200584173174</v>
      </c>
      <c r="M102" s="20">
        <f>(Geraetedaten!$B$171+(Geraetedaten!$B$172*(Geraetedaten!$B$18+d_y_Sw)/1000)-(Geraetedaten!$B$173*I102/1000))*10</f>
        <v>976.61647239681713</v>
      </c>
      <c r="N102" s="20">
        <f>IF((H102-J102)/(K102-J102)*(Geraetedaten!$B$174-Geraetedaten!$B$161)&lt;Geraetedaten!$B$174,(H102-J102)/(K102-J102)*(Geraetedaten!$B$174-Geraetedaten!$B$161),Geraetedaten!$B$174)</f>
        <v>-258.25693218097013</v>
      </c>
      <c r="O102" s="20">
        <f>N102/Geraetedaten!$B$174*(M102-L102)+L102+C102</f>
        <v>286.52326150936733</v>
      </c>
      <c r="P102" s="20">
        <f t="shared" si="41"/>
        <v>143.65643196249022</v>
      </c>
      <c r="Q102" s="21">
        <f>(N102-Geraetedaten!$B$161)/(Geraetedaten!$B$174-Geraetedaten!$B$161)*(Geraetedaten!$B$175-Geraetedaten!$B$162)+Geraetedaten!$B$162</f>
        <v>21.516856267616134</v>
      </c>
      <c r="R102" s="21">
        <f t="shared" si="42"/>
        <v>21.516856267616134</v>
      </c>
      <c r="S102" s="21">
        <f t="shared" si="43"/>
        <v>19.171659314469348</v>
      </c>
      <c r="T102" s="88">
        <f t="shared" si="44"/>
        <v>9.7684483297590479</v>
      </c>
      <c r="U102" s="86">
        <f t="shared" si="45"/>
        <v>-3173.1576100000002</v>
      </c>
      <c r="V102" s="85">
        <f t="shared" si="46"/>
        <v>-1141.3067828769733</v>
      </c>
      <c r="W102" s="85">
        <f t="shared" si="47"/>
        <v>-1279.7828142434616</v>
      </c>
      <c r="X102" s="90">
        <f t="shared" si="48"/>
        <v>1141.3067828769733</v>
      </c>
      <c r="Y102" s="86">
        <f t="shared" si="49"/>
        <v>-18474.00547</v>
      </c>
      <c r="Z102" s="85">
        <f t="shared" si="50"/>
        <v>-750</v>
      </c>
      <c r="AA102" s="85">
        <f t="shared" si="51"/>
        <v>-1652.0169484389501</v>
      </c>
      <c r="AB102" s="90">
        <f t="shared" si="52"/>
        <v>750</v>
      </c>
      <c r="AC102" s="86">
        <f t="shared" si="53"/>
        <v>3044.6985</v>
      </c>
      <c r="AD102" s="85">
        <f t="shared" si="54"/>
        <v>1055.7627565116984</v>
      </c>
      <c r="AE102" s="85">
        <f t="shared" si="55"/>
        <v>1185.5256260502933</v>
      </c>
      <c r="AF102" s="90">
        <f t="shared" si="56"/>
        <v>1055.7627565116984</v>
      </c>
      <c r="AG102" s="86">
        <f t="shared" si="57"/>
        <v>19612.3603</v>
      </c>
      <c r="AH102" s="85">
        <f t="shared" si="58"/>
        <v>6128</v>
      </c>
      <c r="AI102" s="85">
        <f t="shared" si="59"/>
        <v>13498.079813378516</v>
      </c>
      <c r="AJ102" s="90">
        <f t="shared" si="60"/>
        <v>6128</v>
      </c>
      <c r="AL102" s="95">
        <f t="shared" si="61"/>
        <v>0</v>
      </c>
      <c r="AM102" s="95">
        <f t="shared" si="62"/>
        <v>0</v>
      </c>
      <c r="AN102" s="95">
        <f t="shared" si="63"/>
        <v>0</v>
      </c>
      <c r="AO102" s="95">
        <f t="shared" si="64"/>
        <v>0</v>
      </c>
      <c r="AP102"/>
      <c r="AQ102" s="95">
        <f t="shared" si="65"/>
        <v>0</v>
      </c>
      <c r="AR102" s="95">
        <f t="shared" si="66"/>
        <v>0</v>
      </c>
      <c r="AS102" s="95">
        <f>Geraetedaten!$B$94*ABS(SIN(RADIANS($A102)))</f>
        <v>137.21500472500864</v>
      </c>
      <c r="AT102" s="95">
        <f>Geraetedaten!$B$94*ABS(COS(RADIANS($A102)))</f>
        <v>69.914536959890214</v>
      </c>
      <c r="AU102" s="95">
        <f>((h_Aw_Sw+Geraetedaten!$B$18)/1000)*(AQ102*AS102+AR102*AT102)/100</f>
        <v>0</v>
      </c>
    </row>
    <row r="103" spans="1:47" ht="13.5" x14ac:dyDescent="0.25">
      <c r="A103" s="16">
        <v>64</v>
      </c>
      <c r="B103" s="16">
        <f t="shared" ref="B103:B134" si="68">360-A103+90</f>
        <v>386</v>
      </c>
      <c r="C103" s="19">
        <f t="shared" ref="C103:C134" si="69">$AE$16*ABS(COS(RADIANS(A103)))+$AE$17*ABS(SIN(RADIANS(A103)))+AU103</f>
        <v>70.24448452713311</v>
      </c>
      <c r="D103" s="17">
        <f t="shared" ref="D103:D134" si="70">IF(ISNUMBER(U103),U103-C103,"unendlich")</f>
        <v>-3216.028054527133</v>
      </c>
      <c r="E103" s="17">
        <f t="shared" ref="E103:E134" si="71">IF(ISNUMBER(Y103),Y103-C103,"unendlich")</f>
        <v>-19202.486734527134</v>
      </c>
      <c r="F103" s="17">
        <f t="shared" ref="F103:F134" si="72">IF(ISNUMBER(AC103),AC103-C103,"unendlich")</f>
        <v>2948.006505472867</v>
      </c>
      <c r="G103" s="17">
        <f t="shared" ref="G103:G134" si="73">IF(ISNUMBER(AG103),AG103-C103,"unendlich")</f>
        <v>20240.912675472864</v>
      </c>
      <c r="H103" s="17">
        <f t="shared" si="67"/>
        <v>2948.006505472867</v>
      </c>
      <c r="I103" s="17">
        <f t="shared" ref="I103:I134" si="74">IF(H103+C103=U103,W103,IF(H103+C103=Y103,AA103,IF(H103+C103=AC103,AE103,IF(H103+C103=AG103,AI103,"???"))))</f>
        <v>1175.2276639507199</v>
      </c>
      <c r="J103" s="20">
        <f>(Geraetedaten!$B$152+(Geraetedaten!$B$153*(Geraetedaten!$B$18+d_y_Sw)/1000))*10</f>
        <v>6051.0442000000003</v>
      </c>
      <c r="K103" s="20">
        <f>(Geraetedaten!$B$165+(Geraetedaten!$B$166*(Geraetedaten!$B$18+d_y_Sw)/1000))*10</f>
        <v>10816.164000000001</v>
      </c>
      <c r="L103" s="20">
        <f>(Geraetedaten!$B$158+(Geraetedaten!$B$159*(Geraetedaten!$B$18+d_y_Sw)/1000)-(Geraetedaten!$B$160*I103/1000))*10</f>
        <v>515.35715540249339</v>
      </c>
      <c r="M103" s="20">
        <f>(Geraetedaten!$B$171+(Geraetedaten!$B$172*(Geraetedaten!$B$18+d_y_Sw)/1000)-(Geraetedaten!$B$173*I103/1000))*10</f>
        <v>977.38305269550938</v>
      </c>
      <c r="N103" s="20">
        <f>IF((H103-J103)/(K103-J103)*(Geraetedaten!$B$174-Geraetedaten!$B$161)&lt;Geraetedaten!$B$174,(H103-J103)/(K103-J103)*(Geraetedaten!$B$174-Geraetedaten!$B$161),Geraetedaten!$B$174)</f>
        <v>-260.47930165593175</v>
      </c>
      <c r="O103" s="20">
        <f>N103/Geraetedaten!$B$174*(M103-L103)+L103+C103</f>
        <v>284.73118224502639</v>
      </c>
      <c r="P103" s="20">
        <f t="shared" ref="P103:P134" si="75">O103*100/9.81/(Q103-(I103/1000))</f>
        <v>143.15092883744254</v>
      </c>
      <c r="Q103" s="21">
        <f>(N103-Geraetedaten!$B$161)/(Geraetedaten!$B$174-Geraetedaten!$B$161)*(Geraetedaten!$B$175-Geraetedaten!$B$162)+Geraetedaten!$B$162</f>
        <v>21.45074077573603</v>
      </c>
      <c r="R103" s="21">
        <f t="shared" ref="R103:R134" si="76">SQRT((r_K_D/1000)^2+Q103^2-(2*(r_K_D/1000)*Q103*COS(RADIANS(2*A103))))</f>
        <v>21.45074077573603</v>
      </c>
      <c r="S103" s="21">
        <f t="shared" ref="S103:S134" si="77">R103*SIN(A103*Const_2)</f>
        <v>19.279798097938318</v>
      </c>
      <c r="T103" s="88">
        <f t="shared" ref="T103:T134" si="78">R103*COS(A103*Const_2)</f>
        <v>9.4033858333346281</v>
      </c>
      <c r="U103" s="86">
        <f t="shared" ref="U103:U134" si="79">ROUND((F_S*r_Su_L-F_G*V103+F_SSw*X103)/(SIN(RADIANS(270+g_L-A103)))/1000,5)</f>
        <v>-3145.7835700000001</v>
      </c>
      <c r="V103" s="85">
        <f t="shared" ref="V103:V134" si="80">(SIN(RADIANS(g_L)))*(((VL_Z-HL_Z)/(VL_X-HL_X))*(-HL_X+AM103)+HL_Z-AL103)</f>
        <v>-1141.3067828769733</v>
      </c>
      <c r="W103" s="85">
        <f t="shared" ref="W103:W134" si="81">V103/(SIN(RADIANS(180-g_L-(90-$A103))))</f>
        <v>-1268.7424454970931</v>
      </c>
      <c r="X103" s="90">
        <f t="shared" ref="X103:X134" si="82">SIN(RADIANS(g_L))*(((VL_Z-HL_Z)/(VL_X-HL_X))*(-AO103+HL_X)-HL_Z+AN103)</f>
        <v>1141.3067828769733</v>
      </c>
      <c r="Y103" s="86">
        <f t="shared" ref="Y103:Y134" si="83">ROUND((F_S*r_Su_H-F_G*Z103+F_SSw*AB103)/(SIN(RADIANS(180+g_H-A103)))/1000,5)</f>
        <v>-19132.242249999999</v>
      </c>
      <c r="Z103" s="85">
        <f t="shared" ref="Z103:Z134" si="84">(SIN(RADIANS(g_H)))*(((HL_X-HR_X)/(HL_Z-HR_Z))*(-HR_Z+AL103)+HR_X-AM103)</f>
        <v>-750</v>
      </c>
      <c r="AA103" s="85">
        <f t="shared" ref="AA103:AA134" si="85">Z103/(SIN(RADIANS(g_H-$A103)))</f>
        <v>-1710.8790245286445</v>
      </c>
      <c r="AB103" s="90">
        <f t="shared" ref="AB103:AB134" si="86">SIN(RADIANS(g_H))*(((HL_X-HR_X)/(HL_Z-HR_Z))*(-AN103+HR_Z)-HR_X+AO103)</f>
        <v>750</v>
      </c>
      <c r="AC103" s="86">
        <f t="shared" ref="AC103:AC134" si="87">ROUND((F_S*r_Su_R+F_G*AD103+F_SSw*AF103)/(SIN(RADIANS(90+g_R-A103)))/1000,5)</f>
        <v>3018.25099</v>
      </c>
      <c r="AD103" s="85">
        <f t="shared" ref="AD103:AD134" si="88">(SIN(RADIANS(g_R)))*(((HR_Z-VR_Z)/(HR_X-VR_X))*(-VR_X+AM103)+VR_Z-AL103)</f>
        <v>1055.7627565116984</v>
      </c>
      <c r="AE103" s="85">
        <f t="shared" ref="AE103:AE134" si="89">AD103/(SIN(RADIANS(180-g_R-(90-$A103))))</f>
        <v>1175.2276639507199</v>
      </c>
      <c r="AF103" s="90">
        <f t="shared" ref="AF103:AF134" si="90">(SIN(RADIANS(g_R)))*(((HR_Z-VR_Z)/(HR_X-VR_X))*(-VR_X+AO103)+VR_Z-AN103)</f>
        <v>1055.7627565116984</v>
      </c>
      <c r="AG103" s="86">
        <f t="shared" ref="AG103:AG134" si="91">ROUND((F_S*r_Su_V+F_G*AH103+F_SSw*AJ103)/(SIN(RADIANS(g_V-A103)))/1000,5)</f>
        <v>20311.157159999999</v>
      </c>
      <c r="AH103" s="85">
        <f t="shared" ref="AH103:AH134" si="92">(SIN(RADIANS(g_V)))*(((VR_X-VL_X)/(VR_Z-VL_Z))*(AL103-VL_Z)+VL_X-AM103)</f>
        <v>6128</v>
      </c>
      <c r="AI103" s="85">
        <f t="shared" ref="AI103:AI134" si="93">AH103/(SIN(RADIANS(g_V-$A103)))</f>
        <v>13979.022216415378</v>
      </c>
      <c r="AJ103" s="90">
        <f t="shared" ref="AJ103:AJ134" si="94">(SIN(RADIANS(g_V)))*(((VR_X-VL_X)/(VR_Z-VL_Z))*(-VL_Z+AN103)+VL_X-AO103)</f>
        <v>6128</v>
      </c>
      <c r="AL103" s="95">
        <f t="shared" ref="AL103:AL134" si="95">SIN(RADIANS(A103))*r_K_D</f>
        <v>0</v>
      </c>
      <c r="AM103" s="95">
        <f t="shared" ref="AM103:AM134" si="96">COS(RADIANS(A103-180))*r_K_D</f>
        <v>0</v>
      </c>
      <c r="AN103" s="95">
        <f t="shared" ref="AN103:AN134" si="97">SIN(RADIANS(A103))*r_K_SSw</f>
        <v>0</v>
      </c>
      <c r="AO103" s="95">
        <f t="shared" ref="AO103:AO134" si="98">-COS(RADIANS(A103))*r_K_SSw</f>
        <v>0</v>
      </c>
      <c r="AP103"/>
      <c r="AQ103" s="95">
        <f t="shared" ref="AQ103:AQ134" si="99">MAX(d_y_Sw*(r_K_D*ABS(COS(RADIANS($A103)))+_r1_Sw+_r2_Sw), 2*_r1_Sw*d_y_Sw)/1000000</f>
        <v>0</v>
      </c>
      <c r="AR103" s="95">
        <f t="shared" ref="AR103:AR134" si="100">MAX(d_y_Sw*(r_K_D*ABS(SIN(RADIANS($A103)))+_r1_Sw+_r2_Sw), 2*_r1_Sw*d_y_Sw)/1000000</f>
        <v>0</v>
      </c>
      <c r="AS103" s="95">
        <f>Geraetedaten!$B$94*ABS(SIN(RADIANS($A103)))</f>
        <v>138.41428313007174</v>
      </c>
      <c r="AT103" s="95">
        <f>Geraetedaten!$B$94*ABS(COS(RADIANS($A103)))</f>
        <v>67.50915660551793</v>
      </c>
      <c r="AU103" s="95">
        <f>((h_Aw_Sw+Geraetedaten!$B$18)/1000)*(AQ103*AS103+AR103*AT103)/100</f>
        <v>0</v>
      </c>
    </row>
    <row r="104" spans="1:47" ht="13.5" x14ac:dyDescent="0.25">
      <c r="A104" s="16">
        <v>65</v>
      </c>
      <c r="B104" s="16">
        <f t="shared" si="68"/>
        <v>385</v>
      </c>
      <c r="C104" s="19">
        <f t="shared" si="69"/>
        <v>70.250219346810582</v>
      </c>
      <c r="D104" s="17">
        <f t="shared" si="70"/>
        <v>-3190.070199346811</v>
      </c>
      <c r="E104" s="17">
        <f t="shared" si="71"/>
        <v>-19915.637269346811</v>
      </c>
      <c r="F104" s="17">
        <f t="shared" si="72"/>
        <v>2922.9126806531895</v>
      </c>
      <c r="G104" s="17">
        <f t="shared" si="73"/>
        <v>20997.99519065319</v>
      </c>
      <c r="H104" s="17">
        <f t="shared" ref="H104:H135" si="101">SMALL(D104:G104,COUNTIF(D104:G104,"&lt;0")+1)</f>
        <v>2922.9126806531895</v>
      </c>
      <c r="I104" s="17">
        <f t="shared" si="74"/>
        <v>1165.4590187442332</v>
      </c>
      <c r="J104" s="20">
        <f>(Geraetedaten!$B$152+(Geraetedaten!$B$153*(Geraetedaten!$B$18+d_y_Sw)/1000))*10</f>
        <v>6051.0442000000003</v>
      </c>
      <c r="K104" s="20">
        <f>(Geraetedaten!$B$165+(Geraetedaten!$B$166*(Geraetedaten!$B$18+d_y_Sw)/1000))*10</f>
        <v>10816.164000000001</v>
      </c>
      <c r="L104" s="20">
        <f>(Geraetedaten!$B$158+(Geraetedaten!$B$159*(Geraetedaten!$B$18+d_y_Sw)/1000)-(Geraetedaten!$B$160*I104/1000))*10</f>
        <v>516.07349015548516</v>
      </c>
      <c r="M104" s="20">
        <f>(Geraetedaten!$B$171+(Geraetedaten!$B$172*(Geraetedaten!$B$18+d_y_Sw)/1000)-(Geraetedaten!$B$173*I104/1000))*10</f>
        <v>978.11023064468031</v>
      </c>
      <c r="N104" s="20">
        <f>IF((H104-J104)/(K104-J104)*(Geraetedaten!$B$174-Geraetedaten!$B$161)&lt;Geraetedaten!$B$174,(H104-J104)/(K104-J104)*(Geraetedaten!$B$174-Geraetedaten!$B$161),Geraetedaten!$B$174)</f>
        <v>-262.58576074807695</v>
      </c>
      <c r="O104" s="20">
        <f>N104/Geraetedaten!$B$174*(M104-L104)+L104+C104</f>
        <v>283.01303701500296</v>
      </c>
      <c r="P104" s="20">
        <f t="shared" si="75"/>
        <v>142.65931331263823</v>
      </c>
      <c r="Q104" s="21">
        <f>(N104-Geraetedaten!$B$161)/(Geraetedaten!$B$174-Geraetedaten!$B$161)*(Geraetedaten!$B$175-Geraetedaten!$B$162)+Geraetedaten!$B$162</f>
        <v>21.388073617744709</v>
      </c>
      <c r="R104" s="21">
        <f t="shared" si="76"/>
        <v>21.388073617744709</v>
      </c>
      <c r="S104" s="21">
        <f t="shared" si="77"/>
        <v>19.384177669475164</v>
      </c>
      <c r="T104" s="88">
        <f t="shared" si="78"/>
        <v>9.0389904943133814</v>
      </c>
      <c r="U104" s="86">
        <f t="shared" si="79"/>
        <v>-3119.8199800000002</v>
      </c>
      <c r="V104" s="85">
        <f t="shared" si="80"/>
        <v>-1141.3067828769733</v>
      </c>
      <c r="W104" s="85">
        <f t="shared" si="81"/>
        <v>-1258.2709359029802</v>
      </c>
      <c r="X104" s="90">
        <f t="shared" si="82"/>
        <v>1141.3067828769733</v>
      </c>
      <c r="Y104" s="86">
        <f t="shared" si="83"/>
        <v>-19845.387050000001</v>
      </c>
      <c r="Z104" s="85">
        <f t="shared" si="84"/>
        <v>-750</v>
      </c>
      <c r="AA104" s="85">
        <f t="shared" si="85"/>
        <v>-1774.6511873643738</v>
      </c>
      <c r="AB104" s="90">
        <f t="shared" si="86"/>
        <v>750</v>
      </c>
      <c r="AC104" s="86">
        <f t="shared" si="87"/>
        <v>2993.1628999999998</v>
      </c>
      <c r="AD104" s="85">
        <f t="shared" si="88"/>
        <v>1055.7627565116984</v>
      </c>
      <c r="AE104" s="85">
        <f t="shared" si="89"/>
        <v>1165.4590187442332</v>
      </c>
      <c r="AF104" s="90">
        <f t="shared" si="90"/>
        <v>1055.7627565116984</v>
      </c>
      <c r="AG104" s="86">
        <f t="shared" si="91"/>
        <v>21068.24541</v>
      </c>
      <c r="AH104" s="85">
        <f t="shared" si="92"/>
        <v>6128</v>
      </c>
      <c r="AI104" s="85">
        <f t="shared" si="93"/>
        <v>14500.08330155851</v>
      </c>
      <c r="AJ104" s="90">
        <f t="shared" si="94"/>
        <v>6128</v>
      </c>
      <c r="AL104" s="95">
        <f t="shared" si="95"/>
        <v>0</v>
      </c>
      <c r="AM104" s="95">
        <f t="shared" si="96"/>
        <v>0</v>
      </c>
      <c r="AN104" s="95">
        <f t="shared" si="97"/>
        <v>0</v>
      </c>
      <c r="AO104" s="95">
        <f t="shared" si="98"/>
        <v>0</v>
      </c>
      <c r="AP104"/>
      <c r="AQ104" s="95">
        <f t="shared" si="99"/>
        <v>0</v>
      </c>
      <c r="AR104" s="95">
        <f t="shared" si="100"/>
        <v>0</v>
      </c>
      <c r="AS104" s="95">
        <f>Geraetedaten!$B$94*ABS(SIN(RADIANS($A104)))</f>
        <v>139.57139920364409</v>
      </c>
      <c r="AT104" s="95">
        <f>Geraetedaten!$B$94*ABS(COS(RADIANS($A104)))</f>
        <v>65.083212308067715</v>
      </c>
      <c r="AU104" s="95">
        <f>((h_Aw_Sw+Geraetedaten!$B$18)/1000)*(AQ104*AS104+AR104*AT104)/100</f>
        <v>0</v>
      </c>
    </row>
    <row r="105" spans="1:47" ht="13.5" x14ac:dyDescent="0.25">
      <c r="A105" s="16">
        <v>66</v>
      </c>
      <c r="B105" s="16">
        <f t="shared" si="68"/>
        <v>384</v>
      </c>
      <c r="C105" s="19">
        <f t="shared" si="69"/>
        <v>70.234555269145858</v>
      </c>
      <c r="D105" s="17">
        <f t="shared" si="70"/>
        <v>-3165.4511352691457</v>
      </c>
      <c r="E105" s="17">
        <f t="shared" si="71"/>
        <v>-20690.513355269148</v>
      </c>
      <c r="F105" s="17">
        <f t="shared" si="72"/>
        <v>2899.1509247308541</v>
      </c>
      <c r="G105" s="17">
        <f t="shared" si="73"/>
        <v>21820.650874730854</v>
      </c>
      <c r="H105" s="17">
        <f t="shared" si="101"/>
        <v>2899.1509247308541</v>
      </c>
      <c r="I105" s="17">
        <f t="shared" si="74"/>
        <v>1156.2007179270088</v>
      </c>
      <c r="J105" s="20">
        <f>(Geraetedaten!$B$152+(Geraetedaten!$B$153*(Geraetedaten!$B$18+d_y_Sw)/1000))*10</f>
        <v>6051.0442000000003</v>
      </c>
      <c r="K105" s="20">
        <f>(Geraetedaten!$B$165+(Geraetedaten!$B$166*(Geraetedaten!$B$18+d_y_Sw)/1000))*10</f>
        <v>10816.164000000001</v>
      </c>
      <c r="L105" s="20">
        <f>(Geraetedaten!$B$158+(Geraetedaten!$B$159*(Geraetedaten!$B$18+d_y_Sw)/1000)-(Geraetedaten!$B$160*I105/1000))*10</f>
        <v>516.7524013544122</v>
      </c>
      <c r="M105" s="20">
        <f>(Geraetedaten!$B$171+(Geraetedaten!$B$172*(Geraetedaten!$B$18+d_y_Sw)/1000)-(Geraetedaten!$B$173*I105/1000))*10</f>
        <v>978.7994185575144</v>
      </c>
      <c r="N105" s="20">
        <f>IF((H105-J105)/(K105-J105)*(Geraetedaten!$B$174-Geraetedaten!$B$161)&lt;Geraetedaten!$B$174,(H105-J105)/(K105-J105)*(Geraetedaten!$B$174-Geraetedaten!$B$161),Geraetedaten!$B$174)</f>
        <v>-264.58040154786005</v>
      </c>
      <c r="O105" s="20">
        <f>N105/Geraetedaten!$B$174*(M105-L105)+L105+C105</f>
        <v>281.36549325958856</v>
      </c>
      <c r="P105" s="20">
        <f t="shared" si="75"/>
        <v>142.18094836131488</v>
      </c>
      <c r="Q105" s="21">
        <f>(N105-Geraetedaten!$B$161)/(Geraetedaten!$B$174-Geraetedaten!$B$161)*(Geraetedaten!$B$175-Geraetedaten!$B$162)+Geraetedaten!$B$162</f>
        <v>21.328733053951161</v>
      </c>
      <c r="R105" s="21">
        <f t="shared" si="76"/>
        <v>21.328733053951161</v>
      </c>
      <c r="S105" s="21">
        <f t="shared" si="77"/>
        <v>19.484767198708681</v>
      </c>
      <c r="T105" s="88">
        <f t="shared" si="78"/>
        <v>8.675177283423956</v>
      </c>
      <c r="U105" s="86">
        <f t="shared" si="79"/>
        <v>-3095.2165799999998</v>
      </c>
      <c r="V105" s="85">
        <f t="shared" si="80"/>
        <v>-1141.3067828769733</v>
      </c>
      <c r="W105" s="85">
        <f t="shared" si="81"/>
        <v>-1248.3480097778097</v>
      </c>
      <c r="X105" s="90">
        <f t="shared" si="82"/>
        <v>1141.3067828769733</v>
      </c>
      <c r="Y105" s="86">
        <f t="shared" si="83"/>
        <v>-20620.2788</v>
      </c>
      <c r="Z105" s="85">
        <f t="shared" si="84"/>
        <v>-750</v>
      </c>
      <c r="AA105" s="85">
        <f t="shared" si="85"/>
        <v>-1843.9450016806786</v>
      </c>
      <c r="AB105" s="90">
        <f t="shared" si="86"/>
        <v>750</v>
      </c>
      <c r="AC105" s="86">
        <f t="shared" si="87"/>
        <v>2969.3854799999999</v>
      </c>
      <c r="AD105" s="85">
        <f t="shared" si="88"/>
        <v>1055.7627565116984</v>
      </c>
      <c r="AE105" s="85">
        <f t="shared" si="89"/>
        <v>1156.2007179270088</v>
      </c>
      <c r="AF105" s="90">
        <f t="shared" si="90"/>
        <v>1055.7627565116984</v>
      </c>
      <c r="AG105" s="86">
        <f t="shared" si="91"/>
        <v>21890.885429999998</v>
      </c>
      <c r="AH105" s="85">
        <f t="shared" si="92"/>
        <v>6128</v>
      </c>
      <c r="AI105" s="85">
        <f t="shared" si="93"/>
        <v>15066.259960398931</v>
      </c>
      <c r="AJ105" s="90">
        <f t="shared" si="94"/>
        <v>6128</v>
      </c>
      <c r="AL105" s="95">
        <f t="shared" si="95"/>
        <v>0</v>
      </c>
      <c r="AM105" s="95">
        <f t="shared" si="96"/>
        <v>0</v>
      </c>
      <c r="AN105" s="95">
        <f t="shared" si="97"/>
        <v>0</v>
      </c>
      <c r="AO105" s="95">
        <f t="shared" si="98"/>
        <v>0</v>
      </c>
      <c r="AP105"/>
      <c r="AQ105" s="95">
        <f t="shared" si="99"/>
        <v>0</v>
      </c>
      <c r="AR105" s="95">
        <f t="shared" si="100"/>
        <v>0</v>
      </c>
      <c r="AS105" s="95">
        <f>Geraetedaten!$B$94*ABS(SIN(RADIANS($A105)))</f>
        <v>140.68600047696054</v>
      </c>
      <c r="AT105" s="95">
        <f>Geraetedaten!$B$94*ABS(COS(RADIANS($A105)))</f>
        <v>62.637443033673229</v>
      </c>
      <c r="AU105" s="95">
        <f>((h_Aw_Sw+Geraetedaten!$B$18)/1000)*(AQ105*AS105+AR105*AT105)/100</f>
        <v>0</v>
      </c>
    </row>
    <row r="106" spans="1:47" ht="13.5" x14ac:dyDescent="0.25">
      <c r="A106" s="16">
        <v>67</v>
      </c>
      <c r="B106" s="16">
        <f t="shared" si="68"/>
        <v>383</v>
      </c>
      <c r="C106" s="19">
        <f t="shared" si="69"/>
        <v>70.19749706556874</v>
      </c>
      <c r="D106" s="17">
        <f t="shared" si="70"/>
        <v>-3142.124117065569</v>
      </c>
      <c r="E106" s="17">
        <f t="shared" si="71"/>
        <v>-21535.144527065568</v>
      </c>
      <c r="F106" s="17">
        <f t="shared" si="72"/>
        <v>2876.6759429344311</v>
      </c>
      <c r="G106" s="17">
        <f t="shared" si="73"/>
        <v>22717.404012934432</v>
      </c>
      <c r="H106" s="17">
        <f t="shared" si="101"/>
        <v>2876.6759429344311</v>
      </c>
      <c r="I106" s="17">
        <f t="shared" si="74"/>
        <v>1147.4351172022482</v>
      </c>
      <c r="J106" s="20">
        <f>(Geraetedaten!$B$152+(Geraetedaten!$B$153*(Geraetedaten!$B$18+d_y_Sw)/1000))*10</f>
        <v>6051.0442000000003</v>
      </c>
      <c r="K106" s="20">
        <f>(Geraetedaten!$B$165+(Geraetedaten!$B$166*(Geraetedaten!$B$18+d_y_Sw)/1000))*10</f>
        <v>10816.164000000001</v>
      </c>
      <c r="L106" s="20">
        <f>(Geraetedaten!$B$158+(Geraetedaten!$B$159*(Geraetedaten!$B$18+d_y_Sw)/1000)-(Geraetedaten!$B$160*I106/1000))*10</f>
        <v>517.39518285555891</v>
      </c>
      <c r="M106" s="20">
        <f>(Geraetedaten!$B$171+(Geraetedaten!$B$172*(Geraetedaten!$B$18+d_y_Sw)/1000)-(Geraetedaten!$B$173*I106/1000))*10</f>
        <v>979.45192987546557</v>
      </c>
      <c r="N106" s="20">
        <f>IF((H106-J106)/(K106-J106)*(Geraetedaten!$B$174-Geraetedaten!$B$161)&lt;Geraetedaten!$B$174,(H106-J106)/(K106-J106)*(Geraetedaten!$B$174-Geraetedaten!$B$161),Geraetedaten!$B$174)</f>
        <v>-266.46702624899956</v>
      </c>
      <c r="O106" s="20">
        <f>N106/Geraetedaten!$B$174*(M106-L106)+L106+C106</f>
        <v>279.7854615794256</v>
      </c>
      <c r="P106" s="20">
        <f t="shared" si="75"/>
        <v>141.71524118558068</v>
      </c>
      <c r="Q106" s="21">
        <f>(N106-Geraetedaten!$B$161)/(Geraetedaten!$B$174-Geraetedaten!$B$161)*(Geraetedaten!$B$175-Geraetedaten!$B$162)+Geraetedaten!$B$162</f>
        <v>21.272605969092261</v>
      </c>
      <c r="R106" s="21">
        <f t="shared" si="76"/>
        <v>21.272605969092261</v>
      </c>
      <c r="S106" s="21">
        <f t="shared" si="77"/>
        <v>19.58153704013078</v>
      </c>
      <c r="T106" s="88">
        <f t="shared" si="78"/>
        <v>8.31186933621108</v>
      </c>
      <c r="U106" s="86">
        <f t="shared" si="79"/>
        <v>-3071.9266200000002</v>
      </c>
      <c r="V106" s="85">
        <f t="shared" si="80"/>
        <v>-1141.3067828769733</v>
      </c>
      <c r="W106" s="85">
        <f t="shared" si="81"/>
        <v>-1238.9548113421554</v>
      </c>
      <c r="X106" s="90">
        <f t="shared" si="82"/>
        <v>1141.3067828769733</v>
      </c>
      <c r="Y106" s="86">
        <f t="shared" si="83"/>
        <v>-21464.947029999999</v>
      </c>
      <c r="Z106" s="85">
        <f t="shared" si="84"/>
        <v>-750</v>
      </c>
      <c r="AA106" s="85">
        <f t="shared" si="85"/>
        <v>-1919.478498935589</v>
      </c>
      <c r="AB106" s="90">
        <f t="shared" si="86"/>
        <v>750</v>
      </c>
      <c r="AC106" s="86">
        <f t="shared" si="87"/>
        <v>2946.8734399999998</v>
      </c>
      <c r="AD106" s="85">
        <f t="shared" si="88"/>
        <v>1055.7627565116984</v>
      </c>
      <c r="AE106" s="85">
        <f t="shared" si="89"/>
        <v>1147.4351172022482</v>
      </c>
      <c r="AF106" s="90">
        <f t="shared" si="90"/>
        <v>1055.7627565116984</v>
      </c>
      <c r="AG106" s="86">
        <f t="shared" si="91"/>
        <v>22787.60151</v>
      </c>
      <c r="AH106" s="85">
        <f t="shared" si="92"/>
        <v>6128</v>
      </c>
      <c r="AI106" s="85">
        <f t="shared" si="93"/>
        <v>15683.418988636386</v>
      </c>
      <c r="AJ106" s="90">
        <f t="shared" si="94"/>
        <v>6128</v>
      </c>
      <c r="AL106" s="95">
        <f t="shared" si="95"/>
        <v>0</v>
      </c>
      <c r="AM106" s="95">
        <f t="shared" si="96"/>
        <v>0</v>
      </c>
      <c r="AN106" s="95">
        <f t="shared" si="97"/>
        <v>0</v>
      </c>
      <c r="AO106" s="95">
        <f t="shared" si="98"/>
        <v>0</v>
      </c>
      <c r="AP106"/>
      <c r="AQ106" s="95">
        <f t="shared" si="99"/>
        <v>0</v>
      </c>
      <c r="AR106" s="95">
        <f t="shared" si="100"/>
        <v>0</v>
      </c>
      <c r="AS106" s="95">
        <f>Geraetedaten!$B$94*ABS(SIN(RADIANS($A106)))</f>
        <v>141.75774743167582</v>
      </c>
      <c r="AT106" s="95">
        <f>Geraetedaten!$B$94*ABS(COS(RADIANS($A106)))</f>
        <v>60.172593787348156</v>
      </c>
      <c r="AU106" s="95">
        <f>((h_Aw_Sw+Geraetedaten!$B$18)/1000)*(AQ106*AS106+AR106*AT106)/100</f>
        <v>0</v>
      </c>
    </row>
    <row r="107" spans="1:47" ht="13.5" x14ac:dyDescent="0.25">
      <c r="A107" s="16">
        <v>68</v>
      </c>
      <c r="B107" s="16">
        <f t="shared" si="68"/>
        <v>382</v>
      </c>
      <c r="C107" s="19">
        <f t="shared" si="69"/>
        <v>70.139056024367036</v>
      </c>
      <c r="D107" s="17">
        <f t="shared" si="70"/>
        <v>-3120.0456660243672</v>
      </c>
      <c r="E107" s="17">
        <f t="shared" si="71"/>
        <v>-22459.021486024369</v>
      </c>
      <c r="F107" s="17">
        <f t="shared" si="72"/>
        <v>2855.4455639756329</v>
      </c>
      <c r="G107" s="17">
        <f t="shared" si="73"/>
        <v>23698.330083975634</v>
      </c>
      <c r="H107" s="17">
        <f t="shared" si="101"/>
        <v>2855.4455639756329</v>
      </c>
      <c r="I107" s="17">
        <f t="shared" si="74"/>
        <v>1139.145811111101</v>
      </c>
      <c r="J107" s="20">
        <f>(Geraetedaten!$B$152+(Geraetedaten!$B$153*(Geraetedaten!$B$18+d_y_Sw)/1000))*10</f>
        <v>6051.0442000000003</v>
      </c>
      <c r="K107" s="20">
        <f>(Geraetedaten!$B$165+(Geraetedaten!$B$166*(Geraetedaten!$B$18+d_y_Sw)/1000))*10</f>
        <v>10816.164000000001</v>
      </c>
      <c r="L107" s="20">
        <f>(Geraetedaten!$B$158+(Geraetedaten!$B$159*(Geraetedaten!$B$18+d_y_Sw)/1000)-(Geraetedaten!$B$160*I107/1000))*10</f>
        <v>518.00303767122273</v>
      </c>
      <c r="M107" s="20">
        <f>(Geraetedaten!$B$171+(Geraetedaten!$B$172*(Geraetedaten!$B$18+d_y_Sw)/1000)-(Geraetedaten!$B$173*I107/1000))*10</f>
        <v>980.0689858208907</v>
      </c>
      <c r="N107" s="20">
        <f>IF((H107-J107)/(K107-J107)*(Geraetedaten!$B$174-Geraetedaten!$B$161)&lt;Geraetedaten!$B$174,(H107-J107)/(K107-J107)*(Geraetedaten!$B$174-Geraetedaten!$B$161),Geraetedaten!$B$174)</f>
        <v>-268.24917484965368</v>
      </c>
      <c r="O107" s="20">
        <f>N107/Geraetedaten!$B$174*(M107-L107)+L107+C107</f>
        <v>278.27007040241153</v>
      </c>
      <c r="P107" s="20">
        <f t="shared" si="75"/>
        <v>141.26163838095482</v>
      </c>
      <c r="Q107" s="21">
        <f>(N107-Geraetedaten!$B$161)/(Geraetedaten!$B$174-Geraetedaten!$B$161)*(Geraetedaten!$B$175-Geraetedaten!$B$162)+Geraetedaten!$B$162</f>
        <v>21.219587048222799</v>
      </c>
      <c r="R107" s="21">
        <f t="shared" si="76"/>
        <v>21.219587048222799</v>
      </c>
      <c r="S107" s="21">
        <f t="shared" si="77"/>
        <v>19.674458511686694</v>
      </c>
      <c r="T107" s="88">
        <f t="shared" si="78"/>
        <v>7.9489972178271495</v>
      </c>
      <c r="U107" s="86">
        <f t="shared" si="79"/>
        <v>-3049.90661</v>
      </c>
      <c r="V107" s="85">
        <f t="shared" si="80"/>
        <v>-1141.3067828769733</v>
      </c>
      <c r="W107" s="85">
        <f t="shared" si="81"/>
        <v>-1230.0738095804325</v>
      </c>
      <c r="X107" s="90">
        <f t="shared" si="82"/>
        <v>1141.3067828769733</v>
      </c>
      <c r="Y107" s="86">
        <f t="shared" si="83"/>
        <v>-22388.882430000001</v>
      </c>
      <c r="Z107" s="85">
        <f t="shared" si="84"/>
        <v>-750</v>
      </c>
      <c r="AA107" s="85">
        <f t="shared" si="85"/>
        <v>-2002.1003719155108</v>
      </c>
      <c r="AB107" s="90">
        <f t="shared" si="86"/>
        <v>750</v>
      </c>
      <c r="AC107" s="86">
        <f t="shared" si="87"/>
        <v>2925.5846200000001</v>
      </c>
      <c r="AD107" s="85">
        <f t="shared" si="88"/>
        <v>1055.7627565116984</v>
      </c>
      <c r="AE107" s="85">
        <f t="shared" si="89"/>
        <v>1139.145811111101</v>
      </c>
      <c r="AF107" s="90">
        <f t="shared" si="90"/>
        <v>1055.7627565116984</v>
      </c>
      <c r="AG107" s="86">
        <f t="shared" si="91"/>
        <v>23768.469140000001</v>
      </c>
      <c r="AH107" s="85">
        <f t="shared" si="92"/>
        <v>6128</v>
      </c>
      <c r="AI107" s="85">
        <f t="shared" si="93"/>
        <v>16358.494772131</v>
      </c>
      <c r="AJ107" s="90">
        <f t="shared" si="94"/>
        <v>6128</v>
      </c>
      <c r="AL107" s="95">
        <f t="shared" si="95"/>
        <v>0</v>
      </c>
      <c r="AM107" s="95">
        <f t="shared" si="96"/>
        <v>0</v>
      </c>
      <c r="AN107" s="95">
        <f t="shared" si="97"/>
        <v>0</v>
      </c>
      <c r="AO107" s="95">
        <f t="shared" si="98"/>
        <v>0</v>
      </c>
      <c r="AP107"/>
      <c r="AQ107" s="95">
        <f t="shared" si="99"/>
        <v>0</v>
      </c>
      <c r="AR107" s="95">
        <f t="shared" si="100"/>
        <v>0</v>
      </c>
      <c r="AS107" s="95">
        <f>Geraetedaten!$B$94*ABS(SIN(RADIANS($A107)))</f>
        <v>142.78631360328527</v>
      </c>
      <c r="AT107" s="95">
        <f>Geraetedaten!$B$94*ABS(COS(RADIANS($A107)))</f>
        <v>57.689415386050442</v>
      </c>
      <c r="AU107" s="95">
        <f>((h_Aw_Sw+Geraetedaten!$B$18)/1000)*(AQ107*AS107+AR107*AT107)/100</f>
        <v>0</v>
      </c>
    </row>
    <row r="108" spans="1:47" ht="13.5" x14ac:dyDescent="0.25">
      <c r="A108" s="16">
        <v>69</v>
      </c>
      <c r="B108" s="16">
        <f t="shared" si="68"/>
        <v>381</v>
      </c>
      <c r="C108" s="19">
        <f t="shared" si="69"/>
        <v>70.059249947248006</v>
      </c>
      <c r="D108" s="17">
        <f t="shared" si="70"/>
        <v>-3099.1754299472482</v>
      </c>
      <c r="E108" s="17">
        <f t="shared" si="71"/>
        <v>-23473.443919947247</v>
      </c>
      <c r="F108" s="17">
        <f t="shared" si="72"/>
        <v>2835.4206300527517</v>
      </c>
      <c r="G108" s="17">
        <f t="shared" si="73"/>
        <v>24775.425020052753</v>
      </c>
      <c r="H108" s="17">
        <f t="shared" si="101"/>
        <v>2835.4206300527517</v>
      </c>
      <c r="I108" s="17">
        <f t="shared" si="74"/>
        <v>1131.3175518955613</v>
      </c>
      <c r="J108" s="20">
        <f>(Geraetedaten!$B$152+(Geraetedaten!$B$153*(Geraetedaten!$B$18+d_y_Sw)/1000))*10</f>
        <v>6051.0442000000003</v>
      </c>
      <c r="K108" s="20">
        <f>(Geraetedaten!$B$165+(Geraetedaten!$B$166*(Geraetedaten!$B$18+d_y_Sw)/1000))*10</f>
        <v>10816.164000000001</v>
      </c>
      <c r="L108" s="20">
        <f>(Geraetedaten!$B$158+(Geraetedaten!$B$159*(Geraetedaten!$B$18+d_y_Sw)/1000)-(Geraetedaten!$B$160*I108/1000))*10</f>
        <v>518.57708391949825</v>
      </c>
      <c r="M108" s="20">
        <f>(Geraetedaten!$B$171+(Geraetedaten!$B$172*(Geraetedaten!$B$18+d_y_Sw)/1000)-(Geraetedaten!$B$173*I108/1000))*10</f>
        <v>980.6517214368954</v>
      </c>
      <c r="N108" s="20">
        <f>IF((H108-J108)/(K108-J108)*(Geraetedaten!$B$174-Geraetedaten!$B$161)&lt;Geraetedaten!$B$174,(H108-J108)/(K108-J108)*(Geraetedaten!$B$174-Geraetedaten!$B$161),Geraetedaten!$B$174)</f>
        <v>-269.93013438589713</v>
      </c>
      <c r="O108" s="20">
        <f>N108/Geraetedaten!$B$174*(M108-L108)+L108+C108</f>
        <v>276.81666136328198</v>
      </c>
      <c r="P108" s="20">
        <f t="shared" si="75"/>
        <v>140.81962746442599</v>
      </c>
      <c r="Q108" s="21">
        <f>(N108-Geraetedaten!$B$161)/(Geraetedaten!$B$174-Geraetedaten!$B$161)*(Geraetedaten!$B$175-Geraetedaten!$B$162)+Geraetedaten!$B$162</f>
        <v>21.169578502019558</v>
      </c>
      <c r="R108" s="21">
        <f t="shared" si="76"/>
        <v>21.169578502019558</v>
      </c>
      <c r="S108" s="21">
        <f t="shared" si="77"/>
        <v>19.763504126681411</v>
      </c>
      <c r="T108" s="88">
        <f t="shared" si="78"/>
        <v>7.5864984405070208</v>
      </c>
      <c r="U108" s="86">
        <f t="shared" si="79"/>
        <v>-3029.11618</v>
      </c>
      <c r="V108" s="85">
        <f t="shared" si="80"/>
        <v>-1141.3067828769733</v>
      </c>
      <c r="W108" s="85">
        <f t="shared" si="81"/>
        <v>-1221.6887118565426</v>
      </c>
      <c r="X108" s="90">
        <f t="shared" si="82"/>
        <v>1141.3067828769733</v>
      </c>
      <c r="Y108" s="86">
        <f t="shared" si="83"/>
        <v>-23403.384669999999</v>
      </c>
      <c r="Z108" s="85">
        <f t="shared" si="84"/>
        <v>-750</v>
      </c>
      <c r="AA108" s="85">
        <f t="shared" si="85"/>
        <v>-2092.8210822190022</v>
      </c>
      <c r="AB108" s="90">
        <f t="shared" si="86"/>
        <v>750</v>
      </c>
      <c r="AC108" s="86">
        <f t="shared" si="87"/>
        <v>2905.4798799999999</v>
      </c>
      <c r="AD108" s="85">
        <f t="shared" si="88"/>
        <v>1055.7627565116984</v>
      </c>
      <c r="AE108" s="85">
        <f t="shared" si="89"/>
        <v>1131.3175518955613</v>
      </c>
      <c r="AF108" s="90">
        <f t="shared" si="90"/>
        <v>1055.7627565116984</v>
      </c>
      <c r="AG108" s="86">
        <f t="shared" si="91"/>
        <v>24845.484270000001</v>
      </c>
      <c r="AH108" s="85">
        <f t="shared" si="92"/>
        <v>6128</v>
      </c>
      <c r="AI108" s="85">
        <f t="shared" si="93"/>
        <v>17099.743455784057</v>
      </c>
      <c r="AJ108" s="90">
        <f t="shared" si="94"/>
        <v>6128</v>
      </c>
      <c r="AL108" s="95">
        <f t="shared" si="95"/>
        <v>0</v>
      </c>
      <c r="AM108" s="95">
        <f t="shared" si="96"/>
        <v>0</v>
      </c>
      <c r="AN108" s="95">
        <f t="shared" si="97"/>
        <v>0</v>
      </c>
      <c r="AO108" s="95">
        <f t="shared" si="98"/>
        <v>0</v>
      </c>
      <c r="AP108"/>
      <c r="AQ108" s="95">
        <f t="shared" si="99"/>
        <v>0</v>
      </c>
      <c r="AR108" s="95">
        <f t="shared" si="100"/>
        <v>0</v>
      </c>
      <c r="AS108" s="95">
        <f>Geraetedaten!$B$94*ABS(SIN(RADIANS($A108)))</f>
        <v>143.77138568056907</v>
      </c>
      <c r="AT108" s="95">
        <f>Geraetedaten!$B$94*ABS(COS(RADIANS($A108)))</f>
        <v>55.188664229976261</v>
      </c>
      <c r="AU108" s="95">
        <f>((h_Aw_Sw+Geraetedaten!$B$18)/1000)*(AQ108*AS108+AR108*AT108)/100</f>
        <v>0</v>
      </c>
    </row>
    <row r="109" spans="1:47" ht="13.5" x14ac:dyDescent="0.25">
      <c r="A109" s="16">
        <v>70</v>
      </c>
      <c r="B109" s="16">
        <f t="shared" si="68"/>
        <v>380</v>
      </c>
      <c r="C109" s="19">
        <f t="shared" si="69"/>
        <v>69.958103143915849</v>
      </c>
      <c r="D109" s="17">
        <f t="shared" si="70"/>
        <v>-3079.4759031439157</v>
      </c>
      <c r="E109" s="17">
        <f t="shared" si="71"/>
        <v>-24591.972783143916</v>
      </c>
      <c r="F109" s="17">
        <f t="shared" si="72"/>
        <v>2816.5647268560842</v>
      </c>
      <c r="G109" s="17">
        <f t="shared" si="73"/>
        <v>25963.085356856085</v>
      </c>
      <c r="H109" s="17">
        <f t="shared" si="101"/>
        <v>2816.5647268560842</v>
      </c>
      <c r="I109" s="17">
        <f t="shared" si="74"/>
        <v>1123.9361757977861</v>
      </c>
      <c r="J109" s="20">
        <f>(Geraetedaten!$B$152+(Geraetedaten!$B$153*(Geraetedaten!$B$18+d_y_Sw)/1000))*10</f>
        <v>6051.0442000000003</v>
      </c>
      <c r="K109" s="20">
        <f>(Geraetedaten!$B$165+(Geraetedaten!$B$166*(Geraetedaten!$B$18+d_y_Sw)/1000))*10</f>
        <v>10816.164000000001</v>
      </c>
      <c r="L109" s="20">
        <f>(Geraetedaten!$B$158+(Geraetedaten!$B$159*(Geraetedaten!$B$18+d_y_Sw)/1000)-(Geraetedaten!$B$160*I109/1000))*10</f>
        <v>519.11836022874809</v>
      </c>
      <c r="M109" s="20">
        <f>(Geraetedaten!$B$171+(Geraetedaten!$B$172*(Geraetedaten!$B$18+d_y_Sw)/1000)-(Geraetedaten!$B$173*I109/1000))*10</f>
        <v>981.2011910736137</v>
      </c>
      <c r="N109" s="20">
        <f>IF((H109-J109)/(K109-J109)*(Geraetedaten!$B$174-Geraetedaten!$B$161)&lt;Geraetedaten!$B$174,(H109-J109)/(K109-J109)*(Geraetedaten!$B$174-Geraetedaten!$B$161),Geraetedaten!$B$174)</f>
        <v>-271.5129615959637</v>
      </c>
      <c r="O109" s="20">
        <f>N109/Geraetedaten!$B$174*(M109-L109)+L109+C109</f>
        <v>275.4227686093235</v>
      </c>
      <c r="P109" s="20">
        <f t="shared" si="75"/>
        <v>140.38873287640104</v>
      </c>
      <c r="Q109" s="21">
        <f>(N109-Geraetedaten!$B$161)/(Geraetedaten!$B$174-Geraetedaten!$B$161)*(Geraetedaten!$B$175-Geraetedaten!$B$162)+Geraetedaten!$B$162</f>
        <v>21.122489392520077</v>
      </c>
      <c r="R109" s="21">
        <f t="shared" si="76"/>
        <v>21.122489392520077</v>
      </c>
      <c r="S109" s="21">
        <f t="shared" si="77"/>
        <v>19.848647414779741</v>
      </c>
      <c r="T109" s="88">
        <f t="shared" si="78"/>
        <v>7.2243168494246364</v>
      </c>
      <c r="U109" s="86">
        <f t="shared" si="79"/>
        <v>-3009.5178000000001</v>
      </c>
      <c r="V109" s="85">
        <f t="shared" si="80"/>
        <v>-1141.3067828769733</v>
      </c>
      <c r="W109" s="85">
        <f t="shared" si="81"/>
        <v>-1213.7843854417995</v>
      </c>
      <c r="X109" s="90">
        <f t="shared" si="82"/>
        <v>1141.3067828769733</v>
      </c>
      <c r="Y109" s="86">
        <f t="shared" si="83"/>
        <v>-24522.01468</v>
      </c>
      <c r="Z109" s="85">
        <f t="shared" si="84"/>
        <v>-750</v>
      </c>
      <c r="AA109" s="85">
        <f t="shared" si="85"/>
        <v>-2192.8533001223154</v>
      </c>
      <c r="AB109" s="90">
        <f t="shared" si="86"/>
        <v>750</v>
      </c>
      <c r="AC109" s="86">
        <f t="shared" si="87"/>
        <v>2886.5228299999999</v>
      </c>
      <c r="AD109" s="85">
        <f t="shared" si="88"/>
        <v>1055.7627565116984</v>
      </c>
      <c r="AE109" s="85">
        <f t="shared" si="89"/>
        <v>1123.9361757977861</v>
      </c>
      <c r="AF109" s="90">
        <f t="shared" si="90"/>
        <v>1055.7627565116984</v>
      </c>
      <c r="AG109" s="86">
        <f t="shared" si="91"/>
        <v>26033.043460000001</v>
      </c>
      <c r="AH109" s="85">
        <f t="shared" si="92"/>
        <v>6128</v>
      </c>
      <c r="AI109" s="85">
        <f t="shared" si="93"/>
        <v>17917.073364199401</v>
      </c>
      <c r="AJ109" s="90">
        <f t="shared" si="94"/>
        <v>6128</v>
      </c>
      <c r="AL109" s="95">
        <f t="shared" si="95"/>
        <v>0</v>
      </c>
      <c r="AM109" s="95">
        <f t="shared" si="96"/>
        <v>0</v>
      </c>
      <c r="AN109" s="95">
        <f t="shared" si="97"/>
        <v>0</v>
      </c>
      <c r="AO109" s="95">
        <f t="shared" si="98"/>
        <v>0</v>
      </c>
      <c r="AP109"/>
      <c r="AQ109" s="95">
        <f t="shared" si="99"/>
        <v>0</v>
      </c>
      <c r="AR109" s="95">
        <f t="shared" si="100"/>
        <v>0</v>
      </c>
      <c r="AS109" s="95">
        <f>Geraetedaten!$B$94*ABS(SIN(RADIANS($A109)))</f>
        <v>144.71266360102987</v>
      </c>
      <c r="AT109" s="95">
        <f>Geraetedaten!$B$94*ABS(COS(RADIANS($A109)))</f>
        <v>52.671102072152998</v>
      </c>
      <c r="AU109" s="95">
        <f>((h_Aw_Sw+Geraetedaten!$B$18)/1000)*(AQ109*AS109+AR109*AT109)/100</f>
        <v>0</v>
      </c>
    </row>
    <row r="110" spans="1:47" ht="13.5" x14ac:dyDescent="0.25">
      <c r="A110" s="16">
        <v>71</v>
      </c>
      <c r="B110" s="16">
        <f t="shared" si="68"/>
        <v>379</v>
      </c>
      <c r="C110" s="19">
        <f t="shared" si="69"/>
        <v>69.835646424666692</v>
      </c>
      <c r="D110" s="17">
        <f t="shared" si="70"/>
        <v>-3060.9122864246669</v>
      </c>
      <c r="E110" s="17">
        <f t="shared" si="71"/>
        <v>-25831.025316424668</v>
      </c>
      <c r="F110" s="17">
        <f t="shared" si="72"/>
        <v>2798.8440635753332</v>
      </c>
      <c r="G110" s="17">
        <f t="shared" si="73"/>
        <v>27278.739863575331</v>
      </c>
      <c r="H110" s="17">
        <f t="shared" si="101"/>
        <v>2798.8440635753332</v>
      </c>
      <c r="I110" s="17">
        <f t="shared" si="74"/>
        <v>1116.9885360920598</v>
      </c>
      <c r="J110" s="20">
        <f>(Geraetedaten!$B$152+(Geraetedaten!$B$153*(Geraetedaten!$B$18+d_y_Sw)/1000))*10</f>
        <v>6051.0442000000003</v>
      </c>
      <c r="K110" s="20">
        <f>(Geraetedaten!$B$165+(Geraetedaten!$B$166*(Geraetedaten!$B$18+d_y_Sw)/1000))*10</f>
        <v>10816.164000000001</v>
      </c>
      <c r="L110" s="20">
        <f>(Geraetedaten!$B$158+(Geraetedaten!$B$159*(Geraetedaten!$B$18+d_y_Sw)/1000)-(Geraetedaten!$B$160*I110/1000))*10</f>
        <v>519.62783064836901</v>
      </c>
      <c r="M110" s="20">
        <f>(Geraetedaten!$B$171+(Geraetedaten!$B$172*(Geraetedaten!$B$18+d_y_Sw)/1000)-(Geraetedaten!$B$173*I110/1000))*10</f>
        <v>981.71837337330794</v>
      </c>
      <c r="N110" s="20">
        <f>IF((H110-J110)/(K110-J110)*(Geraetedaten!$B$174-Geraetedaten!$B$161)&lt;Geraetedaten!$B$174,(H110-J110)/(K110-J110)*(Geraetedaten!$B$174-Geraetedaten!$B$161),Geraetedaten!$B$174)</f>
        <v>-273.00049299282398</v>
      </c>
      <c r="O110" s="20">
        <f>N110/Geraetedaten!$B$174*(M110-L110)+L110+C110</f>
        <v>274.08611214496091</v>
      </c>
      <c r="P110" s="20">
        <f t="shared" si="75"/>
        <v>139.96851627856202</v>
      </c>
      <c r="Q110" s="21">
        <f>(N110-Geraetedaten!$B$161)/(Geraetedaten!$B$174-Geraetedaten!$B$161)*(Geraetedaten!$B$175-Geraetedaten!$B$162)+Geraetedaten!$B$162</f>
        <v>21.078235333463482</v>
      </c>
      <c r="R110" s="21">
        <f t="shared" si="76"/>
        <v>21.078235333463482</v>
      </c>
      <c r="S110" s="21">
        <f t="shared" si="77"/>
        <v>19.929863048643579</v>
      </c>
      <c r="T110" s="88">
        <f t="shared" si="78"/>
        <v>6.8624021767293382</v>
      </c>
      <c r="U110" s="86">
        <f t="shared" si="79"/>
        <v>-2991.0766400000002</v>
      </c>
      <c r="V110" s="85">
        <f t="shared" si="80"/>
        <v>-1141.3067828769733</v>
      </c>
      <c r="W110" s="85">
        <f t="shared" si="81"/>
        <v>-1206.3467862088587</v>
      </c>
      <c r="X110" s="90">
        <f t="shared" si="82"/>
        <v>1141.3067828769733</v>
      </c>
      <c r="Y110" s="86">
        <f t="shared" si="83"/>
        <v>-25761.18967</v>
      </c>
      <c r="Z110" s="85">
        <f t="shared" si="84"/>
        <v>-750</v>
      </c>
      <c r="AA110" s="85">
        <f t="shared" si="85"/>
        <v>-2303.6651150679318</v>
      </c>
      <c r="AB110" s="90">
        <f t="shared" si="86"/>
        <v>750</v>
      </c>
      <c r="AC110" s="86">
        <f t="shared" si="87"/>
        <v>2868.6797099999999</v>
      </c>
      <c r="AD110" s="85">
        <f t="shared" si="88"/>
        <v>1055.7627565116984</v>
      </c>
      <c r="AE110" s="85">
        <f t="shared" si="89"/>
        <v>1116.9885360920598</v>
      </c>
      <c r="AF110" s="90">
        <f t="shared" si="90"/>
        <v>1055.7627565116984</v>
      </c>
      <c r="AG110" s="86">
        <f t="shared" si="91"/>
        <v>27348.575509999999</v>
      </c>
      <c r="AH110" s="85">
        <f t="shared" si="92"/>
        <v>6128</v>
      </c>
      <c r="AI110" s="85">
        <f t="shared" si="93"/>
        <v>18822.479766848381</v>
      </c>
      <c r="AJ110" s="90">
        <f t="shared" si="94"/>
        <v>6128</v>
      </c>
      <c r="AL110" s="95">
        <f t="shared" si="95"/>
        <v>0</v>
      </c>
      <c r="AM110" s="95">
        <f t="shared" si="96"/>
        <v>0</v>
      </c>
      <c r="AN110" s="95">
        <f t="shared" si="97"/>
        <v>0</v>
      </c>
      <c r="AO110" s="95">
        <f t="shared" si="98"/>
        <v>0</v>
      </c>
      <c r="AP110"/>
      <c r="AQ110" s="95">
        <f t="shared" si="99"/>
        <v>0</v>
      </c>
      <c r="AR110" s="95">
        <f t="shared" si="100"/>
        <v>0</v>
      </c>
      <c r="AS110" s="95">
        <f>Geraetedaten!$B$94*ABS(SIN(RADIANS($A110)))</f>
        <v>145.60986064229479</v>
      </c>
      <c r="AT110" s="95">
        <f>Geraetedaten!$B$94*ABS(COS(RADIANS($A110)))</f>
        <v>50.137495786402141</v>
      </c>
      <c r="AU110" s="95">
        <f>((h_Aw_Sw+Geraetedaten!$B$18)/1000)*(AQ110*AS110+AR110*AT110)/100</f>
        <v>0</v>
      </c>
    </row>
    <row r="111" spans="1:47" ht="13.5" x14ac:dyDescent="0.25">
      <c r="A111" s="16">
        <v>72</v>
      </c>
      <c r="B111" s="16">
        <f t="shared" si="68"/>
        <v>378</v>
      </c>
      <c r="C111" s="19">
        <f t="shared" si="69"/>
        <v>69.691917091003489</v>
      </c>
      <c r="D111" s="17">
        <f t="shared" si="70"/>
        <v>-3043.4523470910035</v>
      </c>
      <c r="E111" s="17">
        <f t="shared" si="71"/>
        <v>-27210.668397091005</v>
      </c>
      <c r="F111" s="17">
        <f t="shared" si="72"/>
        <v>2782.2273129089963</v>
      </c>
      <c r="G111" s="17">
        <f t="shared" si="73"/>
        <v>28743.691862908996</v>
      </c>
      <c r="H111" s="17">
        <f t="shared" si="101"/>
        <v>2782.2273129089963</v>
      </c>
      <c r="I111" s="17">
        <f t="shared" si="74"/>
        <v>1110.4624422260815</v>
      </c>
      <c r="J111" s="20">
        <f>(Geraetedaten!$B$152+(Geraetedaten!$B$153*(Geraetedaten!$B$18+d_y_Sw)/1000))*10</f>
        <v>6051.0442000000003</v>
      </c>
      <c r="K111" s="20">
        <f>(Geraetedaten!$B$165+(Geraetedaten!$B$166*(Geraetedaten!$B$18+d_y_Sw)/1000))*10</f>
        <v>10816.164000000001</v>
      </c>
      <c r="L111" s="20">
        <f>(Geraetedaten!$B$158+(Geraetedaten!$B$159*(Geraetedaten!$B$18+d_y_Sw)/1000)-(Geraetedaten!$B$160*I111/1000))*10</f>
        <v>520.10638911156116</v>
      </c>
      <c r="M111" s="20">
        <f>(Geraetedaten!$B$171+(Geraetedaten!$B$172*(Geraetedaten!$B$18+d_y_Sw)/1000)-(Geraetedaten!$B$173*I111/1000))*10</f>
        <v>982.20417580069136</v>
      </c>
      <c r="N111" s="20">
        <f>IF((H111-J111)/(K111-J111)*(Geraetedaten!$B$174-Geraetedaten!$B$161)&lt;Geraetedaten!$B$174,(H111-J111)/(K111-J111)*(Geraetedaten!$B$174-Geraetedaten!$B$161),Geraetedaten!$B$174)</f>
        <v>-274.39535829432901</v>
      </c>
      <c r="O111" s="20">
        <f>N111/Geraetedaten!$B$174*(M111-L111)+L111+C111</f>
        <v>272.80458683861389</v>
      </c>
      <c r="P111" s="20">
        <f t="shared" si="75"/>
        <v>139.55857519841436</v>
      </c>
      <c r="Q111" s="21">
        <f>(N111-Geraetedaten!$B$161)/(Geraetedaten!$B$174-Geraetedaten!$B$161)*(Geraetedaten!$B$175-Geraetedaten!$B$162)+Geraetedaten!$B$162</f>
        <v>21.036738090743711</v>
      </c>
      <c r="R111" s="21">
        <f t="shared" si="76"/>
        <v>21.036738090743711</v>
      </c>
      <c r="S111" s="21">
        <f t="shared" si="77"/>
        <v>20.007126842796271</v>
      </c>
      <c r="T111" s="88">
        <f t="shared" si="78"/>
        <v>6.5007095762545921</v>
      </c>
      <c r="U111" s="86">
        <f t="shared" si="79"/>
        <v>-2973.7604299999998</v>
      </c>
      <c r="V111" s="85">
        <f t="shared" si="80"/>
        <v>-1141.3067828769733</v>
      </c>
      <c r="W111" s="85">
        <f t="shared" si="81"/>
        <v>-1199.3628938305933</v>
      </c>
      <c r="X111" s="90">
        <f t="shared" si="82"/>
        <v>1141.3067828769733</v>
      </c>
      <c r="Y111" s="86">
        <f t="shared" si="83"/>
        <v>-27140.976480000001</v>
      </c>
      <c r="Z111" s="85">
        <f t="shared" si="84"/>
        <v>-750</v>
      </c>
      <c r="AA111" s="85">
        <f t="shared" si="85"/>
        <v>-2427.0509831248423</v>
      </c>
      <c r="AB111" s="90">
        <f t="shared" si="86"/>
        <v>750</v>
      </c>
      <c r="AC111" s="86">
        <f t="shared" si="87"/>
        <v>2851.91923</v>
      </c>
      <c r="AD111" s="85">
        <f t="shared" si="88"/>
        <v>1055.7627565116984</v>
      </c>
      <c r="AE111" s="85">
        <f t="shared" si="89"/>
        <v>1110.4624422260815</v>
      </c>
      <c r="AF111" s="90">
        <f t="shared" si="90"/>
        <v>1055.7627565116984</v>
      </c>
      <c r="AG111" s="86">
        <f t="shared" si="91"/>
        <v>28813.38378</v>
      </c>
      <c r="AH111" s="85">
        <f t="shared" si="92"/>
        <v>6128</v>
      </c>
      <c r="AI111" s="85">
        <f t="shared" si="93"/>
        <v>19830.624566118713</v>
      </c>
      <c r="AJ111" s="90">
        <f t="shared" si="94"/>
        <v>6128</v>
      </c>
      <c r="AL111" s="95">
        <f t="shared" si="95"/>
        <v>0</v>
      </c>
      <c r="AM111" s="95">
        <f t="shared" si="96"/>
        <v>0</v>
      </c>
      <c r="AN111" s="95">
        <f t="shared" si="97"/>
        <v>0</v>
      </c>
      <c r="AO111" s="95">
        <f t="shared" si="98"/>
        <v>0</v>
      </c>
      <c r="AP111"/>
      <c r="AQ111" s="95">
        <f t="shared" si="99"/>
        <v>0</v>
      </c>
      <c r="AR111" s="95">
        <f t="shared" si="100"/>
        <v>0</v>
      </c>
      <c r="AS111" s="95">
        <f>Geraetedaten!$B$94*ABS(SIN(RADIANS($A111)))</f>
        <v>146.46270350945363</v>
      </c>
      <c r="AT111" s="95">
        <f>Geraetedaten!$B$94*ABS(COS(RADIANS($A111)))</f>
        <v>47.588617133741906</v>
      </c>
      <c r="AU111" s="95">
        <f>((h_Aw_Sw+Geraetedaten!$B$18)/1000)*(AQ111*AS111+AR111*AT111)/100</f>
        <v>0</v>
      </c>
    </row>
    <row r="112" spans="1:47" ht="13.5" x14ac:dyDescent="0.25">
      <c r="A112" s="16">
        <v>73</v>
      </c>
      <c r="B112" s="16">
        <f t="shared" si="68"/>
        <v>377</v>
      </c>
      <c r="C112" s="19">
        <f t="shared" si="69"/>
        <v>69.526958924273615</v>
      </c>
      <c r="D112" s="17">
        <f t="shared" si="70"/>
        <v>-3027.0662289242737</v>
      </c>
      <c r="E112" s="17">
        <f t="shared" si="71"/>
        <v>-28755.692008924274</v>
      </c>
      <c r="F112" s="17">
        <f t="shared" si="72"/>
        <v>2766.6854110757267</v>
      </c>
      <c r="G112" s="17">
        <f t="shared" si="73"/>
        <v>30384.258791075725</v>
      </c>
      <c r="H112" s="17">
        <f t="shared" si="101"/>
        <v>2766.6854110757267</v>
      </c>
      <c r="I112" s="17">
        <f t="shared" si="74"/>
        <v>1104.3466045189657</v>
      </c>
      <c r="J112" s="20">
        <f>(Geraetedaten!$B$152+(Geraetedaten!$B$153*(Geraetedaten!$B$18+d_y_Sw)/1000))*10</f>
        <v>6051.0442000000003</v>
      </c>
      <c r="K112" s="20">
        <f>(Geraetedaten!$B$165+(Geraetedaten!$B$166*(Geraetedaten!$B$18+d_y_Sw)/1000))*10</f>
        <v>10816.164000000001</v>
      </c>
      <c r="L112" s="20">
        <f>(Geraetedaten!$B$158+(Geraetedaten!$B$159*(Geraetedaten!$B$18+d_y_Sw)/1000)-(Geraetedaten!$B$160*I112/1000))*10</f>
        <v>520.55486349062403</v>
      </c>
      <c r="M112" s="20">
        <f>(Geraetedaten!$B$171+(Geraetedaten!$B$172*(Geraetedaten!$B$18+d_y_Sw)/1000)-(Geraetedaten!$B$173*I112/1000))*10</f>
        <v>982.6594387596092</v>
      </c>
      <c r="N112" s="20">
        <f>IF((H112-J112)/(K112-J112)*(Geraetedaten!$B$174-Geraetedaten!$B$161)&lt;Geraetedaten!$B$174,(H112-J112)/(K112-J112)*(Geraetedaten!$B$174-Geraetedaten!$B$161),Geraetedaten!$B$174)</f>
        <v>-275.69999721092199</v>
      </c>
      <c r="O112" s="20">
        <f>N112/Geraetedaten!$B$174*(M112-L112)+L112+C112</f>
        <v>271.5762471328639</v>
      </c>
      <c r="P112" s="20">
        <f t="shared" si="75"/>
        <v>139.15854001453073</v>
      </c>
      <c r="Q112" s="21">
        <f>(N112-Geraetedaten!$B$161)/(Geraetedaten!$B$174-Geraetedaten!$B$161)*(Geraetedaten!$B$175-Geraetedaten!$B$162)+Geraetedaten!$B$162</f>
        <v>20.997925082975069</v>
      </c>
      <c r="R112" s="21">
        <f t="shared" si="76"/>
        <v>20.997925082975069</v>
      </c>
      <c r="S112" s="21">
        <f t="shared" si="77"/>
        <v>20.080415622204573</v>
      </c>
      <c r="T112" s="88">
        <f t="shared" si="78"/>
        <v>6.1391991521497351</v>
      </c>
      <c r="U112" s="86">
        <f t="shared" si="79"/>
        <v>-2957.5392700000002</v>
      </c>
      <c r="V112" s="85">
        <f t="shared" si="80"/>
        <v>-1141.3067828769733</v>
      </c>
      <c r="W112" s="85">
        <f t="shared" si="81"/>
        <v>-1192.8206528977569</v>
      </c>
      <c r="X112" s="90">
        <f t="shared" si="82"/>
        <v>1141.3067828769733</v>
      </c>
      <c r="Y112" s="86">
        <f t="shared" si="83"/>
        <v>-28686.16505</v>
      </c>
      <c r="Z112" s="85">
        <f t="shared" si="84"/>
        <v>-750</v>
      </c>
      <c r="AA112" s="85">
        <f t="shared" si="85"/>
        <v>-2565.2277148749513</v>
      </c>
      <c r="AB112" s="90">
        <f t="shared" si="86"/>
        <v>750</v>
      </c>
      <c r="AC112" s="86">
        <f t="shared" si="87"/>
        <v>2836.2123700000002</v>
      </c>
      <c r="AD112" s="85">
        <f t="shared" si="88"/>
        <v>1055.7627565116984</v>
      </c>
      <c r="AE112" s="85">
        <f t="shared" si="89"/>
        <v>1104.3466045189657</v>
      </c>
      <c r="AF112" s="90">
        <f t="shared" si="90"/>
        <v>1055.7627565116984</v>
      </c>
      <c r="AG112" s="86">
        <f t="shared" si="91"/>
        <v>30453.785749999999</v>
      </c>
      <c r="AH112" s="85">
        <f t="shared" si="92"/>
        <v>6128</v>
      </c>
      <c r="AI112" s="85">
        <f t="shared" si="93"/>
        <v>20959.620582338266</v>
      </c>
      <c r="AJ112" s="90">
        <f t="shared" si="94"/>
        <v>6128</v>
      </c>
      <c r="AL112" s="95">
        <f t="shared" si="95"/>
        <v>0</v>
      </c>
      <c r="AM112" s="95">
        <f t="shared" si="96"/>
        <v>0</v>
      </c>
      <c r="AN112" s="95">
        <f t="shared" si="97"/>
        <v>0</v>
      </c>
      <c r="AO112" s="95">
        <f t="shared" si="98"/>
        <v>0</v>
      </c>
      <c r="AP112"/>
      <c r="AQ112" s="95">
        <f t="shared" si="99"/>
        <v>0</v>
      </c>
      <c r="AR112" s="95">
        <f t="shared" si="100"/>
        <v>0</v>
      </c>
      <c r="AS112" s="95">
        <f>Geraetedaten!$B$94*ABS(SIN(RADIANS($A112)))</f>
        <v>147.27093241830747</v>
      </c>
      <c r="AT112" s="95">
        <f>Geraetedaten!$B$94*ABS(COS(RADIANS($A112)))</f>
        <v>45.025242527301465</v>
      </c>
      <c r="AU112" s="95">
        <f>((h_Aw_Sw+Geraetedaten!$B$18)/1000)*(AQ112*AS112+AR112*AT112)/100</f>
        <v>0</v>
      </c>
    </row>
    <row r="113" spans="1:47" ht="13.5" x14ac:dyDescent="0.25">
      <c r="A113" s="16">
        <v>74</v>
      </c>
      <c r="B113" s="16">
        <f t="shared" si="68"/>
        <v>376</v>
      </c>
      <c r="C113" s="19">
        <f t="shared" si="69"/>
        <v>69.340822172332622</v>
      </c>
      <c r="D113" s="17">
        <f t="shared" si="70"/>
        <v>-3011.7263521723326</v>
      </c>
      <c r="E113" s="17">
        <f t="shared" si="71"/>
        <v>-30497.085102172332</v>
      </c>
      <c r="F113" s="17">
        <f t="shared" si="72"/>
        <v>2752.1915078276675</v>
      </c>
      <c r="G113" s="17">
        <f t="shared" si="73"/>
        <v>32233.339007827668</v>
      </c>
      <c r="H113" s="17">
        <f t="shared" si="101"/>
        <v>2752.1915078276675</v>
      </c>
      <c r="I113" s="17">
        <f t="shared" si="74"/>
        <v>1098.6305839256495</v>
      </c>
      <c r="J113" s="20">
        <f>(Geraetedaten!$B$152+(Geraetedaten!$B$153*(Geraetedaten!$B$18+d_y_Sw)/1000))*10</f>
        <v>6051.0442000000003</v>
      </c>
      <c r="K113" s="20">
        <f>(Geraetedaten!$B$165+(Geraetedaten!$B$166*(Geraetedaten!$B$18+d_y_Sw)/1000))*10</f>
        <v>10816.164000000001</v>
      </c>
      <c r="L113" s="20">
        <f>(Geraetedaten!$B$158+(Geraetedaten!$B$159*(Geraetedaten!$B$18+d_y_Sw)/1000)-(Geraetedaten!$B$160*I113/1000))*10</f>
        <v>520.97401928073191</v>
      </c>
      <c r="M113" s="20">
        <f>(Geraetedaten!$B$171+(Geraetedaten!$B$172*(Geraetedaten!$B$18+d_y_Sw)/1000)-(Geraetedaten!$B$173*I113/1000))*10</f>
        <v>983.08493933257569</v>
      </c>
      <c r="N113" s="20">
        <f>IF((H113-J113)/(K113-J113)*(Geraetedaten!$B$174-Geraetedaten!$B$161)&lt;Geraetedaten!$B$174,(H113-J113)/(K113-J113)*(Geraetedaten!$B$174-Geraetedaten!$B$161),Geraetedaten!$B$174)</f>
        <v>-276.91666364168492</v>
      </c>
      <c r="O113" s="20">
        <f>N113/Geraetedaten!$B$174*(M113-L113)+L113+C113</f>
        <v>270.39930592019959</v>
      </c>
      <c r="P113" s="20">
        <f t="shared" si="75"/>
        <v>138.76807542145113</v>
      </c>
      <c r="Q113" s="21">
        <f>(N113-Geraetedaten!$B$161)/(Geraetedaten!$B$174-Geraetedaten!$B$161)*(Geraetedaten!$B$175-Geraetedaten!$B$162)+Geraetedaten!$B$162</f>
        <v>20.961729256659872</v>
      </c>
      <c r="R113" s="21">
        <f t="shared" si="76"/>
        <v>20.961729256659872</v>
      </c>
      <c r="S113" s="21">
        <f t="shared" si="77"/>
        <v>20.149707415056746</v>
      </c>
      <c r="T113" s="88">
        <f t="shared" si="78"/>
        <v>5.7778356256575583</v>
      </c>
      <c r="U113" s="86">
        <f t="shared" si="79"/>
        <v>-2942.38553</v>
      </c>
      <c r="V113" s="85">
        <f t="shared" si="80"/>
        <v>-1141.3067828769733</v>
      </c>
      <c r="W113" s="85">
        <f t="shared" si="81"/>
        <v>-1186.7089194353102</v>
      </c>
      <c r="X113" s="90">
        <f t="shared" si="82"/>
        <v>1141.3067828769733</v>
      </c>
      <c r="Y113" s="86">
        <f t="shared" si="83"/>
        <v>-30427.744279999999</v>
      </c>
      <c r="Z113" s="85">
        <f t="shared" si="84"/>
        <v>-750</v>
      </c>
      <c r="AA113" s="85">
        <f t="shared" si="85"/>
        <v>-2720.9664589074755</v>
      </c>
      <c r="AB113" s="90">
        <f t="shared" si="86"/>
        <v>750</v>
      </c>
      <c r="AC113" s="86">
        <f t="shared" si="87"/>
        <v>2821.53233</v>
      </c>
      <c r="AD113" s="85">
        <f t="shared" si="88"/>
        <v>1055.7627565116984</v>
      </c>
      <c r="AE113" s="85">
        <f t="shared" si="89"/>
        <v>1098.6305839256495</v>
      </c>
      <c r="AF113" s="90">
        <f t="shared" si="90"/>
        <v>1055.7627565116984</v>
      </c>
      <c r="AG113" s="86">
        <f t="shared" si="91"/>
        <v>32302.679830000001</v>
      </c>
      <c r="AH113" s="85">
        <f t="shared" si="92"/>
        <v>6128</v>
      </c>
      <c r="AI113" s="85">
        <f t="shared" si="93"/>
        <v>22232.109946913344</v>
      </c>
      <c r="AJ113" s="90">
        <f t="shared" si="94"/>
        <v>6128</v>
      </c>
      <c r="AL113" s="95">
        <f t="shared" si="95"/>
        <v>0</v>
      </c>
      <c r="AM113" s="95">
        <f t="shared" si="96"/>
        <v>0</v>
      </c>
      <c r="AN113" s="95">
        <f t="shared" si="97"/>
        <v>0</v>
      </c>
      <c r="AO113" s="95">
        <f t="shared" si="98"/>
        <v>0</v>
      </c>
      <c r="AP113"/>
      <c r="AQ113" s="95">
        <f t="shared" si="99"/>
        <v>0</v>
      </c>
      <c r="AR113" s="95">
        <f t="shared" si="100"/>
        <v>0</v>
      </c>
      <c r="AS113" s="95">
        <f>Geraetedaten!$B$94*ABS(SIN(RADIANS($A113)))</f>
        <v>148.03430117450111</v>
      </c>
      <c r="AT113" s="95">
        <f>Geraetedaten!$B$94*ABS(COS(RADIANS($A113)))</f>
        <v>42.448152795817869</v>
      </c>
      <c r="AU113" s="95">
        <f>((h_Aw_Sw+Geraetedaten!$B$18)/1000)*(AQ113*AS113+AR113*AT113)/100</f>
        <v>0</v>
      </c>
    </row>
    <row r="114" spans="1:47" ht="13.5" x14ac:dyDescent="0.25">
      <c r="A114" s="16">
        <v>75</v>
      </c>
      <c r="B114" s="16">
        <f t="shared" si="68"/>
        <v>375</v>
      </c>
      <c r="C114" s="19">
        <f t="shared" si="69"/>
        <v>69.133563534238306</v>
      </c>
      <c r="D114" s="17">
        <f t="shared" si="70"/>
        <v>-2997.4072935342383</v>
      </c>
      <c r="E114" s="17">
        <f t="shared" si="71"/>
        <v>-32474.101953534238</v>
      </c>
      <c r="F114" s="17">
        <f t="shared" si="72"/>
        <v>2738.7208164657618</v>
      </c>
      <c r="G114" s="17">
        <f t="shared" si="73"/>
        <v>34332.605506465763</v>
      </c>
      <c r="H114" s="17">
        <f t="shared" si="101"/>
        <v>2738.7208164657618</v>
      </c>
      <c r="I114" s="17">
        <f t="shared" si="74"/>
        <v>1093.3047464324291</v>
      </c>
      <c r="J114" s="20">
        <f>(Geraetedaten!$B$152+(Geraetedaten!$B$153*(Geraetedaten!$B$18+d_y_Sw)/1000))*10</f>
        <v>6051.0442000000003</v>
      </c>
      <c r="K114" s="20">
        <f>(Geraetedaten!$B$165+(Geraetedaten!$B$166*(Geraetedaten!$B$18+d_y_Sw)/1000))*10</f>
        <v>10816.164000000001</v>
      </c>
      <c r="L114" s="20">
        <f>(Geraetedaten!$B$158+(Geraetedaten!$B$159*(Geraetedaten!$B$18+d_y_Sw)/1000)-(Geraetedaten!$B$160*I114/1000))*10</f>
        <v>521.36456294410982</v>
      </c>
      <c r="M114" s="20">
        <f>(Geraetedaten!$B$171+(Geraetedaten!$B$172*(Geraetedaten!$B$18+d_y_Sw)/1000)-(Geraetedaten!$B$173*I114/1000))*10</f>
        <v>983.48139467557087</v>
      </c>
      <c r="N114" s="20">
        <f>IF((H114-J114)/(K114-J114)*(Geraetedaten!$B$174-Geraetedaten!$B$161)&lt;Geraetedaten!$B$174,(H114-J114)/(K114-J114)*(Geraetedaten!$B$174-Geraetedaten!$B$161),Geraetedaten!$B$174)</f>
        <v>-278.04743826455217</v>
      </c>
      <c r="O114" s="20">
        <f>N114/Geraetedaten!$B$174*(M114-L114)+L114+C114</f>
        <v>269.27212337368849</v>
      </c>
      <c r="P114" s="20">
        <f t="shared" si="75"/>
        <v>138.38687839752473</v>
      </c>
      <c r="Q114" s="21">
        <f>(N114-Geraetedaten!$B$161)/(Geraetedaten!$B$174-Geraetedaten!$B$161)*(Geraetedaten!$B$175-Geraetedaten!$B$162)+Geraetedaten!$B$162</f>
        <v>20.92808871162957</v>
      </c>
      <c r="R114" s="21">
        <f t="shared" si="76"/>
        <v>20.92808871162957</v>
      </c>
      <c r="S114" s="21">
        <f t="shared" si="77"/>
        <v>20.214981381431716</v>
      </c>
      <c r="T114" s="88">
        <f t="shared" si="78"/>
        <v>5.4165879361648086</v>
      </c>
      <c r="U114" s="86">
        <f t="shared" si="79"/>
        <v>-2928.2737299999999</v>
      </c>
      <c r="V114" s="85">
        <f t="shared" si="80"/>
        <v>-1141.3067828769733</v>
      </c>
      <c r="W114" s="85">
        <f t="shared" si="81"/>
        <v>-1181.0174123556362</v>
      </c>
      <c r="X114" s="90">
        <f t="shared" si="82"/>
        <v>1141.3067828769733</v>
      </c>
      <c r="Y114" s="86">
        <f t="shared" si="83"/>
        <v>-32404.968390000002</v>
      </c>
      <c r="Z114" s="85">
        <f t="shared" si="84"/>
        <v>-750</v>
      </c>
      <c r="AA114" s="85">
        <f t="shared" si="85"/>
        <v>-2897.777478867205</v>
      </c>
      <c r="AB114" s="90">
        <f t="shared" si="86"/>
        <v>750</v>
      </c>
      <c r="AC114" s="86">
        <f t="shared" si="87"/>
        <v>2807.8543800000002</v>
      </c>
      <c r="AD114" s="85">
        <f t="shared" si="88"/>
        <v>1055.7627565116984</v>
      </c>
      <c r="AE114" s="85">
        <f t="shared" si="89"/>
        <v>1093.3047464324291</v>
      </c>
      <c r="AF114" s="90">
        <f t="shared" si="90"/>
        <v>1055.7627565116984</v>
      </c>
      <c r="AG114" s="86">
        <f t="shared" si="91"/>
        <v>34401.739070000003</v>
      </c>
      <c r="AH114" s="85">
        <f t="shared" si="92"/>
        <v>6128</v>
      </c>
      <c r="AI114" s="85">
        <f t="shared" si="93"/>
        <v>23676.773853997645</v>
      </c>
      <c r="AJ114" s="90">
        <f t="shared" si="94"/>
        <v>6128</v>
      </c>
      <c r="AL114" s="95">
        <f t="shared" si="95"/>
        <v>0</v>
      </c>
      <c r="AM114" s="95">
        <f t="shared" si="96"/>
        <v>0</v>
      </c>
      <c r="AN114" s="95">
        <f t="shared" si="97"/>
        <v>0</v>
      </c>
      <c r="AO114" s="95">
        <f t="shared" si="98"/>
        <v>0</v>
      </c>
      <c r="AP114"/>
      <c r="AQ114" s="95">
        <f t="shared" si="99"/>
        <v>0</v>
      </c>
      <c r="AR114" s="95">
        <f t="shared" si="100"/>
        <v>0</v>
      </c>
      <c r="AS114" s="95">
        <f>Geraetedaten!$B$94*ABS(SIN(RADIANS($A114)))</f>
        <v>148.75257724851653</v>
      </c>
      <c r="AT114" s="95">
        <f>Geraetedaten!$B$94*ABS(COS(RADIANS($A114)))</f>
        <v>39.858132945788192</v>
      </c>
      <c r="AU114" s="95">
        <f>((h_Aw_Sw+Geraetedaten!$B$18)/1000)*(AQ114*AS114+AR114*AT114)/100</f>
        <v>0</v>
      </c>
    </row>
    <row r="115" spans="1:47" ht="13.5" x14ac:dyDescent="0.25">
      <c r="A115" s="16">
        <v>76</v>
      </c>
      <c r="B115" s="16">
        <f t="shared" si="68"/>
        <v>374</v>
      </c>
      <c r="C115" s="19">
        <f t="shared" si="69"/>
        <v>68.905246142979607</v>
      </c>
      <c r="D115" s="17">
        <f t="shared" si="70"/>
        <v>-2984.0856361429796</v>
      </c>
      <c r="E115" s="17">
        <f t="shared" si="71"/>
        <v>-34737.214026142981</v>
      </c>
      <c r="F115" s="17">
        <f t="shared" si="72"/>
        <v>2726.2504738570206</v>
      </c>
      <c r="G115" s="17">
        <f t="shared" si="73"/>
        <v>36735.63959385702</v>
      </c>
      <c r="H115" s="17">
        <f t="shared" si="101"/>
        <v>2726.2504738570206</v>
      </c>
      <c r="I115" s="17">
        <f t="shared" si="74"/>
        <v>1088.3602216970933</v>
      </c>
      <c r="J115" s="20">
        <f>(Geraetedaten!$B$152+(Geraetedaten!$B$153*(Geraetedaten!$B$18+d_y_Sw)/1000))*10</f>
        <v>6051.0442000000003</v>
      </c>
      <c r="K115" s="20">
        <f>(Geraetedaten!$B$165+(Geraetedaten!$B$166*(Geraetedaten!$B$18+d_y_Sw)/1000))*10</f>
        <v>10816.164000000001</v>
      </c>
      <c r="L115" s="20">
        <f>(Geraetedaten!$B$158+(Geraetedaten!$B$159*(Geraetedaten!$B$18+d_y_Sw)/1000)-(Geraetedaten!$B$160*I115/1000))*10</f>
        <v>521.7271449429519</v>
      </c>
      <c r="M115" s="20">
        <f>(Geraetedaten!$B$171+(Geraetedaten!$B$172*(Geraetedaten!$B$18+d_y_Sw)/1000)-(Geraetedaten!$B$173*I115/1000))*10</f>
        <v>983.84946509686927</v>
      </c>
      <c r="N115" s="20">
        <f>IF((H115-J115)/(K115-J115)*(Geraetedaten!$B$174-Geraetedaten!$B$161)&lt;Geraetedaten!$B$174,(H115-J115)/(K115-J115)*(Geraetedaten!$B$174-Geraetedaten!$B$161),Geraetedaten!$B$174)</f>
        <v>-279.09424028692661</v>
      </c>
      <c r="O115" s="20">
        <f>N115/Geraetedaten!$B$174*(M115-L115)+L115+C115</f>
        <v>268.1931964284579</v>
      </c>
      <c r="P115" s="20">
        <f t="shared" si="75"/>
        <v>138.01467620092166</v>
      </c>
      <c r="Q115" s="21">
        <f>(N115-Geraetedaten!$B$161)/(Geraetedaten!$B$174-Geraetedaten!$B$161)*(Geraetedaten!$B$175-Geraetedaten!$B$162)+Geraetedaten!$B$162</f>
        <v>20.896946351463932</v>
      </c>
      <c r="R115" s="21">
        <f t="shared" si="76"/>
        <v>20.896946351463932</v>
      </c>
      <c r="S115" s="21">
        <f t="shared" si="77"/>
        <v>20.276217737044231</v>
      </c>
      <c r="T115" s="88">
        <f t="shared" si="78"/>
        <v>5.0554288735907136</v>
      </c>
      <c r="U115" s="86">
        <f t="shared" si="79"/>
        <v>-2915.18039</v>
      </c>
      <c r="V115" s="85">
        <f t="shared" si="80"/>
        <v>-1141.3067828769733</v>
      </c>
      <c r="W115" s="85">
        <f t="shared" si="81"/>
        <v>-1175.7366694385612</v>
      </c>
      <c r="X115" s="90">
        <f t="shared" si="82"/>
        <v>1141.3067828769733</v>
      </c>
      <c r="Y115" s="86">
        <f t="shared" si="83"/>
        <v>-34668.308779999999</v>
      </c>
      <c r="Z115" s="85">
        <f t="shared" si="84"/>
        <v>-750</v>
      </c>
      <c r="AA115" s="85">
        <f t="shared" si="85"/>
        <v>-3100.1741208290618</v>
      </c>
      <c r="AB115" s="90">
        <f t="shared" si="86"/>
        <v>750</v>
      </c>
      <c r="AC115" s="86">
        <f t="shared" si="87"/>
        <v>2795.1557200000002</v>
      </c>
      <c r="AD115" s="85">
        <f t="shared" si="88"/>
        <v>1055.7627565116984</v>
      </c>
      <c r="AE115" s="85">
        <f t="shared" si="89"/>
        <v>1088.3602216970933</v>
      </c>
      <c r="AF115" s="90">
        <f t="shared" si="90"/>
        <v>1055.7627565116984</v>
      </c>
      <c r="AG115" s="86">
        <f t="shared" si="91"/>
        <v>36804.544840000002</v>
      </c>
      <c r="AH115" s="85">
        <f t="shared" si="92"/>
        <v>6128</v>
      </c>
      <c r="AI115" s="85">
        <f t="shared" si="93"/>
        <v>25330.489349920656</v>
      </c>
      <c r="AJ115" s="90">
        <f t="shared" si="94"/>
        <v>6128</v>
      </c>
      <c r="AL115" s="95">
        <f t="shared" si="95"/>
        <v>0</v>
      </c>
      <c r="AM115" s="95">
        <f t="shared" si="96"/>
        <v>0</v>
      </c>
      <c r="AN115" s="95">
        <f t="shared" si="97"/>
        <v>0</v>
      </c>
      <c r="AO115" s="95">
        <f t="shared" si="98"/>
        <v>0</v>
      </c>
      <c r="AP115"/>
      <c r="AQ115" s="95">
        <f t="shared" si="99"/>
        <v>0</v>
      </c>
      <c r="AR115" s="95">
        <f t="shared" si="100"/>
        <v>0</v>
      </c>
      <c r="AS115" s="95">
        <f>Geraetedaten!$B$94*ABS(SIN(RADIANS($A115)))</f>
        <v>149.42554184650345</v>
      </c>
      <c r="AT115" s="95">
        <f>Geraetedaten!$B$94*ABS(COS(RADIANS($A115)))</f>
        <v>37.25597192234882</v>
      </c>
      <c r="AU115" s="95">
        <f>((h_Aw_Sw+Geraetedaten!$B$18)/1000)*(AQ115*AS115+AR115*AT115)/100</f>
        <v>0</v>
      </c>
    </row>
    <row r="116" spans="1:47" ht="13.5" x14ac:dyDescent="0.25">
      <c r="A116" s="16">
        <v>77</v>
      </c>
      <c r="B116" s="16">
        <f t="shared" si="68"/>
        <v>373</v>
      </c>
      <c r="C116" s="19">
        <f t="shared" si="69"/>
        <v>68.655939546245634</v>
      </c>
      <c r="D116" s="17">
        <f t="shared" si="70"/>
        <v>-2971.7399295462455</v>
      </c>
      <c r="E116" s="17">
        <f t="shared" si="71"/>
        <v>-37352.424179546244</v>
      </c>
      <c r="F116" s="17">
        <f t="shared" si="72"/>
        <v>2714.7595004537548</v>
      </c>
      <c r="G116" s="17">
        <f t="shared" si="73"/>
        <v>39512.511090453751</v>
      </c>
      <c r="H116" s="17">
        <f t="shared" si="101"/>
        <v>2714.7595004537548</v>
      </c>
      <c r="I116" s="17">
        <f t="shared" si="74"/>
        <v>1083.7888655903971</v>
      </c>
      <c r="J116" s="20">
        <f>(Geraetedaten!$B$152+(Geraetedaten!$B$153*(Geraetedaten!$B$18+d_y_Sw)/1000))*10</f>
        <v>6051.0442000000003</v>
      </c>
      <c r="K116" s="20">
        <f>(Geraetedaten!$B$165+(Geraetedaten!$B$166*(Geraetedaten!$B$18+d_y_Sw)/1000))*10</f>
        <v>10816.164000000001</v>
      </c>
      <c r="L116" s="20">
        <f>(Geraetedaten!$B$158+(Geraetedaten!$B$159*(Geraetedaten!$B$18+d_y_Sw)/1000)-(Geraetedaten!$B$160*I116/1000))*10</f>
        <v>522.06236248625589</v>
      </c>
      <c r="M116" s="20">
        <f>(Geraetedaten!$B$171+(Geraetedaten!$B$172*(Geraetedaten!$B$18+d_y_Sw)/1000)-(Geraetedaten!$B$173*I116/1000))*10</f>
        <v>984.18975684545171</v>
      </c>
      <c r="N116" s="20">
        <f>IF((H116-J116)/(K116-J116)*(Geraetedaten!$B$174-Geraetedaten!$B$161)&lt;Geraetedaten!$B$174,(H116-J116)/(K116-J116)*(Geraetedaten!$B$174-Geraetedaten!$B$161),Geraetedaten!$B$174)</f>
        <v>-280.05883080179814</v>
      </c>
      <c r="O116" s="20">
        <f>N116/Geraetedaten!$B$174*(M116-L116)+L116+C116</f>
        <v>267.1611576682069</v>
      </c>
      <c r="P116" s="20">
        <f t="shared" si="75"/>
        <v>137.65122735423935</v>
      </c>
      <c r="Q116" s="21">
        <f>(N116-Geraetedaten!$B$161)/(Geraetedaten!$B$174-Geraetedaten!$B$161)*(Geraetedaten!$B$175-Geraetedaten!$B$162)+Geraetedaten!$B$162</f>
        <v>20.868249783646505</v>
      </c>
      <c r="R116" s="21">
        <f t="shared" si="76"/>
        <v>20.868249783646505</v>
      </c>
      <c r="S116" s="21">
        <f t="shared" si="77"/>
        <v>20.333397893646115</v>
      </c>
      <c r="T116" s="88">
        <f t="shared" si="78"/>
        <v>4.6943347911424125</v>
      </c>
      <c r="U116" s="86">
        <f t="shared" si="79"/>
        <v>-2903.0839900000001</v>
      </c>
      <c r="V116" s="85">
        <f t="shared" si="80"/>
        <v>-1141.3067828769733</v>
      </c>
      <c r="W116" s="85">
        <f t="shared" si="81"/>
        <v>-1170.8580074740469</v>
      </c>
      <c r="X116" s="90">
        <f t="shared" si="82"/>
        <v>1141.3067828769733</v>
      </c>
      <c r="Y116" s="86">
        <f t="shared" si="83"/>
        <v>-37283.768239999998</v>
      </c>
      <c r="Z116" s="85">
        <f t="shared" si="84"/>
        <v>-750</v>
      </c>
      <c r="AA116" s="85">
        <f t="shared" si="85"/>
        <v>-3334.0586119393506</v>
      </c>
      <c r="AB116" s="90">
        <f t="shared" si="86"/>
        <v>750</v>
      </c>
      <c r="AC116" s="86">
        <f t="shared" si="87"/>
        <v>2783.4154400000002</v>
      </c>
      <c r="AD116" s="85">
        <f t="shared" si="88"/>
        <v>1055.7627565116984</v>
      </c>
      <c r="AE116" s="85">
        <f t="shared" si="89"/>
        <v>1083.7888655903971</v>
      </c>
      <c r="AF116" s="90">
        <f t="shared" si="90"/>
        <v>1055.7627565116984</v>
      </c>
      <c r="AG116" s="86">
        <f t="shared" si="91"/>
        <v>39581.167029999997</v>
      </c>
      <c r="AH116" s="85">
        <f t="shared" si="92"/>
        <v>6128</v>
      </c>
      <c r="AI116" s="85">
        <f t="shared" si="93"/>
        <v>27241.481565285787</v>
      </c>
      <c r="AJ116" s="90">
        <f t="shared" si="94"/>
        <v>6128</v>
      </c>
      <c r="AL116" s="95">
        <f t="shared" si="95"/>
        <v>0</v>
      </c>
      <c r="AM116" s="95">
        <f t="shared" si="96"/>
        <v>0</v>
      </c>
      <c r="AN116" s="95">
        <f t="shared" si="97"/>
        <v>0</v>
      </c>
      <c r="AO116" s="95">
        <f t="shared" si="98"/>
        <v>0</v>
      </c>
      <c r="AP116"/>
      <c r="AQ116" s="95">
        <f t="shared" si="99"/>
        <v>0</v>
      </c>
      <c r="AR116" s="95">
        <f t="shared" si="100"/>
        <v>0</v>
      </c>
      <c r="AS116" s="95">
        <f>Geraetedaten!$B$94*ABS(SIN(RADIANS($A116)))</f>
        <v>150.05298997692623</v>
      </c>
      <c r="AT116" s="95">
        <f>Geraetedaten!$B$94*ABS(COS(RADIANS($A116)))</f>
        <v>34.642462368955201</v>
      </c>
      <c r="AU116" s="95">
        <f>((h_Aw_Sw+Geraetedaten!$B$18)/1000)*(AQ116*AS116+AR116*AT116)/100</f>
        <v>0</v>
      </c>
    </row>
    <row r="117" spans="1:47" ht="13.5" x14ac:dyDescent="0.25">
      <c r="A117" s="16">
        <v>78</v>
      </c>
      <c r="B117" s="16">
        <f t="shared" si="68"/>
        <v>372</v>
      </c>
      <c r="C117" s="19">
        <f t="shared" si="69"/>
        <v>68.385719685240858</v>
      </c>
      <c r="D117" s="17">
        <f t="shared" si="70"/>
        <v>-2960.350559685241</v>
      </c>
      <c r="E117" s="17">
        <f t="shared" si="71"/>
        <v>-40407.738179685242</v>
      </c>
      <c r="F117" s="17">
        <f t="shared" si="72"/>
        <v>2704.228680314759</v>
      </c>
      <c r="G117" s="17">
        <f t="shared" si="73"/>
        <v>42756.64841031476</v>
      </c>
      <c r="H117" s="17">
        <f t="shared" si="101"/>
        <v>2704.228680314759</v>
      </c>
      <c r="I117" s="17">
        <f t="shared" si="74"/>
        <v>1079.5832263341943</v>
      </c>
      <c r="J117" s="20">
        <f>(Geraetedaten!$B$152+(Geraetedaten!$B$153*(Geraetedaten!$B$18+d_y_Sw)/1000))*10</f>
        <v>6051.0442000000003</v>
      </c>
      <c r="K117" s="20">
        <f>(Geraetedaten!$B$165+(Geraetedaten!$B$166*(Geraetedaten!$B$18+d_y_Sw)/1000))*10</f>
        <v>10816.164000000001</v>
      </c>
      <c r="L117" s="20">
        <f>(Geraetedaten!$B$158+(Geraetedaten!$B$159*(Geraetedaten!$B$18+d_y_Sw)/1000)-(Geraetedaten!$B$160*I117/1000))*10</f>
        <v>522.37076201291325</v>
      </c>
      <c r="M117" s="20">
        <f>(Geraetedaten!$B$171+(Geraetedaten!$B$172*(Geraetedaten!$B$18+d_y_Sw)/1000)-(Geraetedaten!$B$173*I117/1000))*10</f>
        <v>984.50282463168355</v>
      </c>
      <c r="N117" s="20">
        <f>IF((H117-J117)/(K117-J117)*(Geraetedaten!$B$174-Geraetedaten!$B$161)&lt;Geraetedaten!$B$174,(H117-J117)/(K117-J117)*(Geraetedaten!$B$174-Geraetedaten!$B$161),Geraetedaten!$B$174)</f>
        <v>-280.94282285916432</v>
      </c>
      <c r="O117" s="20">
        <f>N117/Geraetedaten!$B$174*(M117-L117)+L117+C117</f>
        <v>266.17476618354056</v>
      </c>
      <c r="P117" s="20">
        <f t="shared" si="75"/>
        <v>137.29631981251504</v>
      </c>
      <c r="Q117" s="21">
        <f>(N117-Geraetedaten!$B$161)/(Geraetedaten!$B$174-Geraetedaten!$B$161)*(Geraetedaten!$B$175-Geraetedaten!$B$162)+Geraetedaten!$B$162</f>
        <v>20.841951019939859</v>
      </c>
      <c r="R117" s="21">
        <f t="shared" si="76"/>
        <v>20.841951019939859</v>
      </c>
      <c r="S117" s="21">
        <f t="shared" si="77"/>
        <v>20.386504384765665</v>
      </c>
      <c r="T117" s="88">
        <f t="shared" si="78"/>
        <v>4.3332852764966221</v>
      </c>
      <c r="U117" s="86">
        <f t="shared" si="79"/>
        <v>-2891.9648400000001</v>
      </c>
      <c r="V117" s="85">
        <f t="shared" si="80"/>
        <v>-1141.3067828769733</v>
      </c>
      <c r="W117" s="85">
        <f t="shared" si="81"/>
        <v>-1166.3734862443414</v>
      </c>
      <c r="X117" s="90">
        <f t="shared" si="82"/>
        <v>1141.3067828769733</v>
      </c>
      <c r="Y117" s="86">
        <f t="shared" si="83"/>
        <v>-40339.352460000002</v>
      </c>
      <c r="Z117" s="85">
        <f t="shared" si="84"/>
        <v>-750</v>
      </c>
      <c r="AA117" s="85">
        <f t="shared" si="85"/>
        <v>-3607.3007585580981</v>
      </c>
      <c r="AB117" s="90">
        <f t="shared" si="86"/>
        <v>750</v>
      </c>
      <c r="AC117" s="86">
        <f t="shared" si="87"/>
        <v>2772.6143999999999</v>
      </c>
      <c r="AD117" s="85">
        <f t="shared" si="88"/>
        <v>1055.7627565116984</v>
      </c>
      <c r="AE117" s="85">
        <f t="shared" si="89"/>
        <v>1079.5832263341943</v>
      </c>
      <c r="AF117" s="90">
        <f t="shared" si="90"/>
        <v>1055.7627565116984</v>
      </c>
      <c r="AG117" s="86">
        <f t="shared" si="91"/>
        <v>42825.03413</v>
      </c>
      <c r="AH117" s="85">
        <f t="shared" si="92"/>
        <v>6128</v>
      </c>
      <c r="AI117" s="85">
        <f t="shared" si="93"/>
        <v>29474.052064592033</v>
      </c>
      <c r="AJ117" s="90">
        <f t="shared" si="94"/>
        <v>6128</v>
      </c>
      <c r="AL117" s="95">
        <f t="shared" si="95"/>
        <v>0</v>
      </c>
      <c r="AM117" s="95">
        <f t="shared" si="96"/>
        <v>0</v>
      </c>
      <c r="AN117" s="95">
        <f t="shared" si="97"/>
        <v>0</v>
      </c>
      <c r="AO117" s="95">
        <f t="shared" si="98"/>
        <v>0</v>
      </c>
      <c r="AP117"/>
      <c r="AQ117" s="95">
        <f t="shared" si="99"/>
        <v>0</v>
      </c>
      <c r="AR117" s="95">
        <f t="shared" si="100"/>
        <v>0</v>
      </c>
      <c r="AS117" s="95">
        <f>Geraetedaten!$B$94*ABS(SIN(RADIANS($A117)))</f>
        <v>150.63473051300605</v>
      </c>
      <c r="AT117" s="95">
        <f>Geraetedaten!$B$94*ABS(COS(RADIANS($A117)))</f>
        <v>32.018400385934953</v>
      </c>
      <c r="AU117" s="95">
        <f>((h_Aw_Sw+Geraetedaten!$B$18)/1000)*(AQ117*AS117+AR117*AT117)/100</f>
        <v>0</v>
      </c>
    </row>
    <row r="118" spans="1:47" ht="13.5" x14ac:dyDescent="0.25">
      <c r="A118" s="16">
        <v>79</v>
      </c>
      <c r="B118" s="16">
        <f t="shared" si="68"/>
        <v>371</v>
      </c>
      <c r="C118" s="19">
        <f t="shared" si="69"/>
        <v>68.094668871552628</v>
      </c>
      <c r="D118" s="17">
        <f t="shared" si="70"/>
        <v>-2949.8996888715524</v>
      </c>
      <c r="E118" s="17">
        <f t="shared" si="71"/>
        <v>-44023.165868871554</v>
      </c>
      <c r="F118" s="17">
        <f t="shared" si="72"/>
        <v>2694.6405011284473</v>
      </c>
      <c r="G118" s="17">
        <f t="shared" si="73"/>
        <v>46595.456161128444</v>
      </c>
      <c r="H118" s="17">
        <f t="shared" si="101"/>
        <v>2694.6405011284473</v>
      </c>
      <c r="I118" s="17">
        <f t="shared" si="74"/>
        <v>1075.7365139659835</v>
      </c>
      <c r="J118" s="20">
        <f>(Geraetedaten!$B$152+(Geraetedaten!$B$153*(Geraetedaten!$B$18+d_y_Sw)/1000))*10</f>
        <v>6051.0442000000003</v>
      </c>
      <c r="K118" s="20">
        <f>(Geraetedaten!$B$165+(Geraetedaten!$B$166*(Geraetedaten!$B$18+d_y_Sw)/1000))*10</f>
        <v>10816.164000000001</v>
      </c>
      <c r="L118" s="20">
        <f>(Geraetedaten!$B$158+(Geraetedaten!$B$159*(Geraetedaten!$B$18+d_y_Sw)/1000)-(Geraetedaten!$B$160*I118/1000))*10</f>
        <v>522.65284143087422</v>
      </c>
      <c r="M118" s="20">
        <f>(Geraetedaten!$B$171+(Geraetedaten!$B$172*(Geraetedaten!$B$18+d_y_Sw)/1000)-(Geraetedaten!$B$173*I118/1000))*10</f>
        <v>984.78917390037304</v>
      </c>
      <c r="N118" s="20">
        <f>IF((H118-J118)/(K118-J118)*(Geraetedaten!$B$174-Geraetedaten!$B$161)&lt;Geraetedaten!$B$174,(H118-J118)/(K118-J118)*(Geraetedaten!$B$174-Geraetedaten!$B$161),Geraetedaten!$B$174)</f>
        <v>-281.74768650068802</v>
      </c>
      <c r="O118" s="20">
        <f>N118/Geraetedaten!$B$174*(M118-L118)+L118+C118</f>
        <v>265.23290399944165</v>
      </c>
      <c r="P118" s="20">
        <f t="shared" si="75"/>
        <v>136.94977086578908</v>
      </c>
      <c r="Q118" s="21">
        <f>(N118-Geraetedaten!$B$161)/(Geraetedaten!$B$174-Geraetedaten!$B$161)*(Geraetedaten!$B$175-Geraetedaten!$B$162)+Geraetedaten!$B$162</f>
        <v>20.818006326604532</v>
      </c>
      <c r="R118" s="21">
        <f t="shared" si="76"/>
        <v>20.818006326604532</v>
      </c>
      <c r="S118" s="21">
        <f t="shared" si="77"/>
        <v>20.435520915380458</v>
      </c>
      <c r="T118" s="88">
        <f t="shared" si="78"/>
        <v>3.9722628729219669</v>
      </c>
      <c r="U118" s="86">
        <f t="shared" si="79"/>
        <v>-2881.8050199999998</v>
      </c>
      <c r="V118" s="85">
        <f t="shared" si="80"/>
        <v>-1141.3067828769733</v>
      </c>
      <c r="W118" s="85">
        <f t="shared" si="81"/>
        <v>-1162.2758760589902</v>
      </c>
      <c r="X118" s="90">
        <f t="shared" si="82"/>
        <v>1141.3067828769733</v>
      </c>
      <c r="Y118" s="86">
        <f t="shared" si="83"/>
        <v>-43955.071199999998</v>
      </c>
      <c r="Z118" s="85">
        <f t="shared" si="84"/>
        <v>-750</v>
      </c>
      <c r="AA118" s="85">
        <f t="shared" si="85"/>
        <v>-3930.6322981258868</v>
      </c>
      <c r="AB118" s="90">
        <f t="shared" si="86"/>
        <v>750</v>
      </c>
      <c r="AC118" s="86">
        <f t="shared" si="87"/>
        <v>2762.7351699999999</v>
      </c>
      <c r="AD118" s="85">
        <f t="shared" si="88"/>
        <v>1055.7627565116984</v>
      </c>
      <c r="AE118" s="85">
        <f t="shared" si="89"/>
        <v>1075.7365139659835</v>
      </c>
      <c r="AF118" s="90">
        <f t="shared" si="90"/>
        <v>1055.7627565116984</v>
      </c>
      <c r="AG118" s="86">
        <f t="shared" si="91"/>
        <v>46663.55083</v>
      </c>
      <c r="AH118" s="85">
        <f t="shared" si="92"/>
        <v>6128</v>
      </c>
      <c r="AI118" s="85">
        <f t="shared" si="93"/>
        <v>32115.886297220579</v>
      </c>
      <c r="AJ118" s="90">
        <f t="shared" si="94"/>
        <v>6128</v>
      </c>
      <c r="AL118" s="95">
        <f t="shared" si="95"/>
        <v>0</v>
      </c>
      <c r="AM118" s="95">
        <f t="shared" si="96"/>
        <v>0</v>
      </c>
      <c r="AN118" s="95">
        <f t="shared" si="97"/>
        <v>0</v>
      </c>
      <c r="AO118" s="95">
        <f t="shared" si="98"/>
        <v>0</v>
      </c>
      <c r="AP118"/>
      <c r="AQ118" s="95">
        <f t="shared" si="99"/>
        <v>0</v>
      </c>
      <c r="AR118" s="95">
        <f t="shared" si="100"/>
        <v>0</v>
      </c>
      <c r="AS118" s="95">
        <f>Geraetedaten!$B$94*ABS(SIN(RADIANS($A118)))</f>
        <v>151.17058625094026</v>
      </c>
      <c r="AT118" s="95">
        <f>Geraetedaten!$B$94*ABS(COS(RADIANS($A118)))</f>
        <v>29.384585287987917</v>
      </c>
      <c r="AU118" s="95">
        <f>((h_Aw_Sw+Geraetedaten!$B$18)/1000)*(AQ118*AS118+AR118*AT118)/100</f>
        <v>0</v>
      </c>
    </row>
    <row r="119" spans="1:47" ht="13.5" x14ac:dyDescent="0.25">
      <c r="A119" s="16">
        <v>80</v>
      </c>
      <c r="B119" s="16">
        <f t="shared" si="68"/>
        <v>370</v>
      </c>
      <c r="C119" s="19">
        <f t="shared" si="69"/>
        <v>67.782875762078234</v>
      </c>
      <c r="D119" s="17">
        <f t="shared" si="70"/>
        <v>-2940.3711657620784</v>
      </c>
      <c r="E119" s="17">
        <f t="shared" si="71"/>
        <v>-48366.723235762081</v>
      </c>
      <c r="F119" s="17">
        <f t="shared" si="72"/>
        <v>2685.9790642379216</v>
      </c>
      <c r="G119" s="17">
        <f t="shared" si="73"/>
        <v>51207.303194237917</v>
      </c>
      <c r="H119" s="17">
        <f t="shared" si="101"/>
        <v>2685.9790642379216</v>
      </c>
      <c r="I119" s="17">
        <f t="shared" si="74"/>
        <v>1072.2425728905303</v>
      </c>
      <c r="J119" s="20">
        <f>(Geraetedaten!$B$152+(Geraetedaten!$B$153*(Geraetedaten!$B$18+d_y_Sw)/1000))*10</f>
        <v>6051.0442000000003</v>
      </c>
      <c r="K119" s="20">
        <f>(Geraetedaten!$B$165+(Geraetedaten!$B$166*(Geraetedaten!$B$18+d_y_Sw)/1000))*10</f>
        <v>10816.164000000001</v>
      </c>
      <c r="L119" s="20">
        <f>(Geraetedaten!$B$158+(Geraetedaten!$B$159*(Geraetedaten!$B$18+d_y_Sw)/1000)-(Geraetedaten!$B$160*I119/1000))*10</f>
        <v>522.90905212993721</v>
      </c>
      <c r="M119" s="20">
        <f>(Geraetedaten!$B$171+(Geraetedaten!$B$172*(Geraetedaten!$B$18+d_y_Sw)/1000)-(Geraetedaten!$B$173*I119/1000))*10</f>
        <v>985.04926287402998</v>
      </c>
      <c r="N119" s="20">
        <f>IF((H119-J119)/(K119-J119)*(Geraetedaten!$B$174-Geraetedaten!$B$161)&lt;Geraetedaten!$B$174,(H119-J119)/(K119-J119)*(Geraetedaten!$B$174-Geraetedaten!$B$161),Geraetedaten!$B$174)</f>
        <v>-282.47475631249216</v>
      </c>
      <c r="O119" s="20">
        <f>N119/Geraetedaten!$B$174*(M119-L119)+L119+C119</f>
        <v>264.33456936166198</v>
      </c>
      <c r="P119" s="20">
        <f t="shared" si="75"/>
        <v>136.6114258683381</v>
      </c>
      <c r="Q119" s="21">
        <f>(N119-Geraetedaten!$B$161)/(Geraetedaten!$B$174-Geraetedaten!$B$161)*(Geraetedaten!$B$175-Geraetedaten!$B$162)+Geraetedaten!$B$162</f>
        <v>20.796375999703358</v>
      </c>
      <c r="R119" s="21">
        <f t="shared" si="76"/>
        <v>20.796375999703358</v>
      </c>
      <c r="S119" s="21">
        <f t="shared" si="77"/>
        <v>20.480432319064874</v>
      </c>
      <c r="T119" s="88">
        <f t="shared" si="78"/>
        <v>3.6112527944247761</v>
      </c>
      <c r="U119" s="86">
        <f t="shared" si="79"/>
        <v>-2872.5882900000001</v>
      </c>
      <c r="V119" s="85">
        <f t="shared" si="80"/>
        <v>-1141.3067828769733</v>
      </c>
      <c r="W119" s="85">
        <f t="shared" si="81"/>
        <v>-1158.5586285889376</v>
      </c>
      <c r="X119" s="90">
        <f t="shared" si="82"/>
        <v>1141.3067828769733</v>
      </c>
      <c r="Y119" s="86">
        <f t="shared" si="83"/>
        <v>-48298.940360000001</v>
      </c>
      <c r="Z119" s="85">
        <f t="shared" si="84"/>
        <v>-750</v>
      </c>
      <c r="AA119" s="85">
        <f t="shared" si="85"/>
        <v>-4319.0778623577253</v>
      </c>
      <c r="AB119" s="90">
        <f t="shared" si="86"/>
        <v>750</v>
      </c>
      <c r="AC119" s="86">
        <f t="shared" si="87"/>
        <v>2753.7619399999999</v>
      </c>
      <c r="AD119" s="85">
        <f t="shared" si="88"/>
        <v>1055.7627565116984</v>
      </c>
      <c r="AE119" s="85">
        <f t="shared" si="89"/>
        <v>1072.2425728905303</v>
      </c>
      <c r="AF119" s="90">
        <f t="shared" si="90"/>
        <v>1055.7627565116984</v>
      </c>
      <c r="AG119" s="86">
        <f t="shared" si="91"/>
        <v>51275.086069999998</v>
      </c>
      <c r="AH119" s="85">
        <f t="shared" si="92"/>
        <v>6128</v>
      </c>
      <c r="AI119" s="85">
        <f t="shared" si="93"/>
        <v>35289.745520704193</v>
      </c>
      <c r="AJ119" s="90">
        <f t="shared" si="94"/>
        <v>6128</v>
      </c>
      <c r="AL119" s="95">
        <f t="shared" si="95"/>
        <v>0</v>
      </c>
      <c r="AM119" s="95">
        <f t="shared" si="96"/>
        <v>0</v>
      </c>
      <c r="AN119" s="95">
        <f t="shared" si="97"/>
        <v>0</v>
      </c>
      <c r="AO119" s="95">
        <f t="shared" si="98"/>
        <v>0</v>
      </c>
      <c r="AP119"/>
      <c r="AQ119" s="95">
        <f t="shared" si="99"/>
        <v>0</v>
      </c>
      <c r="AR119" s="95">
        <f t="shared" si="100"/>
        <v>0</v>
      </c>
      <c r="AS119" s="95">
        <f>Geraetedaten!$B$94*ABS(SIN(RADIANS($A119)))</f>
        <v>151.66039396388004</v>
      </c>
      <c r="AT119" s="95">
        <f>Geraetedaten!$B$94*ABS(COS(RADIANS($A119)))</f>
        <v>26.741819360707282</v>
      </c>
      <c r="AU119" s="95">
        <f>((h_Aw_Sw+Geraetedaten!$B$18)/1000)*(AQ119*AS119+AR119*AT119)/100</f>
        <v>0</v>
      </c>
    </row>
    <row r="120" spans="1:47" ht="13.5" x14ac:dyDescent="0.25">
      <c r="A120" s="16">
        <v>81</v>
      </c>
      <c r="B120" s="16">
        <f t="shared" si="68"/>
        <v>369</v>
      </c>
      <c r="C120" s="19">
        <f t="shared" si="69"/>
        <v>67.450435332019268</v>
      </c>
      <c r="D120" s="17">
        <f t="shared" si="70"/>
        <v>-2931.7504753320195</v>
      </c>
      <c r="E120" s="17">
        <f t="shared" si="71"/>
        <v>-53681.10248533202</v>
      </c>
      <c r="F120" s="17">
        <f t="shared" si="72"/>
        <v>2678.2300246679806</v>
      </c>
      <c r="G120" s="17">
        <f t="shared" si="73"/>
        <v>56849.835994667978</v>
      </c>
      <c r="H120" s="17">
        <f t="shared" si="101"/>
        <v>2678.2300246679806</v>
      </c>
      <c r="I120" s="17">
        <f t="shared" si="74"/>
        <v>1069.0958573070232</v>
      </c>
      <c r="J120" s="20">
        <f>(Geraetedaten!$B$152+(Geraetedaten!$B$153*(Geraetedaten!$B$18+d_y_Sw)/1000))*10</f>
        <v>6051.0442000000003</v>
      </c>
      <c r="K120" s="20">
        <f>(Geraetedaten!$B$165+(Geraetedaten!$B$166*(Geraetedaten!$B$18+d_y_Sw)/1000))*10</f>
        <v>10816.164000000001</v>
      </c>
      <c r="L120" s="20">
        <f>(Geraetedaten!$B$158+(Geraetedaten!$B$159*(Geraetedaten!$B$18+d_y_Sw)/1000)-(Geraetedaten!$B$160*I120/1000))*10</f>
        <v>523.13980078367581</v>
      </c>
      <c r="M120" s="20">
        <f>(Geraetedaten!$B$171+(Geraetedaten!$B$172*(Geraetedaten!$B$18+d_y_Sw)/1000)-(Geraetedaten!$B$173*I120/1000))*10</f>
        <v>985.28350438206621</v>
      </c>
      <c r="N120" s="20">
        <f>IF((H120-J120)/(K120-J120)*(Geraetedaten!$B$174-Geraetedaten!$B$161)&lt;Geraetedaten!$B$174,(H120-J120)/(K120-J120)*(Geraetedaten!$B$174-Geraetedaten!$B$161),Geraetedaten!$B$174)</f>
        <v>-283.1252364594921</v>
      </c>
      <c r="O120" s="20">
        <f>N120/Geraetedaten!$B$174*(M120-L120)+L120+C120</f>
        <v>263.47887271679576</v>
      </c>
      <c r="P120" s="20">
        <f t="shared" si="75"/>
        <v>136.28115776338291</v>
      </c>
      <c r="Q120" s="21">
        <f>(N120-Geraetedaten!$B$161)/(Geraetedaten!$B$174-Geraetedaten!$B$161)*(Geraetedaten!$B$175-Geraetedaten!$B$162)+Geraetedaten!$B$162</f>
        <v>20.777024215330108</v>
      </c>
      <c r="R120" s="21">
        <f t="shared" si="76"/>
        <v>20.777024215330108</v>
      </c>
      <c r="S120" s="21">
        <f t="shared" si="77"/>
        <v>20.52122456974439</v>
      </c>
      <c r="T120" s="88">
        <f t="shared" si="78"/>
        <v>3.2502426682530894</v>
      </c>
      <c r="U120" s="86">
        <f t="shared" si="79"/>
        <v>-2864.3000400000001</v>
      </c>
      <c r="V120" s="85">
        <f t="shared" si="80"/>
        <v>-1141.3067828769733</v>
      </c>
      <c r="W120" s="85">
        <f t="shared" si="81"/>
        <v>-1155.2158507755175</v>
      </c>
      <c r="X120" s="90">
        <f t="shared" si="82"/>
        <v>1141.3067828769733</v>
      </c>
      <c r="Y120" s="86">
        <f t="shared" si="83"/>
        <v>-53613.652049999997</v>
      </c>
      <c r="Z120" s="85">
        <f t="shared" si="84"/>
        <v>-750</v>
      </c>
      <c r="AA120" s="85">
        <f t="shared" si="85"/>
        <v>-4794.3399161247462</v>
      </c>
      <c r="AB120" s="90">
        <f t="shared" si="86"/>
        <v>750</v>
      </c>
      <c r="AC120" s="86">
        <f t="shared" si="87"/>
        <v>2745.68046</v>
      </c>
      <c r="AD120" s="85">
        <f t="shared" si="88"/>
        <v>1055.7627565116984</v>
      </c>
      <c r="AE120" s="85">
        <f t="shared" si="89"/>
        <v>1069.0958573070232</v>
      </c>
      <c r="AF120" s="90">
        <f t="shared" si="90"/>
        <v>1055.7627565116984</v>
      </c>
      <c r="AG120" s="86">
        <f t="shared" si="91"/>
        <v>56917.28643</v>
      </c>
      <c r="AH120" s="85">
        <f t="shared" si="92"/>
        <v>6128</v>
      </c>
      <c r="AI120" s="85">
        <f t="shared" si="93"/>
        <v>39172.953341349923</v>
      </c>
      <c r="AJ120" s="90">
        <f t="shared" si="94"/>
        <v>6128</v>
      </c>
      <c r="AL120" s="95">
        <f t="shared" si="95"/>
        <v>0</v>
      </c>
      <c r="AM120" s="95">
        <f t="shared" si="96"/>
        <v>0</v>
      </c>
      <c r="AN120" s="95">
        <f t="shared" si="97"/>
        <v>0</v>
      </c>
      <c r="AO120" s="95">
        <f t="shared" si="98"/>
        <v>0</v>
      </c>
      <c r="AP120"/>
      <c r="AQ120" s="95">
        <f t="shared" si="99"/>
        <v>0</v>
      </c>
      <c r="AR120" s="95">
        <f t="shared" si="100"/>
        <v>0</v>
      </c>
      <c r="AS120" s="95">
        <f>Geraetedaten!$B$94*ABS(SIN(RADIANS($A120)))</f>
        <v>152.10400445165121</v>
      </c>
      <c r="AT120" s="95">
        <f>Geraetedaten!$B$94*ABS(COS(RADIANS($A120)))</f>
        <v>24.090907616195562</v>
      </c>
      <c r="AU120" s="95">
        <f>((h_Aw_Sw+Geraetedaten!$B$18)/1000)*(AQ120*AS120+AR120*AT120)/100</f>
        <v>0</v>
      </c>
    </row>
    <row r="121" spans="1:47" ht="13.5" x14ac:dyDescent="0.25">
      <c r="A121" s="16">
        <v>82</v>
      </c>
      <c r="B121" s="16">
        <f t="shared" si="68"/>
        <v>368</v>
      </c>
      <c r="C121" s="19">
        <f t="shared" si="69"/>
        <v>67.097448845951106</v>
      </c>
      <c r="D121" s="17">
        <f t="shared" si="70"/>
        <v>-2924.0246788459508</v>
      </c>
      <c r="E121" s="17">
        <f t="shared" si="71"/>
        <v>-60330.344578845958</v>
      </c>
      <c r="F121" s="17">
        <f t="shared" si="72"/>
        <v>2671.380551154049</v>
      </c>
      <c r="G121" s="17">
        <f t="shared" si="73"/>
        <v>63909.527301154048</v>
      </c>
      <c r="H121" s="17">
        <f t="shared" si="101"/>
        <v>2671.380551154049</v>
      </c>
      <c r="I121" s="17">
        <f t="shared" si="74"/>
        <v>1066.291409325351</v>
      </c>
      <c r="J121" s="20">
        <f>(Geraetedaten!$B$152+(Geraetedaten!$B$153*(Geraetedaten!$B$18+d_y_Sw)/1000))*10</f>
        <v>6051.0442000000003</v>
      </c>
      <c r="K121" s="20">
        <f>(Geraetedaten!$B$165+(Geraetedaten!$B$166*(Geraetedaten!$B$18+d_y_Sw)/1000))*10</f>
        <v>10816.164000000001</v>
      </c>
      <c r="L121" s="20">
        <f>(Geraetedaten!$B$158+(Geraetedaten!$B$159*(Geraetedaten!$B$18+d_y_Sw)/1000)-(Geraetedaten!$B$160*I121/1000))*10</f>
        <v>523.34545095417172</v>
      </c>
      <c r="M121" s="20">
        <f>(Geraetedaten!$B$171+(Geraetedaten!$B$172*(Geraetedaten!$B$18+d_y_Sw)/1000)-(Geraetedaten!$B$173*I121/1000))*10</f>
        <v>985.49226748982176</v>
      </c>
      <c r="N121" s="20">
        <f>IF((H121-J121)/(K121-J121)*(Geraetedaten!$B$174-Geraetedaten!$B$161)&lt;Geraetedaten!$B$174,(H121-J121)/(K121-J121)*(Geraetedaten!$B$174-Geraetedaten!$B$161),Geraetedaten!$B$174)</f>
        <v>-283.70020404070016</v>
      </c>
      <c r="O121" s="20">
        <f>N121/Geraetedaten!$B$174*(M121-L121)+L121+C121</f>
        <v>262.66503443031297</v>
      </c>
      <c r="P121" s="20">
        <f t="shared" si="75"/>
        <v>135.95886709897246</v>
      </c>
      <c r="Q121" s="21">
        <f>(N121-Geraetedaten!$B$161)/(Geraetedaten!$B$174-Geraetedaten!$B$161)*(Geraetedaten!$B$175-Geraetedaten!$B$162)+Geraetedaten!$B$162</f>
        <v>20.759918929789166</v>
      </c>
      <c r="R121" s="21">
        <f t="shared" si="76"/>
        <v>20.759918929789166</v>
      </c>
      <c r="S121" s="21">
        <f t="shared" si="77"/>
        <v>20.557884825833884</v>
      </c>
      <c r="T121" s="88">
        <f t="shared" si="78"/>
        <v>2.8892222931383218</v>
      </c>
      <c r="U121" s="86">
        <f t="shared" si="79"/>
        <v>-2856.9272299999998</v>
      </c>
      <c r="V121" s="85">
        <f t="shared" si="80"/>
        <v>-1141.3067828769733</v>
      </c>
      <c r="W121" s="85">
        <f t="shared" si="81"/>
        <v>-1152.2422816168794</v>
      </c>
      <c r="X121" s="90">
        <f t="shared" si="82"/>
        <v>1141.3067828769733</v>
      </c>
      <c r="Y121" s="86">
        <f t="shared" si="83"/>
        <v>-60263.247130000003</v>
      </c>
      <c r="Z121" s="85">
        <f t="shared" si="84"/>
        <v>-750</v>
      </c>
      <c r="AA121" s="85">
        <f t="shared" si="85"/>
        <v>-5388.9724007457899</v>
      </c>
      <c r="AB121" s="90">
        <f t="shared" si="86"/>
        <v>750</v>
      </c>
      <c r="AC121" s="86">
        <f t="shared" si="87"/>
        <v>2738.4780000000001</v>
      </c>
      <c r="AD121" s="85">
        <f t="shared" si="88"/>
        <v>1055.7627565116984</v>
      </c>
      <c r="AE121" s="85">
        <f t="shared" si="89"/>
        <v>1066.291409325351</v>
      </c>
      <c r="AF121" s="90">
        <f t="shared" si="90"/>
        <v>1055.7627565116984</v>
      </c>
      <c r="AG121" s="86">
        <f t="shared" si="91"/>
        <v>63976.624750000003</v>
      </c>
      <c r="AH121" s="85">
        <f t="shared" si="92"/>
        <v>6128</v>
      </c>
      <c r="AI121" s="85">
        <f t="shared" si="93"/>
        <v>44031.497162360261</v>
      </c>
      <c r="AJ121" s="90">
        <f t="shared" si="94"/>
        <v>6128</v>
      </c>
      <c r="AL121" s="95">
        <f t="shared" si="95"/>
        <v>0</v>
      </c>
      <c r="AM121" s="95">
        <f t="shared" si="96"/>
        <v>0</v>
      </c>
      <c r="AN121" s="95">
        <f t="shared" si="97"/>
        <v>0</v>
      </c>
      <c r="AO121" s="95">
        <f t="shared" si="98"/>
        <v>0</v>
      </c>
      <c r="AP121"/>
      <c r="AQ121" s="95">
        <f t="shared" si="99"/>
        <v>0</v>
      </c>
      <c r="AR121" s="95">
        <f t="shared" si="100"/>
        <v>0</v>
      </c>
      <c r="AS121" s="95">
        <f>Geraetedaten!$B$94*ABS(SIN(RADIANS($A121)))</f>
        <v>152.50128258620182</v>
      </c>
      <c r="AT121" s="95">
        <f>Geraetedaten!$B$94*ABS(COS(RADIANS($A121)))</f>
        <v>21.432657547850081</v>
      </c>
      <c r="AU121" s="95">
        <f>((h_Aw_Sw+Geraetedaten!$B$18)/1000)*(AQ121*AS121+AR121*AT121)/100</f>
        <v>0</v>
      </c>
    </row>
    <row r="122" spans="1:47" ht="13.5" x14ac:dyDescent="0.25">
      <c r="A122" s="16">
        <v>83</v>
      </c>
      <c r="B122" s="16">
        <f t="shared" si="68"/>
        <v>367</v>
      </c>
      <c r="C122" s="19">
        <f t="shared" si="69"/>
        <v>66.724023826976889</v>
      </c>
      <c r="D122" s="17">
        <f t="shared" si="70"/>
        <v>-2917.1823438269771</v>
      </c>
      <c r="E122" s="17">
        <f t="shared" si="71"/>
        <v>-68886.51694382698</v>
      </c>
      <c r="F122" s="17">
        <f t="shared" si="72"/>
        <v>2665.4192661730231</v>
      </c>
      <c r="G122" s="17">
        <f t="shared" si="73"/>
        <v>72993.694666173033</v>
      </c>
      <c r="H122" s="17">
        <f t="shared" si="101"/>
        <v>2665.4192661730231</v>
      </c>
      <c r="I122" s="17">
        <f t="shared" si="74"/>
        <v>1063.8248396078959</v>
      </c>
      <c r="J122" s="20">
        <f>(Geraetedaten!$B$152+(Geraetedaten!$B$153*(Geraetedaten!$B$18+d_y_Sw)/1000))*10</f>
        <v>6051.0442000000003</v>
      </c>
      <c r="K122" s="20">
        <f>(Geraetedaten!$B$165+(Geraetedaten!$B$166*(Geraetedaten!$B$18+d_y_Sw)/1000))*10</f>
        <v>10816.164000000001</v>
      </c>
      <c r="L122" s="20">
        <f>(Geraetedaten!$B$158+(Geraetedaten!$B$159*(Geraetedaten!$B$18+d_y_Sw)/1000)-(Geraetedaten!$B$160*I122/1000))*10</f>
        <v>523.52632451155273</v>
      </c>
      <c r="M122" s="20">
        <f>(Geraetedaten!$B$171+(Geraetedaten!$B$172*(Geraetedaten!$B$18+d_y_Sw)/1000)-(Geraetedaten!$B$173*I122/1000))*10</f>
        <v>985.67587893958921</v>
      </c>
      <c r="N122" s="20">
        <f>IF((H122-J122)/(K122-J122)*(Geraetedaten!$B$174-Geraetedaten!$B$161)&lt;Geraetedaten!$B$174,(H122-J122)/(K122-J122)*(Geraetedaten!$B$174-Geraetedaten!$B$161),Geraetedaten!$B$174)</f>
        <v>-284.20061412323582</v>
      </c>
      <c r="O122" s="20">
        <f>N122/Geraetedaten!$B$174*(M122-L122)+L122+C122</f>
        <v>261.89238037546022</v>
      </c>
      <c r="P122" s="20">
        <f t="shared" si="75"/>
        <v>135.64448123119703</v>
      </c>
      <c r="Q122" s="21">
        <f>(N122-Geraetedaten!$B$161)/(Geraetedaten!$B$174-Geraetedaten!$B$161)*(Geraetedaten!$B$175-Geraetedaten!$B$162)+Geraetedaten!$B$162</f>
        <v>20.745031729833734</v>
      </c>
      <c r="R122" s="21">
        <f t="shared" si="76"/>
        <v>20.745031729833734</v>
      </c>
      <c r="S122" s="21">
        <f t="shared" si="77"/>
        <v>20.59040140912359</v>
      </c>
      <c r="T122" s="88">
        <f t="shared" si="78"/>
        <v>2.5281833958337883</v>
      </c>
      <c r="U122" s="86">
        <f t="shared" si="79"/>
        <v>-2850.4583200000002</v>
      </c>
      <c r="V122" s="85">
        <f t="shared" si="80"/>
        <v>-1141.3067828769733</v>
      </c>
      <c r="W122" s="85">
        <f t="shared" si="81"/>
        <v>-1149.6332716586803</v>
      </c>
      <c r="X122" s="90">
        <f t="shared" si="82"/>
        <v>1141.3067828769733</v>
      </c>
      <c r="Y122" s="86">
        <f t="shared" si="83"/>
        <v>-68819.792920000007</v>
      </c>
      <c r="Z122" s="85">
        <f t="shared" si="84"/>
        <v>-750</v>
      </c>
      <c r="AA122" s="85">
        <f t="shared" si="85"/>
        <v>-6154.1317860938088</v>
      </c>
      <c r="AB122" s="90">
        <f t="shared" si="86"/>
        <v>750</v>
      </c>
      <c r="AC122" s="86">
        <f t="shared" si="87"/>
        <v>2732.14329</v>
      </c>
      <c r="AD122" s="85">
        <f t="shared" si="88"/>
        <v>1055.7627565116984</v>
      </c>
      <c r="AE122" s="85">
        <f t="shared" si="89"/>
        <v>1063.8248396078959</v>
      </c>
      <c r="AF122" s="90">
        <f t="shared" si="90"/>
        <v>1055.7627565116984</v>
      </c>
      <c r="AG122" s="86">
        <f t="shared" si="91"/>
        <v>73060.418690000006</v>
      </c>
      <c r="AH122" s="85">
        <f t="shared" si="92"/>
        <v>6128</v>
      </c>
      <c r="AI122" s="85">
        <f t="shared" si="93"/>
        <v>50283.359446910479</v>
      </c>
      <c r="AJ122" s="90">
        <f t="shared" si="94"/>
        <v>6128</v>
      </c>
      <c r="AL122" s="95">
        <f t="shared" si="95"/>
        <v>0</v>
      </c>
      <c r="AM122" s="95">
        <f t="shared" si="96"/>
        <v>0</v>
      </c>
      <c r="AN122" s="95">
        <f t="shared" si="97"/>
        <v>0</v>
      </c>
      <c r="AO122" s="95">
        <f t="shared" si="98"/>
        <v>0</v>
      </c>
      <c r="AP122"/>
      <c r="AQ122" s="95">
        <f t="shared" si="99"/>
        <v>0</v>
      </c>
      <c r="AR122" s="95">
        <f t="shared" si="100"/>
        <v>0</v>
      </c>
      <c r="AS122" s="95">
        <f>Geraetedaten!$B$94*ABS(SIN(RADIANS($A122)))</f>
        <v>152.8521073527636</v>
      </c>
      <c r="AT122" s="95">
        <f>Geraetedaten!$B$94*ABS(COS(RADIANS($A122)))</f>
        <v>18.767878884392715</v>
      </c>
      <c r="AU122" s="95">
        <f>((h_Aw_Sw+Geraetedaten!$B$18)/1000)*(AQ122*AS122+AR122*AT122)/100</f>
        <v>0</v>
      </c>
    </row>
    <row r="123" spans="1:47" ht="13.5" x14ac:dyDescent="0.25">
      <c r="A123" s="16">
        <v>84</v>
      </c>
      <c r="B123" s="16">
        <f t="shared" si="68"/>
        <v>366</v>
      </c>
      <c r="C123" s="19">
        <f t="shared" si="69"/>
        <v>66.330274023974866</v>
      </c>
      <c r="D123" s="17">
        <f t="shared" si="70"/>
        <v>-2911.2135340239747</v>
      </c>
      <c r="E123" s="17">
        <f t="shared" si="71"/>
        <v>-80303.068804023977</v>
      </c>
      <c r="F123" s="17">
        <f t="shared" si="72"/>
        <v>2660.3361959760255</v>
      </c>
      <c r="G123" s="17">
        <f t="shared" si="73"/>
        <v>85114.53794597603</v>
      </c>
      <c r="H123" s="17">
        <f t="shared" si="101"/>
        <v>2660.3361959760255</v>
      </c>
      <c r="I123" s="17">
        <f t="shared" si="74"/>
        <v>1061.6923103940471</v>
      </c>
      <c r="J123" s="20">
        <f>(Geraetedaten!$B$152+(Geraetedaten!$B$153*(Geraetedaten!$B$18+d_y_Sw)/1000))*10</f>
        <v>6051.0442000000003</v>
      </c>
      <c r="K123" s="20">
        <f>(Geraetedaten!$B$165+(Geraetedaten!$B$166*(Geraetedaten!$B$18+d_y_Sw)/1000))*10</f>
        <v>10816.164000000001</v>
      </c>
      <c r="L123" s="20">
        <f>(Geraetedaten!$B$158+(Geraetedaten!$B$159*(Geraetedaten!$B$18+d_y_Sw)/1000)-(Geraetedaten!$B$160*I123/1000))*10</f>
        <v>523.68270287880432</v>
      </c>
      <c r="M123" s="20">
        <f>(Geraetedaten!$B$171+(Geraetedaten!$B$172*(Geraetedaten!$B$18+d_y_Sw)/1000)-(Geraetedaten!$B$173*I123/1000))*10</f>
        <v>985.83462441426809</v>
      </c>
      <c r="N123" s="20">
        <f>IF((H123-J123)/(K123-J123)*(Geraetedaten!$B$174-Geraetedaten!$B$161)&lt;Geraetedaten!$B$174,(H123-J123)/(K123-J123)*(Geraetedaten!$B$174-Geraetedaten!$B$161),Geraetedaten!$B$174)</f>
        <v>-284.62730393674252</v>
      </c>
      <c r="O123" s="20">
        <f>N123/Geraetedaten!$B$174*(M123-L123)+L123+C123</f>
        <v>261.16033831321909</v>
      </c>
      <c r="P123" s="20">
        <f t="shared" si="75"/>
        <v>135.3379537053321</v>
      </c>
      <c r="Q123" s="21">
        <f>(N123-Geraetedaten!$B$161)/(Geraetedaten!$B$174-Geraetedaten!$B$161)*(Geraetedaten!$B$175-Geraetedaten!$B$162)+Geraetedaten!$B$162</f>
        <v>20.732337707881907</v>
      </c>
      <c r="R123" s="21">
        <f t="shared" si="76"/>
        <v>20.732337707881907</v>
      </c>
      <c r="S123" s="21">
        <f t="shared" si="77"/>
        <v>20.618763792657838</v>
      </c>
      <c r="T123" s="88">
        <f t="shared" si="78"/>
        <v>2.1671194005509204</v>
      </c>
      <c r="U123" s="86">
        <f t="shared" si="79"/>
        <v>-2844.8832600000001</v>
      </c>
      <c r="V123" s="85">
        <f t="shared" si="80"/>
        <v>-1141.3067828769733</v>
      </c>
      <c r="W123" s="85">
        <f t="shared" si="81"/>
        <v>-1147.3847650380665</v>
      </c>
      <c r="X123" s="90">
        <f t="shared" si="82"/>
        <v>1141.3067828769733</v>
      </c>
      <c r="Y123" s="86">
        <f t="shared" si="83"/>
        <v>-80236.738530000002</v>
      </c>
      <c r="Z123" s="85">
        <f t="shared" si="84"/>
        <v>-750</v>
      </c>
      <c r="AA123" s="85">
        <f t="shared" si="85"/>
        <v>-7175.0791751292199</v>
      </c>
      <c r="AB123" s="90">
        <f t="shared" si="86"/>
        <v>750</v>
      </c>
      <c r="AC123" s="86">
        <f t="shared" si="87"/>
        <v>2726.6664700000001</v>
      </c>
      <c r="AD123" s="85">
        <f t="shared" si="88"/>
        <v>1055.7627565116984</v>
      </c>
      <c r="AE123" s="85">
        <f t="shared" si="89"/>
        <v>1061.6923103940471</v>
      </c>
      <c r="AF123" s="90">
        <f t="shared" si="90"/>
        <v>1055.7627565116984</v>
      </c>
      <c r="AG123" s="86">
        <f t="shared" si="91"/>
        <v>85180.868220000004</v>
      </c>
      <c r="AH123" s="85">
        <f t="shared" si="92"/>
        <v>6128</v>
      </c>
      <c r="AI123" s="85">
        <f t="shared" si="93"/>
        <v>58625.180246922479</v>
      </c>
      <c r="AJ123" s="90">
        <f t="shared" si="94"/>
        <v>6128</v>
      </c>
      <c r="AL123" s="95">
        <f t="shared" si="95"/>
        <v>0</v>
      </c>
      <c r="AM123" s="95">
        <f t="shared" si="96"/>
        <v>0</v>
      </c>
      <c r="AN123" s="95">
        <f t="shared" si="97"/>
        <v>0</v>
      </c>
      <c r="AO123" s="95">
        <f t="shared" si="98"/>
        <v>0</v>
      </c>
      <c r="AP123"/>
      <c r="AQ123" s="95">
        <f t="shared" si="99"/>
        <v>0</v>
      </c>
      <c r="AR123" s="95">
        <f t="shared" si="100"/>
        <v>0</v>
      </c>
      <c r="AS123" s="95">
        <f>Geraetedaten!$B$94*ABS(SIN(RADIANS($A123)))</f>
        <v>153.15637188671408</v>
      </c>
      <c r="AT123" s="95">
        <f>Geraetedaten!$B$94*ABS(COS(RADIANS($A123)))</f>
        <v>16.097383343218631</v>
      </c>
      <c r="AU123" s="95">
        <f>((h_Aw_Sw+Geraetedaten!$B$18)/1000)*(AQ123*AS123+AR123*AT123)/100</f>
        <v>0</v>
      </c>
    </row>
    <row r="124" spans="1:47" ht="13.5" x14ac:dyDescent="0.25">
      <c r="A124" s="16">
        <v>85</v>
      </c>
      <c r="B124" s="16">
        <f t="shared" si="68"/>
        <v>365</v>
      </c>
      <c r="C124" s="19">
        <f t="shared" si="69"/>
        <v>65.916319376949332</v>
      </c>
      <c r="D124" s="17">
        <f t="shared" si="70"/>
        <v>-2906.1097393769496</v>
      </c>
      <c r="E124" s="17">
        <f t="shared" si="71"/>
        <v>-96296.212939376943</v>
      </c>
      <c r="F124" s="17">
        <f t="shared" si="72"/>
        <v>2656.1227506230507</v>
      </c>
      <c r="G124" s="17">
        <f t="shared" si="73"/>
        <v>102094.02144062305</v>
      </c>
      <c r="H124" s="17">
        <f t="shared" si="101"/>
        <v>2656.1227506230507</v>
      </c>
      <c r="I124" s="17">
        <f t="shared" si="74"/>
        <v>1059.8905207837377</v>
      </c>
      <c r="J124" s="20">
        <f>(Geraetedaten!$B$152+(Geraetedaten!$B$153*(Geraetedaten!$B$18+d_y_Sw)/1000))*10</f>
        <v>6051.0442000000003</v>
      </c>
      <c r="K124" s="20">
        <f>(Geraetedaten!$B$165+(Geraetedaten!$B$166*(Geraetedaten!$B$18+d_y_Sw)/1000))*10</f>
        <v>10816.164000000001</v>
      </c>
      <c r="L124" s="20">
        <f>(Geraetedaten!$B$158+(Geraetedaten!$B$159*(Geraetedaten!$B$18+d_y_Sw)/1000)-(Geraetedaten!$B$160*I124/1000))*10</f>
        <v>523.81482811092826</v>
      </c>
      <c r="M124" s="20">
        <f>(Geraetedaten!$B$171+(Geraetedaten!$B$172*(Geraetedaten!$B$18+d_y_Sw)/1000)-(Geraetedaten!$B$173*I124/1000))*10</f>
        <v>985.9687496328595</v>
      </c>
      <c r="N124" s="20">
        <f>IF((H124-J124)/(K124-J124)*(Geraetedaten!$B$174-Geraetedaten!$B$161)&lt;Geraetedaten!$B$174,(H124-J124)/(K124-J124)*(Geraetedaten!$B$174-Geraetedaten!$B$161),Geraetedaten!$B$174)</f>
        <v>-284.98099454934578</v>
      </c>
      <c r="O124" s="20">
        <f>N124/Geraetedaten!$B$174*(M124-L124)+L124+C124</f>
        <v>260.46843701237691</v>
      </c>
      <c r="P124" s="20">
        <f t="shared" si="75"/>
        <v>135.03926448870857</v>
      </c>
      <c r="Q124" s="21">
        <f>(N124-Geraetedaten!$B$161)/(Geraetedaten!$B$174-Geraetedaten!$B$161)*(Geraetedaten!$B$175-Geraetedaten!$B$162)+Geraetedaten!$B$162</f>
        <v>20.72181541215696</v>
      </c>
      <c r="R124" s="21">
        <f t="shared" si="76"/>
        <v>20.72181541215696</v>
      </c>
      <c r="S124" s="21">
        <f t="shared" si="77"/>
        <v>20.642962648426582</v>
      </c>
      <c r="T124" s="88">
        <f t="shared" si="78"/>
        <v>1.8060252133264096</v>
      </c>
      <c r="U124" s="86">
        <f t="shared" si="79"/>
        <v>-2840.1934200000001</v>
      </c>
      <c r="V124" s="85">
        <f t="shared" si="80"/>
        <v>-1141.3067828769733</v>
      </c>
      <c r="W124" s="85">
        <f t="shared" si="81"/>
        <v>-1145.4932839503322</v>
      </c>
      <c r="X124" s="90">
        <f t="shared" si="82"/>
        <v>1141.3067828769733</v>
      </c>
      <c r="Y124" s="86">
        <f t="shared" si="83"/>
        <v>-96230.296619999994</v>
      </c>
      <c r="Z124" s="85">
        <f t="shared" si="84"/>
        <v>-750</v>
      </c>
      <c r="AA124" s="85">
        <f t="shared" si="85"/>
        <v>-8605.2849342523914</v>
      </c>
      <c r="AB124" s="90">
        <f t="shared" si="86"/>
        <v>750</v>
      </c>
      <c r="AC124" s="86">
        <f t="shared" si="87"/>
        <v>2722.0390699999998</v>
      </c>
      <c r="AD124" s="85">
        <f t="shared" si="88"/>
        <v>1055.7627565116984</v>
      </c>
      <c r="AE124" s="85">
        <f t="shared" si="89"/>
        <v>1059.8905207837377</v>
      </c>
      <c r="AF124" s="90">
        <f t="shared" si="90"/>
        <v>1055.7627565116984</v>
      </c>
      <c r="AG124" s="86">
        <f t="shared" si="91"/>
        <v>102159.93776</v>
      </c>
      <c r="AH124" s="85">
        <f t="shared" si="92"/>
        <v>6128</v>
      </c>
      <c r="AI124" s="85">
        <f t="shared" si="93"/>
        <v>70310.914769464885</v>
      </c>
      <c r="AJ124" s="90">
        <f t="shared" si="94"/>
        <v>6128</v>
      </c>
      <c r="AL124" s="95">
        <f t="shared" si="95"/>
        <v>0</v>
      </c>
      <c r="AM124" s="95">
        <f t="shared" si="96"/>
        <v>0</v>
      </c>
      <c r="AN124" s="95">
        <f t="shared" si="97"/>
        <v>0</v>
      </c>
      <c r="AO124" s="95">
        <f t="shared" si="98"/>
        <v>0</v>
      </c>
      <c r="AP124"/>
      <c r="AQ124" s="95">
        <f t="shared" si="99"/>
        <v>0</v>
      </c>
      <c r="AR124" s="95">
        <f t="shared" si="100"/>
        <v>0</v>
      </c>
      <c r="AS124" s="95">
        <f>Geraetedaten!$B$94*ABS(SIN(RADIANS($A124)))</f>
        <v>153.4139835061288</v>
      </c>
      <c r="AT124" s="95">
        <f>Geraetedaten!$B$94*ABS(COS(RADIANS($A124)))</f>
        <v>13.421984383139353</v>
      </c>
      <c r="AU124" s="95">
        <f>((h_Aw_Sw+Geraetedaten!$B$18)/1000)*(AQ124*AS124+AR124*AT124)/100</f>
        <v>0</v>
      </c>
    </row>
    <row r="125" spans="1:47" ht="13.5" x14ac:dyDescent="0.25">
      <c r="A125" s="16">
        <v>86</v>
      </c>
      <c r="B125" s="16">
        <f t="shared" si="68"/>
        <v>364</v>
      </c>
      <c r="C125" s="19">
        <f t="shared" si="69"/>
        <v>65.482285980495845</v>
      </c>
      <c r="D125" s="17">
        <f t="shared" si="70"/>
        <v>-2901.8638759804958</v>
      </c>
      <c r="E125" s="17">
        <f t="shared" si="71"/>
        <v>-120298.38005598049</v>
      </c>
      <c r="F125" s="17">
        <f t="shared" si="72"/>
        <v>2652.771664019504</v>
      </c>
      <c r="G125" s="17">
        <f t="shared" si="73"/>
        <v>127576.0795240195</v>
      </c>
      <c r="H125" s="17">
        <f t="shared" si="101"/>
        <v>2652.771664019504</v>
      </c>
      <c r="I125" s="17">
        <f t="shared" si="74"/>
        <v>1058.4166941739275</v>
      </c>
      <c r="J125" s="20">
        <f>(Geraetedaten!$B$152+(Geraetedaten!$B$153*(Geraetedaten!$B$18+d_y_Sw)/1000))*10</f>
        <v>6051.0442000000003</v>
      </c>
      <c r="K125" s="20">
        <f>(Geraetedaten!$B$165+(Geraetedaten!$B$166*(Geraetedaten!$B$18+d_y_Sw)/1000))*10</f>
        <v>10816.164000000001</v>
      </c>
      <c r="L125" s="20">
        <f>(Geraetedaten!$B$158+(Geraetedaten!$B$159*(Geraetedaten!$B$18+d_y_Sw)/1000)-(Geraetedaten!$B$160*I125/1000))*10</f>
        <v>523.9229038162257</v>
      </c>
      <c r="M125" s="20">
        <f>(Geraetedaten!$B$171+(Geraetedaten!$B$172*(Geraetedaten!$B$18+d_y_Sw)/1000)-(Geraetedaten!$B$173*I125/1000))*10</f>
        <v>986.07846128569372</v>
      </c>
      <c r="N125" s="20">
        <f>IF((H125-J125)/(K125-J125)*(Geraetedaten!$B$174-Geraetedaten!$B$161)&lt;Geraetedaten!$B$174,(H125-J125)/(K125-J125)*(Geraetedaten!$B$174-Geraetedaten!$B$161),Geraetedaten!$B$174)</f>
        <v>-285.26229590118561</v>
      </c>
      <c r="O125" s="20">
        <f>N125/Geraetedaten!$B$174*(M125-L125)+L125+C125</f>
        <v>259.81630132863961</v>
      </c>
      <c r="P125" s="20">
        <f t="shared" si="75"/>
        <v>134.74841874915307</v>
      </c>
      <c r="Q125" s="21">
        <f>(N125-Geraetedaten!$B$161)/(Geraetedaten!$B$174-Geraetedaten!$B$161)*(Geraetedaten!$B$175-Geraetedaten!$B$162)+Geraetedaten!$B$162</f>
        <v>20.713446696939727</v>
      </c>
      <c r="R125" s="21">
        <f t="shared" si="76"/>
        <v>20.713446696939727</v>
      </c>
      <c r="S125" s="21">
        <f t="shared" si="77"/>
        <v>20.662989781840171</v>
      </c>
      <c r="T125" s="88">
        <f t="shared" si="78"/>
        <v>1.4448970006654136</v>
      </c>
      <c r="U125" s="86">
        <f t="shared" si="79"/>
        <v>-2836.38159</v>
      </c>
      <c r="V125" s="85">
        <f t="shared" si="80"/>
        <v>-1141.3067828769733</v>
      </c>
      <c r="W125" s="85">
        <f t="shared" si="81"/>
        <v>-1143.9559154264782</v>
      </c>
      <c r="X125" s="90">
        <f t="shared" si="82"/>
        <v>1141.3067828769733</v>
      </c>
      <c r="Y125" s="86">
        <f t="shared" si="83"/>
        <v>-120232.89777</v>
      </c>
      <c r="Z125" s="85">
        <f t="shared" si="84"/>
        <v>-750</v>
      </c>
      <c r="AA125" s="85">
        <f t="shared" si="85"/>
        <v>-10751.690269652756</v>
      </c>
      <c r="AB125" s="90">
        <f t="shared" si="86"/>
        <v>750</v>
      </c>
      <c r="AC125" s="86">
        <f t="shared" si="87"/>
        <v>2718.2539499999998</v>
      </c>
      <c r="AD125" s="85">
        <f t="shared" si="88"/>
        <v>1055.7627565116984</v>
      </c>
      <c r="AE125" s="85">
        <f t="shared" si="89"/>
        <v>1058.4166941739275</v>
      </c>
      <c r="AF125" s="90">
        <f t="shared" si="90"/>
        <v>1055.7627565116984</v>
      </c>
      <c r="AG125" s="86">
        <f t="shared" si="91"/>
        <v>127641.56181</v>
      </c>
      <c r="AH125" s="85">
        <f t="shared" si="92"/>
        <v>6128</v>
      </c>
      <c r="AI125" s="85">
        <f t="shared" si="93"/>
        <v>87848.477296576122</v>
      </c>
      <c r="AJ125" s="90">
        <f t="shared" si="94"/>
        <v>6128</v>
      </c>
      <c r="AL125" s="95">
        <f t="shared" si="95"/>
        <v>0</v>
      </c>
      <c r="AM125" s="95">
        <f t="shared" si="96"/>
        <v>0</v>
      </c>
      <c r="AN125" s="95">
        <f t="shared" si="97"/>
        <v>0</v>
      </c>
      <c r="AO125" s="95">
        <f t="shared" si="98"/>
        <v>0</v>
      </c>
      <c r="AP125"/>
      <c r="AQ125" s="95">
        <f t="shared" si="99"/>
        <v>0</v>
      </c>
      <c r="AR125" s="95">
        <f t="shared" si="100"/>
        <v>0</v>
      </c>
      <c r="AS125" s="95">
        <f>Geraetedaten!$B$94*ABS(SIN(RADIANS($A125)))</f>
        <v>153.62486374001293</v>
      </c>
      <c r="AT125" s="95">
        <f>Geraetedaten!$B$94*ABS(COS(RADIANS($A125)))</f>
        <v>10.742496956595286</v>
      </c>
      <c r="AU125" s="95">
        <f>((h_Aw_Sw+Geraetedaten!$B$18)/1000)*(AQ125*AS125+AR125*AT125)/100</f>
        <v>0</v>
      </c>
    </row>
    <row r="126" spans="1:47" ht="13.5" x14ac:dyDescent="0.25">
      <c r="A126" s="16">
        <v>87</v>
      </c>
      <c r="B126" s="16">
        <f t="shared" si="68"/>
        <v>363</v>
      </c>
      <c r="C126" s="19">
        <f t="shared" si="69"/>
        <v>65.028306045391574</v>
      </c>
      <c r="D126" s="17">
        <f t="shared" si="70"/>
        <v>-2898.4702260453919</v>
      </c>
      <c r="E126" s="17">
        <f t="shared" si="71"/>
        <v>-160318.5820460454</v>
      </c>
      <c r="F126" s="17">
        <f t="shared" si="72"/>
        <v>2650.2769939546083</v>
      </c>
      <c r="G126" s="17">
        <f t="shared" si="73"/>
        <v>170063.2332939546</v>
      </c>
      <c r="H126" s="17">
        <f t="shared" si="101"/>
        <v>2650.2769939546083</v>
      </c>
      <c r="I126" s="17">
        <f t="shared" si="74"/>
        <v>1057.2685677583509</v>
      </c>
      <c r="J126" s="20">
        <f>(Geraetedaten!$B$152+(Geraetedaten!$B$153*(Geraetedaten!$B$18+d_y_Sw)/1000))*10</f>
        <v>6051.0442000000003</v>
      </c>
      <c r="K126" s="20">
        <f>(Geraetedaten!$B$165+(Geraetedaten!$B$166*(Geraetedaten!$B$18+d_y_Sw)/1000))*10</f>
        <v>10816.164000000001</v>
      </c>
      <c r="L126" s="20">
        <f>(Geraetedaten!$B$158+(Geraetedaten!$B$159*(Geraetedaten!$B$18+d_y_Sw)/1000)-(Geraetedaten!$B$160*I126/1000))*10</f>
        <v>524.00709592627993</v>
      </c>
      <c r="M126" s="20">
        <f>(Geraetedaten!$B$171+(Geraetedaten!$B$172*(Geraetedaten!$B$18+d_y_Sw)/1000)-(Geraetedaten!$B$173*I126/1000))*10</f>
        <v>986.1639278160693</v>
      </c>
      <c r="N126" s="20">
        <f>IF((H126-J126)/(K126-J126)*(Geraetedaten!$B$174-Geraetedaten!$B$161)&lt;Geraetedaten!$B$174,(H126-J126)/(K126-J126)*(Geraetedaten!$B$174-Geraetedaten!$B$161),Geraetedaten!$B$174)</f>
        <v>-285.4717068011924</v>
      </c>
      <c r="O126" s="20">
        <f>N126/Geraetedaten!$B$174*(M126-L126)+L126+C126</f>
        <v>259.20365294814667</v>
      </c>
      <c r="P126" s="20">
        <f t="shared" si="75"/>
        <v>134.46544749212683</v>
      </c>
      <c r="Q126" s="21">
        <f>(N126-Geraetedaten!$B$161)/(Geraetedaten!$B$174-Geraetedaten!$B$161)*(Geraetedaten!$B$175-Geraetedaten!$B$162)+Geraetedaten!$B$162</f>
        <v>20.707216722664526</v>
      </c>
      <c r="R126" s="21">
        <f t="shared" si="76"/>
        <v>20.707216722664526</v>
      </c>
      <c r="S126" s="21">
        <f t="shared" si="77"/>
        <v>20.678838201816607</v>
      </c>
      <c r="T126" s="88">
        <f t="shared" si="78"/>
        <v>1.0837319883105283</v>
      </c>
      <c r="U126" s="86">
        <f t="shared" si="79"/>
        <v>-2833.4419200000002</v>
      </c>
      <c r="V126" s="85">
        <f t="shared" si="80"/>
        <v>-1141.3067828769733</v>
      </c>
      <c r="W126" s="85">
        <f t="shared" si="81"/>
        <v>-1142.7703003274137</v>
      </c>
      <c r="X126" s="90">
        <f t="shared" si="82"/>
        <v>1141.3067828769733</v>
      </c>
      <c r="Y126" s="86">
        <f t="shared" si="83"/>
        <v>-160253.55374</v>
      </c>
      <c r="Z126" s="85">
        <f t="shared" si="84"/>
        <v>-750</v>
      </c>
      <c r="AA126" s="85">
        <f t="shared" si="85"/>
        <v>-14330.491956973048</v>
      </c>
      <c r="AB126" s="90">
        <f t="shared" si="86"/>
        <v>750</v>
      </c>
      <c r="AC126" s="86">
        <f t="shared" si="87"/>
        <v>2715.3053</v>
      </c>
      <c r="AD126" s="85">
        <f t="shared" si="88"/>
        <v>1055.7627565116984</v>
      </c>
      <c r="AE126" s="85">
        <f t="shared" si="89"/>
        <v>1057.2685677583509</v>
      </c>
      <c r="AF126" s="90">
        <f t="shared" si="90"/>
        <v>1055.7627565116984</v>
      </c>
      <c r="AG126" s="86">
        <f t="shared" si="91"/>
        <v>170128.2616</v>
      </c>
      <c r="AH126" s="85">
        <f t="shared" si="92"/>
        <v>6128</v>
      </c>
      <c r="AI126" s="85">
        <f t="shared" si="93"/>
        <v>117089.67294977445</v>
      </c>
      <c r="AJ126" s="90">
        <f t="shared" si="94"/>
        <v>6128</v>
      </c>
      <c r="AL126" s="95">
        <f t="shared" si="95"/>
        <v>0</v>
      </c>
      <c r="AM126" s="95">
        <f t="shared" si="96"/>
        <v>0</v>
      </c>
      <c r="AN126" s="95">
        <f t="shared" si="97"/>
        <v>0</v>
      </c>
      <c r="AO126" s="95">
        <f t="shared" si="98"/>
        <v>0</v>
      </c>
      <c r="AP126"/>
      <c r="AQ126" s="95">
        <f t="shared" si="99"/>
        <v>0</v>
      </c>
      <c r="AR126" s="95">
        <f t="shared" si="100"/>
        <v>0</v>
      </c>
      <c r="AS126" s="95">
        <f>Geraetedaten!$B$94*ABS(SIN(RADIANS($A126)))</f>
        <v>153.78894835220436</v>
      </c>
      <c r="AT126" s="95">
        <f>Geraetedaten!$B$94*ABS(COS(RADIANS($A126)))</f>
        <v>8.0597372614133711</v>
      </c>
      <c r="AU126" s="95">
        <f>((h_Aw_Sw+Geraetedaten!$B$18)/1000)*(AQ126*AS126+AR126*AT126)/100</f>
        <v>0</v>
      </c>
    </row>
    <row r="127" spans="1:47" ht="13.5" x14ac:dyDescent="0.25">
      <c r="A127" s="16">
        <v>88</v>
      </c>
      <c r="B127" s="16">
        <f t="shared" si="68"/>
        <v>362</v>
      </c>
      <c r="C127" s="19">
        <f t="shared" si="69"/>
        <v>64.554517858322527</v>
      </c>
      <c r="D127" s="17">
        <f t="shared" si="70"/>
        <v>-2895.9244178583226</v>
      </c>
      <c r="E127" s="17">
        <f t="shared" si="71"/>
        <v>-240383.86479785832</v>
      </c>
      <c r="F127" s="17">
        <f t="shared" si="72"/>
        <v>2648.6340921416777</v>
      </c>
      <c r="G127" s="17">
        <f t="shared" si="73"/>
        <v>255063.05751214168</v>
      </c>
      <c r="H127" s="17">
        <f t="shared" si="101"/>
        <v>2648.6340921416777</v>
      </c>
      <c r="I127" s="17">
        <f t="shared" si="74"/>
        <v>1056.4443840161923</v>
      </c>
      <c r="J127" s="20">
        <f>(Geraetedaten!$B$152+(Geraetedaten!$B$153*(Geraetedaten!$B$18+d_y_Sw)/1000))*10</f>
        <v>6051.0442000000003</v>
      </c>
      <c r="K127" s="20">
        <f>(Geraetedaten!$B$165+(Geraetedaten!$B$166*(Geraetedaten!$B$18+d_y_Sw)/1000))*10</f>
        <v>10816.164000000001</v>
      </c>
      <c r="L127" s="20">
        <f>(Geraetedaten!$B$158+(Geraetedaten!$B$159*(Geraetedaten!$B$18+d_y_Sw)/1000)-(Geraetedaten!$B$160*I127/1000))*10</f>
        <v>524.06753332009237</v>
      </c>
      <c r="M127" s="20">
        <f>(Geraetedaten!$B$171+(Geraetedaten!$B$172*(Geraetedaten!$B$18+d_y_Sw)/1000)-(Geraetedaten!$B$173*I127/1000))*10</f>
        <v>986.2252800538356</v>
      </c>
      <c r="N127" s="20">
        <f>IF((H127-J127)/(K127-J127)*(Geraetedaten!$B$174-Geraetedaten!$B$161)&lt;Geraetedaten!$B$174,(H127-J127)/(K127-J127)*(Geraetedaten!$B$174-Geraetedaten!$B$161),Geraetedaten!$B$174)</f>
        <v>-285.60961744200614</v>
      </c>
      <c r="O127" s="20">
        <f>N127/Geraetedaten!$B$174*(M127-L127)+L127+C127</f>
        <v>258.63030807220497</v>
      </c>
      <c r="P127" s="20">
        <f t="shared" si="75"/>
        <v>134.19040708602549</v>
      </c>
      <c r="Q127" s="21">
        <f>(N127-Geraetedaten!$B$161)/(Geraetedaten!$B$174-Geraetedaten!$B$161)*(Geraetedaten!$B$175-Geraetedaten!$B$162)+Geraetedaten!$B$162</f>
        <v>20.703113881100315</v>
      </c>
      <c r="R127" s="21">
        <f t="shared" si="76"/>
        <v>20.703113881100315</v>
      </c>
      <c r="S127" s="21">
        <f t="shared" si="77"/>
        <v>20.690502103503366</v>
      </c>
      <c r="T127" s="88">
        <f t="shared" si="78"/>
        <v>0.72252825462496473</v>
      </c>
      <c r="U127" s="86">
        <f t="shared" si="79"/>
        <v>-2831.3699000000001</v>
      </c>
      <c r="V127" s="85">
        <f t="shared" si="80"/>
        <v>-1141.3067828769733</v>
      </c>
      <c r="W127" s="85">
        <f t="shared" si="81"/>
        <v>-1141.9346244769781</v>
      </c>
      <c r="X127" s="90">
        <f t="shared" si="82"/>
        <v>1141.3067828769733</v>
      </c>
      <c r="Y127" s="86">
        <f t="shared" si="83"/>
        <v>-240319.31028000001</v>
      </c>
      <c r="Z127" s="85">
        <f t="shared" si="84"/>
        <v>-750</v>
      </c>
      <c r="AA127" s="85">
        <f t="shared" si="85"/>
        <v>-21490.281260882868</v>
      </c>
      <c r="AB127" s="90">
        <f t="shared" si="86"/>
        <v>750</v>
      </c>
      <c r="AC127" s="86">
        <f t="shared" si="87"/>
        <v>2713.1886100000002</v>
      </c>
      <c r="AD127" s="85">
        <f t="shared" si="88"/>
        <v>1055.7627565116984</v>
      </c>
      <c r="AE127" s="85">
        <f t="shared" si="89"/>
        <v>1056.4443840161923</v>
      </c>
      <c r="AF127" s="90">
        <f t="shared" si="90"/>
        <v>1055.7627565116984</v>
      </c>
      <c r="AG127" s="86">
        <f t="shared" si="91"/>
        <v>255127.61202999999</v>
      </c>
      <c r="AH127" s="85">
        <f t="shared" si="92"/>
        <v>6128</v>
      </c>
      <c r="AI127" s="85">
        <f t="shared" si="93"/>
        <v>175589.92475558695</v>
      </c>
      <c r="AJ127" s="90">
        <f t="shared" si="94"/>
        <v>6128</v>
      </c>
      <c r="AL127" s="95">
        <f t="shared" si="95"/>
        <v>0</v>
      </c>
      <c r="AM127" s="95">
        <f t="shared" si="96"/>
        <v>0</v>
      </c>
      <c r="AN127" s="95">
        <f t="shared" si="97"/>
        <v>0</v>
      </c>
      <c r="AO127" s="95">
        <f t="shared" si="98"/>
        <v>0</v>
      </c>
      <c r="AP127"/>
      <c r="AQ127" s="95">
        <f t="shared" si="99"/>
        <v>0</v>
      </c>
      <c r="AR127" s="95">
        <f t="shared" si="100"/>
        <v>0</v>
      </c>
      <c r="AS127" s="95">
        <f>Geraetedaten!$B$94*ABS(SIN(RADIANS($A127)))</f>
        <v>153.90618736094075</v>
      </c>
      <c r="AT127" s="95">
        <f>Geraetedaten!$B$94*ABS(COS(RADIANS($A127)))</f>
        <v>5.3745224921851662</v>
      </c>
      <c r="AU127" s="95">
        <f>((h_Aw_Sw+Geraetedaten!$B$18)/1000)*(AQ127*AS127+AR127*AT127)/100</f>
        <v>0</v>
      </c>
    </row>
    <row r="128" spans="1:47" ht="13.5" x14ac:dyDescent="0.25">
      <c r="A128" s="16">
        <v>89</v>
      </c>
      <c r="B128" s="16">
        <f t="shared" si="68"/>
        <v>361</v>
      </c>
      <c r="C128" s="19">
        <f t="shared" si="69"/>
        <v>64.061065739760167</v>
      </c>
      <c r="D128" s="17">
        <f t="shared" si="70"/>
        <v>-2894.2234457397603</v>
      </c>
      <c r="E128" s="17">
        <f t="shared" si="71"/>
        <v>-480629.47802573978</v>
      </c>
      <c r="F128" s="17">
        <f t="shared" si="72"/>
        <v>2647.8395842602399</v>
      </c>
      <c r="G128" s="17">
        <f t="shared" si="73"/>
        <v>510113.44866426021</v>
      </c>
      <c r="H128" s="17">
        <f t="shared" si="101"/>
        <v>2647.8395842602399</v>
      </c>
      <c r="I128" s="17">
        <f t="shared" si="74"/>
        <v>1055.94288412986</v>
      </c>
      <c r="J128" s="20">
        <f>(Geraetedaten!$B$152+(Geraetedaten!$B$153*(Geraetedaten!$B$18+d_y_Sw)/1000))*10</f>
        <v>6051.0442000000003</v>
      </c>
      <c r="K128" s="20">
        <f>(Geraetedaten!$B$165+(Geraetedaten!$B$166*(Geraetedaten!$B$18+d_y_Sw)/1000))*10</f>
        <v>10816.164000000001</v>
      </c>
      <c r="L128" s="20">
        <f>(Geraetedaten!$B$158+(Geraetedaten!$B$159*(Geraetedaten!$B$18+d_y_Sw)/1000)-(Geraetedaten!$B$160*I128/1000))*10</f>
        <v>524.10430830675716</v>
      </c>
      <c r="M128" s="20">
        <f>(Geraetedaten!$B$171+(Geraetedaten!$B$172*(Geraetedaten!$B$18+d_y_Sw)/1000)-(Geraetedaten!$B$173*I128/1000))*10</f>
        <v>986.26261170537418</v>
      </c>
      <c r="N128" s="20">
        <f>IF((H128-J128)/(K128-J128)*(Geraetedaten!$B$174-Geraetedaten!$B$161)&lt;Geraetedaten!$B$174,(H128-J128)/(K128-J128)*(Geraetedaten!$B$174-Geraetedaten!$B$161),Geraetedaten!$B$174)</f>
        <v>-285.67631107530684</v>
      </c>
      <c r="O128" s="20">
        <f>N128/Geraetedaten!$B$174*(M128-L128)+L128+C128</f>
        <v>258.09617592716893</v>
      </c>
      <c r="P128" s="20">
        <f t="shared" si="75"/>
        <v>133.92337900077794</v>
      </c>
      <c r="Q128" s="21">
        <f>(N128-Geraetedaten!$B$161)/(Geraetedaten!$B$174-Geraetedaten!$B$161)*(Geraetedaten!$B$175-Geraetedaten!$B$162)+Geraetedaten!$B$162</f>
        <v>20.701129745509618</v>
      </c>
      <c r="R128" s="21">
        <f t="shared" si="76"/>
        <v>20.701129745509618</v>
      </c>
      <c r="S128" s="21">
        <f t="shared" si="77"/>
        <v>20.697976863181204</v>
      </c>
      <c r="T128" s="88">
        <f t="shared" si="78"/>
        <v>0.36128453002957506</v>
      </c>
      <c r="U128" s="86">
        <f t="shared" si="79"/>
        <v>-2830.1623800000002</v>
      </c>
      <c r="V128" s="85">
        <f t="shared" si="80"/>
        <v>-1141.3067828769733</v>
      </c>
      <c r="W128" s="85">
        <f t="shared" si="81"/>
        <v>-1141.4476118715183</v>
      </c>
      <c r="X128" s="90">
        <f t="shared" si="82"/>
        <v>1141.3067828769733</v>
      </c>
      <c r="Y128" s="86">
        <f t="shared" si="83"/>
        <v>-480565.41696</v>
      </c>
      <c r="Z128" s="85">
        <f t="shared" si="84"/>
        <v>-750</v>
      </c>
      <c r="AA128" s="85">
        <f t="shared" si="85"/>
        <v>-42974.016373912644</v>
      </c>
      <c r="AB128" s="90">
        <f t="shared" si="86"/>
        <v>750</v>
      </c>
      <c r="AC128" s="86">
        <f t="shared" si="87"/>
        <v>2711.90065</v>
      </c>
      <c r="AD128" s="85">
        <f t="shared" si="88"/>
        <v>1055.7627565116984</v>
      </c>
      <c r="AE128" s="85">
        <f t="shared" si="89"/>
        <v>1055.94288412986</v>
      </c>
      <c r="AF128" s="90">
        <f t="shared" si="90"/>
        <v>1055.7627565116984</v>
      </c>
      <c r="AG128" s="86">
        <f t="shared" si="91"/>
        <v>510177.50972999999</v>
      </c>
      <c r="AH128" s="85">
        <f t="shared" si="92"/>
        <v>6128</v>
      </c>
      <c r="AI128" s="85">
        <f t="shared" si="93"/>
        <v>351126.36311911553</v>
      </c>
      <c r="AJ128" s="90">
        <f t="shared" si="94"/>
        <v>6128</v>
      </c>
      <c r="AL128" s="95">
        <f t="shared" si="95"/>
        <v>0</v>
      </c>
      <c r="AM128" s="95">
        <f t="shared" si="96"/>
        <v>0</v>
      </c>
      <c r="AN128" s="95">
        <f t="shared" si="97"/>
        <v>0</v>
      </c>
      <c r="AO128" s="95">
        <f t="shared" si="98"/>
        <v>0</v>
      </c>
      <c r="AP128"/>
      <c r="AQ128" s="95">
        <f t="shared" si="99"/>
        <v>0</v>
      </c>
      <c r="AR128" s="95">
        <f t="shared" si="100"/>
        <v>0</v>
      </c>
      <c r="AS128" s="95">
        <f>Geraetedaten!$B$94*ABS(SIN(RADIANS($A128)))</f>
        <v>153.97654505408426</v>
      </c>
      <c r="AT128" s="95">
        <f>Geraetedaten!$B$94*ABS(COS(RADIANS($A128)))</f>
        <v>2.6876705913416741</v>
      </c>
      <c r="AU128" s="95">
        <f>((h_Aw_Sw+Geraetedaten!$B$18)/1000)*(AQ128*AS128+AR128*AT128)/100</f>
        <v>0</v>
      </c>
    </row>
    <row r="129" spans="1:47" ht="13.5" x14ac:dyDescent="0.25">
      <c r="A129" s="16">
        <v>90</v>
      </c>
      <c r="B129" s="16">
        <f t="shared" si="68"/>
        <v>360</v>
      </c>
      <c r="C129" s="19">
        <f t="shared" si="69"/>
        <v>63.548099999999998</v>
      </c>
      <c r="D129" s="17">
        <f t="shared" si="70"/>
        <v>-2893.3656099999998</v>
      </c>
      <c r="E129" s="17">
        <f t="shared" si="71"/>
        <v>6.8457197517031899E+19</v>
      </c>
      <c r="F129" s="17">
        <f t="shared" si="72"/>
        <v>2647.8913400000001</v>
      </c>
      <c r="G129" s="17" t="str">
        <f t="shared" si="73"/>
        <v>unendlich</v>
      </c>
      <c r="H129" s="17">
        <f t="shared" si="101"/>
        <v>2647.8913400000001</v>
      </c>
      <c r="I129" s="17">
        <f t="shared" si="74"/>
        <v>1055.7633032858389</v>
      </c>
      <c r="J129" s="20">
        <f>(Geraetedaten!$B$152+(Geraetedaten!$B$153*(Geraetedaten!$B$18+d_y_Sw)/1000))*10</f>
        <v>6051.0442000000003</v>
      </c>
      <c r="K129" s="20">
        <f>(Geraetedaten!$B$165+(Geraetedaten!$B$166*(Geraetedaten!$B$18+d_y_Sw)/1000))*10</f>
        <v>10816.164000000001</v>
      </c>
      <c r="L129" s="20">
        <f>(Geraetedaten!$B$158+(Geraetedaten!$B$159*(Geraetedaten!$B$18+d_y_Sw)/1000)-(Geraetedaten!$B$160*I129/1000))*10</f>
        <v>524.11747697004921</v>
      </c>
      <c r="M129" s="20">
        <f>(Geraetedaten!$B$171+(Geraetedaten!$B$172*(Geraetedaten!$B$18+d_y_Sw)/1000)-(Geraetedaten!$B$173*I129/1000))*10</f>
        <v>986.27597970340298</v>
      </c>
      <c r="N129" s="20">
        <f>IF((H129-J129)/(K129-J129)*(Geraetedaten!$B$174-Geraetedaten!$B$161)&lt;Geraetedaten!$B$174,(H129-J129)/(K129-J129)*(Geraetedaten!$B$174-Geraetedaten!$B$161),Geraetedaten!$B$174)</f>
        <v>-285.67196652642394</v>
      </c>
      <c r="O129" s="20">
        <f>N129/Geraetedaten!$B$174*(M129-L129)+L129+C129</f>
        <v>257.60125616318709</v>
      </c>
      <c r="P129" s="20">
        <f t="shared" si="75"/>
        <v>133.6644690983141</v>
      </c>
      <c r="Q129" s="21">
        <f>(N129-Geraetedaten!$B$161)/(Geraetedaten!$B$174-Geraetedaten!$B$161)*(Geraetedaten!$B$175-Geraetedaten!$B$162)+Geraetedaten!$B$162</f>
        <v>20.701258995838884</v>
      </c>
      <c r="R129" s="21">
        <f t="shared" si="76"/>
        <v>20.701258995838884</v>
      </c>
      <c r="S129" s="21">
        <f t="shared" si="77"/>
        <v>20.701258995838884</v>
      </c>
      <c r="T129" s="88">
        <f t="shared" si="78"/>
        <v>1.2681057736707589E-15</v>
      </c>
      <c r="U129" s="86">
        <f t="shared" si="79"/>
        <v>-2829.8175099999999</v>
      </c>
      <c r="V129" s="85">
        <f t="shared" si="80"/>
        <v>-1141.3067828769733</v>
      </c>
      <c r="W129" s="85">
        <f t="shared" si="81"/>
        <v>-1141.3085199185809</v>
      </c>
      <c r="X129" s="90">
        <f t="shared" si="82"/>
        <v>1141.3067828769733</v>
      </c>
      <c r="Y129" s="86">
        <f t="shared" si="83"/>
        <v>6.8457197517031899E+19</v>
      </c>
      <c r="Z129" s="85">
        <f t="shared" si="84"/>
        <v>-750</v>
      </c>
      <c r="AA129" s="85" t="e">
        <f t="shared" si="85"/>
        <v>#DIV/0!</v>
      </c>
      <c r="AB129" s="90">
        <f t="shared" si="86"/>
        <v>750</v>
      </c>
      <c r="AC129" s="86">
        <f t="shared" si="87"/>
        <v>2711.4394400000001</v>
      </c>
      <c r="AD129" s="85">
        <f t="shared" si="88"/>
        <v>1055.7627565116984</v>
      </c>
      <c r="AE129" s="85">
        <f t="shared" si="89"/>
        <v>1055.7633032858389</v>
      </c>
      <c r="AF129" s="90">
        <f t="shared" si="90"/>
        <v>1055.7627565116984</v>
      </c>
      <c r="AG129" s="86" t="e">
        <f t="shared" si="91"/>
        <v>#DIV/0!</v>
      </c>
      <c r="AH129" s="85">
        <f t="shared" si="92"/>
        <v>6128</v>
      </c>
      <c r="AI129" s="85" t="e">
        <f t="shared" si="93"/>
        <v>#DIV/0!</v>
      </c>
      <c r="AJ129" s="90">
        <f t="shared" si="94"/>
        <v>6128</v>
      </c>
      <c r="AL129" s="95">
        <f t="shared" si="95"/>
        <v>0</v>
      </c>
      <c r="AM129" s="95">
        <f t="shared" si="96"/>
        <v>0</v>
      </c>
      <c r="AN129" s="95">
        <f t="shared" si="97"/>
        <v>0</v>
      </c>
      <c r="AO129" s="95">
        <f t="shared" si="98"/>
        <v>0</v>
      </c>
      <c r="AP129"/>
      <c r="AQ129" s="95">
        <f t="shared" si="99"/>
        <v>0</v>
      </c>
      <c r="AR129" s="95">
        <f t="shared" si="100"/>
        <v>0</v>
      </c>
      <c r="AS129" s="95">
        <f>Geraetedaten!$B$94*ABS(SIN(RADIANS($A129)))</f>
        <v>154</v>
      </c>
      <c r="AT129" s="95">
        <f>Geraetedaten!$B$94*ABS(COS(RADIANS($A129)))</f>
        <v>9.4336431027963741E-15</v>
      </c>
      <c r="AU129" s="95">
        <f>((h_Aw_Sw+Geraetedaten!$B$18)/1000)*(AQ129*AS129+AR129*AT129)/100</f>
        <v>0</v>
      </c>
    </row>
    <row r="130" spans="1:47" ht="13.5" x14ac:dyDescent="0.25">
      <c r="A130" s="16">
        <v>91</v>
      </c>
      <c r="B130" s="16">
        <f t="shared" si="68"/>
        <v>359</v>
      </c>
      <c r="C130" s="19">
        <f t="shared" si="69"/>
        <v>64.061065739760167</v>
      </c>
      <c r="D130" s="17">
        <f t="shared" si="70"/>
        <v>-2894.3958257397603</v>
      </c>
      <c r="E130" s="17">
        <f t="shared" si="71"/>
        <v>480501.35589426022</v>
      </c>
      <c r="F130" s="17">
        <f t="shared" si="72"/>
        <v>2647.7432242602399</v>
      </c>
      <c r="G130" s="17">
        <f t="shared" si="73"/>
        <v>-510241.57079573977</v>
      </c>
      <c r="H130" s="17">
        <f t="shared" si="101"/>
        <v>2647.7432242602399</v>
      </c>
      <c r="I130" s="17">
        <f t="shared" si="74"/>
        <v>1055.9053678259208</v>
      </c>
      <c r="J130" s="20">
        <f>(Geraetedaten!$B$152+(Geraetedaten!$B$153*(Geraetedaten!$B$18+d_y_Sw)/1000))*10</f>
        <v>6051.0442000000003</v>
      </c>
      <c r="K130" s="20">
        <f>(Geraetedaten!$B$165+(Geraetedaten!$B$166*(Geraetedaten!$B$18+d_y_Sw)/1000))*10</f>
        <v>10816.164000000001</v>
      </c>
      <c r="L130" s="20">
        <f>(Geraetedaten!$B$158+(Geraetedaten!$B$159*(Geraetedaten!$B$18+d_y_Sw)/1000)-(Geraetedaten!$B$160*I130/1000))*10</f>
        <v>524.10705937732496</v>
      </c>
      <c r="M130" s="20">
        <f>(Geraetedaten!$B$171+(Geraetedaten!$B$172*(Geraetedaten!$B$18+d_y_Sw)/1000)-(Geraetedaten!$B$173*I130/1000))*10</f>
        <v>986.26540441903944</v>
      </c>
      <c r="N130" s="20">
        <f>IF((H130-J130)/(K130-J130)*(Geraetedaten!$B$174-Geraetedaten!$B$161)&lt;Geraetedaten!$B$174,(H130-J130)/(K130-J130)*(Geraetedaten!$B$174-Geraetedaten!$B$161),Geraetedaten!$B$174)</f>
        <v>-285.68439985410316</v>
      </c>
      <c r="O130" s="20">
        <f>N130/Geraetedaten!$B$174*(M130-L130)+L130+C130</f>
        <v>258.08955151506581</v>
      </c>
      <c r="P130" s="20">
        <f t="shared" si="75"/>
        <v>133.92132636643353</v>
      </c>
      <c r="Q130" s="21">
        <f>(N130-Geraetedaten!$B$161)/(Geraetedaten!$B$174-Geraetedaten!$B$161)*(Geraetedaten!$B$175-Geraetedaten!$B$162)+Geraetedaten!$B$162</f>
        <v>20.700889104340426</v>
      </c>
      <c r="R130" s="21">
        <f t="shared" si="76"/>
        <v>20.700889104340426</v>
      </c>
      <c r="S130" s="21">
        <f t="shared" si="77"/>
        <v>20.697736258662829</v>
      </c>
      <c r="T130" s="88">
        <f t="shared" si="78"/>
        <v>-0.36128033026208223</v>
      </c>
      <c r="U130" s="86">
        <f t="shared" si="79"/>
        <v>-2830.3347600000002</v>
      </c>
      <c r="V130" s="85">
        <f t="shared" si="80"/>
        <v>-1141.3067828769733</v>
      </c>
      <c r="W130" s="85">
        <f t="shared" si="81"/>
        <v>-1141.517136671602</v>
      </c>
      <c r="X130" s="90">
        <f t="shared" si="82"/>
        <v>1141.3067828769733</v>
      </c>
      <c r="Y130" s="86">
        <f t="shared" si="83"/>
        <v>480565.41696</v>
      </c>
      <c r="Z130" s="85">
        <f t="shared" si="84"/>
        <v>-750</v>
      </c>
      <c r="AA130" s="85">
        <f t="shared" si="85"/>
        <v>42974.016373912644</v>
      </c>
      <c r="AB130" s="90">
        <f t="shared" si="86"/>
        <v>750</v>
      </c>
      <c r="AC130" s="86">
        <f t="shared" si="87"/>
        <v>2711.80429</v>
      </c>
      <c r="AD130" s="85">
        <f t="shared" si="88"/>
        <v>1055.7627565116984</v>
      </c>
      <c r="AE130" s="85">
        <f t="shared" si="89"/>
        <v>1055.9053678259208</v>
      </c>
      <c r="AF130" s="90">
        <f t="shared" si="90"/>
        <v>1055.7627565116984</v>
      </c>
      <c r="AG130" s="86">
        <f t="shared" si="91"/>
        <v>-510177.50972999999</v>
      </c>
      <c r="AH130" s="85">
        <f t="shared" si="92"/>
        <v>6128</v>
      </c>
      <c r="AI130" s="85">
        <f t="shared" si="93"/>
        <v>-351126.36311911553</v>
      </c>
      <c r="AJ130" s="90">
        <f t="shared" si="94"/>
        <v>6128</v>
      </c>
      <c r="AL130" s="95">
        <f t="shared" si="95"/>
        <v>0</v>
      </c>
      <c r="AM130" s="95">
        <f t="shared" si="96"/>
        <v>0</v>
      </c>
      <c r="AN130" s="95">
        <f t="shared" si="97"/>
        <v>0</v>
      </c>
      <c r="AO130" s="95">
        <f t="shared" si="98"/>
        <v>0</v>
      </c>
      <c r="AP130"/>
      <c r="AQ130" s="95">
        <f t="shared" si="99"/>
        <v>0</v>
      </c>
      <c r="AR130" s="95">
        <f t="shared" si="100"/>
        <v>0</v>
      </c>
      <c r="AS130" s="95">
        <f>Geraetedaten!$B$94*ABS(SIN(RADIANS($A130)))</f>
        <v>153.97654505408426</v>
      </c>
      <c r="AT130" s="95">
        <f>Geraetedaten!$B$94*ABS(COS(RADIANS($A130)))</f>
        <v>2.6876705913416554</v>
      </c>
      <c r="AU130" s="95">
        <f>((h_Aw_Sw+Geraetedaten!$B$18)/1000)*(AQ130*AS130+AR130*AT130)/100</f>
        <v>0</v>
      </c>
    </row>
    <row r="131" spans="1:47" ht="13.5" x14ac:dyDescent="0.25">
      <c r="A131" s="16">
        <v>92</v>
      </c>
      <c r="B131" s="16">
        <f t="shared" si="68"/>
        <v>358</v>
      </c>
      <c r="C131" s="19">
        <f t="shared" si="69"/>
        <v>64.554517858322527</v>
      </c>
      <c r="D131" s="17">
        <f t="shared" si="70"/>
        <v>-2896.2694478583226</v>
      </c>
      <c r="E131" s="17">
        <f t="shared" si="71"/>
        <v>240254.75576214169</v>
      </c>
      <c r="F131" s="17">
        <f t="shared" si="72"/>
        <v>2648.4412421416773</v>
      </c>
      <c r="G131" s="17">
        <f t="shared" si="73"/>
        <v>-255192.1665478583</v>
      </c>
      <c r="H131" s="17">
        <f t="shared" si="101"/>
        <v>2648.4412421416773</v>
      </c>
      <c r="I131" s="17">
        <f t="shared" si="74"/>
        <v>1056.3692942290363</v>
      </c>
      <c r="J131" s="20">
        <f>(Geraetedaten!$B$152+(Geraetedaten!$B$153*(Geraetedaten!$B$18+d_y_Sw)/1000))*10</f>
        <v>6051.0442000000003</v>
      </c>
      <c r="K131" s="20">
        <f>(Geraetedaten!$B$165+(Geraetedaten!$B$166*(Geraetedaten!$B$18+d_y_Sw)/1000))*10</f>
        <v>10816.164000000001</v>
      </c>
      <c r="L131" s="20">
        <f>(Geraetedaten!$B$158+(Geraetedaten!$B$159*(Geraetedaten!$B$18+d_y_Sw)/1000)-(Geraetedaten!$B$160*I131/1000))*10</f>
        <v>524.07303965418453</v>
      </c>
      <c r="M131" s="20">
        <f>(Geraetedaten!$B$171+(Geraetedaten!$B$172*(Geraetedaten!$B$18+d_y_Sw)/1000)-(Geraetedaten!$B$173*I131/1000))*10</f>
        <v>986.23086973759143</v>
      </c>
      <c r="N131" s="20">
        <f>IF((H131-J131)/(K131-J131)*(Geraetedaten!$B$174-Geraetedaten!$B$161)&lt;Geraetedaten!$B$174,(H131-J131)/(K131-J131)*(Geraetedaten!$B$174-Geraetedaten!$B$161),Geraetedaten!$B$174)</f>
        <v>-285.62580591223099</v>
      </c>
      <c r="O131" s="20">
        <f>N131/Geraetedaten!$B$174*(M131-L131)+L131+C131</f>
        <v>258.61705082195454</v>
      </c>
      <c r="P131" s="20">
        <f t="shared" si="75"/>
        <v>134.18630506128386</v>
      </c>
      <c r="Q131" s="21">
        <f>(N131-Geraetedaten!$B$161)/(Geraetedaten!$B$174-Geraetedaten!$B$161)*(Geraetedaten!$B$175-Geraetedaten!$B$162)+Geraetedaten!$B$162</f>
        <v>20.702632274111124</v>
      </c>
      <c r="R131" s="21">
        <f t="shared" si="76"/>
        <v>20.702632274111124</v>
      </c>
      <c r="S131" s="21">
        <f t="shared" si="77"/>
        <v>20.690020789896138</v>
      </c>
      <c r="T131" s="88">
        <f t="shared" si="78"/>
        <v>-0.72251144678343104</v>
      </c>
      <c r="U131" s="86">
        <f t="shared" si="79"/>
        <v>-2831.7149300000001</v>
      </c>
      <c r="V131" s="85">
        <f t="shared" si="80"/>
        <v>-1141.3067828769733</v>
      </c>
      <c r="W131" s="85">
        <f t="shared" si="81"/>
        <v>-1142.0737800414061</v>
      </c>
      <c r="X131" s="90">
        <f t="shared" si="82"/>
        <v>1141.3067828769733</v>
      </c>
      <c r="Y131" s="86">
        <f t="shared" si="83"/>
        <v>240319.31028000001</v>
      </c>
      <c r="Z131" s="85">
        <f t="shared" si="84"/>
        <v>-750</v>
      </c>
      <c r="AA131" s="85">
        <f t="shared" si="85"/>
        <v>21490.281260882868</v>
      </c>
      <c r="AB131" s="90">
        <f t="shared" si="86"/>
        <v>750</v>
      </c>
      <c r="AC131" s="86">
        <f t="shared" si="87"/>
        <v>2712.9957599999998</v>
      </c>
      <c r="AD131" s="85">
        <f t="shared" si="88"/>
        <v>1055.7627565116984</v>
      </c>
      <c r="AE131" s="85">
        <f t="shared" si="89"/>
        <v>1056.3692942290363</v>
      </c>
      <c r="AF131" s="90">
        <f t="shared" si="90"/>
        <v>1055.7627565116984</v>
      </c>
      <c r="AG131" s="86">
        <f t="shared" si="91"/>
        <v>-255127.61202999999</v>
      </c>
      <c r="AH131" s="85">
        <f t="shared" si="92"/>
        <v>6128</v>
      </c>
      <c r="AI131" s="85">
        <f t="shared" si="93"/>
        <v>-175589.92475558695</v>
      </c>
      <c r="AJ131" s="90">
        <f t="shared" si="94"/>
        <v>6128</v>
      </c>
      <c r="AL131" s="95">
        <f t="shared" si="95"/>
        <v>0</v>
      </c>
      <c r="AM131" s="95">
        <f t="shared" si="96"/>
        <v>0</v>
      </c>
      <c r="AN131" s="95">
        <f t="shared" si="97"/>
        <v>0</v>
      </c>
      <c r="AO131" s="95">
        <f t="shared" si="98"/>
        <v>0</v>
      </c>
      <c r="AP131"/>
      <c r="AQ131" s="95">
        <f t="shared" si="99"/>
        <v>0</v>
      </c>
      <c r="AR131" s="95">
        <f t="shared" si="100"/>
        <v>0</v>
      </c>
      <c r="AS131" s="95">
        <f>Geraetedaten!$B$94*ABS(SIN(RADIANS($A131)))</f>
        <v>153.90618736094075</v>
      </c>
      <c r="AT131" s="95">
        <f>Geraetedaten!$B$94*ABS(COS(RADIANS($A131)))</f>
        <v>5.3745224921851475</v>
      </c>
      <c r="AU131" s="95">
        <f>((h_Aw_Sw+Geraetedaten!$B$18)/1000)*(AQ131*AS131+AR131*AT131)/100</f>
        <v>0</v>
      </c>
    </row>
    <row r="132" spans="1:47" ht="13.5" x14ac:dyDescent="0.25">
      <c r="A132" s="16">
        <v>93</v>
      </c>
      <c r="B132" s="16">
        <f t="shared" si="68"/>
        <v>357</v>
      </c>
      <c r="C132" s="19">
        <f t="shared" si="69"/>
        <v>65.028306045391574</v>
      </c>
      <c r="D132" s="17">
        <f t="shared" si="70"/>
        <v>-2898.9884260453919</v>
      </c>
      <c r="E132" s="17">
        <f t="shared" si="71"/>
        <v>160188.52543395461</v>
      </c>
      <c r="F132" s="17">
        <f t="shared" si="72"/>
        <v>2649.9873539546084</v>
      </c>
      <c r="G132" s="17">
        <f t="shared" si="73"/>
        <v>-170193.28990604539</v>
      </c>
      <c r="H132" s="17">
        <f t="shared" si="101"/>
        <v>2649.9873539546084</v>
      </c>
      <c r="I132" s="17">
        <f t="shared" si="74"/>
        <v>1057.155789916633</v>
      </c>
      <c r="J132" s="20">
        <f>(Geraetedaten!$B$152+(Geraetedaten!$B$153*(Geraetedaten!$B$18+d_y_Sw)/1000))*10</f>
        <v>6051.0442000000003</v>
      </c>
      <c r="K132" s="20">
        <f>(Geraetedaten!$B$165+(Geraetedaten!$B$166*(Geraetedaten!$B$18+d_y_Sw)/1000))*10</f>
        <v>10816.164000000001</v>
      </c>
      <c r="L132" s="20">
        <f>(Geraetedaten!$B$158+(Geraetedaten!$B$159*(Geraetedaten!$B$18+d_y_Sw)/1000)-(Geraetedaten!$B$160*I132/1000))*10</f>
        <v>524.01536592541311</v>
      </c>
      <c r="M132" s="20">
        <f>(Geraetedaten!$B$171+(Geraetedaten!$B$172*(Geraetedaten!$B$18+d_y_Sw)/1000)-(Geraetedaten!$B$173*I132/1000))*10</f>
        <v>986.17232299860677</v>
      </c>
      <c r="N132" s="20">
        <f>IF((H132-J132)/(K132-J132)*(Geraetedaten!$B$174-Geraetedaten!$B$161)&lt;Geraetedaten!$B$174,(H132-J132)/(K132-J132)*(Geraetedaten!$B$174-Geraetedaten!$B$161),Geraetedaten!$B$174)</f>
        <v>-285.49602014584326</v>
      </c>
      <c r="O132" s="20">
        <f>N132/Geraetedaten!$B$174*(M132-L132)+L132+C132</f>
        <v>259.18374215302936</v>
      </c>
      <c r="P132" s="20">
        <f t="shared" si="75"/>
        <v>134.45929628332618</v>
      </c>
      <c r="Q132" s="21">
        <f>(N132-Geraetedaten!$B$161)/(Geraetedaten!$B$174-Geraetedaten!$B$161)*(Geraetedaten!$B$175-Geraetedaten!$B$162)+Geraetedaten!$B$162</f>
        <v>20.706493400661159</v>
      </c>
      <c r="R132" s="21">
        <f t="shared" si="76"/>
        <v>20.706493400661159</v>
      </c>
      <c r="S132" s="21">
        <f t="shared" si="77"/>
        <v>20.678115871100907</v>
      </c>
      <c r="T132" s="88">
        <f t="shared" si="78"/>
        <v>-1.0836941325618079</v>
      </c>
      <c r="U132" s="86">
        <f t="shared" si="79"/>
        <v>-2833.9601200000002</v>
      </c>
      <c r="V132" s="85">
        <f t="shared" si="80"/>
        <v>-1141.3067828769733</v>
      </c>
      <c r="W132" s="85">
        <f t="shared" si="81"/>
        <v>-1142.9792989790508</v>
      </c>
      <c r="X132" s="90">
        <f t="shared" si="82"/>
        <v>1141.3067828769733</v>
      </c>
      <c r="Y132" s="86">
        <f t="shared" si="83"/>
        <v>160253.55374</v>
      </c>
      <c r="Z132" s="85">
        <f t="shared" si="84"/>
        <v>-750</v>
      </c>
      <c r="AA132" s="85">
        <f t="shared" si="85"/>
        <v>14330.491956973048</v>
      </c>
      <c r="AB132" s="90">
        <f t="shared" si="86"/>
        <v>750</v>
      </c>
      <c r="AC132" s="86">
        <f t="shared" si="87"/>
        <v>2715.01566</v>
      </c>
      <c r="AD132" s="85">
        <f t="shared" si="88"/>
        <v>1055.7627565116984</v>
      </c>
      <c r="AE132" s="85">
        <f t="shared" si="89"/>
        <v>1057.155789916633</v>
      </c>
      <c r="AF132" s="90">
        <f t="shared" si="90"/>
        <v>1055.7627565116984</v>
      </c>
      <c r="AG132" s="86">
        <f t="shared" si="91"/>
        <v>-170128.2616</v>
      </c>
      <c r="AH132" s="85">
        <f t="shared" si="92"/>
        <v>6128</v>
      </c>
      <c r="AI132" s="85">
        <f t="shared" si="93"/>
        <v>-117089.67294977445</v>
      </c>
      <c r="AJ132" s="90">
        <f t="shared" si="94"/>
        <v>6128</v>
      </c>
      <c r="AL132" s="95">
        <f t="shared" si="95"/>
        <v>0</v>
      </c>
      <c r="AM132" s="95">
        <f t="shared" si="96"/>
        <v>0</v>
      </c>
      <c r="AN132" s="95">
        <f t="shared" si="97"/>
        <v>0</v>
      </c>
      <c r="AO132" s="95">
        <f t="shared" si="98"/>
        <v>0</v>
      </c>
      <c r="AP132"/>
      <c r="AQ132" s="95">
        <f t="shared" si="99"/>
        <v>0</v>
      </c>
      <c r="AR132" s="95">
        <f t="shared" si="100"/>
        <v>0</v>
      </c>
      <c r="AS132" s="95">
        <f>Geraetedaten!$B$94*ABS(SIN(RADIANS($A132)))</f>
        <v>153.78894835220436</v>
      </c>
      <c r="AT132" s="95">
        <f>Geraetedaten!$B$94*ABS(COS(RADIANS($A132)))</f>
        <v>8.0597372614133516</v>
      </c>
      <c r="AU132" s="95">
        <f>((h_Aw_Sw+Geraetedaten!$B$18)/1000)*(AQ132*AS132+AR132*AT132)/100</f>
        <v>0</v>
      </c>
    </row>
    <row r="133" spans="1:47" ht="13.5" x14ac:dyDescent="0.25">
      <c r="A133" s="16">
        <v>94</v>
      </c>
      <c r="B133" s="16">
        <f t="shared" si="68"/>
        <v>356</v>
      </c>
      <c r="C133" s="19">
        <f t="shared" si="69"/>
        <v>65.48228598049586</v>
      </c>
      <c r="D133" s="17">
        <f t="shared" si="70"/>
        <v>-2902.556045980496</v>
      </c>
      <c r="E133" s="17">
        <f t="shared" si="71"/>
        <v>120167.4154840195</v>
      </c>
      <c r="F133" s="17">
        <f t="shared" si="72"/>
        <v>2652.3847940195042</v>
      </c>
      <c r="G133" s="17">
        <f t="shared" si="73"/>
        <v>-127707.0440959805</v>
      </c>
      <c r="H133" s="17">
        <f t="shared" si="101"/>
        <v>2652.3847940195042</v>
      </c>
      <c r="I133" s="17">
        <f t="shared" si="74"/>
        <v>1058.2660558871796</v>
      </c>
      <c r="J133" s="20">
        <f>(Geraetedaten!$B$152+(Geraetedaten!$B$153*(Geraetedaten!$B$18+d_y_Sw)/1000))*10</f>
        <v>6051.0442000000003</v>
      </c>
      <c r="K133" s="20">
        <f>(Geraetedaten!$B$165+(Geraetedaten!$B$166*(Geraetedaten!$B$18+d_y_Sw)/1000))*10</f>
        <v>10816.164000000001</v>
      </c>
      <c r="L133" s="20">
        <f>(Geraetedaten!$B$158+(Geraetedaten!$B$159*(Geraetedaten!$B$18+d_y_Sw)/1000)-(Geraetedaten!$B$160*I133/1000))*10</f>
        <v>523.9339501217928</v>
      </c>
      <c r="M133" s="20">
        <f>(Geraetedaten!$B$171+(Geraetedaten!$B$172*(Geraetedaten!$B$18+d_y_Sw)/1000)-(Geraetedaten!$B$173*I133/1000))*10</f>
        <v>986.08967479975934</v>
      </c>
      <c r="N133" s="20">
        <f>IF((H133-J133)/(K133-J133)*(Geraetedaten!$B$174-Geraetedaten!$B$161)&lt;Geraetedaten!$B$174,(H133-J133)/(K133-J133)*(Geraetedaten!$B$174-Geraetedaten!$B$161),Geraetedaten!$B$174)</f>
        <v>-285.2947710553255</v>
      </c>
      <c r="O133" s="20">
        <f>N133/Geraetedaten!$B$174*(M133-L133)+L133+C133</f>
        <v>259.78970694251745</v>
      </c>
      <c r="P133" s="20">
        <f t="shared" si="75"/>
        <v>134.74021655646283</v>
      </c>
      <c r="Q133" s="21">
        <f>(N133-Geraetedaten!$B$161)/(Geraetedaten!$B$174-Geraetedaten!$B$161)*(Geraetedaten!$B$175-Geraetedaten!$B$162)+Geraetedaten!$B$162</f>
        <v>20.712480561104066</v>
      </c>
      <c r="R133" s="21">
        <f t="shared" si="76"/>
        <v>20.712480561104066</v>
      </c>
      <c r="S133" s="21">
        <f t="shared" si="77"/>
        <v>20.662025999462848</v>
      </c>
      <c r="T133" s="88">
        <f t="shared" si="78"/>
        <v>-1.4448296064363619</v>
      </c>
      <c r="U133" s="86">
        <f t="shared" si="79"/>
        <v>-2837.0737600000002</v>
      </c>
      <c r="V133" s="85">
        <f t="shared" si="80"/>
        <v>-1141.3067828769733</v>
      </c>
      <c r="W133" s="85">
        <f t="shared" si="81"/>
        <v>-1144.2350766382137</v>
      </c>
      <c r="X133" s="90">
        <f t="shared" si="82"/>
        <v>1141.3067828769733</v>
      </c>
      <c r="Y133" s="86">
        <f t="shared" si="83"/>
        <v>120232.89777</v>
      </c>
      <c r="Z133" s="85">
        <f t="shared" si="84"/>
        <v>-750</v>
      </c>
      <c r="AA133" s="85">
        <f t="shared" si="85"/>
        <v>10751.690269652756</v>
      </c>
      <c r="AB133" s="90">
        <f t="shared" si="86"/>
        <v>750</v>
      </c>
      <c r="AC133" s="86">
        <f t="shared" si="87"/>
        <v>2717.86708</v>
      </c>
      <c r="AD133" s="85">
        <f t="shared" si="88"/>
        <v>1055.7627565116984</v>
      </c>
      <c r="AE133" s="85">
        <f t="shared" si="89"/>
        <v>1058.2660558871796</v>
      </c>
      <c r="AF133" s="90">
        <f t="shared" si="90"/>
        <v>1055.7627565116984</v>
      </c>
      <c r="AG133" s="86">
        <f t="shared" si="91"/>
        <v>-127641.56181</v>
      </c>
      <c r="AH133" s="85">
        <f t="shared" si="92"/>
        <v>6128</v>
      </c>
      <c r="AI133" s="85">
        <f t="shared" si="93"/>
        <v>-87848.477296576122</v>
      </c>
      <c r="AJ133" s="90">
        <f t="shared" si="94"/>
        <v>6128</v>
      </c>
      <c r="AL133" s="95">
        <f t="shared" si="95"/>
        <v>0</v>
      </c>
      <c r="AM133" s="95">
        <f t="shared" si="96"/>
        <v>0</v>
      </c>
      <c r="AN133" s="95">
        <f t="shared" si="97"/>
        <v>0</v>
      </c>
      <c r="AO133" s="95">
        <f t="shared" si="98"/>
        <v>0</v>
      </c>
      <c r="AP133"/>
      <c r="AQ133" s="95">
        <f t="shared" si="99"/>
        <v>0</v>
      </c>
      <c r="AR133" s="95">
        <f t="shared" si="100"/>
        <v>0</v>
      </c>
      <c r="AS133" s="95">
        <f>Geraetedaten!$B$94*ABS(SIN(RADIANS($A133)))</f>
        <v>153.62486374001293</v>
      </c>
      <c r="AT133" s="95">
        <f>Geraetedaten!$B$94*ABS(COS(RADIANS($A133)))</f>
        <v>10.742496956595302</v>
      </c>
      <c r="AU133" s="95">
        <f>((h_Aw_Sw+Geraetedaten!$B$18)/1000)*(AQ133*AS133+AR133*AT133)/100</f>
        <v>0</v>
      </c>
    </row>
    <row r="134" spans="1:47" ht="13.5" x14ac:dyDescent="0.25">
      <c r="A134" s="16">
        <v>95</v>
      </c>
      <c r="B134" s="16">
        <f t="shared" si="68"/>
        <v>355</v>
      </c>
      <c r="C134" s="19">
        <f t="shared" si="69"/>
        <v>65.916319376949332</v>
      </c>
      <c r="D134" s="17">
        <f t="shared" si="70"/>
        <v>-2906.9769293769496</v>
      </c>
      <c r="E134" s="17">
        <f t="shared" si="71"/>
        <v>96164.380300623045</v>
      </c>
      <c r="F134" s="17">
        <f t="shared" si="72"/>
        <v>2655.6380506230507</v>
      </c>
      <c r="G134" s="17">
        <f t="shared" si="73"/>
        <v>-102225.85407937695</v>
      </c>
      <c r="H134" s="17">
        <f t="shared" si="101"/>
        <v>2655.6380506230507</v>
      </c>
      <c r="I134" s="17">
        <f t="shared" si="74"/>
        <v>1059.7017911980784</v>
      </c>
      <c r="J134" s="20">
        <f>(Geraetedaten!$B$152+(Geraetedaten!$B$153*(Geraetedaten!$B$18+d_y_Sw)/1000))*10</f>
        <v>6051.0442000000003</v>
      </c>
      <c r="K134" s="20">
        <f>(Geraetedaten!$B$165+(Geraetedaten!$B$166*(Geraetedaten!$B$18+d_y_Sw)/1000))*10</f>
        <v>10816.164000000001</v>
      </c>
      <c r="L134" s="20">
        <f>(Geraetedaten!$B$158+(Geraetedaten!$B$159*(Geraetedaten!$B$18+d_y_Sw)/1000)-(Geraetedaten!$B$160*I134/1000))*10</f>
        <v>523.82866765144468</v>
      </c>
      <c r="M134" s="20">
        <f>(Geraetedaten!$B$171+(Geraetedaten!$B$172*(Geraetedaten!$B$18+d_y_Sw)/1000)-(Geraetedaten!$B$173*I134/1000))*10</f>
        <v>985.98279866321604</v>
      </c>
      <c r="N134" s="20">
        <f>IF((H134-J134)/(K134-J134)*(Geraetedaten!$B$174-Geraetedaten!$B$161)&lt;Geraetedaten!$B$174,(H134-J134)/(K134-J134)*(Geraetedaten!$B$174-Geraetedaten!$B$161),Geraetedaten!$B$174)</f>
        <v>-285.02168187896973</v>
      </c>
      <c r="O134" s="20">
        <f>N134/Geraetedaten!$B$174*(M134-L134)+L134+C134</f>
        <v>260.435117757672</v>
      </c>
      <c r="P134" s="20">
        <f t="shared" si="75"/>
        <v>135.02900688736557</v>
      </c>
      <c r="Q134" s="21">
        <f>(N134-Geraetedaten!$B$161)/(Geraetedaten!$B$174-Geraetedaten!$B$161)*(Geraetedaten!$B$175-Geraetedaten!$B$162)+Geraetedaten!$B$162</f>
        <v>20.720604964100648</v>
      </c>
      <c r="R134" s="21">
        <f t="shared" si="76"/>
        <v>20.720604964100648</v>
      </c>
      <c r="S134" s="21">
        <f t="shared" si="77"/>
        <v>20.641756806490569</v>
      </c>
      <c r="T134" s="88">
        <f t="shared" si="78"/>
        <v>-1.8059197158270064</v>
      </c>
      <c r="U134" s="86">
        <f t="shared" si="79"/>
        <v>-2841.06061</v>
      </c>
      <c r="V134" s="85">
        <f t="shared" si="80"/>
        <v>-1141.3067828769733</v>
      </c>
      <c r="W134" s="85">
        <f t="shared" si="81"/>
        <v>-1145.843035539074</v>
      </c>
      <c r="X134" s="90">
        <f t="shared" si="82"/>
        <v>1141.3067828769733</v>
      </c>
      <c r="Y134" s="86">
        <f t="shared" si="83"/>
        <v>96230.296619999994</v>
      </c>
      <c r="Z134" s="85">
        <f t="shared" si="84"/>
        <v>-750</v>
      </c>
      <c r="AA134" s="85">
        <f t="shared" si="85"/>
        <v>8605.2849342523914</v>
      </c>
      <c r="AB134" s="90">
        <f t="shared" si="86"/>
        <v>750</v>
      </c>
      <c r="AC134" s="86">
        <f t="shared" si="87"/>
        <v>2721.5543699999998</v>
      </c>
      <c r="AD134" s="85">
        <f t="shared" si="88"/>
        <v>1055.7627565116984</v>
      </c>
      <c r="AE134" s="85">
        <f t="shared" si="89"/>
        <v>1059.7017911980784</v>
      </c>
      <c r="AF134" s="90">
        <f t="shared" si="90"/>
        <v>1055.7627565116984</v>
      </c>
      <c r="AG134" s="86">
        <f t="shared" si="91"/>
        <v>-102159.93776</v>
      </c>
      <c r="AH134" s="85">
        <f t="shared" si="92"/>
        <v>6128</v>
      </c>
      <c r="AI134" s="85">
        <f t="shared" si="93"/>
        <v>-70310.914769464885</v>
      </c>
      <c r="AJ134" s="90">
        <f t="shared" si="94"/>
        <v>6128</v>
      </c>
      <c r="AL134" s="95">
        <f t="shared" si="95"/>
        <v>0</v>
      </c>
      <c r="AM134" s="95">
        <f t="shared" si="96"/>
        <v>0</v>
      </c>
      <c r="AN134" s="95">
        <f t="shared" si="97"/>
        <v>0</v>
      </c>
      <c r="AO134" s="95">
        <f t="shared" si="98"/>
        <v>0</v>
      </c>
      <c r="AP134"/>
      <c r="AQ134" s="95">
        <f t="shared" si="99"/>
        <v>0</v>
      </c>
      <c r="AR134" s="95">
        <f t="shared" si="100"/>
        <v>0</v>
      </c>
      <c r="AS134" s="95">
        <f>Geraetedaten!$B$94*ABS(SIN(RADIANS($A134)))</f>
        <v>153.4139835061288</v>
      </c>
      <c r="AT134" s="95">
        <f>Geraetedaten!$B$94*ABS(COS(RADIANS($A134)))</f>
        <v>13.421984383139367</v>
      </c>
      <c r="AU134" s="95">
        <f>((h_Aw_Sw+Geraetedaten!$B$18)/1000)*(AQ134*AS134+AR134*AT134)/100</f>
        <v>0</v>
      </c>
    </row>
    <row r="135" spans="1:47" ht="13.5" x14ac:dyDescent="0.25">
      <c r="A135" s="16">
        <v>96</v>
      </c>
      <c r="B135" s="16">
        <f t="shared" ref="B135:B166" si="102">360-A135+90</f>
        <v>354</v>
      </c>
      <c r="C135" s="19">
        <f t="shared" ref="C135:C166" si="103">$AE$16*ABS(COS(RADIANS(A135)))+$AE$17*ABS(SIN(RADIANS(A135)))+AU135</f>
        <v>66.330274023974866</v>
      </c>
      <c r="D135" s="17">
        <f t="shared" ref="D135:D166" si="104">IF(ISNUMBER(U135),U135-C135,"unendlich")</f>
        <v>-2912.2570840239746</v>
      </c>
      <c r="E135" s="17">
        <f t="shared" ref="E135:E166" si="105">IF(ISNUMBER(Y135),Y135-C135,"unendlich")</f>
        <v>80170.408255976028</v>
      </c>
      <c r="F135" s="17">
        <f t="shared" ref="F135:F166" si="106">IF(ISNUMBER(AC135),AC135-C135,"unendlich")</f>
        <v>2659.7529259760254</v>
      </c>
      <c r="G135" s="17">
        <f t="shared" ref="G135:G166" si="107">IF(ISNUMBER(AG135),AG135-C135,"unendlich")</f>
        <v>-85247.198494023978</v>
      </c>
      <c r="H135" s="17">
        <f t="shared" si="101"/>
        <v>2659.7529259760254</v>
      </c>
      <c r="I135" s="17">
        <f t="shared" ref="I135:I166" si="108">IF(H135+C135=U135,W135,IF(H135+C135=Y135,AA135,IF(H135+C135=AC135,AE135,IF(H135+C135=AG135,AI135,"???"))))</f>
        <v>1061.4651993261707</v>
      </c>
      <c r="J135" s="20">
        <f>(Geraetedaten!$B$152+(Geraetedaten!$B$153*(Geraetedaten!$B$18+d_y_Sw)/1000))*10</f>
        <v>6051.0442000000003</v>
      </c>
      <c r="K135" s="20">
        <f>(Geraetedaten!$B$165+(Geraetedaten!$B$166*(Geraetedaten!$B$18+d_y_Sw)/1000))*10</f>
        <v>10816.164000000001</v>
      </c>
      <c r="L135" s="20">
        <f>(Geraetedaten!$B$158+(Geraetedaten!$B$159*(Geraetedaten!$B$18+d_y_Sw)/1000)-(Geraetedaten!$B$160*I135/1000))*10</f>
        <v>523.69935693341165</v>
      </c>
      <c r="M135" s="20">
        <f>(Geraetedaten!$B$171+(Geraetedaten!$B$172*(Geraetedaten!$B$18+d_y_Sw)/1000)-(Geraetedaten!$B$173*I135/1000))*10</f>
        <v>985.85153056216086</v>
      </c>
      <c r="N135" s="20">
        <f>IF((H135-J135)/(K135-J135)*(Geraetedaten!$B$174-Geraetedaten!$B$161)&lt;Geraetedaten!$B$174,(H135-J135)/(K135-J135)*(Geraetedaten!$B$174-Geraetedaten!$B$161),Geraetedaten!$B$174)</f>
        <v>-284.67626555991097</v>
      </c>
      <c r="O135" s="20">
        <f>N135/Geraetedaten!$B$174*(M135-L135)+L135+C135</f>
        <v>261.12024368481678</v>
      </c>
      <c r="P135" s="20">
        <f t="shared" ref="P135:P166" si="109">O135*100/9.81/(Q135-(I135/1000))</f>
        <v>135.3256343679617</v>
      </c>
      <c r="Q135" s="21">
        <f>(N135-Geraetedaten!$B$161)/(Geraetedaten!$B$174-Geraetedaten!$B$161)*(Geraetedaten!$B$175-Geraetedaten!$B$162)+Geraetedaten!$B$162</f>
        <v>20.730881099592647</v>
      </c>
      <c r="R135" s="21">
        <f t="shared" ref="R135:R166" si="110">SQRT((r_K_D/1000)^2+Q135^2-(2*(r_K_D/1000)*Q135*COS(RADIANS(2*A135))))</f>
        <v>20.730881099592647</v>
      </c>
      <c r="S135" s="21">
        <f t="shared" ref="S135:S166" si="111">R135*SIN(A135*Const_2)</f>
        <v>20.617315163821193</v>
      </c>
      <c r="T135" s="88">
        <f t="shared" ref="T135:T166" si="112">R135*COS(A135*Const_2)</f>
        <v>-2.1669671435248632</v>
      </c>
      <c r="U135" s="86">
        <f t="shared" ref="U135:U166" si="113">ROUND((F_S*r_Su_L-F_G*V135+F_SSw*X135)/(SIN(RADIANS(270+g_L-A135)))/1000,5)</f>
        <v>-2845.9268099999999</v>
      </c>
      <c r="V135" s="85">
        <f t="shared" ref="V135:V166" si="114">(SIN(RADIANS(g_L)))*(((VL_Z-HL_Z)/(VL_X-HL_X))*(-HL_X+AM135)+HL_Z-AL135)</f>
        <v>-1141.3067828769733</v>
      </c>
      <c r="W135" s="85">
        <f t="shared" ref="W135:W166" si="115">V135/(SIN(RADIANS(180-g_L-(90-$A135))))</f>
        <v>-1147.8056447696372</v>
      </c>
      <c r="X135" s="90">
        <f t="shared" ref="X135:X166" si="116">SIN(RADIANS(g_L))*(((VL_Z-HL_Z)/(VL_X-HL_X))*(-AO135+HL_X)-HL_Z+AN135)</f>
        <v>1141.3067828769733</v>
      </c>
      <c r="Y135" s="86">
        <f t="shared" ref="Y135:Y166" si="117">ROUND((F_S*r_Su_H-F_G*Z135+F_SSw*AB135)/(SIN(RADIANS(180+g_H-A135)))/1000,5)</f>
        <v>80236.738530000002</v>
      </c>
      <c r="Z135" s="85">
        <f t="shared" ref="Z135:Z166" si="118">(SIN(RADIANS(g_H)))*(((HL_X-HR_X)/(HL_Z-HR_Z))*(-HR_Z+AL135)+HR_X-AM135)</f>
        <v>-750</v>
      </c>
      <c r="AA135" s="85">
        <f t="shared" ref="AA135:AA166" si="119">Z135/(SIN(RADIANS(g_H-$A135)))</f>
        <v>7175.0791751292199</v>
      </c>
      <c r="AB135" s="90">
        <f t="shared" ref="AB135:AB166" si="120">SIN(RADIANS(g_H))*(((HL_X-HR_X)/(HL_Z-HR_Z))*(-AN135+HR_Z)-HR_X+AO135)</f>
        <v>750</v>
      </c>
      <c r="AC135" s="86">
        <f t="shared" ref="AC135:AC166" si="121">ROUND((F_S*r_Su_R+F_G*AD135+F_SSw*AF135)/(SIN(RADIANS(90+g_R-A135)))/1000,5)</f>
        <v>2726.0832</v>
      </c>
      <c r="AD135" s="85">
        <f t="shared" ref="AD135:AD166" si="122">(SIN(RADIANS(g_R)))*(((HR_Z-VR_Z)/(HR_X-VR_X))*(-VR_X+AM135)+VR_Z-AL135)</f>
        <v>1055.7627565116984</v>
      </c>
      <c r="AE135" s="85">
        <f t="shared" ref="AE135:AE166" si="123">AD135/(SIN(RADIANS(180-g_R-(90-$A135))))</f>
        <v>1061.4651993261707</v>
      </c>
      <c r="AF135" s="90">
        <f t="shared" ref="AF135:AF166" si="124">(SIN(RADIANS(g_R)))*(((HR_Z-VR_Z)/(HR_X-VR_X))*(-VR_X+AO135)+VR_Z-AN135)</f>
        <v>1055.7627565116984</v>
      </c>
      <c r="AG135" s="86">
        <f t="shared" ref="AG135:AG166" si="125">ROUND((F_S*r_Su_V+F_G*AH135+F_SSw*AJ135)/(SIN(RADIANS(g_V-A135)))/1000,5)</f>
        <v>-85180.868220000004</v>
      </c>
      <c r="AH135" s="85">
        <f t="shared" ref="AH135:AH166" si="126">(SIN(RADIANS(g_V)))*(((VR_X-VL_X)/(VR_Z-VL_Z))*(AL135-VL_Z)+VL_X-AM135)</f>
        <v>6128</v>
      </c>
      <c r="AI135" s="85">
        <f t="shared" ref="AI135:AI166" si="127">AH135/(SIN(RADIANS(g_V-$A135)))</f>
        <v>-58625.180246922479</v>
      </c>
      <c r="AJ135" s="90">
        <f t="shared" ref="AJ135:AJ166" si="128">(SIN(RADIANS(g_V)))*(((VR_X-VL_X)/(VR_Z-VL_Z))*(-VL_Z+AN135)+VL_X-AO135)</f>
        <v>6128</v>
      </c>
      <c r="AL135" s="95">
        <f t="shared" ref="AL135:AL166" si="129">SIN(RADIANS(A135))*r_K_D</f>
        <v>0</v>
      </c>
      <c r="AM135" s="95">
        <f t="shared" ref="AM135:AM166" si="130">COS(RADIANS(A135-180))*r_K_D</f>
        <v>0</v>
      </c>
      <c r="AN135" s="95">
        <f t="shared" ref="AN135:AN166" si="131">SIN(RADIANS(A135))*r_K_SSw</f>
        <v>0</v>
      </c>
      <c r="AO135" s="95">
        <f t="shared" ref="AO135:AO166" si="132">-COS(RADIANS(A135))*r_K_SSw</f>
        <v>0</v>
      </c>
      <c r="AP135"/>
      <c r="AQ135" s="95">
        <f t="shared" ref="AQ135:AQ166" si="133">MAX(d_y_Sw*(r_K_D*ABS(COS(RADIANS($A135)))+_r1_Sw+_r2_Sw), 2*_r1_Sw*d_y_Sw)/1000000</f>
        <v>0</v>
      </c>
      <c r="AR135" s="95">
        <f t="shared" ref="AR135:AR166" si="134">MAX(d_y_Sw*(r_K_D*ABS(SIN(RADIANS($A135)))+_r1_Sw+_r2_Sw), 2*_r1_Sw*d_y_Sw)/1000000</f>
        <v>0</v>
      </c>
      <c r="AS135" s="95">
        <f>Geraetedaten!$B$94*ABS(SIN(RADIANS($A135)))</f>
        <v>153.15637188671408</v>
      </c>
      <c r="AT135" s="95">
        <f>Geraetedaten!$B$94*ABS(COS(RADIANS($A135)))</f>
        <v>16.097383343218649</v>
      </c>
      <c r="AU135" s="95">
        <f>((h_Aw_Sw+Geraetedaten!$B$18)/1000)*(AQ135*AS135+AR135*AT135)/100</f>
        <v>0</v>
      </c>
    </row>
    <row r="136" spans="1:47" ht="13.5" x14ac:dyDescent="0.25">
      <c r="A136" s="16">
        <v>97</v>
      </c>
      <c r="B136" s="16">
        <f t="shared" si="102"/>
        <v>353</v>
      </c>
      <c r="C136" s="19">
        <f t="shared" si="103"/>
        <v>66.724023826976904</v>
      </c>
      <c r="D136" s="17">
        <f t="shared" si="104"/>
        <v>-2918.4038638269767</v>
      </c>
      <c r="E136" s="17">
        <f t="shared" si="105"/>
        <v>68753.068896173034</v>
      </c>
      <c r="F136" s="17">
        <f t="shared" si="106"/>
        <v>2664.7365261730229</v>
      </c>
      <c r="G136" s="17">
        <f t="shared" si="107"/>
        <v>-73127.142713826979</v>
      </c>
      <c r="H136" s="17">
        <f t="shared" ref="H136:H167" si="135">SMALL(D136:G136,COUNTIF(D136:G136,"&lt;0")+1)</f>
        <v>2664.7365261730229</v>
      </c>
      <c r="I136" s="17">
        <f t="shared" si="108"/>
        <v>1063.5589964512692</v>
      </c>
      <c r="J136" s="20">
        <f>(Geraetedaten!$B$152+(Geraetedaten!$B$153*(Geraetedaten!$B$18+d_y_Sw)/1000))*10</f>
        <v>6051.0442000000003</v>
      </c>
      <c r="K136" s="20">
        <f>(Geraetedaten!$B$165+(Geraetedaten!$B$166*(Geraetedaten!$B$18+d_y_Sw)/1000))*10</f>
        <v>10816.164000000001</v>
      </c>
      <c r="L136" s="20">
        <f>(Geraetedaten!$B$158+(Geraetedaten!$B$159*(Geraetedaten!$B$18+d_y_Sw)/1000)-(Geraetedaten!$B$160*I136/1000))*10</f>
        <v>523.54581879022817</v>
      </c>
      <c r="M136" s="20">
        <f>(Geraetedaten!$B$171+(Geraetedaten!$B$172*(Geraetedaten!$B$18+d_y_Sw)/1000)-(Geraetedaten!$B$173*I136/1000))*10</f>
        <v>985.69566830416852</v>
      </c>
      <c r="N136" s="20">
        <f>IF((H136-J136)/(K136-J136)*(Geraetedaten!$B$174-Geraetedaten!$B$161)&lt;Geraetedaten!$B$174,(H136-J136)/(K136-J136)*(Geraetedaten!$B$174-Geraetedaten!$B$161),Geraetedaten!$B$174)</f>
        <v>-284.2579255889413</v>
      </c>
      <c r="O136" s="20">
        <f>N136/Geraetedaten!$B$174*(M136-L136)+L136+C136</f>
        <v>261.8454487820199</v>
      </c>
      <c r="P136" s="20">
        <f t="shared" si="109"/>
        <v>135.63009133708277</v>
      </c>
      <c r="Q136" s="21">
        <f>(N136-Geraetedaten!$B$161)/(Geraetedaten!$B$174-Geraetedaten!$B$161)*(Geraetedaten!$B$175-Geraetedaten!$B$162)+Geraetedaten!$B$162</f>
        <v>20.743326713728994</v>
      </c>
      <c r="R136" s="21">
        <f t="shared" si="110"/>
        <v>20.743326713728994</v>
      </c>
      <c r="S136" s="21">
        <f t="shared" si="111"/>
        <v>20.588709101950347</v>
      </c>
      <c r="T136" s="88">
        <f t="shared" si="112"/>
        <v>-2.5279756066406058</v>
      </c>
      <c r="U136" s="86">
        <f t="shared" si="113"/>
        <v>-2851.6798399999998</v>
      </c>
      <c r="V136" s="85">
        <f t="shared" si="114"/>
        <v>-1141.3067828769733</v>
      </c>
      <c r="W136" s="85">
        <f t="shared" si="115"/>
        <v>-1150.1259292748518</v>
      </c>
      <c r="X136" s="90">
        <f t="shared" si="116"/>
        <v>1141.3067828769733</v>
      </c>
      <c r="Y136" s="86">
        <f t="shared" si="117"/>
        <v>68819.792920000007</v>
      </c>
      <c r="Z136" s="85">
        <f t="shared" si="118"/>
        <v>-750</v>
      </c>
      <c r="AA136" s="85">
        <f t="shared" si="119"/>
        <v>6154.1317860938088</v>
      </c>
      <c r="AB136" s="90">
        <f t="shared" si="120"/>
        <v>750</v>
      </c>
      <c r="AC136" s="86">
        <f t="shared" si="121"/>
        <v>2731.4605499999998</v>
      </c>
      <c r="AD136" s="85">
        <f t="shared" si="122"/>
        <v>1055.7627565116984</v>
      </c>
      <c r="AE136" s="85">
        <f t="shared" si="123"/>
        <v>1063.5589964512692</v>
      </c>
      <c r="AF136" s="90">
        <f t="shared" si="124"/>
        <v>1055.7627565116984</v>
      </c>
      <c r="AG136" s="86">
        <f t="shared" si="125"/>
        <v>-73060.418690000006</v>
      </c>
      <c r="AH136" s="85">
        <f t="shared" si="126"/>
        <v>6128</v>
      </c>
      <c r="AI136" s="85">
        <f t="shared" si="127"/>
        <v>-50283.359446910479</v>
      </c>
      <c r="AJ136" s="90">
        <f t="shared" si="128"/>
        <v>6128</v>
      </c>
      <c r="AL136" s="95">
        <f t="shared" si="129"/>
        <v>0</v>
      </c>
      <c r="AM136" s="95">
        <f t="shared" si="130"/>
        <v>0</v>
      </c>
      <c r="AN136" s="95">
        <f t="shared" si="131"/>
        <v>0</v>
      </c>
      <c r="AO136" s="95">
        <f t="shared" si="132"/>
        <v>0</v>
      </c>
      <c r="AP136"/>
      <c r="AQ136" s="95">
        <f t="shared" si="133"/>
        <v>0</v>
      </c>
      <c r="AR136" s="95">
        <f t="shared" si="134"/>
        <v>0</v>
      </c>
      <c r="AS136" s="95">
        <f>Geraetedaten!$B$94*ABS(SIN(RADIANS($A136)))</f>
        <v>152.8521073527636</v>
      </c>
      <c r="AT136" s="95">
        <f>Geraetedaten!$B$94*ABS(COS(RADIANS($A136)))</f>
        <v>18.767878884392694</v>
      </c>
      <c r="AU136" s="95">
        <f>((h_Aw_Sw+Geraetedaten!$B$18)/1000)*(AQ136*AS136+AR136*AT136)/100</f>
        <v>0</v>
      </c>
    </row>
    <row r="137" spans="1:47" ht="13.5" x14ac:dyDescent="0.25">
      <c r="A137" s="16">
        <v>98</v>
      </c>
      <c r="B137" s="16">
        <f t="shared" si="102"/>
        <v>352</v>
      </c>
      <c r="C137" s="19">
        <f t="shared" si="103"/>
        <v>67.097448845951106</v>
      </c>
      <c r="D137" s="17">
        <f t="shared" si="104"/>
        <v>-2925.426058845951</v>
      </c>
      <c r="E137" s="17">
        <f t="shared" si="105"/>
        <v>60196.149681154049</v>
      </c>
      <c r="F137" s="17">
        <f t="shared" si="106"/>
        <v>2670.5972811540491</v>
      </c>
      <c r="G137" s="17">
        <f t="shared" si="107"/>
        <v>-64043.722198845957</v>
      </c>
      <c r="H137" s="17">
        <f t="shared" si="135"/>
        <v>2670.5972811540491</v>
      </c>
      <c r="I137" s="17">
        <f t="shared" si="108"/>
        <v>1065.9864217209094</v>
      </c>
      <c r="J137" s="20">
        <f>(Geraetedaten!$B$152+(Geraetedaten!$B$153*(Geraetedaten!$B$18+d_y_Sw)/1000))*10</f>
        <v>6051.0442000000003</v>
      </c>
      <c r="K137" s="20">
        <f>(Geraetedaten!$B$165+(Geraetedaten!$B$166*(Geraetedaten!$B$18+d_y_Sw)/1000))*10</f>
        <v>10816.164000000001</v>
      </c>
      <c r="L137" s="20">
        <f>(Geraetedaten!$B$158+(Geraetedaten!$B$159*(Geraetedaten!$B$18+d_y_Sw)/1000)-(Geraetedaten!$B$160*I137/1000))*10</f>
        <v>523.36781569520542</v>
      </c>
      <c r="M137" s="20">
        <f>(Geraetedaten!$B$171+(Geraetedaten!$B$172*(Geraetedaten!$B$18+d_y_Sw)/1000)-(Geraetedaten!$B$173*I137/1000))*10</f>
        <v>985.51497076709654</v>
      </c>
      <c r="N137" s="20">
        <f>IF((H137-J137)/(K137-J137)*(Geraetedaten!$B$174-Geraetedaten!$B$161)&lt;Geraetedaten!$B$174,(H137-J137)/(K137-J137)*(Geraetedaten!$B$174-Geraetedaten!$B$161),Geraetedaten!$B$174)</f>
        <v>-283.76595432886711</v>
      </c>
      <c r="O137" s="20">
        <f>N137/Geraetedaten!$B$174*(M137-L137)+L137+C137</f>
        <v>262.6111932927912</v>
      </c>
      <c r="P137" s="20">
        <f t="shared" si="109"/>
        <v>135.94239542150964</v>
      </c>
      <c r="Q137" s="21">
        <f>(N137-Geraetedaten!$B$161)/(Geraetedaten!$B$174-Geraetedaten!$B$161)*(Geraetedaten!$B$175-Geraetedaten!$B$162)+Geraetedaten!$B$162</f>
        <v>20.757962858716201</v>
      </c>
      <c r="R137" s="21">
        <f t="shared" si="110"/>
        <v>20.757962858716201</v>
      </c>
      <c r="S137" s="21">
        <f t="shared" si="111"/>
        <v>20.555947791110139</v>
      </c>
      <c r="T137" s="88">
        <f t="shared" si="112"/>
        <v>-2.8889500606613967</v>
      </c>
      <c r="U137" s="86">
        <f t="shared" si="113"/>
        <v>-2858.32861</v>
      </c>
      <c r="V137" s="85">
        <f t="shared" si="114"/>
        <v>-1141.3067828769733</v>
      </c>
      <c r="W137" s="85">
        <f t="shared" si="115"/>
        <v>-1152.8074812988405</v>
      </c>
      <c r="X137" s="90">
        <f t="shared" si="116"/>
        <v>1141.3067828769733</v>
      </c>
      <c r="Y137" s="86">
        <f t="shared" si="117"/>
        <v>60263.247130000003</v>
      </c>
      <c r="Z137" s="85">
        <f t="shared" si="118"/>
        <v>-750</v>
      </c>
      <c r="AA137" s="85">
        <f t="shared" si="119"/>
        <v>5388.9724007457899</v>
      </c>
      <c r="AB137" s="90">
        <f t="shared" si="120"/>
        <v>750</v>
      </c>
      <c r="AC137" s="86">
        <f t="shared" si="121"/>
        <v>2737.6947300000002</v>
      </c>
      <c r="AD137" s="85">
        <f t="shared" si="122"/>
        <v>1055.7627565116984</v>
      </c>
      <c r="AE137" s="85">
        <f t="shared" si="123"/>
        <v>1065.9864217209094</v>
      </c>
      <c r="AF137" s="90">
        <f t="shared" si="124"/>
        <v>1055.7627565116984</v>
      </c>
      <c r="AG137" s="86">
        <f t="shared" si="125"/>
        <v>-63976.624750000003</v>
      </c>
      <c r="AH137" s="85">
        <f t="shared" si="126"/>
        <v>6128</v>
      </c>
      <c r="AI137" s="85">
        <f t="shared" si="127"/>
        <v>-44031.497162360261</v>
      </c>
      <c r="AJ137" s="90">
        <f t="shared" si="128"/>
        <v>6128</v>
      </c>
      <c r="AL137" s="95">
        <f t="shared" si="129"/>
        <v>0</v>
      </c>
      <c r="AM137" s="95">
        <f t="shared" si="130"/>
        <v>0</v>
      </c>
      <c r="AN137" s="95">
        <f t="shared" si="131"/>
        <v>0</v>
      </c>
      <c r="AO137" s="95">
        <f t="shared" si="132"/>
        <v>0</v>
      </c>
      <c r="AP137"/>
      <c r="AQ137" s="95">
        <f t="shared" si="133"/>
        <v>0</v>
      </c>
      <c r="AR137" s="95">
        <f t="shared" si="134"/>
        <v>0</v>
      </c>
      <c r="AS137" s="95">
        <f>Geraetedaten!$B$94*ABS(SIN(RADIANS($A137)))</f>
        <v>152.50128258620182</v>
      </c>
      <c r="AT137" s="95">
        <f>Geraetedaten!$B$94*ABS(COS(RADIANS($A137)))</f>
        <v>21.432657547850063</v>
      </c>
      <c r="AU137" s="95">
        <f>((h_Aw_Sw+Geraetedaten!$B$18)/1000)*(AQ137*AS137+AR137*AT137)/100</f>
        <v>0</v>
      </c>
    </row>
    <row r="138" spans="1:47" ht="13.5" x14ac:dyDescent="0.25">
      <c r="A138" s="16">
        <v>99</v>
      </c>
      <c r="B138" s="16">
        <f t="shared" si="102"/>
        <v>351</v>
      </c>
      <c r="C138" s="19">
        <f t="shared" si="103"/>
        <v>67.450435332019254</v>
      </c>
      <c r="D138" s="17">
        <f t="shared" si="104"/>
        <v>-2933.3339153320194</v>
      </c>
      <c r="E138" s="17">
        <f t="shared" si="105"/>
        <v>53546.201614667974</v>
      </c>
      <c r="F138" s="17">
        <f t="shared" si="106"/>
        <v>2677.3449946679807</v>
      </c>
      <c r="G138" s="17">
        <f t="shared" si="107"/>
        <v>-56984.736865332023</v>
      </c>
      <c r="H138" s="17">
        <f t="shared" si="135"/>
        <v>2677.3449946679807</v>
      </c>
      <c r="I138" s="17">
        <f t="shared" si="108"/>
        <v>1068.7512495689227</v>
      </c>
      <c r="J138" s="20">
        <f>(Geraetedaten!$B$152+(Geraetedaten!$B$153*(Geraetedaten!$B$18+d_y_Sw)/1000))*10</f>
        <v>6051.0442000000003</v>
      </c>
      <c r="K138" s="20">
        <f>(Geraetedaten!$B$165+(Geraetedaten!$B$166*(Geraetedaten!$B$18+d_y_Sw)/1000))*10</f>
        <v>10816.164000000001</v>
      </c>
      <c r="L138" s="20">
        <f>(Geraetedaten!$B$158+(Geraetedaten!$B$159*(Geraetedaten!$B$18+d_y_Sw)/1000)-(Geraetedaten!$B$160*I138/1000))*10</f>
        <v>523.16507086911065</v>
      </c>
      <c r="M138" s="20">
        <f>(Geraetedaten!$B$171+(Geraetedaten!$B$172*(Geraetedaten!$B$18+d_y_Sw)/1000)-(Geraetedaten!$B$173*I138/1000))*10</f>
        <v>985.30915698209026</v>
      </c>
      <c r="N138" s="20">
        <f>IF((H138-J138)/(K138-J138)*(Geraetedaten!$B$174-Geraetedaten!$B$161)&lt;Geraetedaten!$B$174,(H138-J138)/(K138-J138)*(Geraetedaten!$B$174-Geraetedaten!$B$161),Geraetedaten!$B$174)</f>
        <v>-283.19952882041031</v>
      </c>
      <c r="O138" s="20">
        <f>N138/Geraetedaten!$B$174*(M138-L138)+L138+C138</f>
        <v>263.41803761529252</v>
      </c>
      <c r="P138" s="20">
        <f t="shared" si="109"/>
        <v>136.26259044266379</v>
      </c>
      <c r="Q138" s="21">
        <f>(N138-Geraetedaten!$B$161)/(Geraetedaten!$B$174-Geraetedaten!$B$161)*(Geraetedaten!$B$175-Geraetedaten!$B$162)+Geraetedaten!$B$162</f>
        <v>20.774814017592789</v>
      </c>
      <c r="R138" s="21">
        <f t="shared" si="110"/>
        <v>20.774814017592789</v>
      </c>
      <c r="S138" s="21">
        <f t="shared" si="111"/>
        <v>20.519041583208828</v>
      </c>
      <c r="T138" s="88">
        <f t="shared" si="112"/>
        <v>-3.2498969171524164</v>
      </c>
      <c r="U138" s="86">
        <f t="shared" si="113"/>
        <v>-2865.88348</v>
      </c>
      <c r="V138" s="85">
        <f t="shared" si="114"/>
        <v>-1141.3067828769733</v>
      </c>
      <c r="W138" s="85">
        <f t="shared" si="115"/>
        <v>-1155.8544740612692</v>
      </c>
      <c r="X138" s="90">
        <f t="shared" si="116"/>
        <v>1141.3067828769733</v>
      </c>
      <c r="Y138" s="86">
        <f t="shared" si="117"/>
        <v>53613.652049999997</v>
      </c>
      <c r="Z138" s="85">
        <f t="shared" si="118"/>
        <v>-750</v>
      </c>
      <c r="AA138" s="85">
        <f t="shared" si="119"/>
        <v>4794.3399161247462</v>
      </c>
      <c r="AB138" s="90">
        <f t="shared" si="120"/>
        <v>750</v>
      </c>
      <c r="AC138" s="86">
        <f t="shared" si="121"/>
        <v>2744.7954300000001</v>
      </c>
      <c r="AD138" s="85">
        <f t="shared" si="122"/>
        <v>1055.7627565116984</v>
      </c>
      <c r="AE138" s="85">
        <f t="shared" si="123"/>
        <v>1068.7512495689227</v>
      </c>
      <c r="AF138" s="90">
        <f t="shared" si="124"/>
        <v>1055.7627565116984</v>
      </c>
      <c r="AG138" s="86">
        <f t="shared" si="125"/>
        <v>-56917.28643</v>
      </c>
      <c r="AH138" s="85">
        <f t="shared" si="126"/>
        <v>6128</v>
      </c>
      <c r="AI138" s="85">
        <f t="shared" si="127"/>
        <v>-39172.953341349923</v>
      </c>
      <c r="AJ138" s="90">
        <f t="shared" si="128"/>
        <v>6128</v>
      </c>
      <c r="AL138" s="95">
        <f t="shared" si="129"/>
        <v>0</v>
      </c>
      <c r="AM138" s="95">
        <f t="shared" si="130"/>
        <v>0</v>
      </c>
      <c r="AN138" s="95">
        <f t="shared" si="131"/>
        <v>0</v>
      </c>
      <c r="AO138" s="95">
        <f t="shared" si="132"/>
        <v>0</v>
      </c>
      <c r="AP138"/>
      <c r="AQ138" s="95">
        <f t="shared" si="133"/>
        <v>0</v>
      </c>
      <c r="AR138" s="95">
        <f t="shared" si="134"/>
        <v>0</v>
      </c>
      <c r="AS138" s="95">
        <f>Geraetedaten!$B$94*ABS(SIN(RADIANS($A138)))</f>
        <v>152.10400445165121</v>
      </c>
      <c r="AT138" s="95">
        <f>Geraetedaten!$B$94*ABS(COS(RADIANS($A138)))</f>
        <v>24.090907616195544</v>
      </c>
      <c r="AU138" s="95">
        <f>((h_Aw_Sw+Geraetedaten!$B$18)/1000)*(AQ138*AS138+AR138*AT138)/100</f>
        <v>0</v>
      </c>
    </row>
    <row r="139" spans="1:47" ht="13.5" x14ac:dyDescent="0.25">
      <c r="A139" s="16">
        <v>100</v>
      </c>
      <c r="B139" s="16">
        <f t="shared" si="102"/>
        <v>350</v>
      </c>
      <c r="C139" s="19">
        <f t="shared" si="103"/>
        <v>67.782875762078234</v>
      </c>
      <c r="D139" s="17">
        <f t="shared" si="104"/>
        <v>-2942.1391357620782</v>
      </c>
      <c r="E139" s="17">
        <f t="shared" si="105"/>
        <v>48231.15748423792</v>
      </c>
      <c r="F139" s="17">
        <f t="shared" si="106"/>
        <v>2684.9908942379216</v>
      </c>
      <c r="G139" s="17">
        <f t="shared" si="107"/>
        <v>-51342.868945762079</v>
      </c>
      <c r="H139" s="17">
        <f t="shared" si="135"/>
        <v>2684.9908942379216</v>
      </c>
      <c r="I139" s="17">
        <f t="shared" si="108"/>
        <v>1071.8578041756759</v>
      </c>
      <c r="J139" s="20">
        <f>(Geraetedaten!$B$152+(Geraetedaten!$B$153*(Geraetedaten!$B$18+d_y_Sw)/1000))*10</f>
        <v>6051.0442000000003</v>
      </c>
      <c r="K139" s="20">
        <f>(Geraetedaten!$B$165+(Geraetedaten!$B$166*(Geraetedaten!$B$18+d_y_Sw)/1000))*10</f>
        <v>10816.164000000001</v>
      </c>
      <c r="L139" s="20">
        <f>(Geraetedaten!$B$158+(Geraetedaten!$B$159*(Geraetedaten!$B$18+d_y_Sw)/1000)-(Geraetedaten!$B$160*I139/1000))*10</f>
        <v>522.93726721979749</v>
      </c>
      <c r="M139" s="20">
        <f>(Geraetedaten!$B$171+(Geraetedaten!$B$172*(Geraetedaten!$B$18+d_y_Sw)/1000)-(Geraetedaten!$B$173*I139/1000))*10</f>
        <v>985.07790505716355</v>
      </c>
      <c r="N139" s="20">
        <f>IF((H139-J139)/(K139-J139)*(Geraetedaten!$B$174-Geraetedaten!$B$161)&lt;Geraetedaten!$B$174,(H139-J139)/(K139-J139)*(Geraetedaten!$B$174-Geraetedaten!$B$161),Geraetedaten!$B$174)</f>
        <v>-282.55770658795012</v>
      </c>
      <c r="O139" s="20">
        <f>N139/Geraetedaten!$B$174*(M139-L139)+L139+C139</f>
        <v>264.26664611082919</v>
      </c>
      <c r="P139" s="20">
        <f t="shared" si="109"/>
        <v>136.59074718642381</v>
      </c>
      <c r="Q139" s="21">
        <f>(N139-Geraetedaten!$B$161)/(Geraetedaten!$B$174-Geraetedaten!$B$161)*(Geraetedaten!$B$175-Geraetedaten!$B$162)+Geraetedaten!$B$162</f>
        <v>20.79390822900848</v>
      </c>
      <c r="R139" s="21">
        <f t="shared" si="110"/>
        <v>20.79390822900848</v>
      </c>
      <c r="S139" s="21">
        <f t="shared" si="111"/>
        <v>20.478002039351903</v>
      </c>
      <c r="T139" s="88">
        <f t="shared" si="112"/>
        <v>-3.6108242705407085</v>
      </c>
      <c r="U139" s="86">
        <f t="shared" si="113"/>
        <v>-2874.35626</v>
      </c>
      <c r="V139" s="85">
        <f t="shared" si="114"/>
        <v>-1141.3067828769733</v>
      </c>
      <c r="W139" s="85">
        <f t="shared" si="115"/>
        <v>-1159.2716777655251</v>
      </c>
      <c r="X139" s="90">
        <f t="shared" si="116"/>
        <v>1141.3067828769733</v>
      </c>
      <c r="Y139" s="86">
        <f t="shared" si="117"/>
        <v>48298.940360000001</v>
      </c>
      <c r="Z139" s="85">
        <f t="shared" si="118"/>
        <v>-750</v>
      </c>
      <c r="AA139" s="85">
        <f t="shared" si="119"/>
        <v>4319.0778623577253</v>
      </c>
      <c r="AB139" s="90">
        <f t="shared" si="120"/>
        <v>750</v>
      </c>
      <c r="AC139" s="86">
        <f t="shared" si="121"/>
        <v>2752.7737699999998</v>
      </c>
      <c r="AD139" s="85">
        <f t="shared" si="122"/>
        <v>1055.7627565116984</v>
      </c>
      <c r="AE139" s="85">
        <f t="shared" si="123"/>
        <v>1071.8578041756759</v>
      </c>
      <c r="AF139" s="90">
        <f t="shared" si="124"/>
        <v>1055.7627565116984</v>
      </c>
      <c r="AG139" s="86">
        <f t="shared" si="125"/>
        <v>-51275.086069999998</v>
      </c>
      <c r="AH139" s="85">
        <f t="shared" si="126"/>
        <v>6128</v>
      </c>
      <c r="AI139" s="85">
        <f t="shared" si="127"/>
        <v>-35289.745520704193</v>
      </c>
      <c r="AJ139" s="90">
        <f t="shared" si="128"/>
        <v>6128</v>
      </c>
      <c r="AL139" s="95">
        <f t="shared" si="129"/>
        <v>0</v>
      </c>
      <c r="AM139" s="95">
        <f t="shared" si="130"/>
        <v>0</v>
      </c>
      <c r="AN139" s="95">
        <f t="shared" si="131"/>
        <v>0</v>
      </c>
      <c r="AO139" s="95">
        <f t="shared" si="132"/>
        <v>0</v>
      </c>
      <c r="AP139"/>
      <c r="AQ139" s="95">
        <f t="shared" si="133"/>
        <v>0</v>
      </c>
      <c r="AR139" s="95">
        <f t="shared" si="134"/>
        <v>0</v>
      </c>
      <c r="AS139" s="95">
        <f>Geraetedaten!$B$94*ABS(SIN(RADIANS($A139)))</f>
        <v>151.66039396388004</v>
      </c>
      <c r="AT139" s="95">
        <f>Geraetedaten!$B$94*ABS(COS(RADIANS($A139)))</f>
        <v>26.741819360707268</v>
      </c>
      <c r="AU139" s="95">
        <f>((h_Aw_Sw+Geraetedaten!$B$18)/1000)*(AQ139*AS139+AR139*AT139)/100</f>
        <v>0</v>
      </c>
    </row>
    <row r="140" spans="1:47" ht="13.5" x14ac:dyDescent="0.25">
      <c r="A140" s="16">
        <v>101</v>
      </c>
      <c r="B140" s="16">
        <f t="shared" si="102"/>
        <v>349</v>
      </c>
      <c r="C140" s="19">
        <f t="shared" si="103"/>
        <v>68.094668871552628</v>
      </c>
      <c r="D140" s="17">
        <f t="shared" si="104"/>
        <v>-2951.8549888715525</v>
      </c>
      <c r="E140" s="17">
        <f t="shared" si="105"/>
        <v>43886.976531128443</v>
      </c>
      <c r="F140" s="17">
        <f t="shared" si="106"/>
        <v>2693.5476311284474</v>
      </c>
      <c r="G140" s="17">
        <f t="shared" si="107"/>
        <v>-46731.645498871556</v>
      </c>
      <c r="H140" s="17">
        <f t="shared" si="135"/>
        <v>2693.5476311284474</v>
      </c>
      <c r="I140" s="17">
        <f t="shared" si="108"/>
        <v>1075.3109761740784</v>
      </c>
      <c r="J140" s="20">
        <f>(Geraetedaten!$B$152+(Geraetedaten!$B$153*(Geraetedaten!$B$18+d_y_Sw)/1000))*10</f>
        <v>6051.0442000000003</v>
      </c>
      <c r="K140" s="20">
        <f>(Geraetedaten!$B$165+(Geraetedaten!$B$166*(Geraetedaten!$B$18+d_y_Sw)/1000))*10</f>
        <v>10816.164000000001</v>
      </c>
      <c r="L140" s="20">
        <f>(Geraetedaten!$B$158+(Geraetedaten!$B$159*(Geraetedaten!$B$18+d_y_Sw)/1000)-(Geraetedaten!$B$160*I140/1000))*10</f>
        <v>522.68404611715459</v>
      </c>
      <c r="M140" s="20">
        <f>(Geraetedaten!$B$171+(Geraetedaten!$B$172*(Geraetedaten!$B$18+d_y_Sw)/1000)-(Geraetedaten!$B$173*I140/1000))*10</f>
        <v>984.82085093360251</v>
      </c>
      <c r="N140" s="20">
        <f>IF((H140-J140)/(K140-J140)*(Geraetedaten!$B$174-Geraetedaten!$B$161)&lt;Geraetedaten!$B$174,(H140-J140)/(K140-J140)*(Geraetedaten!$B$174-Geraetedaten!$B$161),Geraetedaten!$B$174)</f>
        <v>-281.8394256422726</v>
      </c>
      <c r="O140" s="20">
        <f>N140/Geraetedaten!$B$174*(M140-L140)+L140+C140</f>
        <v>265.15778589465043</v>
      </c>
      <c r="P140" s="20">
        <f t="shared" si="109"/>
        <v>136.92696239195942</v>
      </c>
      <c r="Q140" s="21">
        <f>(N140-Geraetedaten!$B$161)/(Geraetedaten!$B$174-Geraetedaten!$B$161)*(Geraetedaten!$B$175-Geraetedaten!$B$162)+Geraetedaten!$B$162</f>
        <v>20.815277087142388</v>
      </c>
      <c r="R140" s="21">
        <f t="shared" si="110"/>
        <v>20.815277087142388</v>
      </c>
      <c r="S140" s="21">
        <f t="shared" si="111"/>
        <v>20.432841819734278</v>
      </c>
      <c r="T140" s="88">
        <f t="shared" si="112"/>
        <v>-3.9717421094820509</v>
      </c>
      <c r="U140" s="86">
        <f t="shared" si="113"/>
        <v>-2883.7603199999999</v>
      </c>
      <c r="V140" s="85">
        <f t="shared" si="114"/>
        <v>-1141.3067828769733</v>
      </c>
      <c r="W140" s="85">
        <f t="shared" si="115"/>
        <v>-1163.0644780541336</v>
      </c>
      <c r="X140" s="90">
        <f t="shared" si="116"/>
        <v>1141.3067828769733</v>
      </c>
      <c r="Y140" s="86">
        <f t="shared" si="117"/>
        <v>43955.071199999998</v>
      </c>
      <c r="Z140" s="85">
        <f t="shared" si="118"/>
        <v>-750</v>
      </c>
      <c r="AA140" s="85">
        <f t="shared" si="119"/>
        <v>3930.6322981258868</v>
      </c>
      <c r="AB140" s="90">
        <f t="shared" si="120"/>
        <v>750</v>
      </c>
      <c r="AC140" s="86">
        <f t="shared" si="121"/>
        <v>2761.6423</v>
      </c>
      <c r="AD140" s="85">
        <f t="shared" si="122"/>
        <v>1055.7627565116984</v>
      </c>
      <c r="AE140" s="85">
        <f t="shared" si="123"/>
        <v>1075.3109761740784</v>
      </c>
      <c r="AF140" s="90">
        <f t="shared" si="124"/>
        <v>1055.7627565116984</v>
      </c>
      <c r="AG140" s="86">
        <f t="shared" si="125"/>
        <v>-46663.55083</v>
      </c>
      <c r="AH140" s="85">
        <f t="shared" si="126"/>
        <v>6128</v>
      </c>
      <c r="AI140" s="85">
        <f t="shared" si="127"/>
        <v>-32115.886297220579</v>
      </c>
      <c r="AJ140" s="90">
        <f t="shared" si="128"/>
        <v>6128</v>
      </c>
      <c r="AL140" s="95">
        <f t="shared" si="129"/>
        <v>0</v>
      </c>
      <c r="AM140" s="95">
        <f t="shared" si="130"/>
        <v>0</v>
      </c>
      <c r="AN140" s="95">
        <f t="shared" si="131"/>
        <v>0</v>
      </c>
      <c r="AO140" s="95">
        <f t="shared" si="132"/>
        <v>0</v>
      </c>
      <c r="AP140"/>
      <c r="AQ140" s="95">
        <f t="shared" si="133"/>
        <v>0</v>
      </c>
      <c r="AR140" s="95">
        <f t="shared" si="134"/>
        <v>0</v>
      </c>
      <c r="AS140" s="95">
        <f>Geraetedaten!$B$94*ABS(SIN(RADIANS($A140)))</f>
        <v>151.17058625094026</v>
      </c>
      <c r="AT140" s="95">
        <f>Geraetedaten!$B$94*ABS(COS(RADIANS($A140)))</f>
        <v>29.3845852879879</v>
      </c>
      <c r="AU140" s="95">
        <f>((h_Aw_Sw+Geraetedaten!$B$18)/1000)*(AQ140*AS140+AR140*AT140)/100</f>
        <v>0</v>
      </c>
    </row>
    <row r="141" spans="1:47" ht="13.5" x14ac:dyDescent="0.25">
      <c r="A141" s="16">
        <v>102</v>
      </c>
      <c r="B141" s="16">
        <f t="shared" si="102"/>
        <v>348</v>
      </c>
      <c r="C141" s="19">
        <f t="shared" si="103"/>
        <v>68.385719685240872</v>
      </c>
      <c r="D141" s="17">
        <f t="shared" si="104"/>
        <v>-2962.4963096852407</v>
      </c>
      <c r="E141" s="17">
        <f t="shared" si="105"/>
        <v>40270.966740314761</v>
      </c>
      <c r="F141" s="17">
        <f t="shared" si="106"/>
        <v>2703.0293603147593</v>
      </c>
      <c r="G141" s="17">
        <f t="shared" si="107"/>
        <v>-42893.41984968524</v>
      </c>
      <c r="H141" s="17">
        <f t="shared" si="135"/>
        <v>2703.0293603147593</v>
      </c>
      <c r="I141" s="17">
        <f t="shared" si="108"/>
        <v>1079.1162417229316</v>
      </c>
      <c r="J141" s="20">
        <f>(Geraetedaten!$B$152+(Geraetedaten!$B$153*(Geraetedaten!$B$18+d_y_Sw)/1000))*10</f>
        <v>6051.0442000000003</v>
      </c>
      <c r="K141" s="20">
        <f>(Geraetedaten!$B$165+(Geraetedaten!$B$166*(Geraetedaten!$B$18+d_y_Sw)/1000))*10</f>
        <v>10816.164000000001</v>
      </c>
      <c r="L141" s="20">
        <f>(Geraetedaten!$B$158+(Geraetedaten!$B$159*(Geraetedaten!$B$18+d_y_Sw)/1000)-(Geraetedaten!$B$160*I141/1000))*10</f>
        <v>522.40500599445716</v>
      </c>
      <c r="M141" s="20">
        <f>(Geraetedaten!$B$171+(Geraetedaten!$B$172*(Geraetedaten!$B$18+d_y_Sw)/1000)-(Geraetedaten!$B$173*I141/1000))*10</f>
        <v>984.53758696614591</v>
      </c>
      <c r="N141" s="20">
        <f>IF((H141-J141)/(K141-J141)*(Geraetedaten!$B$174-Geraetedaten!$B$161)&lt;Geraetedaten!$B$174,(H141-J141)/(K141-J141)*(Geraetedaten!$B$174-Geraetedaten!$B$161),Geraetedaten!$B$174)</f>
        <v>-281.04349776769436</v>
      </c>
      <c r="O141" s="20">
        <f>N141/Geraetedaten!$B$174*(M141-L141)+L141+C141</f>
        <v>266.09233320795892</v>
      </c>
      <c r="P141" s="20">
        <f t="shared" si="109"/>
        <v>137.27136022861728</v>
      </c>
      <c r="Q141" s="21">
        <f>(N141-Geraetedaten!$B$161)/(Geraetedaten!$B$174-Geraetedaten!$B$161)*(Geraetedaten!$B$175-Geraetedaten!$B$162)+Geraetedaten!$B$162</f>
        <v>20.83895594141109</v>
      </c>
      <c r="R141" s="21">
        <f t="shared" si="110"/>
        <v>20.83895594141109</v>
      </c>
      <c r="S141" s="21">
        <f t="shared" si="111"/>
        <v>20.383574755888741</v>
      </c>
      <c r="T141" s="88">
        <f t="shared" si="112"/>
        <v>-4.3326625646555712</v>
      </c>
      <c r="U141" s="86">
        <f t="shared" si="113"/>
        <v>-2894.1105899999998</v>
      </c>
      <c r="V141" s="85">
        <f t="shared" si="114"/>
        <v>-1141.3067828769733</v>
      </c>
      <c r="W141" s="85">
        <f t="shared" si="115"/>
        <v>-1167.2388970459631</v>
      </c>
      <c r="X141" s="90">
        <f t="shared" si="116"/>
        <v>1141.3067828769733</v>
      </c>
      <c r="Y141" s="86">
        <f t="shared" si="117"/>
        <v>40339.352460000002</v>
      </c>
      <c r="Z141" s="85">
        <f t="shared" si="118"/>
        <v>-750</v>
      </c>
      <c r="AA141" s="85">
        <f t="shared" si="119"/>
        <v>3607.3007585580981</v>
      </c>
      <c r="AB141" s="90">
        <f t="shared" si="120"/>
        <v>750</v>
      </c>
      <c r="AC141" s="86">
        <f t="shared" si="121"/>
        <v>2771.4150800000002</v>
      </c>
      <c r="AD141" s="85">
        <f t="shared" si="122"/>
        <v>1055.7627565116984</v>
      </c>
      <c r="AE141" s="85">
        <f t="shared" si="123"/>
        <v>1079.1162417229316</v>
      </c>
      <c r="AF141" s="90">
        <f t="shared" si="124"/>
        <v>1055.7627565116984</v>
      </c>
      <c r="AG141" s="86">
        <f t="shared" si="125"/>
        <v>-42825.03413</v>
      </c>
      <c r="AH141" s="85">
        <f t="shared" si="126"/>
        <v>6128</v>
      </c>
      <c r="AI141" s="85">
        <f t="shared" si="127"/>
        <v>-29474.052064592033</v>
      </c>
      <c r="AJ141" s="90">
        <f t="shared" si="128"/>
        <v>6128</v>
      </c>
      <c r="AL141" s="95">
        <f t="shared" si="129"/>
        <v>0</v>
      </c>
      <c r="AM141" s="95">
        <f t="shared" si="130"/>
        <v>0</v>
      </c>
      <c r="AN141" s="95">
        <f t="shared" si="131"/>
        <v>0</v>
      </c>
      <c r="AO141" s="95">
        <f t="shared" si="132"/>
        <v>0</v>
      </c>
      <c r="AP141"/>
      <c r="AQ141" s="95">
        <f t="shared" si="133"/>
        <v>0</v>
      </c>
      <c r="AR141" s="95">
        <f t="shared" si="134"/>
        <v>0</v>
      </c>
      <c r="AS141" s="95">
        <f>Geraetedaten!$B$94*ABS(SIN(RADIANS($A141)))</f>
        <v>150.63473051300608</v>
      </c>
      <c r="AT141" s="95">
        <f>Geraetedaten!$B$94*ABS(COS(RADIANS($A141)))</f>
        <v>32.018400385934939</v>
      </c>
      <c r="AU141" s="95">
        <f>((h_Aw_Sw+Geraetedaten!$B$18)/1000)*(AQ141*AS141+AR141*AT141)/100</f>
        <v>0</v>
      </c>
    </row>
    <row r="142" spans="1:47" ht="13.5" x14ac:dyDescent="0.25">
      <c r="A142" s="16">
        <v>103</v>
      </c>
      <c r="B142" s="16">
        <f t="shared" si="102"/>
        <v>347</v>
      </c>
      <c r="C142" s="19">
        <f t="shared" si="103"/>
        <v>68.655939546245634</v>
      </c>
      <c r="D142" s="17">
        <f t="shared" si="104"/>
        <v>-2974.0795595462455</v>
      </c>
      <c r="E142" s="17">
        <f t="shared" si="105"/>
        <v>37215.112300453751</v>
      </c>
      <c r="F142" s="17">
        <f t="shared" si="106"/>
        <v>2713.4518004537545</v>
      </c>
      <c r="G142" s="17">
        <f t="shared" si="107"/>
        <v>-39649.822969546243</v>
      </c>
      <c r="H142" s="17">
        <f t="shared" si="135"/>
        <v>2713.4518004537545</v>
      </c>
      <c r="I142" s="17">
        <f t="shared" si="108"/>
        <v>1083.2796840881047</v>
      </c>
      <c r="J142" s="20">
        <f>(Geraetedaten!$B$152+(Geraetedaten!$B$153*(Geraetedaten!$B$18+d_y_Sw)/1000))*10</f>
        <v>6051.0442000000003</v>
      </c>
      <c r="K142" s="20">
        <f>(Geraetedaten!$B$165+(Geraetedaten!$B$166*(Geraetedaten!$B$18+d_y_Sw)/1000))*10</f>
        <v>10816.164000000001</v>
      </c>
      <c r="L142" s="20">
        <f>(Geraetedaten!$B$158+(Geraetedaten!$B$159*(Geraetedaten!$B$18+d_y_Sw)/1000)-(Geraetedaten!$B$160*I142/1000))*10</f>
        <v>522.09970076581908</v>
      </c>
      <c r="M142" s="20">
        <f>(Geraetedaten!$B$171+(Geraetedaten!$B$172*(Geraetedaten!$B$18+d_y_Sw)/1000)-(Geraetedaten!$B$173*I142/1000))*10</f>
        <v>984.22766031648257</v>
      </c>
      <c r="N142" s="20">
        <f>IF((H142-J142)/(K142-J142)*(Geraetedaten!$B$174-Geraetedaten!$B$161)&lt;Geraetedaten!$B$174,(H142-J142)/(K142-J142)*(Geraetedaten!$B$174-Geraetedaten!$B$161),Geraetedaten!$B$174)</f>
        <v>-280.16860348789095</v>
      </c>
      <c r="O142" s="20">
        <f>N142/Geraetedaten!$B$174*(M142-L142)+L142+C142</f>
        <v>267.07127766201984</v>
      </c>
      <c r="P142" s="20">
        <f t="shared" si="109"/>
        <v>137.62409295266443</v>
      </c>
      <c r="Q142" s="21">
        <f>(N142-Geraetedaten!$B$161)/(Geraetedaten!$B$174-Geraetedaten!$B$161)*(Geraetedaten!$B$175-Geraetedaten!$B$162)+Geraetedaten!$B$162</f>
        <v>20.864984046235243</v>
      </c>
      <c r="R142" s="21">
        <f t="shared" si="110"/>
        <v>20.864984046235243</v>
      </c>
      <c r="S142" s="21">
        <f t="shared" si="111"/>
        <v>20.330215856873135</v>
      </c>
      <c r="T142" s="88">
        <f t="shared" si="112"/>
        <v>-4.6936001600685406</v>
      </c>
      <c r="U142" s="86">
        <f t="shared" si="113"/>
        <v>-2905.42362</v>
      </c>
      <c r="V142" s="85">
        <f t="shared" si="114"/>
        <v>-1141.3067828769733</v>
      </c>
      <c r="W142" s="85">
        <f t="shared" si="115"/>
        <v>-1171.8016171104832</v>
      </c>
      <c r="X142" s="90">
        <f t="shared" si="116"/>
        <v>1141.3067828769733</v>
      </c>
      <c r="Y142" s="86">
        <f t="shared" si="117"/>
        <v>37283.768239999998</v>
      </c>
      <c r="Z142" s="85">
        <f t="shared" si="118"/>
        <v>-750</v>
      </c>
      <c r="AA142" s="85">
        <f t="shared" si="119"/>
        <v>3334.0586119393506</v>
      </c>
      <c r="AB142" s="90">
        <f t="shared" si="120"/>
        <v>750</v>
      </c>
      <c r="AC142" s="86">
        <f t="shared" si="121"/>
        <v>2782.1077399999999</v>
      </c>
      <c r="AD142" s="85">
        <f t="shared" si="122"/>
        <v>1055.7627565116984</v>
      </c>
      <c r="AE142" s="85">
        <f t="shared" si="123"/>
        <v>1083.2796840881047</v>
      </c>
      <c r="AF142" s="90">
        <f t="shared" si="124"/>
        <v>1055.7627565116984</v>
      </c>
      <c r="AG142" s="86">
        <f t="shared" si="125"/>
        <v>-39581.167029999997</v>
      </c>
      <c r="AH142" s="85">
        <f t="shared" si="126"/>
        <v>6128</v>
      </c>
      <c r="AI142" s="85">
        <f t="shared" si="127"/>
        <v>-27241.481565285787</v>
      </c>
      <c r="AJ142" s="90">
        <f t="shared" si="128"/>
        <v>6128</v>
      </c>
      <c r="AL142" s="95">
        <f t="shared" si="129"/>
        <v>0</v>
      </c>
      <c r="AM142" s="95">
        <f t="shared" si="130"/>
        <v>0</v>
      </c>
      <c r="AN142" s="95">
        <f t="shared" si="131"/>
        <v>0</v>
      </c>
      <c r="AO142" s="95">
        <f t="shared" si="132"/>
        <v>0</v>
      </c>
      <c r="AP142"/>
      <c r="AQ142" s="95">
        <f t="shared" si="133"/>
        <v>0</v>
      </c>
      <c r="AR142" s="95">
        <f t="shared" si="134"/>
        <v>0</v>
      </c>
      <c r="AS142" s="95">
        <f>Geraetedaten!$B$94*ABS(SIN(RADIANS($A142)))</f>
        <v>150.05298997692623</v>
      </c>
      <c r="AT142" s="95">
        <f>Geraetedaten!$B$94*ABS(COS(RADIANS($A142)))</f>
        <v>34.642462368955215</v>
      </c>
      <c r="AU142" s="95">
        <f>((h_Aw_Sw+Geraetedaten!$B$18)/1000)*(AQ142*AS142+AR142*AT142)/100</f>
        <v>0</v>
      </c>
    </row>
    <row r="143" spans="1:47" ht="13.5" x14ac:dyDescent="0.25">
      <c r="A143" s="16">
        <v>104</v>
      </c>
      <c r="B143" s="16">
        <f t="shared" si="102"/>
        <v>346</v>
      </c>
      <c r="C143" s="19">
        <f t="shared" si="103"/>
        <v>68.905246142979607</v>
      </c>
      <c r="D143" s="17">
        <f t="shared" si="104"/>
        <v>-2986.6229461429798</v>
      </c>
      <c r="E143" s="17">
        <f t="shared" si="105"/>
        <v>34599.403533857017</v>
      </c>
      <c r="F143" s="17">
        <f t="shared" si="106"/>
        <v>2724.8322838570202</v>
      </c>
      <c r="G143" s="17">
        <f t="shared" si="107"/>
        <v>-36873.450086142984</v>
      </c>
      <c r="H143" s="17">
        <f t="shared" si="135"/>
        <v>2724.8322838570202</v>
      </c>
      <c r="I143" s="17">
        <f t="shared" si="108"/>
        <v>1087.8080178926159</v>
      </c>
      <c r="J143" s="20">
        <f>(Geraetedaten!$B$152+(Geraetedaten!$B$153*(Geraetedaten!$B$18+d_y_Sw)/1000))*10</f>
        <v>6051.0442000000003</v>
      </c>
      <c r="K143" s="20">
        <f>(Geraetedaten!$B$165+(Geraetedaten!$B$166*(Geraetedaten!$B$18+d_y_Sw)/1000))*10</f>
        <v>10816.164000000001</v>
      </c>
      <c r="L143" s="20">
        <f>(Geraetedaten!$B$158+(Geraetedaten!$B$159*(Geraetedaten!$B$18+d_y_Sw)/1000)-(Geraetedaten!$B$160*I143/1000))*10</f>
        <v>521.76763804793427</v>
      </c>
      <c r="M143" s="20">
        <f>(Geraetedaten!$B$171+(Geraetedaten!$B$172*(Geraetedaten!$B$18+d_y_Sw)/1000)-(Geraetedaten!$B$173*I143/1000))*10</f>
        <v>983.89057114807451</v>
      </c>
      <c r="N143" s="20">
        <f>IF((H143-J143)/(K143-J143)*(Geraetedaten!$B$174-Geraetedaten!$B$161)&lt;Geraetedaten!$B$174,(H143-J143)/(K143-J143)*(Geraetedaten!$B$174-Geraetedaten!$B$161),Geraetedaten!$B$174)</f>
        <v>-279.21328787099793</v>
      </c>
      <c r="O143" s="20">
        <f>N143/Geraetedaten!$B$174*(M143-L143)+L143+C143</f>
        <v>268.09572531221539</v>
      </c>
      <c r="P143" s="20">
        <f t="shared" si="109"/>
        <v>137.98534107082276</v>
      </c>
      <c r="Q143" s="21">
        <f>(N143-Geraetedaten!$B$161)/(Geraetedaten!$B$174-Geraetedaten!$B$161)*(Geraetedaten!$B$175-Geraetedaten!$B$162)+Geraetedaten!$B$162</f>
        <v>20.893404685837808</v>
      </c>
      <c r="R143" s="21">
        <f t="shared" si="110"/>
        <v>20.893404685837808</v>
      </c>
      <c r="S143" s="21">
        <f t="shared" si="111"/>
        <v>20.272781274023306</v>
      </c>
      <c r="T143" s="88">
        <f t="shared" si="112"/>
        <v>-5.0545720671288636</v>
      </c>
      <c r="U143" s="86">
        <f t="shared" si="113"/>
        <v>-2917.7177000000001</v>
      </c>
      <c r="V143" s="85">
        <f t="shared" si="114"/>
        <v>-1141.3067828769733</v>
      </c>
      <c r="W143" s="85">
        <f t="shared" si="115"/>
        <v>-1176.7600075569164</v>
      </c>
      <c r="X143" s="90">
        <f t="shared" si="116"/>
        <v>1141.3067828769733</v>
      </c>
      <c r="Y143" s="86">
        <f t="shared" si="117"/>
        <v>34668.308779999999</v>
      </c>
      <c r="Z143" s="85">
        <f t="shared" si="118"/>
        <v>-750</v>
      </c>
      <c r="AA143" s="85">
        <f t="shared" si="119"/>
        <v>3100.1741208290618</v>
      </c>
      <c r="AB143" s="90">
        <f t="shared" si="120"/>
        <v>750</v>
      </c>
      <c r="AC143" s="86">
        <f t="shared" si="121"/>
        <v>2793.7375299999999</v>
      </c>
      <c r="AD143" s="85">
        <f t="shared" si="122"/>
        <v>1055.7627565116984</v>
      </c>
      <c r="AE143" s="85">
        <f t="shared" si="123"/>
        <v>1087.8080178926159</v>
      </c>
      <c r="AF143" s="90">
        <f t="shared" si="124"/>
        <v>1055.7627565116984</v>
      </c>
      <c r="AG143" s="86">
        <f t="shared" si="125"/>
        <v>-36804.544840000002</v>
      </c>
      <c r="AH143" s="85">
        <f t="shared" si="126"/>
        <v>6128</v>
      </c>
      <c r="AI143" s="85">
        <f t="shared" si="127"/>
        <v>-25330.489349920656</v>
      </c>
      <c r="AJ143" s="90">
        <f t="shared" si="128"/>
        <v>6128</v>
      </c>
      <c r="AL143" s="95">
        <f t="shared" si="129"/>
        <v>0</v>
      </c>
      <c r="AM143" s="95">
        <f t="shared" si="130"/>
        <v>0</v>
      </c>
      <c r="AN143" s="95">
        <f t="shared" si="131"/>
        <v>0</v>
      </c>
      <c r="AO143" s="95">
        <f t="shared" si="132"/>
        <v>0</v>
      </c>
      <c r="AP143"/>
      <c r="AQ143" s="95">
        <f t="shared" si="133"/>
        <v>0</v>
      </c>
      <c r="AR143" s="95">
        <f t="shared" si="134"/>
        <v>0</v>
      </c>
      <c r="AS143" s="95">
        <f>Geraetedaten!$B$94*ABS(SIN(RADIANS($A143)))</f>
        <v>149.42554184650345</v>
      </c>
      <c r="AT143" s="95">
        <f>Geraetedaten!$B$94*ABS(COS(RADIANS($A143)))</f>
        <v>37.255971922348841</v>
      </c>
      <c r="AU143" s="95">
        <f>((h_Aw_Sw+Geraetedaten!$B$18)/1000)*(AQ143*AS143+AR143*AT143)/100</f>
        <v>0</v>
      </c>
    </row>
    <row r="144" spans="1:47" ht="13.5" x14ac:dyDescent="0.25">
      <c r="A144" s="16">
        <v>105</v>
      </c>
      <c r="B144" s="16">
        <f t="shared" si="102"/>
        <v>345</v>
      </c>
      <c r="C144" s="19">
        <f t="shared" si="103"/>
        <v>69.13356353423832</v>
      </c>
      <c r="D144" s="17">
        <f t="shared" si="104"/>
        <v>-3000.1464435342386</v>
      </c>
      <c r="E144" s="17">
        <f t="shared" si="105"/>
        <v>32335.834826465765</v>
      </c>
      <c r="F144" s="17">
        <f t="shared" si="106"/>
        <v>2737.1898164657614</v>
      </c>
      <c r="G144" s="17">
        <f t="shared" si="107"/>
        <v>-34470.872633534244</v>
      </c>
      <c r="H144" s="17">
        <f t="shared" si="135"/>
        <v>2737.1898164657614</v>
      </c>
      <c r="I144" s="17">
        <f t="shared" si="108"/>
        <v>1092.708616219262</v>
      </c>
      <c r="J144" s="20">
        <f>(Geraetedaten!$B$152+(Geraetedaten!$B$153*(Geraetedaten!$B$18+d_y_Sw)/1000))*10</f>
        <v>6051.0442000000003</v>
      </c>
      <c r="K144" s="20">
        <f>(Geraetedaten!$B$165+(Geraetedaten!$B$166*(Geraetedaten!$B$18+d_y_Sw)/1000))*10</f>
        <v>10816.164000000001</v>
      </c>
      <c r="L144" s="20">
        <f>(Geraetedaten!$B$158+(Geraetedaten!$B$159*(Geraetedaten!$B$18+d_y_Sw)/1000)-(Geraetedaten!$B$160*I144/1000))*10</f>
        <v>521.40827717264131</v>
      </c>
      <c r="M144" s="20">
        <f>(Geraetedaten!$B$171+(Geraetedaten!$B$172*(Geraetedaten!$B$18+d_y_Sw)/1000)-(Geraetedaten!$B$173*I144/1000))*10</f>
        <v>983.52577060863905</v>
      </c>
      <c r="N144" s="20">
        <f>IF((H144-J144)/(K144-J144)*(Geraetedaten!$B$174-Geraetedaten!$B$161)&lt;Geraetedaten!$B$174,(H144-J144)/(K144-J144)*(Geraetedaten!$B$174-Geraetedaten!$B$161),Geraetedaten!$B$174)</f>
        <v>-278.17595549511589</v>
      </c>
      <c r="O144" s="20">
        <f>N144/Geraetedaten!$B$174*(M144-L144)+L144+C144</f>
        <v>269.16690248796306</v>
      </c>
      <c r="P144" s="20">
        <f t="shared" si="109"/>
        <v>138.3553136564299</v>
      </c>
      <c r="Q144" s="21">
        <f>(N144-Geraetedaten!$B$161)/(Geraetedaten!$B$174-Geraetedaten!$B$161)*(Geraetedaten!$B$175-Geraetedaten!$B$162)+Geraetedaten!$B$162</f>
        <v>20.9242653240203</v>
      </c>
      <c r="R144" s="21">
        <f t="shared" si="110"/>
        <v>20.9242653240203</v>
      </c>
      <c r="S144" s="21">
        <f t="shared" si="111"/>
        <v>20.211288272596008</v>
      </c>
      <c r="T144" s="88">
        <f t="shared" si="112"/>
        <v>-5.415598370634723</v>
      </c>
      <c r="U144" s="86">
        <f t="shared" si="113"/>
        <v>-2931.0128800000002</v>
      </c>
      <c r="V144" s="85">
        <f t="shared" si="114"/>
        <v>-1141.3067828769733</v>
      </c>
      <c r="W144" s="85">
        <f t="shared" si="115"/>
        <v>-1182.1221544408793</v>
      </c>
      <c r="X144" s="90">
        <f t="shared" si="116"/>
        <v>1141.3067828769733</v>
      </c>
      <c r="Y144" s="86">
        <f t="shared" si="117"/>
        <v>32404.968390000002</v>
      </c>
      <c r="Z144" s="85">
        <f t="shared" si="118"/>
        <v>-750</v>
      </c>
      <c r="AA144" s="85">
        <f t="shared" si="119"/>
        <v>2897.777478867205</v>
      </c>
      <c r="AB144" s="90">
        <f t="shared" si="120"/>
        <v>750</v>
      </c>
      <c r="AC144" s="86">
        <f t="shared" si="121"/>
        <v>2806.3233799999998</v>
      </c>
      <c r="AD144" s="85">
        <f t="shared" si="122"/>
        <v>1055.7627565116984</v>
      </c>
      <c r="AE144" s="85">
        <f t="shared" si="123"/>
        <v>1092.708616219262</v>
      </c>
      <c r="AF144" s="90">
        <f t="shared" si="124"/>
        <v>1055.7627565116984</v>
      </c>
      <c r="AG144" s="86">
        <f t="shared" si="125"/>
        <v>-34401.739070000003</v>
      </c>
      <c r="AH144" s="85">
        <f t="shared" si="126"/>
        <v>6128</v>
      </c>
      <c r="AI144" s="85">
        <f t="shared" si="127"/>
        <v>-23676.773853997645</v>
      </c>
      <c r="AJ144" s="90">
        <f t="shared" si="128"/>
        <v>6128</v>
      </c>
      <c r="AL144" s="95">
        <f t="shared" si="129"/>
        <v>0</v>
      </c>
      <c r="AM144" s="95">
        <f t="shared" si="130"/>
        <v>0</v>
      </c>
      <c r="AN144" s="95">
        <f t="shared" si="131"/>
        <v>0</v>
      </c>
      <c r="AO144" s="95">
        <f t="shared" si="132"/>
        <v>0</v>
      </c>
      <c r="AP144"/>
      <c r="AQ144" s="95">
        <f t="shared" si="133"/>
        <v>0</v>
      </c>
      <c r="AR144" s="95">
        <f t="shared" si="134"/>
        <v>0</v>
      </c>
      <c r="AS144" s="95">
        <f>Geraetedaten!$B$94*ABS(SIN(RADIANS($A144)))</f>
        <v>148.75257724851653</v>
      </c>
      <c r="AT144" s="95">
        <f>Geraetedaten!$B$94*ABS(COS(RADIANS($A144)))</f>
        <v>39.858132945788213</v>
      </c>
      <c r="AU144" s="95">
        <f>((h_Aw_Sw+Geraetedaten!$B$18)/1000)*(AQ144*AS144+AR144*AT144)/100</f>
        <v>0</v>
      </c>
    </row>
    <row r="145" spans="1:47" ht="13.5" x14ac:dyDescent="0.25">
      <c r="A145" s="16">
        <v>106</v>
      </c>
      <c r="B145" s="16">
        <f t="shared" si="102"/>
        <v>344</v>
      </c>
      <c r="C145" s="19">
        <f t="shared" si="103"/>
        <v>69.340822172332622</v>
      </c>
      <c r="D145" s="17">
        <f t="shared" si="104"/>
        <v>-3014.6718821723325</v>
      </c>
      <c r="E145" s="17">
        <f t="shared" si="105"/>
        <v>30358.403457827666</v>
      </c>
      <c r="F145" s="17">
        <f t="shared" si="106"/>
        <v>2750.5451678276677</v>
      </c>
      <c r="G145" s="17">
        <f t="shared" si="107"/>
        <v>-32372.020652172334</v>
      </c>
      <c r="H145" s="17">
        <f t="shared" si="135"/>
        <v>2750.5451678276677</v>
      </c>
      <c r="I145" s="17">
        <f t="shared" si="108"/>
        <v>1097.9895407742742</v>
      </c>
      <c r="J145" s="20">
        <f>(Geraetedaten!$B$152+(Geraetedaten!$B$153*(Geraetedaten!$B$18+d_y_Sw)/1000))*10</f>
        <v>6051.0442000000003</v>
      </c>
      <c r="K145" s="20">
        <f>(Geraetedaten!$B$165+(Geraetedaten!$B$166*(Geraetedaten!$B$18+d_y_Sw)/1000))*10</f>
        <v>10816.164000000001</v>
      </c>
      <c r="L145" s="20">
        <f>(Geraetedaten!$B$158+(Geraetedaten!$B$159*(Geraetedaten!$B$18+d_y_Sw)/1000)-(Geraetedaten!$B$160*I145/1000))*10</f>
        <v>521.02102697502221</v>
      </c>
      <c r="M145" s="20">
        <f>(Geraetedaten!$B$171+(Geraetedaten!$B$172*(Geraetedaten!$B$18+d_y_Sw)/1000)-(Geraetedaten!$B$173*I145/1000))*10</f>
        <v>983.13265858476393</v>
      </c>
      <c r="N145" s="20">
        <f>IF((H145-J145)/(K145-J145)*(Geraetedaten!$B$174-Geraetedaten!$B$161)&lt;Geraetedaten!$B$174,(H145-J145)/(K145-J145)*(Geraetedaten!$B$174-Geraetedaten!$B$161),Geraetedaten!$B$174)</f>
        <v>-277.05486289535321</v>
      </c>
      <c r="O145" s="20">
        <f>N145/Geraetedaten!$B$174*(M145-L145)+L145+C145</f>
        <v>270.28616230239243</v>
      </c>
      <c r="P145" s="20">
        <f t="shared" si="109"/>
        <v>138.73424944964529</v>
      </c>
      <c r="Q145" s="21">
        <f>(N145-Geraetedaten!$B$161)/(Geraetedaten!$B$174-Geraetedaten!$B$161)*(Geraetedaten!$B$175-Geraetedaten!$B$162)+Geraetedaten!$B$162</f>
        <v>20.957617828863242</v>
      </c>
      <c r="R145" s="21">
        <f t="shared" si="110"/>
        <v>20.957617828863242</v>
      </c>
      <c r="S145" s="21">
        <f t="shared" si="111"/>
        <v>20.145755257000229</v>
      </c>
      <c r="T145" s="88">
        <f t="shared" si="112"/>
        <v>-5.7767023625710605</v>
      </c>
      <c r="U145" s="86">
        <f t="shared" si="113"/>
        <v>-2945.33106</v>
      </c>
      <c r="V145" s="85">
        <f t="shared" si="114"/>
        <v>-1141.3067828769733</v>
      </c>
      <c r="W145" s="85">
        <f t="shared" si="115"/>
        <v>-1187.8968937183888</v>
      </c>
      <c r="X145" s="90">
        <f t="shared" si="116"/>
        <v>1141.3067828769733</v>
      </c>
      <c r="Y145" s="86">
        <f t="shared" si="117"/>
        <v>30427.744279999999</v>
      </c>
      <c r="Z145" s="85">
        <f t="shared" si="118"/>
        <v>-750</v>
      </c>
      <c r="AA145" s="85">
        <f t="shared" si="119"/>
        <v>2720.9664589074755</v>
      </c>
      <c r="AB145" s="90">
        <f t="shared" si="120"/>
        <v>750</v>
      </c>
      <c r="AC145" s="86">
        <f t="shared" si="121"/>
        <v>2819.8859900000002</v>
      </c>
      <c r="AD145" s="85">
        <f t="shared" si="122"/>
        <v>1055.7627565116984</v>
      </c>
      <c r="AE145" s="85">
        <f t="shared" si="123"/>
        <v>1097.9895407742742</v>
      </c>
      <c r="AF145" s="90">
        <f t="shared" si="124"/>
        <v>1055.7627565116984</v>
      </c>
      <c r="AG145" s="86">
        <f t="shared" si="125"/>
        <v>-32302.679830000001</v>
      </c>
      <c r="AH145" s="85">
        <f t="shared" si="126"/>
        <v>6128</v>
      </c>
      <c r="AI145" s="85">
        <f t="shared" si="127"/>
        <v>-22232.109946913344</v>
      </c>
      <c r="AJ145" s="90">
        <f t="shared" si="128"/>
        <v>6128</v>
      </c>
      <c r="AL145" s="95">
        <f t="shared" si="129"/>
        <v>0</v>
      </c>
      <c r="AM145" s="95">
        <f t="shared" si="130"/>
        <v>0</v>
      </c>
      <c r="AN145" s="95">
        <f t="shared" si="131"/>
        <v>0</v>
      </c>
      <c r="AO145" s="95">
        <f t="shared" si="132"/>
        <v>0</v>
      </c>
      <c r="AP145"/>
      <c r="AQ145" s="95">
        <f t="shared" si="133"/>
        <v>0</v>
      </c>
      <c r="AR145" s="95">
        <f t="shared" si="134"/>
        <v>0</v>
      </c>
      <c r="AS145" s="95">
        <f>Geraetedaten!$B$94*ABS(SIN(RADIANS($A145)))</f>
        <v>148.03430117450111</v>
      </c>
      <c r="AT145" s="95">
        <f>Geraetedaten!$B$94*ABS(COS(RADIANS($A145)))</f>
        <v>42.448152795817855</v>
      </c>
      <c r="AU145" s="95">
        <f>((h_Aw_Sw+Geraetedaten!$B$18)/1000)*(AQ145*AS145+AR145*AT145)/100</f>
        <v>0</v>
      </c>
    </row>
    <row r="146" spans="1:47" ht="13.5" x14ac:dyDescent="0.25">
      <c r="A146" s="16">
        <v>107</v>
      </c>
      <c r="B146" s="16">
        <f t="shared" si="102"/>
        <v>343</v>
      </c>
      <c r="C146" s="19">
        <f t="shared" si="103"/>
        <v>69.526958924273615</v>
      </c>
      <c r="D146" s="17">
        <f t="shared" si="104"/>
        <v>-3030.2230589242736</v>
      </c>
      <c r="E146" s="17">
        <f t="shared" si="105"/>
        <v>28616.638091075725</v>
      </c>
      <c r="F146" s="17">
        <f t="shared" si="106"/>
        <v>2764.9209610757266</v>
      </c>
      <c r="G146" s="17">
        <f t="shared" si="107"/>
        <v>-30523.312708924273</v>
      </c>
      <c r="H146" s="17">
        <f t="shared" si="135"/>
        <v>2764.9209610757266</v>
      </c>
      <c r="I146" s="17">
        <f t="shared" si="108"/>
        <v>1103.6595753479496</v>
      </c>
      <c r="J146" s="20">
        <f>(Geraetedaten!$B$152+(Geraetedaten!$B$153*(Geraetedaten!$B$18+d_y_Sw)/1000))*10</f>
        <v>6051.0442000000003</v>
      </c>
      <c r="K146" s="20">
        <f>(Geraetedaten!$B$165+(Geraetedaten!$B$166*(Geraetedaten!$B$18+d_y_Sw)/1000))*10</f>
        <v>10816.164000000001</v>
      </c>
      <c r="L146" s="20">
        <f>(Geraetedaten!$B$158+(Geraetedaten!$B$159*(Geraetedaten!$B$18+d_y_Sw)/1000)-(Geraetedaten!$B$160*I146/1000))*10</f>
        <v>520.60524333973467</v>
      </c>
      <c r="M146" s="20">
        <f>(Geraetedaten!$B$171+(Geraetedaten!$B$172*(Geraetedaten!$B$18+d_y_Sw)/1000)-(Geraetedaten!$B$173*I146/1000))*10</f>
        <v>982.71058121109957</v>
      </c>
      <c r="N146" s="20">
        <f>IF((H146-J146)/(K146-J146)*(Geraetedaten!$B$174-Geraetedaten!$B$161)&lt;Geraetedaten!$B$174,(H146-J146)/(K146-J146)*(Geraetedaten!$B$174-Geraetedaten!$B$161),Geraetedaten!$B$174)</f>
        <v>-275.84811101070522</v>
      </c>
      <c r="O146" s="20">
        <f>N146/Geraetedaten!$B$174*(M146-L146)+L146+C146</f>
        <v>271.45499091455906</v>
      </c>
      <c r="P146" s="20">
        <f t="shared" si="109"/>
        <v>139.12241774385424</v>
      </c>
      <c r="Q146" s="21">
        <f>(N146-Geraetedaten!$B$161)/(Geraetedaten!$B$174-Geraetedaten!$B$161)*(Geraetedaten!$B$175-Geraetedaten!$B$162)+Geraetedaten!$B$162</f>
        <v>20.993518697431519</v>
      </c>
      <c r="R146" s="21">
        <f t="shared" si="110"/>
        <v>20.993518697431519</v>
      </c>
      <c r="S146" s="21">
        <f t="shared" si="111"/>
        <v>20.076201774752672</v>
      </c>
      <c r="T146" s="88">
        <f t="shared" si="112"/>
        <v>-6.1379108496966994</v>
      </c>
      <c r="U146" s="86">
        <f t="shared" si="113"/>
        <v>-2960.6961000000001</v>
      </c>
      <c r="V146" s="85">
        <f t="shared" si="114"/>
        <v>-1141.3067828769733</v>
      </c>
      <c r="W146" s="85">
        <f t="shared" si="115"/>
        <v>-1194.0938480072862</v>
      </c>
      <c r="X146" s="90">
        <f t="shared" si="116"/>
        <v>1141.3067828769733</v>
      </c>
      <c r="Y146" s="86">
        <f t="shared" si="117"/>
        <v>28686.16505</v>
      </c>
      <c r="Z146" s="85">
        <f t="shared" si="118"/>
        <v>-750</v>
      </c>
      <c r="AA146" s="85">
        <f t="shared" si="119"/>
        <v>2565.2277148749513</v>
      </c>
      <c r="AB146" s="90">
        <f t="shared" si="120"/>
        <v>750</v>
      </c>
      <c r="AC146" s="86">
        <f t="shared" si="121"/>
        <v>2834.4479200000001</v>
      </c>
      <c r="AD146" s="85">
        <f t="shared" si="122"/>
        <v>1055.7627565116984</v>
      </c>
      <c r="AE146" s="85">
        <f t="shared" si="123"/>
        <v>1103.6595753479496</v>
      </c>
      <c r="AF146" s="90">
        <f t="shared" si="124"/>
        <v>1055.7627565116984</v>
      </c>
      <c r="AG146" s="86">
        <f t="shared" si="125"/>
        <v>-30453.785749999999</v>
      </c>
      <c r="AH146" s="85">
        <f t="shared" si="126"/>
        <v>6128</v>
      </c>
      <c r="AI146" s="85">
        <f t="shared" si="127"/>
        <v>-20959.620582338266</v>
      </c>
      <c r="AJ146" s="90">
        <f t="shared" si="128"/>
        <v>6128</v>
      </c>
      <c r="AL146" s="95">
        <f t="shared" si="129"/>
        <v>0</v>
      </c>
      <c r="AM146" s="95">
        <f t="shared" si="130"/>
        <v>0</v>
      </c>
      <c r="AN146" s="95">
        <f t="shared" si="131"/>
        <v>0</v>
      </c>
      <c r="AO146" s="95">
        <f t="shared" si="132"/>
        <v>0</v>
      </c>
      <c r="AP146"/>
      <c r="AQ146" s="95">
        <f t="shared" si="133"/>
        <v>0</v>
      </c>
      <c r="AR146" s="95">
        <f t="shared" si="134"/>
        <v>0</v>
      </c>
      <c r="AS146" s="95">
        <f>Geraetedaten!$B$94*ABS(SIN(RADIANS($A146)))</f>
        <v>147.27093241830747</v>
      </c>
      <c r="AT146" s="95">
        <f>Geraetedaten!$B$94*ABS(COS(RADIANS($A146)))</f>
        <v>45.025242527301444</v>
      </c>
      <c r="AU146" s="95">
        <f>((h_Aw_Sw+Geraetedaten!$B$18)/1000)*(AQ146*AS146+AR146*AT146)/100</f>
        <v>0</v>
      </c>
    </row>
    <row r="147" spans="1:47" ht="13.5" x14ac:dyDescent="0.25">
      <c r="A147" s="16">
        <v>108</v>
      </c>
      <c r="B147" s="16">
        <f t="shared" si="102"/>
        <v>342</v>
      </c>
      <c r="C147" s="19">
        <f t="shared" si="103"/>
        <v>69.691917091003504</v>
      </c>
      <c r="D147" s="17">
        <f t="shared" si="104"/>
        <v>-3046.8258270910037</v>
      </c>
      <c r="E147" s="17">
        <f t="shared" si="105"/>
        <v>27071.284562908997</v>
      </c>
      <c r="F147" s="17">
        <f t="shared" si="106"/>
        <v>2780.3417729089965</v>
      </c>
      <c r="G147" s="17">
        <f t="shared" si="107"/>
        <v>-28883.075697091004</v>
      </c>
      <c r="H147" s="17">
        <f t="shared" si="135"/>
        <v>2780.3417729089965</v>
      </c>
      <c r="I147" s="17">
        <f t="shared" si="108"/>
        <v>1109.7282628387188</v>
      </c>
      <c r="J147" s="20">
        <f>(Geraetedaten!$B$152+(Geraetedaten!$B$153*(Geraetedaten!$B$18+d_y_Sw)/1000))*10</f>
        <v>6051.0442000000003</v>
      </c>
      <c r="K147" s="20">
        <f>(Geraetedaten!$B$165+(Geraetedaten!$B$166*(Geraetedaten!$B$18+d_y_Sw)/1000))*10</f>
        <v>10816.164000000001</v>
      </c>
      <c r="L147" s="20">
        <f>(Geraetedaten!$B$158+(Geraetedaten!$B$159*(Geraetedaten!$B$18+d_y_Sw)/1000)-(Geraetedaten!$B$160*I147/1000))*10</f>
        <v>520.16022648603655</v>
      </c>
      <c r="M147" s="20">
        <f>(Geraetedaten!$B$171+(Geraetedaten!$B$172*(Geraetedaten!$B$18+d_y_Sw)/1000)-(Geraetedaten!$B$173*I147/1000))*10</f>
        <v>982.25882811428676</v>
      </c>
      <c r="N147" s="20">
        <f>IF((H147-J147)/(K147-J147)*(Geraetedaten!$B$174-Geraetedaten!$B$161)&lt;Geraetedaten!$B$174,(H147-J147)/(K147-J147)*(Geraetedaten!$B$174-Geraetedaten!$B$161),Geraetedaten!$B$174)</f>
        <v>-274.55363679133552</v>
      </c>
      <c r="O147" s="20">
        <f>N147/Geraetedaten!$B$174*(M147-L147)+L147+C147</f>
        <v>272.67501449397344</v>
      </c>
      <c r="P147" s="20">
        <f t="shared" si="109"/>
        <v>139.52011936594161</v>
      </c>
      <c r="Q147" s="21">
        <f>(N147-Geraetedaten!$B$161)/(Geraetedaten!$B$174-Geraetedaten!$B$161)*(Geraetedaten!$B$175-Geraetedaten!$B$162)+Geraetedaten!$B$162</f>
        <v>21.032029305457765</v>
      </c>
      <c r="R147" s="21">
        <f t="shared" si="110"/>
        <v>21.032029305457765</v>
      </c>
      <c r="S147" s="21">
        <f t="shared" si="111"/>
        <v>20.002648521866242</v>
      </c>
      <c r="T147" s="88">
        <f t="shared" si="112"/>
        <v>-6.4992544815783697</v>
      </c>
      <c r="U147" s="86">
        <f t="shared" si="113"/>
        <v>-2977.13391</v>
      </c>
      <c r="V147" s="85">
        <f t="shared" si="114"/>
        <v>-1141.3067828769733</v>
      </c>
      <c r="W147" s="85">
        <f t="shared" si="115"/>
        <v>-1200.7234672496832</v>
      </c>
      <c r="X147" s="90">
        <f t="shared" si="116"/>
        <v>1141.3067828769733</v>
      </c>
      <c r="Y147" s="86">
        <f t="shared" si="117"/>
        <v>27140.976480000001</v>
      </c>
      <c r="Z147" s="85">
        <f t="shared" si="118"/>
        <v>-750</v>
      </c>
      <c r="AA147" s="85">
        <f t="shared" si="119"/>
        <v>2427.0509831248423</v>
      </c>
      <c r="AB147" s="90">
        <f t="shared" si="120"/>
        <v>750</v>
      </c>
      <c r="AC147" s="86">
        <f t="shared" si="121"/>
        <v>2850.0336900000002</v>
      </c>
      <c r="AD147" s="85">
        <f t="shared" si="122"/>
        <v>1055.7627565116984</v>
      </c>
      <c r="AE147" s="85">
        <f t="shared" si="123"/>
        <v>1109.7282628387188</v>
      </c>
      <c r="AF147" s="90">
        <f t="shared" si="124"/>
        <v>1055.7627565116984</v>
      </c>
      <c r="AG147" s="86">
        <f t="shared" si="125"/>
        <v>-28813.38378</v>
      </c>
      <c r="AH147" s="85">
        <f t="shared" si="126"/>
        <v>6128</v>
      </c>
      <c r="AI147" s="85">
        <f t="shared" si="127"/>
        <v>-19830.624566118713</v>
      </c>
      <c r="AJ147" s="90">
        <f t="shared" si="128"/>
        <v>6128</v>
      </c>
      <c r="AL147" s="95">
        <f t="shared" si="129"/>
        <v>0</v>
      </c>
      <c r="AM147" s="95">
        <f t="shared" si="130"/>
        <v>0</v>
      </c>
      <c r="AN147" s="95">
        <f t="shared" si="131"/>
        <v>0</v>
      </c>
      <c r="AO147" s="95">
        <f t="shared" si="132"/>
        <v>0</v>
      </c>
      <c r="AP147"/>
      <c r="AQ147" s="95">
        <f t="shared" si="133"/>
        <v>0</v>
      </c>
      <c r="AR147" s="95">
        <f t="shared" si="134"/>
        <v>0</v>
      </c>
      <c r="AS147" s="95">
        <f>Geraetedaten!$B$94*ABS(SIN(RADIANS($A147)))</f>
        <v>146.46270350945366</v>
      </c>
      <c r="AT147" s="95">
        <f>Geraetedaten!$B$94*ABS(COS(RADIANS($A147)))</f>
        <v>47.588617133741892</v>
      </c>
      <c r="AU147" s="95">
        <f>((h_Aw_Sw+Geraetedaten!$B$18)/1000)*(AQ147*AS147+AR147*AT147)/100</f>
        <v>0</v>
      </c>
    </row>
    <row r="148" spans="1:47" ht="13.5" x14ac:dyDescent="0.25">
      <c r="A148" s="16">
        <v>109</v>
      </c>
      <c r="B148" s="16">
        <f t="shared" si="102"/>
        <v>341</v>
      </c>
      <c r="C148" s="19">
        <f t="shared" si="103"/>
        <v>69.835646424666706</v>
      </c>
      <c r="D148" s="17">
        <f t="shared" si="104"/>
        <v>-3064.5082064246667</v>
      </c>
      <c r="E148" s="17">
        <f t="shared" si="105"/>
        <v>25691.354023575332</v>
      </c>
      <c r="F148" s="17">
        <f t="shared" si="106"/>
        <v>2796.8342035753335</v>
      </c>
      <c r="G148" s="17">
        <f t="shared" si="107"/>
        <v>-27418.411156424667</v>
      </c>
      <c r="H148" s="17">
        <f t="shared" si="135"/>
        <v>2796.8342035753335</v>
      </c>
      <c r="I148" s="17">
        <f t="shared" si="108"/>
        <v>1116.2059461411218</v>
      </c>
      <c r="J148" s="20">
        <f>(Geraetedaten!$B$152+(Geraetedaten!$B$153*(Geraetedaten!$B$18+d_y_Sw)/1000))*10</f>
        <v>6051.0442000000003</v>
      </c>
      <c r="K148" s="20">
        <f>(Geraetedaten!$B$165+(Geraetedaten!$B$166*(Geraetedaten!$B$18+d_y_Sw)/1000))*10</f>
        <v>10816.164000000001</v>
      </c>
      <c r="L148" s="20">
        <f>(Geraetedaten!$B$158+(Geraetedaten!$B$159*(Geraetedaten!$B$18+d_y_Sw)/1000)-(Geraetedaten!$B$160*I148/1000))*10</f>
        <v>519.6852179694713</v>
      </c>
      <c r="M148" s="20">
        <f>(Geraetedaten!$B$171+(Geraetedaten!$B$172*(Geraetedaten!$B$18+d_y_Sw)/1000)-(Geraetedaten!$B$173*I148/1000))*10</f>
        <v>981.77662936925583</v>
      </c>
      <c r="N148" s="20">
        <f>IF((H148-J148)/(K148-J148)*(Geraetedaten!$B$174-Geraetedaten!$B$161)&lt;Geraetedaten!$B$174,(H148-J148)/(K148-J148)*(Geraetedaten!$B$174-Geraetedaten!$B$161),Geraetedaten!$B$174)</f>
        <v>-273.16920732399353</v>
      </c>
      <c r="O148" s="20">
        <f>N148/Geraetedaten!$B$174*(M148-L148)+L148+C148</f>
        <v>273.94800298587671</v>
      </c>
      <c r="P148" s="20">
        <f t="shared" si="109"/>
        <v>139.92768644755844</v>
      </c>
      <c r="Q148" s="21">
        <f>(N148-Geraetedaten!$B$161)/(Geraetedaten!$B$174-Geraetedaten!$B$161)*(Geraetedaten!$B$175-Geraetedaten!$B$162)+Geraetedaten!$B$162</f>
        <v>21.073216082111191</v>
      </c>
      <c r="R148" s="21">
        <f t="shared" si="110"/>
        <v>21.073216082111191</v>
      </c>
      <c r="S148" s="21">
        <f t="shared" si="111"/>
        <v>19.925117253254388</v>
      </c>
      <c r="T148" s="88">
        <f t="shared" si="112"/>
        <v>-6.860768068329814</v>
      </c>
      <c r="U148" s="86">
        <f t="shared" si="113"/>
        <v>-2994.67256</v>
      </c>
      <c r="V148" s="85">
        <f t="shared" si="114"/>
        <v>-1141.3067828769733</v>
      </c>
      <c r="W148" s="85">
        <f t="shared" si="115"/>
        <v>-1207.7970736064535</v>
      </c>
      <c r="X148" s="90">
        <f t="shared" si="116"/>
        <v>1141.3067828769733</v>
      </c>
      <c r="Y148" s="86">
        <f t="shared" si="117"/>
        <v>25761.18967</v>
      </c>
      <c r="Z148" s="85">
        <f t="shared" si="118"/>
        <v>-750</v>
      </c>
      <c r="AA148" s="85">
        <f t="shared" si="119"/>
        <v>2303.6651150679318</v>
      </c>
      <c r="AB148" s="90">
        <f t="shared" si="120"/>
        <v>750</v>
      </c>
      <c r="AC148" s="86">
        <f t="shared" si="121"/>
        <v>2866.6698500000002</v>
      </c>
      <c r="AD148" s="85">
        <f t="shared" si="122"/>
        <v>1055.7627565116984</v>
      </c>
      <c r="AE148" s="85">
        <f t="shared" si="123"/>
        <v>1116.2059461411218</v>
      </c>
      <c r="AF148" s="90">
        <f t="shared" si="124"/>
        <v>1055.7627565116984</v>
      </c>
      <c r="AG148" s="86">
        <f t="shared" si="125"/>
        <v>-27348.575509999999</v>
      </c>
      <c r="AH148" s="85">
        <f t="shared" si="126"/>
        <v>6128</v>
      </c>
      <c r="AI148" s="85">
        <f t="shared" si="127"/>
        <v>-18822.479766848381</v>
      </c>
      <c r="AJ148" s="90">
        <f t="shared" si="128"/>
        <v>6128</v>
      </c>
      <c r="AL148" s="95">
        <f t="shared" si="129"/>
        <v>0</v>
      </c>
      <c r="AM148" s="95">
        <f t="shared" si="130"/>
        <v>0</v>
      </c>
      <c r="AN148" s="95">
        <f t="shared" si="131"/>
        <v>0</v>
      </c>
      <c r="AO148" s="95">
        <f t="shared" si="132"/>
        <v>0</v>
      </c>
      <c r="AP148"/>
      <c r="AQ148" s="95">
        <f t="shared" si="133"/>
        <v>0</v>
      </c>
      <c r="AR148" s="95">
        <f t="shared" si="134"/>
        <v>0</v>
      </c>
      <c r="AS148" s="95">
        <f>Geraetedaten!$B$94*ABS(SIN(RADIANS($A148)))</f>
        <v>145.60986064229479</v>
      </c>
      <c r="AT148" s="95">
        <f>Geraetedaten!$B$94*ABS(COS(RADIANS($A148)))</f>
        <v>50.13749578640212</v>
      </c>
      <c r="AU148" s="95">
        <f>((h_Aw_Sw+Geraetedaten!$B$18)/1000)*(AQ148*AS148+AR148*AT148)/100</f>
        <v>0</v>
      </c>
    </row>
    <row r="149" spans="1:47" ht="13.5" x14ac:dyDescent="0.25">
      <c r="A149" s="16">
        <v>110</v>
      </c>
      <c r="B149" s="16">
        <f t="shared" si="102"/>
        <v>340</v>
      </c>
      <c r="C149" s="19">
        <f t="shared" si="103"/>
        <v>69.958103143915849</v>
      </c>
      <c r="D149" s="17">
        <f t="shared" si="104"/>
        <v>-3083.3005231439156</v>
      </c>
      <c r="E149" s="17">
        <f t="shared" si="105"/>
        <v>24452.056576856085</v>
      </c>
      <c r="F149" s="17">
        <f t="shared" si="106"/>
        <v>2814.4270268560845</v>
      </c>
      <c r="G149" s="17">
        <f t="shared" si="107"/>
        <v>-26103.001563143916</v>
      </c>
      <c r="H149" s="17">
        <f t="shared" si="135"/>
        <v>2814.4270268560845</v>
      </c>
      <c r="I149" s="17">
        <f t="shared" si="108"/>
        <v>1123.103813236213</v>
      </c>
      <c r="J149" s="20">
        <f>(Geraetedaten!$B$152+(Geraetedaten!$B$153*(Geraetedaten!$B$18+d_y_Sw)/1000))*10</f>
        <v>6051.0442000000003</v>
      </c>
      <c r="K149" s="20">
        <f>(Geraetedaten!$B$165+(Geraetedaten!$B$166*(Geraetedaten!$B$18+d_y_Sw)/1000))*10</f>
        <v>10816.164000000001</v>
      </c>
      <c r="L149" s="20">
        <f>(Geraetedaten!$B$158+(Geraetedaten!$B$159*(Geraetedaten!$B$18+d_y_Sw)/1000)-(Geraetedaten!$B$160*I149/1000))*10</f>
        <v>519.17939737538836</v>
      </c>
      <c r="M149" s="20">
        <f>(Geraetedaten!$B$171+(Geraetedaten!$B$172*(Geraetedaten!$B$18+d_y_Sw)/1000)-(Geraetedaten!$B$173*I149/1000))*10</f>
        <v>981.26315214269721</v>
      </c>
      <c r="N149" s="20">
        <f>IF((H149-J149)/(K149-J149)*(Geraetedaten!$B$174-Geraetedaten!$B$161)&lt;Geraetedaten!$B$174,(H149-J149)/(K149-J149)*(Geraetedaten!$B$174-Geraetedaten!$B$161),Geraetedaten!$B$174)</f>
        <v>-271.69240724180031</v>
      </c>
      <c r="O149" s="20">
        <f>N149/Geraetedaten!$B$174*(M149-L149)+L149+C149</f>
        <v>275.27588131915456</v>
      </c>
      <c r="P149" s="20">
        <f t="shared" si="109"/>
        <v>140.34548450483157</v>
      </c>
      <c r="Q149" s="21">
        <f>(N149-Geraetedaten!$B$161)/(Geraetedaten!$B$174-Geraetedaten!$B$161)*(Geraetedaten!$B$175-Geraetedaten!$B$162)+Geraetedaten!$B$162</f>
        <v>21.117150884556438</v>
      </c>
      <c r="R149" s="21">
        <f t="shared" si="110"/>
        <v>21.117150884556438</v>
      </c>
      <c r="S149" s="21">
        <f t="shared" si="111"/>
        <v>19.843630858240303</v>
      </c>
      <c r="T149" s="88">
        <f t="shared" si="112"/>
        <v>-7.2224909721657644</v>
      </c>
      <c r="U149" s="86">
        <f t="shared" si="113"/>
        <v>-3013.3424199999999</v>
      </c>
      <c r="V149" s="85">
        <f t="shared" si="114"/>
        <v>-1141.3067828769733</v>
      </c>
      <c r="W149" s="85">
        <f t="shared" si="115"/>
        <v>-1215.3269109566741</v>
      </c>
      <c r="X149" s="90">
        <f t="shared" si="116"/>
        <v>1141.3067828769733</v>
      </c>
      <c r="Y149" s="86">
        <f t="shared" si="117"/>
        <v>24522.01468</v>
      </c>
      <c r="Z149" s="85">
        <f t="shared" si="118"/>
        <v>-750</v>
      </c>
      <c r="AA149" s="85">
        <f t="shared" si="119"/>
        <v>2192.8533001223154</v>
      </c>
      <c r="AB149" s="90">
        <f t="shared" si="120"/>
        <v>750</v>
      </c>
      <c r="AC149" s="86">
        <f t="shared" si="121"/>
        <v>2884.3851300000001</v>
      </c>
      <c r="AD149" s="85">
        <f t="shared" si="122"/>
        <v>1055.7627565116984</v>
      </c>
      <c r="AE149" s="85">
        <f t="shared" si="123"/>
        <v>1123.103813236213</v>
      </c>
      <c r="AF149" s="90">
        <f t="shared" si="124"/>
        <v>1055.7627565116984</v>
      </c>
      <c r="AG149" s="86">
        <f t="shared" si="125"/>
        <v>-26033.043460000001</v>
      </c>
      <c r="AH149" s="85">
        <f t="shared" si="126"/>
        <v>6128</v>
      </c>
      <c r="AI149" s="85">
        <f t="shared" si="127"/>
        <v>-17917.073364199401</v>
      </c>
      <c r="AJ149" s="90">
        <f t="shared" si="128"/>
        <v>6128</v>
      </c>
      <c r="AL149" s="95">
        <f t="shared" si="129"/>
        <v>0</v>
      </c>
      <c r="AM149" s="95">
        <f t="shared" si="130"/>
        <v>0</v>
      </c>
      <c r="AN149" s="95">
        <f t="shared" si="131"/>
        <v>0</v>
      </c>
      <c r="AO149" s="95">
        <f t="shared" si="132"/>
        <v>0</v>
      </c>
      <c r="AP149"/>
      <c r="AQ149" s="95">
        <f t="shared" si="133"/>
        <v>0</v>
      </c>
      <c r="AR149" s="95">
        <f t="shared" si="134"/>
        <v>0</v>
      </c>
      <c r="AS149" s="95">
        <f>Geraetedaten!$B$94*ABS(SIN(RADIANS($A149)))</f>
        <v>144.7126636010299</v>
      </c>
      <c r="AT149" s="95">
        <f>Geraetedaten!$B$94*ABS(COS(RADIANS($A149)))</f>
        <v>52.671102072152983</v>
      </c>
      <c r="AU149" s="95">
        <f>((h_Aw_Sw+Geraetedaten!$B$18)/1000)*(AQ149*AS149+AR149*AT149)/100</f>
        <v>0</v>
      </c>
    </row>
    <row r="150" spans="1:47" ht="13.5" x14ac:dyDescent="0.25">
      <c r="A150" s="16">
        <v>111</v>
      </c>
      <c r="B150" s="16">
        <f t="shared" si="102"/>
        <v>339</v>
      </c>
      <c r="C150" s="19">
        <f t="shared" si="103"/>
        <v>70.059249947248006</v>
      </c>
      <c r="D150" s="17">
        <f t="shared" si="104"/>
        <v>-3103.2354999472482</v>
      </c>
      <c r="E150" s="17">
        <f t="shared" si="105"/>
        <v>23333.325420052752</v>
      </c>
      <c r="F150" s="17">
        <f t="shared" si="106"/>
        <v>2833.1513300527517</v>
      </c>
      <c r="G150" s="17">
        <f t="shared" si="107"/>
        <v>-24915.543519947249</v>
      </c>
      <c r="H150" s="17">
        <f t="shared" si="135"/>
        <v>2833.1513300527517</v>
      </c>
      <c r="I150" s="17">
        <f t="shared" si="108"/>
        <v>1130.4339468656203</v>
      </c>
      <c r="J150" s="20">
        <f>(Geraetedaten!$B$152+(Geraetedaten!$B$153*(Geraetedaten!$B$18+d_y_Sw)/1000))*10</f>
        <v>6051.0442000000003</v>
      </c>
      <c r="K150" s="20">
        <f>(Geraetedaten!$B$165+(Geraetedaten!$B$166*(Geraetedaten!$B$18+d_y_Sw)/1000))*10</f>
        <v>10816.164000000001</v>
      </c>
      <c r="L150" s="20">
        <f>(Geraetedaten!$B$158+(Geraetedaten!$B$159*(Geraetedaten!$B$18+d_y_Sw)/1000)-(Geraetedaten!$B$160*I150/1000))*10</f>
        <v>518.64187867634382</v>
      </c>
      <c r="M150" s="20">
        <f>(Geraetedaten!$B$171+(Geraetedaten!$B$172*(Geraetedaten!$B$18+d_y_Sw)/1000)-(Geraetedaten!$B$173*I150/1000))*10</f>
        <v>980.71749699532415</v>
      </c>
      <c r="N150" s="20">
        <f>IF((H150-J150)/(K150-J150)*(Geraetedaten!$B$174-Geraetedaten!$B$161)&lt;Geraetedaten!$B$174,(H150-J150)/(K150-J150)*(Geraetedaten!$B$174-Geraetedaten!$B$161),Geraetedaten!$B$174)</f>
        <v>-270.12062697330282</v>
      </c>
      <c r="O150" s="20">
        <f>N150/Geraetedaten!$B$174*(M150-L150)+L150+C150</f>
        <v>276.66073930009298</v>
      </c>
      <c r="P150" s="20">
        <f t="shared" si="109"/>
        <v>140.77391388534031</v>
      </c>
      <c r="Q150" s="21">
        <f>(N150-Geraetedaten!$B$161)/(Geraetedaten!$B$174-Geraetedaten!$B$161)*(Geraetedaten!$B$175-Geraetedaten!$B$162)+Geraetedaten!$B$162</f>
        <v>21.163911347544239</v>
      </c>
      <c r="R150" s="21">
        <f t="shared" si="110"/>
        <v>21.163911347544239</v>
      </c>
      <c r="S150" s="21">
        <f t="shared" si="111"/>
        <v>19.758213382189318</v>
      </c>
      <c r="T150" s="88">
        <f t="shared" si="112"/>
        <v>-7.5844675139779421</v>
      </c>
      <c r="U150" s="86">
        <f t="shared" si="113"/>
        <v>-3033.17625</v>
      </c>
      <c r="V150" s="85">
        <f t="shared" si="114"/>
        <v>-1141.3067828769733</v>
      </c>
      <c r="W150" s="85">
        <f t="shared" si="115"/>
        <v>-1223.326199421937</v>
      </c>
      <c r="X150" s="90">
        <f t="shared" si="116"/>
        <v>1141.3067828769733</v>
      </c>
      <c r="Y150" s="86">
        <f t="shared" si="117"/>
        <v>23403.384669999999</v>
      </c>
      <c r="Z150" s="85">
        <f t="shared" si="118"/>
        <v>-750</v>
      </c>
      <c r="AA150" s="85">
        <f t="shared" si="119"/>
        <v>2092.8210822190022</v>
      </c>
      <c r="AB150" s="90">
        <f t="shared" si="120"/>
        <v>750</v>
      </c>
      <c r="AC150" s="86">
        <f t="shared" si="121"/>
        <v>2903.2105799999999</v>
      </c>
      <c r="AD150" s="85">
        <f t="shared" si="122"/>
        <v>1055.7627565116984</v>
      </c>
      <c r="AE150" s="85">
        <f t="shared" si="123"/>
        <v>1130.4339468656203</v>
      </c>
      <c r="AF150" s="90">
        <f t="shared" si="124"/>
        <v>1055.7627565116984</v>
      </c>
      <c r="AG150" s="86">
        <f t="shared" si="125"/>
        <v>-24845.484270000001</v>
      </c>
      <c r="AH150" s="85">
        <f t="shared" si="126"/>
        <v>6128</v>
      </c>
      <c r="AI150" s="85">
        <f t="shared" si="127"/>
        <v>-17099.743455784057</v>
      </c>
      <c r="AJ150" s="90">
        <f t="shared" si="128"/>
        <v>6128</v>
      </c>
      <c r="AL150" s="95">
        <f t="shared" si="129"/>
        <v>0</v>
      </c>
      <c r="AM150" s="95">
        <f t="shared" si="130"/>
        <v>0</v>
      </c>
      <c r="AN150" s="95">
        <f t="shared" si="131"/>
        <v>0</v>
      </c>
      <c r="AO150" s="95">
        <f t="shared" si="132"/>
        <v>0</v>
      </c>
      <c r="AP150"/>
      <c r="AQ150" s="95">
        <f t="shared" si="133"/>
        <v>0</v>
      </c>
      <c r="AR150" s="95">
        <f t="shared" si="134"/>
        <v>0</v>
      </c>
      <c r="AS150" s="95">
        <f>Geraetedaten!$B$94*ABS(SIN(RADIANS($A150)))</f>
        <v>143.77138568056907</v>
      </c>
      <c r="AT150" s="95">
        <f>Geraetedaten!$B$94*ABS(COS(RADIANS($A150)))</f>
        <v>55.18866422997624</v>
      </c>
      <c r="AU150" s="95">
        <f>((h_Aw_Sw+Geraetedaten!$B$18)/1000)*(AQ150*AS150+AR150*AT150)/100</f>
        <v>0</v>
      </c>
    </row>
    <row r="151" spans="1:47" ht="13.5" x14ac:dyDescent="0.25">
      <c r="A151" s="16">
        <v>112</v>
      </c>
      <c r="B151" s="16">
        <f t="shared" si="102"/>
        <v>338</v>
      </c>
      <c r="C151" s="19">
        <f t="shared" si="103"/>
        <v>70.139056024367036</v>
      </c>
      <c r="D151" s="17">
        <f t="shared" si="104"/>
        <v>-3124.3484760243673</v>
      </c>
      <c r="E151" s="17">
        <f t="shared" si="105"/>
        <v>22318.743373975634</v>
      </c>
      <c r="F151" s="17">
        <f t="shared" si="106"/>
        <v>2853.0405939756329</v>
      </c>
      <c r="G151" s="17">
        <f t="shared" si="107"/>
        <v>-23838.608196024368</v>
      </c>
      <c r="H151" s="17">
        <f t="shared" si="135"/>
        <v>2853.0405939756329</v>
      </c>
      <c r="I151" s="17">
        <f t="shared" si="108"/>
        <v>1138.2093792185385</v>
      </c>
      <c r="J151" s="20">
        <f>(Geraetedaten!$B$152+(Geraetedaten!$B$153*(Geraetedaten!$B$18+d_y_Sw)/1000))*10</f>
        <v>6051.0442000000003</v>
      </c>
      <c r="K151" s="20">
        <f>(Geraetedaten!$B$165+(Geraetedaten!$B$166*(Geraetedaten!$B$18+d_y_Sw)/1000))*10</f>
        <v>10816.164000000001</v>
      </c>
      <c r="L151" s="20">
        <f>(Geraetedaten!$B$158+(Geraetedaten!$B$159*(Geraetedaten!$B$18+d_y_Sw)/1000)-(Geraetedaten!$B$160*I151/1000))*10</f>
        <v>518.07170622190438</v>
      </c>
      <c r="M151" s="20">
        <f>(Geraetedaten!$B$171+(Geraetedaten!$B$172*(Geraetedaten!$B$18+d_y_Sw)/1000)-(Geraetedaten!$B$173*I151/1000))*10</f>
        <v>980.13869381097288</v>
      </c>
      <c r="N151" s="20">
        <f>IF((H151-J151)/(K151-J151)*(Geraetedaten!$B$174-Geraetedaten!$B$161)&lt;Geraetedaten!$B$174,(H151-J151)/(K151-J151)*(Geraetedaten!$B$174-Geraetedaten!$B$161),Geraetedaten!$B$174)</f>
        <v>-268.4510560279611</v>
      </c>
      <c r="O151" s="20">
        <f>N151/Geraetedaten!$B$174*(M151-L151)+L151+C151</f>
        <v>278.10483531141085</v>
      </c>
      <c r="P151" s="20">
        <f t="shared" si="109"/>
        <v>141.2134089841131</v>
      </c>
      <c r="Q151" s="21">
        <f>(N151-Geraetedaten!$B$161)/(Geraetedaten!$B$174-Geraetedaten!$B$161)*(Geraetedaten!$B$175-Geraetedaten!$B$162)+Geraetedaten!$B$162</f>
        <v>21.213581083168155</v>
      </c>
      <c r="R151" s="21">
        <f t="shared" si="110"/>
        <v>21.213581083168155</v>
      </c>
      <c r="S151" s="21">
        <f t="shared" si="111"/>
        <v>19.668889877856934</v>
      </c>
      <c r="T151" s="88">
        <f t="shared" si="112"/>
        <v>-7.9467473437178562</v>
      </c>
      <c r="U151" s="86">
        <f t="shared" si="113"/>
        <v>-3054.2094200000001</v>
      </c>
      <c r="V151" s="85">
        <f t="shared" si="114"/>
        <v>-1141.3067828769733</v>
      </c>
      <c r="W151" s="85">
        <f t="shared" si="115"/>
        <v>-1231.8091953884207</v>
      </c>
      <c r="X151" s="90">
        <f t="shared" si="116"/>
        <v>1141.3067828769733</v>
      </c>
      <c r="Y151" s="86">
        <f t="shared" si="117"/>
        <v>22388.882430000001</v>
      </c>
      <c r="Z151" s="85">
        <f t="shared" si="118"/>
        <v>-750</v>
      </c>
      <c r="AA151" s="85">
        <f t="shared" si="119"/>
        <v>2002.1003719155108</v>
      </c>
      <c r="AB151" s="90">
        <f t="shared" si="120"/>
        <v>750</v>
      </c>
      <c r="AC151" s="86">
        <f t="shared" si="121"/>
        <v>2923.17965</v>
      </c>
      <c r="AD151" s="85">
        <f t="shared" si="122"/>
        <v>1055.7627565116984</v>
      </c>
      <c r="AE151" s="85">
        <f t="shared" si="123"/>
        <v>1138.2093792185385</v>
      </c>
      <c r="AF151" s="90">
        <f t="shared" si="124"/>
        <v>1055.7627565116984</v>
      </c>
      <c r="AG151" s="86">
        <f t="shared" si="125"/>
        <v>-23768.469140000001</v>
      </c>
      <c r="AH151" s="85">
        <f t="shared" si="126"/>
        <v>6128</v>
      </c>
      <c r="AI151" s="85">
        <f t="shared" si="127"/>
        <v>-16358.494772131</v>
      </c>
      <c r="AJ151" s="90">
        <f t="shared" si="128"/>
        <v>6128</v>
      </c>
      <c r="AL151" s="95">
        <f t="shared" si="129"/>
        <v>0</v>
      </c>
      <c r="AM151" s="95">
        <f t="shared" si="130"/>
        <v>0</v>
      </c>
      <c r="AN151" s="95">
        <f t="shared" si="131"/>
        <v>0</v>
      </c>
      <c r="AO151" s="95">
        <f t="shared" si="132"/>
        <v>0</v>
      </c>
      <c r="AP151"/>
      <c r="AQ151" s="95">
        <f t="shared" si="133"/>
        <v>0</v>
      </c>
      <c r="AR151" s="95">
        <f t="shared" si="134"/>
        <v>0</v>
      </c>
      <c r="AS151" s="95">
        <f>Geraetedaten!$B$94*ABS(SIN(RADIANS($A151)))</f>
        <v>142.78631360328527</v>
      </c>
      <c r="AT151" s="95">
        <f>Geraetedaten!$B$94*ABS(COS(RADIANS($A151)))</f>
        <v>57.689415386050456</v>
      </c>
      <c r="AU151" s="95">
        <f>((h_Aw_Sw+Geraetedaten!$B$18)/1000)*(AQ151*AS151+AR151*AT151)/100</f>
        <v>0</v>
      </c>
    </row>
    <row r="152" spans="1:47" ht="13.5" x14ac:dyDescent="0.25">
      <c r="A152" s="16">
        <v>113</v>
      </c>
      <c r="B152" s="16">
        <f t="shared" si="102"/>
        <v>337</v>
      </c>
      <c r="C152" s="19">
        <f t="shared" si="103"/>
        <v>70.19749706556874</v>
      </c>
      <c r="D152" s="17">
        <f t="shared" si="104"/>
        <v>-3146.6774870655686</v>
      </c>
      <c r="E152" s="17">
        <f t="shared" si="105"/>
        <v>21394.749532934431</v>
      </c>
      <c r="F152" s="17">
        <f t="shared" si="106"/>
        <v>2874.1309129344313</v>
      </c>
      <c r="G152" s="17">
        <f t="shared" si="107"/>
        <v>-22857.799007065569</v>
      </c>
      <c r="H152" s="17">
        <f t="shared" si="135"/>
        <v>2874.1309129344313</v>
      </c>
      <c r="I152" s="17">
        <f t="shared" si="108"/>
        <v>1146.4441521151946</v>
      </c>
      <c r="J152" s="20">
        <f>(Geraetedaten!$B$152+(Geraetedaten!$B$153*(Geraetedaten!$B$18+d_y_Sw)/1000))*10</f>
        <v>6051.0442000000003</v>
      </c>
      <c r="K152" s="20">
        <f>(Geraetedaten!$B$165+(Geraetedaten!$B$166*(Geraetedaten!$B$18+d_y_Sw)/1000))*10</f>
        <v>10816.164000000001</v>
      </c>
      <c r="L152" s="20">
        <f>(Geraetedaten!$B$158+(Geraetedaten!$B$159*(Geraetedaten!$B$18+d_y_Sw)/1000)-(Geraetedaten!$B$160*I152/1000))*10</f>
        <v>517.46785032539253</v>
      </c>
      <c r="M152" s="20">
        <f>(Geraetedaten!$B$171+(Geraetedaten!$B$172*(Geraetedaten!$B$18+d_y_Sw)/1000)-(Geraetedaten!$B$173*I152/1000))*10</f>
        <v>979.52569731654592</v>
      </c>
      <c r="N152" s="20">
        <f>IF((H152-J152)/(K152-J152)*(Geraetedaten!$B$174-Geraetedaten!$B$161)&lt;Geraetedaten!$B$174,(H152-J152)/(K152-J152)*(Geraetedaten!$B$174-Geraetedaten!$B$161),Geraetedaten!$B$174)</f>
        <v>-266.68066452940542</v>
      </c>
      <c r="O152" s="20">
        <f>N152/Geraetedaten!$B$174*(M152-L152)+L152+C152</f>
        <v>279.61061317439351</v>
      </c>
      <c r="P152" s="20">
        <f t="shared" si="109"/>
        <v>141.664441567305</v>
      </c>
      <c r="Q152" s="21">
        <f>(N152-Geraetedaten!$B$161)/(Geraetedaten!$B$174-Geraetedaten!$B$161)*(Geraetedaten!$B$175-Geraetedaten!$B$162)+Geraetedaten!$B$162</f>
        <v>21.266250230250186</v>
      </c>
      <c r="R152" s="21">
        <f t="shared" si="110"/>
        <v>21.266250230250186</v>
      </c>
      <c r="S152" s="21">
        <f t="shared" si="111"/>
        <v>19.575686551679372</v>
      </c>
      <c r="T152" s="88">
        <f t="shared" si="112"/>
        <v>-8.3093859512009338</v>
      </c>
      <c r="U152" s="86">
        <f t="shared" si="113"/>
        <v>-3076.4799899999998</v>
      </c>
      <c r="V152" s="85">
        <f t="shared" si="114"/>
        <v>-1141.3067828769733</v>
      </c>
      <c r="W152" s="85">
        <f t="shared" si="115"/>
        <v>-1240.7912575593875</v>
      </c>
      <c r="X152" s="90">
        <f t="shared" si="116"/>
        <v>1141.3067828769733</v>
      </c>
      <c r="Y152" s="86">
        <f t="shared" si="117"/>
        <v>21464.947029999999</v>
      </c>
      <c r="Z152" s="85">
        <f t="shared" si="118"/>
        <v>-750</v>
      </c>
      <c r="AA152" s="85">
        <f t="shared" si="119"/>
        <v>1919.478498935589</v>
      </c>
      <c r="AB152" s="90">
        <f t="shared" si="120"/>
        <v>750</v>
      </c>
      <c r="AC152" s="86">
        <f t="shared" si="121"/>
        <v>2944.3284100000001</v>
      </c>
      <c r="AD152" s="85">
        <f t="shared" si="122"/>
        <v>1055.7627565116984</v>
      </c>
      <c r="AE152" s="85">
        <f t="shared" si="123"/>
        <v>1146.4441521151946</v>
      </c>
      <c r="AF152" s="90">
        <f t="shared" si="124"/>
        <v>1055.7627565116984</v>
      </c>
      <c r="AG152" s="86">
        <f t="shared" si="125"/>
        <v>-22787.60151</v>
      </c>
      <c r="AH152" s="85">
        <f t="shared" si="126"/>
        <v>6128</v>
      </c>
      <c r="AI152" s="85">
        <f t="shared" si="127"/>
        <v>-15683.418988636386</v>
      </c>
      <c r="AJ152" s="90">
        <f t="shared" si="128"/>
        <v>6128</v>
      </c>
      <c r="AL152" s="95">
        <f t="shared" si="129"/>
        <v>0</v>
      </c>
      <c r="AM152" s="95">
        <f t="shared" si="130"/>
        <v>0</v>
      </c>
      <c r="AN152" s="95">
        <f t="shared" si="131"/>
        <v>0</v>
      </c>
      <c r="AO152" s="95">
        <f t="shared" si="132"/>
        <v>0</v>
      </c>
      <c r="AP152"/>
      <c r="AQ152" s="95">
        <f t="shared" si="133"/>
        <v>0</v>
      </c>
      <c r="AR152" s="95">
        <f t="shared" si="134"/>
        <v>0</v>
      </c>
      <c r="AS152" s="95">
        <f>Geraetedaten!$B$94*ABS(SIN(RADIANS($A152)))</f>
        <v>141.7577474316758</v>
      </c>
      <c r="AT152" s="95">
        <f>Geraetedaten!$B$94*ABS(COS(RADIANS($A152)))</f>
        <v>60.172593787348163</v>
      </c>
      <c r="AU152" s="95">
        <f>((h_Aw_Sw+Geraetedaten!$B$18)/1000)*(AQ152*AS152+AR152*AT152)/100</f>
        <v>0</v>
      </c>
    </row>
    <row r="153" spans="1:47" ht="13.5" x14ac:dyDescent="0.25">
      <c r="A153" s="16">
        <v>114</v>
      </c>
      <c r="B153" s="16">
        <f t="shared" si="102"/>
        <v>336</v>
      </c>
      <c r="C153" s="19">
        <f t="shared" si="103"/>
        <v>70.234555269145858</v>
      </c>
      <c r="D153" s="17">
        <f t="shared" si="104"/>
        <v>-3170.2635252691457</v>
      </c>
      <c r="E153" s="17">
        <f t="shared" si="105"/>
        <v>20550.044244730852</v>
      </c>
      <c r="F153" s="17">
        <f t="shared" si="106"/>
        <v>2896.4611347308542</v>
      </c>
      <c r="G153" s="17">
        <f t="shared" si="107"/>
        <v>-21961.119985269142</v>
      </c>
      <c r="H153" s="17">
        <f t="shared" si="135"/>
        <v>2896.4611347308542</v>
      </c>
      <c r="I153" s="17">
        <f t="shared" si="108"/>
        <v>1155.1533832317209</v>
      </c>
      <c r="J153" s="20">
        <f>(Geraetedaten!$B$152+(Geraetedaten!$B$153*(Geraetedaten!$B$18+d_y_Sw)/1000))*10</f>
        <v>6051.0442000000003</v>
      </c>
      <c r="K153" s="20">
        <f>(Geraetedaten!$B$165+(Geraetedaten!$B$166*(Geraetedaten!$B$18+d_y_Sw)/1000))*10</f>
        <v>10816.164000000001</v>
      </c>
      <c r="L153" s="20">
        <f>(Geraetedaten!$B$158+(Geraetedaten!$B$159*(Geraetedaten!$B$18+d_y_Sw)/1000)-(Geraetedaten!$B$160*I153/1000))*10</f>
        <v>516.82920240761769</v>
      </c>
      <c r="M153" s="20">
        <f>(Geraetedaten!$B$171+(Geraetedaten!$B$172*(Geraetedaten!$B$18+d_y_Sw)/1000)-(Geraetedaten!$B$173*I153/1000))*10</f>
        <v>978.87738215223169</v>
      </c>
      <c r="N153" s="20">
        <f>IF((H153-J153)/(K153-J153)*(Geraetedaten!$B$174-Geraetedaten!$B$161)&lt;Geraetedaten!$B$174,(H153-J153)/(K153-J153)*(Geraetedaten!$B$174-Geraetedaten!$B$161),Geraetedaten!$B$174)</f>
        <v>-264.80619146399181</v>
      </c>
      <c r="O153" s="20">
        <f>N153/Geraetedaten!$B$174*(M153-L153)+L153+C153</f>
        <v>281.18071079916064</v>
      </c>
      <c r="P153" s="20">
        <f t="shared" si="109"/>
        <v>142.12752114503218</v>
      </c>
      <c r="Q153" s="21">
        <f>(N153-Geraetedaten!$B$161)/(Geraetedaten!$B$174-Geraetedaten!$B$161)*(Geraetedaten!$B$175-Geraetedaten!$B$162)+Geraetedaten!$B$162</f>
        <v>21.322015803946243</v>
      </c>
      <c r="R153" s="21">
        <f t="shared" si="110"/>
        <v>21.322015803946243</v>
      </c>
      <c r="S153" s="21">
        <f t="shared" si="111"/>
        <v>19.478630685478841</v>
      </c>
      <c r="T153" s="88">
        <f t="shared" si="112"/>
        <v>-8.6724451317062563</v>
      </c>
      <c r="U153" s="86">
        <f t="shared" si="113"/>
        <v>-3100.0289699999998</v>
      </c>
      <c r="V153" s="85">
        <f t="shared" si="114"/>
        <v>-1141.3067828769733</v>
      </c>
      <c r="W153" s="85">
        <f t="shared" si="115"/>
        <v>-1250.2889196384915</v>
      </c>
      <c r="X153" s="90">
        <f t="shared" si="116"/>
        <v>1141.3067828769733</v>
      </c>
      <c r="Y153" s="86">
        <f t="shared" si="117"/>
        <v>20620.2788</v>
      </c>
      <c r="Z153" s="85">
        <f t="shared" si="118"/>
        <v>-750</v>
      </c>
      <c r="AA153" s="85">
        <f t="shared" si="119"/>
        <v>1843.9450016806786</v>
      </c>
      <c r="AB153" s="90">
        <f t="shared" si="120"/>
        <v>750</v>
      </c>
      <c r="AC153" s="86">
        <f t="shared" si="121"/>
        <v>2966.69569</v>
      </c>
      <c r="AD153" s="85">
        <f t="shared" si="122"/>
        <v>1055.7627565116984</v>
      </c>
      <c r="AE153" s="85">
        <f t="shared" si="123"/>
        <v>1155.1533832317209</v>
      </c>
      <c r="AF153" s="90">
        <f t="shared" si="124"/>
        <v>1055.7627565116984</v>
      </c>
      <c r="AG153" s="86">
        <f t="shared" si="125"/>
        <v>-21890.885429999998</v>
      </c>
      <c r="AH153" s="85">
        <f t="shared" si="126"/>
        <v>6128</v>
      </c>
      <c r="AI153" s="85">
        <f t="shared" si="127"/>
        <v>-15066.259960398931</v>
      </c>
      <c r="AJ153" s="90">
        <f t="shared" si="128"/>
        <v>6128</v>
      </c>
      <c r="AL153" s="95">
        <f t="shared" si="129"/>
        <v>0</v>
      </c>
      <c r="AM153" s="95">
        <f t="shared" si="130"/>
        <v>0</v>
      </c>
      <c r="AN153" s="95">
        <f t="shared" si="131"/>
        <v>0</v>
      </c>
      <c r="AO153" s="95">
        <f t="shared" si="132"/>
        <v>0</v>
      </c>
      <c r="AP153"/>
      <c r="AQ153" s="95">
        <f t="shared" si="133"/>
        <v>0</v>
      </c>
      <c r="AR153" s="95">
        <f t="shared" si="134"/>
        <v>0</v>
      </c>
      <c r="AS153" s="95">
        <f>Geraetedaten!$B$94*ABS(SIN(RADIANS($A153)))</f>
        <v>140.68600047696054</v>
      </c>
      <c r="AT153" s="95">
        <f>Geraetedaten!$B$94*ABS(COS(RADIANS($A153)))</f>
        <v>62.637443033673243</v>
      </c>
      <c r="AU153" s="95">
        <f>((h_Aw_Sw+Geraetedaten!$B$18)/1000)*(AQ153*AS153+AR153*AT153)/100</f>
        <v>0</v>
      </c>
    </row>
    <row r="154" spans="1:47" ht="13.5" x14ac:dyDescent="0.25">
      <c r="A154" s="16">
        <v>115</v>
      </c>
      <c r="B154" s="16">
        <f t="shared" si="102"/>
        <v>335</v>
      </c>
      <c r="C154" s="19">
        <f t="shared" si="103"/>
        <v>70.250219346810582</v>
      </c>
      <c r="D154" s="17">
        <f t="shared" si="104"/>
        <v>-3195.1506793468106</v>
      </c>
      <c r="E154" s="17">
        <f t="shared" si="105"/>
        <v>19775.136830653191</v>
      </c>
      <c r="F154" s="17">
        <f t="shared" si="106"/>
        <v>2920.0730406531893</v>
      </c>
      <c r="G154" s="17">
        <f t="shared" si="107"/>
        <v>-21138.495629346809</v>
      </c>
      <c r="H154" s="17">
        <f t="shared" si="135"/>
        <v>2920.0730406531893</v>
      </c>
      <c r="I154" s="17">
        <f t="shared" si="108"/>
        <v>1164.3533389810316</v>
      </c>
      <c r="J154" s="20">
        <f>(Geraetedaten!$B$152+(Geraetedaten!$B$153*(Geraetedaten!$B$18+d_y_Sw)/1000))*10</f>
        <v>6051.0442000000003</v>
      </c>
      <c r="K154" s="20">
        <f>(Geraetedaten!$B$165+(Geraetedaten!$B$166*(Geraetedaten!$B$18+d_y_Sw)/1000))*10</f>
        <v>10816.164000000001</v>
      </c>
      <c r="L154" s="20">
        <f>(Geraetedaten!$B$158+(Geraetedaten!$B$159*(Geraetedaten!$B$18+d_y_Sw)/1000)-(Geraetedaten!$B$160*I154/1000))*10</f>
        <v>516.15456965252076</v>
      </c>
      <c r="M154" s="20">
        <f>(Geraetedaten!$B$171+(Geraetedaten!$B$172*(Geraetedaten!$B$18+d_y_Sw)/1000)-(Geraetedaten!$B$173*I154/1000))*10</f>
        <v>978.19253744625303</v>
      </c>
      <c r="N154" s="20">
        <f>IF((H154-J154)/(K154-J154)*(Geraetedaten!$B$174-Geraetedaten!$B$161)&lt;Geraetedaten!$B$174,(H154-J154)/(K154-J154)*(Geraetedaten!$B$174-Geraetedaten!$B$161),Geraetedaten!$B$174)</f>
        <v>-262.82412957145891</v>
      </c>
      <c r="O154" s="20">
        <f>N154/Geraetedaten!$B$174*(M154-L154)+L154+C154</f>
        <v>282.81797221344772</v>
      </c>
      <c r="P154" s="20">
        <f t="shared" si="109"/>
        <v>142.60319618844088</v>
      </c>
      <c r="Q154" s="21">
        <f>(N154-Geraetedaten!$B$161)/(Geraetedaten!$B$174-Geraetedaten!$B$161)*(Geraetedaten!$B$175-Geraetedaten!$B$162)+Geraetedaten!$B$162</f>
        <v>21.380982145249096</v>
      </c>
      <c r="R154" s="21">
        <f t="shared" si="110"/>
        <v>21.380982145249096</v>
      </c>
      <c r="S154" s="21">
        <f t="shared" si="111"/>
        <v>19.377750612730836</v>
      </c>
      <c r="T154" s="88">
        <f t="shared" si="112"/>
        <v>-9.0359935085341014</v>
      </c>
      <c r="U154" s="86">
        <f t="shared" si="113"/>
        <v>-3124.9004599999998</v>
      </c>
      <c r="V154" s="85">
        <f t="shared" si="114"/>
        <v>-1141.3067828769733</v>
      </c>
      <c r="W154" s="85">
        <f t="shared" si="115"/>
        <v>-1260.3199703211224</v>
      </c>
      <c r="X154" s="90">
        <f t="shared" si="116"/>
        <v>1141.3067828769733</v>
      </c>
      <c r="Y154" s="86">
        <f t="shared" si="117"/>
        <v>19845.387050000001</v>
      </c>
      <c r="Z154" s="85">
        <f t="shared" si="118"/>
        <v>-750</v>
      </c>
      <c r="AA154" s="85">
        <f t="shared" si="119"/>
        <v>1774.6511873643738</v>
      </c>
      <c r="AB154" s="90">
        <f t="shared" si="120"/>
        <v>750</v>
      </c>
      <c r="AC154" s="86">
        <f t="shared" si="121"/>
        <v>2990.3232600000001</v>
      </c>
      <c r="AD154" s="85">
        <f t="shared" si="122"/>
        <v>1055.7627565116984</v>
      </c>
      <c r="AE154" s="85">
        <f t="shared" si="123"/>
        <v>1164.3533389810316</v>
      </c>
      <c r="AF154" s="90">
        <f t="shared" si="124"/>
        <v>1055.7627565116984</v>
      </c>
      <c r="AG154" s="86">
        <f t="shared" si="125"/>
        <v>-21068.24541</v>
      </c>
      <c r="AH154" s="85">
        <f t="shared" si="126"/>
        <v>6128</v>
      </c>
      <c r="AI154" s="85">
        <f t="shared" si="127"/>
        <v>-14500.08330155851</v>
      </c>
      <c r="AJ154" s="90">
        <f t="shared" si="128"/>
        <v>6128</v>
      </c>
      <c r="AL154" s="95">
        <f t="shared" si="129"/>
        <v>0</v>
      </c>
      <c r="AM154" s="95">
        <f t="shared" si="130"/>
        <v>0</v>
      </c>
      <c r="AN154" s="95">
        <f t="shared" si="131"/>
        <v>0</v>
      </c>
      <c r="AO154" s="95">
        <f t="shared" si="132"/>
        <v>0</v>
      </c>
      <c r="AP154"/>
      <c r="AQ154" s="95">
        <f t="shared" si="133"/>
        <v>0</v>
      </c>
      <c r="AR154" s="95">
        <f t="shared" si="134"/>
        <v>0</v>
      </c>
      <c r="AS154" s="95">
        <f>Geraetedaten!$B$94*ABS(SIN(RADIANS($A154)))</f>
        <v>139.57139920364412</v>
      </c>
      <c r="AT154" s="95">
        <f>Geraetedaten!$B$94*ABS(COS(RADIANS($A154)))</f>
        <v>65.083212308067701</v>
      </c>
      <c r="AU154" s="95">
        <f>((h_Aw_Sw+Geraetedaten!$B$18)/1000)*(AQ154*AS154+AR154*AT154)/100</f>
        <v>0</v>
      </c>
    </row>
    <row r="155" spans="1:47" ht="13.5" x14ac:dyDescent="0.25">
      <c r="A155" s="16">
        <v>116</v>
      </c>
      <c r="B155" s="16">
        <f t="shared" si="102"/>
        <v>334</v>
      </c>
      <c r="C155" s="19">
        <f t="shared" si="103"/>
        <v>70.24448452713311</v>
      </c>
      <c r="D155" s="17">
        <f t="shared" si="104"/>
        <v>-3221.386384527133</v>
      </c>
      <c r="E155" s="17">
        <f t="shared" si="105"/>
        <v>19061.997765472865</v>
      </c>
      <c r="F155" s="17">
        <f t="shared" si="106"/>
        <v>2945.0115754728672</v>
      </c>
      <c r="G155" s="17">
        <f t="shared" si="107"/>
        <v>-20381.401644527134</v>
      </c>
      <c r="H155" s="17">
        <f t="shared" si="135"/>
        <v>2945.0115754728672</v>
      </c>
      <c r="I155" s="17">
        <f t="shared" si="108"/>
        <v>1174.0615147435522</v>
      </c>
      <c r="J155" s="20">
        <f>(Geraetedaten!$B$152+(Geraetedaten!$B$153*(Geraetedaten!$B$18+d_y_Sw)/1000))*10</f>
        <v>6051.0442000000003</v>
      </c>
      <c r="K155" s="20">
        <f>(Geraetedaten!$B$165+(Geraetedaten!$B$166*(Geraetedaten!$B$18+d_y_Sw)/1000))*10</f>
        <v>10816.164000000001</v>
      </c>
      <c r="L155" s="20">
        <f>(Geraetedaten!$B$158+(Geraetedaten!$B$159*(Geraetedaten!$B$18+d_y_Sw)/1000)-(Geraetedaten!$B$160*I155/1000))*10</f>
        <v>515.44266912385513</v>
      </c>
      <c r="M155" s="20">
        <f>(Geraetedaten!$B$171+(Geraetedaten!$B$172*(Geraetedaten!$B$18+d_y_Sw)/1000)-(Geraetedaten!$B$173*I155/1000))*10</f>
        <v>977.46986084249102</v>
      </c>
      <c r="N155" s="20">
        <f>IF((H155-J155)/(K155-J155)*(Geraetedaten!$B$174-Geraetedaten!$B$161)&lt;Geraetedaten!$B$174,(H155-J155)/(K155-J155)*(Geraetedaten!$B$174-Geraetedaten!$B$161),Geraetedaten!$B$174)</f>
        <v>-260.73070603825175</v>
      </c>
      <c r="O155" s="20">
        <f>N155/Geraetedaten!$B$174*(M155-L155)+L155+C155</f>
        <v>284.52546388681162</v>
      </c>
      <c r="P155" s="20">
        <f t="shared" si="109"/>
        <v>143.09205643459865</v>
      </c>
      <c r="Q155" s="21">
        <f>(N155-Geraetedaten!$B$161)/(Geraetedaten!$B$174-Geraetedaten!$B$161)*(Geraetedaten!$B$175-Geraetedaten!$B$162)+Geraetedaten!$B$162</f>
        <v>21.443261495362009</v>
      </c>
      <c r="R155" s="21">
        <f t="shared" si="110"/>
        <v>21.443261495362009</v>
      </c>
      <c r="S155" s="21">
        <f t="shared" si="111"/>
        <v>19.273075765267546</v>
      </c>
      <c r="T155" s="88">
        <f t="shared" si="112"/>
        <v>-9.4001071326199135</v>
      </c>
      <c r="U155" s="86">
        <f t="shared" si="113"/>
        <v>-3151.1419000000001</v>
      </c>
      <c r="V155" s="85">
        <f t="shared" si="114"/>
        <v>-1141.3067828769733</v>
      </c>
      <c r="W155" s="85">
        <f t="shared" si="115"/>
        <v>-1270.9035413584654</v>
      </c>
      <c r="X155" s="90">
        <f t="shared" si="116"/>
        <v>1141.3067828769733</v>
      </c>
      <c r="Y155" s="86">
        <f t="shared" si="117"/>
        <v>19132.242249999999</v>
      </c>
      <c r="Z155" s="85">
        <f t="shared" si="118"/>
        <v>-750</v>
      </c>
      <c r="AA155" s="85">
        <f t="shared" si="119"/>
        <v>1710.8790245286445</v>
      </c>
      <c r="AB155" s="90">
        <f t="shared" si="120"/>
        <v>750</v>
      </c>
      <c r="AC155" s="86">
        <f t="shared" si="121"/>
        <v>3015.2560600000002</v>
      </c>
      <c r="AD155" s="85">
        <f t="shared" si="122"/>
        <v>1055.7627565116984</v>
      </c>
      <c r="AE155" s="85">
        <f t="shared" si="123"/>
        <v>1174.0615147435522</v>
      </c>
      <c r="AF155" s="90">
        <f t="shared" si="124"/>
        <v>1055.7627565116984</v>
      </c>
      <c r="AG155" s="86">
        <f t="shared" si="125"/>
        <v>-20311.157159999999</v>
      </c>
      <c r="AH155" s="85">
        <f t="shared" si="126"/>
        <v>6128</v>
      </c>
      <c r="AI155" s="85">
        <f t="shared" si="127"/>
        <v>-13979.022216415378</v>
      </c>
      <c r="AJ155" s="90">
        <f t="shared" si="128"/>
        <v>6128</v>
      </c>
      <c r="AL155" s="95">
        <f t="shared" si="129"/>
        <v>0</v>
      </c>
      <c r="AM155" s="95">
        <f t="shared" si="130"/>
        <v>0</v>
      </c>
      <c r="AN155" s="95">
        <f t="shared" si="131"/>
        <v>0</v>
      </c>
      <c r="AO155" s="95">
        <f t="shared" si="132"/>
        <v>0</v>
      </c>
      <c r="AP155"/>
      <c r="AQ155" s="95">
        <f t="shared" si="133"/>
        <v>0</v>
      </c>
      <c r="AR155" s="95">
        <f t="shared" si="134"/>
        <v>0</v>
      </c>
      <c r="AS155" s="95">
        <f>Geraetedaten!$B$94*ABS(SIN(RADIANS($A155)))</f>
        <v>138.41428313007171</v>
      </c>
      <c r="AT155" s="95">
        <f>Geraetedaten!$B$94*ABS(COS(RADIANS($A155)))</f>
        <v>67.509156605517944</v>
      </c>
      <c r="AU155" s="95">
        <f>((h_Aw_Sw+Geraetedaten!$B$18)/1000)*(AQ155*AS155+AR155*AT155)/100</f>
        <v>0</v>
      </c>
    </row>
    <row r="156" spans="1:47" ht="13.5" x14ac:dyDescent="0.25">
      <c r="A156" s="16">
        <v>117</v>
      </c>
      <c r="B156" s="16">
        <f t="shared" si="102"/>
        <v>333</v>
      </c>
      <c r="C156" s="19">
        <f t="shared" si="103"/>
        <v>70.217352556995067</v>
      </c>
      <c r="D156" s="17">
        <f t="shared" si="104"/>
        <v>-3249.0216425569952</v>
      </c>
      <c r="E156" s="17">
        <f t="shared" si="105"/>
        <v>18403.788117443004</v>
      </c>
      <c r="F156" s="17">
        <f t="shared" si="106"/>
        <v>2971.3250374430049</v>
      </c>
      <c r="G156" s="17">
        <f t="shared" si="107"/>
        <v>-19682.577652556996</v>
      </c>
      <c r="H156" s="17">
        <f t="shared" si="135"/>
        <v>2971.3250374430049</v>
      </c>
      <c r="I156" s="17">
        <f t="shared" si="108"/>
        <v>1184.2967232320063</v>
      </c>
      <c r="J156" s="20">
        <f>(Geraetedaten!$B$152+(Geraetedaten!$B$153*(Geraetedaten!$B$18+d_y_Sw)/1000))*10</f>
        <v>6051.0442000000003</v>
      </c>
      <c r="K156" s="20">
        <f>(Geraetedaten!$B$165+(Geraetedaten!$B$166*(Geraetedaten!$B$18+d_y_Sw)/1000))*10</f>
        <v>10816.164000000001</v>
      </c>
      <c r="L156" s="20">
        <f>(Geraetedaten!$B$158+(Geraetedaten!$B$159*(Geraetedaten!$B$18+d_y_Sw)/1000)-(Geraetedaten!$B$160*I156/1000))*10</f>
        <v>514.69212128539675</v>
      </c>
      <c r="M156" s="20">
        <f>(Geraetedaten!$B$171+(Geraetedaten!$B$172*(Geraetedaten!$B$18+d_y_Sw)/1000)-(Geraetedaten!$B$173*I156/1000))*10</f>
        <v>976.70795192261039</v>
      </c>
      <c r="N156" s="20">
        <f>IF((H156-J156)/(K156-J156)*(Geraetedaten!$B$174-Geraetedaten!$B$161)&lt;Geraetedaten!$B$174,(H156-J156)/(K156-J156)*(Geraetedaten!$B$174-Geraetedaten!$B$161),Geraetedaten!$B$174)</f>
        <v>-258.5218665484125</v>
      </c>
      <c r="O156" s="20">
        <f>N156/Geraetedaten!$B$174*(M156-L156)+L156+C156</f>
        <v>286.30648656427257</v>
      </c>
      <c r="P156" s="20">
        <f t="shared" si="109"/>
        <v>143.59473340481051</v>
      </c>
      <c r="Q156" s="21">
        <f>(N156-Geraetedaten!$B$161)/(Geraetedaten!$B$174-Geraetedaten!$B$161)*(Geraetedaten!$B$175-Geraetedaten!$B$162)+Geraetedaten!$B$162</f>
        <v>21.508974470184725</v>
      </c>
      <c r="R156" s="21">
        <f t="shared" si="110"/>
        <v>21.508974470184725</v>
      </c>
      <c r="S156" s="21">
        <f t="shared" si="111"/>
        <v>19.164636581535635</v>
      </c>
      <c r="T156" s="88">
        <f t="shared" si="112"/>
        <v>-9.7648700686043153</v>
      </c>
      <c r="U156" s="86">
        <f t="shared" si="113"/>
        <v>-3178.80429</v>
      </c>
      <c r="V156" s="85">
        <f t="shared" si="114"/>
        <v>-1141.3067828769733</v>
      </c>
      <c r="W156" s="85">
        <f t="shared" si="115"/>
        <v>-1282.0602045587093</v>
      </c>
      <c r="X156" s="90">
        <f t="shared" si="116"/>
        <v>1141.3067828769733</v>
      </c>
      <c r="Y156" s="86">
        <f t="shared" si="117"/>
        <v>18474.00547</v>
      </c>
      <c r="Z156" s="85">
        <f t="shared" si="118"/>
        <v>-750</v>
      </c>
      <c r="AA156" s="85">
        <f t="shared" si="119"/>
        <v>1652.0169484389501</v>
      </c>
      <c r="AB156" s="90">
        <f t="shared" si="120"/>
        <v>750</v>
      </c>
      <c r="AC156" s="86">
        <f t="shared" si="121"/>
        <v>3041.5423900000001</v>
      </c>
      <c r="AD156" s="85">
        <f t="shared" si="122"/>
        <v>1055.7627565116984</v>
      </c>
      <c r="AE156" s="85">
        <f t="shared" si="123"/>
        <v>1184.2967232320063</v>
      </c>
      <c r="AF156" s="90">
        <f t="shared" si="124"/>
        <v>1055.7627565116984</v>
      </c>
      <c r="AG156" s="86">
        <f t="shared" si="125"/>
        <v>-19612.3603</v>
      </c>
      <c r="AH156" s="85">
        <f t="shared" si="126"/>
        <v>6128</v>
      </c>
      <c r="AI156" s="85">
        <f t="shared" si="127"/>
        <v>-13498.079813378516</v>
      </c>
      <c r="AJ156" s="90">
        <f t="shared" si="128"/>
        <v>6128</v>
      </c>
      <c r="AL156" s="95">
        <f t="shared" si="129"/>
        <v>0</v>
      </c>
      <c r="AM156" s="95">
        <f t="shared" si="130"/>
        <v>0</v>
      </c>
      <c r="AN156" s="95">
        <f t="shared" si="131"/>
        <v>0</v>
      </c>
      <c r="AO156" s="95">
        <f t="shared" si="132"/>
        <v>0</v>
      </c>
      <c r="AP156"/>
      <c r="AQ156" s="95">
        <f t="shared" si="133"/>
        <v>0</v>
      </c>
      <c r="AR156" s="95">
        <f t="shared" si="134"/>
        <v>0</v>
      </c>
      <c r="AS156" s="95">
        <f>Geraetedaten!$B$94*ABS(SIN(RADIANS($A156)))</f>
        <v>137.21500472500867</v>
      </c>
      <c r="AT156" s="95">
        <f>Geraetedaten!$B$94*ABS(COS(RADIANS($A156)))</f>
        <v>69.914536959890185</v>
      </c>
      <c r="AU156" s="95">
        <f>((h_Aw_Sw+Geraetedaten!$B$18)/1000)*(AQ156*AS156+AR156*AT156)/100</f>
        <v>0</v>
      </c>
    </row>
    <row r="157" spans="1:47" ht="13.5" x14ac:dyDescent="0.25">
      <c r="A157" s="16">
        <v>118</v>
      </c>
      <c r="B157" s="16">
        <f t="shared" si="102"/>
        <v>332</v>
      </c>
      <c r="C157" s="19">
        <f t="shared" si="103"/>
        <v>70.1688317010574</v>
      </c>
      <c r="D157" s="17">
        <f t="shared" si="104"/>
        <v>-3278.1113017010575</v>
      </c>
      <c r="E157" s="17">
        <f t="shared" si="105"/>
        <v>17794.646938298945</v>
      </c>
      <c r="F157" s="17">
        <f t="shared" si="106"/>
        <v>2999.0653882989423</v>
      </c>
      <c r="G157" s="17">
        <f t="shared" si="107"/>
        <v>-19035.801601701056</v>
      </c>
      <c r="H157" s="17">
        <f t="shared" si="135"/>
        <v>2999.0653882989423</v>
      </c>
      <c r="I157" s="17">
        <f t="shared" si="108"/>
        <v>1195.0791918777491</v>
      </c>
      <c r="J157" s="20">
        <f>(Geraetedaten!$B$152+(Geraetedaten!$B$153*(Geraetedaten!$B$18+d_y_Sw)/1000))*10</f>
        <v>6051.0442000000003</v>
      </c>
      <c r="K157" s="20">
        <f>(Geraetedaten!$B$165+(Geraetedaten!$B$166*(Geraetedaten!$B$18+d_y_Sw)/1000))*10</f>
        <v>10816.164000000001</v>
      </c>
      <c r="L157" s="20">
        <f>(Geraetedaten!$B$158+(Geraetedaten!$B$159*(Geraetedaten!$B$18+d_y_Sw)/1000)-(Geraetedaten!$B$160*I157/1000))*10</f>
        <v>513.90144285960446</v>
      </c>
      <c r="M157" s="20">
        <f>(Geraetedaten!$B$171+(Geraetedaten!$B$172*(Geraetedaten!$B$18+d_y_Sw)/1000)-(Geraetedaten!$B$173*I157/1000))*10</f>
        <v>975.90530495662142</v>
      </c>
      <c r="N157" s="20">
        <f>IF((H157-J157)/(K157-J157)*(Geraetedaten!$B$174-Geraetedaten!$B$161)&lt;Geraetedaten!$B$174,(H157-J157)/(K157-J157)*(Geraetedaten!$B$174-Geraetedaten!$B$161),Geraetedaten!$B$174)</f>
        <v>-256.19324926110426</v>
      </c>
      <c r="O157" s="20">
        <f>N157/Geraetedaten!$B$174*(M157-L157)+L157+C157</f>
        <v>288.16459805612709</v>
      </c>
      <c r="P157" s="20">
        <f t="shared" si="109"/>
        <v>144.11190407057748</v>
      </c>
      <c r="Q157" s="21">
        <f>(N157-Geraetedaten!$B$161)/(Geraetedaten!$B$174-Geraetedaten!$B$161)*(Geraetedaten!$B$175-Geraetedaten!$B$162)+Geraetedaten!$B$162</f>
        <v>21.578250834482148</v>
      </c>
      <c r="R157" s="21">
        <f t="shared" si="110"/>
        <v>21.578250834482148</v>
      </c>
      <c r="S157" s="21">
        <f t="shared" si="111"/>
        <v>19.052464632412143</v>
      </c>
      <c r="T157" s="88">
        <f t="shared" si="112"/>
        <v>-10.130375141450289</v>
      </c>
      <c r="U157" s="86">
        <f t="shared" si="113"/>
        <v>-3207.94247</v>
      </c>
      <c r="V157" s="85">
        <f t="shared" si="114"/>
        <v>-1141.3067828769733</v>
      </c>
      <c r="W157" s="85">
        <f t="shared" si="115"/>
        <v>-1293.8120787039015</v>
      </c>
      <c r="X157" s="90">
        <f t="shared" si="116"/>
        <v>1141.3067828769733</v>
      </c>
      <c r="Y157" s="86">
        <f t="shared" si="117"/>
        <v>17864.815770000001</v>
      </c>
      <c r="Z157" s="85">
        <f t="shared" si="118"/>
        <v>-750</v>
      </c>
      <c r="AA157" s="85">
        <f t="shared" si="119"/>
        <v>1597.5408511421344</v>
      </c>
      <c r="AB157" s="90">
        <f t="shared" si="120"/>
        <v>750</v>
      </c>
      <c r="AC157" s="86">
        <f t="shared" si="121"/>
        <v>3069.2342199999998</v>
      </c>
      <c r="AD157" s="85">
        <f t="shared" si="122"/>
        <v>1055.7627565116984</v>
      </c>
      <c r="AE157" s="85">
        <f t="shared" si="123"/>
        <v>1195.0791918777491</v>
      </c>
      <c r="AF157" s="90">
        <f t="shared" si="124"/>
        <v>1055.7627565116984</v>
      </c>
      <c r="AG157" s="86">
        <f t="shared" si="125"/>
        <v>-18965.63277</v>
      </c>
      <c r="AH157" s="85">
        <f t="shared" si="126"/>
        <v>6128</v>
      </c>
      <c r="AI157" s="85">
        <f t="shared" si="127"/>
        <v>-13052.973781065333</v>
      </c>
      <c r="AJ157" s="90">
        <f t="shared" si="128"/>
        <v>6128</v>
      </c>
      <c r="AL157" s="95">
        <f t="shared" si="129"/>
        <v>0</v>
      </c>
      <c r="AM157" s="95">
        <f t="shared" si="130"/>
        <v>0</v>
      </c>
      <c r="AN157" s="95">
        <f t="shared" si="131"/>
        <v>0</v>
      </c>
      <c r="AO157" s="95">
        <f t="shared" si="132"/>
        <v>0</v>
      </c>
      <c r="AP157"/>
      <c r="AQ157" s="95">
        <f t="shared" si="133"/>
        <v>0</v>
      </c>
      <c r="AR157" s="95">
        <f t="shared" si="134"/>
        <v>0</v>
      </c>
      <c r="AS157" s="95">
        <f>Geraetedaten!$B$94*ABS(SIN(RADIANS($A157)))</f>
        <v>135.97392930027473</v>
      </c>
      <c r="AT157" s="95">
        <f>Geraetedaten!$B$94*ABS(COS(RADIANS($A157)))</f>
        <v>72.298620669027201</v>
      </c>
      <c r="AU157" s="95">
        <f>((h_Aw_Sw+Geraetedaten!$B$18)/1000)*(AQ157*AS157+AR157*AT157)/100</f>
        <v>0</v>
      </c>
    </row>
    <row r="158" spans="1:47" ht="13.5" x14ac:dyDescent="0.25">
      <c r="A158" s="16">
        <v>119</v>
      </c>
      <c r="B158" s="16">
        <f t="shared" si="102"/>
        <v>331</v>
      </c>
      <c r="C158" s="19">
        <f t="shared" si="103"/>
        <v>70.098936739242859</v>
      </c>
      <c r="D158" s="17">
        <f t="shared" si="104"/>
        <v>-3308.7143567392432</v>
      </c>
      <c r="E158" s="17">
        <f t="shared" si="105"/>
        <v>17229.522663260756</v>
      </c>
      <c r="F158" s="17">
        <f t="shared" si="106"/>
        <v>3028.2884532607568</v>
      </c>
      <c r="G158" s="17">
        <f t="shared" si="107"/>
        <v>-18435.710676739243</v>
      </c>
      <c r="H158" s="17">
        <f t="shared" si="135"/>
        <v>3028.2884532607568</v>
      </c>
      <c r="I158" s="17">
        <f t="shared" si="108"/>
        <v>1206.430670244484</v>
      </c>
      <c r="J158" s="20">
        <f>(Geraetedaten!$B$152+(Geraetedaten!$B$153*(Geraetedaten!$B$18+d_y_Sw)/1000))*10</f>
        <v>6051.0442000000003</v>
      </c>
      <c r="K158" s="20">
        <f>(Geraetedaten!$B$165+(Geraetedaten!$B$166*(Geraetedaten!$B$18+d_y_Sw)/1000))*10</f>
        <v>10816.164000000001</v>
      </c>
      <c r="L158" s="20">
        <f>(Geraetedaten!$B$158+(Geraetedaten!$B$159*(Geraetedaten!$B$18+d_y_Sw)/1000)-(Geraetedaten!$B$160*I158/1000))*10</f>
        <v>513.06903895097184</v>
      </c>
      <c r="M158" s="20">
        <f>(Geraetedaten!$B$171+(Geraetedaten!$B$172*(Geraetedaten!$B$18+d_y_Sw)/1000)-(Geraetedaten!$B$173*I158/1000))*10</f>
        <v>975.06030090700153</v>
      </c>
      <c r="N158" s="20">
        <f>IF((H158-J158)/(K158-J158)*(Geraetedaten!$B$174-Geraetedaten!$B$161)&lt;Geraetedaten!$B$174,(H158-J158)/(K158-J158)*(Geraetedaten!$B$174-Geraetedaten!$B$161),Geraetedaten!$B$174)</f>
        <v>-253.74016802173523</v>
      </c>
      <c r="O158" s="20">
        <f>N158/Geraetedaten!$B$174*(M158-L158)+L158+C158</f>
        <v>290.10362460697354</v>
      </c>
      <c r="P158" s="20">
        <f t="shared" si="109"/>
        <v>144.64429043948121</v>
      </c>
      <c r="Q158" s="21">
        <f>(N158-Geraetedaten!$B$161)/(Geraetedaten!$B$174-Geraetedaten!$B$161)*(Geraetedaten!$B$175-Geraetedaten!$B$162)+Geraetedaten!$B$162</f>
        <v>21.651230001353376</v>
      </c>
      <c r="R158" s="21">
        <f t="shared" si="110"/>
        <v>21.651230001353376</v>
      </c>
      <c r="S158" s="21">
        <f t="shared" si="111"/>
        <v>18.93659244299139</v>
      </c>
      <c r="T158" s="88">
        <f t="shared" si="112"/>
        <v>-10.496724594822229</v>
      </c>
      <c r="U158" s="86">
        <f t="shared" si="113"/>
        <v>-3238.6154200000001</v>
      </c>
      <c r="V158" s="85">
        <f t="shared" si="114"/>
        <v>-1141.3067828769733</v>
      </c>
      <c r="W158" s="85">
        <f t="shared" si="115"/>
        <v>-1306.1829474916992</v>
      </c>
      <c r="X158" s="90">
        <f t="shared" si="116"/>
        <v>1141.3067828769733</v>
      </c>
      <c r="Y158" s="86">
        <f t="shared" si="117"/>
        <v>17299.621599999999</v>
      </c>
      <c r="Z158" s="85">
        <f t="shared" si="118"/>
        <v>-750</v>
      </c>
      <c r="AA158" s="85">
        <f t="shared" si="119"/>
        <v>1546.9990047204856</v>
      </c>
      <c r="AB158" s="90">
        <f t="shared" si="120"/>
        <v>750</v>
      </c>
      <c r="AC158" s="86">
        <f t="shared" si="121"/>
        <v>3098.3873899999999</v>
      </c>
      <c r="AD158" s="85">
        <f t="shared" si="122"/>
        <v>1055.7627565116984</v>
      </c>
      <c r="AE158" s="85">
        <f t="shared" si="123"/>
        <v>1206.430670244484</v>
      </c>
      <c r="AF158" s="90">
        <f t="shared" si="124"/>
        <v>1055.7627565116984</v>
      </c>
      <c r="AG158" s="86">
        <f t="shared" si="125"/>
        <v>-18365.61174</v>
      </c>
      <c r="AH158" s="85">
        <f t="shared" si="126"/>
        <v>6128</v>
      </c>
      <c r="AI158" s="85">
        <f t="shared" si="127"/>
        <v>-12640.013201236181</v>
      </c>
      <c r="AJ158" s="90">
        <f t="shared" si="128"/>
        <v>6128</v>
      </c>
      <c r="AL158" s="95">
        <f t="shared" si="129"/>
        <v>0</v>
      </c>
      <c r="AM158" s="95">
        <f t="shared" si="130"/>
        <v>0</v>
      </c>
      <c r="AN158" s="95">
        <f t="shared" si="131"/>
        <v>0</v>
      </c>
      <c r="AO158" s="95">
        <f t="shared" si="132"/>
        <v>0</v>
      </c>
      <c r="AP158"/>
      <c r="AQ158" s="95">
        <f t="shared" si="133"/>
        <v>0</v>
      </c>
      <c r="AR158" s="95">
        <f t="shared" si="134"/>
        <v>0</v>
      </c>
      <c r="AS158" s="95">
        <f>Geraetedaten!$B$94*ABS(SIN(RADIANS($A158)))</f>
        <v>134.69143489946697</v>
      </c>
      <c r="AT158" s="95">
        <f>Geraetedaten!$B$94*ABS(COS(RADIANS($A158)))</f>
        <v>74.660681517935899</v>
      </c>
      <c r="AU158" s="95">
        <f>((h_Aw_Sw+Geraetedaten!$B$18)/1000)*(AQ158*AS158+AR158*AT158)/100</f>
        <v>0</v>
      </c>
    </row>
    <row r="159" spans="1:47" ht="13.5" x14ac:dyDescent="0.25">
      <c r="A159" s="16">
        <v>120</v>
      </c>
      <c r="B159" s="16">
        <f t="shared" si="102"/>
        <v>330</v>
      </c>
      <c r="C159" s="19">
        <f t="shared" si="103"/>
        <v>70.007688962233885</v>
      </c>
      <c r="D159" s="17">
        <f t="shared" si="104"/>
        <v>-3340.8942489622336</v>
      </c>
      <c r="E159" s="17">
        <f t="shared" si="105"/>
        <v>16704.038261037767</v>
      </c>
      <c r="F159" s="17">
        <f t="shared" si="106"/>
        <v>3059.0542810377665</v>
      </c>
      <c r="G159" s="17">
        <f t="shared" si="107"/>
        <v>-17877.658198962232</v>
      </c>
      <c r="H159" s="17">
        <f t="shared" si="135"/>
        <v>3059.0542810377665</v>
      </c>
      <c r="I159" s="17">
        <f t="shared" si="108"/>
        <v>1218.3745486111034</v>
      </c>
      <c r="J159" s="20">
        <f>(Geraetedaten!$B$152+(Geraetedaten!$B$153*(Geraetedaten!$B$18+d_y_Sw)/1000))*10</f>
        <v>6051.0442000000003</v>
      </c>
      <c r="K159" s="20">
        <f>(Geraetedaten!$B$165+(Geraetedaten!$B$166*(Geraetedaten!$B$18+d_y_Sw)/1000))*10</f>
        <v>10816.164000000001</v>
      </c>
      <c r="L159" s="20">
        <f>(Geraetedaten!$B$158+(Geraetedaten!$B$159*(Geraetedaten!$B$18+d_y_Sw)/1000)-(Geraetedaten!$B$160*I159/1000))*10</f>
        <v>512.19319435034754</v>
      </c>
      <c r="M159" s="20">
        <f>(Geraetedaten!$B$171+(Geraetedaten!$B$172*(Geraetedaten!$B$18+d_y_Sw)/1000)-(Geraetedaten!$B$173*I159/1000))*10</f>
        <v>974.17119860139042</v>
      </c>
      <c r="N159" s="20">
        <f>IF((H159-J159)/(K159-J159)*(Geraetedaten!$B$174-Geraetedaten!$B$161)&lt;Geraetedaten!$B$174,(H159-J159)/(K159-J159)*(Geraetedaten!$B$174-Geraetedaten!$B$161),Geraetedaten!$B$174)</f>
        <v>-251.1575821419838</v>
      </c>
      <c r="O159" s="20">
        <f>N159/Geraetedaten!$B$174*(M159-L159)+L159+C159</f>
        <v>292.12768693640379</v>
      </c>
      <c r="P159" s="20">
        <f t="shared" si="109"/>
        <v>145.19266336862665</v>
      </c>
      <c r="Q159" s="21">
        <f>(N159-Geraetedaten!$B$161)/(Geraetedaten!$B$174-Geraetedaten!$B$161)*(Geraetedaten!$B$175-Geraetedaten!$B$162)+Geraetedaten!$B$162</f>
        <v>21.728061931275981</v>
      </c>
      <c r="R159" s="21">
        <f t="shared" si="110"/>
        <v>21.728061931275981</v>
      </c>
      <c r="S159" s="21">
        <f t="shared" si="111"/>
        <v>18.817053607486571</v>
      </c>
      <c r="T159" s="88">
        <f t="shared" si="112"/>
        <v>-10.864030965637985</v>
      </c>
      <c r="U159" s="86">
        <f t="shared" si="113"/>
        <v>-3270.8865599999999</v>
      </c>
      <c r="V159" s="85">
        <f t="shared" si="114"/>
        <v>-1141.3067828769733</v>
      </c>
      <c r="W159" s="85">
        <f t="shared" si="115"/>
        <v>-1319.1983897614675</v>
      </c>
      <c r="X159" s="90">
        <f t="shared" si="116"/>
        <v>1141.3067828769733</v>
      </c>
      <c r="Y159" s="86">
        <f t="shared" si="117"/>
        <v>16774.04595</v>
      </c>
      <c r="Z159" s="85">
        <f t="shared" si="118"/>
        <v>-750</v>
      </c>
      <c r="AA159" s="85">
        <f t="shared" si="119"/>
        <v>1500.0000000000002</v>
      </c>
      <c r="AB159" s="90">
        <f t="shared" si="120"/>
        <v>750</v>
      </c>
      <c r="AC159" s="86">
        <f t="shared" si="121"/>
        <v>3129.0619700000002</v>
      </c>
      <c r="AD159" s="85">
        <f t="shared" si="122"/>
        <v>1055.7627565116984</v>
      </c>
      <c r="AE159" s="85">
        <f t="shared" si="123"/>
        <v>1218.3745486111034</v>
      </c>
      <c r="AF159" s="90">
        <f t="shared" si="124"/>
        <v>1055.7627565116984</v>
      </c>
      <c r="AG159" s="86">
        <f t="shared" si="125"/>
        <v>-17807.650509999999</v>
      </c>
      <c r="AH159" s="85">
        <f t="shared" si="126"/>
        <v>6128</v>
      </c>
      <c r="AI159" s="85">
        <f t="shared" si="127"/>
        <v>-12256.000000000002</v>
      </c>
      <c r="AJ159" s="90">
        <f t="shared" si="128"/>
        <v>6128</v>
      </c>
      <c r="AL159" s="95">
        <f t="shared" si="129"/>
        <v>0</v>
      </c>
      <c r="AM159" s="95">
        <f t="shared" si="130"/>
        <v>0</v>
      </c>
      <c r="AN159" s="95">
        <f t="shared" si="131"/>
        <v>0</v>
      </c>
      <c r="AO159" s="95">
        <f t="shared" si="132"/>
        <v>0</v>
      </c>
      <c r="AP159"/>
      <c r="AQ159" s="95">
        <f t="shared" si="133"/>
        <v>0</v>
      </c>
      <c r="AR159" s="95">
        <f t="shared" si="134"/>
        <v>0</v>
      </c>
      <c r="AS159" s="95">
        <f>Geraetedaten!$B$94*ABS(SIN(RADIANS($A159)))</f>
        <v>133.36791218280356</v>
      </c>
      <c r="AT159" s="95">
        <f>Geraetedaten!$B$94*ABS(COS(RADIANS($A159)))</f>
        <v>76.999999999999972</v>
      </c>
      <c r="AU159" s="95">
        <f>((h_Aw_Sw+Geraetedaten!$B$18)/1000)*(AQ159*AS159+AR159*AT159)/100</f>
        <v>0</v>
      </c>
    </row>
    <row r="160" spans="1:47" ht="13.5" x14ac:dyDescent="0.25">
      <c r="A160" s="16">
        <v>121</v>
      </c>
      <c r="B160" s="16">
        <f t="shared" si="102"/>
        <v>329</v>
      </c>
      <c r="C160" s="19">
        <f t="shared" si="103"/>
        <v>69.895116164987314</v>
      </c>
      <c r="D160" s="17">
        <f t="shared" si="104"/>
        <v>-3374.7192361649877</v>
      </c>
      <c r="E160" s="17">
        <f t="shared" si="105"/>
        <v>16214.382463835012</v>
      </c>
      <c r="F160" s="17">
        <f t="shared" si="106"/>
        <v>3091.4274838350125</v>
      </c>
      <c r="G160" s="17">
        <f t="shared" si="107"/>
        <v>-17357.598086164984</v>
      </c>
      <c r="H160" s="17">
        <f t="shared" si="135"/>
        <v>3091.4274838350125</v>
      </c>
      <c r="I160" s="17">
        <f t="shared" si="108"/>
        <v>1230.9359890218934</v>
      </c>
      <c r="J160" s="20">
        <f>(Geraetedaten!$B$152+(Geraetedaten!$B$153*(Geraetedaten!$B$18+d_y_Sw)/1000))*10</f>
        <v>6051.0442000000003</v>
      </c>
      <c r="K160" s="20">
        <f>(Geraetedaten!$B$165+(Geraetedaten!$B$166*(Geraetedaten!$B$18+d_y_Sw)/1000))*10</f>
        <v>10816.164000000001</v>
      </c>
      <c r="L160" s="20">
        <f>(Geraetedaten!$B$158+(Geraetedaten!$B$159*(Geraetedaten!$B$18+d_y_Sw)/1000)-(Geraetedaten!$B$160*I160/1000))*10</f>
        <v>511.27206392502433</v>
      </c>
      <c r="M160" s="20">
        <f>(Geraetedaten!$B$171+(Geraetedaten!$B$172*(Geraetedaten!$B$18+d_y_Sw)/1000)-(Geraetedaten!$B$173*I160/1000))*10</f>
        <v>973.23612497721115</v>
      </c>
      <c r="N160" s="20">
        <f>IF((H160-J160)/(K160-J160)*(Geraetedaten!$B$174-Geraetedaten!$B$161)&lt;Geraetedaten!$B$174,(H160-J160)/(K160-J160)*(Geraetedaten!$B$174-Geraetedaten!$B$161),Geraetedaten!$B$174)</f>
        <v>-248.44006785852372</v>
      </c>
      <c r="O160" s="20">
        <f>N160/Geraetedaten!$B$174*(M160-L160)+L160+C160</f>
        <v>294.24122340000042</v>
      </c>
      <c r="P160" s="20">
        <f t="shared" si="109"/>
        <v>145.75784490773492</v>
      </c>
      <c r="Q160" s="21">
        <f>(N160-Geraetedaten!$B$161)/(Geraetedaten!$B$174-Geraetedaten!$B$161)*(Geraetedaten!$B$175-Geraetedaten!$B$162)+Geraetedaten!$B$162</f>
        <v>21.808907981208918</v>
      </c>
      <c r="R160" s="21">
        <f t="shared" si="110"/>
        <v>21.808907981208918</v>
      </c>
      <c r="S160" s="21">
        <f t="shared" si="111"/>
        <v>18.693882785513601</v>
      </c>
      <c r="T160" s="88">
        <f t="shared" si="112"/>
        <v>-11.232417982532359</v>
      </c>
      <c r="U160" s="86">
        <f t="shared" si="113"/>
        <v>-3304.8241200000002</v>
      </c>
      <c r="V160" s="85">
        <f t="shared" si="114"/>
        <v>-1141.3067828769733</v>
      </c>
      <c r="W160" s="85">
        <f t="shared" si="115"/>
        <v>-1332.8859234372148</v>
      </c>
      <c r="X160" s="90">
        <f t="shared" si="116"/>
        <v>1141.3067828769733</v>
      </c>
      <c r="Y160" s="86">
        <f t="shared" si="117"/>
        <v>16284.27758</v>
      </c>
      <c r="Z160" s="85">
        <f t="shared" si="118"/>
        <v>-750</v>
      </c>
      <c r="AA160" s="85">
        <f t="shared" si="119"/>
        <v>1456.2030198077675</v>
      </c>
      <c r="AB160" s="90">
        <f t="shared" si="120"/>
        <v>750</v>
      </c>
      <c r="AC160" s="86">
        <f t="shared" si="121"/>
        <v>3161.3226</v>
      </c>
      <c r="AD160" s="85">
        <f t="shared" si="122"/>
        <v>1055.7627565116984</v>
      </c>
      <c r="AE160" s="85">
        <f t="shared" si="123"/>
        <v>1230.9359890218934</v>
      </c>
      <c r="AF160" s="90">
        <f t="shared" si="124"/>
        <v>1055.7627565116984</v>
      </c>
      <c r="AG160" s="86">
        <f t="shared" si="125"/>
        <v>-17287.702969999998</v>
      </c>
      <c r="AH160" s="85">
        <f t="shared" si="126"/>
        <v>6128</v>
      </c>
      <c r="AI160" s="85">
        <f t="shared" si="127"/>
        <v>-11898.149473842665</v>
      </c>
      <c r="AJ160" s="90">
        <f t="shared" si="128"/>
        <v>6128</v>
      </c>
      <c r="AL160" s="95">
        <f t="shared" si="129"/>
        <v>0</v>
      </c>
      <c r="AM160" s="95">
        <f t="shared" si="130"/>
        <v>0</v>
      </c>
      <c r="AN160" s="95">
        <f t="shared" si="131"/>
        <v>0</v>
      </c>
      <c r="AO160" s="95">
        <f t="shared" si="132"/>
        <v>0</v>
      </c>
      <c r="AP160"/>
      <c r="AQ160" s="95">
        <f t="shared" si="133"/>
        <v>0</v>
      </c>
      <c r="AR160" s="95">
        <f t="shared" si="134"/>
        <v>0</v>
      </c>
      <c r="AS160" s="95">
        <f>Geraetedaten!$B$94*ABS(SIN(RADIANS($A160)))</f>
        <v>132.00376430812531</v>
      </c>
      <c r="AT160" s="95">
        <f>Geraetedaten!$B$94*ABS(COS(RADIANS($A160)))</f>
        <v>79.315863536148356</v>
      </c>
      <c r="AU160" s="95">
        <f>((h_Aw_Sw+Geraetedaten!$B$18)/1000)*(AQ160*AS160+AR160*AT160)/100</f>
        <v>0</v>
      </c>
    </row>
    <row r="161" spans="1:47" ht="13.5" x14ac:dyDescent="0.25">
      <c r="A161" s="16">
        <v>122</v>
      </c>
      <c r="B161" s="16">
        <f t="shared" si="102"/>
        <v>328</v>
      </c>
      <c r="C161" s="19">
        <f t="shared" si="103"/>
        <v>69.761252638267678</v>
      </c>
      <c r="D161" s="17">
        <f t="shared" si="104"/>
        <v>-3410.2627826382677</v>
      </c>
      <c r="E161" s="17">
        <f t="shared" si="105"/>
        <v>15757.221347361732</v>
      </c>
      <c r="F161" s="17">
        <f t="shared" si="106"/>
        <v>3125.4775573617321</v>
      </c>
      <c r="G161" s="17">
        <f t="shared" si="107"/>
        <v>-16871.99105263827</v>
      </c>
      <c r="H161" s="17">
        <f t="shared" si="135"/>
        <v>3125.4775573617321</v>
      </c>
      <c r="I161" s="17">
        <f t="shared" si="108"/>
        <v>1244.1420702829328</v>
      </c>
      <c r="J161" s="20">
        <f>(Geraetedaten!$B$152+(Geraetedaten!$B$153*(Geraetedaten!$B$18+d_y_Sw)/1000))*10</f>
        <v>6051.0442000000003</v>
      </c>
      <c r="K161" s="20">
        <f>(Geraetedaten!$B$165+(Geraetedaten!$B$166*(Geraetedaten!$B$18+d_y_Sw)/1000))*10</f>
        <v>10816.164000000001</v>
      </c>
      <c r="L161" s="20">
        <f>(Geraetedaten!$B$158+(Geraetedaten!$B$159*(Geraetedaten!$B$18+d_y_Sw)/1000)-(Geraetedaten!$B$160*I161/1000))*10</f>
        <v>510.30366198615229</v>
      </c>
      <c r="M161" s="20">
        <f>(Geraetedaten!$B$171+(Geraetedaten!$B$172*(Geraetedaten!$B$18+d_y_Sw)/1000)-(Geraetedaten!$B$173*I161/1000))*10</f>
        <v>972.25306428813951</v>
      </c>
      <c r="N161" s="20">
        <f>IF((H161-J161)/(K161-J161)*(Geraetedaten!$B$174-Geraetedaten!$B$161)&lt;Geraetedaten!$B$174,(H161-J161)/(K161-J161)*(Geraetedaten!$B$174-Geraetedaten!$B$161),Geraetedaten!$B$174)</f>
        <v>-245.58179147044891</v>
      </c>
      <c r="O161" s="20">
        <f>N161/Geraetedaten!$B$174*(M161-L161)+L161+C161</f>
        <v>296.44901015935716</v>
      </c>
      <c r="P161" s="20">
        <f t="shared" si="109"/>
        <v>146.34070912764616</v>
      </c>
      <c r="Q161" s="21">
        <f>(N161-Geraetedaten!$B$161)/(Geraetedaten!$B$174-Geraetedaten!$B$161)*(Geraetedaten!$B$175-Geraetedaten!$B$162)+Geraetedaten!$B$162</f>
        <v>21.893941703754145</v>
      </c>
      <c r="R161" s="21">
        <f t="shared" si="110"/>
        <v>21.893941703754145</v>
      </c>
      <c r="S161" s="21">
        <f t="shared" si="111"/>
        <v>18.567115579228481</v>
      </c>
      <c r="T161" s="88">
        <f t="shared" si="112"/>
        <v>-11.602021478818074</v>
      </c>
      <c r="U161" s="86">
        <f t="shared" si="113"/>
        <v>-3340.50153</v>
      </c>
      <c r="V161" s="85">
        <f t="shared" si="114"/>
        <v>-1141.3067828769733</v>
      </c>
      <c r="W161" s="85">
        <f t="shared" si="115"/>
        <v>-1347.2751648195988</v>
      </c>
      <c r="X161" s="90">
        <f t="shared" si="116"/>
        <v>1141.3067828769733</v>
      </c>
      <c r="Y161" s="86">
        <f t="shared" si="117"/>
        <v>15826.982599999999</v>
      </c>
      <c r="Z161" s="85">
        <f t="shared" si="118"/>
        <v>-750</v>
      </c>
      <c r="AA161" s="85">
        <f t="shared" si="119"/>
        <v>1415.3099360998938</v>
      </c>
      <c r="AB161" s="90">
        <f t="shared" si="120"/>
        <v>750</v>
      </c>
      <c r="AC161" s="86">
        <f t="shared" si="121"/>
        <v>3195.2388099999998</v>
      </c>
      <c r="AD161" s="85">
        <f t="shared" si="122"/>
        <v>1055.7627565116984</v>
      </c>
      <c r="AE161" s="85">
        <f t="shared" si="123"/>
        <v>1244.1420702829328</v>
      </c>
      <c r="AF161" s="90">
        <f t="shared" si="124"/>
        <v>1055.7627565116984</v>
      </c>
      <c r="AG161" s="86">
        <f t="shared" si="125"/>
        <v>-16802.229800000001</v>
      </c>
      <c r="AH161" s="85">
        <f t="shared" si="126"/>
        <v>6128</v>
      </c>
      <c r="AI161" s="85">
        <f t="shared" si="127"/>
        <v>-11564.025717893534</v>
      </c>
      <c r="AJ161" s="90">
        <f t="shared" si="128"/>
        <v>6128</v>
      </c>
      <c r="AL161" s="95">
        <f t="shared" si="129"/>
        <v>0</v>
      </c>
      <c r="AM161" s="95">
        <f t="shared" si="130"/>
        <v>0</v>
      </c>
      <c r="AN161" s="95">
        <f t="shared" si="131"/>
        <v>0</v>
      </c>
      <c r="AO161" s="95">
        <f t="shared" si="132"/>
        <v>0</v>
      </c>
      <c r="AP161"/>
      <c r="AQ161" s="95">
        <f t="shared" si="133"/>
        <v>0</v>
      </c>
      <c r="AR161" s="95">
        <f t="shared" si="134"/>
        <v>0</v>
      </c>
      <c r="AS161" s="95">
        <f>Geraetedaten!$B$94*ABS(SIN(RADIANS($A161)))</f>
        <v>130.59940680808961</v>
      </c>
      <c r="AT161" s="95">
        <f>Geraetedaten!$B$94*ABS(COS(RADIANS($A161)))</f>
        <v>81.607566691913533</v>
      </c>
      <c r="AU161" s="95">
        <f>((h_Aw_Sw+Geraetedaten!$B$18)/1000)*(AQ161*AS161+AR161*AT161)/100</f>
        <v>0</v>
      </c>
    </row>
    <row r="162" spans="1:47" ht="13.5" x14ac:dyDescent="0.25">
      <c r="A162" s="16">
        <v>123</v>
      </c>
      <c r="B162" s="16">
        <f t="shared" si="102"/>
        <v>327</v>
      </c>
      <c r="C162" s="19">
        <f t="shared" si="103"/>
        <v>69.606139158202012</v>
      </c>
      <c r="D162" s="17">
        <f t="shared" si="104"/>
        <v>-3447.6039891582022</v>
      </c>
      <c r="E162" s="17">
        <f t="shared" si="105"/>
        <v>15329.626080841797</v>
      </c>
      <c r="F162" s="17">
        <f t="shared" si="106"/>
        <v>3161.2793408417979</v>
      </c>
      <c r="G162" s="17">
        <f t="shared" si="107"/>
        <v>-16417.727889158203</v>
      </c>
      <c r="H162" s="17">
        <f t="shared" si="135"/>
        <v>3161.2793408417979</v>
      </c>
      <c r="I162" s="17">
        <f t="shared" si="108"/>
        <v>1258.0219485924936</v>
      </c>
      <c r="J162" s="20">
        <f>(Geraetedaten!$B$152+(Geraetedaten!$B$153*(Geraetedaten!$B$18+d_y_Sw)/1000))*10</f>
        <v>6051.0442000000003</v>
      </c>
      <c r="K162" s="20">
        <f>(Geraetedaten!$B$165+(Geraetedaten!$B$166*(Geraetedaten!$B$18+d_y_Sw)/1000))*10</f>
        <v>10816.164000000001</v>
      </c>
      <c r="L162" s="20">
        <f>(Geraetedaten!$B$158+(Geraetedaten!$B$159*(Geraetedaten!$B$18+d_y_Sw)/1000)-(Geraetedaten!$B$160*I162/1000))*10</f>
        <v>509.28585050971219</v>
      </c>
      <c r="M162" s="20">
        <f>(Geraetedaten!$B$171+(Geraetedaten!$B$172*(Geraetedaten!$B$18+d_y_Sw)/1000)-(Geraetedaten!$B$173*I162/1000))*10</f>
        <v>971.21984614677569</v>
      </c>
      <c r="N162" s="20">
        <f>IF((H162-J162)/(K162-J162)*(Geraetedaten!$B$174-Geraetedaten!$B$161)&lt;Geraetedaten!$B$174,(H162-J162)/(K162-J162)*(Geraetedaten!$B$174-Geraetedaten!$B$161),Geraetedaten!$B$174)</f>
        <v>-242.57647072446758</v>
      </c>
      <c r="O162" s="20">
        <f>N162/Geraetedaten!$B$174*(M162-L162)+L162+C162</f>
        <v>298.75619374468806</v>
      </c>
      <c r="P162" s="20">
        <f t="shared" si="109"/>
        <v>146.94218618540387</v>
      </c>
      <c r="Q162" s="21">
        <f>(N162-Geraetedaten!$B$161)/(Geraetedaten!$B$174-Geraetedaten!$B$161)*(Geraetedaten!$B$175-Geraetedaten!$B$162)+Geraetedaten!$B$162</f>
        <v>21.983349995947087</v>
      </c>
      <c r="R162" s="21">
        <f t="shared" si="110"/>
        <v>21.983349995947087</v>
      </c>
      <c r="S162" s="21">
        <f t="shared" si="111"/>
        <v>18.436788626443978</v>
      </c>
      <c r="T162" s="88">
        <f t="shared" si="112"/>
        <v>-11.972990528190222</v>
      </c>
      <c r="U162" s="86">
        <f t="shared" si="113"/>
        <v>-3377.9978500000002</v>
      </c>
      <c r="V162" s="85">
        <f t="shared" si="114"/>
        <v>-1141.3067828769733</v>
      </c>
      <c r="W162" s="85">
        <f t="shared" si="115"/>
        <v>-1362.3980050904793</v>
      </c>
      <c r="X162" s="90">
        <f t="shared" si="116"/>
        <v>1141.3067828769733</v>
      </c>
      <c r="Y162" s="86">
        <f t="shared" si="117"/>
        <v>15399.23222</v>
      </c>
      <c r="Z162" s="85">
        <f t="shared" si="118"/>
        <v>-750</v>
      </c>
      <c r="AA162" s="85">
        <f t="shared" si="119"/>
        <v>1377.0588440824974</v>
      </c>
      <c r="AB162" s="90">
        <f t="shared" si="120"/>
        <v>750</v>
      </c>
      <c r="AC162" s="86">
        <f t="shared" si="121"/>
        <v>3230.8854799999999</v>
      </c>
      <c r="AD162" s="85">
        <f t="shared" si="122"/>
        <v>1055.7627565116984</v>
      </c>
      <c r="AE162" s="85">
        <f t="shared" si="123"/>
        <v>1258.0219485924936</v>
      </c>
      <c r="AF162" s="90">
        <f t="shared" si="124"/>
        <v>1055.7627565116984</v>
      </c>
      <c r="AG162" s="86">
        <f t="shared" si="125"/>
        <v>-16348.12175</v>
      </c>
      <c r="AH162" s="85">
        <f t="shared" si="126"/>
        <v>6128</v>
      </c>
      <c r="AI162" s="85">
        <f t="shared" si="127"/>
        <v>-11251.488795383391</v>
      </c>
      <c r="AJ162" s="90">
        <f t="shared" si="128"/>
        <v>6128</v>
      </c>
      <c r="AL162" s="95">
        <f t="shared" si="129"/>
        <v>0</v>
      </c>
      <c r="AM162" s="95">
        <f t="shared" si="130"/>
        <v>0</v>
      </c>
      <c r="AN162" s="95">
        <f t="shared" si="131"/>
        <v>0</v>
      </c>
      <c r="AO162" s="95">
        <f t="shared" si="132"/>
        <v>0</v>
      </c>
      <c r="AP162"/>
      <c r="AQ162" s="95">
        <f t="shared" si="133"/>
        <v>0</v>
      </c>
      <c r="AR162" s="95">
        <f t="shared" si="134"/>
        <v>0</v>
      </c>
      <c r="AS162" s="95">
        <f>Geraetedaten!$B$94*ABS(SIN(RADIANS($A162)))</f>
        <v>129.15526746359529</v>
      </c>
      <c r="AT162" s="95">
        <f>Geraetedaten!$B$94*ABS(COS(RADIANS($A162)))</f>
        <v>83.874411392314173</v>
      </c>
      <c r="AU162" s="95">
        <f>((h_Aw_Sw+Geraetedaten!$B$18)/1000)*(AQ162*AS162+AR162*AT162)/100</f>
        <v>0</v>
      </c>
    </row>
    <row r="163" spans="1:47" ht="13.5" x14ac:dyDescent="0.25">
      <c r="A163" s="16">
        <v>124</v>
      </c>
      <c r="B163" s="16">
        <f t="shared" si="102"/>
        <v>326</v>
      </c>
      <c r="C163" s="19">
        <f t="shared" si="103"/>
        <v>69.429822973858933</v>
      </c>
      <c r="D163" s="17">
        <f t="shared" si="104"/>
        <v>-3486.8281229738586</v>
      </c>
      <c r="E163" s="17">
        <f t="shared" si="105"/>
        <v>14929.013337026141</v>
      </c>
      <c r="F163" s="17">
        <f t="shared" si="106"/>
        <v>3198.913467026141</v>
      </c>
      <c r="G163" s="17">
        <f t="shared" si="107"/>
        <v>-15992.06618297386</v>
      </c>
      <c r="H163" s="17">
        <f t="shared" si="135"/>
        <v>3198.913467026141</v>
      </c>
      <c r="I163" s="17">
        <f t="shared" si="108"/>
        <v>1272.6070357356307</v>
      </c>
      <c r="J163" s="20">
        <f>(Geraetedaten!$B$152+(Geraetedaten!$B$153*(Geraetedaten!$B$18+d_y_Sw)/1000))*10</f>
        <v>6051.0442000000003</v>
      </c>
      <c r="K163" s="20">
        <f>(Geraetedaten!$B$165+(Geraetedaten!$B$166*(Geraetedaten!$B$18+d_y_Sw)/1000))*10</f>
        <v>10816.164000000001</v>
      </c>
      <c r="L163" s="20">
        <f>(Geraetedaten!$B$158+(Geraetedaten!$B$159*(Geraetedaten!$B$18+d_y_Sw)/1000)-(Geraetedaten!$B$160*I163/1000))*10</f>
        <v>508.21632606950595</v>
      </c>
      <c r="M163" s="20">
        <f>(Geraetedaten!$B$171+(Geraetedaten!$B$172*(Geraetedaten!$B$18+d_y_Sw)/1000)-(Geraetedaten!$B$173*I163/1000))*10</f>
        <v>970.13413225984073</v>
      </c>
      <c r="N163" s="20">
        <f>IF((H163-J163)/(K163-J163)*(Geraetedaten!$B$174-Geraetedaten!$B$161)&lt;Geraetedaten!$B$174,(H163-J163)/(K163-J163)*(Geraetedaten!$B$174-Geraetedaten!$B$161),Geraetedaten!$B$174)</f>
        <v>-239.41733703936333</v>
      </c>
      <c r="O163" s="20">
        <f>N163/Geraetedaten!$B$174*(M163-L163)+L163+C163</f>
        <v>301.16832132047819</v>
      </c>
      <c r="P163" s="20">
        <f t="shared" si="109"/>
        <v>147.56326489999287</v>
      </c>
      <c r="Q163" s="21">
        <f>(N163-Geraetedaten!$B$161)/(Geraetedaten!$B$174-Geraetedaten!$B$161)*(Geraetedaten!$B$175-Geraetedaten!$B$162)+Geraetedaten!$B$162</f>
        <v>22.077334223078939</v>
      </c>
      <c r="R163" s="21">
        <f t="shared" si="110"/>
        <v>22.077334223078939</v>
      </c>
      <c r="S163" s="21">
        <f t="shared" si="111"/>
        <v>18.302939572787711</v>
      </c>
      <c r="T163" s="88">
        <f t="shared" si="112"/>
        <v>-12.345488625097593</v>
      </c>
      <c r="U163" s="86">
        <f t="shared" si="113"/>
        <v>-3417.3982999999998</v>
      </c>
      <c r="V163" s="85">
        <f t="shared" si="114"/>
        <v>-1141.3067828769733</v>
      </c>
      <c r="W163" s="85">
        <f t="shared" si="115"/>
        <v>-1378.2888061618019</v>
      </c>
      <c r="X163" s="90">
        <f t="shared" si="116"/>
        <v>1141.3067828769733</v>
      </c>
      <c r="Y163" s="86">
        <f t="shared" si="117"/>
        <v>14998.443160000001</v>
      </c>
      <c r="Z163" s="85">
        <f t="shared" si="118"/>
        <v>-750</v>
      </c>
      <c r="AA163" s="85">
        <f t="shared" si="119"/>
        <v>1341.2187374785503</v>
      </c>
      <c r="AB163" s="90">
        <f t="shared" si="120"/>
        <v>750</v>
      </c>
      <c r="AC163" s="86">
        <f t="shared" si="121"/>
        <v>3268.3432899999998</v>
      </c>
      <c r="AD163" s="85">
        <f t="shared" si="122"/>
        <v>1055.7627565116984</v>
      </c>
      <c r="AE163" s="85">
        <f t="shared" si="123"/>
        <v>1272.6070357356307</v>
      </c>
      <c r="AF163" s="90">
        <f t="shared" si="124"/>
        <v>1055.7627565116984</v>
      </c>
      <c r="AG163" s="86">
        <f t="shared" si="125"/>
        <v>-15922.63636</v>
      </c>
      <c r="AH163" s="85">
        <f t="shared" si="126"/>
        <v>6128</v>
      </c>
      <c r="AI163" s="85">
        <f t="shared" si="127"/>
        <v>-10958.651231024742</v>
      </c>
      <c r="AJ163" s="90">
        <f t="shared" si="128"/>
        <v>6128</v>
      </c>
      <c r="AL163" s="95">
        <f t="shared" si="129"/>
        <v>0</v>
      </c>
      <c r="AM163" s="95">
        <f t="shared" si="130"/>
        <v>0</v>
      </c>
      <c r="AN163" s="95">
        <f t="shared" si="131"/>
        <v>0</v>
      </c>
      <c r="AO163" s="95">
        <f t="shared" si="132"/>
        <v>0</v>
      </c>
      <c r="AP163"/>
      <c r="AQ163" s="95">
        <f t="shared" si="133"/>
        <v>0</v>
      </c>
      <c r="AR163" s="95">
        <f t="shared" si="134"/>
        <v>0</v>
      </c>
      <c r="AS163" s="95">
        <f>Geraetedaten!$B$94*ABS(SIN(RADIANS($A163)))</f>
        <v>127.67178617347643</v>
      </c>
      <c r="AT163" s="95">
        <f>Geraetedaten!$B$94*ABS(COS(RADIANS($A163)))</f>
        <v>86.115707134494983</v>
      </c>
      <c r="AU163" s="95">
        <f>((h_Aw_Sw+Geraetedaten!$B$18)/1000)*(AQ163*AS163+AR163*AT163)/100</f>
        <v>0</v>
      </c>
    </row>
    <row r="164" spans="1:47" ht="13.5" x14ac:dyDescent="0.25">
      <c r="A164" s="16">
        <v>125</v>
      </c>
      <c r="B164" s="16">
        <f t="shared" si="102"/>
        <v>325</v>
      </c>
      <c r="C164" s="19">
        <f t="shared" si="103"/>
        <v>69.232357792856234</v>
      </c>
      <c r="D164" s="17">
        <f t="shared" si="104"/>
        <v>-3528.0270877928565</v>
      </c>
      <c r="E164" s="17">
        <f t="shared" si="105"/>
        <v>14553.095972207144</v>
      </c>
      <c r="F164" s="17">
        <f t="shared" si="106"/>
        <v>3238.4668522071438</v>
      </c>
      <c r="G164" s="17">
        <f t="shared" si="107"/>
        <v>-15592.577967792857</v>
      </c>
      <c r="H164" s="17">
        <f t="shared" si="135"/>
        <v>3238.4668522071438</v>
      </c>
      <c r="I164" s="17">
        <f t="shared" si="108"/>
        <v>1287.9311970550666</v>
      </c>
      <c r="J164" s="20">
        <f>(Geraetedaten!$B$152+(Geraetedaten!$B$153*(Geraetedaten!$B$18+d_y_Sw)/1000))*10</f>
        <v>6051.0442000000003</v>
      </c>
      <c r="K164" s="20">
        <f>(Geraetedaten!$B$165+(Geraetedaten!$B$166*(Geraetedaten!$B$18+d_y_Sw)/1000))*10</f>
        <v>10816.164000000001</v>
      </c>
      <c r="L164" s="20">
        <f>(Geraetedaten!$B$158+(Geraetedaten!$B$159*(Geraetedaten!$B$18+d_y_Sw)/1000)-(Geraetedaten!$B$160*I164/1000))*10</f>
        <v>507.0926053199517</v>
      </c>
      <c r="M164" s="20">
        <f>(Geraetedaten!$B$171+(Geraetedaten!$B$172*(Geraetedaten!$B$18+d_y_Sw)/1000)-(Geraetedaten!$B$173*I164/1000))*10</f>
        <v>968.99340169122183</v>
      </c>
      <c r="N164" s="20">
        <f>IF((H164-J164)/(K164-J164)*(Geraetedaten!$B$174-Geraetedaten!$B$161)&lt;Geraetedaten!$B$174,(H164-J164)/(K164-J164)*(Geraetedaten!$B$174-Geraetedaten!$B$161),Geraetedaten!$B$174)</f>
        <v>-236.09709437255754</v>
      </c>
      <c r="O164" s="20">
        <f>N164/Geraetedaten!$B$174*(M164-L164)+L164+C164</f>
        <v>303.69137333373982</v>
      </c>
      <c r="P164" s="20">
        <f t="shared" si="109"/>
        <v>148.20499523630295</v>
      </c>
      <c r="Q164" s="21">
        <f>(N164-Geraetedaten!$B$161)/(Geraetedaten!$B$174-Geraetedaten!$B$161)*(Geraetedaten!$B$175-Geraetedaten!$B$162)+Geraetedaten!$B$162</f>
        <v>22.17611144241641</v>
      </c>
      <c r="R164" s="21">
        <f t="shared" si="110"/>
        <v>22.17611144241641</v>
      </c>
      <c r="S164" s="21">
        <f t="shared" si="111"/>
        <v>18.165607022435903</v>
      </c>
      <c r="T164" s="88">
        <f t="shared" si="112"/>
        <v>-12.719694973264863</v>
      </c>
      <c r="U164" s="86">
        <f t="shared" si="113"/>
        <v>-3458.7947300000001</v>
      </c>
      <c r="V164" s="85">
        <f t="shared" si="114"/>
        <v>-1141.3067828769733</v>
      </c>
      <c r="W164" s="85">
        <f t="shared" si="115"/>
        <v>-1394.9846183128059</v>
      </c>
      <c r="X164" s="90">
        <f t="shared" si="116"/>
        <v>1141.3067828769733</v>
      </c>
      <c r="Y164" s="86">
        <f t="shared" si="117"/>
        <v>14622.32833</v>
      </c>
      <c r="Z164" s="85">
        <f t="shared" si="118"/>
        <v>-750</v>
      </c>
      <c r="AA164" s="85">
        <f t="shared" si="119"/>
        <v>1307.5850967158235</v>
      </c>
      <c r="AB164" s="90">
        <f t="shared" si="120"/>
        <v>750</v>
      </c>
      <c r="AC164" s="86">
        <f t="shared" si="121"/>
        <v>3307.6992100000002</v>
      </c>
      <c r="AD164" s="85">
        <f t="shared" si="122"/>
        <v>1055.7627565116984</v>
      </c>
      <c r="AE164" s="85">
        <f t="shared" si="123"/>
        <v>1287.9311970550666</v>
      </c>
      <c r="AF164" s="90">
        <f t="shared" si="124"/>
        <v>1055.7627565116984</v>
      </c>
      <c r="AG164" s="86">
        <f t="shared" si="125"/>
        <v>-15523.34561</v>
      </c>
      <c r="AH164" s="85">
        <f t="shared" si="126"/>
        <v>6128</v>
      </c>
      <c r="AI164" s="85">
        <f t="shared" si="127"/>
        <v>-10683.84196356609</v>
      </c>
      <c r="AJ164" s="90">
        <f t="shared" si="128"/>
        <v>6128</v>
      </c>
      <c r="AL164" s="95">
        <f t="shared" si="129"/>
        <v>0</v>
      </c>
      <c r="AM164" s="95">
        <f t="shared" si="130"/>
        <v>0</v>
      </c>
      <c r="AN164" s="95">
        <f t="shared" si="131"/>
        <v>0</v>
      </c>
      <c r="AO164" s="95">
        <f t="shared" si="132"/>
        <v>0</v>
      </c>
      <c r="AP164"/>
      <c r="AQ164" s="95">
        <f t="shared" si="133"/>
        <v>0</v>
      </c>
      <c r="AR164" s="95">
        <f t="shared" si="134"/>
        <v>0</v>
      </c>
      <c r="AS164" s="95">
        <f>Geraetedaten!$B$94*ABS(SIN(RADIANS($A164)))</f>
        <v>126.14941482050472</v>
      </c>
      <c r="AT164" s="95">
        <f>Geraetedaten!$B$94*ABS(COS(RADIANS($A164)))</f>
        <v>88.330771198061115</v>
      </c>
      <c r="AU164" s="95">
        <f>((h_Aw_Sw+Geraetedaten!$B$18)/1000)*(AQ164*AS164+AR164*AT164)/100</f>
        <v>0</v>
      </c>
    </row>
    <row r="165" spans="1:47" ht="13.5" x14ac:dyDescent="0.25">
      <c r="A165" s="16">
        <v>126</v>
      </c>
      <c r="B165" s="16">
        <f t="shared" si="102"/>
        <v>324</v>
      </c>
      <c r="C165" s="19">
        <f t="shared" si="103"/>
        <v>69.013803765000915</v>
      </c>
      <c r="D165" s="17">
        <f t="shared" si="104"/>
        <v>-3571.3000837650006</v>
      </c>
      <c r="E165" s="17">
        <f t="shared" si="105"/>
        <v>14199.841946234999</v>
      </c>
      <c r="F165" s="17">
        <f t="shared" si="106"/>
        <v>3280.033276234999</v>
      </c>
      <c r="G165" s="17">
        <f t="shared" si="107"/>
        <v>-15217.106103765002</v>
      </c>
      <c r="H165" s="17">
        <f t="shared" si="135"/>
        <v>3280.033276234999</v>
      </c>
      <c r="I165" s="17">
        <f t="shared" si="108"/>
        <v>1304.030971739196</v>
      </c>
      <c r="J165" s="20">
        <f>(Geraetedaten!$B$152+(Geraetedaten!$B$153*(Geraetedaten!$B$18+d_y_Sw)/1000))*10</f>
        <v>6051.0442000000003</v>
      </c>
      <c r="K165" s="20">
        <f>(Geraetedaten!$B$165+(Geraetedaten!$B$166*(Geraetedaten!$B$18+d_y_Sw)/1000))*10</f>
        <v>10816.164000000001</v>
      </c>
      <c r="L165" s="20">
        <f>(Geraetedaten!$B$158+(Geraetedaten!$B$159*(Geraetedaten!$B$18+d_y_Sw)/1000)-(Geraetedaten!$B$160*I165/1000))*10</f>
        <v>505.91200884236451</v>
      </c>
      <c r="M165" s="20">
        <f>(Geraetedaten!$B$171+(Geraetedaten!$B$172*(Geraetedaten!$B$18+d_y_Sw)/1000)-(Geraetedaten!$B$173*I165/1000))*10</f>
        <v>967.79493446373522</v>
      </c>
      <c r="N165" s="20">
        <f>IF((H165-J165)/(K165-J165)*(Geraetedaten!$B$174-Geraetedaten!$B$161)&lt;Geraetedaten!$B$174,(H165-J165)/(K165-J165)*(Geraetedaten!$B$174-Geraetedaten!$B$161),Geraetedaten!$B$174)</f>
        <v>-232.60787053160769</v>
      </c>
      <c r="O165" s="20">
        <f>N165/Geraetedaten!$B$174*(M165-L165)+L165+C165</f>
        <v>306.3318031981255</v>
      </c>
      <c r="P165" s="20">
        <f t="shared" si="109"/>
        <v>148.86849200955371</v>
      </c>
      <c r="Q165" s="21">
        <f>(N165-Geraetedaten!$B$161)/(Geraetedaten!$B$174-Geraetedaten!$B$161)*(Geraetedaten!$B$175-Geraetedaten!$B$162)+Geraetedaten!$B$162</f>
        <v>22.27991585168467</v>
      </c>
      <c r="R165" s="21">
        <f t="shared" si="110"/>
        <v>22.27991585168467</v>
      </c>
      <c r="S165" s="21">
        <f t="shared" si="111"/>
        <v>18.024830557256678</v>
      </c>
      <c r="T165" s="88">
        <f t="shared" si="112"/>
        <v>-13.095805959937543</v>
      </c>
      <c r="U165" s="86">
        <f t="shared" si="113"/>
        <v>-3502.2862799999998</v>
      </c>
      <c r="V165" s="85">
        <f t="shared" si="114"/>
        <v>-1141.3067828769733</v>
      </c>
      <c r="W165" s="85">
        <f t="shared" si="115"/>
        <v>-1412.5254224237428</v>
      </c>
      <c r="X165" s="90">
        <f t="shared" si="116"/>
        <v>1141.3067828769733</v>
      </c>
      <c r="Y165" s="86">
        <f t="shared" si="117"/>
        <v>14268.855750000001</v>
      </c>
      <c r="Z165" s="85">
        <f t="shared" si="118"/>
        <v>-750</v>
      </c>
      <c r="AA165" s="85">
        <f t="shared" si="119"/>
        <v>1275.9762125280599</v>
      </c>
      <c r="AB165" s="90">
        <f t="shared" si="120"/>
        <v>750</v>
      </c>
      <c r="AC165" s="86">
        <f t="shared" si="121"/>
        <v>3349.0470799999998</v>
      </c>
      <c r="AD165" s="85">
        <f t="shared" si="122"/>
        <v>1055.7627565116984</v>
      </c>
      <c r="AE165" s="85">
        <f t="shared" si="123"/>
        <v>1304.030971739196</v>
      </c>
      <c r="AF165" s="90">
        <f t="shared" si="124"/>
        <v>1055.7627565116984</v>
      </c>
      <c r="AG165" s="86">
        <f t="shared" si="125"/>
        <v>-15148.0923</v>
      </c>
      <c r="AH165" s="85">
        <f t="shared" si="126"/>
        <v>6128</v>
      </c>
      <c r="AI165" s="85">
        <f t="shared" si="127"/>
        <v>-10425.576307162601</v>
      </c>
      <c r="AJ165" s="90">
        <f t="shared" si="128"/>
        <v>6128</v>
      </c>
      <c r="AL165" s="95">
        <f t="shared" si="129"/>
        <v>0</v>
      </c>
      <c r="AM165" s="95">
        <f t="shared" si="130"/>
        <v>0</v>
      </c>
      <c r="AN165" s="95">
        <f t="shared" si="131"/>
        <v>0</v>
      </c>
      <c r="AO165" s="95">
        <f t="shared" si="132"/>
        <v>0</v>
      </c>
      <c r="AP165"/>
      <c r="AQ165" s="95">
        <f t="shared" si="133"/>
        <v>0</v>
      </c>
      <c r="AR165" s="95">
        <f t="shared" si="134"/>
        <v>0</v>
      </c>
      <c r="AS165" s="95">
        <f>Geraetedaten!$B$94*ABS(SIN(RADIANS($A165)))</f>
        <v>124.58861713374191</v>
      </c>
      <c r="AT165" s="95">
        <f>Geraetedaten!$B$94*ABS(COS(RADIANS($A165)))</f>
        <v>90.518928853040848</v>
      </c>
      <c r="AU165" s="95">
        <f>((h_Aw_Sw+Geraetedaten!$B$18)/1000)*(AQ165*AS165+AR165*AT165)/100</f>
        <v>0</v>
      </c>
    </row>
    <row r="166" spans="1:47" ht="13.5" x14ac:dyDescent="0.25">
      <c r="A166" s="16">
        <v>127</v>
      </c>
      <c r="B166" s="16">
        <f t="shared" si="102"/>
        <v>323</v>
      </c>
      <c r="C166" s="19">
        <f t="shared" si="103"/>
        <v>68.774227463967051</v>
      </c>
      <c r="D166" s="17">
        <f t="shared" si="104"/>
        <v>-3616.7542374639675</v>
      </c>
      <c r="E166" s="17">
        <f t="shared" si="105"/>
        <v>13867.439812536033</v>
      </c>
      <c r="F166" s="17">
        <f t="shared" si="106"/>
        <v>3323.7140125360329</v>
      </c>
      <c r="G166" s="17">
        <f t="shared" si="107"/>
        <v>-14863.727677463969</v>
      </c>
      <c r="H166" s="17">
        <f t="shared" si="135"/>
        <v>3323.7140125360329</v>
      </c>
      <c r="I166" s="17">
        <f t="shared" si="108"/>
        <v>1320.9458183524364</v>
      </c>
      <c r="J166" s="20">
        <f>(Geraetedaten!$B$152+(Geraetedaten!$B$153*(Geraetedaten!$B$18+d_y_Sw)/1000))*10</f>
        <v>6051.0442000000003</v>
      </c>
      <c r="K166" s="20">
        <f>(Geraetedaten!$B$165+(Geraetedaten!$B$166*(Geraetedaten!$B$18+d_y_Sw)/1000))*10</f>
        <v>10816.164000000001</v>
      </c>
      <c r="L166" s="20">
        <f>(Geraetedaten!$B$158+(Geraetedaten!$B$159*(Geraetedaten!$B$18+d_y_Sw)/1000)-(Geraetedaten!$B$160*I166/1000))*10</f>
        <v>504.67164314021556</v>
      </c>
      <c r="M166" s="20">
        <f>(Geraetedaten!$B$171+(Geraetedaten!$B$172*(Geraetedaten!$B$18+d_y_Sw)/1000)-(Geraetedaten!$B$173*I166/1000))*10</f>
        <v>966.5357932818456</v>
      </c>
      <c r="N166" s="20">
        <f>IF((H166-J166)/(K166-J166)*(Geraetedaten!$B$174-Geraetedaten!$B$161)&lt;Geraetedaten!$B$174,(H166-J166)/(K166-J166)*(Geraetedaten!$B$174-Geraetedaten!$B$161),Geraetedaten!$B$174)</f>
        <v>-228.94116428837461</v>
      </c>
      <c r="O166" s="20">
        <f>N166/Geraetedaten!$B$174*(M166-L166)+L166+C166</f>
        <v>309.09657991296905</v>
      </c>
      <c r="P166" s="20">
        <f t="shared" si="109"/>
        <v>149.55493839879389</v>
      </c>
      <c r="Q166" s="21">
        <f>(N166-Geraetedaten!$B$161)/(Geraetedaten!$B$174-Geraetedaten!$B$161)*(Geraetedaten!$B$175-Geraetedaten!$B$162)+Geraetedaten!$B$162</f>
        <v>22.389000362420852</v>
      </c>
      <c r="R166" s="21">
        <f t="shared" si="110"/>
        <v>22.389000362420852</v>
      </c>
      <c r="S166" s="21">
        <f t="shared" si="111"/>
        <v>17.880650723890998</v>
      </c>
      <c r="T166" s="88">
        <f t="shared" si="112"/>
        <v>-13.474036771461524</v>
      </c>
      <c r="U166" s="86">
        <f t="shared" si="113"/>
        <v>-3547.9800100000002</v>
      </c>
      <c r="V166" s="85">
        <f t="shared" si="114"/>
        <v>-1141.3067828769733</v>
      </c>
      <c r="W166" s="85">
        <f t="shared" si="115"/>
        <v>-1430.954400040371</v>
      </c>
      <c r="X166" s="90">
        <f t="shared" si="116"/>
        <v>1141.3067828769733</v>
      </c>
      <c r="Y166" s="86">
        <f t="shared" si="117"/>
        <v>13936.214040000001</v>
      </c>
      <c r="Z166" s="85">
        <f t="shared" si="118"/>
        <v>-750</v>
      </c>
      <c r="AA166" s="85">
        <f t="shared" si="119"/>
        <v>1246.2301058418625</v>
      </c>
      <c r="AB166" s="90">
        <f t="shared" si="120"/>
        <v>750</v>
      </c>
      <c r="AC166" s="86">
        <f t="shared" si="121"/>
        <v>3392.4882400000001</v>
      </c>
      <c r="AD166" s="85">
        <f t="shared" si="122"/>
        <v>1055.7627565116984</v>
      </c>
      <c r="AE166" s="85">
        <f t="shared" si="123"/>
        <v>1320.9458183524364</v>
      </c>
      <c r="AF166" s="90">
        <f t="shared" si="124"/>
        <v>1055.7627565116984</v>
      </c>
      <c r="AG166" s="86">
        <f t="shared" si="125"/>
        <v>-14794.953450000001</v>
      </c>
      <c r="AH166" s="85">
        <f t="shared" si="126"/>
        <v>6128</v>
      </c>
      <c r="AI166" s="85">
        <f t="shared" si="127"/>
        <v>-10182.530784798577</v>
      </c>
      <c r="AJ166" s="90">
        <f t="shared" si="128"/>
        <v>6128</v>
      </c>
      <c r="AL166" s="95">
        <f t="shared" si="129"/>
        <v>0</v>
      </c>
      <c r="AM166" s="95">
        <f t="shared" si="130"/>
        <v>0</v>
      </c>
      <c r="AN166" s="95">
        <f t="shared" si="131"/>
        <v>0</v>
      </c>
      <c r="AO166" s="95">
        <f t="shared" si="132"/>
        <v>0</v>
      </c>
      <c r="AP166"/>
      <c r="AQ166" s="95">
        <f t="shared" si="133"/>
        <v>0</v>
      </c>
      <c r="AR166" s="95">
        <f t="shared" si="134"/>
        <v>0</v>
      </c>
      <c r="AS166" s="95">
        <f>Geraetedaten!$B$94*ABS(SIN(RADIANS($A166)))</f>
        <v>122.98986854728308</v>
      </c>
      <c r="AT166" s="95">
        <f>Geraetedaten!$B$94*ABS(COS(RADIANS($A166)))</f>
        <v>92.679513565415448</v>
      </c>
      <c r="AU166" s="95">
        <f>((h_Aw_Sw+Geraetedaten!$B$18)/1000)*(AQ166*AS166+AR166*AT166)/100</f>
        <v>0</v>
      </c>
    </row>
    <row r="167" spans="1:47" ht="13.5" x14ac:dyDescent="0.25">
      <c r="A167" s="16">
        <v>128</v>
      </c>
      <c r="B167" s="16">
        <f t="shared" ref="B167:B198" si="136">360-A167+90</f>
        <v>322</v>
      </c>
      <c r="C167" s="19">
        <f t="shared" ref="C167:C198" si="137">$AE$16*ABS(COS(RADIANS(A167)))+$AE$17*ABS(SIN(RADIANS(A167)))+AU167</f>
        <v>68.513701867016763</v>
      </c>
      <c r="D167" s="17">
        <f t="shared" ref="D167:D198" si="138">IF(ISNUMBER(U167),U167-C167,"unendlich")</f>
        <v>-3664.5053718670165</v>
      </c>
      <c r="E167" s="17">
        <f t="shared" ref="E167:E198" si="139">IF(ISNUMBER(Y167),Y167-C167,"unendlich")</f>
        <v>13554.269778132983</v>
      </c>
      <c r="F167" s="17">
        <f t="shared" ref="F167:F198" si="140">IF(ISNUMBER(AC167),AC167-C167,"unendlich")</f>
        <v>3369.6185281329836</v>
      </c>
      <c r="G167" s="17">
        <f t="shared" ref="G167:G198" si="141">IF(ISNUMBER(AG167),AG167-C167,"unendlich")</f>
        <v>-14530.723231867018</v>
      </c>
      <c r="H167" s="17">
        <f t="shared" si="135"/>
        <v>3369.6185281329836</v>
      </c>
      <c r="I167" s="17">
        <f t="shared" ref="I167:I198" si="142">IF(H167+C167=U167,W167,IF(H167+C167=Y167,AA167,IF(H167+C167=AC167,AE167,IF(H167+C167=AG167,AI167,"???"))))</f>
        <v>1338.7183889839141</v>
      </c>
      <c r="J167" s="20">
        <f>(Geraetedaten!$B$152+(Geraetedaten!$B$153*(Geraetedaten!$B$18+d_y_Sw)/1000))*10</f>
        <v>6051.0442000000003</v>
      </c>
      <c r="K167" s="20">
        <f>(Geraetedaten!$B$165+(Geraetedaten!$B$166*(Geraetedaten!$B$18+d_y_Sw)/1000))*10</f>
        <v>10816.164000000001</v>
      </c>
      <c r="L167" s="20">
        <f>(Geraetedaten!$B$158+(Geraetedaten!$B$159*(Geraetedaten!$B$18+d_y_Sw)/1000)-(Geraetedaten!$B$160*I167/1000))*10</f>
        <v>503.36838053580937</v>
      </c>
      <c r="M167" s="20">
        <f>(Geraetedaten!$B$171+(Geraetedaten!$B$172*(Geraetedaten!$B$18+d_y_Sw)/1000)-(Geraetedaten!$B$173*I167/1000))*10</f>
        <v>965.21280312403837</v>
      </c>
      <c r="N167" s="20">
        <f>IF((H167-J167)/(K167-J167)*(Geraetedaten!$B$174-Geraetedaten!$B$161)&lt;Geraetedaten!$B$174,(H167-J167)/(K167-J167)*(Geraetedaten!$B$174-Geraetedaten!$B$161),Geraetedaten!$B$174)</f>
        <v>-225.08778661699264</v>
      </c>
      <c r="O167" s="20">
        <f>N167/Geraetedaten!$B$174*(M167-L167)+L167+C167</f>
        <v>311.99323529835749</v>
      </c>
      <c r="P167" s="20">
        <f t="shared" ref="P167:P198" si="143">O167*100/9.81/(Q167-(I167/1000))</f>
        <v>150.26558964031287</v>
      </c>
      <c r="Q167" s="21">
        <f>(N167-Geraetedaten!$B$161)/(Geraetedaten!$B$174-Geraetedaten!$B$161)*(Geraetedaten!$B$175-Geraetedaten!$B$162)+Geraetedaten!$B$162</f>
        <v>22.503638348144467</v>
      </c>
      <c r="R167" s="21">
        <f t="shared" ref="R167:R198" si="144">SQRT((r_K_D/1000)^2+Q167^2-(2*(r_K_D/1000)*Q167*COS(RADIANS(2*A167))))</f>
        <v>22.503638348144467</v>
      </c>
      <c r="S167" s="21">
        <f t="shared" ref="S167:S198" si="145">R167*SIN(A167*Const_2)</f>
        <v>17.733109013614449</v>
      </c>
      <c r="T167" s="88">
        <f t="shared" ref="T167:T198" si="146">R167*COS(A167*Const_2)</f>
        <v>-13.854623185613683</v>
      </c>
      <c r="U167" s="86">
        <f t="shared" ref="U167:U198" si="147">ROUND((F_S*r_Su_L-F_G*V167+F_SSw*X167)/(SIN(RADIANS(270+g_L-A167)))/1000,5)</f>
        <v>-3595.9916699999999</v>
      </c>
      <c r="V167" s="85">
        <f t="shared" ref="V167:V198" si="148">(SIN(RADIANS(g_L)))*(((VL_Z-HL_Z)/(VL_X-HL_X))*(-HL_X+AM167)+HL_Z-AL167)</f>
        <v>-1141.3067828769733</v>
      </c>
      <c r="W167" s="85">
        <f t="shared" ref="W167:W198" si="149">V167/(SIN(RADIANS(180-g_L-(90-$A167))))</f>
        <v>-1450.3182350033383</v>
      </c>
      <c r="X167" s="90">
        <f t="shared" ref="X167:X198" si="150">SIN(RADIANS(g_L))*(((VL_Z-HL_Z)/(VL_X-HL_X))*(-AO167+HL_X)-HL_Z+AN167)</f>
        <v>1141.3067828769733</v>
      </c>
      <c r="Y167" s="86">
        <f t="shared" ref="Y167:Y198" si="151">ROUND((F_S*r_Su_H-F_G*Z167+F_SSw*AB167)/(SIN(RADIANS(180+g_H-A167)))/1000,5)</f>
        <v>13622.78348</v>
      </c>
      <c r="Z167" s="85">
        <f t="shared" ref="Z167:Z198" si="152">(SIN(RADIANS(g_H)))*(((HL_X-HR_X)/(HL_Z-HR_Z))*(-HR_Z+AL167)+HR_X-AM167)</f>
        <v>-750</v>
      </c>
      <c r="AA167" s="85">
        <f t="shared" ref="AA167:AA198" si="153">Z167/(SIN(RADIANS(g_H-$A167)))</f>
        <v>1218.2019341120581</v>
      </c>
      <c r="AB167" s="90">
        <f t="shared" ref="AB167:AB198" si="154">SIN(RADIANS(g_H))*(((HL_X-HR_X)/(HL_Z-HR_Z))*(-AN167+HR_Z)-HR_X+AO167)</f>
        <v>750</v>
      </c>
      <c r="AC167" s="86">
        <f t="shared" ref="AC167:AC198" si="155">ROUND((F_S*r_Su_R+F_G*AD167+F_SSw*AF167)/(SIN(RADIANS(90+g_R-A167)))/1000,5)</f>
        <v>3438.1322300000002</v>
      </c>
      <c r="AD167" s="85">
        <f t="shared" ref="AD167:AD198" si="156">(SIN(RADIANS(g_R)))*(((HR_Z-VR_Z)/(HR_X-VR_X))*(-VR_X+AM167)+VR_Z-AL167)</f>
        <v>1055.7627565116984</v>
      </c>
      <c r="AE167" s="85">
        <f t="shared" ref="AE167:AE198" si="157">AD167/(SIN(RADIANS(180-g_R-(90-$A167))))</f>
        <v>1338.7183889839141</v>
      </c>
      <c r="AF167" s="90">
        <f t="shared" ref="AF167:AF198" si="158">(SIN(RADIANS(g_R)))*(((HR_Z-VR_Z)/(HR_X-VR_X))*(-VR_X+AO167)+VR_Z-AN167)</f>
        <v>1055.7627565116984</v>
      </c>
      <c r="AG167" s="86">
        <f t="shared" ref="AG167:AG198" si="159">ROUND((F_S*r_Su_V+F_G*AH167+F_SSw*AJ167)/(SIN(RADIANS(g_V-A167)))/1000,5)</f>
        <v>-14462.20953</v>
      </c>
      <c r="AH167" s="85">
        <f t="shared" ref="AH167:AH198" si="160">(SIN(RADIANS(g_V)))*(((VR_X-VL_X)/(VR_Z-VL_Z))*(AL167-VL_Z)+VL_X-AM167)</f>
        <v>6128</v>
      </c>
      <c r="AI167" s="85">
        <f t="shared" ref="AI167:AI198" si="161">AH167/(SIN(RADIANS(g_V-$A167)))</f>
        <v>-9953.521936318255</v>
      </c>
      <c r="AJ167" s="90">
        <f t="shared" ref="AJ167:AJ198" si="162">(SIN(RADIANS(g_V)))*(((VR_X-VL_X)/(VR_Z-VL_Z))*(-VL_Z+AN167)+VL_X-AO167)</f>
        <v>6128</v>
      </c>
      <c r="AL167" s="95">
        <f t="shared" ref="AL167:AL198" si="163">SIN(RADIANS(A167))*r_K_D</f>
        <v>0</v>
      </c>
      <c r="AM167" s="95">
        <f t="shared" ref="AM167:AM198" si="164">COS(RADIANS(A167-180))*r_K_D</f>
        <v>0</v>
      </c>
      <c r="AN167" s="95">
        <f t="shared" ref="AN167:AN198" si="165">SIN(RADIANS(A167))*r_K_SSw</f>
        <v>0</v>
      </c>
      <c r="AO167" s="95">
        <f t="shared" ref="AO167:AO198" si="166">-COS(RADIANS(A167))*r_K_SSw</f>
        <v>0</v>
      </c>
      <c r="AP167"/>
      <c r="AQ167" s="95">
        <f t="shared" ref="AQ167:AQ198" si="167">MAX(d_y_Sw*(r_K_D*ABS(COS(RADIANS($A167)))+_r1_Sw+_r2_Sw), 2*_r1_Sw*d_y_Sw)/1000000</f>
        <v>0</v>
      </c>
      <c r="AR167" s="95">
        <f t="shared" ref="AR167:AR198" si="168">MAX(d_y_Sw*(r_K_D*ABS(SIN(RADIANS($A167)))+_r1_Sw+_r2_Sw), 2*_r1_Sw*d_y_Sw)/1000000</f>
        <v>0</v>
      </c>
      <c r="AS167" s="95">
        <f>Geraetedaten!$B$94*ABS(SIN(RADIANS($A167)))</f>
        <v>121.3536560554352</v>
      </c>
      <c r="AT167" s="95">
        <f>Geraetedaten!$B$94*ABS(COS(RADIANS($A167)))</f>
        <v>94.811867200151383</v>
      </c>
      <c r="AU167" s="95">
        <f>((h_Aw_Sw+Geraetedaten!$B$18)/1000)*(AQ167*AS167+AR167*AT167)/100</f>
        <v>0</v>
      </c>
    </row>
    <row r="168" spans="1:47" ht="13.5" x14ac:dyDescent="0.25">
      <c r="A168" s="16">
        <v>129</v>
      </c>
      <c r="B168" s="16">
        <f t="shared" si="136"/>
        <v>321</v>
      </c>
      <c r="C168" s="19">
        <f t="shared" si="137"/>
        <v>68.232306332770648</v>
      </c>
      <c r="D168" s="17">
        <f t="shared" si="138"/>
        <v>-3714.6788463327707</v>
      </c>
      <c r="E168" s="17">
        <f t="shared" si="139"/>
        <v>13258.87912366723</v>
      </c>
      <c r="F168" s="17">
        <f t="shared" si="140"/>
        <v>3417.8652736672293</v>
      </c>
      <c r="G168" s="17">
        <f t="shared" si="141"/>
        <v>-14216.550686332772</v>
      </c>
      <c r="H168" s="17">
        <f t="shared" ref="H168:H199" si="169">SMALL(D168:G168,COUNTIF(D168:G168,"&lt;0")+1)</f>
        <v>3417.8652736672293</v>
      </c>
      <c r="I168" s="17">
        <f t="shared" si="142"/>
        <v>1357.3948359205845</v>
      </c>
      <c r="J168" s="20">
        <f>(Geraetedaten!$B$152+(Geraetedaten!$B$153*(Geraetedaten!$B$18+d_y_Sw)/1000))*10</f>
        <v>6051.0442000000003</v>
      </c>
      <c r="K168" s="20">
        <f>(Geraetedaten!$B$165+(Geraetedaten!$B$166*(Geraetedaten!$B$18+d_y_Sw)/1000))*10</f>
        <v>10816.164000000001</v>
      </c>
      <c r="L168" s="20">
        <f>(Geraetedaten!$B$158+(Geraetedaten!$B$159*(Geraetedaten!$B$18+d_y_Sw)/1000)-(Geraetedaten!$B$160*I168/1000))*10</f>
        <v>501.99883668194332</v>
      </c>
      <c r="M168" s="20">
        <f>(Geraetedaten!$B$171+(Geraetedaten!$B$172*(Geraetedaten!$B$18+d_y_Sw)/1000)-(Geraetedaten!$B$173*I168/1000))*10</f>
        <v>963.82252841407262</v>
      </c>
      <c r="N168" s="20">
        <f>IF((H168-J168)/(K168-J168)*(Geraetedaten!$B$174-Geraetedaten!$B$161)&lt;Geraetedaten!$B$174,(H168-J168)/(K168-J168)*(Geraetedaten!$B$174-Geraetedaten!$B$161),Geraetedaten!$B$174)</f>
        <v>-221.0377943767769</v>
      </c>
      <c r="O168" s="20">
        <f>N168/Geraetedaten!$B$174*(M168-L168)+L168+C168</f>
        <v>315.02991748618797</v>
      </c>
      <c r="P168" s="20">
        <f t="shared" si="143"/>
        <v>151.00177721736191</v>
      </c>
      <c r="Q168" s="21">
        <f>(N168-Geraetedaten!$B$161)/(Geraetedaten!$B$174-Geraetedaten!$B$161)*(Geraetedaten!$B$175-Geraetedaten!$B$162)+Geraetedaten!$B$162</f>
        <v>22.624125617290886</v>
      </c>
      <c r="R168" s="21">
        <f t="shared" si="144"/>
        <v>22.624125617290886</v>
      </c>
      <c r="S168" s="21">
        <f t="shared" si="145"/>
        <v>17.582247854972813</v>
      </c>
      <c r="T168" s="88">
        <f t="shared" si="146"/>
        <v>-14.237823580634142</v>
      </c>
      <c r="U168" s="86">
        <f t="shared" si="147"/>
        <v>-3646.4465399999999</v>
      </c>
      <c r="V168" s="85">
        <f t="shared" si="148"/>
        <v>-1141.3067828769733</v>
      </c>
      <c r="W168" s="85">
        <f t="shared" si="149"/>
        <v>-1470.6674509647078</v>
      </c>
      <c r="X168" s="90">
        <f t="shared" si="150"/>
        <v>1141.3067828769733</v>
      </c>
      <c r="Y168" s="86">
        <f t="shared" si="151"/>
        <v>13327.111430000001</v>
      </c>
      <c r="Z168" s="85">
        <f t="shared" si="152"/>
        <v>-750</v>
      </c>
      <c r="AA168" s="85">
        <f t="shared" si="153"/>
        <v>1191.7617967993122</v>
      </c>
      <c r="AB168" s="90">
        <f t="shared" si="154"/>
        <v>750</v>
      </c>
      <c r="AC168" s="86">
        <f t="shared" si="155"/>
        <v>3486.0975800000001</v>
      </c>
      <c r="AD168" s="85">
        <f t="shared" si="156"/>
        <v>1055.7627565116984</v>
      </c>
      <c r="AE168" s="85">
        <f t="shared" si="157"/>
        <v>1357.3948359205845</v>
      </c>
      <c r="AF168" s="90">
        <f t="shared" si="158"/>
        <v>1055.7627565116984</v>
      </c>
      <c r="AG168" s="86">
        <f t="shared" si="159"/>
        <v>-14148.318380000001</v>
      </c>
      <c r="AH168" s="85">
        <f t="shared" si="160"/>
        <v>6128</v>
      </c>
      <c r="AI168" s="85">
        <f t="shared" si="161"/>
        <v>-9737.4883877149132</v>
      </c>
      <c r="AJ168" s="90">
        <f t="shared" si="162"/>
        <v>6128</v>
      </c>
      <c r="AL168" s="95">
        <f t="shared" si="163"/>
        <v>0</v>
      </c>
      <c r="AM168" s="95">
        <f t="shared" si="164"/>
        <v>0</v>
      </c>
      <c r="AN168" s="95">
        <f t="shared" si="165"/>
        <v>0</v>
      </c>
      <c r="AO168" s="95">
        <f t="shared" si="166"/>
        <v>0</v>
      </c>
      <c r="AP168"/>
      <c r="AQ168" s="95">
        <f t="shared" si="167"/>
        <v>0</v>
      </c>
      <c r="AR168" s="95">
        <f t="shared" si="168"/>
        <v>0</v>
      </c>
      <c r="AS168" s="95">
        <f>Geraetedaten!$B$94*ABS(SIN(RADIANS($A168)))</f>
        <v>119.68047806437353</v>
      </c>
      <c r="AT168" s="95">
        <f>Geraetedaten!$B$94*ABS(COS(RADIANS($A168)))</f>
        <v>96.915340221674938</v>
      </c>
      <c r="AU168" s="95">
        <f>((h_Aw_Sw+Geraetedaten!$B$18)/1000)*(AQ168*AS168+AR168*AT168)/100</f>
        <v>0</v>
      </c>
    </row>
    <row r="169" spans="1:47" ht="13.5" x14ac:dyDescent="0.25">
      <c r="A169" s="16">
        <v>130</v>
      </c>
      <c r="B169" s="16">
        <f t="shared" si="136"/>
        <v>320</v>
      </c>
      <c r="C169" s="19">
        <f t="shared" si="137"/>
        <v>67.930126577034372</v>
      </c>
      <c r="D169" s="17">
        <f t="shared" si="138"/>
        <v>-3767.4104665770346</v>
      </c>
      <c r="E169" s="17">
        <f t="shared" si="139"/>
        <v>12979.961353422967</v>
      </c>
      <c r="F169" s="17">
        <f t="shared" si="140"/>
        <v>3468.5825634229654</v>
      </c>
      <c r="G169" s="17">
        <f t="shared" si="141"/>
        <v>-13919.823226577033</v>
      </c>
      <c r="H169" s="17">
        <f t="shared" si="169"/>
        <v>3468.5825634229654</v>
      </c>
      <c r="I169" s="17">
        <f t="shared" si="142"/>
        <v>1377.0251553762619</v>
      </c>
      <c r="J169" s="20">
        <f>(Geraetedaten!$B$152+(Geraetedaten!$B$153*(Geraetedaten!$B$18+d_y_Sw)/1000))*10</f>
        <v>6051.0442000000003</v>
      </c>
      <c r="K169" s="20">
        <f>(Geraetedaten!$B$165+(Geraetedaten!$B$166*(Geraetedaten!$B$18+d_y_Sw)/1000))*10</f>
        <v>10816.164000000001</v>
      </c>
      <c r="L169" s="20">
        <f>(Geraetedaten!$B$158+(Geraetedaten!$B$159*(Geraetedaten!$B$18+d_y_Sw)/1000)-(Geraetedaten!$B$160*I169/1000))*10</f>
        <v>500.55934535625852</v>
      </c>
      <c r="M169" s="20">
        <f>(Geraetedaten!$B$171+(Geraetedaten!$B$172*(Geraetedaten!$B$18+d_y_Sw)/1000)-(Geraetedaten!$B$173*I169/1000))*10</f>
        <v>962.36124743379207</v>
      </c>
      <c r="N169" s="20">
        <f>IF((H169-J169)/(K169-J169)*(Geraetedaten!$B$174-Geraetedaten!$B$161)&lt;Geraetedaten!$B$174,(H169-J169)/(K169-J169)*(Geraetedaten!$B$174-Geraetedaten!$B$161),Geraetedaten!$B$174)</f>
        <v>-216.78041644006805</v>
      </c>
      <c r="O169" s="20">
        <f>N169/Geraetedaten!$B$174*(M169-L169)+L169+C169</f>
        <v>318.21545032033475</v>
      </c>
      <c r="P169" s="20">
        <f t="shared" si="143"/>
        <v>151.76491323155622</v>
      </c>
      <c r="Q169" s="21">
        <f>(N169-Geraetedaten!$B$161)/(Geraetedaten!$B$174-Geraetedaten!$B$161)*(Geraetedaten!$B$175-Geraetedaten!$B$162)+Geraetedaten!$B$162</f>
        <v>22.750782610907976</v>
      </c>
      <c r="R169" s="21">
        <f t="shared" si="144"/>
        <v>22.750782610907976</v>
      </c>
      <c r="S169" s="21">
        <f t="shared" si="145"/>
        <v>17.42811059569393</v>
      </c>
      <c r="T169" s="88">
        <f t="shared" si="146"/>
        <v>-14.623921172963623</v>
      </c>
      <c r="U169" s="86">
        <f t="shared" si="147"/>
        <v>-3699.4803400000001</v>
      </c>
      <c r="V169" s="85">
        <f t="shared" si="148"/>
        <v>-1141.3067828769733</v>
      </c>
      <c r="W169" s="85">
        <f t="shared" si="149"/>
        <v>-1492.0567898080139</v>
      </c>
      <c r="X169" s="90">
        <f t="shared" si="150"/>
        <v>1141.3067828769733</v>
      </c>
      <c r="Y169" s="86">
        <f t="shared" si="151"/>
        <v>13047.89148</v>
      </c>
      <c r="Z169" s="85">
        <f t="shared" si="152"/>
        <v>-750</v>
      </c>
      <c r="AA169" s="85">
        <f t="shared" si="153"/>
        <v>1166.7928701453093</v>
      </c>
      <c r="AB169" s="90">
        <f t="shared" si="154"/>
        <v>750</v>
      </c>
      <c r="AC169" s="86">
        <f t="shared" si="155"/>
        <v>3536.51269</v>
      </c>
      <c r="AD169" s="85">
        <f t="shared" si="156"/>
        <v>1055.7627565116984</v>
      </c>
      <c r="AE169" s="85">
        <f t="shared" si="157"/>
        <v>1377.0251553762619</v>
      </c>
      <c r="AF169" s="90">
        <f t="shared" si="158"/>
        <v>1055.7627565116984</v>
      </c>
      <c r="AG169" s="86">
        <f t="shared" si="159"/>
        <v>-13851.893099999999</v>
      </c>
      <c r="AH169" s="85">
        <f t="shared" si="160"/>
        <v>6128</v>
      </c>
      <c r="AI169" s="85">
        <f t="shared" si="161"/>
        <v>-9533.4756110006074</v>
      </c>
      <c r="AJ169" s="90">
        <f t="shared" si="162"/>
        <v>6128</v>
      </c>
      <c r="AL169" s="95">
        <f t="shared" si="163"/>
        <v>0</v>
      </c>
      <c r="AM169" s="95">
        <f t="shared" si="164"/>
        <v>0</v>
      </c>
      <c r="AN169" s="95">
        <f t="shared" si="165"/>
        <v>0</v>
      </c>
      <c r="AO169" s="95">
        <f t="shared" si="166"/>
        <v>0</v>
      </c>
      <c r="AP169"/>
      <c r="AQ169" s="95">
        <f t="shared" si="167"/>
        <v>0</v>
      </c>
      <c r="AR169" s="95">
        <f t="shared" si="168"/>
        <v>0</v>
      </c>
      <c r="AS169" s="95">
        <f>Geraetedaten!$B$94*ABS(SIN(RADIANS($A169)))</f>
        <v>117.97084424032262</v>
      </c>
      <c r="AT169" s="95">
        <f>Geraetedaten!$B$94*ABS(COS(RADIANS($A169)))</f>
        <v>98.989291891727063</v>
      </c>
      <c r="AU169" s="95">
        <f>((h_Aw_Sw+Geraetedaten!$B$18)/1000)*(AQ169*AS169+AR169*AT169)/100</f>
        <v>0</v>
      </c>
    </row>
    <row r="170" spans="1:47" ht="13.5" x14ac:dyDescent="0.25">
      <c r="A170" s="16">
        <v>131</v>
      </c>
      <c r="B170" s="16">
        <f t="shared" si="136"/>
        <v>319</v>
      </c>
      <c r="C170" s="19">
        <f t="shared" si="137"/>
        <v>67.60725464668883</v>
      </c>
      <c r="D170" s="17">
        <f t="shared" si="138"/>
        <v>-3822.8475646466891</v>
      </c>
      <c r="E170" s="17">
        <f t="shared" si="139"/>
        <v>12716.33840535331</v>
      </c>
      <c r="F170" s="17">
        <f t="shared" si="140"/>
        <v>3521.9095653533109</v>
      </c>
      <c r="G170" s="17">
        <f t="shared" si="141"/>
        <v>-13639.290384646689</v>
      </c>
      <c r="H170" s="17">
        <f t="shared" si="169"/>
        <v>3521.9095653533109</v>
      </c>
      <c r="I170" s="17">
        <f t="shared" si="142"/>
        <v>1397.6635735480122</v>
      </c>
      <c r="J170" s="20">
        <f>(Geraetedaten!$B$152+(Geraetedaten!$B$153*(Geraetedaten!$B$18+d_y_Sw)/1000))*10</f>
        <v>6051.0442000000003</v>
      </c>
      <c r="K170" s="20">
        <f>(Geraetedaten!$B$165+(Geraetedaten!$B$166*(Geraetedaten!$B$18+d_y_Sw)/1000))*10</f>
        <v>10816.164000000001</v>
      </c>
      <c r="L170" s="20">
        <f>(Geraetedaten!$B$158+(Geraetedaten!$B$159*(Geraetedaten!$B$18+d_y_Sw)/1000)-(Geraetedaten!$B$160*I170/1000))*10</f>
        <v>499.04593015172401</v>
      </c>
      <c r="M170" s="20">
        <f>(Geraetedaten!$B$171+(Geraetedaten!$B$172*(Geraetedaten!$B$18+d_y_Sw)/1000)-(Geraetedaten!$B$173*I170/1000))*10</f>
        <v>960.82492358508694</v>
      </c>
      <c r="N170" s="20">
        <f>IF((H170-J170)/(K170-J170)*(Geraetedaten!$B$174-Geraetedaten!$B$161)&lt;Geraetedaten!$B$174,(H170-J170)/(K170-J170)*(Geraetedaten!$B$174-Geraetedaten!$B$161),Geraetedaten!$B$174)</f>
        <v>-212.30397058614886</v>
      </c>
      <c r="O170" s="20">
        <f>N170/Geraetedaten!$B$174*(M170-L170)+L170+C170</f>
        <v>321.55940020046751</v>
      </c>
      <c r="P170" s="20">
        <f t="shared" si="143"/>
        <v>152.55649517646367</v>
      </c>
      <c r="Q170" s="21">
        <f>(N170-Geraetedaten!$B$161)/(Geraetedaten!$B$174-Geraetedaten!$B$161)*(Geraetedaten!$B$175-Geraetedaten!$B$162)+Geraetedaten!$B$162</f>
        <v>22.883956875062069</v>
      </c>
      <c r="R170" s="21">
        <f t="shared" si="144"/>
        <v>22.883956875062069</v>
      </c>
      <c r="S170" s="21">
        <f t="shared" si="145"/>
        <v>17.270741487014114</v>
      </c>
      <c r="T170" s="88">
        <f t="shared" si="146"/>
        <v>-15.013226526913861</v>
      </c>
      <c r="U170" s="86">
        <f t="shared" si="147"/>
        <v>-3755.2403100000001</v>
      </c>
      <c r="V170" s="85">
        <f t="shared" si="148"/>
        <v>-1141.3067828769733</v>
      </c>
      <c r="W170" s="85">
        <f t="shared" si="149"/>
        <v>-1514.5456368100404</v>
      </c>
      <c r="X170" s="90">
        <f t="shared" si="150"/>
        <v>1141.3067828769733</v>
      </c>
      <c r="Y170" s="86">
        <f t="shared" si="151"/>
        <v>12783.945659999999</v>
      </c>
      <c r="Z170" s="85">
        <f t="shared" si="152"/>
        <v>-750</v>
      </c>
      <c r="AA170" s="85">
        <f t="shared" si="153"/>
        <v>1143.1898150293607</v>
      </c>
      <c r="AB170" s="90">
        <f t="shared" si="154"/>
        <v>750</v>
      </c>
      <c r="AC170" s="86">
        <f t="shared" si="155"/>
        <v>3589.5168199999998</v>
      </c>
      <c r="AD170" s="85">
        <f t="shared" si="156"/>
        <v>1055.7627565116984</v>
      </c>
      <c r="AE170" s="85">
        <f t="shared" si="157"/>
        <v>1397.6635735480122</v>
      </c>
      <c r="AF170" s="90">
        <f t="shared" si="158"/>
        <v>1055.7627565116984</v>
      </c>
      <c r="AG170" s="86">
        <f t="shared" si="159"/>
        <v>-13571.683129999999</v>
      </c>
      <c r="AH170" s="85">
        <f t="shared" si="160"/>
        <v>6128</v>
      </c>
      <c r="AI170" s="85">
        <f t="shared" si="161"/>
        <v>-9340.6229153332297</v>
      </c>
      <c r="AJ170" s="90">
        <f t="shared" si="162"/>
        <v>6128</v>
      </c>
      <c r="AL170" s="95">
        <f t="shared" si="163"/>
        <v>0</v>
      </c>
      <c r="AM170" s="95">
        <f t="shared" si="164"/>
        <v>0</v>
      </c>
      <c r="AN170" s="95">
        <f t="shared" si="165"/>
        <v>0</v>
      </c>
      <c r="AO170" s="95">
        <f t="shared" si="166"/>
        <v>0</v>
      </c>
      <c r="AP170"/>
      <c r="AQ170" s="95">
        <f t="shared" si="167"/>
        <v>0</v>
      </c>
      <c r="AR170" s="95">
        <f t="shared" si="168"/>
        <v>0</v>
      </c>
      <c r="AS170" s="95">
        <f>Geraetedaten!$B$94*ABS(SIN(RADIANS($A170)))</f>
        <v>116.2252753543069</v>
      </c>
      <c r="AT170" s="95">
        <f>Geraetedaten!$B$94*ABS(COS(RADIANS($A170)))</f>
        <v>101.03309046453811</v>
      </c>
      <c r="AU170" s="95">
        <f>((h_Aw_Sw+Geraetedaten!$B$18)/1000)*(AQ170*AS170+AR170*AT170)/100</f>
        <v>0</v>
      </c>
    </row>
    <row r="171" spans="1:47" ht="13.5" x14ac:dyDescent="0.25">
      <c r="A171" s="16">
        <v>132</v>
      </c>
      <c r="B171" s="16">
        <f t="shared" si="136"/>
        <v>318</v>
      </c>
      <c r="C171" s="19">
        <f t="shared" si="137"/>
        <v>67.2637888916517</v>
      </c>
      <c r="D171" s="17">
        <f t="shared" si="138"/>
        <v>-3881.1501888916514</v>
      </c>
      <c r="E171" s="17">
        <f t="shared" si="139"/>
        <v>12466.945371108348</v>
      </c>
      <c r="F171" s="17">
        <f t="shared" si="140"/>
        <v>3577.9974411083485</v>
      </c>
      <c r="G171" s="17">
        <f t="shared" si="141"/>
        <v>-13373.821838891652</v>
      </c>
      <c r="H171" s="17">
        <f t="shared" si="169"/>
        <v>3577.9974411083485</v>
      </c>
      <c r="I171" s="17">
        <f t="shared" si="142"/>
        <v>1419.3689811499037</v>
      </c>
      <c r="J171" s="20">
        <f>(Geraetedaten!$B$152+(Geraetedaten!$B$153*(Geraetedaten!$B$18+d_y_Sw)/1000))*10</f>
        <v>6051.0442000000003</v>
      </c>
      <c r="K171" s="20">
        <f>(Geraetedaten!$B$165+(Geraetedaten!$B$166*(Geraetedaten!$B$18+d_y_Sw)/1000))*10</f>
        <v>10816.164000000001</v>
      </c>
      <c r="L171" s="20">
        <f>(Geraetedaten!$B$158+(Geraetedaten!$B$159*(Geraetedaten!$B$18+d_y_Sw)/1000)-(Geraetedaten!$B$160*I171/1000))*10</f>
        <v>497.45427261227735</v>
      </c>
      <c r="M171" s="20">
        <f>(Geraetedaten!$B$171+(Geraetedaten!$B$172*(Geraetedaten!$B$18+d_y_Sw)/1000)-(Geraetedaten!$B$173*I171/1000))*10</f>
        <v>959.2091730432021</v>
      </c>
      <c r="N171" s="20">
        <f>IF((H171-J171)/(K171-J171)*(Geraetedaten!$B$174-Geraetedaten!$B$161)&lt;Geraetedaten!$B$174,(H171-J171)/(K171-J171)*(Geraetedaten!$B$174-Geraetedaten!$B$161),Geraetedaten!$B$174)</f>
        <v>-207.59576780350005</v>
      </c>
      <c r="O171" s="20">
        <f>N171/Geraetedaten!$B$174*(M171-L171)+L171+C171</f>
        <v>325.07215377396273</v>
      </c>
      <c r="P171" s="20">
        <f t="shared" si="143"/>
        <v>153.37811182174059</v>
      </c>
      <c r="Q171" s="21">
        <f>(N171-Geraetedaten!$B$161)/(Geraetedaten!$B$174-Geraetedaten!$B$161)*(Geraetedaten!$B$175-Geraetedaten!$B$162)+Geraetedaten!$B$162</f>
        <v>23.024025907845871</v>
      </c>
      <c r="R171" s="21">
        <f t="shared" si="144"/>
        <v>23.024025907845871</v>
      </c>
      <c r="S171" s="21">
        <f t="shared" si="145"/>
        <v>17.110185715073122</v>
      </c>
      <c r="T171" s="88">
        <f t="shared" si="146"/>
        <v>-15.40608041653897</v>
      </c>
      <c r="U171" s="86">
        <f t="shared" si="147"/>
        <v>-3813.8863999999999</v>
      </c>
      <c r="V171" s="85">
        <f t="shared" si="148"/>
        <v>-1141.3067828769733</v>
      </c>
      <c r="W171" s="85">
        <f t="shared" si="149"/>
        <v>-1538.1984993586429</v>
      </c>
      <c r="X171" s="90">
        <f t="shared" si="150"/>
        <v>1141.3067828769733</v>
      </c>
      <c r="Y171" s="86">
        <f t="shared" si="151"/>
        <v>12534.20916</v>
      </c>
      <c r="Z171" s="85">
        <f t="shared" si="152"/>
        <v>-750</v>
      </c>
      <c r="AA171" s="85">
        <f t="shared" si="153"/>
        <v>1120.8574123984565</v>
      </c>
      <c r="AB171" s="90">
        <f t="shared" si="154"/>
        <v>750</v>
      </c>
      <c r="AC171" s="86">
        <f t="shared" si="155"/>
        <v>3645.2612300000001</v>
      </c>
      <c r="AD171" s="85">
        <f t="shared" si="156"/>
        <v>1055.7627565116984</v>
      </c>
      <c r="AE171" s="85">
        <f t="shared" si="157"/>
        <v>1419.3689811499037</v>
      </c>
      <c r="AF171" s="90">
        <f t="shared" si="158"/>
        <v>1055.7627565116984</v>
      </c>
      <c r="AG171" s="86">
        <f t="shared" si="159"/>
        <v>-13306.55805</v>
      </c>
      <c r="AH171" s="85">
        <f t="shared" si="160"/>
        <v>6128</v>
      </c>
      <c r="AI171" s="85">
        <f t="shared" si="161"/>
        <v>-9158.152297570321</v>
      </c>
      <c r="AJ171" s="90">
        <f t="shared" si="162"/>
        <v>6128</v>
      </c>
      <c r="AL171" s="95">
        <f t="shared" si="163"/>
        <v>0</v>
      </c>
      <c r="AM171" s="95">
        <f t="shared" si="164"/>
        <v>0</v>
      </c>
      <c r="AN171" s="95">
        <f t="shared" si="165"/>
        <v>0</v>
      </c>
      <c r="AO171" s="95">
        <f t="shared" si="166"/>
        <v>0</v>
      </c>
      <c r="AP171"/>
      <c r="AQ171" s="95">
        <f t="shared" si="167"/>
        <v>0</v>
      </c>
      <c r="AR171" s="95">
        <f t="shared" si="168"/>
        <v>0</v>
      </c>
      <c r="AS171" s="95">
        <f>Geraetedaten!$B$94*ABS(SIN(RADIANS($A171)))</f>
        <v>114.44430312351871</v>
      </c>
      <c r="AT171" s="95">
        <f>Geraetedaten!$B$94*ABS(COS(RADIANS($A171)))</f>
        <v>103.04611337926417</v>
      </c>
      <c r="AU171" s="95">
        <f>((h_Aw_Sw+Geraetedaten!$B$18)/1000)*(AQ171*AS171+AR171*AT171)/100</f>
        <v>0</v>
      </c>
    </row>
    <row r="172" spans="1:47" ht="13.5" x14ac:dyDescent="0.25">
      <c r="A172" s="16">
        <v>133</v>
      </c>
      <c r="B172" s="16">
        <f t="shared" si="136"/>
        <v>317</v>
      </c>
      <c r="C172" s="19">
        <f t="shared" si="137"/>
        <v>66.899833934919229</v>
      </c>
      <c r="D172" s="17">
        <f t="shared" si="138"/>
        <v>-3942.4924339349191</v>
      </c>
      <c r="E172" s="17">
        <f t="shared" si="139"/>
        <v>12230.81738606508</v>
      </c>
      <c r="F172" s="17">
        <f t="shared" si="140"/>
        <v>3637.0105560650809</v>
      </c>
      <c r="G172" s="17">
        <f t="shared" si="141"/>
        <v>-13122.393473934921</v>
      </c>
      <c r="H172" s="17">
        <f t="shared" si="169"/>
        <v>3637.0105560650809</v>
      </c>
      <c r="I172" s="17">
        <f t="shared" si="142"/>
        <v>1442.2054236205354</v>
      </c>
      <c r="J172" s="20">
        <f>(Geraetedaten!$B$152+(Geraetedaten!$B$153*(Geraetedaten!$B$18+d_y_Sw)/1000))*10</f>
        <v>6051.0442000000003</v>
      </c>
      <c r="K172" s="20">
        <f>(Geraetedaten!$B$165+(Geraetedaten!$B$166*(Geraetedaten!$B$18+d_y_Sw)/1000))*10</f>
        <v>10816.164000000001</v>
      </c>
      <c r="L172" s="20">
        <f>(Geraetedaten!$B$158+(Geraetedaten!$B$159*(Geraetedaten!$B$18+d_y_Sw)/1000)-(Geraetedaten!$B$160*I172/1000))*10</f>
        <v>495.77967628590585</v>
      </c>
      <c r="M172" s="20">
        <f>(Geraetedaten!$B$171+(Geraetedaten!$B$172*(Geraetedaten!$B$18+d_y_Sw)/1000)-(Geraetedaten!$B$173*I172/1000))*10</f>
        <v>957.50922826568831</v>
      </c>
      <c r="N172" s="20">
        <f>IF((H172-J172)/(K172-J172)*(Geraetedaten!$B$174-Geraetedaten!$B$161)&lt;Geraetedaten!$B$174,(H172-J172)/(K172-J172)*(Geraetedaten!$B$174-Geraetedaten!$B$161),Geraetedaten!$B$174)</f>
        <v>-202.64201071586231</v>
      </c>
      <c r="O172" s="20">
        <f>N172/Geraetedaten!$B$174*(M172-L172)+L172+C172</f>
        <v>328.76499817053161</v>
      </c>
      <c r="P172" s="20">
        <f t="shared" si="143"/>
        <v>154.23144746635924</v>
      </c>
      <c r="Q172" s="21">
        <f>(N172-Geraetedaten!$B$161)/(Geraetedaten!$B$174-Geraetedaten!$B$161)*(Geraetedaten!$B$175-Geraetedaten!$B$162)+Geraetedaten!$B$162</f>
        <v>23.171400181203094</v>
      </c>
      <c r="R172" s="21">
        <f t="shared" si="144"/>
        <v>23.171400181203094</v>
      </c>
      <c r="S172" s="21">
        <f t="shared" si="145"/>
        <v>16.946489294222001</v>
      </c>
      <c r="T172" s="88">
        <f t="shared" si="146"/>
        <v>-15.802856923932387</v>
      </c>
      <c r="U172" s="86">
        <f t="shared" si="147"/>
        <v>-3875.5925999999999</v>
      </c>
      <c r="V172" s="85">
        <f t="shared" si="148"/>
        <v>-1141.3067828769733</v>
      </c>
      <c r="W172" s="85">
        <f t="shared" si="149"/>
        <v>-1563.0855472043299</v>
      </c>
      <c r="X172" s="90">
        <f t="shared" si="150"/>
        <v>1141.3067828769733</v>
      </c>
      <c r="Y172" s="86">
        <f t="shared" si="151"/>
        <v>12297.71722</v>
      </c>
      <c r="Z172" s="85">
        <f t="shared" si="152"/>
        <v>-750</v>
      </c>
      <c r="AA172" s="85">
        <f t="shared" si="153"/>
        <v>1099.7093892297187</v>
      </c>
      <c r="AB172" s="90">
        <f t="shared" si="154"/>
        <v>750</v>
      </c>
      <c r="AC172" s="86">
        <f t="shared" si="155"/>
        <v>3703.91039</v>
      </c>
      <c r="AD172" s="85">
        <f t="shared" si="156"/>
        <v>1055.7627565116984</v>
      </c>
      <c r="AE172" s="85">
        <f t="shared" si="157"/>
        <v>1442.2054236205354</v>
      </c>
      <c r="AF172" s="90">
        <f t="shared" si="158"/>
        <v>1055.7627565116984</v>
      </c>
      <c r="AG172" s="86">
        <f t="shared" si="159"/>
        <v>-13055.493640000001</v>
      </c>
      <c r="AH172" s="85">
        <f t="shared" si="160"/>
        <v>6128</v>
      </c>
      <c r="AI172" s="85">
        <f t="shared" si="161"/>
        <v>-8985.358849599621</v>
      </c>
      <c r="AJ172" s="90">
        <f t="shared" si="162"/>
        <v>6128</v>
      </c>
      <c r="AL172" s="95">
        <f t="shared" si="163"/>
        <v>0</v>
      </c>
      <c r="AM172" s="95">
        <f t="shared" si="164"/>
        <v>0</v>
      </c>
      <c r="AN172" s="95">
        <f t="shared" si="165"/>
        <v>0</v>
      </c>
      <c r="AO172" s="95">
        <f t="shared" si="166"/>
        <v>0</v>
      </c>
      <c r="AP172"/>
      <c r="AQ172" s="95">
        <f t="shared" si="167"/>
        <v>0</v>
      </c>
      <c r="AR172" s="95">
        <f t="shared" si="168"/>
        <v>0</v>
      </c>
      <c r="AS172" s="95">
        <f>Geraetedaten!$B$94*ABS(SIN(RADIANS($A172)))</f>
        <v>112.62847004935227</v>
      </c>
      <c r="AT172" s="95">
        <f>Geraetedaten!$B$94*ABS(COS(RADIANS($A172)))</f>
        <v>105.02774744962475</v>
      </c>
      <c r="AU172" s="95">
        <f>((h_Aw_Sw+Geraetedaten!$B$18)/1000)*(AQ172*AS172+AR172*AT172)/100</f>
        <v>0</v>
      </c>
    </row>
    <row r="173" spans="1:47" ht="13.5" x14ac:dyDescent="0.25">
      <c r="A173" s="16">
        <v>134</v>
      </c>
      <c r="B173" s="16">
        <f t="shared" si="136"/>
        <v>316</v>
      </c>
      <c r="C173" s="19">
        <f t="shared" si="137"/>
        <v>66.515500640696956</v>
      </c>
      <c r="D173" s="17">
        <f t="shared" si="138"/>
        <v>-4007.063930640697</v>
      </c>
      <c r="E173" s="17">
        <f t="shared" si="139"/>
        <v>12007.078269359303</v>
      </c>
      <c r="F173" s="17">
        <f t="shared" si="140"/>
        <v>3699.1279493593029</v>
      </c>
      <c r="G173" s="17">
        <f t="shared" si="141"/>
        <v>-12884.075370640696</v>
      </c>
      <c r="H173" s="17">
        <f t="shared" si="169"/>
        <v>3699.1279493593029</v>
      </c>
      <c r="I173" s="17">
        <f t="shared" si="142"/>
        <v>1466.2426554516808</v>
      </c>
      <c r="J173" s="20">
        <f>(Geraetedaten!$B$152+(Geraetedaten!$B$153*(Geraetedaten!$B$18+d_y_Sw)/1000))*10</f>
        <v>6051.0442000000003</v>
      </c>
      <c r="K173" s="20">
        <f>(Geraetedaten!$B$165+(Geraetedaten!$B$166*(Geraetedaten!$B$18+d_y_Sw)/1000))*10</f>
        <v>10816.164000000001</v>
      </c>
      <c r="L173" s="20">
        <f>(Geraetedaten!$B$158+(Geraetedaten!$B$159*(Geraetedaten!$B$18+d_y_Sw)/1000)-(Geraetedaten!$B$160*I173/1000))*10</f>
        <v>494.01702607572804</v>
      </c>
      <c r="M173" s="20">
        <f>(Geraetedaten!$B$171+(Geraetedaten!$B$172*(Geraetedaten!$B$18+d_y_Sw)/1000)-(Geraetedaten!$B$173*I173/1000))*10</f>
        <v>955.71989672817779</v>
      </c>
      <c r="N173" s="20">
        <f>IF((H173-J173)/(K173-J173)*(Geraetedaten!$B$174-Geraetedaten!$B$161)&lt;Geraetedaten!$B$174,(H173-J173)/(K173-J173)*(Geraetedaten!$B$174-Geraetedaten!$B$161),Geraetedaten!$B$174)</f>
        <v>-197.42767018287324</v>
      </c>
      <c r="O173" s="20">
        <f>N173/Geraetedaten!$B$174*(M173-L173)+L173+C173</f>
        <v>332.65022154228086</v>
      </c>
      <c r="P173" s="20">
        <f t="shared" si="143"/>
        <v>155.11828935575303</v>
      </c>
      <c r="Q173" s="21">
        <f>(N173-Geraetedaten!$B$161)/(Geraetedaten!$B$174-Geraetedaten!$B$161)*(Geraetedaten!$B$175-Geraetedaten!$B$162)+Geraetedaten!$B$162</f>
        <v>23.32652681205952</v>
      </c>
      <c r="R173" s="21">
        <f t="shared" si="144"/>
        <v>23.32652681205952</v>
      </c>
      <c r="S173" s="21">
        <f t="shared" si="145"/>
        <v>16.779699139581087</v>
      </c>
      <c r="T173" s="88">
        <f t="shared" si="146"/>
        <v>-16.203967103733376</v>
      </c>
      <c r="U173" s="86">
        <f t="shared" si="147"/>
        <v>-3940.5484299999998</v>
      </c>
      <c r="V173" s="85">
        <f t="shared" si="148"/>
        <v>-1141.3067828769733</v>
      </c>
      <c r="W173" s="85">
        <f t="shared" si="149"/>
        <v>-1589.283223614721</v>
      </c>
      <c r="X173" s="90">
        <f t="shared" si="150"/>
        <v>1141.3067828769733</v>
      </c>
      <c r="Y173" s="86">
        <f t="shared" si="151"/>
        <v>12073.593769999999</v>
      </c>
      <c r="Z173" s="85">
        <f t="shared" si="152"/>
        <v>-750</v>
      </c>
      <c r="AA173" s="85">
        <f t="shared" si="153"/>
        <v>1079.6674047192948</v>
      </c>
      <c r="AB173" s="90">
        <f t="shared" si="154"/>
        <v>750</v>
      </c>
      <c r="AC173" s="86">
        <f t="shared" si="155"/>
        <v>3765.64345</v>
      </c>
      <c r="AD173" s="85">
        <f t="shared" si="156"/>
        <v>1055.7627565116984</v>
      </c>
      <c r="AE173" s="85">
        <f t="shared" si="157"/>
        <v>1466.2426554516808</v>
      </c>
      <c r="AF173" s="90">
        <f t="shared" si="158"/>
        <v>1055.7627565116984</v>
      </c>
      <c r="AG173" s="86">
        <f t="shared" si="159"/>
        <v>-12817.559869999999</v>
      </c>
      <c r="AH173" s="85">
        <f t="shared" si="160"/>
        <v>6128</v>
      </c>
      <c r="AI173" s="85">
        <f t="shared" si="161"/>
        <v>-8821.6024748264517</v>
      </c>
      <c r="AJ173" s="90">
        <f t="shared" si="162"/>
        <v>6128</v>
      </c>
      <c r="AL173" s="95">
        <f t="shared" si="163"/>
        <v>0</v>
      </c>
      <c r="AM173" s="95">
        <f t="shared" si="164"/>
        <v>0</v>
      </c>
      <c r="AN173" s="95">
        <f t="shared" si="165"/>
        <v>0</v>
      </c>
      <c r="AO173" s="95">
        <f t="shared" si="166"/>
        <v>0</v>
      </c>
      <c r="AP173"/>
      <c r="AQ173" s="95">
        <f t="shared" si="167"/>
        <v>0</v>
      </c>
      <c r="AR173" s="95">
        <f t="shared" si="168"/>
        <v>0</v>
      </c>
      <c r="AS173" s="95">
        <f>Geraetedaten!$B$94*ABS(SIN(RADIANS($A173)))</f>
        <v>110.77832925215226</v>
      </c>
      <c r="AT173" s="95">
        <f>Geraetedaten!$B$94*ABS(COS(RADIANS($A173)))</f>
        <v>106.97738905068559</v>
      </c>
      <c r="AU173" s="95">
        <f>((h_Aw_Sw+Geraetedaten!$B$18)/1000)*(AQ173*AS173+AR173*AT173)/100</f>
        <v>0</v>
      </c>
    </row>
    <row r="174" spans="1:47" ht="13.5" x14ac:dyDescent="0.25">
      <c r="A174" s="16">
        <v>135</v>
      </c>
      <c r="B174" s="16">
        <f t="shared" si="136"/>
        <v>315</v>
      </c>
      <c r="C174" s="19">
        <f t="shared" si="137"/>
        <v>66.110906080629391</v>
      </c>
      <c r="D174" s="17">
        <f t="shared" si="138"/>
        <v>-4075.0716160806292</v>
      </c>
      <c r="E174" s="17">
        <f t="shared" si="139"/>
        <v>11794.930733919369</v>
      </c>
      <c r="F174" s="17">
        <f t="shared" si="140"/>
        <v>3764.5449239193708</v>
      </c>
      <c r="G174" s="17">
        <f t="shared" si="141"/>
        <v>-12658.02133608063</v>
      </c>
      <c r="H174" s="17">
        <f t="shared" si="169"/>
        <v>3764.5449239193708</v>
      </c>
      <c r="I174" s="17">
        <f t="shared" si="142"/>
        <v>1491.5567685860167</v>
      </c>
      <c r="J174" s="20">
        <f>(Geraetedaten!$B$152+(Geraetedaten!$B$153*(Geraetedaten!$B$18+d_y_Sw)/1000))*10</f>
        <v>6051.0442000000003</v>
      </c>
      <c r="K174" s="20">
        <f>(Geraetedaten!$B$165+(Geraetedaten!$B$166*(Geraetedaten!$B$18+d_y_Sw)/1000))*10</f>
        <v>10816.164000000001</v>
      </c>
      <c r="L174" s="20">
        <f>(Geraetedaten!$B$158+(Geraetedaten!$B$159*(Geraetedaten!$B$18+d_y_Sw)/1000)-(Geraetedaten!$B$160*I174/1000))*10</f>
        <v>492.16074215958713</v>
      </c>
      <c r="M174" s="20">
        <f>(Geraetedaten!$B$171+(Geraetedaten!$B$172*(Geraetedaten!$B$18+d_y_Sw)/1000)-(Geraetedaten!$B$173*I174/1000))*10</f>
        <v>953.83551414645785</v>
      </c>
      <c r="N174" s="20">
        <f>IF((H174-J174)/(K174-J174)*(Geraetedaten!$B$174-Geraetedaten!$B$161)&lt;Geraetedaten!$B$174,(H174-J174)/(K174-J174)*(Geraetedaten!$B$174-Geraetedaten!$B$161),Geraetedaten!$B$174)</f>
        <v>-191.93635182734582</v>
      </c>
      <c r="O174" s="20">
        <f>N174/Geraetedaten!$B$174*(M174-L174)+L174+C174</f>
        <v>336.74121957551233</v>
      </c>
      <c r="P174" s="20">
        <f t="shared" si="143"/>
        <v>156.0405336294796</v>
      </c>
      <c r="Q174" s="21">
        <f>(N174-Geraetedaten!$B$161)/(Geraetedaten!$B$174-Geraetedaten!$B$161)*(Geraetedaten!$B$175-Geraetedaten!$B$162)+Geraetedaten!$B$162</f>
        <v>23.48989353313646</v>
      </c>
      <c r="R174" s="21">
        <f t="shared" si="144"/>
        <v>23.48989353313646</v>
      </c>
      <c r="S174" s="21">
        <f t="shared" si="145"/>
        <v>16.609863006630821</v>
      </c>
      <c r="T174" s="88">
        <f t="shared" si="146"/>
        <v>-16.609863006630817</v>
      </c>
      <c r="U174" s="86">
        <f t="shared" si="147"/>
        <v>-4008.9607099999998</v>
      </c>
      <c r="V174" s="85">
        <f t="shared" si="148"/>
        <v>-1141.3067828769733</v>
      </c>
      <c r="W174" s="85">
        <f t="shared" si="149"/>
        <v>-1616.8749384712789</v>
      </c>
      <c r="X174" s="90">
        <f t="shared" si="150"/>
        <v>1141.3067828769733</v>
      </c>
      <c r="Y174" s="86">
        <f t="shared" si="151"/>
        <v>11861.041639999999</v>
      </c>
      <c r="Z174" s="85">
        <f t="shared" si="152"/>
        <v>-750</v>
      </c>
      <c r="AA174" s="85">
        <f t="shared" si="153"/>
        <v>1060.6601717798214</v>
      </c>
      <c r="AB174" s="90">
        <f t="shared" si="154"/>
        <v>750</v>
      </c>
      <c r="AC174" s="86">
        <f t="shared" si="155"/>
        <v>3830.6558300000002</v>
      </c>
      <c r="AD174" s="85">
        <f t="shared" si="156"/>
        <v>1055.7627565116984</v>
      </c>
      <c r="AE174" s="85">
        <f t="shared" si="157"/>
        <v>1491.5567685860167</v>
      </c>
      <c r="AF174" s="90">
        <f t="shared" si="158"/>
        <v>1055.7627565116984</v>
      </c>
      <c r="AG174" s="86">
        <f t="shared" si="159"/>
        <v>-12591.91043</v>
      </c>
      <c r="AH174" s="85">
        <f t="shared" si="160"/>
        <v>6128</v>
      </c>
      <c r="AI174" s="85">
        <f t="shared" si="161"/>
        <v>-8666.3007102223273</v>
      </c>
      <c r="AJ174" s="90">
        <f t="shared" si="162"/>
        <v>6128</v>
      </c>
      <c r="AL174" s="95">
        <f t="shared" si="163"/>
        <v>0</v>
      </c>
      <c r="AM174" s="95">
        <f t="shared" si="164"/>
        <v>0</v>
      </c>
      <c r="AN174" s="95">
        <f t="shared" si="165"/>
        <v>0</v>
      </c>
      <c r="AO174" s="95">
        <f t="shared" si="166"/>
        <v>0</v>
      </c>
      <c r="AP174"/>
      <c r="AQ174" s="95">
        <f t="shared" si="167"/>
        <v>0</v>
      </c>
      <c r="AR174" s="95">
        <f t="shared" si="168"/>
        <v>0</v>
      </c>
      <c r="AS174" s="95">
        <f>Geraetedaten!$B$94*ABS(SIN(RADIANS($A174)))</f>
        <v>108.89444430272833</v>
      </c>
      <c r="AT174" s="95">
        <f>Geraetedaten!$B$94*ABS(COS(RADIANS($A174)))</f>
        <v>108.8944443027283</v>
      </c>
      <c r="AU174" s="95">
        <f>((h_Aw_Sw+Geraetedaten!$B$18)/1000)*(AQ174*AS174+AR174*AT174)/100</f>
        <v>0</v>
      </c>
    </row>
    <row r="175" spans="1:47" ht="13.5" x14ac:dyDescent="0.25">
      <c r="A175" s="16">
        <v>136</v>
      </c>
      <c r="B175" s="16">
        <f t="shared" si="136"/>
        <v>314</v>
      </c>
      <c r="C175" s="19">
        <f t="shared" si="137"/>
        <v>65.686173498138928</v>
      </c>
      <c r="D175" s="17">
        <f t="shared" si="138"/>
        <v>-4146.7416434981387</v>
      </c>
      <c r="E175" s="17">
        <f t="shared" si="139"/>
        <v>11593.64780650186</v>
      </c>
      <c r="F175" s="17">
        <f t="shared" si="140"/>
        <v>3833.474886501861</v>
      </c>
      <c r="G175" s="17">
        <f t="shared" si="141"/>
        <v>-12443.459863498139</v>
      </c>
      <c r="H175" s="17">
        <f t="shared" si="169"/>
        <v>3833.474886501861</v>
      </c>
      <c r="I175" s="17">
        <f t="shared" si="142"/>
        <v>1518.2309066390933</v>
      </c>
      <c r="J175" s="20">
        <f>(Geraetedaten!$B$152+(Geraetedaten!$B$153*(Geraetedaten!$B$18+d_y_Sw)/1000))*10</f>
        <v>6051.0442000000003</v>
      </c>
      <c r="K175" s="20">
        <f>(Geraetedaten!$B$165+(Geraetedaten!$B$166*(Geraetedaten!$B$18+d_y_Sw)/1000))*10</f>
        <v>10816.164000000001</v>
      </c>
      <c r="L175" s="20">
        <f>(Geraetedaten!$B$158+(Geraetedaten!$B$159*(Geraetedaten!$B$18+d_y_Sw)/1000)-(Geraetedaten!$B$160*I175/1000))*10</f>
        <v>490.20472761615508</v>
      </c>
      <c r="M175" s="20">
        <f>(Geraetedaten!$B$171+(Geraetedaten!$B$172*(Geraetedaten!$B$18+d_y_Sw)/1000)-(Geraetedaten!$B$173*I175/1000))*10</f>
        <v>951.84989130978693</v>
      </c>
      <c r="N175" s="20">
        <f>IF((H175-J175)/(K175-J175)*(Geraetedaten!$B$174-Geraetedaten!$B$161)&lt;Geraetedaten!$B$174,(H175-J175)/(K175-J175)*(Geraetedaten!$B$174-Geraetedaten!$B$161),Geraetedaten!$B$174)</f>
        <v>-186.15014157655713</v>
      </c>
      <c r="O175" s="20">
        <f>N175/Geraetedaten!$B$174*(M175-L175)+L175+C175</f>
        <v>341.05261966503787</v>
      </c>
      <c r="P175" s="20">
        <f t="shared" si="143"/>
        <v>157.00019266453981</v>
      </c>
      <c r="Q175" s="21">
        <f>(N175-Geraetedaten!$B$161)/(Geraetedaten!$B$174-Geraetedaten!$B$161)*(Geraetedaten!$B$175-Geraetedaten!$B$162)+Geraetedaten!$B$162</f>
        <v>23.662033288097422</v>
      </c>
      <c r="R175" s="21">
        <f t="shared" si="144"/>
        <v>23.662033288097422</v>
      </c>
      <c r="S175" s="21">
        <f t="shared" si="145"/>
        <v>16.4370294856563</v>
      </c>
      <c r="T175" s="88">
        <f t="shared" si="146"/>
        <v>-17.021042301066519</v>
      </c>
      <c r="U175" s="86">
        <f t="shared" si="147"/>
        <v>-4081.0554699999998</v>
      </c>
      <c r="V175" s="85">
        <f t="shared" si="148"/>
        <v>-1141.3067828769733</v>
      </c>
      <c r="W175" s="85">
        <f t="shared" si="149"/>
        <v>-1645.951856360336</v>
      </c>
      <c r="X175" s="90">
        <f t="shared" si="150"/>
        <v>1141.3067828769733</v>
      </c>
      <c r="Y175" s="86">
        <f t="shared" si="151"/>
        <v>11659.333979999999</v>
      </c>
      <c r="Z175" s="85">
        <f t="shared" si="152"/>
        <v>-750</v>
      </c>
      <c r="AA175" s="85">
        <f t="shared" si="153"/>
        <v>1042.6226932625091</v>
      </c>
      <c r="AB175" s="90">
        <f t="shared" si="154"/>
        <v>750</v>
      </c>
      <c r="AC175" s="86">
        <f t="shared" si="155"/>
        <v>3899.1610599999999</v>
      </c>
      <c r="AD175" s="85">
        <f t="shared" si="156"/>
        <v>1055.7627565116984</v>
      </c>
      <c r="AE175" s="85">
        <f t="shared" si="157"/>
        <v>1518.2309066390933</v>
      </c>
      <c r="AF175" s="90">
        <f t="shared" si="158"/>
        <v>1055.7627565116984</v>
      </c>
      <c r="AG175" s="86">
        <f t="shared" si="159"/>
        <v>-12377.77369</v>
      </c>
      <c r="AH175" s="85">
        <f t="shared" si="160"/>
        <v>6128</v>
      </c>
      <c r="AI175" s="85">
        <f t="shared" si="161"/>
        <v>-8518.9224857502086</v>
      </c>
      <c r="AJ175" s="90">
        <f t="shared" si="162"/>
        <v>6128</v>
      </c>
      <c r="AL175" s="95">
        <f t="shared" si="163"/>
        <v>0</v>
      </c>
      <c r="AM175" s="95">
        <f t="shared" si="164"/>
        <v>0</v>
      </c>
      <c r="AN175" s="95">
        <f t="shared" si="165"/>
        <v>0</v>
      </c>
      <c r="AO175" s="95">
        <f t="shared" si="166"/>
        <v>0</v>
      </c>
      <c r="AP175"/>
      <c r="AQ175" s="95">
        <f t="shared" si="167"/>
        <v>0</v>
      </c>
      <c r="AR175" s="95">
        <f t="shared" si="168"/>
        <v>0</v>
      </c>
      <c r="AS175" s="95">
        <f>Geraetedaten!$B$94*ABS(SIN(RADIANS($A175)))</f>
        <v>106.97738905068556</v>
      </c>
      <c r="AT175" s="95">
        <f>Geraetedaten!$B$94*ABS(COS(RADIANS($A175)))</f>
        <v>110.77832925215229</v>
      </c>
      <c r="AU175" s="95">
        <f>((h_Aw_Sw+Geraetedaten!$B$18)/1000)*(AQ175*AS175+AR175*AT175)/100</f>
        <v>0</v>
      </c>
    </row>
    <row r="176" spans="1:47" ht="13.5" x14ac:dyDescent="0.25">
      <c r="A176" s="16">
        <v>137</v>
      </c>
      <c r="B176" s="16">
        <f t="shared" si="136"/>
        <v>313</v>
      </c>
      <c r="C176" s="19">
        <f t="shared" si="137"/>
        <v>65.241432270884701</v>
      </c>
      <c r="D176" s="17">
        <f t="shared" si="138"/>
        <v>-4222.3216522708844</v>
      </c>
      <c r="E176" s="17">
        <f t="shared" si="139"/>
        <v>11402.565397729115</v>
      </c>
      <c r="F176" s="17">
        <f t="shared" si="140"/>
        <v>3906.1514477291153</v>
      </c>
      <c r="G176" s="17">
        <f t="shared" si="141"/>
        <v>-12239.686212270884</v>
      </c>
      <c r="H176" s="17">
        <f t="shared" si="169"/>
        <v>3906.1514477291153</v>
      </c>
      <c r="I176" s="17">
        <f t="shared" si="142"/>
        <v>1546.356078885532</v>
      </c>
      <c r="J176" s="20">
        <f>(Geraetedaten!$B$152+(Geraetedaten!$B$153*(Geraetedaten!$B$18+d_y_Sw)/1000))*10</f>
        <v>6051.0442000000003</v>
      </c>
      <c r="K176" s="20">
        <f>(Geraetedaten!$B$165+(Geraetedaten!$B$166*(Geraetedaten!$B$18+d_y_Sw)/1000))*10</f>
        <v>10816.164000000001</v>
      </c>
      <c r="L176" s="20">
        <f>(Geraetedaten!$B$158+(Geraetedaten!$B$159*(Geraetedaten!$B$18+d_y_Sw)/1000)-(Geraetedaten!$B$160*I176/1000))*10</f>
        <v>488.1423087353237</v>
      </c>
      <c r="M176" s="20">
        <f>(Geraetedaten!$B$171+(Geraetedaten!$B$172*(Geraetedaten!$B$18+d_y_Sw)/1000)-(Geraetedaten!$B$173*I176/1000))*10</f>
        <v>949.75625348776191</v>
      </c>
      <c r="N176" s="20">
        <f>IF((H176-J176)/(K176-J176)*(Geraetedaten!$B$174-Geraetedaten!$B$161)&lt;Geraetedaten!$B$174,(H176-J176)/(K176-J176)*(Geraetedaten!$B$174-Geraetedaten!$B$161),Geraetedaten!$B$174)</f>
        <v>-180.04942937811427</v>
      </c>
      <c r="O176" s="20">
        <f>N176/Geraetedaten!$B$174*(M176-L176)+L176+C176</f>
        <v>345.60042264206618</v>
      </c>
      <c r="P176" s="20">
        <f t="shared" si="143"/>
        <v>157.99940312390424</v>
      </c>
      <c r="Q176" s="21">
        <f>(N176-Geraetedaten!$B$161)/(Geraetedaten!$B$174-Geraetedaten!$B$161)*(Geraetedaten!$B$175-Geraetedaten!$B$162)+Geraetedaten!$B$162</f>
        <v>23.843529476001098</v>
      </c>
      <c r="R176" s="21">
        <f t="shared" si="144"/>
        <v>23.843529476001098</v>
      </c>
      <c r="S176" s="21">
        <f t="shared" si="145"/>
        <v>16.261248000734597</v>
      </c>
      <c r="T176" s="88">
        <f t="shared" si="146"/>
        <v>-17.438053541939205</v>
      </c>
      <c r="U176" s="86">
        <f t="shared" si="147"/>
        <v>-4157.0802199999998</v>
      </c>
      <c r="V176" s="85">
        <f t="shared" si="148"/>
        <v>-1141.3067828769733</v>
      </c>
      <c r="W176" s="85">
        <f t="shared" si="149"/>
        <v>-1676.613795145204</v>
      </c>
      <c r="X176" s="90">
        <f t="shared" si="150"/>
        <v>1141.3067828769733</v>
      </c>
      <c r="Y176" s="86">
        <f t="shared" si="151"/>
        <v>11467.80683</v>
      </c>
      <c r="Z176" s="85">
        <f t="shared" si="152"/>
        <v>-750</v>
      </c>
      <c r="AA176" s="85">
        <f t="shared" si="153"/>
        <v>1025.4955958239466</v>
      </c>
      <c r="AB176" s="90">
        <f t="shared" si="154"/>
        <v>750</v>
      </c>
      <c r="AC176" s="86">
        <f t="shared" si="155"/>
        <v>3971.3928799999999</v>
      </c>
      <c r="AD176" s="85">
        <f t="shared" si="156"/>
        <v>1055.7627565116984</v>
      </c>
      <c r="AE176" s="85">
        <f t="shared" si="157"/>
        <v>1546.356078885532</v>
      </c>
      <c r="AF176" s="90">
        <f t="shared" si="158"/>
        <v>1055.7627565116984</v>
      </c>
      <c r="AG176" s="86">
        <f t="shared" si="159"/>
        <v>-12174.44478</v>
      </c>
      <c r="AH176" s="85">
        <f t="shared" si="160"/>
        <v>6128</v>
      </c>
      <c r="AI176" s="85">
        <f t="shared" si="161"/>
        <v>-8378.9826816121931</v>
      </c>
      <c r="AJ176" s="90">
        <f t="shared" si="162"/>
        <v>6128</v>
      </c>
      <c r="AL176" s="95">
        <f t="shared" si="163"/>
        <v>0</v>
      </c>
      <c r="AM176" s="95">
        <f t="shared" si="164"/>
        <v>0</v>
      </c>
      <c r="AN176" s="95">
        <f t="shared" si="165"/>
        <v>0</v>
      </c>
      <c r="AO176" s="95">
        <f t="shared" si="166"/>
        <v>0</v>
      </c>
      <c r="AP176"/>
      <c r="AQ176" s="95">
        <f t="shared" si="167"/>
        <v>0</v>
      </c>
      <c r="AR176" s="95">
        <f t="shared" si="168"/>
        <v>0</v>
      </c>
      <c r="AS176" s="95">
        <f>Geraetedaten!$B$94*ABS(SIN(RADIANS($A176)))</f>
        <v>105.02774744962478</v>
      </c>
      <c r="AT176" s="95">
        <f>Geraetedaten!$B$94*ABS(COS(RADIANS($A176)))</f>
        <v>112.62847004935225</v>
      </c>
      <c r="AU176" s="95">
        <f>((h_Aw_Sw+Geraetedaten!$B$18)/1000)*(AQ176*AS176+AR176*AT176)/100</f>
        <v>0</v>
      </c>
    </row>
    <row r="177" spans="1:47" ht="13.5" x14ac:dyDescent="0.25">
      <c r="A177" s="16">
        <v>138</v>
      </c>
      <c r="B177" s="16">
        <f t="shared" si="136"/>
        <v>312</v>
      </c>
      <c r="C177" s="19">
        <f t="shared" si="137"/>
        <v>64.776817871352804</v>
      </c>
      <c r="D177" s="17">
        <f t="shared" si="138"/>
        <v>-4302.0832578713535</v>
      </c>
      <c r="E177" s="17">
        <f t="shared" si="139"/>
        <v>11221.075802128647</v>
      </c>
      <c r="F177" s="17">
        <f t="shared" si="140"/>
        <v>3982.8307821286471</v>
      </c>
      <c r="G177" s="17">
        <f t="shared" si="141"/>
        <v>-12046.055497871352</v>
      </c>
      <c r="H177" s="17">
        <f t="shared" si="169"/>
        <v>3982.8307821286471</v>
      </c>
      <c r="I177" s="17">
        <f t="shared" si="142"/>
        <v>1576.032090601728</v>
      </c>
      <c r="J177" s="20">
        <f>(Geraetedaten!$B$152+(Geraetedaten!$B$153*(Geraetedaten!$B$18+d_y_Sw)/1000))*10</f>
        <v>6051.0442000000003</v>
      </c>
      <c r="K177" s="20">
        <f>(Geraetedaten!$B$165+(Geraetedaten!$B$166*(Geraetedaten!$B$18+d_y_Sw)/1000))*10</f>
        <v>10816.164000000001</v>
      </c>
      <c r="L177" s="20">
        <f>(Geraetedaten!$B$158+(Geraetedaten!$B$159*(Geraetedaten!$B$18+d_y_Sw)/1000)-(Geraetedaten!$B$160*I177/1000))*10</f>
        <v>485.96616679617506</v>
      </c>
      <c r="M177" s="20">
        <f>(Geraetedaten!$B$171+(Geraetedaten!$B$172*(Geraetedaten!$B$18+d_y_Sw)/1000)-(Geraetedaten!$B$173*I177/1000))*10</f>
        <v>947.54717117560836</v>
      </c>
      <c r="N177" s="20">
        <f>IF((H177-J177)/(K177-J177)*(Geraetedaten!$B$174-Geraetedaten!$B$161)&lt;Geraetedaten!$B$174,(H177-J177)/(K177-J177)*(Geraetedaten!$B$174-Geraetedaten!$B$161),Geraetedaten!$B$174)</f>
        <v>-173.61271109039927</v>
      </c>
      <c r="O177" s="20">
        <f>N177/Geraetedaten!$B$174*(M177-L177)+L177+C177</f>
        <v>350.4021607721707</v>
      </c>
      <c r="P177" s="20">
        <f t="shared" si="143"/>
        <v>159.04043363908733</v>
      </c>
      <c r="Q177" s="21">
        <f>(N177-Geraetedaten!$B$161)/(Geraetedaten!$B$174-Geraetedaten!$B$161)*(Geraetedaten!$B$175-Geraetedaten!$B$162)+Geraetedaten!$B$162</f>
        <v>24.035021845060619</v>
      </c>
      <c r="R177" s="21">
        <f t="shared" si="144"/>
        <v>24.035021845060619</v>
      </c>
      <c r="S177" s="21">
        <f t="shared" si="145"/>
        <v>16.082568741033818</v>
      </c>
      <c r="T177" s="88">
        <f t="shared" si="146"/>
        <v>-17.861502114392927</v>
      </c>
      <c r="U177" s="86">
        <f t="shared" si="147"/>
        <v>-4237.3064400000003</v>
      </c>
      <c r="V177" s="85">
        <f t="shared" si="148"/>
        <v>-1141.3067828769733</v>
      </c>
      <c r="W177" s="85">
        <f t="shared" si="149"/>
        <v>-1708.9702534639141</v>
      </c>
      <c r="X177" s="90">
        <f t="shared" si="150"/>
        <v>1141.3067828769733</v>
      </c>
      <c r="Y177" s="86">
        <f t="shared" si="151"/>
        <v>11285.85262</v>
      </c>
      <c r="Z177" s="85">
        <f t="shared" si="152"/>
        <v>-750</v>
      </c>
      <c r="AA177" s="85">
        <f t="shared" si="153"/>
        <v>1009.2245472047821</v>
      </c>
      <c r="AB177" s="90">
        <f t="shared" si="154"/>
        <v>750</v>
      </c>
      <c r="AC177" s="86">
        <f t="shared" si="155"/>
        <v>4047.6075999999998</v>
      </c>
      <c r="AD177" s="85">
        <f t="shared" si="156"/>
        <v>1055.7627565116984</v>
      </c>
      <c r="AE177" s="85">
        <f t="shared" si="157"/>
        <v>1576.032090601728</v>
      </c>
      <c r="AF177" s="90">
        <f t="shared" si="158"/>
        <v>1055.7627565116984</v>
      </c>
      <c r="AG177" s="86">
        <f t="shared" si="159"/>
        <v>-11981.278679999999</v>
      </c>
      <c r="AH177" s="85">
        <f t="shared" si="160"/>
        <v>6128</v>
      </c>
      <c r="AI177" s="85">
        <f t="shared" si="161"/>
        <v>-8246.0373670278732</v>
      </c>
      <c r="AJ177" s="90">
        <f t="shared" si="162"/>
        <v>6128</v>
      </c>
      <c r="AL177" s="95">
        <f t="shared" si="163"/>
        <v>0</v>
      </c>
      <c r="AM177" s="95">
        <f t="shared" si="164"/>
        <v>0</v>
      </c>
      <c r="AN177" s="95">
        <f t="shared" si="165"/>
        <v>0</v>
      </c>
      <c r="AO177" s="95">
        <f t="shared" si="166"/>
        <v>0</v>
      </c>
      <c r="AP177"/>
      <c r="AQ177" s="95">
        <f t="shared" si="167"/>
        <v>0</v>
      </c>
      <c r="AR177" s="95">
        <f t="shared" si="168"/>
        <v>0</v>
      </c>
      <c r="AS177" s="95">
        <f>Geraetedaten!$B$94*ABS(SIN(RADIANS($A177)))</f>
        <v>103.04611337926418</v>
      </c>
      <c r="AT177" s="95">
        <f>Geraetedaten!$B$94*ABS(COS(RADIANS($A177)))</f>
        <v>114.44430312351868</v>
      </c>
      <c r="AU177" s="95">
        <f>((h_Aw_Sw+Geraetedaten!$B$18)/1000)*(AQ177*AS177+AR177*AT177)/100</f>
        <v>0</v>
      </c>
    </row>
    <row r="178" spans="1:47" ht="13.5" x14ac:dyDescent="0.25">
      <c r="A178" s="16">
        <v>139</v>
      </c>
      <c r="B178" s="16">
        <f t="shared" si="136"/>
        <v>311</v>
      </c>
      <c r="C178" s="19">
        <f t="shared" si="137"/>
        <v>64.292471825590184</v>
      </c>
      <c r="D178" s="17">
        <f t="shared" si="138"/>
        <v>-4386.3250418255902</v>
      </c>
      <c r="E178" s="17">
        <f t="shared" si="139"/>
        <v>11048.621948174408</v>
      </c>
      <c r="F178" s="17">
        <f t="shared" si="140"/>
        <v>4063.7944081744095</v>
      </c>
      <c r="G178" s="17">
        <f t="shared" si="141"/>
        <v>-11861.97662182559</v>
      </c>
      <c r="H178" s="17">
        <f t="shared" si="169"/>
        <v>4063.7944081744095</v>
      </c>
      <c r="I178" s="17">
        <f t="shared" si="142"/>
        <v>1607.3686095910314</v>
      </c>
      <c r="J178" s="20">
        <f>(Geraetedaten!$B$152+(Geraetedaten!$B$153*(Geraetedaten!$B$18+d_y_Sw)/1000))*10</f>
        <v>6051.0442000000003</v>
      </c>
      <c r="K178" s="20">
        <f>(Geraetedaten!$B$165+(Geraetedaten!$B$166*(Geraetedaten!$B$18+d_y_Sw)/1000))*10</f>
        <v>10816.164000000001</v>
      </c>
      <c r="L178" s="20">
        <f>(Geraetedaten!$B$158+(Geraetedaten!$B$159*(Geraetedaten!$B$18+d_y_Sw)/1000)-(Geraetedaten!$B$160*I178/1000))*10</f>
        <v>483.66825985868945</v>
      </c>
      <c r="M178" s="20">
        <f>(Geraetedaten!$B$171+(Geraetedaten!$B$172*(Geraetedaten!$B$18+d_y_Sw)/1000)-(Geraetedaten!$B$173*I178/1000))*10</f>
        <v>945.21448070204451</v>
      </c>
      <c r="N178" s="20">
        <f>IF((H178-J178)/(K178-J178)*(Geraetedaten!$B$174-Geraetedaten!$B$161)&lt;Geraetedaten!$B$174,(H178-J178)/(K178-J178)*(Geraetedaten!$B$174-Geraetedaten!$B$161),Geraetedaten!$B$174)</f>
        <v>-166.81635511666175</v>
      </c>
      <c r="O178" s="20">
        <f>N178/Geraetedaten!$B$174*(M178-L178)+L178+C178</f>
        <v>355.47708598688382</v>
      </c>
      <c r="P178" s="20">
        <f t="shared" si="143"/>
        <v>160.12569510774847</v>
      </c>
      <c r="Q178" s="21">
        <f>(N178-Geraetedaten!$B$161)/(Geraetedaten!$B$174-Geraetedaten!$B$161)*(Geraetedaten!$B$175-Geraetedaten!$B$162)+Geraetedaten!$B$162</f>
        <v>24.237213435279312</v>
      </c>
      <c r="R178" s="21">
        <f t="shared" si="144"/>
        <v>24.237213435279312</v>
      </c>
      <c r="S178" s="21">
        <f t="shared" si="145"/>
        <v>15.901042711785022</v>
      </c>
      <c r="T178" s="88">
        <f t="shared" si="146"/>
        <v>-18.292057177509381</v>
      </c>
      <c r="U178" s="86">
        <f t="shared" si="147"/>
        <v>-4322.0325700000003</v>
      </c>
      <c r="V178" s="85">
        <f t="shared" si="148"/>
        <v>-1141.3067828769733</v>
      </c>
      <c r="W178" s="85">
        <f t="shared" si="149"/>
        <v>-1743.1415892056009</v>
      </c>
      <c r="X178" s="90">
        <f t="shared" si="150"/>
        <v>1141.3067828769733</v>
      </c>
      <c r="Y178" s="86">
        <f t="shared" si="151"/>
        <v>11112.914419999999</v>
      </c>
      <c r="Z178" s="85">
        <f t="shared" si="152"/>
        <v>-750</v>
      </c>
      <c r="AA178" s="85">
        <f t="shared" si="153"/>
        <v>993.75974501160852</v>
      </c>
      <c r="AB178" s="90">
        <f t="shared" si="154"/>
        <v>750</v>
      </c>
      <c r="AC178" s="86">
        <f t="shared" si="155"/>
        <v>4128.0868799999998</v>
      </c>
      <c r="AD178" s="85">
        <f t="shared" si="156"/>
        <v>1055.7627565116984</v>
      </c>
      <c r="AE178" s="85">
        <f t="shared" si="157"/>
        <v>1607.3686095910314</v>
      </c>
      <c r="AF178" s="90">
        <f t="shared" si="158"/>
        <v>1055.7627565116984</v>
      </c>
      <c r="AG178" s="86">
        <f t="shared" si="159"/>
        <v>-11797.684149999999</v>
      </c>
      <c r="AH178" s="85">
        <f t="shared" si="160"/>
        <v>6128</v>
      </c>
      <c r="AI178" s="85">
        <f t="shared" si="161"/>
        <v>-8119.6796232415154</v>
      </c>
      <c r="AJ178" s="90">
        <f t="shared" si="162"/>
        <v>6128</v>
      </c>
      <c r="AL178" s="95">
        <f t="shared" si="163"/>
        <v>0</v>
      </c>
      <c r="AM178" s="95">
        <f t="shared" si="164"/>
        <v>0</v>
      </c>
      <c r="AN178" s="95">
        <f t="shared" si="165"/>
        <v>0</v>
      </c>
      <c r="AO178" s="95">
        <f t="shared" si="166"/>
        <v>0</v>
      </c>
      <c r="AP178"/>
      <c r="AQ178" s="95">
        <f t="shared" si="167"/>
        <v>0</v>
      </c>
      <c r="AR178" s="95">
        <f t="shared" si="168"/>
        <v>0</v>
      </c>
      <c r="AS178" s="95">
        <f>Geraetedaten!$B$94*ABS(SIN(RADIANS($A178)))</f>
        <v>101.03309046453812</v>
      </c>
      <c r="AT178" s="95">
        <f>Geraetedaten!$B$94*ABS(COS(RADIANS($A178)))</f>
        <v>116.22527535430689</v>
      </c>
      <c r="AU178" s="95">
        <f>((h_Aw_Sw+Geraetedaten!$B$18)/1000)*(AQ178*AS178+AR178*AT178)/100</f>
        <v>0</v>
      </c>
    </row>
    <row r="179" spans="1:47" ht="13.5" x14ac:dyDescent="0.25">
      <c r="A179" s="16">
        <v>140</v>
      </c>
      <c r="B179" s="16">
        <f t="shared" si="136"/>
        <v>310</v>
      </c>
      <c r="C179" s="19">
        <f t="shared" si="137"/>
        <v>63.788541670094311</v>
      </c>
      <c r="D179" s="17">
        <f t="shared" si="138"/>
        <v>-4475.3758316700951</v>
      </c>
      <c r="E179" s="17">
        <f t="shared" si="139"/>
        <v>10884.692388329906</v>
      </c>
      <c r="F179" s="17">
        <f t="shared" si="140"/>
        <v>4149.3523183299058</v>
      </c>
      <c r="G179" s="17">
        <f t="shared" si="141"/>
        <v>-11686.906931670093</v>
      </c>
      <c r="H179" s="17">
        <f t="shared" si="169"/>
        <v>4149.3523183299058</v>
      </c>
      <c r="I179" s="17">
        <f t="shared" si="142"/>
        <v>1640.4863926774399</v>
      </c>
      <c r="J179" s="20">
        <f>(Geraetedaten!$B$152+(Geraetedaten!$B$153*(Geraetedaten!$B$18+d_y_Sw)/1000))*10</f>
        <v>6051.0442000000003</v>
      </c>
      <c r="K179" s="20">
        <f>(Geraetedaten!$B$165+(Geraetedaten!$B$166*(Geraetedaten!$B$18+d_y_Sw)/1000))*10</f>
        <v>10816.164000000001</v>
      </c>
      <c r="L179" s="20">
        <f>(Geraetedaten!$B$158+(Geraetedaten!$B$159*(Geraetedaten!$B$18+d_y_Sw)/1000)-(Geraetedaten!$B$160*I179/1000))*10</f>
        <v>481.23973282496308</v>
      </c>
      <c r="M179" s="20">
        <f>(Geraetedaten!$B$171+(Geraetedaten!$B$172*(Geraetedaten!$B$18+d_y_Sw)/1000)-(Geraetedaten!$B$173*I179/1000))*10</f>
        <v>942.74919292909226</v>
      </c>
      <c r="N179" s="20">
        <f>IF((H179-J179)/(K179-J179)*(Geraetedaten!$B$174-Geraetedaten!$B$161)&lt;Geraetedaten!$B$174,(H179-J179)/(K179-J179)*(Geraetedaten!$B$174-Geraetedaten!$B$161),Geraetedaten!$B$174)</f>
        <v>-159.63433965879256</v>
      </c>
      <c r="O179" s="20">
        <f>N179/Geraetedaten!$B$174*(M179-L179)+L179+C179</f>
        <v>360.84637972003611</v>
      </c>
      <c r="P179" s="20">
        <f t="shared" si="143"/>
        <v>161.25775016049045</v>
      </c>
      <c r="Q179" s="21">
        <f>(N179-Geraetedaten!$B$161)/(Geraetedaten!$B$174-Geraetedaten!$B$161)*(Geraetedaten!$B$175-Geraetedaten!$B$162)+Geraetedaten!$B$162</f>
        <v>24.450878395150919</v>
      </c>
      <c r="R179" s="21">
        <f t="shared" si="144"/>
        <v>24.450878395150919</v>
      </c>
      <c r="S179" s="21">
        <f t="shared" si="145"/>
        <v>15.716721678355309</v>
      </c>
      <c r="T179" s="88">
        <f t="shared" si="146"/>
        <v>-18.730459523983235</v>
      </c>
      <c r="U179" s="86">
        <f t="shared" si="147"/>
        <v>-4411.5872900000004</v>
      </c>
      <c r="V179" s="85">
        <f t="shared" si="148"/>
        <v>-1141.3067828769733</v>
      </c>
      <c r="W179" s="85">
        <f t="shared" si="149"/>
        <v>-1779.2603754409995</v>
      </c>
      <c r="X179" s="90">
        <f t="shared" si="150"/>
        <v>1141.3067828769733</v>
      </c>
      <c r="Y179" s="86">
        <f t="shared" si="151"/>
        <v>10948.48093</v>
      </c>
      <c r="Z179" s="85">
        <f t="shared" si="152"/>
        <v>-750</v>
      </c>
      <c r="AA179" s="85">
        <f t="shared" si="153"/>
        <v>979.05546699920899</v>
      </c>
      <c r="AB179" s="90">
        <f t="shared" si="154"/>
        <v>750</v>
      </c>
      <c r="AC179" s="86">
        <f t="shared" si="155"/>
        <v>4213.1408600000004</v>
      </c>
      <c r="AD179" s="85">
        <f t="shared" si="156"/>
        <v>1055.7627565116984</v>
      </c>
      <c r="AE179" s="85">
        <f t="shared" si="157"/>
        <v>1640.4863926774399</v>
      </c>
      <c r="AF179" s="90">
        <f t="shared" si="158"/>
        <v>1055.7627565116984</v>
      </c>
      <c r="AG179" s="86">
        <f t="shared" si="159"/>
        <v>-11623.11839</v>
      </c>
      <c r="AH179" s="85">
        <f t="shared" si="160"/>
        <v>6128</v>
      </c>
      <c r="AI179" s="85">
        <f t="shared" si="161"/>
        <v>-7999.5358690282037</v>
      </c>
      <c r="AJ179" s="90">
        <f t="shared" si="162"/>
        <v>6128</v>
      </c>
      <c r="AL179" s="95">
        <f t="shared" si="163"/>
        <v>0</v>
      </c>
      <c r="AM179" s="95">
        <f t="shared" si="164"/>
        <v>0</v>
      </c>
      <c r="AN179" s="95">
        <f t="shared" si="165"/>
        <v>0</v>
      </c>
      <c r="AO179" s="95">
        <f t="shared" si="166"/>
        <v>0</v>
      </c>
      <c r="AP179"/>
      <c r="AQ179" s="95">
        <f t="shared" si="167"/>
        <v>0</v>
      </c>
      <c r="AR179" s="95">
        <f t="shared" si="168"/>
        <v>0</v>
      </c>
      <c r="AS179" s="95">
        <f>Geraetedaten!$B$94*ABS(SIN(RADIANS($A179)))</f>
        <v>98.989291891727078</v>
      </c>
      <c r="AT179" s="95">
        <f>Geraetedaten!$B$94*ABS(COS(RADIANS($A179)))</f>
        <v>117.97084424032259</v>
      </c>
      <c r="AU179" s="95">
        <f>((h_Aw_Sw+Geraetedaten!$B$18)/1000)*(AQ179*AS179+AR179*AT179)/100</f>
        <v>0</v>
      </c>
    </row>
    <row r="180" spans="1:47" ht="13.5" x14ac:dyDescent="0.25">
      <c r="A180" s="16">
        <v>141</v>
      </c>
      <c r="B180" s="16">
        <f t="shared" si="136"/>
        <v>309</v>
      </c>
      <c r="C180" s="19">
        <f t="shared" si="137"/>
        <v>63.265180906872246</v>
      </c>
      <c r="D180" s="17">
        <f t="shared" si="138"/>
        <v>-4569.5986809068718</v>
      </c>
      <c r="E180" s="17">
        <f t="shared" si="139"/>
        <v>10728.816859093127</v>
      </c>
      <c r="F180" s="17">
        <f t="shared" si="140"/>
        <v>4239.8465790931277</v>
      </c>
      <c r="G180" s="17">
        <f t="shared" si="141"/>
        <v>-11520.347500906872</v>
      </c>
      <c r="H180" s="17">
        <f t="shared" si="169"/>
        <v>4239.8465790931277</v>
      </c>
      <c r="I180" s="17">
        <f t="shared" si="142"/>
        <v>1675.5187008264759</v>
      </c>
      <c r="J180" s="20">
        <f>(Geraetedaten!$B$152+(Geraetedaten!$B$153*(Geraetedaten!$B$18+d_y_Sw)/1000))*10</f>
        <v>6051.0442000000003</v>
      </c>
      <c r="K180" s="20">
        <f>(Geraetedaten!$B$165+(Geraetedaten!$B$166*(Geraetedaten!$B$18+d_y_Sw)/1000))*10</f>
        <v>10816.164000000001</v>
      </c>
      <c r="L180" s="20">
        <f>(Geraetedaten!$B$158+(Geraetedaten!$B$159*(Geraetedaten!$B$18+d_y_Sw)/1000)-(Geraetedaten!$B$160*I180/1000))*10</f>
        <v>478.67081366839432</v>
      </c>
      <c r="M180" s="20">
        <f>(Geraetedaten!$B$171+(Geraetedaten!$B$172*(Geraetedaten!$B$18+d_y_Sw)/1000)-(Geraetedaten!$B$173*I180/1000))*10</f>
        <v>940.1413879104781</v>
      </c>
      <c r="N180" s="20">
        <f>IF((H180-J180)/(K180-J180)*(Geraetedaten!$B$174-Geraetedaten!$B$161)&lt;Geraetedaten!$B$174,(H180-J180)/(K180-J180)*(Geraetedaten!$B$174-Geraetedaten!$B$161),Geraetedaten!$B$174)</f>
        <v>-152.03795051758172</v>
      </c>
      <c r="O180" s="20">
        <f>N180/Geraetedaten!$B$174*(M180-L180)+L180+C180</f>
        <v>366.53339374542168</v>
      </c>
      <c r="P180" s="20">
        <f t="shared" si="143"/>
        <v>162.43932318406473</v>
      </c>
      <c r="Q180" s="21">
        <f>(N180-Geraetedaten!$B$161)/(Geraetedaten!$B$174-Geraetedaten!$B$161)*(Geraetedaten!$B$175-Geraetedaten!$B$162)+Geraetedaten!$B$162</f>
        <v>24.676870972101945</v>
      </c>
      <c r="R180" s="21">
        <f t="shared" si="144"/>
        <v>24.676870972101945</v>
      </c>
      <c r="S180" s="21">
        <f t="shared" si="145"/>
        <v>15.529658090049576</v>
      </c>
      <c r="T180" s="88">
        <f t="shared" si="146"/>
        <v>-19.177530617363782</v>
      </c>
      <c r="U180" s="86">
        <f t="shared" si="147"/>
        <v>-4506.3334999999997</v>
      </c>
      <c r="V180" s="85">
        <f t="shared" si="148"/>
        <v>-1141.3067828769733</v>
      </c>
      <c r="W180" s="85">
        <f t="shared" si="149"/>
        <v>-1817.4729657280147</v>
      </c>
      <c r="X180" s="90">
        <f t="shared" si="150"/>
        <v>1141.3067828769733</v>
      </c>
      <c r="Y180" s="86">
        <f t="shared" si="151"/>
        <v>10792.082039999999</v>
      </c>
      <c r="Z180" s="85">
        <f t="shared" si="152"/>
        <v>-750</v>
      </c>
      <c r="AA180" s="85">
        <f t="shared" si="153"/>
        <v>965.06967441987547</v>
      </c>
      <c r="AB180" s="90">
        <f t="shared" si="154"/>
        <v>750</v>
      </c>
      <c r="AC180" s="86">
        <f t="shared" si="155"/>
        <v>4303.1117599999998</v>
      </c>
      <c r="AD180" s="85">
        <f t="shared" si="156"/>
        <v>1055.7627565116984</v>
      </c>
      <c r="AE180" s="85">
        <f t="shared" si="157"/>
        <v>1675.5187008264759</v>
      </c>
      <c r="AF180" s="90">
        <f t="shared" si="158"/>
        <v>1055.7627565116984</v>
      </c>
      <c r="AG180" s="86">
        <f t="shared" si="159"/>
        <v>-11457.08232</v>
      </c>
      <c r="AH180" s="85">
        <f t="shared" si="160"/>
        <v>6128</v>
      </c>
      <c r="AI180" s="85">
        <f t="shared" si="161"/>
        <v>-7885.2626197933296</v>
      </c>
      <c r="AJ180" s="90">
        <f t="shared" si="162"/>
        <v>6128</v>
      </c>
      <c r="AL180" s="95">
        <f t="shared" si="163"/>
        <v>0</v>
      </c>
      <c r="AM180" s="95">
        <f t="shared" si="164"/>
        <v>0</v>
      </c>
      <c r="AN180" s="95">
        <f t="shared" si="165"/>
        <v>0</v>
      </c>
      <c r="AO180" s="95">
        <f t="shared" si="166"/>
        <v>0</v>
      </c>
      <c r="AP180"/>
      <c r="AQ180" s="95">
        <f t="shared" si="167"/>
        <v>0</v>
      </c>
      <c r="AR180" s="95">
        <f t="shared" si="168"/>
        <v>0</v>
      </c>
      <c r="AS180" s="95">
        <f>Geraetedaten!$B$94*ABS(SIN(RADIANS($A180)))</f>
        <v>96.915340221674953</v>
      </c>
      <c r="AT180" s="95">
        <f>Geraetedaten!$B$94*ABS(COS(RADIANS($A180)))</f>
        <v>119.68047806437352</v>
      </c>
      <c r="AU180" s="95">
        <f>((h_Aw_Sw+Geraetedaten!$B$18)/1000)*(AQ180*AS180+AR180*AT180)/100</f>
        <v>0</v>
      </c>
    </row>
    <row r="181" spans="1:47" ht="13.5" x14ac:dyDescent="0.25">
      <c r="A181" s="16">
        <v>142</v>
      </c>
      <c r="B181" s="16">
        <f t="shared" si="136"/>
        <v>308</v>
      </c>
      <c r="C181" s="19">
        <f t="shared" si="137"/>
        <v>62.722548956682395</v>
      </c>
      <c r="D181" s="17">
        <f t="shared" si="138"/>
        <v>-4669.3952889566826</v>
      </c>
      <c r="E181" s="17">
        <f t="shared" si="139"/>
        <v>10580.562381043317</v>
      </c>
      <c r="F181" s="17">
        <f t="shared" si="140"/>
        <v>4335.6556210433173</v>
      </c>
      <c r="G181" s="17">
        <f t="shared" si="141"/>
        <v>-11361.838978956683</v>
      </c>
      <c r="H181" s="17">
        <f t="shared" si="169"/>
        <v>4335.6556210433173</v>
      </c>
      <c r="I181" s="17">
        <f t="shared" si="142"/>
        <v>1712.6129375766654</v>
      </c>
      <c r="J181" s="20">
        <f>(Geraetedaten!$B$152+(Geraetedaten!$B$153*(Geraetedaten!$B$18+d_y_Sw)/1000))*10</f>
        <v>6051.0442000000003</v>
      </c>
      <c r="K181" s="20">
        <f>(Geraetedaten!$B$165+(Geraetedaten!$B$166*(Geraetedaten!$B$18+d_y_Sw)/1000))*10</f>
        <v>10816.164000000001</v>
      </c>
      <c r="L181" s="20">
        <f>(Geraetedaten!$B$158+(Geraetedaten!$B$159*(Geraetedaten!$B$18+d_y_Sw)/1000)-(Geraetedaten!$B$160*I181/1000))*10</f>
        <v>475.95069328750287</v>
      </c>
      <c r="M181" s="20">
        <f>(Geraetedaten!$B$171+(Geraetedaten!$B$172*(Geraetedaten!$B$18+d_y_Sw)/1000)-(Geraetedaten!$B$173*I181/1000))*10</f>
        <v>937.38009292679396</v>
      </c>
      <c r="N181" s="20">
        <f>IF((H181-J181)/(K181-J181)*(Geraetedaten!$B$174-Geraetedaten!$B$161)&lt;Geraetedaten!$B$174,(H181-J181)/(K181-J181)*(Geraetedaten!$B$174-Geraetedaten!$B$161),Geraetedaten!$B$174)</f>
        <v>-143.99542097192878</v>
      </c>
      <c r="O181" s="20">
        <f>N181/Geraetedaten!$B$174*(M181-L181)+L181+C181</f>
        <v>372.56394061947503</v>
      </c>
      <c r="P181" s="20">
        <f t="shared" si="143"/>
        <v>163.67331428983502</v>
      </c>
      <c r="Q181" s="21">
        <f>(N181-Geraetedaten!$B$161)/(Geraetedaten!$B$174-Geraetedaten!$B$161)*(Geraetedaten!$B$175-Geraetedaten!$B$162)+Geraetedaten!$B$162</f>
        <v>24.916136226085115</v>
      </c>
      <c r="R181" s="21">
        <f t="shared" si="144"/>
        <v>24.916136226085115</v>
      </c>
      <c r="S181" s="21">
        <f t="shared" si="145"/>
        <v>15.339905188366645</v>
      </c>
      <c r="T181" s="88">
        <f t="shared" si="146"/>
        <v>-19.634183284485076</v>
      </c>
      <c r="U181" s="86">
        <f t="shared" si="147"/>
        <v>-4606.67274</v>
      </c>
      <c r="V181" s="85">
        <f t="shared" si="148"/>
        <v>-1141.3067828769733</v>
      </c>
      <c r="W181" s="85">
        <f t="shared" si="149"/>
        <v>-1857.941307451998</v>
      </c>
      <c r="X181" s="90">
        <f t="shared" si="150"/>
        <v>1141.3067828769733</v>
      </c>
      <c r="Y181" s="86">
        <f t="shared" si="151"/>
        <v>10643.28493</v>
      </c>
      <c r="Z181" s="85">
        <f t="shared" si="152"/>
        <v>-750</v>
      </c>
      <c r="AA181" s="85">
        <f t="shared" si="153"/>
        <v>951.76366130443409</v>
      </c>
      <c r="AB181" s="90">
        <f t="shared" si="154"/>
        <v>750</v>
      </c>
      <c r="AC181" s="86">
        <f t="shared" si="155"/>
        <v>4398.37817</v>
      </c>
      <c r="AD181" s="85">
        <f t="shared" si="156"/>
        <v>1055.7627565116984</v>
      </c>
      <c r="AE181" s="85">
        <f t="shared" si="157"/>
        <v>1712.6129375766654</v>
      </c>
      <c r="AF181" s="90">
        <f t="shared" si="158"/>
        <v>1055.7627565116984</v>
      </c>
      <c r="AG181" s="86">
        <f t="shared" si="159"/>
        <v>-11299.11643</v>
      </c>
      <c r="AH181" s="85">
        <f t="shared" si="160"/>
        <v>6128</v>
      </c>
      <c r="AI181" s="85">
        <f t="shared" si="161"/>
        <v>-7776.5436219647627</v>
      </c>
      <c r="AJ181" s="90">
        <f t="shared" si="162"/>
        <v>6128</v>
      </c>
      <c r="AL181" s="95">
        <f t="shared" si="163"/>
        <v>0</v>
      </c>
      <c r="AM181" s="95">
        <f t="shared" si="164"/>
        <v>0</v>
      </c>
      <c r="AN181" s="95">
        <f t="shared" si="165"/>
        <v>0</v>
      </c>
      <c r="AO181" s="95">
        <f t="shared" si="166"/>
        <v>0</v>
      </c>
      <c r="AP181"/>
      <c r="AQ181" s="95">
        <f t="shared" si="167"/>
        <v>0</v>
      </c>
      <c r="AR181" s="95">
        <f t="shared" si="168"/>
        <v>0</v>
      </c>
      <c r="AS181" s="95">
        <f>Geraetedaten!$B$94*ABS(SIN(RADIANS($A181)))</f>
        <v>94.811867200151397</v>
      </c>
      <c r="AT181" s="95">
        <f>Geraetedaten!$B$94*ABS(COS(RADIANS($A181)))</f>
        <v>121.35365605543517</v>
      </c>
      <c r="AU181" s="95">
        <f>((h_Aw_Sw+Geraetedaten!$B$18)/1000)*(AQ181*AS181+AR181*AT181)/100</f>
        <v>0</v>
      </c>
    </row>
    <row r="182" spans="1:47" ht="13.5" x14ac:dyDescent="0.25">
      <c r="A182" s="16">
        <v>143</v>
      </c>
      <c r="B182" s="16">
        <f t="shared" si="136"/>
        <v>307</v>
      </c>
      <c r="C182" s="19">
        <f t="shared" si="137"/>
        <v>62.160811110473347</v>
      </c>
      <c r="D182" s="17">
        <f t="shared" si="138"/>
        <v>-4775.2112411104736</v>
      </c>
      <c r="E182" s="17">
        <f t="shared" si="139"/>
        <v>10439.529718889526</v>
      </c>
      <c r="F182" s="17">
        <f t="shared" si="140"/>
        <v>4437.1990388895265</v>
      </c>
      <c r="G182" s="17">
        <f t="shared" si="141"/>
        <v>-11210.957911110474</v>
      </c>
      <c r="H182" s="17">
        <f t="shared" si="169"/>
        <v>4437.1990388895265</v>
      </c>
      <c r="I182" s="17">
        <f t="shared" si="142"/>
        <v>1751.9325529530358</v>
      </c>
      <c r="J182" s="20">
        <f>(Geraetedaten!$B$152+(Geraetedaten!$B$153*(Geraetedaten!$B$18+d_y_Sw)/1000))*10</f>
        <v>6051.0442000000003</v>
      </c>
      <c r="K182" s="20">
        <f>(Geraetedaten!$B$165+(Geraetedaten!$B$166*(Geraetedaten!$B$18+d_y_Sw)/1000))*10</f>
        <v>10816.164000000001</v>
      </c>
      <c r="L182" s="20">
        <f>(Geraetedaten!$B$158+(Geraetedaten!$B$159*(Geraetedaten!$B$18+d_y_Sw)/1000)-(Geraetedaten!$B$160*I182/1000))*10</f>
        <v>473.06738589195362</v>
      </c>
      <c r="M182" s="20">
        <f>(Geraetedaten!$B$171+(Geraetedaten!$B$172*(Geraetedaten!$B$18+d_y_Sw)/1000)-(Geraetedaten!$B$173*I182/1000))*10</f>
        <v>934.45314075817691</v>
      </c>
      <c r="N182" s="20">
        <f>IF((H182-J182)/(K182-J182)*(Geraetedaten!$B$174-Geraetedaten!$B$161)&lt;Geraetedaten!$B$174,(H182-J182)/(K182-J182)*(Geraetedaten!$B$174-Geraetedaten!$B$161),Geraetedaten!$B$174)</f>
        <v>-135.47152884680665</v>
      </c>
      <c r="O182" s="20">
        <f>N182/Geraetedaten!$B$174*(M182-L182)+L182+C182</f>
        <v>378.96661300276389</v>
      </c>
      <c r="P182" s="20">
        <f t="shared" si="143"/>
        <v>164.96280994805974</v>
      </c>
      <c r="Q182" s="21">
        <f>(N182-Geraetedaten!$B$161)/(Geraetedaten!$B$174-Geraetedaten!$B$161)*(Geraetedaten!$B$175-Geraetedaten!$B$162)+Geraetedaten!$B$162</f>
        <v>25.169722016807501</v>
      </c>
      <c r="R182" s="21">
        <f t="shared" si="144"/>
        <v>25.169722016807501</v>
      </c>
      <c r="S182" s="21">
        <f t="shared" si="145"/>
        <v>15.147516838275623</v>
      </c>
      <c r="T182" s="88">
        <f t="shared" si="146"/>
        <v>-20.101433780641639</v>
      </c>
      <c r="U182" s="86">
        <f t="shared" si="147"/>
        <v>-4713.0504300000002</v>
      </c>
      <c r="V182" s="85">
        <f t="shared" si="148"/>
        <v>-1141.3067828769733</v>
      </c>
      <c r="W182" s="85">
        <f t="shared" si="149"/>
        <v>-1900.8450502424723</v>
      </c>
      <c r="X182" s="90">
        <f t="shared" si="150"/>
        <v>1141.3067828769733</v>
      </c>
      <c r="Y182" s="86">
        <f t="shared" si="151"/>
        <v>10501.69053</v>
      </c>
      <c r="Z182" s="85">
        <f t="shared" si="152"/>
        <v>-750</v>
      </c>
      <c r="AA182" s="85">
        <f t="shared" si="153"/>
        <v>939.10174361716929</v>
      </c>
      <c r="AB182" s="90">
        <f t="shared" si="154"/>
        <v>750</v>
      </c>
      <c r="AC182" s="86">
        <f t="shared" si="155"/>
        <v>4499.3598499999998</v>
      </c>
      <c r="AD182" s="85">
        <f t="shared" si="156"/>
        <v>1055.7627565116984</v>
      </c>
      <c r="AE182" s="85">
        <f t="shared" si="157"/>
        <v>1751.9325529530358</v>
      </c>
      <c r="AF182" s="90">
        <f t="shared" si="158"/>
        <v>1055.7627565116984</v>
      </c>
      <c r="AG182" s="86">
        <f t="shared" si="159"/>
        <v>-11148.7971</v>
      </c>
      <c r="AH182" s="85">
        <f t="shared" si="160"/>
        <v>6128</v>
      </c>
      <c r="AI182" s="85">
        <f t="shared" si="161"/>
        <v>-7673.0873131813514</v>
      </c>
      <c r="AJ182" s="90">
        <f t="shared" si="162"/>
        <v>6128</v>
      </c>
      <c r="AL182" s="95">
        <f t="shared" si="163"/>
        <v>0</v>
      </c>
      <c r="AM182" s="95">
        <f t="shared" si="164"/>
        <v>0</v>
      </c>
      <c r="AN182" s="95">
        <f t="shared" si="165"/>
        <v>0</v>
      </c>
      <c r="AO182" s="95">
        <f t="shared" si="166"/>
        <v>0</v>
      </c>
      <c r="AP182"/>
      <c r="AQ182" s="95">
        <f t="shared" si="167"/>
        <v>0</v>
      </c>
      <c r="AR182" s="95">
        <f t="shared" si="168"/>
        <v>0</v>
      </c>
      <c r="AS182" s="95">
        <f>Geraetedaten!$B$94*ABS(SIN(RADIANS($A182)))</f>
        <v>92.679513565415419</v>
      </c>
      <c r="AT182" s="95">
        <f>Geraetedaten!$B$94*ABS(COS(RADIANS($A182)))</f>
        <v>122.98986854728311</v>
      </c>
      <c r="AU182" s="95">
        <f>((h_Aw_Sw+Geraetedaten!$B$18)/1000)*(AQ182*AS182+AR182*AT182)/100</f>
        <v>0</v>
      </c>
    </row>
    <row r="183" spans="1:47" ht="13.5" x14ac:dyDescent="0.25">
      <c r="A183" s="16">
        <v>144</v>
      </c>
      <c r="B183" s="16">
        <f t="shared" si="136"/>
        <v>306</v>
      </c>
      <c r="C183" s="19">
        <f t="shared" si="137"/>
        <v>61.580138479034765</v>
      </c>
      <c r="D183" s="17">
        <f t="shared" si="138"/>
        <v>-4887.5421384790352</v>
      </c>
      <c r="E183" s="17">
        <f t="shared" si="139"/>
        <v>10305.350391520964</v>
      </c>
      <c r="F183" s="17">
        <f t="shared" si="140"/>
        <v>4544.9433715209652</v>
      </c>
      <c r="G183" s="17">
        <f t="shared" si="141"/>
        <v>-11067.313408479036</v>
      </c>
      <c r="H183" s="17">
        <f t="shared" si="169"/>
        <v>4544.9433715209652</v>
      </c>
      <c r="I183" s="17">
        <f t="shared" si="142"/>
        <v>1793.6592643908682</v>
      </c>
      <c r="J183" s="20">
        <f>(Geraetedaten!$B$152+(Geraetedaten!$B$153*(Geraetedaten!$B$18+d_y_Sw)/1000))*10</f>
        <v>6051.0442000000003</v>
      </c>
      <c r="K183" s="20">
        <f>(Geraetedaten!$B$165+(Geraetedaten!$B$166*(Geraetedaten!$B$18+d_y_Sw)/1000))*10</f>
        <v>10816.164000000001</v>
      </c>
      <c r="L183" s="20">
        <f>(Geraetedaten!$B$158+(Geraetedaten!$B$159*(Geraetedaten!$B$18+d_y_Sw)/1000)-(Geraetedaten!$B$160*I183/1000))*10</f>
        <v>470.00756614221746</v>
      </c>
      <c r="M183" s="20">
        <f>(Geraetedaten!$B$171+(Geraetedaten!$B$172*(Geraetedaten!$B$18+d_y_Sw)/1000)-(Geraetedaten!$B$173*I183/1000))*10</f>
        <v>931.3470043587447</v>
      </c>
      <c r="N183" s="20">
        <f>IF((H183-J183)/(K183-J183)*(Geraetedaten!$B$174-Geraetedaten!$B$161)&lt;Geraetedaten!$B$174,(H183-J183)/(K183-J183)*(Geraetedaten!$B$174-Geraetedaten!$B$161),Geraetedaten!$B$174)</f>
        <v>-126.42711131661663</v>
      </c>
      <c r="O183" s="20">
        <f>N183/Geraetedaten!$B$174*(M183-L183)+L183+C183</f>
        <v>385.77317334588656</v>
      </c>
      <c r="P183" s="20">
        <f t="shared" si="143"/>
        <v>166.31109898911097</v>
      </c>
      <c r="Q183" s="21">
        <f>(N183-Geraetedaten!$B$161)/(Geraetedaten!$B$174-Geraetedaten!$B$161)*(Geraetedaten!$B$175-Geraetedaten!$B$162)+Geraetedaten!$B$162</f>
        <v>25.438793438330652</v>
      </c>
      <c r="R183" s="21">
        <f t="shared" si="144"/>
        <v>25.438793438330652</v>
      </c>
      <c r="S183" s="21">
        <f t="shared" si="145"/>
        <v>14.952547619165296</v>
      </c>
      <c r="T183" s="88">
        <f t="shared" si="146"/>
        <v>-20.580416208003395</v>
      </c>
      <c r="U183" s="86">
        <f t="shared" si="147"/>
        <v>-4825.9620000000004</v>
      </c>
      <c r="V183" s="85">
        <f t="shared" si="148"/>
        <v>-1141.3067828769733</v>
      </c>
      <c r="W183" s="85">
        <f t="shared" si="149"/>
        <v>-1946.3840069915518</v>
      </c>
      <c r="X183" s="90">
        <f t="shared" si="150"/>
        <v>1141.3067828769733</v>
      </c>
      <c r="Y183" s="86">
        <f t="shared" si="151"/>
        <v>10366.93053</v>
      </c>
      <c r="Z183" s="85">
        <f t="shared" si="152"/>
        <v>-750</v>
      </c>
      <c r="AA183" s="85">
        <f t="shared" si="153"/>
        <v>927.05098312484222</v>
      </c>
      <c r="AB183" s="90">
        <f t="shared" si="154"/>
        <v>750</v>
      </c>
      <c r="AC183" s="86">
        <f t="shared" si="155"/>
        <v>4606.52351</v>
      </c>
      <c r="AD183" s="85">
        <f t="shared" si="156"/>
        <v>1055.7627565116984</v>
      </c>
      <c r="AE183" s="85">
        <f t="shared" si="157"/>
        <v>1793.6592643908682</v>
      </c>
      <c r="AF183" s="90">
        <f t="shared" si="158"/>
        <v>1055.7627565116984</v>
      </c>
      <c r="AG183" s="86">
        <f t="shared" si="159"/>
        <v>-11005.733270000001</v>
      </c>
      <c r="AH183" s="85">
        <f t="shared" si="160"/>
        <v>6128</v>
      </c>
      <c r="AI183" s="85">
        <f t="shared" si="161"/>
        <v>-7574.6245661187113</v>
      </c>
      <c r="AJ183" s="90">
        <f t="shared" si="162"/>
        <v>6128</v>
      </c>
      <c r="AL183" s="95">
        <f t="shared" si="163"/>
        <v>0</v>
      </c>
      <c r="AM183" s="95">
        <f t="shared" si="164"/>
        <v>0</v>
      </c>
      <c r="AN183" s="95">
        <f t="shared" si="165"/>
        <v>0</v>
      </c>
      <c r="AO183" s="95">
        <f t="shared" si="166"/>
        <v>0</v>
      </c>
      <c r="AP183"/>
      <c r="AQ183" s="95">
        <f t="shared" si="167"/>
        <v>0</v>
      </c>
      <c r="AR183" s="95">
        <f t="shared" si="168"/>
        <v>0</v>
      </c>
      <c r="AS183" s="95">
        <f>Geraetedaten!$B$94*ABS(SIN(RADIANS($A183)))</f>
        <v>90.518928853040876</v>
      </c>
      <c r="AT183" s="95">
        <f>Geraetedaten!$B$94*ABS(COS(RADIANS($A183)))</f>
        <v>124.58861713374189</v>
      </c>
      <c r="AU183" s="95">
        <f>((h_Aw_Sw+Geraetedaten!$B$18)/1000)*(AQ183*AS183+AR183*AT183)/100</f>
        <v>0</v>
      </c>
    </row>
    <row r="184" spans="1:47" ht="13.5" x14ac:dyDescent="0.25">
      <c r="A184" s="16">
        <v>145</v>
      </c>
      <c r="B184" s="16">
        <f t="shared" si="136"/>
        <v>305</v>
      </c>
      <c r="C184" s="19">
        <f t="shared" si="137"/>
        <v>60.980707940875263</v>
      </c>
      <c r="D184" s="17">
        <f t="shared" si="138"/>
        <v>-5006.9407279408761</v>
      </c>
      <c r="E184" s="17">
        <f t="shared" si="139"/>
        <v>10177.683822059125</v>
      </c>
      <c r="F184" s="17">
        <f t="shared" si="140"/>
        <v>4659.4087020591242</v>
      </c>
      <c r="G184" s="17">
        <f t="shared" si="141"/>
        <v>-10930.544317940874</v>
      </c>
      <c r="H184" s="17">
        <f t="shared" si="169"/>
        <v>4659.4087020591242</v>
      </c>
      <c r="I184" s="17">
        <f t="shared" si="142"/>
        <v>1837.9956579568538</v>
      </c>
      <c r="J184" s="20">
        <f>(Geraetedaten!$B$152+(Geraetedaten!$B$153*(Geraetedaten!$B$18+d_y_Sw)/1000))*10</f>
        <v>6051.0442000000003</v>
      </c>
      <c r="K184" s="20">
        <f>(Geraetedaten!$B$165+(Geraetedaten!$B$166*(Geraetedaten!$B$18+d_y_Sw)/1000))*10</f>
        <v>10816.164000000001</v>
      </c>
      <c r="L184" s="20">
        <f>(Geraetedaten!$B$158+(Geraetedaten!$B$159*(Geraetedaten!$B$18+d_y_Sw)/1000)-(Geraetedaten!$B$160*I184/1000))*10</f>
        <v>466.7563784020237</v>
      </c>
      <c r="M184" s="20">
        <f>(Geraetedaten!$B$171+(Geraetedaten!$B$172*(Geraetedaten!$B$18+d_y_Sw)/1000)-(Geraetedaten!$B$173*I184/1000))*10</f>
        <v>928.04660322169275</v>
      </c>
      <c r="N184" s="20">
        <f>IF((H184-J184)/(K184-J184)*(Geraetedaten!$B$174-Geraetedaten!$B$161)&lt;Geraetedaten!$B$174,(H184-J184)/(K184-J184)*(Geraetedaten!$B$174-Geraetedaten!$B$161),Geraetedaten!$B$174)</f>
        <v>-116.81851087486832</v>
      </c>
      <c r="O184" s="20">
        <f>N184/Geraetedaten!$B$174*(M184-L184)+L184+C184</f>
        <v>393.01899348148157</v>
      </c>
      <c r="P184" s="20">
        <f t="shared" si="143"/>
        <v>167.72168597627609</v>
      </c>
      <c r="Q184" s="21">
        <f>(N184-Geraetedaten!$B$161)/(Geraetedaten!$B$174-Geraetedaten!$B$161)*(Geraetedaten!$B$175-Geraetedaten!$B$162)+Geraetedaten!$B$162</f>
        <v>25.724649301472667</v>
      </c>
      <c r="R184" s="21">
        <f t="shared" si="144"/>
        <v>25.724649301472667</v>
      </c>
      <c r="S184" s="21">
        <f t="shared" si="145"/>
        <v>14.755052672719115</v>
      </c>
      <c r="T184" s="88">
        <f t="shared" si="146"/>
        <v>-21.072399063918724</v>
      </c>
      <c r="U184" s="86">
        <f t="shared" si="147"/>
        <v>-4945.9600200000004</v>
      </c>
      <c r="V184" s="85">
        <f t="shared" si="148"/>
        <v>-1141.3067828769733</v>
      </c>
      <c r="W184" s="85">
        <f t="shared" si="149"/>
        <v>-1994.7810381862225</v>
      </c>
      <c r="X184" s="90">
        <f t="shared" si="150"/>
        <v>1141.3067828769733</v>
      </c>
      <c r="Y184" s="86">
        <f t="shared" si="151"/>
        <v>10238.66453</v>
      </c>
      <c r="Z184" s="85">
        <f t="shared" si="152"/>
        <v>-750</v>
      </c>
      <c r="AA184" s="85">
        <f t="shared" si="153"/>
        <v>915.58094157109201</v>
      </c>
      <c r="AB184" s="90">
        <f t="shared" si="154"/>
        <v>750</v>
      </c>
      <c r="AC184" s="86">
        <f t="shared" si="155"/>
        <v>4720.3894099999998</v>
      </c>
      <c r="AD184" s="85">
        <f t="shared" si="156"/>
        <v>1055.7627565116984</v>
      </c>
      <c r="AE184" s="85">
        <f t="shared" si="157"/>
        <v>1837.9956579568538</v>
      </c>
      <c r="AF184" s="90">
        <f t="shared" si="158"/>
        <v>1055.7627565116984</v>
      </c>
      <c r="AG184" s="86">
        <f t="shared" si="159"/>
        <v>-10869.563609999999</v>
      </c>
      <c r="AH184" s="85">
        <f t="shared" si="160"/>
        <v>6128</v>
      </c>
      <c r="AI184" s="85">
        <f t="shared" si="161"/>
        <v>-7480.9066799302027</v>
      </c>
      <c r="AJ184" s="90">
        <f t="shared" si="162"/>
        <v>6128</v>
      </c>
      <c r="AL184" s="95">
        <f t="shared" si="163"/>
        <v>0</v>
      </c>
      <c r="AM184" s="95">
        <f t="shared" si="164"/>
        <v>0</v>
      </c>
      <c r="AN184" s="95">
        <f t="shared" si="165"/>
        <v>0</v>
      </c>
      <c r="AO184" s="95">
        <f t="shared" si="166"/>
        <v>0</v>
      </c>
      <c r="AP184"/>
      <c r="AQ184" s="95">
        <f t="shared" si="167"/>
        <v>0</v>
      </c>
      <c r="AR184" s="95">
        <f t="shared" si="168"/>
        <v>0</v>
      </c>
      <c r="AS184" s="95">
        <f>Geraetedaten!$B$94*ABS(SIN(RADIANS($A184)))</f>
        <v>88.330771198061072</v>
      </c>
      <c r="AT184" s="95">
        <f>Geraetedaten!$B$94*ABS(COS(RADIANS($A184)))</f>
        <v>126.14941482050476</v>
      </c>
      <c r="AU184" s="95">
        <f>((h_Aw_Sw+Geraetedaten!$B$18)/1000)*(AQ184*AS184+AR184*AT184)/100</f>
        <v>0</v>
      </c>
    </row>
    <row r="185" spans="1:47" ht="13.5" x14ac:dyDescent="0.25">
      <c r="A185" s="16">
        <v>146</v>
      </c>
      <c r="B185" s="16">
        <f t="shared" si="136"/>
        <v>304</v>
      </c>
      <c r="C185" s="19">
        <f t="shared" si="137"/>
        <v>60.362702088343596</v>
      </c>
      <c r="D185" s="17">
        <f t="shared" si="138"/>
        <v>-5134.025332088343</v>
      </c>
      <c r="E185" s="17">
        <f t="shared" si="139"/>
        <v>10056.214947911656</v>
      </c>
      <c r="F185" s="17">
        <f t="shared" si="140"/>
        <v>4781.1766179116566</v>
      </c>
      <c r="G185" s="17">
        <f t="shared" si="141"/>
        <v>-10800.316532088344</v>
      </c>
      <c r="H185" s="17">
        <f t="shared" si="169"/>
        <v>4781.1766179116566</v>
      </c>
      <c r="I185" s="17">
        <f t="shared" si="142"/>
        <v>1885.1682480209593</v>
      </c>
      <c r="J185" s="20">
        <f>(Geraetedaten!$B$152+(Geraetedaten!$B$153*(Geraetedaten!$B$18+d_y_Sw)/1000))*10</f>
        <v>6051.0442000000003</v>
      </c>
      <c r="K185" s="20">
        <f>(Geraetedaten!$B$165+(Geraetedaten!$B$166*(Geraetedaten!$B$18+d_y_Sw)/1000))*10</f>
        <v>10816.164000000001</v>
      </c>
      <c r="L185" s="20">
        <f>(Geraetedaten!$B$158+(Geraetedaten!$B$159*(Geraetedaten!$B$18+d_y_Sw)/1000)-(Geraetedaten!$B$160*I185/1000))*10</f>
        <v>463.29721237262282</v>
      </c>
      <c r="M185" s="20">
        <f>(Geraetedaten!$B$171+(Geraetedaten!$B$172*(Geraetedaten!$B$18+d_y_Sw)/1000)-(Geraetedaten!$B$173*I185/1000))*10</f>
        <v>924.53507561732067</v>
      </c>
      <c r="N185" s="20">
        <f>IF((H185-J185)/(K185-J185)*(Geraetedaten!$B$174-Geraetedaten!$B$161)&lt;Geraetedaten!$B$174,(H185-J185)/(K185-J185)*(Geraetedaten!$B$174-Geraetedaten!$B$161),Geraetedaten!$B$174)</f>
        <v>-106.59690714078948</v>
      </c>
      <c r="O185" s="20">
        <f>N185/Geraetedaten!$B$174*(M185-L185)+L185+C185</f>
        <v>400.7435902656884</v>
      </c>
      <c r="P185" s="20">
        <f t="shared" si="143"/>
        <v>169.19831042324006</v>
      </c>
      <c r="Q185" s="21">
        <f>(N185-Geraetedaten!$B$161)/(Geraetedaten!$B$174-Geraetedaten!$B$161)*(Geraetedaten!$B$175-Geraetedaten!$B$162)+Geraetedaten!$B$162</f>
        <v>26.028742012561512</v>
      </c>
      <c r="R185" s="21">
        <f t="shared" si="144"/>
        <v>26.028742012561512</v>
      </c>
      <c r="S185" s="21">
        <f t="shared" si="145"/>
        <v>14.555087819695284</v>
      </c>
      <c r="T185" s="88">
        <f t="shared" si="146"/>
        <v>-21.578805094755424</v>
      </c>
      <c r="U185" s="86">
        <f t="shared" si="147"/>
        <v>-5073.6626299999998</v>
      </c>
      <c r="V185" s="85">
        <f t="shared" si="148"/>
        <v>-1141.3067828769733</v>
      </c>
      <c r="W185" s="85">
        <f t="shared" si="149"/>
        <v>-2046.2854469544307</v>
      </c>
      <c r="X185" s="90">
        <f t="shared" si="150"/>
        <v>1141.3067828769733</v>
      </c>
      <c r="Y185" s="86">
        <f t="shared" si="151"/>
        <v>10116.577649999999</v>
      </c>
      <c r="Z185" s="85">
        <f t="shared" si="152"/>
        <v>-750</v>
      </c>
      <c r="AA185" s="85">
        <f t="shared" si="153"/>
        <v>904.66346137792902</v>
      </c>
      <c r="AB185" s="90">
        <f t="shared" si="154"/>
        <v>750</v>
      </c>
      <c r="AC185" s="86">
        <f t="shared" si="155"/>
        <v>4841.5393199999999</v>
      </c>
      <c r="AD185" s="85">
        <f t="shared" si="156"/>
        <v>1055.7627565116984</v>
      </c>
      <c r="AE185" s="85">
        <f t="shared" si="157"/>
        <v>1885.1682480209593</v>
      </c>
      <c r="AF185" s="90">
        <f t="shared" si="158"/>
        <v>1055.7627565116984</v>
      </c>
      <c r="AG185" s="86">
        <f t="shared" si="159"/>
        <v>-10739.95383</v>
      </c>
      <c r="AH185" s="85">
        <f t="shared" si="160"/>
        <v>6128</v>
      </c>
      <c r="AI185" s="85">
        <f t="shared" si="161"/>
        <v>-7391.7035884319321</v>
      </c>
      <c r="AJ185" s="90">
        <f t="shared" si="162"/>
        <v>6128</v>
      </c>
      <c r="AL185" s="95">
        <f t="shared" si="163"/>
        <v>0</v>
      </c>
      <c r="AM185" s="95">
        <f t="shared" si="164"/>
        <v>0</v>
      </c>
      <c r="AN185" s="95">
        <f t="shared" si="165"/>
        <v>0</v>
      </c>
      <c r="AO185" s="95">
        <f t="shared" si="166"/>
        <v>0</v>
      </c>
      <c r="AP185"/>
      <c r="AQ185" s="95">
        <f t="shared" si="167"/>
        <v>0</v>
      </c>
      <c r="AR185" s="95">
        <f t="shared" si="168"/>
        <v>0</v>
      </c>
      <c r="AS185" s="95">
        <f>Geraetedaten!$B$94*ABS(SIN(RADIANS($A185)))</f>
        <v>86.115707134495025</v>
      </c>
      <c r="AT185" s="95">
        <f>Geraetedaten!$B$94*ABS(COS(RADIANS($A185)))</f>
        <v>127.67178617347641</v>
      </c>
      <c r="AU185" s="95">
        <f>((h_Aw_Sw+Geraetedaten!$B$18)/1000)*(AQ185*AS185+AR185*AT185)/100</f>
        <v>0</v>
      </c>
    </row>
    <row r="186" spans="1:47" ht="13.5" x14ac:dyDescent="0.25">
      <c r="A186" s="16">
        <v>147</v>
      </c>
      <c r="B186" s="16">
        <f t="shared" si="136"/>
        <v>303</v>
      </c>
      <c r="C186" s="19">
        <f t="shared" si="137"/>
        <v>59.726309172009195</v>
      </c>
      <c r="D186" s="17">
        <f t="shared" si="138"/>
        <v>-5269.4897891720084</v>
      </c>
      <c r="E186" s="17">
        <f t="shared" si="139"/>
        <v>9940.6520208279908</v>
      </c>
      <c r="F186" s="17">
        <f t="shared" si="140"/>
        <v>4910.8993808279911</v>
      </c>
      <c r="G186" s="17">
        <f t="shared" si="141"/>
        <v>-10676.320709172009</v>
      </c>
      <c r="H186" s="17">
        <f t="shared" si="169"/>
        <v>4910.8993808279911</v>
      </c>
      <c r="I186" s="17">
        <f t="shared" si="142"/>
        <v>1935.4310924456447</v>
      </c>
      <c r="J186" s="20">
        <f>(Geraetedaten!$B$152+(Geraetedaten!$B$153*(Geraetedaten!$B$18+d_y_Sw)/1000))*10</f>
        <v>6051.0442000000003</v>
      </c>
      <c r="K186" s="20">
        <f>(Geraetedaten!$B$165+(Geraetedaten!$B$166*(Geraetedaten!$B$18+d_y_Sw)/1000))*10</f>
        <v>10816.164000000001</v>
      </c>
      <c r="L186" s="20">
        <f>(Geraetedaten!$B$158+(Geraetedaten!$B$159*(Geraetedaten!$B$18+d_y_Sw)/1000)-(Geraetedaten!$B$160*I186/1000))*10</f>
        <v>459.61143799096067</v>
      </c>
      <c r="M186" s="20">
        <f>(Geraetedaten!$B$171+(Geraetedaten!$B$172*(Geraetedaten!$B$18+d_y_Sw)/1000)-(Geraetedaten!$B$173*I186/1000))*10</f>
        <v>920.79350947834712</v>
      </c>
      <c r="N186" s="20">
        <f>IF((H186-J186)/(K186-J186)*(Geraetedaten!$B$174-Geraetedaten!$B$161)&lt;Geraetedaten!$B$174,(H186-J186)/(K186-J186)*(Geraetedaten!$B$174-Geraetedaten!$B$161),Geraetedaten!$B$174)</f>
        <v>-95.707547094367627</v>
      </c>
      <c r="O186" s="20">
        <f>N186/Geraetedaten!$B$174*(M186-L186)+L186+C186</f>
        <v>408.99123509807725</v>
      </c>
      <c r="P186" s="20">
        <f t="shared" si="143"/>
        <v>170.74496230118464</v>
      </c>
      <c r="Q186" s="21">
        <f>(N186-Geraetedaten!$B$161)/(Geraetedaten!$B$174-Geraetedaten!$B$161)*(Geraetedaten!$B$175-Geraetedaten!$B$162)+Geraetedaten!$B$162</f>
        <v>26.352700473942562</v>
      </c>
      <c r="R186" s="21">
        <f t="shared" si="144"/>
        <v>26.352700473942562</v>
      </c>
      <c r="S186" s="21">
        <f t="shared" si="145"/>
        <v>14.35270935616813</v>
      </c>
      <c r="T186" s="88">
        <f t="shared" si="146"/>
        <v>-22.101234273377052</v>
      </c>
      <c r="U186" s="86">
        <f t="shared" si="147"/>
        <v>-5209.7634799999996</v>
      </c>
      <c r="V186" s="85">
        <f t="shared" si="148"/>
        <v>-1141.3067828769733</v>
      </c>
      <c r="W186" s="85">
        <f t="shared" si="149"/>
        <v>-2101.1769934778222</v>
      </c>
      <c r="X186" s="90">
        <f t="shared" si="150"/>
        <v>1141.3067828769733</v>
      </c>
      <c r="Y186" s="86">
        <f t="shared" si="151"/>
        <v>10000.37833</v>
      </c>
      <c r="Z186" s="85">
        <f t="shared" si="152"/>
        <v>-750</v>
      </c>
      <c r="AA186" s="85">
        <f t="shared" si="153"/>
        <v>894.27246962696051</v>
      </c>
      <c r="AB186" s="90">
        <f t="shared" si="154"/>
        <v>750</v>
      </c>
      <c r="AC186" s="86">
        <f t="shared" si="155"/>
        <v>4970.6256899999998</v>
      </c>
      <c r="AD186" s="85">
        <f t="shared" si="156"/>
        <v>1055.7627565116984</v>
      </c>
      <c r="AE186" s="85">
        <f t="shared" si="157"/>
        <v>1935.4310924456447</v>
      </c>
      <c r="AF186" s="90">
        <f t="shared" si="158"/>
        <v>1055.7627565116984</v>
      </c>
      <c r="AG186" s="86">
        <f t="shared" si="159"/>
        <v>-10616.5944</v>
      </c>
      <c r="AH186" s="85">
        <f t="shared" si="160"/>
        <v>6128</v>
      </c>
      <c r="AI186" s="85">
        <f t="shared" si="161"/>
        <v>-7306.8022584986857</v>
      </c>
      <c r="AJ186" s="90">
        <f t="shared" si="162"/>
        <v>6128</v>
      </c>
      <c r="AL186" s="95">
        <f t="shared" si="163"/>
        <v>0</v>
      </c>
      <c r="AM186" s="95">
        <f t="shared" si="164"/>
        <v>0</v>
      </c>
      <c r="AN186" s="95">
        <f t="shared" si="165"/>
        <v>0</v>
      </c>
      <c r="AO186" s="95">
        <f t="shared" si="166"/>
        <v>0</v>
      </c>
      <c r="AP186"/>
      <c r="AQ186" s="95">
        <f t="shared" si="167"/>
        <v>0</v>
      </c>
      <c r="AR186" s="95">
        <f t="shared" si="168"/>
        <v>0</v>
      </c>
      <c r="AS186" s="95">
        <f>Geraetedaten!$B$94*ABS(SIN(RADIANS($A186)))</f>
        <v>83.874411392314201</v>
      </c>
      <c r="AT186" s="95">
        <f>Geraetedaten!$B$94*ABS(COS(RADIANS($A186)))</f>
        <v>129.15526746359529</v>
      </c>
      <c r="AU186" s="95">
        <f>((h_Aw_Sw+Geraetedaten!$B$18)/1000)*(AQ186*AS186+AR186*AT186)/100</f>
        <v>0</v>
      </c>
    </row>
    <row r="187" spans="1:47" ht="13.5" x14ac:dyDescent="0.25">
      <c r="A187" s="16">
        <v>148</v>
      </c>
      <c r="B187" s="16">
        <f t="shared" si="136"/>
        <v>302</v>
      </c>
      <c r="C187" s="19">
        <f t="shared" si="137"/>
        <v>59.071723043319231</v>
      </c>
      <c r="D187" s="17">
        <f t="shared" si="138"/>
        <v>-5414.1152830433193</v>
      </c>
      <c r="E187" s="17">
        <f t="shared" si="139"/>
        <v>9830.7246369566819</v>
      </c>
      <c r="F187" s="17">
        <f t="shared" si="140"/>
        <v>5049.3110569566807</v>
      </c>
      <c r="G187" s="17">
        <f t="shared" si="141"/>
        <v>-10558.270173043318</v>
      </c>
      <c r="H187" s="17">
        <f t="shared" si="169"/>
        <v>5049.3110569566807</v>
      </c>
      <c r="I187" s="17">
        <f t="shared" si="142"/>
        <v>1989.0700845822169</v>
      </c>
      <c r="J187" s="20">
        <f>(Geraetedaten!$B$152+(Geraetedaten!$B$153*(Geraetedaten!$B$18+d_y_Sw)/1000))*10</f>
        <v>6051.0442000000003</v>
      </c>
      <c r="K187" s="20">
        <f>(Geraetedaten!$B$165+(Geraetedaten!$B$166*(Geraetedaten!$B$18+d_y_Sw)/1000))*10</f>
        <v>10816.164000000001</v>
      </c>
      <c r="L187" s="20">
        <f>(Geraetedaten!$B$158+(Geraetedaten!$B$159*(Geraetedaten!$B$18+d_y_Sw)/1000)-(Geraetedaten!$B$160*I187/1000))*10</f>
        <v>455.67809069758584</v>
      </c>
      <c r="M187" s="20">
        <f>(Geraetedaten!$B$171+(Geraetedaten!$B$172*(Geraetedaten!$B$18+d_y_Sw)/1000)-(Geraetedaten!$B$173*I187/1000))*10</f>
        <v>916.80062290370074</v>
      </c>
      <c r="N187" s="20">
        <f>IF((H187-J187)/(K187-J187)*(Geraetedaten!$B$174-Geraetedaten!$B$161)&lt;Geraetedaten!$B$174,(H187-J187)/(K187-J187)*(Geraetedaten!$B$174-Geraetedaten!$B$161),Geraetedaten!$B$174)</f>
        <v>-84.088810782328665</v>
      </c>
      <c r="O187" s="20">
        <f>N187/Geraetedaten!$B$174*(M187-L187)+L187+C187</f>
        <v>417.81170034553446</v>
      </c>
      <c r="P187" s="20">
        <f t="shared" si="143"/>
        <v>172.36590446889511</v>
      </c>
      <c r="Q187" s="21">
        <f>(N187-Geraetedaten!$B$161)/(Geraetedaten!$B$174-Geraetedaten!$B$161)*(Geraetedaten!$B$175-Geraetedaten!$B$162)+Geraetedaten!$B$162</f>
        <v>26.698357879225721</v>
      </c>
      <c r="R187" s="21">
        <f t="shared" si="144"/>
        <v>26.698357879225721</v>
      </c>
      <c r="S187" s="21">
        <f t="shared" si="145"/>
        <v>14.147974163594084</v>
      </c>
      <c r="T187" s="88">
        <f t="shared" si="146"/>
        <v>-22.641491569980285</v>
      </c>
      <c r="U187" s="86">
        <f t="shared" si="147"/>
        <v>-5355.0435600000001</v>
      </c>
      <c r="V187" s="85">
        <f t="shared" si="148"/>
        <v>-1141.3067828769733</v>
      </c>
      <c r="W187" s="85">
        <f t="shared" si="149"/>
        <v>-2159.7706646728016</v>
      </c>
      <c r="X187" s="90">
        <f t="shared" si="150"/>
        <v>1141.3067828769733</v>
      </c>
      <c r="Y187" s="86">
        <f t="shared" si="151"/>
        <v>9889.7963600000003</v>
      </c>
      <c r="Z187" s="85">
        <f t="shared" si="152"/>
        <v>-750</v>
      </c>
      <c r="AA187" s="85">
        <f t="shared" si="153"/>
        <v>884.38380252157231</v>
      </c>
      <c r="AB187" s="90">
        <f t="shared" si="154"/>
        <v>750</v>
      </c>
      <c r="AC187" s="86">
        <f t="shared" si="155"/>
        <v>5108.3827799999999</v>
      </c>
      <c r="AD187" s="85">
        <f t="shared" si="156"/>
        <v>1055.7627565116984</v>
      </c>
      <c r="AE187" s="85">
        <f t="shared" si="157"/>
        <v>1989.0700845822169</v>
      </c>
      <c r="AF187" s="90">
        <f t="shared" si="158"/>
        <v>1055.7627565116984</v>
      </c>
      <c r="AG187" s="86">
        <f t="shared" si="159"/>
        <v>-10499.19845</v>
      </c>
      <c r="AH187" s="85">
        <f t="shared" si="160"/>
        <v>6128</v>
      </c>
      <c r="AI187" s="85">
        <f t="shared" si="161"/>
        <v>-7226.0052558029274</v>
      </c>
      <c r="AJ187" s="90">
        <f t="shared" si="162"/>
        <v>6128</v>
      </c>
      <c r="AL187" s="95">
        <f t="shared" si="163"/>
        <v>0</v>
      </c>
      <c r="AM187" s="95">
        <f t="shared" si="164"/>
        <v>0</v>
      </c>
      <c r="AN187" s="95">
        <f t="shared" si="165"/>
        <v>0</v>
      </c>
      <c r="AO187" s="95">
        <f t="shared" si="166"/>
        <v>0</v>
      </c>
      <c r="AP187"/>
      <c r="AQ187" s="95">
        <f t="shared" si="167"/>
        <v>0</v>
      </c>
      <c r="AR187" s="95">
        <f t="shared" si="168"/>
        <v>0</v>
      </c>
      <c r="AS187" s="95">
        <f>Geraetedaten!$B$94*ABS(SIN(RADIANS($A187)))</f>
        <v>81.607566691913561</v>
      </c>
      <c r="AT187" s="95">
        <f>Geraetedaten!$B$94*ABS(COS(RADIANS($A187)))</f>
        <v>130.59940680808961</v>
      </c>
      <c r="AU187" s="95">
        <f>((h_Aw_Sw+Geraetedaten!$B$18)/1000)*(AQ187*AS187+AR187*AT187)/100</f>
        <v>0</v>
      </c>
    </row>
    <row r="188" spans="1:47" ht="13.5" x14ac:dyDescent="0.25">
      <c r="A188" s="16">
        <v>149</v>
      </c>
      <c r="B188" s="16">
        <f t="shared" si="136"/>
        <v>301</v>
      </c>
      <c r="C188" s="19">
        <f t="shared" si="137"/>
        <v>58.399143095549675</v>
      </c>
      <c r="D188" s="17">
        <f t="shared" si="138"/>
        <v>-5568.7844830955491</v>
      </c>
      <c r="E188" s="17">
        <f t="shared" si="139"/>
        <v>9726.1819669044489</v>
      </c>
      <c r="F188" s="17">
        <f t="shared" si="140"/>
        <v>5197.2405869044505</v>
      </c>
      <c r="G188" s="17">
        <f t="shared" si="141"/>
        <v>-10445.899053095551</v>
      </c>
      <c r="H188" s="17">
        <f t="shared" si="169"/>
        <v>5197.2405869044505</v>
      </c>
      <c r="I188" s="17">
        <f t="shared" si="142"/>
        <v>2046.40807460632</v>
      </c>
      <c r="J188" s="20">
        <f>(Geraetedaten!$B$152+(Geraetedaten!$B$153*(Geraetedaten!$B$18+d_y_Sw)/1000))*10</f>
        <v>6051.0442000000003</v>
      </c>
      <c r="K188" s="20">
        <f>(Geraetedaten!$B$165+(Geraetedaten!$B$166*(Geraetedaten!$B$18+d_y_Sw)/1000))*10</f>
        <v>10816.164000000001</v>
      </c>
      <c r="L188" s="20">
        <f>(Geraetedaten!$B$158+(Geraetedaten!$B$159*(Geraetedaten!$B$18+d_y_Sw)/1000)-(Geraetedaten!$B$160*I188/1000))*10</f>
        <v>451.47349588911834</v>
      </c>
      <c r="M188" s="20">
        <f>(Geraetedaten!$B$171+(Geraetedaten!$B$172*(Geraetedaten!$B$18+d_y_Sw)/1000)-(Geraetedaten!$B$173*I188/1000))*10</f>
        <v>912.53238292630635</v>
      </c>
      <c r="N188" s="20">
        <f>IF((H188-J188)/(K188-J188)*(Geraetedaten!$B$174-Geraetedaten!$B$161)&lt;Geraetedaten!$B$174,(H188-J188)/(K188-J188)*(Geraetedaten!$B$174-Geraetedaten!$B$161),Geraetedaten!$B$174)</f>
        <v>-71.671114173922732</v>
      </c>
      <c r="O188" s="20">
        <f>N188/Geraetedaten!$B$174*(M188-L188)+L188+C188</f>
        <v>427.26112865030791</v>
      </c>
      <c r="P188" s="20">
        <f t="shared" si="143"/>
        <v>174.06569241202666</v>
      </c>
      <c r="Q188" s="21">
        <f>(N188-Geraetedaten!$B$161)/(Geraetedaten!$B$174-Geraetedaten!$B$161)*(Geraetedaten!$B$175-Geraetedaten!$B$162)+Geraetedaten!$B$162</f>
        <v>27.067784353325798</v>
      </c>
      <c r="R188" s="21">
        <f t="shared" si="144"/>
        <v>27.067784353325798</v>
      </c>
      <c r="S188" s="21">
        <f t="shared" si="145"/>
        <v>13.940939545417411</v>
      </c>
      <c r="T188" s="88">
        <f t="shared" si="146"/>
        <v>-23.201619650127142</v>
      </c>
      <c r="U188" s="86">
        <f t="shared" si="147"/>
        <v>-5510.3853399999998</v>
      </c>
      <c r="V188" s="85">
        <f t="shared" si="148"/>
        <v>-1141.3067828769733</v>
      </c>
      <c r="W188" s="85">
        <f t="shared" si="149"/>
        <v>-2222.4223702270738</v>
      </c>
      <c r="X188" s="90">
        <f t="shared" si="150"/>
        <v>1141.3067828769733</v>
      </c>
      <c r="Y188" s="86">
        <f t="shared" si="151"/>
        <v>9784.5811099999992</v>
      </c>
      <c r="Z188" s="85">
        <f t="shared" si="152"/>
        <v>-750</v>
      </c>
      <c r="AA188" s="85">
        <f t="shared" si="153"/>
        <v>874.97504791149777</v>
      </c>
      <c r="AB188" s="90">
        <f t="shared" si="154"/>
        <v>750</v>
      </c>
      <c r="AC188" s="86">
        <f t="shared" si="155"/>
        <v>5255.6397299999999</v>
      </c>
      <c r="AD188" s="85">
        <f t="shared" si="156"/>
        <v>1055.7627565116984</v>
      </c>
      <c r="AE188" s="85">
        <f t="shared" si="157"/>
        <v>2046.40807460632</v>
      </c>
      <c r="AF188" s="90">
        <f t="shared" si="158"/>
        <v>1055.7627565116984</v>
      </c>
      <c r="AG188" s="86">
        <f t="shared" si="159"/>
        <v>-10387.49991</v>
      </c>
      <c r="AH188" s="85">
        <f t="shared" si="160"/>
        <v>6128</v>
      </c>
      <c r="AI188" s="85">
        <f t="shared" si="161"/>
        <v>-7149.1294581355451</v>
      </c>
      <c r="AJ188" s="90">
        <f t="shared" si="162"/>
        <v>6128</v>
      </c>
      <c r="AL188" s="95">
        <f t="shared" si="163"/>
        <v>0</v>
      </c>
      <c r="AM188" s="95">
        <f t="shared" si="164"/>
        <v>0</v>
      </c>
      <c r="AN188" s="95">
        <f t="shared" si="165"/>
        <v>0</v>
      </c>
      <c r="AO188" s="95">
        <f t="shared" si="166"/>
        <v>0</v>
      </c>
      <c r="AP188"/>
      <c r="AQ188" s="95">
        <f t="shared" si="167"/>
        <v>0</v>
      </c>
      <c r="AR188" s="95">
        <f t="shared" si="168"/>
        <v>0</v>
      </c>
      <c r="AS188" s="95">
        <f>Geraetedaten!$B$94*ABS(SIN(RADIANS($A188)))</f>
        <v>79.31586353614837</v>
      </c>
      <c r="AT188" s="95">
        <f>Geraetedaten!$B$94*ABS(COS(RADIANS($A188)))</f>
        <v>132.00376430812528</v>
      </c>
      <c r="AU188" s="95">
        <f>((h_Aw_Sw+Geraetedaten!$B$18)/1000)*(AQ188*AS188+AR188*AT188)/100</f>
        <v>0</v>
      </c>
    </row>
    <row r="189" spans="1:47" ht="13.5" x14ac:dyDescent="0.25">
      <c r="A189" s="16">
        <v>150</v>
      </c>
      <c r="B189" s="16">
        <f t="shared" si="136"/>
        <v>300</v>
      </c>
      <c r="C189" s="19">
        <f t="shared" si="137"/>
        <v>57.708774203067975</v>
      </c>
      <c r="D189" s="17">
        <f t="shared" si="138"/>
        <v>-5734.4984642030677</v>
      </c>
      <c r="E189" s="17">
        <f t="shared" si="139"/>
        <v>9626.7911757969323</v>
      </c>
      <c r="F189" s="17">
        <f t="shared" si="140"/>
        <v>5355.6276257969321</v>
      </c>
      <c r="G189" s="17">
        <f t="shared" si="141"/>
        <v>-10338.960594203067</v>
      </c>
      <c r="H189" s="17">
        <f t="shared" si="169"/>
        <v>5355.6276257969321</v>
      </c>
      <c r="I189" s="17">
        <f t="shared" si="142"/>
        <v>2107.8110133214923</v>
      </c>
      <c r="J189" s="20">
        <f>(Geraetedaten!$B$152+(Geraetedaten!$B$153*(Geraetedaten!$B$18+d_y_Sw)/1000))*10</f>
        <v>6051.0442000000003</v>
      </c>
      <c r="K189" s="20">
        <f>(Geraetedaten!$B$165+(Geraetedaten!$B$166*(Geraetedaten!$B$18+d_y_Sw)/1000))*10</f>
        <v>10816.164000000001</v>
      </c>
      <c r="L189" s="20">
        <f>(Geraetedaten!$B$158+(Geraetedaten!$B$159*(Geraetedaten!$B$18+d_y_Sw)/1000)-(Geraetedaten!$B$160*I189/1000))*10</f>
        <v>446.97081839313466</v>
      </c>
      <c r="M189" s="20">
        <f>(Geraetedaten!$B$171+(Geraetedaten!$B$172*(Geraetedaten!$B$18+d_y_Sw)/1000)-(Geraetedaten!$B$173*I189/1000))*10</f>
        <v>907.96154816834905</v>
      </c>
      <c r="N189" s="20">
        <f>IF((H189-J189)/(K189-J189)*(Geraetedaten!$B$174-Geraetedaten!$B$161)&lt;Geraetedaten!$B$174,(H189-J189)/(K189-J189)*(Geraetedaten!$B$174-Geraetedaten!$B$161),Geraetedaten!$B$174)</f>
        <v>-58.375579493558014</v>
      </c>
      <c r="O189" s="20">
        <f>N189/Geraetedaten!$B$174*(M189-L189)+L189+C189</f>
        <v>437.40309011673673</v>
      </c>
      <c r="P189" s="20">
        <f t="shared" si="143"/>
        <v>175.84919922308666</v>
      </c>
      <c r="Q189" s="21">
        <f>(N189-Geraetedaten!$B$161)/(Geraetedaten!$B$174-Geraetedaten!$B$161)*(Geraetedaten!$B$175-Geraetedaten!$B$162)+Geraetedaten!$B$162</f>
        <v>27.463326510066647</v>
      </c>
      <c r="R189" s="21">
        <f t="shared" si="144"/>
        <v>27.463326510066647</v>
      </c>
      <c r="S189" s="21">
        <f t="shared" si="145"/>
        <v>13.731663255033322</v>
      </c>
      <c r="T189" s="88">
        <f t="shared" si="146"/>
        <v>-23.783938430144349</v>
      </c>
      <c r="U189" s="86">
        <f t="shared" si="147"/>
        <v>-5676.7896899999996</v>
      </c>
      <c r="V189" s="85">
        <f t="shared" si="148"/>
        <v>-1141.3067828769733</v>
      </c>
      <c r="W189" s="85">
        <f t="shared" si="149"/>
        <v>-2289.5357818550497</v>
      </c>
      <c r="X189" s="90">
        <f t="shared" si="150"/>
        <v>1141.3067828769733</v>
      </c>
      <c r="Y189" s="86">
        <f t="shared" si="151"/>
        <v>9684.4999499999994</v>
      </c>
      <c r="Z189" s="85">
        <f t="shared" si="152"/>
        <v>-750</v>
      </c>
      <c r="AA189" s="85">
        <f t="shared" si="153"/>
        <v>866.02540378443871</v>
      </c>
      <c r="AB189" s="90">
        <f t="shared" si="154"/>
        <v>750</v>
      </c>
      <c r="AC189" s="86">
        <f t="shared" si="155"/>
        <v>5413.3364000000001</v>
      </c>
      <c r="AD189" s="85">
        <f t="shared" si="156"/>
        <v>1055.7627565116984</v>
      </c>
      <c r="AE189" s="85">
        <f t="shared" si="157"/>
        <v>2107.8110133214923</v>
      </c>
      <c r="AF189" s="90">
        <f t="shared" si="158"/>
        <v>1055.7627565116984</v>
      </c>
      <c r="AG189" s="86">
        <f t="shared" si="159"/>
        <v>-10281.251819999999</v>
      </c>
      <c r="AH189" s="85">
        <f t="shared" si="160"/>
        <v>6128</v>
      </c>
      <c r="AI189" s="85">
        <f t="shared" si="161"/>
        <v>-7076.004899188054</v>
      </c>
      <c r="AJ189" s="90">
        <f t="shared" si="162"/>
        <v>6128</v>
      </c>
      <c r="AL189" s="95">
        <f t="shared" si="163"/>
        <v>0</v>
      </c>
      <c r="AM189" s="95">
        <f t="shared" si="164"/>
        <v>0</v>
      </c>
      <c r="AN189" s="95">
        <f t="shared" si="165"/>
        <v>0</v>
      </c>
      <c r="AO189" s="95">
        <f t="shared" si="166"/>
        <v>0</v>
      </c>
      <c r="AP189"/>
      <c r="AQ189" s="95">
        <f t="shared" si="167"/>
        <v>0</v>
      </c>
      <c r="AR189" s="95">
        <f t="shared" si="168"/>
        <v>0</v>
      </c>
      <c r="AS189" s="95">
        <f>Geraetedaten!$B$94*ABS(SIN(RADIANS($A189)))</f>
        <v>76.999999999999986</v>
      </c>
      <c r="AT189" s="95">
        <f>Geraetedaten!$B$94*ABS(COS(RADIANS($A189)))</f>
        <v>133.36791218280356</v>
      </c>
      <c r="AU189" s="95">
        <f>((h_Aw_Sw+Geraetedaten!$B$18)/1000)*(AQ189*AS189+AR189*AT189)/100</f>
        <v>0</v>
      </c>
    </row>
    <row r="190" spans="1:47" ht="13.5" x14ac:dyDescent="0.25">
      <c r="A190" s="16">
        <v>151</v>
      </c>
      <c r="B190" s="16">
        <f t="shared" si="136"/>
        <v>299</v>
      </c>
      <c r="C190" s="19">
        <f t="shared" si="137"/>
        <v>57.000826658926599</v>
      </c>
      <c r="D190" s="17">
        <f t="shared" si="138"/>
        <v>-5912.3972366589269</v>
      </c>
      <c r="E190" s="17">
        <f t="shared" si="139"/>
        <v>9532.3360133410733</v>
      </c>
      <c r="F190" s="17">
        <f t="shared" si="140"/>
        <v>5525.5415133410734</v>
      </c>
      <c r="G190" s="17">
        <f t="shared" si="141"/>
        <v>-10237.225646658926</v>
      </c>
      <c r="H190" s="17">
        <f t="shared" si="169"/>
        <v>5525.5415133410734</v>
      </c>
      <c r="I190" s="17">
        <f t="shared" si="142"/>
        <v>2173.6953647301002</v>
      </c>
      <c r="J190" s="20">
        <f>(Geraetedaten!$B$152+(Geraetedaten!$B$153*(Geraetedaten!$B$18+d_y_Sw)/1000))*10</f>
        <v>6051.0442000000003</v>
      </c>
      <c r="K190" s="20">
        <f>(Geraetedaten!$B$165+(Geraetedaten!$B$166*(Geraetedaten!$B$18+d_y_Sw)/1000))*10</f>
        <v>10816.164000000001</v>
      </c>
      <c r="L190" s="20">
        <f>(Geraetedaten!$B$158+(Geraetedaten!$B$159*(Geraetedaten!$B$18+d_y_Sw)/1000)-(Geraetedaten!$B$160*I190/1000))*10</f>
        <v>442.13951890434151</v>
      </c>
      <c r="M190" s="20">
        <f>(Geraetedaten!$B$171+(Geraetedaten!$B$172*(Geraetedaten!$B$18+d_y_Sw)/1000)-(Geraetedaten!$B$173*I190/1000))*10</f>
        <v>903.05711704949226</v>
      </c>
      <c r="N190" s="20">
        <f>IF((H190-J190)/(K190-J190)*(Geraetedaten!$B$174-Geraetedaten!$B$161)&lt;Geraetedaten!$B$174,(H190-J190)/(K190-J190)*(Geraetedaten!$B$174-Geraetedaten!$B$161),Geraetedaten!$B$174)</f>
        <v>-44.11244281068668</v>
      </c>
      <c r="O190" s="20">
        <f>N190/Geraetedaten!$B$174*(M190-L190)+L190+C190</f>
        <v>448.30984259172556</v>
      </c>
      <c r="P190" s="20">
        <f t="shared" si="143"/>
        <v>177.72163973760163</v>
      </c>
      <c r="Q190" s="21">
        <f>(N190-Geraetedaten!$B$161)/(Geraetedaten!$B$174-Geraetedaten!$B$161)*(Geraetedaten!$B$175-Geraetedaten!$B$162)+Geraetedaten!$B$162</f>
        <v>27.887654826382072</v>
      </c>
      <c r="R190" s="21">
        <f t="shared" si="144"/>
        <v>27.887654826382072</v>
      </c>
      <c r="S190" s="21">
        <f t="shared" si="145"/>
        <v>13.520203345939224</v>
      </c>
      <c r="T190" s="88">
        <f t="shared" si="146"/>
        <v>-24.391092497054842</v>
      </c>
      <c r="U190" s="86">
        <f t="shared" si="147"/>
        <v>-5855.3964100000003</v>
      </c>
      <c r="V190" s="85">
        <f t="shared" si="148"/>
        <v>-1141.3067828769733</v>
      </c>
      <c r="W190" s="85">
        <f t="shared" si="149"/>
        <v>-2361.5705926674373</v>
      </c>
      <c r="X190" s="90">
        <f t="shared" si="150"/>
        <v>1141.3067828769733</v>
      </c>
      <c r="Y190" s="86">
        <f t="shared" si="151"/>
        <v>9589.3368399999999</v>
      </c>
      <c r="Z190" s="85">
        <f t="shared" si="152"/>
        <v>-750</v>
      </c>
      <c r="AA190" s="85">
        <f t="shared" si="153"/>
        <v>857.51555090499005</v>
      </c>
      <c r="AB190" s="90">
        <f t="shared" si="154"/>
        <v>750</v>
      </c>
      <c r="AC190" s="86">
        <f t="shared" si="155"/>
        <v>5582.54234</v>
      </c>
      <c r="AD190" s="85">
        <f t="shared" si="156"/>
        <v>1055.7627565116984</v>
      </c>
      <c r="AE190" s="85">
        <f t="shared" si="157"/>
        <v>2173.6953647301002</v>
      </c>
      <c r="AF190" s="90">
        <f t="shared" si="158"/>
        <v>1055.7627565116984</v>
      </c>
      <c r="AG190" s="86">
        <f t="shared" si="159"/>
        <v>-10180.224819999999</v>
      </c>
      <c r="AH190" s="85">
        <f t="shared" si="160"/>
        <v>6128</v>
      </c>
      <c r="AI190" s="85">
        <f t="shared" si="161"/>
        <v>-7006.4737279277051</v>
      </c>
      <c r="AJ190" s="90">
        <f t="shared" si="162"/>
        <v>6128</v>
      </c>
      <c r="AL190" s="95">
        <f t="shared" si="163"/>
        <v>0</v>
      </c>
      <c r="AM190" s="95">
        <f t="shared" si="164"/>
        <v>0</v>
      </c>
      <c r="AN190" s="95">
        <f t="shared" si="165"/>
        <v>0</v>
      </c>
      <c r="AO190" s="95">
        <f t="shared" si="166"/>
        <v>0</v>
      </c>
      <c r="AP190"/>
      <c r="AQ190" s="95">
        <f t="shared" si="167"/>
        <v>0</v>
      </c>
      <c r="AR190" s="95">
        <f t="shared" si="168"/>
        <v>0</v>
      </c>
      <c r="AS190" s="95">
        <f>Geraetedaten!$B$94*ABS(SIN(RADIANS($A190)))</f>
        <v>74.660681517935927</v>
      </c>
      <c r="AT190" s="95">
        <f>Geraetedaten!$B$94*ABS(COS(RADIANS($A190)))</f>
        <v>134.69143489946694</v>
      </c>
      <c r="AU190" s="95">
        <f>((h_Aw_Sw+Geraetedaten!$B$18)/1000)*(AQ190*AS190+AR190*AT190)/100</f>
        <v>0</v>
      </c>
    </row>
    <row r="191" spans="1:47" ht="13.5" x14ac:dyDescent="0.25">
      <c r="A191" s="16">
        <v>152</v>
      </c>
      <c r="B191" s="16">
        <f t="shared" si="136"/>
        <v>298</v>
      </c>
      <c r="C191" s="19">
        <f t="shared" si="137"/>
        <v>56.275516110805491</v>
      </c>
      <c r="D191" s="17">
        <f t="shared" si="138"/>
        <v>-6103.7845861108053</v>
      </c>
      <c r="E191" s="17">
        <f t="shared" si="139"/>
        <v>9442.6155238891952</v>
      </c>
      <c r="F191" s="17">
        <f t="shared" si="140"/>
        <v>5708.2044638891948</v>
      </c>
      <c r="G191" s="17">
        <f t="shared" si="141"/>
        <v>-10140.481336110804</v>
      </c>
      <c r="H191" s="17">
        <f t="shared" si="169"/>
        <v>5708.2044638891948</v>
      </c>
      <c r="I191" s="17">
        <f t="shared" si="142"/>
        <v>2244.5371038965714</v>
      </c>
      <c r="J191" s="20">
        <f>(Geraetedaten!$B$152+(Geraetedaten!$B$153*(Geraetedaten!$B$18+d_y_Sw)/1000))*10</f>
        <v>6051.0442000000003</v>
      </c>
      <c r="K191" s="20">
        <f>(Geraetedaten!$B$165+(Geraetedaten!$B$166*(Geraetedaten!$B$18+d_y_Sw)/1000))*10</f>
        <v>10816.164000000001</v>
      </c>
      <c r="L191" s="20">
        <f>(Geraetedaten!$B$158+(Geraetedaten!$B$159*(Geraetedaten!$B$18+d_y_Sw)/1000)-(Geraetedaten!$B$160*I191/1000))*10</f>
        <v>436.94469417126419</v>
      </c>
      <c r="M191" s="20">
        <f>(Geraetedaten!$B$171+(Geraetedaten!$B$172*(Geraetedaten!$B$18+d_y_Sw)/1000)-(Geraetedaten!$B$173*I191/1000))*10</f>
        <v>897.78365798594018</v>
      </c>
      <c r="N191" s="20">
        <f>IF((H191-J191)/(K191-J191)*(Geraetedaten!$B$174-Geraetedaten!$B$161)&lt;Geraetedaten!$B$174,(H191-J191)/(K191-J191)*(Geraetedaten!$B$174-Geraetedaten!$B$161),Geraetedaten!$B$174)</f>
        <v>-28.779107388721304</v>
      </c>
      <c r="O191" s="20">
        <f>N191/Geraetedaten!$B$174*(M191-L191)+L191+C191</f>
        <v>460.06387521074566</v>
      </c>
      <c r="P191" s="20">
        <f t="shared" si="143"/>
        <v>179.68860007227937</v>
      </c>
      <c r="Q191" s="21">
        <f>(N191-Geraetedaten!$B$161)/(Geraetedaten!$B$174-Geraetedaten!$B$161)*(Geraetedaten!$B$175-Geraetedaten!$B$162)+Geraetedaten!$B$162</f>
        <v>28.343821555185542</v>
      </c>
      <c r="R191" s="21">
        <f t="shared" si="144"/>
        <v>28.343821555185542</v>
      </c>
      <c r="S191" s="21">
        <f t="shared" si="145"/>
        <v>13.306618200837372</v>
      </c>
      <c r="T191" s="88">
        <f t="shared" si="146"/>
        <v>-25.026109014574043</v>
      </c>
      <c r="U191" s="86">
        <f t="shared" si="147"/>
        <v>-6047.5090700000001</v>
      </c>
      <c r="V191" s="85">
        <f t="shared" si="148"/>
        <v>-1141.3067828769733</v>
      </c>
      <c r="W191" s="85">
        <f t="shared" si="149"/>
        <v>-2439.0525529471638</v>
      </c>
      <c r="X191" s="90">
        <f t="shared" si="150"/>
        <v>1141.3067828769733</v>
      </c>
      <c r="Y191" s="86">
        <f t="shared" si="151"/>
        <v>9498.8910400000004</v>
      </c>
      <c r="Z191" s="85">
        <f t="shared" si="152"/>
        <v>-750</v>
      </c>
      <c r="AA191" s="85">
        <f t="shared" si="153"/>
        <v>849.42753801677941</v>
      </c>
      <c r="AB191" s="90">
        <f t="shared" si="154"/>
        <v>750</v>
      </c>
      <c r="AC191" s="86">
        <f t="shared" si="155"/>
        <v>5764.4799800000001</v>
      </c>
      <c r="AD191" s="85">
        <f t="shared" si="156"/>
        <v>1055.7627565116984</v>
      </c>
      <c r="AE191" s="85">
        <f t="shared" si="157"/>
        <v>2244.5371038965714</v>
      </c>
      <c r="AF191" s="90">
        <f t="shared" si="158"/>
        <v>1055.7627565116984</v>
      </c>
      <c r="AG191" s="86">
        <f t="shared" si="159"/>
        <v>-10084.205819999999</v>
      </c>
      <c r="AH191" s="85">
        <f t="shared" si="160"/>
        <v>6128</v>
      </c>
      <c r="AI191" s="85">
        <f t="shared" si="161"/>
        <v>-6940.3892706224324</v>
      </c>
      <c r="AJ191" s="90">
        <f t="shared" si="162"/>
        <v>6128</v>
      </c>
      <c r="AL191" s="95">
        <f t="shared" si="163"/>
        <v>0</v>
      </c>
      <c r="AM191" s="95">
        <f t="shared" si="164"/>
        <v>0</v>
      </c>
      <c r="AN191" s="95">
        <f t="shared" si="165"/>
        <v>0</v>
      </c>
      <c r="AO191" s="95">
        <f t="shared" si="166"/>
        <v>0</v>
      </c>
      <c r="AP191"/>
      <c r="AQ191" s="95">
        <f t="shared" si="167"/>
        <v>0</v>
      </c>
      <c r="AR191" s="95">
        <f t="shared" si="168"/>
        <v>0</v>
      </c>
      <c r="AS191" s="95">
        <f>Geraetedaten!$B$94*ABS(SIN(RADIANS($A191)))</f>
        <v>72.298620669027173</v>
      </c>
      <c r="AT191" s="95">
        <f>Geraetedaten!$B$94*ABS(COS(RADIANS($A191)))</f>
        <v>135.97392930027476</v>
      </c>
      <c r="AU191" s="95">
        <f>((h_Aw_Sw+Geraetedaten!$B$18)/1000)*(AQ191*AS191+AR191*AT191)/100</f>
        <v>0</v>
      </c>
    </row>
    <row r="192" spans="1:47" ht="13.5" x14ac:dyDescent="0.25">
      <c r="A192" s="16">
        <v>153</v>
      </c>
      <c r="B192" s="16">
        <f t="shared" si="136"/>
        <v>297</v>
      </c>
      <c r="C192" s="19">
        <f t="shared" si="137"/>
        <v>55.533063495323873</v>
      </c>
      <c r="D192" s="17">
        <f t="shared" si="138"/>
        <v>-6310.1585034953241</v>
      </c>
      <c r="E192" s="17">
        <f t="shared" si="139"/>
        <v>9357.442876504676</v>
      </c>
      <c r="F192" s="17">
        <f t="shared" si="140"/>
        <v>5905.0197365046761</v>
      </c>
      <c r="G192" s="17">
        <f t="shared" si="141"/>
        <v>-10048.529763495324</v>
      </c>
      <c r="H192" s="17">
        <f t="shared" si="169"/>
        <v>5905.0197365046761</v>
      </c>
      <c r="I192" s="17">
        <f t="shared" si="142"/>
        <v>2320.8827102112177</v>
      </c>
      <c r="J192" s="20">
        <f>(Geraetedaten!$B$152+(Geraetedaten!$B$153*(Geraetedaten!$B$18+d_y_Sw)/1000))*10</f>
        <v>6051.0442000000003</v>
      </c>
      <c r="K192" s="20">
        <f>(Geraetedaten!$B$165+(Geraetedaten!$B$166*(Geraetedaten!$B$18+d_y_Sw)/1000))*10</f>
        <v>10816.164000000001</v>
      </c>
      <c r="L192" s="20">
        <f>(Geraetedaten!$B$158+(Geraetedaten!$B$159*(Geraetedaten!$B$18+d_y_Sw)/1000)-(Geraetedaten!$B$160*I192/1000))*10</f>
        <v>431.34627086021118</v>
      </c>
      <c r="M192" s="20">
        <f>(Geraetedaten!$B$171+(Geraetedaten!$B$172*(Geraetedaten!$B$18+d_y_Sw)/1000)-(Geraetedaten!$B$173*I192/1000))*10</f>
        <v>892.10049105187773</v>
      </c>
      <c r="N192" s="20">
        <f>IF((H192-J192)/(K192-J192)*(Geraetedaten!$B$174-Geraetedaten!$B$161)&lt;Geraetedaten!$B$174,(H192-J192)/(K192-J192)*(Geraetedaten!$B$174-Geraetedaten!$B$161),Geraetedaten!$B$174)</f>
        <v>-12.257778996055812</v>
      </c>
      <c r="O192" s="20">
        <f>N192/Geraetedaten!$B$174*(M192-L192)+L192+C192</f>
        <v>472.75977584901131</v>
      </c>
      <c r="P192" s="20">
        <f t="shared" si="143"/>
        <v>181.75606624149947</v>
      </c>
      <c r="Q192" s="21">
        <f>(N192-Geraetedaten!$B$161)/(Geraetedaten!$B$174-Geraetedaten!$B$161)*(Geraetedaten!$B$175-Geraetedaten!$B$162)+Geraetedaten!$B$162</f>
        <v>28.835331074867337</v>
      </c>
      <c r="R192" s="21">
        <f t="shared" si="144"/>
        <v>28.835331074867337</v>
      </c>
      <c r="S192" s="21">
        <f t="shared" si="145"/>
        <v>13.090966364834307</v>
      </c>
      <c r="T192" s="88">
        <f t="shared" si="146"/>
        <v>-25.692468114838377</v>
      </c>
      <c r="U192" s="86">
        <f t="shared" si="147"/>
        <v>-6254.6254399999998</v>
      </c>
      <c r="V192" s="85">
        <f t="shared" si="148"/>
        <v>-1141.3067828769733</v>
      </c>
      <c r="W192" s="85">
        <f t="shared" si="149"/>
        <v>-2522.5857445846868</v>
      </c>
      <c r="X192" s="90">
        <f t="shared" si="150"/>
        <v>1141.3067828769733</v>
      </c>
      <c r="Y192" s="86">
        <f t="shared" si="151"/>
        <v>9412.9759400000003</v>
      </c>
      <c r="Z192" s="85">
        <f t="shared" si="152"/>
        <v>-750</v>
      </c>
      <c r="AA192" s="85">
        <f t="shared" si="153"/>
        <v>841.74467822577071</v>
      </c>
      <c r="AB192" s="90">
        <f t="shared" si="154"/>
        <v>750</v>
      </c>
      <c r="AC192" s="86">
        <f t="shared" si="155"/>
        <v>5960.5528000000004</v>
      </c>
      <c r="AD192" s="85">
        <f t="shared" si="156"/>
        <v>1055.7627565116984</v>
      </c>
      <c r="AE192" s="85">
        <f t="shared" si="157"/>
        <v>2320.8827102112177</v>
      </c>
      <c r="AF192" s="90">
        <f t="shared" si="158"/>
        <v>1055.7627565116984</v>
      </c>
      <c r="AG192" s="86">
        <f t="shared" si="159"/>
        <v>-9992.9966999999997</v>
      </c>
      <c r="AH192" s="85">
        <f t="shared" si="160"/>
        <v>6128</v>
      </c>
      <c r="AI192" s="85">
        <f t="shared" si="161"/>
        <v>-6877.6151842233639</v>
      </c>
      <c r="AJ192" s="90">
        <f t="shared" si="162"/>
        <v>6128</v>
      </c>
      <c r="AL192" s="95">
        <f t="shared" si="163"/>
        <v>0</v>
      </c>
      <c r="AM192" s="95">
        <f t="shared" si="164"/>
        <v>0</v>
      </c>
      <c r="AN192" s="95">
        <f t="shared" si="165"/>
        <v>0</v>
      </c>
      <c r="AO192" s="95">
        <f t="shared" si="166"/>
        <v>0</v>
      </c>
      <c r="AP192"/>
      <c r="AQ192" s="95">
        <f t="shared" si="167"/>
        <v>0</v>
      </c>
      <c r="AR192" s="95">
        <f t="shared" si="168"/>
        <v>0</v>
      </c>
      <c r="AS192" s="95">
        <f>Geraetedaten!$B$94*ABS(SIN(RADIANS($A192)))</f>
        <v>69.914536959890214</v>
      </c>
      <c r="AT192" s="95">
        <f>Geraetedaten!$B$94*ABS(COS(RADIANS($A192)))</f>
        <v>137.21500472500864</v>
      </c>
      <c r="AU192" s="95">
        <f>((h_Aw_Sw+Geraetedaten!$B$18)/1000)*(AQ192*AS192+AR192*AT192)/100</f>
        <v>0</v>
      </c>
    </row>
    <row r="193" spans="1:47" ht="13.5" x14ac:dyDescent="0.25">
      <c r="A193" s="16">
        <v>154</v>
      </c>
      <c r="B193" s="16">
        <f t="shared" si="136"/>
        <v>296</v>
      </c>
      <c r="C193" s="19">
        <f t="shared" si="137"/>
        <v>54.773694970740706</v>
      </c>
      <c r="D193" s="17">
        <f t="shared" si="138"/>
        <v>-6533.2487349707408</v>
      </c>
      <c r="E193" s="17">
        <f t="shared" si="139"/>
        <v>9276.6443450292591</v>
      </c>
      <c r="F193" s="17">
        <f t="shared" si="140"/>
        <v>6117.6063950292591</v>
      </c>
      <c r="G193" s="17">
        <f t="shared" si="141"/>
        <v>-9961.1869549707408</v>
      </c>
      <c r="H193" s="17">
        <f t="shared" si="169"/>
        <v>6117.6063950292591</v>
      </c>
      <c r="I193" s="17">
        <f t="shared" si="142"/>
        <v>2403.3626920683114</v>
      </c>
      <c r="J193" s="20">
        <f>(Geraetedaten!$B$152+(Geraetedaten!$B$153*(Geraetedaten!$B$18+d_y_Sw)/1000))*10</f>
        <v>6051.0442000000003</v>
      </c>
      <c r="K193" s="20">
        <f>(Geraetedaten!$B$165+(Geraetedaten!$B$166*(Geraetedaten!$B$18+d_y_Sw)/1000))*10</f>
        <v>10816.164000000001</v>
      </c>
      <c r="L193" s="20">
        <f>(Geraetedaten!$B$158+(Geraetedaten!$B$159*(Geraetedaten!$B$18+d_y_Sw)/1000)-(Geraetedaten!$B$160*I193/1000))*10</f>
        <v>425.29801379063042</v>
      </c>
      <c r="M193" s="20">
        <f>(Geraetedaten!$B$171+(Geraetedaten!$B$172*(Geraetedaten!$B$18+d_y_Sw)/1000)-(Geraetedaten!$B$173*I193/1000))*10</f>
        <v>885.96068120243581</v>
      </c>
      <c r="N193" s="20">
        <f>IF((H193-J193)/(K193-J193)*(Geraetedaten!$B$174-Geraetedaten!$B$161)&lt;Geraetedaten!$B$174,(H193-J193)/(K193-J193)*(Geraetedaten!$B$174-Geraetedaten!$B$161),Geraetedaten!$B$174)</f>
        <v>5.5874519695608802</v>
      </c>
      <c r="O193" s="20">
        <f>N193/Geraetedaten!$B$174*(M193-L193)+L193+C193</f>
        <v>486.50653508220432</v>
      </c>
      <c r="P193" s="20">
        <f t="shared" si="143"/>
        <v>183.9304569470774</v>
      </c>
      <c r="Q193" s="21">
        <f>(N193-Geraetedaten!$B$161)/(Geraetedaten!$B$174-Geraetedaten!$B$161)*(Geraetedaten!$B$175-Geraetedaten!$B$162)+Geraetedaten!$B$162</f>
        <v>29.366226696094436</v>
      </c>
      <c r="R193" s="21">
        <f t="shared" si="144"/>
        <v>29.366226696094436</v>
      </c>
      <c r="S193" s="21">
        <f t="shared" si="145"/>
        <v>12.873306473634935</v>
      </c>
      <c r="T193" s="88">
        <f t="shared" si="146"/>
        <v>-26.394189716721339</v>
      </c>
      <c r="U193" s="86">
        <f t="shared" si="147"/>
        <v>-6478.4750400000003</v>
      </c>
      <c r="V193" s="85">
        <f t="shared" si="148"/>
        <v>-1141.3067828769733</v>
      </c>
      <c r="W193" s="85">
        <f t="shared" si="149"/>
        <v>-2612.8676992069195</v>
      </c>
      <c r="X193" s="90">
        <f t="shared" si="150"/>
        <v>1141.3067828769733</v>
      </c>
      <c r="Y193" s="86">
        <f t="shared" si="151"/>
        <v>9331.4180400000005</v>
      </c>
      <c r="Z193" s="85">
        <f t="shared" si="152"/>
        <v>-750</v>
      </c>
      <c r="AA193" s="85">
        <f t="shared" si="153"/>
        <v>834.45145535639165</v>
      </c>
      <c r="AB193" s="90">
        <f t="shared" si="154"/>
        <v>750</v>
      </c>
      <c r="AC193" s="86">
        <f t="shared" si="155"/>
        <v>6172.3800899999997</v>
      </c>
      <c r="AD193" s="85">
        <f t="shared" si="156"/>
        <v>1055.7627565116984</v>
      </c>
      <c r="AE193" s="85">
        <f t="shared" si="157"/>
        <v>2403.3626920683114</v>
      </c>
      <c r="AF193" s="90">
        <f t="shared" si="158"/>
        <v>1055.7627565116984</v>
      </c>
      <c r="AG193" s="86">
        <f t="shared" si="159"/>
        <v>-9906.4132599999994</v>
      </c>
      <c r="AH193" s="85">
        <f t="shared" si="160"/>
        <v>6128</v>
      </c>
      <c r="AI193" s="85">
        <f t="shared" si="161"/>
        <v>-6818.0246912319571</v>
      </c>
      <c r="AJ193" s="90">
        <f t="shared" si="162"/>
        <v>6128</v>
      </c>
      <c r="AL193" s="95">
        <f t="shared" si="163"/>
        <v>0</v>
      </c>
      <c r="AM193" s="95">
        <f t="shared" si="164"/>
        <v>0</v>
      </c>
      <c r="AN193" s="95">
        <f t="shared" si="165"/>
        <v>0</v>
      </c>
      <c r="AO193" s="95">
        <f t="shared" si="166"/>
        <v>0</v>
      </c>
      <c r="AP193"/>
      <c r="AQ193" s="95">
        <f t="shared" si="167"/>
        <v>0</v>
      </c>
      <c r="AR193" s="95">
        <f t="shared" si="168"/>
        <v>0</v>
      </c>
      <c r="AS193" s="95">
        <f>Geraetedaten!$B$94*ABS(SIN(RADIANS($A193)))</f>
        <v>67.509156605517902</v>
      </c>
      <c r="AT193" s="95">
        <f>Geraetedaten!$B$94*ABS(COS(RADIANS($A193)))</f>
        <v>138.41428313007174</v>
      </c>
      <c r="AU193" s="95">
        <f>((h_Aw_Sw+Geraetedaten!$B$18)/1000)*(AQ193*AS193+AR193*AT193)/100</f>
        <v>0</v>
      </c>
    </row>
    <row r="194" spans="1:47" ht="13.5" x14ac:dyDescent="0.25">
      <c r="A194" s="16">
        <v>155</v>
      </c>
      <c r="B194" s="16">
        <f t="shared" si="136"/>
        <v>295</v>
      </c>
      <c r="C194" s="19">
        <f t="shared" si="137"/>
        <v>53.997641848064774</v>
      </c>
      <c r="D194" s="17">
        <f t="shared" si="138"/>
        <v>-6775.063221848065</v>
      </c>
      <c r="E194" s="17">
        <f t="shared" si="139"/>
        <v>9200.0583181519341</v>
      </c>
      <c r="F194" s="17">
        <f t="shared" si="140"/>
        <v>6347.8423481519358</v>
      </c>
      <c r="G194" s="17">
        <f t="shared" si="141"/>
        <v>-9878.2818218480661</v>
      </c>
      <c r="H194" s="17">
        <f t="shared" si="169"/>
        <v>6347.8423481519358</v>
      </c>
      <c r="I194" s="17">
        <f t="shared" si="142"/>
        <v>2492.708350097706</v>
      </c>
      <c r="J194" s="20">
        <f>(Geraetedaten!$B$152+(Geraetedaten!$B$153*(Geraetedaten!$B$18+d_y_Sw)/1000))*10</f>
        <v>6051.0442000000003</v>
      </c>
      <c r="K194" s="20">
        <f>(Geraetedaten!$B$165+(Geraetedaten!$B$166*(Geraetedaten!$B$18+d_y_Sw)/1000))*10</f>
        <v>10816.164000000001</v>
      </c>
      <c r="L194" s="20">
        <f>(Geraetedaten!$B$158+(Geraetedaten!$B$159*(Geraetedaten!$B$18+d_y_Sw)/1000)-(Geraetedaten!$B$160*I194/1000))*10</f>
        <v>418.74629668733508</v>
      </c>
      <c r="M194" s="20">
        <f>(Geraetedaten!$B$171+(Geraetedaten!$B$172*(Geraetedaten!$B$18+d_y_Sw)/1000)-(Geraetedaten!$B$173*I194/1000))*10</f>
        <v>879.30979041872774</v>
      </c>
      <c r="N194" s="20">
        <f>IF((H194-J194)/(K194-J194)*(Geraetedaten!$B$174-Geraetedaten!$B$161)&lt;Geraetedaten!$B$174,(H194-J194)/(K194-J194)*(Geraetedaten!$B$174-Geraetedaten!$B$161),Geraetedaten!$B$174)</f>
        <v>24.914223407515205</v>
      </c>
      <c r="O194" s="20">
        <f>N194/Geraetedaten!$B$174*(M194-L194)+L194+C194</f>
        <v>501.43039297582391</v>
      </c>
      <c r="P194" s="20">
        <f t="shared" si="143"/>
        <v>186.21865775915771</v>
      </c>
      <c r="Q194" s="21">
        <f>(N194-Geraetedaten!$B$161)/(Geraetedaten!$B$174-Geraetedaten!$B$161)*(Geraetedaten!$B$175-Geraetedaten!$B$162)+Geraetedaten!$B$162</f>
        <v>29.941198146373576</v>
      </c>
      <c r="R194" s="21">
        <f t="shared" si="144"/>
        <v>29.941198146373576</v>
      </c>
      <c r="S194" s="21">
        <f t="shared" si="145"/>
        <v>12.653697115054255</v>
      </c>
      <c r="T194" s="88">
        <f t="shared" si="146"/>
        <v>-27.135941033265681</v>
      </c>
      <c r="U194" s="86">
        <f t="shared" si="147"/>
        <v>-6721.0655800000004</v>
      </c>
      <c r="V194" s="85">
        <f t="shared" si="148"/>
        <v>-1141.3067828769733</v>
      </c>
      <c r="W194" s="85">
        <f t="shared" si="149"/>
        <v>-2710.7081594226247</v>
      </c>
      <c r="X194" s="90">
        <f t="shared" si="150"/>
        <v>1141.3067828769733</v>
      </c>
      <c r="Y194" s="86">
        <f t="shared" si="151"/>
        <v>9254.0559599999997</v>
      </c>
      <c r="Z194" s="85">
        <f t="shared" si="152"/>
        <v>-750</v>
      </c>
      <c r="AA194" s="85">
        <f t="shared" si="153"/>
        <v>827.53343922186889</v>
      </c>
      <c r="AB194" s="90">
        <f t="shared" si="154"/>
        <v>750</v>
      </c>
      <c r="AC194" s="86">
        <f t="shared" si="155"/>
        <v>6401.8399900000004</v>
      </c>
      <c r="AD194" s="85">
        <f t="shared" si="156"/>
        <v>1055.7627565116984</v>
      </c>
      <c r="AE194" s="85">
        <f t="shared" si="157"/>
        <v>2492.708350097706</v>
      </c>
      <c r="AF194" s="90">
        <f t="shared" si="158"/>
        <v>1055.7627565116984</v>
      </c>
      <c r="AG194" s="86">
        <f t="shared" si="159"/>
        <v>-9824.2841800000006</v>
      </c>
      <c r="AH194" s="85">
        <f t="shared" si="160"/>
        <v>6128</v>
      </c>
      <c r="AI194" s="85">
        <f t="shared" si="161"/>
        <v>-6761.4998874021494</v>
      </c>
      <c r="AJ194" s="90">
        <f t="shared" si="162"/>
        <v>6128</v>
      </c>
      <c r="AL194" s="95">
        <f t="shared" si="163"/>
        <v>0</v>
      </c>
      <c r="AM194" s="95">
        <f t="shared" si="164"/>
        <v>0</v>
      </c>
      <c r="AN194" s="95">
        <f t="shared" si="165"/>
        <v>0</v>
      </c>
      <c r="AO194" s="95">
        <f t="shared" si="166"/>
        <v>0</v>
      </c>
      <c r="AP194"/>
      <c r="AQ194" s="95">
        <f t="shared" si="167"/>
        <v>0</v>
      </c>
      <c r="AR194" s="95">
        <f t="shared" si="168"/>
        <v>0</v>
      </c>
      <c r="AS194" s="95">
        <f>Geraetedaten!$B$94*ABS(SIN(RADIANS($A194)))</f>
        <v>65.083212308067729</v>
      </c>
      <c r="AT194" s="95">
        <f>Geraetedaten!$B$94*ABS(COS(RADIANS($A194)))</f>
        <v>139.57139920364409</v>
      </c>
      <c r="AU194" s="95">
        <f>((h_Aw_Sw+Geraetedaten!$B$18)/1000)*(AQ194*AS194+AR194*AT194)/100</f>
        <v>0</v>
      </c>
    </row>
    <row r="195" spans="1:47" ht="13.5" x14ac:dyDescent="0.25">
      <c r="A195" s="16">
        <v>156</v>
      </c>
      <c r="B195" s="16">
        <f t="shared" si="136"/>
        <v>294</v>
      </c>
      <c r="C195" s="19">
        <f t="shared" si="137"/>
        <v>53.205140520595016</v>
      </c>
      <c r="D195" s="17">
        <f t="shared" si="138"/>
        <v>-7037.9463305205945</v>
      </c>
      <c r="E195" s="17">
        <f t="shared" si="139"/>
        <v>9127.5344794794055</v>
      </c>
      <c r="F195" s="17">
        <f t="shared" si="140"/>
        <v>6597.9181494794057</v>
      </c>
      <c r="G195" s="17">
        <f t="shared" si="141"/>
        <v>-9799.6552805205956</v>
      </c>
      <c r="H195" s="17">
        <f t="shared" si="169"/>
        <v>6597.9181494794057</v>
      </c>
      <c r="I195" s="17">
        <f t="shared" si="142"/>
        <v>2589.7727212314871</v>
      </c>
      <c r="J195" s="20">
        <f>(Geraetedaten!$B$152+(Geraetedaten!$B$153*(Geraetedaten!$B$18+d_y_Sw)/1000))*10</f>
        <v>6051.0442000000003</v>
      </c>
      <c r="K195" s="20">
        <f>(Geraetedaten!$B$165+(Geraetedaten!$B$166*(Geraetedaten!$B$18+d_y_Sw)/1000))*10</f>
        <v>10816.164000000001</v>
      </c>
      <c r="L195" s="20">
        <f>(Geraetedaten!$B$158+(Geraetedaten!$B$159*(Geraetedaten!$B$18+d_y_Sw)/1000)-(Geraetedaten!$B$160*I195/1000))*10</f>
        <v>411.62856635209482</v>
      </c>
      <c r="M195" s="20">
        <f>(Geraetedaten!$B$171+(Geraetedaten!$B$172*(Geraetedaten!$B$18+d_y_Sw)/1000)-(Geraetedaten!$B$173*I195/1000))*10</f>
        <v>872.08431863152896</v>
      </c>
      <c r="N195" s="20">
        <f>IF((H195-J195)/(K195-J195)*(Geraetedaten!$B$174-Geraetedaten!$B$161)&lt;Geraetedaten!$B$174,(H195-J195)/(K195-J195)*(Geraetedaten!$B$174-Geraetedaten!$B$161),Geraetedaten!$B$174)</f>
        <v>45.906417671128047</v>
      </c>
      <c r="O195" s="20">
        <f>N195/Geraetedaten!$B$174*(M195-L195)+L195+C195</f>
        <v>517.6783920807228</v>
      </c>
      <c r="P195" s="20">
        <f t="shared" si="143"/>
        <v>188.62805772078929</v>
      </c>
      <c r="Q195" s="21">
        <f>(N195-Geraetedaten!$B$161)/(Geraetedaten!$B$174-Geraetedaten!$B$161)*(Geraetedaten!$B$175-Geraetedaten!$B$162)+Geraetedaten!$B$162</f>
        <v>30.565715925716059</v>
      </c>
      <c r="R195" s="21">
        <f t="shared" si="144"/>
        <v>30.565715925716059</v>
      </c>
      <c r="S195" s="21">
        <f t="shared" si="145"/>
        <v>12.432196688834281</v>
      </c>
      <c r="T195" s="88">
        <f t="shared" si="146"/>
        <v>-27.923170943532007</v>
      </c>
      <c r="U195" s="86">
        <f t="shared" si="147"/>
        <v>-6984.7411899999997</v>
      </c>
      <c r="V195" s="85">
        <f t="shared" si="148"/>
        <v>-1141.3067828769733</v>
      </c>
      <c r="W195" s="85">
        <f t="shared" si="149"/>
        <v>-2817.0525501965781</v>
      </c>
      <c r="X195" s="90">
        <f t="shared" si="150"/>
        <v>1141.3067828769733</v>
      </c>
      <c r="Y195" s="86">
        <f t="shared" si="151"/>
        <v>9180.7396200000003</v>
      </c>
      <c r="Z195" s="85">
        <f t="shared" si="152"/>
        <v>-750</v>
      </c>
      <c r="AA195" s="85">
        <f t="shared" si="153"/>
        <v>820.97720887953506</v>
      </c>
      <c r="AB195" s="90">
        <f t="shared" si="154"/>
        <v>750</v>
      </c>
      <c r="AC195" s="86">
        <f t="shared" si="155"/>
        <v>6651.1232900000005</v>
      </c>
      <c r="AD195" s="85">
        <f t="shared" si="156"/>
        <v>1055.7627565116984</v>
      </c>
      <c r="AE195" s="85">
        <f t="shared" si="157"/>
        <v>2589.7727212314871</v>
      </c>
      <c r="AF195" s="90">
        <f t="shared" si="158"/>
        <v>1055.7627565116984</v>
      </c>
      <c r="AG195" s="86">
        <f t="shared" si="159"/>
        <v>-9746.4501400000008</v>
      </c>
      <c r="AH195" s="85">
        <f t="shared" si="160"/>
        <v>6128</v>
      </c>
      <c r="AI195" s="85">
        <f t="shared" si="161"/>
        <v>-6707.931114685055</v>
      </c>
      <c r="AJ195" s="90">
        <f t="shared" si="162"/>
        <v>6128</v>
      </c>
      <c r="AL195" s="95">
        <f t="shared" si="163"/>
        <v>0</v>
      </c>
      <c r="AM195" s="95">
        <f t="shared" si="164"/>
        <v>0</v>
      </c>
      <c r="AN195" s="95">
        <f t="shared" si="165"/>
        <v>0</v>
      </c>
      <c r="AO195" s="95">
        <f t="shared" si="166"/>
        <v>0</v>
      </c>
      <c r="AP195"/>
      <c r="AQ195" s="95">
        <f t="shared" si="167"/>
        <v>0</v>
      </c>
      <c r="AR195" s="95">
        <f t="shared" si="168"/>
        <v>0</v>
      </c>
      <c r="AS195" s="95">
        <f>Geraetedaten!$B$94*ABS(SIN(RADIANS($A195)))</f>
        <v>62.637443033673264</v>
      </c>
      <c r="AT195" s="95">
        <f>Geraetedaten!$B$94*ABS(COS(RADIANS($A195)))</f>
        <v>140.68600047696052</v>
      </c>
      <c r="AU195" s="95">
        <f>((h_Aw_Sw+Geraetedaten!$B$18)/1000)*(AQ195*AS195+AR195*AT195)/100</f>
        <v>0</v>
      </c>
    </row>
    <row r="196" spans="1:47" ht="13.5" x14ac:dyDescent="0.25">
      <c r="A196" s="16">
        <v>157</v>
      </c>
      <c r="B196" s="16">
        <f t="shared" si="136"/>
        <v>293</v>
      </c>
      <c r="C196" s="19">
        <f t="shared" si="137"/>
        <v>52.396432391912896</v>
      </c>
      <c r="D196" s="17">
        <f t="shared" si="138"/>
        <v>-7324.6523023919126</v>
      </c>
      <c r="E196" s="17">
        <f t="shared" si="139"/>
        <v>9058.9330176080857</v>
      </c>
      <c r="F196" s="17">
        <f t="shared" si="140"/>
        <v>6870.4047976080874</v>
      </c>
      <c r="G196" s="17">
        <f t="shared" si="141"/>
        <v>-9725.1593923919136</v>
      </c>
      <c r="H196" s="17">
        <f t="shared" si="169"/>
        <v>6870.4047976080874</v>
      </c>
      <c r="I196" s="17">
        <f t="shared" si="142"/>
        <v>2695.5569728089208</v>
      </c>
      <c r="J196" s="20">
        <f>(Geraetedaten!$B$152+(Geraetedaten!$B$153*(Geraetedaten!$B$18+d_y_Sw)/1000))*10</f>
        <v>6051.0442000000003</v>
      </c>
      <c r="K196" s="20">
        <f>(Geraetedaten!$B$165+(Geraetedaten!$B$166*(Geraetedaten!$B$18+d_y_Sw)/1000))*10</f>
        <v>10816.164000000001</v>
      </c>
      <c r="L196" s="20">
        <f>(Geraetedaten!$B$158+(Geraetedaten!$B$159*(Geraetedaten!$B$18+d_y_Sw)/1000)-(Geraetedaten!$B$160*I196/1000))*10</f>
        <v>403.87140718392163</v>
      </c>
      <c r="M196" s="20">
        <f>(Geraetedaten!$B$171+(Geraetedaten!$B$172*(Geraetedaten!$B$18+d_y_Sw)/1000)-(Geraetedaten!$B$173*I196/1000))*10</f>
        <v>864.20973894410486</v>
      </c>
      <c r="N196" s="20">
        <f>IF((H196-J196)/(K196-J196)*(Geraetedaten!$B$174-Geraetedaten!$B$161)&lt;Geraetedaten!$B$174,(H196-J196)/(K196-J196)*(Geraetedaten!$B$174-Geraetedaten!$B$161),Geraetedaten!$B$174)</f>
        <v>68.77985293113403</v>
      </c>
      <c r="O196" s="20">
        <f>N196/Geraetedaten!$B$174*(M196-L196)+L196+C196</f>
        <v>535.42284646840699</v>
      </c>
      <c r="P196" s="20">
        <f t="shared" si="143"/>
        <v>191.16658750223621</v>
      </c>
      <c r="Q196" s="21">
        <f>(N196-Geraetedaten!$B$161)/(Geraetedaten!$B$174-Geraetedaten!$B$161)*(Geraetedaten!$B$175-Geraetedaten!$B$162)+Geraetedaten!$B$162</f>
        <v>31.246200624701238</v>
      </c>
      <c r="R196" s="21">
        <f t="shared" si="144"/>
        <v>31.246200624701238</v>
      </c>
      <c r="S196" s="21">
        <f t="shared" si="145"/>
        <v>12.208863231091765</v>
      </c>
      <c r="T196" s="88">
        <f t="shared" si="146"/>
        <v>-28.762279326986164</v>
      </c>
      <c r="U196" s="86">
        <f t="shared" si="147"/>
        <v>-7272.25587</v>
      </c>
      <c r="V196" s="85">
        <f t="shared" si="148"/>
        <v>-1141.3067828769733</v>
      </c>
      <c r="W196" s="85">
        <f t="shared" si="149"/>
        <v>-2933.0116001199244</v>
      </c>
      <c r="X196" s="90">
        <f t="shared" si="150"/>
        <v>1141.3067828769733</v>
      </c>
      <c r="Y196" s="86">
        <f t="shared" si="151"/>
        <v>9111.3294499999993</v>
      </c>
      <c r="Z196" s="85">
        <f t="shared" si="152"/>
        <v>-750</v>
      </c>
      <c r="AA196" s="85">
        <f t="shared" si="153"/>
        <v>814.77028305397221</v>
      </c>
      <c r="AB196" s="90">
        <f t="shared" si="154"/>
        <v>750</v>
      </c>
      <c r="AC196" s="86">
        <f t="shared" si="155"/>
        <v>6922.80123</v>
      </c>
      <c r="AD196" s="85">
        <f t="shared" si="156"/>
        <v>1055.7627565116984</v>
      </c>
      <c r="AE196" s="85">
        <f t="shared" si="157"/>
        <v>2695.5569728089208</v>
      </c>
      <c r="AF196" s="90">
        <f t="shared" si="158"/>
        <v>1055.7627565116984</v>
      </c>
      <c r="AG196" s="86">
        <f t="shared" si="159"/>
        <v>-9672.76296</v>
      </c>
      <c r="AH196" s="85">
        <f t="shared" si="160"/>
        <v>6128</v>
      </c>
      <c r="AI196" s="85">
        <f t="shared" si="161"/>
        <v>-6657.216392739655</v>
      </c>
      <c r="AJ196" s="90">
        <f t="shared" si="162"/>
        <v>6128</v>
      </c>
      <c r="AL196" s="95">
        <f t="shared" si="163"/>
        <v>0</v>
      </c>
      <c r="AM196" s="95">
        <f t="shared" si="164"/>
        <v>0</v>
      </c>
      <c r="AN196" s="95">
        <f t="shared" si="165"/>
        <v>0</v>
      </c>
      <c r="AO196" s="95">
        <f t="shared" si="166"/>
        <v>0</v>
      </c>
      <c r="AP196"/>
      <c r="AQ196" s="95">
        <f t="shared" si="167"/>
        <v>0</v>
      </c>
      <c r="AR196" s="95">
        <f t="shared" si="168"/>
        <v>0</v>
      </c>
      <c r="AS196" s="95">
        <f>Geraetedaten!$B$94*ABS(SIN(RADIANS($A196)))</f>
        <v>60.172593787348163</v>
      </c>
      <c r="AT196" s="95">
        <f>Geraetedaten!$B$94*ABS(COS(RADIANS($A196)))</f>
        <v>141.75774743167582</v>
      </c>
      <c r="AU196" s="95">
        <f>((h_Aw_Sw+Geraetedaten!$B$18)/1000)*(AQ196*AS196+AR196*AT196)/100</f>
        <v>0</v>
      </c>
    </row>
    <row r="197" spans="1:47" ht="13.5" x14ac:dyDescent="0.25">
      <c r="A197" s="16">
        <v>158</v>
      </c>
      <c r="B197" s="16">
        <f t="shared" si="136"/>
        <v>292</v>
      </c>
      <c r="C197" s="19">
        <f t="shared" si="137"/>
        <v>51.571763802348585</v>
      </c>
      <c r="D197" s="17">
        <f t="shared" si="138"/>
        <v>-7638.438803802349</v>
      </c>
      <c r="E197" s="17">
        <f t="shared" si="139"/>
        <v>8994.1239061976503</v>
      </c>
      <c r="F197" s="17">
        <f t="shared" si="140"/>
        <v>7168.3399061976515</v>
      </c>
      <c r="G197" s="17">
        <f t="shared" si="141"/>
        <v>-9654.6566438023492</v>
      </c>
      <c r="H197" s="17">
        <f t="shared" si="169"/>
        <v>7168.3399061976515</v>
      </c>
      <c r="I197" s="17">
        <f t="shared" si="142"/>
        <v>2811.2439762316453</v>
      </c>
      <c r="J197" s="20">
        <f>(Geraetedaten!$B$152+(Geraetedaten!$B$153*(Geraetedaten!$B$18+d_y_Sw)/1000))*10</f>
        <v>6051.0442000000003</v>
      </c>
      <c r="K197" s="20">
        <f>(Geraetedaten!$B$165+(Geraetedaten!$B$166*(Geraetedaten!$B$18+d_y_Sw)/1000))*10</f>
        <v>10816.164000000001</v>
      </c>
      <c r="L197" s="20">
        <f>(Geraetedaten!$B$158+(Geraetedaten!$B$159*(Geraetedaten!$B$18+d_y_Sw)/1000)-(Geraetedaten!$B$160*I197/1000))*10</f>
        <v>395.38807922293324</v>
      </c>
      <c r="M197" s="20">
        <f>(Geraetedaten!$B$171+(Geraetedaten!$B$172*(Geraetedaten!$B$18+d_y_Sw)/1000)-(Geraetedaten!$B$173*I197/1000))*10</f>
        <v>855.59799840931714</v>
      </c>
      <c r="N197" s="20">
        <f>IF((H197-J197)/(K197-J197)*(Geraetedaten!$B$174-Geraetedaten!$B$161)&lt;Geraetedaten!$B$174,(H197-J197)/(K197-J197)*(Geraetedaten!$B$174-Geraetedaten!$B$161),Geraetedaten!$B$174)</f>
        <v>93.789516578168815</v>
      </c>
      <c r="O197" s="20">
        <f>N197/Geraetedaten!$B$174*(M197-L197)+L197+C197</f>
        <v>554.86700763770455</v>
      </c>
      <c r="P197" s="20">
        <f t="shared" si="143"/>
        <v>193.84275707543529</v>
      </c>
      <c r="Q197" s="21">
        <f>(N197-Geraetedaten!$B$161)/(Geraetedaten!$B$174-Geraetedaten!$B$161)*(Geraetedaten!$B$175-Geraetedaten!$B$162)+Geraetedaten!$B$162</f>
        <v>31.990238118200523</v>
      </c>
      <c r="R197" s="21">
        <f t="shared" si="144"/>
        <v>31.990238118200523</v>
      </c>
      <c r="S197" s="21">
        <f t="shared" si="145"/>
        <v>11.98375412402296</v>
      </c>
      <c r="T197" s="88">
        <f t="shared" si="146"/>
        <v>-29.660832286942529</v>
      </c>
      <c r="U197" s="86">
        <f t="shared" si="147"/>
        <v>-7586.8670400000001</v>
      </c>
      <c r="V197" s="85">
        <f t="shared" si="148"/>
        <v>-1141.3067828769733</v>
      </c>
      <c r="W197" s="85">
        <f t="shared" si="149"/>
        <v>-3059.8990782863289</v>
      </c>
      <c r="X197" s="90">
        <f t="shared" si="150"/>
        <v>1141.3067828769733</v>
      </c>
      <c r="Y197" s="86">
        <f t="shared" si="151"/>
        <v>9045.6956699999992</v>
      </c>
      <c r="Z197" s="85">
        <f t="shared" si="152"/>
        <v>-750</v>
      </c>
      <c r="AA197" s="85">
        <f t="shared" si="153"/>
        <v>808.90105700818754</v>
      </c>
      <c r="AB197" s="90">
        <f t="shared" si="154"/>
        <v>750</v>
      </c>
      <c r="AC197" s="86">
        <f t="shared" si="155"/>
        <v>7219.9116700000004</v>
      </c>
      <c r="AD197" s="85">
        <f t="shared" si="156"/>
        <v>1055.7627565116984</v>
      </c>
      <c r="AE197" s="85">
        <f t="shared" si="157"/>
        <v>2811.2439762316453</v>
      </c>
      <c r="AF197" s="90">
        <f t="shared" si="158"/>
        <v>1055.7627565116984</v>
      </c>
      <c r="AG197" s="86">
        <f t="shared" si="159"/>
        <v>-9603.0848800000003</v>
      </c>
      <c r="AH197" s="85">
        <f t="shared" si="160"/>
        <v>6128</v>
      </c>
      <c r="AI197" s="85">
        <f t="shared" si="161"/>
        <v>-6609.2609031282309</v>
      </c>
      <c r="AJ197" s="90">
        <f t="shared" si="162"/>
        <v>6128</v>
      </c>
      <c r="AL197" s="95">
        <f t="shared" si="163"/>
        <v>0</v>
      </c>
      <c r="AM197" s="95">
        <f t="shared" si="164"/>
        <v>0</v>
      </c>
      <c r="AN197" s="95">
        <f t="shared" si="165"/>
        <v>0</v>
      </c>
      <c r="AO197" s="95">
        <f t="shared" si="166"/>
        <v>0</v>
      </c>
      <c r="AP197"/>
      <c r="AQ197" s="95">
        <f t="shared" si="167"/>
        <v>0</v>
      </c>
      <c r="AR197" s="95">
        <f t="shared" si="168"/>
        <v>0</v>
      </c>
      <c r="AS197" s="95">
        <f>Geraetedaten!$B$94*ABS(SIN(RADIANS($A197)))</f>
        <v>57.689415386050484</v>
      </c>
      <c r="AT197" s="95">
        <f>Geraetedaten!$B$94*ABS(COS(RADIANS($A197)))</f>
        <v>142.78631360328524</v>
      </c>
      <c r="AU197" s="95">
        <f>((h_Aw_Sw+Geraetedaten!$B$18)/1000)*(AQ197*AS197+AR197*AT197)/100</f>
        <v>0</v>
      </c>
    </row>
    <row r="198" spans="1:47" ht="13.5" x14ac:dyDescent="0.25">
      <c r="A198" s="16">
        <v>159</v>
      </c>
      <c r="B198" s="16">
        <f t="shared" si="136"/>
        <v>291</v>
      </c>
      <c r="C198" s="19">
        <f t="shared" si="137"/>
        <v>50.73138595394316</v>
      </c>
      <c r="D198" s="17">
        <f t="shared" si="138"/>
        <v>-7983.1873659539433</v>
      </c>
      <c r="E198" s="17">
        <f t="shared" si="139"/>
        <v>8932.9862840460573</v>
      </c>
      <c r="F198" s="17">
        <f t="shared" si="140"/>
        <v>7495.3385740460562</v>
      </c>
      <c r="G198" s="17">
        <f t="shared" si="141"/>
        <v>-9588.0192359539433</v>
      </c>
      <c r="H198" s="17">
        <f t="shared" si="169"/>
        <v>7495.3385740460562</v>
      </c>
      <c r="I198" s="17">
        <f t="shared" si="142"/>
        <v>2938.2414467189337</v>
      </c>
      <c r="J198" s="20">
        <f>(Geraetedaten!$B$152+(Geraetedaten!$B$153*(Geraetedaten!$B$18+d_y_Sw)/1000))*10</f>
        <v>6051.0442000000003</v>
      </c>
      <c r="K198" s="20">
        <f>(Geraetedaten!$B$165+(Geraetedaten!$B$166*(Geraetedaten!$B$18+d_y_Sw)/1000))*10</f>
        <v>10816.164000000001</v>
      </c>
      <c r="L198" s="20">
        <f>(Geraetedaten!$B$158+(Geraetedaten!$B$159*(Geraetedaten!$B$18+d_y_Sw)/1000)-(Geraetedaten!$B$160*I198/1000))*10</f>
        <v>386.07535471210042</v>
      </c>
      <c r="M198" s="20">
        <f>(Geraetedaten!$B$171+(Geraetedaten!$B$172*(Geraetedaten!$B$18+d_y_Sw)/1000)-(Geraetedaten!$B$173*I198/1000))*10</f>
        <v>846.14430670624347</v>
      </c>
      <c r="N198" s="20">
        <f>IF((H198-J198)/(K198-J198)*(Geraetedaten!$B$174-Geraetedaten!$B$161)&lt;Geraetedaten!$B$174,(H198-J198)/(K198-J198)*(Geraetedaten!$B$174-Geraetedaten!$B$161),Geraetedaten!$B$174)</f>
        <v>121.23887202550969</v>
      </c>
      <c r="O198" s="20">
        <f>N198/Geraetedaten!$B$174*(M198-L198)+L198+C198</f>
        <v>576.2523426503642</v>
      </c>
      <c r="P198" s="20">
        <f t="shared" si="143"/>
        <v>196.66569521264742</v>
      </c>
      <c r="Q198" s="21">
        <f>(N198-Geraetedaten!$B$161)/(Geraetedaten!$B$174-Geraetedaten!$B$161)*(Geraetedaten!$B$175-Geraetedaten!$B$162)+Geraetedaten!$B$162</f>
        <v>32.806856442758914</v>
      </c>
      <c r="R198" s="21">
        <f t="shared" si="144"/>
        <v>32.806856442758914</v>
      </c>
      <c r="S198" s="21">
        <f t="shared" si="145"/>
        <v>11.756925874418533</v>
      </c>
      <c r="T198" s="88">
        <f t="shared" si="146"/>
        <v>-30.627839029863338</v>
      </c>
      <c r="U198" s="86">
        <f t="shared" si="147"/>
        <v>-7932.4559799999997</v>
      </c>
      <c r="V198" s="85">
        <f t="shared" si="148"/>
        <v>-1141.3067828769733</v>
      </c>
      <c r="W198" s="85">
        <f t="shared" si="149"/>
        <v>-3199.2803649072721</v>
      </c>
      <c r="X198" s="90">
        <f t="shared" si="150"/>
        <v>1141.3067828769733</v>
      </c>
      <c r="Y198" s="86">
        <f t="shared" si="151"/>
        <v>8983.71767</v>
      </c>
      <c r="Z198" s="85">
        <f t="shared" si="152"/>
        <v>-750</v>
      </c>
      <c r="AA198" s="85">
        <f t="shared" si="153"/>
        <v>803.35874522777181</v>
      </c>
      <c r="AB198" s="90">
        <f t="shared" si="154"/>
        <v>750</v>
      </c>
      <c r="AC198" s="86">
        <f t="shared" si="155"/>
        <v>7546.0699599999998</v>
      </c>
      <c r="AD198" s="85">
        <f t="shared" si="156"/>
        <v>1055.7627565116984</v>
      </c>
      <c r="AE198" s="85">
        <f t="shared" si="157"/>
        <v>2938.2414467189337</v>
      </c>
      <c r="AF198" s="90">
        <f t="shared" si="158"/>
        <v>1055.7627565116984</v>
      </c>
      <c r="AG198" s="86">
        <f t="shared" si="159"/>
        <v>-9537.2878500000006</v>
      </c>
      <c r="AH198" s="85">
        <f t="shared" si="160"/>
        <v>6128</v>
      </c>
      <c r="AI198" s="85">
        <f t="shared" si="161"/>
        <v>-6563.9765210077139</v>
      </c>
      <c r="AJ198" s="90">
        <f t="shared" si="162"/>
        <v>6128</v>
      </c>
      <c r="AL198" s="95">
        <f t="shared" si="163"/>
        <v>0</v>
      </c>
      <c r="AM198" s="95">
        <f t="shared" si="164"/>
        <v>0</v>
      </c>
      <c r="AN198" s="95">
        <f t="shared" si="165"/>
        <v>0</v>
      </c>
      <c r="AO198" s="95">
        <f t="shared" si="166"/>
        <v>0</v>
      </c>
      <c r="AP198"/>
      <c r="AQ198" s="95">
        <f t="shared" si="167"/>
        <v>0</v>
      </c>
      <c r="AR198" s="95">
        <f t="shared" si="168"/>
        <v>0</v>
      </c>
      <c r="AS198" s="95">
        <f>Geraetedaten!$B$94*ABS(SIN(RADIANS($A198)))</f>
        <v>55.188664229976233</v>
      </c>
      <c r="AT198" s="95">
        <f>Geraetedaten!$B$94*ABS(COS(RADIANS($A198)))</f>
        <v>143.77138568056907</v>
      </c>
      <c r="AU198" s="95">
        <f>((h_Aw_Sw+Geraetedaten!$B$18)/1000)*(AQ198*AS198+AR198*AT198)/100</f>
        <v>0</v>
      </c>
    </row>
    <row r="199" spans="1:47" ht="13.5" x14ac:dyDescent="0.25">
      <c r="A199" s="16">
        <v>160</v>
      </c>
      <c r="B199" s="16">
        <f t="shared" ref="B199:B218" si="170">360-A199+90</f>
        <v>290</v>
      </c>
      <c r="C199" s="19">
        <f t="shared" ref="C199:C218" si="171">$AE$16*ABS(COS(RADIANS(A199)))+$AE$17*ABS(SIN(RADIANS(A199)))+AU199</f>
        <v>49.875554833930209</v>
      </c>
      <c r="D199" s="17">
        <f t="shared" ref="D199:D218" si="172">IF(ISNUMBER(U199),U199-C199,"unendlich")</f>
        <v>-8363.5601348339296</v>
      </c>
      <c r="E199" s="17">
        <f t="shared" ref="E199:E218" si="173">IF(ISNUMBER(Y199),Y199-C199,"unendlich")</f>
        <v>8875.4078751660691</v>
      </c>
      <c r="F199" s="17">
        <f t="shared" ref="F199:F218" si="174">IF(ISNUMBER(AC199),AC199-C199,"unendlich")</f>
        <v>7855.7372451660694</v>
      </c>
      <c r="G199" s="17">
        <f t="shared" ref="G199:G218" si="175">IF(ISNUMBER(AG199),AG199-C199,"unendlich")</f>
        <v>-9525.128484833931</v>
      </c>
      <c r="H199" s="17">
        <f t="shared" si="169"/>
        <v>7855.7372451660694</v>
      </c>
      <c r="I199" s="17">
        <f t="shared" ref="I199:I218" si="176">IF(H199+C199=U199,W199,IF(H199+C199=Y199,AA199,IF(H199+C199=AC199,AE199,IF(H199+C199=AG199,AI199,"???"))))</f>
        <v>3078.2379875578081</v>
      </c>
      <c r="J199" s="20">
        <f>(Geraetedaten!$B$152+(Geraetedaten!$B$153*(Geraetedaten!$B$18+d_y_Sw)/1000))*10</f>
        <v>6051.0442000000003</v>
      </c>
      <c r="K199" s="20">
        <f>(Geraetedaten!$B$165+(Geraetedaten!$B$166*(Geraetedaten!$B$18+d_y_Sw)/1000))*10</f>
        <v>10816.164000000001</v>
      </c>
      <c r="L199" s="20">
        <f>(Geraetedaten!$B$158+(Geraetedaten!$B$159*(Geraetedaten!$B$18+d_y_Sw)/1000)-(Geraetedaten!$B$160*I199/1000))*10</f>
        <v>375.80940837238575</v>
      </c>
      <c r="M199" s="20">
        <f>(Geraetedaten!$B$171+(Geraetedaten!$B$172*(Geraetedaten!$B$18+d_y_Sw)/1000)-(Geraetedaten!$B$173*I199/1000))*10</f>
        <v>835.72296420619762</v>
      </c>
      <c r="N199" s="20">
        <f>IF((H199-J199)/(K199-J199)*(Geraetedaten!$B$174-Geraetedaten!$B$161)&lt;Geraetedaten!$B$174,(H199-J199)/(K199-J199)*(Geraetedaten!$B$174-Geraetedaten!$B$161),Geraetedaten!$B$174)</f>
        <v>151.49193480223261</v>
      </c>
      <c r="O199" s="20">
        <f>N199/Geraetedaten!$B$174*(M199-L199)+L199+C199</f>
        <v>599.8679492439129</v>
      </c>
      <c r="P199" s="20">
        <f t="shared" ref="P199:P218" si="177">O199*100/9.81/(Q199-(I199/1000))</f>
        <v>199.64518358887699</v>
      </c>
      <c r="Q199" s="21">
        <f>(N199-Geraetedaten!$B$161)/(Geraetedaten!$B$174-Geraetedaten!$B$161)*(Geraetedaten!$B$175-Geraetedaten!$B$162)+Geraetedaten!$B$162</f>
        <v>33.706885060366417</v>
      </c>
      <c r="R199" s="21">
        <f t="shared" ref="R199:R218" si="178">SQRT((r_K_D/1000)^2+Q199^2-(2*(r_K_D/1000)*Q199*COS(RADIANS(2*A199))))</f>
        <v>33.706885060366417</v>
      </c>
      <c r="S199" s="21">
        <f t="shared" ref="S199:S218" si="179">R199*SIN(A199*Const_2)</f>
        <v>11.528433659408369</v>
      </c>
      <c r="T199" s="88">
        <f t="shared" ref="T199:T218" si="180">R199*COS(A199*Const_2)</f>
        <v>-31.674111160905099</v>
      </c>
      <c r="U199" s="86">
        <f t="shared" ref="U199:U218" si="181">ROUND((F_S*r_Su_L-F_G*V199+F_SSw*X199)/(SIN(RADIANS(270+g_L-A199)))/1000,5)</f>
        <v>-8313.6845799999992</v>
      </c>
      <c r="V199" s="85">
        <f t="shared" ref="V199:V218" si="182">(SIN(RADIANS(g_L)))*(((VL_Z-HL_Z)/(VL_X-HL_X))*(-HL_X+AM199)+HL_Z-AL199)</f>
        <v>-1141.3067828769733</v>
      </c>
      <c r="W199" s="85">
        <f t="shared" ref="W199:W218" si="183">V199/(SIN(RADIANS(180-g_L-(90-$A199))))</f>
        <v>-3353.0356665153704</v>
      </c>
      <c r="X199" s="90">
        <f t="shared" ref="X199:X218" si="184">SIN(RADIANS(g_L))*(((VL_Z-HL_Z)/(VL_X-HL_X))*(-AO199+HL_X)-HL_Z+AN199)</f>
        <v>1141.3067828769733</v>
      </c>
      <c r="Y199" s="86">
        <f t="shared" ref="Y199:Y218" si="185">ROUND((F_S*r_Su_H-F_G*Z199+F_SSw*AB199)/(SIN(RADIANS(180+g_H-A199)))/1000,5)</f>
        <v>8925.2834299999995</v>
      </c>
      <c r="Z199" s="85">
        <f t="shared" ref="Z199:Z218" si="186">(SIN(RADIANS(g_H)))*(((HL_X-HR_X)/(HL_Z-HR_Z))*(-HR_Z+AL199)+HR_X-AM199)</f>
        <v>-750</v>
      </c>
      <c r="AA199" s="85">
        <f t="shared" ref="AA199:AA218" si="187">Z199/(SIN(RADIANS(g_H-$A199)))</f>
        <v>798.13332935693415</v>
      </c>
      <c r="AB199" s="90">
        <f t="shared" ref="AB199:AB218" si="188">SIN(RADIANS(g_H))*(((HL_X-HR_X)/(HL_Z-HR_Z))*(-AN199+HR_Z)-HR_X+AO199)</f>
        <v>750</v>
      </c>
      <c r="AC199" s="86">
        <f t="shared" ref="AC199:AC218" si="189">ROUND((F_S*r_Su_R+F_G*AD199+F_SSw*AF199)/(SIN(RADIANS(90+g_R-A199)))/1000,5)</f>
        <v>7905.6127999999999</v>
      </c>
      <c r="AD199" s="85">
        <f t="shared" ref="AD199:AD218" si="190">(SIN(RADIANS(g_R)))*(((HR_Z-VR_Z)/(HR_X-VR_X))*(-VR_X+AM199)+VR_Z-AL199)</f>
        <v>1055.7627565116984</v>
      </c>
      <c r="AE199" s="85">
        <f t="shared" ref="AE199:AE218" si="191">AD199/(SIN(RADIANS(180-g_R-(90-$A199))))</f>
        <v>3078.2379875578081</v>
      </c>
      <c r="AF199" s="90">
        <f t="shared" ref="AF199:AF218" si="192">(SIN(RADIANS(g_R)))*(((HR_Z-VR_Z)/(HR_X-VR_X))*(-VR_X+AO199)+VR_Z-AN199)</f>
        <v>1055.7627565116984</v>
      </c>
      <c r="AG199" s="86">
        <f t="shared" ref="AG199:AG218" si="193">ROUND((F_S*r_Su_V+F_G*AH199+F_SSw*AJ199)/(SIN(RADIANS(g_V-A199)))/1000,5)</f>
        <v>-9475.2529300000006</v>
      </c>
      <c r="AH199" s="85">
        <f t="shared" ref="AH199:AH218" si="194">(SIN(RADIANS(g_V)))*(((VR_X-VL_X)/(VR_Z-VL_Z))*(AL199-VL_Z)+VL_X-AM199)</f>
        <v>6128</v>
      </c>
      <c r="AI199" s="85">
        <f t="shared" ref="AI199:AI218" si="195">AH199/(SIN(RADIANS(g_V-$A199)))</f>
        <v>-6521.2813897323904</v>
      </c>
      <c r="AJ199" s="90">
        <f t="shared" ref="AJ199:AJ218" si="196">(SIN(RADIANS(g_V)))*(((VR_X-VL_X)/(VR_Z-VL_Z))*(-VL_Z+AN199)+VL_X-AO199)</f>
        <v>6128</v>
      </c>
      <c r="AL199" s="95">
        <f t="shared" ref="AL199:AL218" si="197">SIN(RADIANS(A199))*r_K_D</f>
        <v>0</v>
      </c>
      <c r="AM199" s="95">
        <f t="shared" ref="AM199:AM218" si="198">COS(RADIANS(A199-180))*r_K_D</f>
        <v>0</v>
      </c>
      <c r="AN199" s="95">
        <f t="shared" ref="AN199:AN218" si="199">SIN(RADIANS(A199))*r_K_SSw</f>
        <v>0</v>
      </c>
      <c r="AO199" s="95">
        <f t="shared" ref="AO199:AO218" si="200">-COS(RADIANS(A199))*r_K_SSw</f>
        <v>0</v>
      </c>
      <c r="AP199"/>
      <c r="AQ199" s="95">
        <f t="shared" ref="AQ199:AQ218" si="201">MAX(d_y_Sw*(r_K_D*ABS(COS(RADIANS($A199)))+_r1_Sw+_r2_Sw), 2*_r1_Sw*d_y_Sw)/1000000</f>
        <v>0</v>
      </c>
      <c r="AR199" s="95">
        <f t="shared" ref="AR199:AR218" si="202">MAX(d_y_Sw*(r_K_D*ABS(SIN(RADIANS($A199)))+_r1_Sw+_r2_Sw), 2*_r1_Sw*d_y_Sw)/1000000</f>
        <v>0</v>
      </c>
      <c r="AS199" s="95">
        <f>Geraetedaten!$B$94*ABS(SIN(RADIANS($A199)))</f>
        <v>52.671102072153005</v>
      </c>
      <c r="AT199" s="95">
        <f>Geraetedaten!$B$94*ABS(COS(RADIANS($A199)))</f>
        <v>144.71266360102987</v>
      </c>
      <c r="AU199" s="95">
        <f>((h_Aw_Sw+Geraetedaten!$B$18)/1000)*(AQ199*AS199+AR199*AT199)/100</f>
        <v>0</v>
      </c>
    </row>
    <row r="200" spans="1:47" ht="13.5" x14ac:dyDescent="0.25">
      <c r="A200" s="16">
        <v>161</v>
      </c>
      <c r="B200" s="16">
        <f t="shared" si="170"/>
        <v>289</v>
      </c>
      <c r="C200" s="19">
        <f t="shared" si="171"/>
        <v>49.004531136759482</v>
      </c>
      <c r="D200" s="17">
        <f t="shared" si="172"/>
        <v>-8785.2063311367601</v>
      </c>
      <c r="E200" s="17">
        <f t="shared" si="173"/>
        <v>8821.2844188632407</v>
      </c>
      <c r="F200" s="17">
        <f t="shared" si="174"/>
        <v>8254.7830288632413</v>
      </c>
      <c r="G200" s="17">
        <f t="shared" si="175"/>
        <v>-9465.8742611367597</v>
      </c>
      <c r="H200" s="17">
        <f t="shared" ref="H200:H218" si="203">SMALL(D200:G200,COUNTIF(D200:G200,"&lt;0")+1)</f>
        <v>8254.7830288632413</v>
      </c>
      <c r="I200" s="17">
        <f t="shared" si="176"/>
        <v>3233.2767785825672</v>
      </c>
      <c r="J200" s="20">
        <f>(Geraetedaten!$B$152+(Geraetedaten!$B$153*(Geraetedaten!$B$18+d_y_Sw)/1000))*10</f>
        <v>6051.0442000000003</v>
      </c>
      <c r="K200" s="20">
        <f>(Geraetedaten!$B$165+(Geraetedaten!$B$166*(Geraetedaten!$B$18+d_y_Sw)/1000))*10</f>
        <v>10816.164000000001</v>
      </c>
      <c r="L200" s="20">
        <f>(Geraetedaten!$B$158+(Geraetedaten!$B$159*(Geraetedaten!$B$18+d_y_Sw)/1000)-(Geraetedaten!$B$160*I200/1000))*10</f>
        <v>364.44041382654012</v>
      </c>
      <c r="M200" s="20">
        <f>(Geraetedaten!$B$171+(Geraetedaten!$B$172*(Geraetedaten!$B$18+d_y_Sw)/1000)-(Geraetedaten!$B$173*I200/1000))*10</f>
        <v>824.18187660231456</v>
      </c>
      <c r="N200" s="20">
        <f>IF((H200-J200)/(K200-J200)*(Geraetedaten!$B$174-Geraetedaten!$B$161)&lt;Geraetedaten!$B$174,(H200-J200)/(K200-J200)*(Geraetedaten!$B$174-Geraetedaten!$B$161),Geraetedaten!$B$174)</f>
        <v>184.98916471004492</v>
      </c>
      <c r="O200" s="20">
        <f>N200/Geraetedaten!$B$174*(M200-L200)+L200+C200</f>
        <v>626.0629179169614</v>
      </c>
      <c r="P200" s="20">
        <f t="shared" si="177"/>
        <v>202.79168727557277</v>
      </c>
      <c r="Q200" s="21">
        <f>(N200-Geraetedaten!$B$161)/(Geraetedaten!$B$174-Geraetedaten!$B$161)*(Geraetedaten!$B$175-Geraetedaten!$B$162)+Geraetedaten!$B$162</f>
        <v>34.703427650123835</v>
      </c>
      <c r="R200" s="21">
        <f t="shared" si="178"/>
        <v>34.703427650123835</v>
      </c>
      <c r="S200" s="21">
        <f t="shared" si="179"/>
        <v>11.298330893388275</v>
      </c>
      <c r="T200" s="88">
        <f t="shared" si="180"/>
        <v>-32.812735480159034</v>
      </c>
      <c r="U200" s="86">
        <f t="shared" si="181"/>
        <v>-8736.2018000000007</v>
      </c>
      <c r="V200" s="85">
        <f t="shared" si="182"/>
        <v>-1141.3067828769733</v>
      </c>
      <c r="W200" s="85">
        <f t="shared" si="183"/>
        <v>-3523.4432996595438</v>
      </c>
      <c r="X200" s="90">
        <f t="shared" si="184"/>
        <v>1141.3067828769733</v>
      </c>
      <c r="Y200" s="86">
        <f t="shared" si="185"/>
        <v>8870.2889500000001</v>
      </c>
      <c r="Z200" s="85">
        <f t="shared" si="186"/>
        <v>-750</v>
      </c>
      <c r="AA200" s="85">
        <f t="shared" si="187"/>
        <v>793.21551089000309</v>
      </c>
      <c r="AB200" s="90">
        <f t="shared" si="188"/>
        <v>750</v>
      </c>
      <c r="AC200" s="86">
        <f t="shared" si="189"/>
        <v>8303.7875600000007</v>
      </c>
      <c r="AD200" s="85">
        <f t="shared" si="190"/>
        <v>1055.7627565116984</v>
      </c>
      <c r="AE200" s="85">
        <f t="shared" si="191"/>
        <v>3233.2767785825672</v>
      </c>
      <c r="AF200" s="90">
        <f t="shared" si="192"/>
        <v>1055.7627565116984</v>
      </c>
      <c r="AG200" s="86">
        <f t="shared" si="193"/>
        <v>-9416.8697300000003</v>
      </c>
      <c r="AH200" s="85">
        <f t="shared" si="194"/>
        <v>6128</v>
      </c>
      <c r="AI200" s="85">
        <f t="shared" si="195"/>
        <v>-6481.0995343119184</v>
      </c>
      <c r="AJ200" s="90">
        <f t="shared" si="196"/>
        <v>6128</v>
      </c>
      <c r="AL200" s="95">
        <f t="shared" si="197"/>
        <v>0</v>
      </c>
      <c r="AM200" s="95">
        <f t="shared" si="198"/>
        <v>0</v>
      </c>
      <c r="AN200" s="95">
        <f t="shared" si="199"/>
        <v>0</v>
      </c>
      <c r="AO200" s="95">
        <f t="shared" si="200"/>
        <v>0</v>
      </c>
      <c r="AP200"/>
      <c r="AQ200" s="95">
        <f t="shared" si="201"/>
        <v>0</v>
      </c>
      <c r="AR200" s="95">
        <f t="shared" si="202"/>
        <v>0</v>
      </c>
      <c r="AS200" s="95">
        <f>Geraetedaten!$B$94*ABS(SIN(RADIANS($A200)))</f>
        <v>50.137495786402113</v>
      </c>
      <c r="AT200" s="95">
        <f>Geraetedaten!$B$94*ABS(COS(RADIANS($A200)))</f>
        <v>145.60986064229479</v>
      </c>
      <c r="AU200" s="95">
        <f>((h_Aw_Sw+Geraetedaten!$B$18)/1000)*(AQ200*AS200+AR200*AT200)/100</f>
        <v>0</v>
      </c>
    </row>
    <row r="201" spans="1:47" ht="13.5" x14ac:dyDescent="0.25">
      <c r="A201" s="16">
        <v>162</v>
      </c>
      <c r="B201" s="16">
        <f t="shared" si="170"/>
        <v>288</v>
      </c>
      <c r="C201" s="19">
        <f t="shared" si="171"/>
        <v>48.118580184686962</v>
      </c>
      <c r="D201" s="17">
        <f t="shared" si="172"/>
        <v>-9255.0380001846879</v>
      </c>
      <c r="E201" s="17">
        <f t="shared" si="173"/>
        <v>8770.5192498153119</v>
      </c>
      <c r="F201" s="17">
        <f t="shared" si="174"/>
        <v>8698.885749815312</v>
      </c>
      <c r="G201" s="17">
        <f t="shared" si="175"/>
        <v>-9410.1544901846883</v>
      </c>
      <c r="H201" s="17">
        <f t="shared" si="203"/>
        <v>8698.885749815312</v>
      </c>
      <c r="I201" s="17">
        <f t="shared" si="176"/>
        <v>3405.8537483649657</v>
      </c>
      <c r="J201" s="20">
        <f>(Geraetedaten!$B$152+(Geraetedaten!$B$153*(Geraetedaten!$B$18+d_y_Sw)/1000))*10</f>
        <v>6051.0442000000003</v>
      </c>
      <c r="K201" s="20">
        <f>(Geraetedaten!$B$165+(Geraetedaten!$B$166*(Geraetedaten!$B$18+d_y_Sw)/1000))*10</f>
        <v>10816.164000000001</v>
      </c>
      <c r="L201" s="20">
        <f>(Geraetedaten!$B$158+(Geraetedaten!$B$159*(Geraetedaten!$B$18+d_y_Sw)/1000)-(Geraetedaten!$B$160*I201/1000))*10</f>
        <v>351.78534463239686</v>
      </c>
      <c r="M201" s="20">
        <f>(Geraetedaten!$B$171+(Geraetedaten!$B$172*(Geraetedaten!$B$18+d_y_Sw)/1000)-(Geraetedaten!$B$173*I201/1000))*10</f>
        <v>811.33524697171288</v>
      </c>
      <c r="N201" s="20">
        <f>IF((H201-J201)/(K201-J201)*(Geraetedaten!$B$174-Geraetedaten!$B$161)&lt;Geraetedaten!$B$174,(H201-J201)/(K201-J201)*(Geraetedaten!$B$174-Geraetedaten!$B$161),Geraetedaten!$B$174)</f>
        <v>222.26862374501573</v>
      </c>
      <c r="O201" s="20">
        <f>N201/Geraetedaten!$B$174*(M201-L201)+L201+C201</f>
        <v>655.26273565487418</v>
      </c>
      <c r="P201" s="20">
        <f t="shared" si="177"/>
        <v>206.11637126067387</v>
      </c>
      <c r="Q201" s="21">
        <f>(N201-Geraetedaten!$B$161)/(Geraetedaten!$B$174-Geraetedaten!$B$161)*(Geraetedaten!$B$175-Geraetedaten!$B$162)+Geraetedaten!$B$162</f>
        <v>35.812491556414216</v>
      </c>
      <c r="R201" s="21">
        <f t="shared" si="178"/>
        <v>35.812491556414216</v>
      </c>
      <c r="S201" s="21">
        <f t="shared" si="179"/>
        <v>11.066668501841306</v>
      </c>
      <c r="T201" s="88">
        <f t="shared" si="180"/>
        <v>-34.059703459492901</v>
      </c>
      <c r="U201" s="86">
        <f t="shared" si="181"/>
        <v>-9206.9194200000002</v>
      </c>
      <c r="V201" s="85">
        <f t="shared" si="182"/>
        <v>-1141.3067828769733</v>
      </c>
      <c r="W201" s="85">
        <f t="shared" si="183"/>
        <v>-3713.2908910825604</v>
      </c>
      <c r="X201" s="90">
        <f t="shared" si="184"/>
        <v>1141.3067828769733</v>
      </c>
      <c r="Y201" s="86">
        <f t="shared" si="185"/>
        <v>8818.6378299999997</v>
      </c>
      <c r="Z201" s="85">
        <f t="shared" si="186"/>
        <v>-750</v>
      </c>
      <c r="AA201" s="85">
        <f t="shared" si="187"/>
        <v>788.5966681787005</v>
      </c>
      <c r="AB201" s="90">
        <f t="shared" si="188"/>
        <v>750</v>
      </c>
      <c r="AC201" s="86">
        <f t="shared" si="189"/>
        <v>8747.0043299999998</v>
      </c>
      <c r="AD201" s="85">
        <f t="shared" si="190"/>
        <v>1055.7627565116984</v>
      </c>
      <c r="AE201" s="85">
        <f t="shared" si="191"/>
        <v>3405.8537483649657</v>
      </c>
      <c r="AF201" s="90">
        <f t="shared" si="192"/>
        <v>1055.7627565116984</v>
      </c>
      <c r="AG201" s="86">
        <f t="shared" si="193"/>
        <v>-9362.0359100000005</v>
      </c>
      <c r="AH201" s="85">
        <f t="shared" si="194"/>
        <v>6128</v>
      </c>
      <c r="AI201" s="85">
        <f t="shared" si="195"/>
        <v>-6443.3605101321018</v>
      </c>
      <c r="AJ201" s="90">
        <f t="shared" si="196"/>
        <v>6128</v>
      </c>
      <c r="AL201" s="95">
        <f t="shared" si="197"/>
        <v>0</v>
      </c>
      <c r="AM201" s="95">
        <f t="shared" si="198"/>
        <v>0</v>
      </c>
      <c r="AN201" s="95">
        <f t="shared" si="199"/>
        <v>0</v>
      </c>
      <c r="AO201" s="95">
        <f t="shared" si="200"/>
        <v>0</v>
      </c>
      <c r="AP201"/>
      <c r="AQ201" s="95">
        <f t="shared" si="201"/>
        <v>0</v>
      </c>
      <c r="AR201" s="95">
        <f t="shared" si="202"/>
        <v>0</v>
      </c>
      <c r="AS201" s="95">
        <f>Geraetedaten!$B$94*ABS(SIN(RADIANS($A201)))</f>
        <v>47.588617133741913</v>
      </c>
      <c r="AT201" s="95">
        <f>Geraetedaten!$B$94*ABS(COS(RADIANS($A201)))</f>
        <v>146.46270350945363</v>
      </c>
      <c r="AU201" s="95">
        <f>((h_Aw_Sw+Geraetedaten!$B$18)/1000)*(AQ201*AS201+AR201*AT201)/100</f>
        <v>0</v>
      </c>
    </row>
    <row r="202" spans="1:47" ht="13.5" x14ac:dyDescent="0.25">
      <c r="A202" s="16">
        <v>163</v>
      </c>
      <c r="B202" s="16">
        <f t="shared" si="170"/>
        <v>287</v>
      </c>
      <c r="C202" s="19">
        <f t="shared" si="171"/>
        <v>47.21797184695501</v>
      </c>
      <c r="D202" s="17">
        <f t="shared" si="172"/>
        <v>-9781.6036218469544</v>
      </c>
      <c r="E202" s="17">
        <f t="shared" si="173"/>
        <v>8723.0228181530456</v>
      </c>
      <c r="F202" s="17">
        <f t="shared" si="174"/>
        <v>9195.958828153045</v>
      </c>
      <c r="G202" s="17">
        <f t="shared" si="175"/>
        <v>-9357.8746418469545</v>
      </c>
      <c r="H202" s="17">
        <f t="shared" si="203"/>
        <v>8723.0228181530456</v>
      </c>
      <c r="I202" s="17">
        <f t="shared" si="176"/>
        <v>784.26881736536109</v>
      </c>
      <c r="J202" s="20">
        <f>(Geraetedaten!$B$152+(Geraetedaten!$B$153*(Geraetedaten!$B$18+d_y_Sw)/1000))*10</f>
        <v>6051.0442000000003</v>
      </c>
      <c r="K202" s="20">
        <f>(Geraetedaten!$B$165+(Geraetedaten!$B$166*(Geraetedaten!$B$18+d_y_Sw)/1000))*10</f>
        <v>10816.164000000001</v>
      </c>
      <c r="L202" s="20">
        <f>(Geraetedaten!$B$158+(Geraetedaten!$B$159*(Geraetedaten!$B$18+d_y_Sw)/1000)-(Geraetedaten!$B$160*I202/1000))*10</f>
        <v>544.02616762259777</v>
      </c>
      <c r="M202" s="20">
        <f>(Geraetedaten!$B$171+(Geraetedaten!$B$172*(Geraetedaten!$B$18+d_y_Sw)/1000)-(Geraetedaten!$B$173*I202/1000))*10</f>
        <v>1006.4860292353235</v>
      </c>
      <c r="N202" s="20">
        <f>IF((H202-J202)/(K202-J202)*(Geraetedaten!$B$174-Geraetedaten!$B$161)&lt;Geraetedaten!$B$174,(H202-J202)/(K202-J202)*(Geraetedaten!$B$174-Geraetedaten!$B$161),Geraetedaten!$B$174)</f>
        <v>224.29476951685831</v>
      </c>
      <c r="O202" s="20">
        <f>N202/Geraetedaten!$B$174*(M202-L202)+L202+C202</f>
        <v>850.56245964761399</v>
      </c>
      <c r="P202" s="20">
        <f t="shared" si="177"/>
        <v>247.09979970723532</v>
      </c>
      <c r="Q202" s="21">
        <f>(N202-Geraetedaten!$B$161)/(Geraetedaten!$B$174-Geraetedaten!$B$161)*(Geraetedaten!$B$175-Geraetedaten!$B$162)+Geraetedaten!$B$162</f>
        <v>35.872769393126532</v>
      </c>
      <c r="R202" s="21">
        <f t="shared" si="178"/>
        <v>35.872769393126532</v>
      </c>
      <c r="S202" s="21">
        <f t="shared" si="179"/>
        <v>10.488182740594013</v>
      </c>
      <c r="T202" s="88">
        <f t="shared" si="180"/>
        <v>-34.305299980212119</v>
      </c>
      <c r="U202" s="86">
        <f t="shared" si="181"/>
        <v>-9734.3856500000002</v>
      </c>
      <c r="V202" s="85">
        <f t="shared" si="182"/>
        <v>-1141.3067828769733</v>
      </c>
      <c r="W202" s="85">
        <f t="shared" si="183"/>
        <v>-3926.0260573890864</v>
      </c>
      <c r="X202" s="90">
        <f t="shared" si="184"/>
        <v>1141.3067828769733</v>
      </c>
      <c r="Y202" s="86">
        <f t="shared" si="185"/>
        <v>8770.2407899999998</v>
      </c>
      <c r="Z202" s="85">
        <f t="shared" si="186"/>
        <v>-750</v>
      </c>
      <c r="AA202" s="85">
        <f t="shared" si="187"/>
        <v>784.26881736536109</v>
      </c>
      <c r="AB202" s="90">
        <f t="shared" si="188"/>
        <v>750</v>
      </c>
      <c r="AC202" s="86">
        <f t="shared" si="189"/>
        <v>9243.1767999999993</v>
      </c>
      <c r="AD202" s="85">
        <f t="shared" si="190"/>
        <v>1055.7627565116984</v>
      </c>
      <c r="AE202" s="85">
        <f t="shared" si="191"/>
        <v>3599.0502771738888</v>
      </c>
      <c r="AF202" s="90">
        <f t="shared" si="192"/>
        <v>1055.7627565116984</v>
      </c>
      <c r="AG202" s="86">
        <f t="shared" si="193"/>
        <v>-9310.6566700000003</v>
      </c>
      <c r="AH202" s="85">
        <f t="shared" si="194"/>
        <v>6128</v>
      </c>
      <c r="AI202" s="85">
        <f t="shared" si="195"/>
        <v>-6407.9990837532432</v>
      </c>
      <c r="AJ202" s="90">
        <f t="shared" si="196"/>
        <v>6128</v>
      </c>
      <c r="AL202" s="95">
        <f t="shared" si="197"/>
        <v>0</v>
      </c>
      <c r="AM202" s="95">
        <f t="shared" si="198"/>
        <v>0</v>
      </c>
      <c r="AN202" s="95">
        <f t="shared" si="199"/>
        <v>0</v>
      </c>
      <c r="AO202" s="95">
        <f t="shared" si="200"/>
        <v>0</v>
      </c>
      <c r="AP202"/>
      <c r="AQ202" s="95">
        <f t="shared" si="201"/>
        <v>0</v>
      </c>
      <c r="AR202" s="95">
        <f t="shared" si="202"/>
        <v>0</v>
      </c>
      <c r="AS202" s="95">
        <f>Geraetedaten!$B$94*ABS(SIN(RADIANS($A202)))</f>
        <v>45.025242527301437</v>
      </c>
      <c r="AT202" s="95">
        <f>Geraetedaten!$B$94*ABS(COS(RADIANS($A202)))</f>
        <v>147.27093241830747</v>
      </c>
      <c r="AU202" s="95">
        <f>((h_Aw_Sw+Geraetedaten!$B$18)/1000)*(AQ202*AS202+AR202*AT202)/100</f>
        <v>0</v>
      </c>
    </row>
    <row r="203" spans="1:47" ht="13.5" x14ac:dyDescent="0.25">
      <c r="A203" s="16">
        <v>164</v>
      </c>
      <c r="B203" s="16">
        <f t="shared" si="170"/>
        <v>286</v>
      </c>
      <c r="C203" s="19">
        <f t="shared" si="171"/>
        <v>46.302980457587736</v>
      </c>
      <c r="D203" s="17">
        <f t="shared" si="172"/>
        <v>-10375.602650457588</v>
      </c>
      <c r="E203" s="17">
        <f t="shared" si="173"/>
        <v>8678.7122895424127</v>
      </c>
      <c r="F203" s="17">
        <f t="shared" si="174"/>
        <v>9755.8873995424128</v>
      </c>
      <c r="G203" s="17">
        <f t="shared" si="175"/>
        <v>-9308.9473704575867</v>
      </c>
      <c r="H203" s="17">
        <f t="shared" si="203"/>
        <v>8678.7122895424127</v>
      </c>
      <c r="I203" s="17">
        <f t="shared" si="176"/>
        <v>780.2245768962016</v>
      </c>
      <c r="J203" s="20">
        <f>(Geraetedaten!$B$152+(Geraetedaten!$B$153*(Geraetedaten!$B$18+d_y_Sw)/1000))*10</f>
        <v>6051.0442000000003</v>
      </c>
      <c r="K203" s="20">
        <f>(Geraetedaten!$B$165+(Geraetedaten!$B$166*(Geraetedaten!$B$18+d_y_Sw)/1000))*10</f>
        <v>10816.164000000001</v>
      </c>
      <c r="L203" s="20">
        <f>(Geraetedaten!$B$158+(Geraetedaten!$B$159*(Geraetedaten!$B$18+d_y_Sw)/1000)-(Geraetedaten!$B$160*I203/1000))*10</f>
        <v>544.32273177620129</v>
      </c>
      <c r="M203" s="20">
        <f>(Geraetedaten!$B$171+(Geraetedaten!$B$172*(Geraetedaten!$B$18+d_y_Sw)/1000)-(Geraetedaten!$B$173*I203/1000))*10</f>
        <v>1006.7870824958477</v>
      </c>
      <c r="N203" s="20">
        <f>IF((H203-J203)/(K203-J203)*(Geraetedaten!$B$174-Geraetedaten!$B$161)&lt;Geraetedaten!$B$174,(H203-J203)/(K203-J203)*(Geraetedaten!$B$174-Geraetedaten!$B$161),Geraetedaten!$B$174)</f>
        <v>220.57519641310273</v>
      </c>
      <c r="O203" s="20">
        <f>N203/Geraetedaten!$B$174*(M203-L203)+L203+C203</f>
        <v>845.64612471889916</v>
      </c>
      <c r="P203" s="20">
        <f t="shared" si="177"/>
        <v>246.42026293243507</v>
      </c>
      <c r="Q203" s="21">
        <f>(N203-Geraetedaten!$B$161)/(Geraetedaten!$B$174-Geraetedaten!$B$161)*(Geraetedaten!$B$175-Geraetedaten!$B$162)+Geraetedaten!$B$162</f>
        <v>35.762112093289808</v>
      </c>
      <c r="R203" s="21">
        <f t="shared" si="178"/>
        <v>35.762112093289808</v>
      </c>
      <c r="S203" s="21">
        <f t="shared" si="179"/>
        <v>9.857374015825533</v>
      </c>
      <c r="T203" s="88">
        <f t="shared" si="180"/>
        <v>-34.376748521132022</v>
      </c>
      <c r="U203" s="86">
        <f t="shared" si="181"/>
        <v>-10329.29967</v>
      </c>
      <c r="V203" s="85">
        <f t="shared" si="182"/>
        <v>-1141.3067828769733</v>
      </c>
      <c r="W203" s="85">
        <f t="shared" si="183"/>
        <v>-4165.9639450650002</v>
      </c>
      <c r="X203" s="90">
        <f t="shared" si="184"/>
        <v>1141.3067828769733</v>
      </c>
      <c r="Y203" s="86">
        <f t="shared" si="185"/>
        <v>8725.0152699999999</v>
      </c>
      <c r="Z203" s="85">
        <f t="shared" si="186"/>
        <v>-750</v>
      </c>
      <c r="AA203" s="85">
        <f t="shared" si="187"/>
        <v>780.2245768962016</v>
      </c>
      <c r="AB203" s="90">
        <f t="shared" si="188"/>
        <v>750</v>
      </c>
      <c r="AC203" s="86">
        <f t="shared" si="189"/>
        <v>9802.19038</v>
      </c>
      <c r="AD203" s="85">
        <f t="shared" si="190"/>
        <v>1055.7627565116984</v>
      </c>
      <c r="AE203" s="85">
        <f t="shared" si="191"/>
        <v>3816.7154830514605</v>
      </c>
      <c r="AF203" s="90">
        <f t="shared" si="192"/>
        <v>1055.7627565116984</v>
      </c>
      <c r="AG203" s="86">
        <f t="shared" si="193"/>
        <v>-9262.6443899999995</v>
      </c>
      <c r="AH203" s="85">
        <f t="shared" si="194"/>
        <v>6128</v>
      </c>
      <c r="AI203" s="85">
        <f t="shared" si="195"/>
        <v>-6374.9549429598974</v>
      </c>
      <c r="AJ203" s="90">
        <f t="shared" si="196"/>
        <v>6128</v>
      </c>
      <c r="AL203" s="95">
        <f t="shared" si="197"/>
        <v>0</v>
      </c>
      <c r="AM203" s="95">
        <f t="shared" si="198"/>
        <v>0</v>
      </c>
      <c r="AN203" s="95">
        <f t="shared" si="199"/>
        <v>0</v>
      </c>
      <c r="AO203" s="95">
        <f t="shared" si="200"/>
        <v>0</v>
      </c>
      <c r="AP203"/>
      <c r="AQ203" s="95">
        <f t="shared" si="201"/>
        <v>0</v>
      </c>
      <c r="AR203" s="95">
        <f t="shared" si="202"/>
        <v>0</v>
      </c>
      <c r="AS203" s="95">
        <f>Geraetedaten!$B$94*ABS(SIN(RADIANS($A203)))</f>
        <v>42.448152795817883</v>
      </c>
      <c r="AT203" s="95">
        <f>Geraetedaten!$B$94*ABS(COS(RADIANS($A203)))</f>
        <v>148.03430117450111</v>
      </c>
      <c r="AU203" s="95">
        <f>((h_Aw_Sw+Geraetedaten!$B$18)/1000)*(AQ203*AS203+AR203*AT203)/100</f>
        <v>0</v>
      </c>
    </row>
    <row r="204" spans="1:47" ht="13.5" x14ac:dyDescent="0.25">
      <c r="A204" s="16">
        <v>165</v>
      </c>
      <c r="B204" s="16">
        <f t="shared" si="170"/>
        <v>285</v>
      </c>
      <c r="C204" s="19">
        <f t="shared" si="171"/>
        <v>45.373884731826038</v>
      </c>
      <c r="D204" s="17">
        <f t="shared" si="172"/>
        <v>-11050.607344731825</v>
      </c>
      <c r="E204" s="17">
        <f t="shared" si="173"/>
        <v>8637.5112252681738</v>
      </c>
      <c r="F204" s="17">
        <f t="shared" si="174"/>
        <v>10391.183005268174</v>
      </c>
      <c r="G204" s="17">
        <f t="shared" si="175"/>
        <v>-9263.2920847318255</v>
      </c>
      <c r="H204" s="17">
        <f t="shared" si="203"/>
        <v>8637.5112252681738</v>
      </c>
      <c r="I204" s="17">
        <f t="shared" si="176"/>
        <v>776.45713530756223</v>
      </c>
      <c r="J204" s="20">
        <f>(Geraetedaten!$B$152+(Geraetedaten!$B$153*(Geraetedaten!$B$18+d_y_Sw)/1000))*10</f>
        <v>6051.0442000000003</v>
      </c>
      <c r="K204" s="20">
        <f>(Geraetedaten!$B$165+(Geraetedaten!$B$166*(Geraetedaten!$B$18+d_y_Sw)/1000))*10</f>
        <v>10816.164000000001</v>
      </c>
      <c r="L204" s="20">
        <f>(Geraetedaten!$B$158+(Geraetedaten!$B$159*(Geraetedaten!$B$18+d_y_Sw)/1000)-(Geraetedaten!$B$160*I204/1000))*10</f>
        <v>544.59899826789626</v>
      </c>
      <c r="M204" s="20">
        <f>(Geraetedaten!$B$171+(Geraetedaten!$B$172*(Geraetedaten!$B$18+d_y_Sw)/1000)-(Geraetedaten!$B$173*I204/1000))*10</f>
        <v>1007.0675308477062</v>
      </c>
      <c r="N204" s="20">
        <f>IF((H204-J204)/(K204-J204)*(Geraetedaten!$B$174-Geraetedaten!$B$161)&lt;Geraetedaten!$B$174,(H204-J204)/(K204-J204)*(Geraetedaten!$B$174-Geraetedaten!$B$161),Geraetedaten!$B$174)</f>
        <v>217.11664208468994</v>
      </c>
      <c r="O204" s="20">
        <f>N204/Geraetedaten!$B$174*(M204-L204)+L204+C204</f>
        <v>840.9969201586282</v>
      </c>
      <c r="P204" s="20">
        <f t="shared" si="177"/>
        <v>245.76188029258773</v>
      </c>
      <c r="Q204" s="21">
        <f>(N204-Geraetedaten!$B$161)/(Geraetedaten!$B$174-Geraetedaten!$B$161)*(Geraetedaten!$B$175-Geraetedaten!$B$162)+Geraetedaten!$B$162</f>
        <v>35.659220102019525</v>
      </c>
      <c r="R204" s="21">
        <f t="shared" si="178"/>
        <v>35.659220102019525</v>
      </c>
      <c r="S204" s="21">
        <f t="shared" si="179"/>
        <v>9.2292852959053153</v>
      </c>
      <c r="T204" s="88">
        <f t="shared" si="180"/>
        <v>-34.444161641866962</v>
      </c>
      <c r="U204" s="86">
        <f t="shared" si="181"/>
        <v>-11005.233459999999</v>
      </c>
      <c r="V204" s="85">
        <f t="shared" si="182"/>
        <v>-1141.3067828769733</v>
      </c>
      <c r="W204" s="85">
        <f t="shared" si="183"/>
        <v>-4438.5783436924612</v>
      </c>
      <c r="X204" s="90">
        <f t="shared" si="184"/>
        <v>1141.3067828769733</v>
      </c>
      <c r="Y204" s="86">
        <f t="shared" si="185"/>
        <v>8682.8851099999993</v>
      </c>
      <c r="Z204" s="85">
        <f t="shared" si="186"/>
        <v>-750</v>
      </c>
      <c r="AA204" s="85">
        <f t="shared" si="187"/>
        <v>776.45713530756223</v>
      </c>
      <c r="AB204" s="90">
        <f t="shared" si="188"/>
        <v>750</v>
      </c>
      <c r="AC204" s="86">
        <f t="shared" si="189"/>
        <v>10436.55689</v>
      </c>
      <c r="AD204" s="85">
        <f t="shared" si="190"/>
        <v>1055.7627565116984</v>
      </c>
      <c r="AE204" s="85">
        <f t="shared" si="191"/>
        <v>4063.7211401837403</v>
      </c>
      <c r="AF204" s="90">
        <f t="shared" si="192"/>
        <v>1055.7627565116984</v>
      </c>
      <c r="AG204" s="86">
        <f t="shared" si="193"/>
        <v>-9217.9182000000001</v>
      </c>
      <c r="AH204" s="85">
        <f t="shared" si="194"/>
        <v>6128</v>
      </c>
      <c r="AI204" s="85">
        <f t="shared" si="195"/>
        <v>-6344.1724335529889</v>
      </c>
      <c r="AJ204" s="90">
        <f t="shared" si="196"/>
        <v>6128</v>
      </c>
      <c r="AL204" s="95">
        <f t="shared" si="197"/>
        <v>0</v>
      </c>
      <c r="AM204" s="95">
        <f t="shared" si="198"/>
        <v>0</v>
      </c>
      <c r="AN204" s="95">
        <f t="shared" si="199"/>
        <v>0</v>
      </c>
      <c r="AO204" s="95">
        <f t="shared" si="200"/>
        <v>0</v>
      </c>
      <c r="AP204"/>
      <c r="AQ204" s="95">
        <f t="shared" si="201"/>
        <v>0</v>
      </c>
      <c r="AR204" s="95">
        <f t="shared" si="202"/>
        <v>0</v>
      </c>
      <c r="AS204" s="95">
        <f>Geraetedaten!$B$94*ABS(SIN(RADIANS($A204)))</f>
        <v>39.858132945788235</v>
      </c>
      <c r="AT204" s="95">
        <f>Geraetedaten!$B$94*ABS(COS(RADIANS($A204)))</f>
        <v>148.7525772485165</v>
      </c>
      <c r="AU204" s="95">
        <f>((h_Aw_Sw+Geraetedaten!$B$18)/1000)*(AQ204*AS204+AR204*AT204)/100</f>
        <v>0</v>
      </c>
    </row>
    <row r="205" spans="1:47" ht="13.5" x14ac:dyDescent="0.25">
      <c r="A205" s="16">
        <v>166</v>
      </c>
      <c r="B205" s="16">
        <f t="shared" si="170"/>
        <v>284</v>
      </c>
      <c r="C205" s="19">
        <f t="shared" si="171"/>
        <v>44.43096768122831</v>
      </c>
      <c r="D205" s="17">
        <f t="shared" si="172"/>
        <v>-11824.096157681228</v>
      </c>
      <c r="E205" s="17">
        <f t="shared" si="173"/>
        <v>8599.3492223187714</v>
      </c>
      <c r="F205" s="17">
        <f t="shared" si="174"/>
        <v>11117.917702318771</v>
      </c>
      <c r="G205" s="17">
        <f t="shared" si="175"/>
        <v>-9220.8346276812281</v>
      </c>
      <c r="H205" s="17">
        <f t="shared" si="203"/>
        <v>8599.3492223187714</v>
      </c>
      <c r="I205" s="17">
        <f t="shared" si="176"/>
        <v>772.96022201242351</v>
      </c>
      <c r="J205" s="20">
        <f>(Geraetedaten!$B$152+(Geraetedaten!$B$153*(Geraetedaten!$B$18+d_y_Sw)/1000))*10</f>
        <v>6051.0442000000003</v>
      </c>
      <c r="K205" s="20">
        <f>(Geraetedaten!$B$165+(Geraetedaten!$B$166*(Geraetedaten!$B$18+d_y_Sw)/1000))*10</f>
        <v>10816.164000000001</v>
      </c>
      <c r="L205" s="20">
        <f>(Geraetedaten!$B$158+(Geraetedaten!$B$159*(Geraetedaten!$B$18+d_y_Sw)/1000)-(Geraetedaten!$B$160*I205/1000))*10</f>
        <v>544.85542691982869</v>
      </c>
      <c r="M205" s="20">
        <f>(Geraetedaten!$B$171+(Geraetedaten!$B$172*(Geraetedaten!$B$18+d_y_Sw)/1000)-(Geraetedaten!$B$173*I205/1000))*10</f>
        <v>1007.3278410733961</v>
      </c>
      <c r="N205" s="20">
        <f>IF((H205-J205)/(K205-J205)*(Geraetedaten!$B$174-Geraetedaten!$B$161)&lt;Geraetedaten!$B$174,(H205-J205)/(K205-J205)*(Geraetedaten!$B$174-Geraetedaten!$B$161),Geraetedaten!$B$174)</f>
        <v>213.91319666874028</v>
      </c>
      <c r="O205" s="20">
        <f>N205/Geraetedaten!$B$174*(M205-L205)+L205+C205</f>
        <v>836.60877580780493</v>
      </c>
      <c r="P205" s="20">
        <f t="shared" si="177"/>
        <v>245.12467376732565</v>
      </c>
      <c r="Q205" s="21">
        <f>(N205-Geraetedaten!$B$161)/(Geraetedaten!$B$174-Geraetedaten!$B$161)*(Geraetedaten!$B$175-Geraetedaten!$B$162)+Geraetedaten!$B$162</f>
        <v>35.563917600895024</v>
      </c>
      <c r="R205" s="21">
        <f t="shared" si="178"/>
        <v>35.563917600895024</v>
      </c>
      <c r="S205" s="21">
        <f t="shared" si="179"/>
        <v>8.603690360958911</v>
      </c>
      <c r="T205" s="88">
        <f t="shared" si="180"/>
        <v>-34.50751725778013</v>
      </c>
      <c r="U205" s="86">
        <f t="shared" si="181"/>
        <v>-11779.66519</v>
      </c>
      <c r="V205" s="85">
        <f t="shared" si="182"/>
        <v>-1141.3067828769733</v>
      </c>
      <c r="W205" s="85">
        <f t="shared" si="183"/>
        <v>-4750.9184594638855</v>
      </c>
      <c r="X205" s="90">
        <f t="shared" si="184"/>
        <v>1141.3067828769733</v>
      </c>
      <c r="Y205" s="86">
        <f t="shared" si="185"/>
        <v>8643.7801899999995</v>
      </c>
      <c r="Z205" s="85">
        <f t="shared" si="186"/>
        <v>-750</v>
      </c>
      <c r="AA205" s="85">
        <f t="shared" si="187"/>
        <v>772.96022201242351</v>
      </c>
      <c r="AB205" s="90">
        <f t="shared" si="188"/>
        <v>750</v>
      </c>
      <c r="AC205" s="86">
        <f t="shared" si="189"/>
        <v>11162.348669999999</v>
      </c>
      <c r="AD205" s="85">
        <f t="shared" si="190"/>
        <v>1055.7627565116984</v>
      </c>
      <c r="AE205" s="85">
        <f t="shared" si="191"/>
        <v>4346.3253950724447</v>
      </c>
      <c r="AF205" s="90">
        <f t="shared" si="192"/>
        <v>1055.7627565116984</v>
      </c>
      <c r="AG205" s="86">
        <f t="shared" si="193"/>
        <v>-9176.4036599999999</v>
      </c>
      <c r="AH205" s="85">
        <f t="shared" si="194"/>
        <v>6128</v>
      </c>
      <c r="AI205" s="85">
        <f t="shared" si="195"/>
        <v>-6315.6003206561754</v>
      </c>
      <c r="AJ205" s="90">
        <f t="shared" si="196"/>
        <v>6128</v>
      </c>
      <c r="AL205" s="95">
        <f t="shared" si="197"/>
        <v>0</v>
      </c>
      <c r="AM205" s="95">
        <f t="shared" si="198"/>
        <v>0</v>
      </c>
      <c r="AN205" s="95">
        <f t="shared" si="199"/>
        <v>0</v>
      </c>
      <c r="AO205" s="95">
        <f t="shared" si="200"/>
        <v>0</v>
      </c>
      <c r="AP205"/>
      <c r="AQ205" s="95">
        <f t="shared" si="201"/>
        <v>0</v>
      </c>
      <c r="AR205" s="95">
        <f t="shared" si="202"/>
        <v>0</v>
      </c>
      <c r="AS205" s="95">
        <f>Geraetedaten!$B$94*ABS(SIN(RADIANS($A205)))</f>
        <v>37.255971922348827</v>
      </c>
      <c r="AT205" s="95">
        <f>Geraetedaten!$B$94*ABS(COS(RADIANS($A205)))</f>
        <v>149.42554184650345</v>
      </c>
      <c r="AU205" s="95">
        <f>((h_Aw_Sw+Geraetedaten!$B$18)/1000)*(AQ205*AS205+AR205*AT205)/100</f>
        <v>0</v>
      </c>
    </row>
    <row r="206" spans="1:47" ht="13.5" x14ac:dyDescent="0.25">
      <c r="A206" s="16">
        <v>167</v>
      </c>
      <c r="B206" s="16">
        <f t="shared" si="170"/>
        <v>283</v>
      </c>
      <c r="C206" s="19">
        <f t="shared" si="171"/>
        <v>43.474516527462455</v>
      </c>
      <c r="D206" s="17">
        <f t="shared" si="172"/>
        <v>-12718.967696527461</v>
      </c>
      <c r="E206" s="17">
        <f t="shared" si="173"/>
        <v>8564.1616134725391</v>
      </c>
      <c r="F206" s="17">
        <f t="shared" si="174"/>
        <v>11957.087353472538</v>
      </c>
      <c r="G206" s="17">
        <f t="shared" si="175"/>
        <v>-9181.506946527461</v>
      </c>
      <c r="H206" s="17">
        <f t="shared" si="203"/>
        <v>8564.1616134725391</v>
      </c>
      <c r="I206" s="17">
        <f t="shared" si="176"/>
        <v>769.72808084504368</v>
      </c>
      <c r="J206" s="20">
        <f>(Geraetedaten!$B$152+(Geraetedaten!$B$153*(Geraetedaten!$B$18+d_y_Sw)/1000))*10</f>
        <v>6051.0442000000003</v>
      </c>
      <c r="K206" s="20">
        <f>(Geraetedaten!$B$165+(Geraetedaten!$B$166*(Geraetedaten!$B$18+d_y_Sw)/1000))*10</f>
        <v>10816.164000000001</v>
      </c>
      <c r="L206" s="20">
        <f>(Geraetedaten!$B$158+(Geraetedaten!$B$159*(Geraetedaten!$B$18+d_y_Sw)/1000)-(Geraetedaten!$B$160*I206/1000))*10</f>
        <v>545.09243983163276</v>
      </c>
      <c r="M206" s="20">
        <f>(Geraetedaten!$B$171+(Geraetedaten!$B$172*(Geraetedaten!$B$18+d_y_Sw)/1000)-(Geraetedaten!$B$173*I206/1000))*10</f>
        <v>1007.5684416618959</v>
      </c>
      <c r="N206" s="20">
        <f>IF((H206-J206)/(K206-J206)*(Geraetedaten!$B$174-Geraetedaten!$B$161)&lt;Geraetedaten!$B$174,(H206-J206)/(K206-J206)*(Geraetedaten!$B$174-Geraetedaten!$B$161),Geraetedaten!$B$174)</f>
        <v>210.95943178364905</v>
      </c>
      <c r="O206" s="20">
        <f>N206/Geraetedaten!$B$174*(M206-L206)+L206+C206</f>
        <v>832.47614275831063</v>
      </c>
      <c r="P206" s="20">
        <f t="shared" si="177"/>
        <v>244.50868193369899</v>
      </c>
      <c r="Q206" s="21">
        <f>(N206-Geraetedaten!$B$161)/(Geraetedaten!$B$174-Geraetedaten!$B$161)*(Geraetedaten!$B$175-Geraetedaten!$B$162)+Geraetedaten!$B$162</f>
        <v>35.476043095563561</v>
      </c>
      <c r="R206" s="21">
        <f t="shared" si="178"/>
        <v>35.476043095563561</v>
      </c>
      <c r="S206" s="21">
        <f t="shared" si="179"/>
        <v>7.9803732982954223</v>
      </c>
      <c r="T206" s="88">
        <f t="shared" si="180"/>
        <v>-34.566794409348063</v>
      </c>
      <c r="U206" s="86">
        <f t="shared" si="181"/>
        <v>-12675.493179999999</v>
      </c>
      <c r="V206" s="85">
        <f t="shared" si="182"/>
        <v>-1141.3067828769733</v>
      </c>
      <c r="W206" s="85">
        <f t="shared" si="183"/>
        <v>-5112.2195365541529</v>
      </c>
      <c r="X206" s="90">
        <f t="shared" si="184"/>
        <v>1141.3067828769733</v>
      </c>
      <c r="Y206" s="86">
        <f t="shared" si="185"/>
        <v>8607.6361300000008</v>
      </c>
      <c r="Z206" s="85">
        <f t="shared" si="186"/>
        <v>-750</v>
      </c>
      <c r="AA206" s="85">
        <f t="shared" si="187"/>
        <v>769.72808084504368</v>
      </c>
      <c r="AB206" s="90">
        <f t="shared" si="188"/>
        <v>750</v>
      </c>
      <c r="AC206" s="86">
        <f t="shared" si="189"/>
        <v>12000.56187</v>
      </c>
      <c r="AD206" s="85">
        <f t="shared" si="190"/>
        <v>1055.7627565116984</v>
      </c>
      <c r="AE206" s="85">
        <f t="shared" si="191"/>
        <v>4672.703602327414</v>
      </c>
      <c r="AF206" s="90">
        <f t="shared" si="192"/>
        <v>1055.7627565116984</v>
      </c>
      <c r="AG206" s="86">
        <f t="shared" si="193"/>
        <v>-9138.0324299999993</v>
      </c>
      <c r="AH206" s="85">
        <f t="shared" si="194"/>
        <v>6128</v>
      </c>
      <c r="AI206" s="85">
        <f t="shared" si="195"/>
        <v>-6289.1915725579038</v>
      </c>
      <c r="AJ206" s="90">
        <f t="shared" si="196"/>
        <v>6128</v>
      </c>
      <c r="AL206" s="95">
        <f t="shared" si="197"/>
        <v>0</v>
      </c>
      <c r="AM206" s="95">
        <f t="shared" si="198"/>
        <v>0</v>
      </c>
      <c r="AN206" s="95">
        <f t="shared" si="199"/>
        <v>0</v>
      </c>
      <c r="AO206" s="95">
        <f t="shared" si="200"/>
        <v>0</v>
      </c>
      <c r="AP206"/>
      <c r="AQ206" s="95">
        <f t="shared" si="201"/>
        <v>0</v>
      </c>
      <c r="AR206" s="95">
        <f t="shared" si="202"/>
        <v>0</v>
      </c>
      <c r="AS206" s="95">
        <f>Geraetedaten!$B$94*ABS(SIN(RADIANS($A206)))</f>
        <v>34.642462368955243</v>
      </c>
      <c r="AT206" s="95">
        <f>Geraetedaten!$B$94*ABS(COS(RADIANS($A206)))</f>
        <v>150.0529899769262</v>
      </c>
      <c r="AU206" s="95">
        <f>((h_Aw_Sw+Geraetedaten!$B$18)/1000)*(AQ206*AS206+AR206*AT206)/100</f>
        <v>0</v>
      </c>
    </row>
    <row r="207" spans="1:47" ht="13.5" x14ac:dyDescent="0.25">
      <c r="A207" s="16">
        <v>168</v>
      </c>
      <c r="B207" s="16">
        <f t="shared" si="170"/>
        <v>282</v>
      </c>
      <c r="C207" s="19">
        <f t="shared" si="171"/>
        <v>42.504822614815211</v>
      </c>
      <c r="D207" s="17">
        <f t="shared" si="172"/>
        <v>-13765.818112614816</v>
      </c>
      <c r="E207" s="17">
        <f t="shared" si="173"/>
        <v>8531.889237385185</v>
      </c>
      <c r="F207" s="17">
        <f t="shared" si="174"/>
        <v>12936.653337385185</v>
      </c>
      <c r="G207" s="17">
        <f t="shared" si="175"/>
        <v>-9145.2468326148155</v>
      </c>
      <c r="H207" s="17">
        <f t="shared" si="203"/>
        <v>8531.889237385185</v>
      </c>
      <c r="I207" s="17">
        <f t="shared" si="176"/>
        <v>766.75544614877197</v>
      </c>
      <c r="J207" s="20">
        <f>(Geraetedaten!$B$152+(Geraetedaten!$B$153*(Geraetedaten!$B$18+d_y_Sw)/1000))*10</f>
        <v>6051.0442000000003</v>
      </c>
      <c r="K207" s="20">
        <f>(Geraetedaten!$B$165+(Geraetedaten!$B$166*(Geraetedaten!$B$18+d_y_Sw)/1000))*10</f>
        <v>10816.164000000001</v>
      </c>
      <c r="L207" s="20">
        <f>(Geraetedaten!$B$158+(Geraetedaten!$B$159*(Geraetedaten!$B$18+d_y_Sw)/1000)-(Geraetedaten!$B$160*I207/1000))*10</f>
        <v>545.31042313391026</v>
      </c>
      <c r="M207" s="20">
        <f>(Geraetedaten!$B$171+(Geraetedaten!$B$172*(Geraetedaten!$B$18+d_y_Sw)/1000)-(Geraetedaten!$B$173*I207/1000))*10</f>
        <v>1007.7897245886863</v>
      </c>
      <c r="N207" s="20">
        <f>IF((H207-J207)/(K207-J207)*(Geraetedaten!$B$174-Geraetedaten!$B$161)&lt;Geraetedaten!$B$174,(H207-J207)/(K207-J207)*(Geraetedaten!$B$174-Geraetedaten!$B$161),Geraetedaten!$B$174)</f>
        <v>208.25038122946538</v>
      </c>
      <c r="O207" s="20">
        <f>N207/Geraetedaten!$B$174*(M207-L207)+L207+C207</f>
        <v>828.59397284546037</v>
      </c>
      <c r="P207" s="20">
        <f t="shared" si="177"/>
        <v>243.91396016862581</v>
      </c>
      <c r="Q207" s="21">
        <f>(N207-Geraetedaten!$B$161)/(Geraetedaten!$B$174-Geraetedaten!$B$161)*(Geraetedaten!$B$175-Geraetedaten!$B$162)+Geraetedaten!$B$162</f>
        <v>35.395448841576595</v>
      </c>
      <c r="R207" s="21">
        <f t="shared" si="178"/>
        <v>35.395448841576595</v>
      </c>
      <c r="S207" s="21">
        <f t="shared" si="179"/>
        <v>7.35912761590569</v>
      </c>
      <c r="T207" s="88">
        <f t="shared" si="180"/>
        <v>-34.621973361284311</v>
      </c>
      <c r="U207" s="86">
        <f t="shared" si="181"/>
        <v>-13723.31329</v>
      </c>
      <c r="V207" s="85">
        <f t="shared" si="182"/>
        <v>-1141.3067828769733</v>
      </c>
      <c r="W207" s="85">
        <f t="shared" si="183"/>
        <v>-5534.8213541455916</v>
      </c>
      <c r="X207" s="90">
        <f t="shared" si="184"/>
        <v>1141.3067828769733</v>
      </c>
      <c r="Y207" s="86">
        <f t="shared" si="185"/>
        <v>8574.3940600000005</v>
      </c>
      <c r="Z207" s="85">
        <f t="shared" si="186"/>
        <v>-750</v>
      </c>
      <c r="AA207" s="85">
        <f t="shared" si="187"/>
        <v>766.75544614877197</v>
      </c>
      <c r="AB207" s="90">
        <f t="shared" si="188"/>
        <v>750</v>
      </c>
      <c r="AC207" s="86">
        <f t="shared" si="189"/>
        <v>12979.158160000001</v>
      </c>
      <c r="AD207" s="85">
        <f t="shared" si="190"/>
        <v>1055.7627565116984</v>
      </c>
      <c r="AE207" s="85">
        <f t="shared" si="191"/>
        <v>5053.7432950903931</v>
      </c>
      <c r="AF207" s="90">
        <f t="shared" si="192"/>
        <v>1055.7627565116984</v>
      </c>
      <c r="AG207" s="86">
        <f t="shared" si="193"/>
        <v>-9102.7420099999999</v>
      </c>
      <c r="AH207" s="85">
        <f t="shared" si="194"/>
        <v>6128</v>
      </c>
      <c r="AI207" s="85">
        <f t="shared" si="195"/>
        <v>-6264.9031653328993</v>
      </c>
      <c r="AJ207" s="90">
        <f t="shared" si="196"/>
        <v>6128</v>
      </c>
      <c r="AL207" s="95">
        <f t="shared" si="197"/>
        <v>0</v>
      </c>
      <c r="AM207" s="95">
        <f t="shared" si="198"/>
        <v>0</v>
      </c>
      <c r="AN207" s="95">
        <f t="shared" si="199"/>
        <v>0</v>
      </c>
      <c r="AO207" s="95">
        <f t="shared" si="200"/>
        <v>0</v>
      </c>
      <c r="AP207"/>
      <c r="AQ207" s="95">
        <f t="shared" si="201"/>
        <v>0</v>
      </c>
      <c r="AR207" s="95">
        <f t="shared" si="202"/>
        <v>0</v>
      </c>
      <c r="AS207" s="95">
        <f>Geraetedaten!$B$94*ABS(SIN(RADIANS($A207)))</f>
        <v>32.018400385934932</v>
      </c>
      <c r="AT207" s="95">
        <f>Geraetedaten!$B$94*ABS(COS(RADIANS($A207)))</f>
        <v>150.63473051300608</v>
      </c>
      <c r="AU207" s="95">
        <f>((h_Aw_Sw+Geraetedaten!$B$18)/1000)*(AQ207*AS207+AR207*AT207)/100</f>
        <v>0</v>
      </c>
    </row>
    <row r="208" spans="1:47" ht="13.5" x14ac:dyDescent="0.25">
      <c r="A208" s="16">
        <v>169</v>
      </c>
      <c r="B208" s="16">
        <f t="shared" si="170"/>
        <v>281</v>
      </c>
      <c r="C208" s="19">
        <f t="shared" si="171"/>
        <v>41.522181321446062</v>
      </c>
      <c r="D208" s="17">
        <f t="shared" si="172"/>
        <v>-15006.472081321446</v>
      </c>
      <c r="E208" s="17">
        <f t="shared" si="173"/>
        <v>8502.4781486785541</v>
      </c>
      <c r="F208" s="17">
        <f t="shared" si="174"/>
        <v>14094.691918678553</v>
      </c>
      <c r="G208" s="17">
        <f t="shared" si="175"/>
        <v>-9111.9976213214468</v>
      </c>
      <c r="H208" s="17">
        <f t="shared" si="203"/>
        <v>8502.4781486785541</v>
      </c>
      <c r="I208" s="17">
        <f t="shared" si="176"/>
        <v>764.03752121641071</v>
      </c>
      <c r="J208" s="20">
        <f>(Geraetedaten!$B$152+(Geraetedaten!$B$153*(Geraetedaten!$B$18+d_y_Sw)/1000))*10</f>
        <v>6051.0442000000003</v>
      </c>
      <c r="K208" s="20">
        <f>(Geraetedaten!$B$165+(Geraetedaten!$B$166*(Geraetedaten!$B$18+d_y_Sw)/1000))*10</f>
        <v>10816.164000000001</v>
      </c>
      <c r="L208" s="20">
        <f>(Geraetedaten!$B$158+(Geraetedaten!$B$159*(Geraetedaten!$B$18+d_y_Sw)/1000)-(Geraetedaten!$B$160*I208/1000))*10</f>
        <v>545.50972856920032</v>
      </c>
      <c r="M208" s="20">
        <f>(Geraetedaten!$B$171+(Geraetedaten!$B$172*(Geraetedaten!$B$18+d_y_Sw)/1000)-(Geraetedaten!$B$173*I208/1000))*10</f>
        <v>1007.9920469206513</v>
      </c>
      <c r="N208" s="20">
        <f>IF((H208-J208)/(K208-J208)*(Geraetedaten!$B$174-Geraetedaten!$B$161)&lt;Geraetedaten!$B$174,(H208-J208)/(K208-J208)*(Geraetedaten!$B$174-Geraetedaten!$B$161),Geraetedaten!$B$174)</f>
        <v>205.7815166517789</v>
      </c>
      <c r="O208" s="20">
        <f>N208/Geraetedaten!$B$174*(M208-L208)+L208+C208</f>
        <v>824.95769212812741</v>
      </c>
      <c r="P208" s="20">
        <f t="shared" si="177"/>
        <v>243.3405799223479</v>
      </c>
      <c r="Q208" s="21">
        <f>(N208-Geraetedaten!$B$161)/(Geraetedaten!$B$174-Geraetedaten!$B$161)*(Geraetedaten!$B$175-Geraetedaten!$B$162)+Geraetedaten!$B$162</f>
        <v>35.32200012039042</v>
      </c>
      <c r="R208" s="21">
        <f t="shared" si="178"/>
        <v>35.32200012039042</v>
      </c>
      <c r="S208" s="21">
        <f t="shared" si="179"/>
        <v>6.7397553576618963</v>
      </c>
      <c r="T208" s="88">
        <f t="shared" si="180"/>
        <v>-34.673035491916899</v>
      </c>
      <c r="U208" s="86">
        <f t="shared" si="181"/>
        <v>-14964.9499</v>
      </c>
      <c r="V208" s="85">
        <f t="shared" si="182"/>
        <v>-1141.3067828769733</v>
      </c>
      <c r="W208" s="85">
        <f t="shared" si="183"/>
        <v>-6035.5923167453993</v>
      </c>
      <c r="X208" s="90">
        <f t="shared" si="184"/>
        <v>1141.3067828769733</v>
      </c>
      <c r="Y208" s="86">
        <f t="shared" si="185"/>
        <v>8544.0003300000008</v>
      </c>
      <c r="Z208" s="85">
        <f t="shared" si="186"/>
        <v>-750</v>
      </c>
      <c r="AA208" s="85">
        <f t="shared" si="187"/>
        <v>764.03752121641071</v>
      </c>
      <c r="AB208" s="90">
        <f t="shared" si="188"/>
        <v>750</v>
      </c>
      <c r="AC208" s="86">
        <f t="shared" si="189"/>
        <v>14136.214099999999</v>
      </c>
      <c r="AD208" s="85">
        <f t="shared" si="190"/>
        <v>1055.7627565116984</v>
      </c>
      <c r="AE208" s="85">
        <f t="shared" si="191"/>
        <v>5504.2704894181634</v>
      </c>
      <c r="AF208" s="90">
        <f t="shared" si="192"/>
        <v>1055.7627565116984</v>
      </c>
      <c r="AG208" s="86">
        <f t="shared" si="193"/>
        <v>-9070.4754400000002</v>
      </c>
      <c r="AH208" s="85">
        <f t="shared" si="194"/>
        <v>6128</v>
      </c>
      <c r="AI208" s="85">
        <f t="shared" si="195"/>
        <v>-6242.6959066855525</v>
      </c>
      <c r="AJ208" s="90">
        <f t="shared" si="196"/>
        <v>6128</v>
      </c>
      <c r="AL208" s="95">
        <f t="shared" si="197"/>
        <v>0</v>
      </c>
      <c r="AM208" s="95">
        <f t="shared" si="198"/>
        <v>0</v>
      </c>
      <c r="AN208" s="95">
        <f t="shared" si="199"/>
        <v>0</v>
      </c>
      <c r="AO208" s="95">
        <f t="shared" si="200"/>
        <v>0</v>
      </c>
      <c r="AP208"/>
      <c r="AQ208" s="95">
        <f t="shared" si="201"/>
        <v>0</v>
      </c>
      <c r="AR208" s="95">
        <f t="shared" si="202"/>
        <v>0</v>
      </c>
      <c r="AS208" s="95">
        <f>Geraetedaten!$B$94*ABS(SIN(RADIANS($A208)))</f>
        <v>29.384585287987925</v>
      </c>
      <c r="AT208" s="95">
        <f>Geraetedaten!$B$94*ABS(COS(RADIANS($A208)))</f>
        <v>151.17058625094026</v>
      </c>
      <c r="AU208" s="95">
        <f>((h_Aw_Sw+Geraetedaten!$B$18)/1000)*(AQ208*AS208+AR208*AT208)/100</f>
        <v>0</v>
      </c>
    </row>
    <row r="209" spans="1:47" ht="13.5" x14ac:dyDescent="0.25">
      <c r="A209" s="16">
        <v>170</v>
      </c>
      <c r="B209" s="16">
        <f t="shared" si="170"/>
        <v>280</v>
      </c>
      <c r="C209" s="19">
        <f t="shared" si="171"/>
        <v>40.526891969411963</v>
      </c>
      <c r="D209" s="17">
        <f t="shared" si="172"/>
        <v>-16499.653681969412</v>
      </c>
      <c r="E209" s="17">
        <f t="shared" si="173"/>
        <v>8475.8794280305883</v>
      </c>
      <c r="F209" s="17">
        <f t="shared" si="174"/>
        <v>15484.422428030588</v>
      </c>
      <c r="G209" s="17">
        <f t="shared" si="175"/>
        <v>-9081.7080019694113</v>
      </c>
      <c r="H209" s="17">
        <f t="shared" si="203"/>
        <v>8475.8794280305883</v>
      </c>
      <c r="I209" s="17">
        <f t="shared" si="176"/>
        <v>761.56995891430881</v>
      </c>
      <c r="J209" s="20">
        <f>(Geraetedaten!$B$152+(Geraetedaten!$B$153*(Geraetedaten!$B$18+d_y_Sw)/1000))*10</f>
        <v>6051.0442000000003</v>
      </c>
      <c r="K209" s="20">
        <f>(Geraetedaten!$B$165+(Geraetedaten!$B$166*(Geraetedaten!$B$18+d_y_Sw)/1000))*10</f>
        <v>10816.164000000001</v>
      </c>
      <c r="L209" s="20">
        <f>(Geraetedaten!$B$158+(Geraetedaten!$B$159*(Geraetedaten!$B$18+d_y_Sw)/1000)-(Geraetedaten!$B$160*I209/1000))*10</f>
        <v>545.69067491281339</v>
      </c>
      <c r="M209" s="20">
        <f>(Geraetedaten!$B$171+(Geraetedaten!$B$172*(Geraetedaten!$B$18+d_y_Sw)/1000)-(Geraetedaten!$B$173*I209/1000))*10</f>
        <v>1008.1757322584199</v>
      </c>
      <c r="N209" s="20">
        <f>IF((H209-J209)/(K209-J209)*(Geraetedaten!$B$174-Geraetedaten!$B$161)&lt;Geraetedaten!$B$174,(H209-J209)/(K209-J209)*(Geraetedaten!$B$174-Geraetedaten!$B$161),Geraetedaten!$B$174)</f>
        <v>203.54873160003976</v>
      </c>
      <c r="O209" s="20">
        <f>N209/Geraetedaten!$B$174*(M209-L209)+L209+C209</f>
        <v>821.56318389889998</v>
      </c>
      <c r="P209" s="20">
        <f t="shared" si="177"/>
        <v>242.78862882127325</v>
      </c>
      <c r="Q209" s="21">
        <f>(N209-Geraetedaten!$B$161)/(Geraetedaten!$B$174-Geraetedaten!$B$161)*(Geraetedaten!$B$175-Geraetedaten!$B$162)+Geraetedaten!$B$162</f>
        <v>35.255574765101187</v>
      </c>
      <c r="R209" s="21">
        <f t="shared" si="178"/>
        <v>35.255574765101187</v>
      </c>
      <c r="S209" s="21">
        <f t="shared" si="179"/>
        <v>6.1220663105600348</v>
      </c>
      <c r="T209" s="88">
        <f t="shared" si="180"/>
        <v>-34.7199633655732</v>
      </c>
      <c r="U209" s="86">
        <f t="shared" si="181"/>
        <v>-16459.126789999998</v>
      </c>
      <c r="V209" s="85">
        <f t="shared" si="182"/>
        <v>-1141.3067828769733</v>
      </c>
      <c r="W209" s="85">
        <f t="shared" si="183"/>
        <v>-6638.2166266754002</v>
      </c>
      <c r="X209" s="90">
        <f t="shared" si="184"/>
        <v>1141.3067828769733</v>
      </c>
      <c r="Y209" s="86">
        <f t="shared" si="185"/>
        <v>8516.4063200000001</v>
      </c>
      <c r="Z209" s="85">
        <f t="shared" si="186"/>
        <v>-750</v>
      </c>
      <c r="AA209" s="85">
        <f t="shared" si="187"/>
        <v>761.56995891430881</v>
      </c>
      <c r="AB209" s="90">
        <f t="shared" si="188"/>
        <v>750</v>
      </c>
      <c r="AC209" s="86">
        <f t="shared" si="189"/>
        <v>15524.94932</v>
      </c>
      <c r="AD209" s="85">
        <f t="shared" si="190"/>
        <v>1055.7627565116984</v>
      </c>
      <c r="AE209" s="85">
        <f t="shared" si="191"/>
        <v>6045.0075059596902</v>
      </c>
      <c r="AF209" s="90">
        <f t="shared" si="192"/>
        <v>1055.7627565116984</v>
      </c>
      <c r="AG209" s="86">
        <f t="shared" si="193"/>
        <v>-9041.1811099999995</v>
      </c>
      <c r="AH209" s="85">
        <f t="shared" si="194"/>
        <v>6128</v>
      </c>
      <c r="AI209" s="85">
        <f t="shared" si="195"/>
        <v>-6222.5342776358457</v>
      </c>
      <c r="AJ209" s="90">
        <f t="shared" si="196"/>
        <v>6128</v>
      </c>
      <c r="AL209" s="95">
        <f t="shared" si="197"/>
        <v>0</v>
      </c>
      <c r="AM209" s="95">
        <f t="shared" si="198"/>
        <v>0</v>
      </c>
      <c r="AN209" s="95">
        <f t="shared" si="199"/>
        <v>0</v>
      </c>
      <c r="AO209" s="95">
        <f t="shared" si="200"/>
        <v>0</v>
      </c>
      <c r="AP209"/>
      <c r="AQ209" s="95">
        <f t="shared" si="201"/>
        <v>0</v>
      </c>
      <c r="AR209" s="95">
        <f t="shared" si="202"/>
        <v>0</v>
      </c>
      <c r="AS209" s="95">
        <f>Geraetedaten!$B$94*ABS(SIN(RADIANS($A209)))</f>
        <v>26.741819360707261</v>
      </c>
      <c r="AT209" s="95">
        <f>Geraetedaten!$B$94*ABS(COS(RADIANS($A209)))</f>
        <v>151.66039396388004</v>
      </c>
      <c r="AU209" s="95">
        <f>((h_Aw_Sw+Geraetedaten!$B$18)/1000)*(AQ209*AS209+AR209*AT209)/100</f>
        <v>0</v>
      </c>
    </row>
    <row r="210" spans="1:47" ht="13.5" x14ac:dyDescent="0.25">
      <c r="A210" s="16">
        <v>171</v>
      </c>
      <c r="B210" s="16">
        <f t="shared" si="170"/>
        <v>279</v>
      </c>
      <c r="C210" s="19">
        <f t="shared" si="171"/>
        <v>39.519257733491195</v>
      </c>
      <c r="D210" s="17">
        <f t="shared" si="172"/>
        <v>-18330.480487733494</v>
      </c>
      <c r="E210" s="17">
        <f t="shared" si="173"/>
        <v>8452.0490122665087</v>
      </c>
      <c r="F210" s="17">
        <f t="shared" si="174"/>
        <v>17182.565842266507</v>
      </c>
      <c r="G210" s="17">
        <f t="shared" si="175"/>
        <v>-9054.3318177334913</v>
      </c>
      <c r="H210" s="17">
        <f t="shared" si="203"/>
        <v>8452.0490122665087</v>
      </c>
      <c r="I210" s="17">
        <f t="shared" si="176"/>
        <v>759.34884434100218</v>
      </c>
      <c r="J210" s="20">
        <f>(Geraetedaten!$B$152+(Geraetedaten!$B$153*(Geraetedaten!$B$18+d_y_Sw)/1000))*10</f>
        <v>6051.0442000000003</v>
      </c>
      <c r="K210" s="20">
        <f>(Geraetedaten!$B$165+(Geraetedaten!$B$166*(Geraetedaten!$B$18+d_y_Sw)/1000))*10</f>
        <v>10816.164000000001</v>
      </c>
      <c r="L210" s="20">
        <f>(Geraetedaten!$B$158+(Geraetedaten!$B$159*(Geraetedaten!$B$18+d_y_Sw)/1000)-(Geraetedaten!$B$160*I210/1000))*10</f>
        <v>545.85354924447404</v>
      </c>
      <c r="M210" s="20">
        <f>(Geraetedaten!$B$171+(Geraetedaten!$B$172*(Geraetedaten!$B$18+d_y_Sw)/1000)-(Geraetedaten!$B$173*I210/1000))*10</f>
        <v>1008.3410720272568</v>
      </c>
      <c r="N210" s="20">
        <f>IF((H210-J210)/(K210-J210)*(Geraetedaten!$B$174-Geraetedaten!$B$161)&lt;Geraetedaten!$B$174,(H210-J210)/(K210-J210)*(Geraetedaten!$B$174-Geraetedaten!$B$161),Geraetedaten!$B$174)</f>
        <v>201.54832726484719</v>
      </c>
      <c r="O210" s="20">
        <f>N210/Geraetedaten!$B$174*(M210-L210)+L210+C210</f>
        <v>818.40677347229712</v>
      </c>
      <c r="P210" s="20">
        <f t="shared" si="177"/>
        <v>242.25821075970453</v>
      </c>
      <c r="Q210" s="21">
        <f>(N210-Geraetedaten!$B$161)/(Geraetedaten!$B$174-Geraetedaten!$B$161)*(Geraetedaten!$B$175-Geraetedaten!$B$162)+Geraetedaten!$B$162</f>
        <v>35.196062736129207</v>
      </c>
      <c r="R210" s="21">
        <f t="shared" si="178"/>
        <v>35.196062736129207</v>
      </c>
      <c r="S210" s="21">
        <f t="shared" si="179"/>
        <v>5.5058772456487803</v>
      </c>
      <c r="T210" s="88">
        <f t="shared" si="180"/>
        <v>-34.762740799329819</v>
      </c>
      <c r="U210" s="86">
        <f t="shared" si="181"/>
        <v>-18290.961230000001</v>
      </c>
      <c r="V210" s="85">
        <f t="shared" si="182"/>
        <v>-1141.3067828769733</v>
      </c>
      <c r="W210" s="85">
        <f t="shared" si="183"/>
        <v>-7377.0233646147208</v>
      </c>
      <c r="X210" s="90">
        <f t="shared" si="184"/>
        <v>1141.3067828769733</v>
      </c>
      <c r="Y210" s="86">
        <f t="shared" si="185"/>
        <v>8491.5682699999998</v>
      </c>
      <c r="Z210" s="85">
        <f t="shared" si="186"/>
        <v>-750</v>
      </c>
      <c r="AA210" s="85">
        <f t="shared" si="187"/>
        <v>759.34884434100218</v>
      </c>
      <c r="AB210" s="90">
        <f t="shared" si="188"/>
        <v>750</v>
      </c>
      <c r="AC210" s="86">
        <f t="shared" si="189"/>
        <v>17222.0851</v>
      </c>
      <c r="AD210" s="85">
        <f t="shared" si="190"/>
        <v>1055.7627565116984</v>
      </c>
      <c r="AE210" s="85">
        <f t="shared" si="191"/>
        <v>6705.8276042012831</v>
      </c>
      <c r="AF210" s="90">
        <f t="shared" si="192"/>
        <v>1055.7627565116984</v>
      </c>
      <c r="AG210" s="86">
        <f t="shared" si="193"/>
        <v>-9014.8125600000003</v>
      </c>
      <c r="AH210" s="85">
        <f t="shared" si="194"/>
        <v>6128</v>
      </c>
      <c r="AI210" s="85">
        <f t="shared" si="195"/>
        <v>-6204.386290828882</v>
      </c>
      <c r="AJ210" s="90">
        <f t="shared" si="196"/>
        <v>6128</v>
      </c>
      <c r="AL210" s="95">
        <f t="shared" si="197"/>
        <v>0</v>
      </c>
      <c r="AM210" s="95">
        <f t="shared" si="198"/>
        <v>0</v>
      </c>
      <c r="AN210" s="95">
        <f t="shared" si="199"/>
        <v>0</v>
      </c>
      <c r="AO210" s="95">
        <f t="shared" si="200"/>
        <v>0</v>
      </c>
      <c r="AP210"/>
      <c r="AQ210" s="95">
        <f t="shared" si="201"/>
        <v>0</v>
      </c>
      <c r="AR210" s="95">
        <f t="shared" si="202"/>
        <v>0</v>
      </c>
      <c r="AS210" s="95">
        <f>Geraetedaten!$B$94*ABS(SIN(RADIANS($A210)))</f>
        <v>24.090907616195572</v>
      </c>
      <c r="AT210" s="95">
        <f>Geraetedaten!$B$94*ABS(COS(RADIANS($A210)))</f>
        <v>152.10400445165121</v>
      </c>
      <c r="AU210" s="95">
        <f>((h_Aw_Sw+Geraetedaten!$B$18)/1000)*(AQ210*AS210+AR210*AT210)/100</f>
        <v>0</v>
      </c>
    </row>
    <row r="211" spans="1:47" ht="13.5" x14ac:dyDescent="0.25">
      <c r="A211" s="16">
        <v>172</v>
      </c>
      <c r="B211" s="16">
        <f t="shared" si="170"/>
        <v>278</v>
      </c>
      <c r="C211" s="19">
        <f t="shared" si="171"/>
        <v>38.499585548833139</v>
      </c>
      <c r="D211" s="17">
        <f t="shared" si="172"/>
        <v>-20627.168085548834</v>
      </c>
      <c r="E211" s="17">
        <f t="shared" si="173"/>
        <v>8430.9474644511683</v>
      </c>
      <c r="F211" s="17">
        <f t="shared" si="174"/>
        <v>19303.927104451166</v>
      </c>
      <c r="G211" s="17">
        <f t="shared" si="175"/>
        <v>-9029.8278255488331</v>
      </c>
      <c r="H211" s="17">
        <f t="shared" si="203"/>
        <v>8430.9474644511683</v>
      </c>
      <c r="I211" s="17">
        <f t="shared" si="176"/>
        <v>757.37067938896359</v>
      </c>
      <c r="J211" s="20">
        <f>(Geraetedaten!$B$152+(Geraetedaten!$B$153*(Geraetedaten!$B$18+d_y_Sw)/1000))*10</f>
        <v>6051.0442000000003</v>
      </c>
      <c r="K211" s="20">
        <f>(Geraetedaten!$B$165+(Geraetedaten!$B$166*(Geraetedaten!$B$18+d_y_Sw)/1000))*10</f>
        <v>10816.164000000001</v>
      </c>
      <c r="L211" s="20">
        <f>(Geraetedaten!$B$158+(Geraetedaten!$B$159*(Geraetedaten!$B$18+d_y_Sw)/1000)-(Geraetedaten!$B$160*I211/1000))*10</f>
        <v>545.99860808040705</v>
      </c>
      <c r="M211" s="20">
        <f>(Geraetedaten!$B$171+(Geraetedaten!$B$172*(Geraetedaten!$B$18+d_y_Sw)/1000)-(Geraetedaten!$B$173*I211/1000))*10</f>
        <v>1008.4883266262865</v>
      </c>
      <c r="N211" s="20">
        <f>IF((H211-J211)/(K211-J211)*(Geraetedaten!$B$174-Geraetedaten!$B$161)&lt;Geraetedaten!$B$174,(H211-J211)/(K211-J211)*(Geraetedaten!$B$174-Geraetedaten!$B$161),Geraetedaten!$B$174)</f>
        <v>199.77699317873754</v>
      </c>
      <c r="O211" s="20">
        <f>N211/Geraetedaten!$B$174*(M211-L211)+L211+C211</f>
        <v>815.48520699718119</v>
      </c>
      <c r="P211" s="20">
        <f t="shared" si="177"/>
        <v>241.74944509674125</v>
      </c>
      <c r="Q211" s="21">
        <f>(N211-Geraetedaten!$B$161)/(Geraetedaten!$B$174-Geraetedaten!$B$161)*(Geraetedaten!$B$175-Geraetedaten!$B$162)+Geraetedaten!$B$162</f>
        <v>35.14336554706744</v>
      </c>
      <c r="R211" s="21">
        <f t="shared" si="178"/>
        <v>35.14336554706744</v>
      </c>
      <c r="S211" s="21">
        <f t="shared" si="179"/>
        <v>4.8910111613584979</v>
      </c>
      <c r="T211" s="88">
        <f t="shared" si="180"/>
        <v>-34.801352729373512</v>
      </c>
      <c r="U211" s="86">
        <f t="shared" si="181"/>
        <v>-20588.6685</v>
      </c>
      <c r="V211" s="85">
        <f t="shared" si="182"/>
        <v>-1141.3067828769733</v>
      </c>
      <c r="W211" s="85">
        <f t="shared" si="183"/>
        <v>-8303.7237195103171</v>
      </c>
      <c r="X211" s="90">
        <f t="shared" si="184"/>
        <v>1141.3067828769733</v>
      </c>
      <c r="Y211" s="86">
        <f t="shared" si="185"/>
        <v>8469.4470500000007</v>
      </c>
      <c r="Z211" s="85">
        <f t="shared" si="186"/>
        <v>-750</v>
      </c>
      <c r="AA211" s="85">
        <f t="shared" si="187"/>
        <v>757.37067938896359</v>
      </c>
      <c r="AB211" s="90">
        <f t="shared" si="188"/>
        <v>750</v>
      </c>
      <c r="AC211" s="86">
        <f t="shared" si="189"/>
        <v>19342.42669</v>
      </c>
      <c r="AD211" s="85">
        <f t="shared" si="190"/>
        <v>1055.7627565116984</v>
      </c>
      <c r="AE211" s="85">
        <f t="shared" si="191"/>
        <v>7531.4329292043676</v>
      </c>
      <c r="AF211" s="90">
        <f t="shared" si="192"/>
        <v>1055.7627565116984</v>
      </c>
      <c r="AG211" s="86">
        <f t="shared" si="193"/>
        <v>-8991.3282400000007</v>
      </c>
      <c r="AH211" s="85">
        <f t="shared" si="194"/>
        <v>6128</v>
      </c>
      <c r="AI211" s="85">
        <f t="shared" si="195"/>
        <v>-6188.2233643940917</v>
      </c>
      <c r="AJ211" s="90">
        <f t="shared" si="196"/>
        <v>6128</v>
      </c>
      <c r="AL211" s="95">
        <f t="shared" si="197"/>
        <v>0</v>
      </c>
      <c r="AM211" s="95">
        <f t="shared" si="198"/>
        <v>0</v>
      </c>
      <c r="AN211" s="95">
        <f t="shared" si="199"/>
        <v>0</v>
      </c>
      <c r="AO211" s="95">
        <f t="shared" si="200"/>
        <v>0</v>
      </c>
      <c r="AP211"/>
      <c r="AQ211" s="95">
        <f t="shared" si="201"/>
        <v>0</v>
      </c>
      <c r="AR211" s="95">
        <f t="shared" si="202"/>
        <v>0</v>
      </c>
      <c r="AS211" s="95">
        <f>Geraetedaten!$B$94*ABS(SIN(RADIANS($A211)))</f>
        <v>21.432657547850059</v>
      </c>
      <c r="AT211" s="95">
        <f>Geraetedaten!$B$94*ABS(COS(RADIANS($A211)))</f>
        <v>152.50128258620182</v>
      </c>
      <c r="AU211" s="95">
        <f>((h_Aw_Sw+Geraetedaten!$B$18)/1000)*(AQ211*AS211+AR211*AT211)/100</f>
        <v>0</v>
      </c>
    </row>
    <row r="212" spans="1:47" ht="13.5" x14ac:dyDescent="0.25">
      <c r="A212" s="16">
        <v>173</v>
      </c>
      <c r="B212" s="16">
        <f t="shared" si="170"/>
        <v>277</v>
      </c>
      <c r="C212" s="19">
        <f t="shared" si="171"/>
        <v>37.468186017463069</v>
      </c>
      <c r="D212" s="17">
        <f t="shared" si="172"/>
        <v>-23592.260496017465</v>
      </c>
      <c r="E212" s="17">
        <f t="shared" si="173"/>
        <v>8412.5398739825378</v>
      </c>
      <c r="F212" s="17">
        <f t="shared" si="174"/>
        <v>22028.373143982535</v>
      </c>
      <c r="G212" s="17">
        <f t="shared" si="175"/>
        <v>-9008.1596160174631</v>
      </c>
      <c r="H212" s="17">
        <f t="shared" si="203"/>
        <v>8412.5398739825378</v>
      </c>
      <c r="I212" s="17">
        <f t="shared" si="176"/>
        <v>755.63236909413627</v>
      </c>
      <c r="J212" s="20">
        <f>(Geraetedaten!$B$152+(Geraetedaten!$B$153*(Geraetedaten!$B$18+d_y_Sw)/1000))*10</f>
        <v>6051.0442000000003</v>
      </c>
      <c r="K212" s="20">
        <f>(Geraetedaten!$B$165+(Geraetedaten!$B$166*(Geraetedaten!$B$18+d_y_Sw)/1000))*10</f>
        <v>10816.164000000001</v>
      </c>
      <c r="L212" s="20">
        <f>(Geraetedaten!$B$158+(Geraetedaten!$B$159*(Geraetedaten!$B$18+d_y_Sw)/1000)-(Geraetedaten!$B$160*I212/1000))*10</f>
        <v>546.12607837432677</v>
      </c>
      <c r="M212" s="20">
        <f>(Geraetedaten!$B$171+(Geraetedaten!$B$172*(Geraetedaten!$B$18+d_y_Sw)/1000)-(Geraetedaten!$B$173*I212/1000))*10</f>
        <v>1008.6177264446335</v>
      </c>
      <c r="N212" s="20">
        <f>IF((H212-J212)/(K212-J212)*(Geraetedaten!$B$174-Geraetedaten!$B$161)&lt;Geraetedaten!$B$174,(H212-J212)/(K212-J212)*(Geraetedaten!$B$174-Geraetedaten!$B$161),Geraetedaten!$B$174)</f>
        <v>198.23179882969887</v>
      </c>
      <c r="O212" s="20">
        <f>N212/Geraetedaten!$B$174*(M212-L212)+L212+C212</f>
        <v>812.79564274351219</v>
      </c>
      <c r="P212" s="20">
        <f t="shared" si="177"/>
        <v>241.26246708305368</v>
      </c>
      <c r="Q212" s="21">
        <f>(N212-Geraetedaten!$B$161)/(Geraetedaten!$B$174-Geraetedaten!$B$161)*(Geraetedaten!$B$175-Geraetedaten!$B$162)+Geraetedaten!$B$162</f>
        <v>35.097396015183541</v>
      </c>
      <c r="R212" s="21">
        <f t="shared" si="178"/>
        <v>35.097396015183541</v>
      </c>
      <c r="S212" s="21">
        <f t="shared" si="179"/>
        <v>4.2772966076008601</v>
      </c>
      <c r="T212" s="88">
        <f t="shared" si="180"/>
        <v>-34.83578534750189</v>
      </c>
      <c r="U212" s="86">
        <f t="shared" si="181"/>
        <v>-23554.792310000001</v>
      </c>
      <c r="V212" s="85">
        <f t="shared" si="182"/>
        <v>-1141.3067828769733</v>
      </c>
      <c r="W212" s="85">
        <f t="shared" si="183"/>
        <v>-9500.0066486823216</v>
      </c>
      <c r="X212" s="90">
        <f t="shared" si="184"/>
        <v>1141.3067828769733</v>
      </c>
      <c r="Y212" s="86">
        <f t="shared" si="185"/>
        <v>8450.0080600000001</v>
      </c>
      <c r="Z212" s="85">
        <f t="shared" si="186"/>
        <v>-750</v>
      </c>
      <c r="AA212" s="85">
        <f t="shared" si="187"/>
        <v>755.63236909413627</v>
      </c>
      <c r="AB212" s="90">
        <f t="shared" si="188"/>
        <v>750</v>
      </c>
      <c r="AC212" s="86">
        <f t="shared" si="189"/>
        <v>22065.841329999999</v>
      </c>
      <c r="AD212" s="85">
        <f t="shared" si="190"/>
        <v>1055.7627565116984</v>
      </c>
      <c r="AE212" s="85">
        <f t="shared" si="191"/>
        <v>8591.8590631906809</v>
      </c>
      <c r="AF212" s="90">
        <f t="shared" si="192"/>
        <v>1055.7627565116984</v>
      </c>
      <c r="AG212" s="86">
        <f t="shared" si="193"/>
        <v>-8970.6914300000008</v>
      </c>
      <c r="AH212" s="85">
        <f t="shared" si="194"/>
        <v>6128</v>
      </c>
      <c r="AI212" s="85">
        <f t="shared" si="195"/>
        <v>-6174.0202104118234</v>
      </c>
      <c r="AJ212" s="90">
        <f t="shared" si="196"/>
        <v>6128</v>
      </c>
      <c r="AL212" s="95">
        <f t="shared" si="197"/>
        <v>0</v>
      </c>
      <c r="AM212" s="95">
        <f t="shared" si="198"/>
        <v>0</v>
      </c>
      <c r="AN212" s="95">
        <f t="shared" si="199"/>
        <v>0</v>
      </c>
      <c r="AO212" s="95">
        <f t="shared" si="200"/>
        <v>0</v>
      </c>
      <c r="AP212"/>
      <c r="AQ212" s="95">
        <f t="shared" si="201"/>
        <v>0</v>
      </c>
      <c r="AR212" s="95">
        <f t="shared" si="202"/>
        <v>0</v>
      </c>
      <c r="AS212" s="95">
        <f>Geraetedaten!$B$94*ABS(SIN(RADIANS($A212)))</f>
        <v>18.767878884392722</v>
      </c>
      <c r="AT212" s="95">
        <f>Geraetedaten!$B$94*ABS(COS(RADIANS($A212)))</f>
        <v>152.8521073527636</v>
      </c>
      <c r="AU212" s="95">
        <f>((h_Aw_Sw+Geraetedaten!$B$18)/1000)*(AQ212*AS212+AR212*AT212)/100</f>
        <v>0</v>
      </c>
    </row>
    <row r="213" spans="1:47" ht="13.5" x14ac:dyDescent="0.25">
      <c r="A213" s="16">
        <v>174</v>
      </c>
      <c r="B213" s="16">
        <f t="shared" si="170"/>
        <v>276</v>
      </c>
      <c r="C213" s="19">
        <f t="shared" si="171"/>
        <v>36.42537331366961</v>
      </c>
      <c r="D213" s="17">
        <f t="shared" si="172"/>
        <v>-27565.61986331367</v>
      </c>
      <c r="E213" s="17">
        <f t="shared" si="173"/>
        <v>8396.7956666863302</v>
      </c>
      <c r="F213" s="17">
        <f t="shared" si="174"/>
        <v>25654.529396686332</v>
      </c>
      <c r="G213" s="17">
        <f t="shared" si="175"/>
        <v>-8989.2953833136708</v>
      </c>
      <c r="H213" s="17">
        <f t="shared" si="203"/>
        <v>8396.7956666863302</v>
      </c>
      <c r="I213" s="17">
        <f t="shared" si="176"/>
        <v>754.1312096726374</v>
      </c>
      <c r="J213" s="20">
        <f>(Geraetedaten!$B$152+(Geraetedaten!$B$153*(Geraetedaten!$B$18+d_y_Sw)/1000))*10</f>
        <v>6051.0442000000003</v>
      </c>
      <c r="K213" s="20">
        <f>(Geraetedaten!$B$165+(Geraetedaten!$B$166*(Geraetedaten!$B$18+d_y_Sw)/1000))*10</f>
        <v>10816.164000000001</v>
      </c>
      <c r="L213" s="20">
        <f>(Geraetedaten!$B$158+(Geraetedaten!$B$159*(Geraetedaten!$B$18+d_y_Sw)/1000)-(Geraetedaten!$B$160*I213/1000))*10</f>
        <v>546.23615839470528</v>
      </c>
      <c r="M213" s="20">
        <f>(Geraetedaten!$B$171+(Geraetedaten!$B$172*(Geraetedaten!$B$18+d_y_Sw)/1000)-(Geraetedaten!$B$173*I213/1000))*10</f>
        <v>1008.7294727519698</v>
      </c>
      <c r="N213" s="20">
        <f>IF((H213-J213)/(K213-J213)*(Geraetedaten!$B$174-Geraetedaten!$B$161)&lt;Geraetedaten!$B$174,(H213-J213)/(K213-J213)*(Geraetedaten!$B$174-Geraetedaten!$B$161),Geraetedaten!$B$174)</f>
        <v>196.91017771988268</v>
      </c>
      <c r="O213" s="20">
        <f>N213/Geraetedaten!$B$174*(M213-L213)+L213+C213</f>
        <v>810.33563351924124</v>
      </c>
      <c r="P213" s="20">
        <f t="shared" si="177"/>
        <v>240.79742708174049</v>
      </c>
      <c r="Q213" s="21">
        <f>(N213-Geraetedaten!$B$161)/(Geraetedaten!$B$174-Geraetedaten!$B$161)*(Geraetedaten!$B$175-Geraetedaten!$B$162)+Geraetedaten!$B$162</f>
        <v>35.058077787166511</v>
      </c>
      <c r="R213" s="21">
        <f t="shared" si="178"/>
        <v>35.058077787166511</v>
      </c>
      <c r="S213" s="21">
        <f t="shared" si="179"/>
        <v>3.664566996210382</v>
      </c>
      <c r="T213" s="88">
        <f t="shared" si="180"/>
        <v>-34.866025968861202</v>
      </c>
      <c r="U213" s="86">
        <f t="shared" si="181"/>
        <v>-27529.194490000002</v>
      </c>
      <c r="V213" s="85">
        <f t="shared" si="182"/>
        <v>-1141.3067828769733</v>
      </c>
      <c r="W213" s="85">
        <f t="shared" si="183"/>
        <v>-11102.943604958931</v>
      </c>
      <c r="X213" s="90">
        <f t="shared" si="184"/>
        <v>1141.3067828769733</v>
      </c>
      <c r="Y213" s="86">
        <f t="shared" si="185"/>
        <v>8433.2210400000004</v>
      </c>
      <c r="Z213" s="85">
        <f t="shared" si="186"/>
        <v>-750</v>
      </c>
      <c r="AA213" s="85">
        <f t="shared" si="187"/>
        <v>754.1312096726374</v>
      </c>
      <c r="AB213" s="90">
        <f t="shared" si="188"/>
        <v>750</v>
      </c>
      <c r="AC213" s="86">
        <f t="shared" si="189"/>
        <v>25690.95477</v>
      </c>
      <c r="AD213" s="85">
        <f t="shared" si="190"/>
        <v>1055.7627565116984</v>
      </c>
      <c r="AE213" s="85">
        <f t="shared" si="191"/>
        <v>10003.383021459857</v>
      </c>
      <c r="AF213" s="90">
        <f t="shared" si="192"/>
        <v>1055.7627565116984</v>
      </c>
      <c r="AG213" s="86">
        <f t="shared" si="193"/>
        <v>-8952.8700100000005</v>
      </c>
      <c r="AH213" s="85">
        <f t="shared" si="194"/>
        <v>6128</v>
      </c>
      <c r="AI213" s="85">
        <f t="shared" si="195"/>
        <v>-6161.754737165229</v>
      </c>
      <c r="AJ213" s="90">
        <f t="shared" si="196"/>
        <v>6128</v>
      </c>
      <c r="AL213" s="95">
        <f t="shared" si="197"/>
        <v>0</v>
      </c>
      <c r="AM213" s="95">
        <f t="shared" si="198"/>
        <v>0</v>
      </c>
      <c r="AN213" s="95">
        <f t="shared" si="199"/>
        <v>0</v>
      </c>
      <c r="AO213" s="95">
        <f t="shared" si="200"/>
        <v>0</v>
      </c>
      <c r="AP213"/>
      <c r="AQ213" s="95">
        <f t="shared" si="201"/>
        <v>0</v>
      </c>
      <c r="AR213" s="95">
        <f t="shared" si="202"/>
        <v>0</v>
      </c>
      <c r="AS213" s="95">
        <f>Geraetedaten!$B$94*ABS(SIN(RADIANS($A213)))</f>
        <v>16.097383343218674</v>
      </c>
      <c r="AT213" s="95">
        <f>Geraetedaten!$B$94*ABS(COS(RADIANS($A213)))</f>
        <v>153.15637188671408</v>
      </c>
      <c r="AU213" s="95">
        <f>((h_Aw_Sw+Geraetedaten!$B$18)/1000)*(AQ213*AS213+AR213*AT213)/100</f>
        <v>0</v>
      </c>
    </row>
    <row r="214" spans="1:47" ht="13.5" x14ac:dyDescent="0.25">
      <c r="A214" s="16">
        <v>175</v>
      </c>
      <c r="B214" s="16">
        <f t="shared" si="170"/>
        <v>275</v>
      </c>
      <c r="C214" s="19">
        <f t="shared" si="171"/>
        <v>35.371465088304269</v>
      </c>
      <c r="D214" s="17">
        <f t="shared" si="172"/>
        <v>-33164.545945088306</v>
      </c>
      <c r="E214" s="17">
        <f t="shared" si="173"/>
        <v>8383.6885749116955</v>
      </c>
      <c r="F214" s="17">
        <f t="shared" si="174"/>
        <v>30717.169154911695</v>
      </c>
      <c r="G214" s="17">
        <f t="shared" si="175"/>
        <v>-8973.2078850883045</v>
      </c>
      <c r="H214" s="17">
        <f t="shared" si="203"/>
        <v>8383.6885749116955</v>
      </c>
      <c r="I214" s="17">
        <f t="shared" si="176"/>
        <v>752.86487815751059</v>
      </c>
      <c r="J214" s="20">
        <f>(Geraetedaten!$B$152+(Geraetedaten!$B$153*(Geraetedaten!$B$18+d_y_Sw)/1000))*10</f>
        <v>6051.0442000000003</v>
      </c>
      <c r="K214" s="20">
        <f>(Geraetedaten!$B$165+(Geraetedaten!$B$166*(Geraetedaten!$B$18+d_y_Sw)/1000))*10</f>
        <v>10816.164000000001</v>
      </c>
      <c r="L214" s="20">
        <f>(Geraetedaten!$B$158+(Geraetedaten!$B$159*(Geraetedaten!$B$18+d_y_Sw)/1000)-(Geraetedaten!$B$160*I214/1000))*10</f>
        <v>546.32901848470954</v>
      </c>
      <c r="M214" s="20">
        <f>(Geraetedaten!$B$171+(Geraetedaten!$B$172*(Geraetedaten!$B$18+d_y_Sw)/1000)-(Geraetedaten!$B$173*I214/1000))*10</f>
        <v>1008.823738469956</v>
      </c>
      <c r="N214" s="20">
        <f>IF((H214-J214)/(K214-J214)*(Geraetedaten!$B$174-Geraetedaten!$B$161)&lt;Geraetedaten!$B$174,(H214-J214)/(K214-J214)*(Geraetedaten!$B$174-Geraetedaten!$B$161),Geraetedaten!$B$174)</f>
        <v>195.8099248553369</v>
      </c>
      <c r="O214" s="20">
        <f>N214/Geraetedaten!$B$174*(M214-L214)+L214+C214</f>
        <v>808.10312448876675</v>
      </c>
      <c r="P214" s="20">
        <f t="shared" si="177"/>
        <v>240.35449139636395</v>
      </c>
      <c r="Q214" s="21">
        <f>(N214-Geraetedaten!$B$161)/(Geraetedaten!$B$174-Geraetedaten!$B$161)*(Geraetedaten!$B$175-Geraetedaten!$B$162)+Geraetedaten!$B$162</f>
        <v>35.025345264446273</v>
      </c>
      <c r="R214" s="21">
        <f t="shared" si="178"/>
        <v>35.025345264446273</v>
      </c>
      <c r="S214" s="21">
        <f t="shared" si="179"/>
        <v>3.0526599815159874</v>
      </c>
      <c r="T214" s="88">
        <f t="shared" si="180"/>
        <v>-34.892063251274202</v>
      </c>
      <c r="U214" s="86">
        <f t="shared" si="181"/>
        <v>-33129.174480000001</v>
      </c>
      <c r="V214" s="85">
        <f t="shared" si="182"/>
        <v>-1141.3067828769733</v>
      </c>
      <c r="W214" s="85">
        <f t="shared" si="183"/>
        <v>-13361.500861549761</v>
      </c>
      <c r="X214" s="90">
        <f t="shared" si="184"/>
        <v>1141.3067828769733</v>
      </c>
      <c r="Y214" s="86">
        <f t="shared" si="185"/>
        <v>8419.0600400000003</v>
      </c>
      <c r="Z214" s="85">
        <f t="shared" si="186"/>
        <v>-750</v>
      </c>
      <c r="AA214" s="85">
        <f t="shared" si="187"/>
        <v>752.86487815751059</v>
      </c>
      <c r="AB214" s="90">
        <f t="shared" si="188"/>
        <v>750</v>
      </c>
      <c r="AC214" s="86">
        <f t="shared" si="189"/>
        <v>30752.54062</v>
      </c>
      <c r="AD214" s="85">
        <f t="shared" si="190"/>
        <v>1055.7627565116984</v>
      </c>
      <c r="AE214" s="85">
        <f t="shared" si="191"/>
        <v>11974.231611906842</v>
      </c>
      <c r="AF214" s="90">
        <f t="shared" si="192"/>
        <v>1055.7627565116984</v>
      </c>
      <c r="AG214" s="86">
        <f t="shared" si="193"/>
        <v>-8937.8364199999996</v>
      </c>
      <c r="AH214" s="85">
        <f t="shared" si="194"/>
        <v>6128</v>
      </c>
      <c r="AI214" s="85">
        <f t="shared" si="195"/>
        <v>-6151.4079644656331</v>
      </c>
      <c r="AJ214" s="90">
        <f t="shared" si="196"/>
        <v>6128</v>
      </c>
      <c r="AL214" s="95">
        <f t="shared" si="197"/>
        <v>0</v>
      </c>
      <c r="AM214" s="95">
        <f t="shared" si="198"/>
        <v>0</v>
      </c>
      <c r="AN214" s="95">
        <f t="shared" si="199"/>
        <v>0</v>
      </c>
      <c r="AO214" s="95">
        <f t="shared" si="200"/>
        <v>0</v>
      </c>
      <c r="AP214"/>
      <c r="AQ214" s="95">
        <f t="shared" si="201"/>
        <v>0</v>
      </c>
      <c r="AR214" s="95">
        <f t="shared" si="202"/>
        <v>0</v>
      </c>
      <c r="AS214" s="95">
        <f>Geraetedaten!$B$94*ABS(SIN(RADIANS($A214)))</f>
        <v>13.421984383139362</v>
      </c>
      <c r="AT214" s="95">
        <f>Geraetedaten!$B$94*ABS(COS(RADIANS($A214)))</f>
        <v>153.4139835061288</v>
      </c>
      <c r="AU214" s="95">
        <f>((h_Aw_Sw+Geraetedaten!$B$18)/1000)*(AQ214*AS214+AR214*AT214)/100</f>
        <v>0</v>
      </c>
    </row>
    <row r="215" spans="1:47" ht="13.5" x14ac:dyDescent="0.25">
      <c r="A215" s="16">
        <v>176</v>
      </c>
      <c r="B215" s="16">
        <f t="shared" si="170"/>
        <v>274</v>
      </c>
      <c r="C215" s="19">
        <f t="shared" si="171"/>
        <v>34.306782372021978</v>
      </c>
      <c r="D215" s="17">
        <f t="shared" si="172"/>
        <v>-41639.462042372019</v>
      </c>
      <c r="E215" s="17">
        <f t="shared" si="173"/>
        <v>8373.1964476279791</v>
      </c>
      <c r="F215" s="17">
        <f t="shared" si="174"/>
        <v>38278.157147627979</v>
      </c>
      <c r="G215" s="17">
        <f t="shared" si="175"/>
        <v>-8959.8742723720206</v>
      </c>
      <c r="H215" s="17">
        <f t="shared" si="203"/>
        <v>8373.1964476279791</v>
      </c>
      <c r="I215" s="17">
        <f t="shared" si="176"/>
        <v>751.8314235608791</v>
      </c>
      <c r="J215" s="20">
        <f>(Geraetedaten!$B$152+(Geraetedaten!$B$153*(Geraetedaten!$B$18+d_y_Sw)/1000))*10</f>
        <v>6051.0442000000003</v>
      </c>
      <c r="K215" s="20">
        <f>(Geraetedaten!$B$165+(Geraetedaten!$B$166*(Geraetedaten!$B$18+d_y_Sw)/1000))*10</f>
        <v>10816.164000000001</v>
      </c>
      <c r="L215" s="20">
        <f>(Geraetedaten!$B$158+(Geraetedaten!$B$159*(Geraetedaten!$B$18+d_y_Sw)/1000)-(Geraetedaten!$B$160*I215/1000))*10</f>
        <v>546.40480171028048</v>
      </c>
      <c r="M215" s="20">
        <f>(Geraetedaten!$B$171+(Geraetedaten!$B$172*(Geraetedaten!$B$18+d_y_Sw)/1000)-(Geraetedaten!$B$173*I215/1000))*10</f>
        <v>1008.900668830129</v>
      </c>
      <c r="N215" s="20">
        <f>IF((H215-J215)/(K215-J215)*(Geraetedaten!$B$174-Geraetedaten!$B$161)&lt;Geraetedaten!$B$174,(H215-J215)/(K215-J215)*(Geraetedaten!$B$174-Geraetedaten!$B$161),Geraetedaten!$B$174)</f>
        <v>194.92918080489633</v>
      </c>
      <c r="O215" s="20">
        <f>N215/Geraetedaten!$B$174*(M215-L215)+L215+C215</f>
        <v>806.09643534060808</v>
      </c>
      <c r="P215" s="20">
        <f t="shared" si="177"/>
        <v>239.93384111296959</v>
      </c>
      <c r="Q215" s="21">
        <f>(N215-Geraetedaten!$B$161)/(Geraetedaten!$B$174-Geraetedaten!$B$161)*(Geraetedaten!$B$175-Geraetedaten!$B$162)+Geraetedaten!$B$162</f>
        <v>34.999143128945668</v>
      </c>
      <c r="R215" s="21">
        <f t="shared" si="178"/>
        <v>34.999143128945668</v>
      </c>
      <c r="S215" s="21">
        <f t="shared" si="179"/>
        <v>2.4414168087411898</v>
      </c>
      <c r="T215" s="88">
        <f t="shared" si="180"/>
        <v>-34.913886975334336</v>
      </c>
      <c r="U215" s="86">
        <f t="shared" si="181"/>
        <v>-41605.15526</v>
      </c>
      <c r="V215" s="85">
        <f t="shared" si="182"/>
        <v>-1141.3067828769733</v>
      </c>
      <c r="W215" s="85">
        <f t="shared" si="183"/>
        <v>-16779.993061274712</v>
      </c>
      <c r="X215" s="90">
        <f t="shared" si="184"/>
        <v>1141.3067828769733</v>
      </c>
      <c r="Y215" s="86">
        <f t="shared" si="185"/>
        <v>8407.5032300000003</v>
      </c>
      <c r="Z215" s="85">
        <f t="shared" si="186"/>
        <v>-750</v>
      </c>
      <c r="AA215" s="85">
        <f t="shared" si="187"/>
        <v>751.8314235608791</v>
      </c>
      <c r="AB215" s="90">
        <f t="shared" si="188"/>
        <v>750</v>
      </c>
      <c r="AC215" s="86">
        <f t="shared" si="189"/>
        <v>38312.463929999998</v>
      </c>
      <c r="AD215" s="85">
        <f t="shared" si="190"/>
        <v>1055.7627565116984</v>
      </c>
      <c r="AE215" s="85">
        <f t="shared" si="191"/>
        <v>14917.867190260229</v>
      </c>
      <c r="AF215" s="90">
        <f t="shared" si="192"/>
        <v>1055.7627565116984</v>
      </c>
      <c r="AG215" s="86">
        <f t="shared" si="193"/>
        <v>-8925.5674899999995</v>
      </c>
      <c r="AH215" s="85">
        <f t="shared" si="194"/>
        <v>6128</v>
      </c>
      <c r="AI215" s="85">
        <f t="shared" si="195"/>
        <v>-6142.963951441423</v>
      </c>
      <c r="AJ215" s="90">
        <f t="shared" si="196"/>
        <v>6128</v>
      </c>
      <c r="AL215" s="95">
        <f t="shared" si="197"/>
        <v>0</v>
      </c>
      <c r="AM215" s="95">
        <f t="shared" si="198"/>
        <v>0</v>
      </c>
      <c r="AN215" s="95">
        <f t="shared" si="199"/>
        <v>0</v>
      </c>
      <c r="AO215" s="95">
        <f t="shared" si="200"/>
        <v>0</v>
      </c>
      <c r="AP215"/>
      <c r="AQ215" s="95">
        <f t="shared" si="201"/>
        <v>0</v>
      </c>
      <c r="AR215" s="95">
        <f t="shared" si="202"/>
        <v>0</v>
      </c>
      <c r="AS215" s="95">
        <f>Geraetedaten!$B$94*ABS(SIN(RADIANS($A215)))</f>
        <v>10.74249695659533</v>
      </c>
      <c r="AT215" s="95">
        <f>Geraetedaten!$B$94*ABS(COS(RADIANS($A215)))</f>
        <v>153.62486374001293</v>
      </c>
      <c r="AU215" s="95">
        <f>((h_Aw_Sw+Geraetedaten!$B$18)/1000)*(AQ215*AS215+AR215*AT215)/100</f>
        <v>0</v>
      </c>
    </row>
    <row r="216" spans="1:47" ht="13.5" x14ac:dyDescent="0.25">
      <c r="A216" s="16">
        <v>177</v>
      </c>
      <c r="B216" s="16">
        <f t="shared" si="170"/>
        <v>273</v>
      </c>
      <c r="C216" s="19">
        <f t="shared" si="171"/>
        <v>33.231649477491878</v>
      </c>
      <c r="D216" s="17">
        <f t="shared" si="172"/>
        <v>-55965.493549477491</v>
      </c>
      <c r="E216" s="17">
        <f t="shared" si="173"/>
        <v>8365.3012205225077</v>
      </c>
      <c r="F216" s="17">
        <f t="shared" si="174"/>
        <v>50788.185280522506</v>
      </c>
      <c r="G216" s="17">
        <f t="shared" si="175"/>
        <v>-8949.2760294774907</v>
      </c>
      <c r="H216" s="17">
        <f t="shared" si="203"/>
        <v>8365.3012205225077</v>
      </c>
      <c r="I216" s="17">
        <f t="shared" si="176"/>
        <v>751.02925949844075</v>
      </c>
      <c r="J216" s="20">
        <f>(Geraetedaten!$B$152+(Geraetedaten!$B$153*(Geraetedaten!$B$18+d_y_Sw)/1000))*10</f>
        <v>6051.0442000000003</v>
      </c>
      <c r="K216" s="20">
        <f>(Geraetedaten!$B$165+(Geraetedaten!$B$166*(Geraetedaten!$B$18+d_y_Sw)/1000))*10</f>
        <v>10816.164000000001</v>
      </c>
      <c r="L216" s="20">
        <f>(Geraetedaten!$B$158+(Geraetedaten!$B$159*(Geraetedaten!$B$18+d_y_Sw)/1000)-(Geraetedaten!$B$160*I216/1000))*10</f>
        <v>546.46362440097914</v>
      </c>
      <c r="M216" s="20">
        <f>(Geraetedaten!$B$171+(Geraetedaten!$B$172*(Geraetedaten!$B$18+d_y_Sw)/1000)-(Geraetedaten!$B$173*I216/1000))*10</f>
        <v>1008.960381922937</v>
      </c>
      <c r="N216" s="20">
        <f>IF((H216-J216)/(K216-J216)*(Geraetedaten!$B$174-Geraetedaten!$B$161)&lt;Geraetedaten!$B$174,(H216-J216)/(K216-J216)*(Geraetedaten!$B$174-Geraetedaten!$B$161),Geraetedaten!$B$174)</f>
        <v>194.26642919009149</v>
      </c>
      <c r="O216" s="20">
        <f>N216/Geraetedaten!$B$174*(M216-L216)+L216+C216</f>
        <v>804.31425786793682</v>
      </c>
      <c r="P216" s="20">
        <f t="shared" si="177"/>
        <v>239.5356725708879</v>
      </c>
      <c r="Q216" s="21">
        <f>(N216-Geraetedaten!$B$161)/(Geraetedaten!$B$174-Geraetedaten!$B$161)*(Geraetedaten!$B$175-Geraetedaten!$B$162)+Geraetedaten!$B$162</f>
        <v>34.97942626840522</v>
      </c>
      <c r="R216" s="21">
        <f t="shared" si="178"/>
        <v>34.97942626840522</v>
      </c>
      <c r="S216" s="21">
        <f t="shared" si="179"/>
        <v>1.8306817225865348</v>
      </c>
      <c r="T216" s="88">
        <f t="shared" si="180"/>
        <v>-34.931488180399427</v>
      </c>
      <c r="U216" s="86">
        <f t="shared" si="181"/>
        <v>-55932.261899999998</v>
      </c>
      <c r="V216" s="85">
        <f t="shared" si="182"/>
        <v>-1141.3067828769733</v>
      </c>
      <c r="W216" s="85">
        <f t="shared" si="183"/>
        <v>-22558.333473485658</v>
      </c>
      <c r="X216" s="90">
        <f t="shared" si="184"/>
        <v>1141.3067828769733</v>
      </c>
      <c r="Y216" s="86">
        <f t="shared" si="185"/>
        <v>8398.5328699999991</v>
      </c>
      <c r="Z216" s="85">
        <f t="shared" si="186"/>
        <v>-750</v>
      </c>
      <c r="AA216" s="85">
        <f t="shared" si="187"/>
        <v>751.02925949844075</v>
      </c>
      <c r="AB216" s="90">
        <f t="shared" si="188"/>
        <v>750</v>
      </c>
      <c r="AC216" s="86">
        <f t="shared" si="189"/>
        <v>50821.416929999999</v>
      </c>
      <c r="AD216" s="85">
        <f t="shared" si="190"/>
        <v>1055.7627565116984</v>
      </c>
      <c r="AE216" s="85">
        <f t="shared" si="191"/>
        <v>19788.524945476267</v>
      </c>
      <c r="AF216" s="90">
        <f t="shared" si="192"/>
        <v>1055.7627565116984</v>
      </c>
      <c r="AG216" s="86">
        <f t="shared" si="193"/>
        <v>-8916.0443799999994</v>
      </c>
      <c r="AH216" s="85">
        <f t="shared" si="194"/>
        <v>6128</v>
      </c>
      <c r="AI216" s="85">
        <f t="shared" si="195"/>
        <v>-6136.40973627526</v>
      </c>
      <c r="AJ216" s="90">
        <f t="shared" si="196"/>
        <v>6128</v>
      </c>
      <c r="AL216" s="95">
        <f t="shared" si="197"/>
        <v>0</v>
      </c>
      <c r="AM216" s="95">
        <f t="shared" si="198"/>
        <v>0</v>
      </c>
      <c r="AN216" s="95">
        <f t="shared" si="199"/>
        <v>0</v>
      </c>
      <c r="AO216" s="95">
        <f t="shared" si="200"/>
        <v>0</v>
      </c>
      <c r="AP216"/>
      <c r="AQ216" s="95">
        <f t="shared" si="201"/>
        <v>0</v>
      </c>
      <c r="AR216" s="95">
        <f t="shared" si="202"/>
        <v>0</v>
      </c>
      <c r="AS216" s="95">
        <f>Geraetedaten!$B$94*ABS(SIN(RADIANS($A216)))</f>
        <v>8.0597372614133462</v>
      </c>
      <c r="AT216" s="95">
        <f>Geraetedaten!$B$94*ABS(COS(RADIANS($A216)))</f>
        <v>153.78894835220436</v>
      </c>
      <c r="AU216" s="95">
        <f>((h_Aw_Sw+Geraetedaten!$B$18)/1000)*(AQ216*AS216+AR216*AT216)/100</f>
        <v>0</v>
      </c>
    </row>
    <row r="217" spans="1:47" ht="13.5" x14ac:dyDescent="0.25">
      <c r="A217" s="16">
        <v>178</v>
      </c>
      <c r="B217" s="16">
        <f t="shared" si="170"/>
        <v>272</v>
      </c>
      <c r="C217" s="19">
        <f t="shared" si="171"/>
        <v>32.14639390060875</v>
      </c>
      <c r="D217" s="17">
        <f t="shared" si="172"/>
        <v>-85381.070293900601</v>
      </c>
      <c r="E217" s="17">
        <f t="shared" si="173"/>
        <v>8359.9888460993916</v>
      </c>
      <c r="F217" s="17">
        <f t="shared" si="174"/>
        <v>75460.476826099388</v>
      </c>
      <c r="G217" s="17">
        <f t="shared" si="175"/>
        <v>-8941.3989239006078</v>
      </c>
      <c r="H217" s="17">
        <f t="shared" si="203"/>
        <v>8359.9888460993916</v>
      </c>
      <c r="I217" s="17">
        <f t="shared" si="176"/>
        <v>750.45715822411626</v>
      </c>
      <c r="J217" s="20">
        <f>(Geraetedaten!$B$152+(Geraetedaten!$B$153*(Geraetedaten!$B$18+d_y_Sw)/1000))*10</f>
        <v>6051.0442000000003</v>
      </c>
      <c r="K217" s="20">
        <f>(Geraetedaten!$B$165+(Geraetedaten!$B$166*(Geraetedaten!$B$18+d_y_Sw)/1000))*10</f>
        <v>10816.164000000001</v>
      </c>
      <c r="L217" s="20">
        <f>(Geraetedaten!$B$158+(Geraetedaten!$B$159*(Geraetedaten!$B$18+d_y_Sw)/1000)-(Geraetedaten!$B$160*I217/1000))*10</f>
        <v>546.50557658742525</v>
      </c>
      <c r="M217" s="20">
        <f>(Geraetedaten!$B$171+(Geraetedaten!$B$172*(Geraetedaten!$B$18+d_y_Sw)/1000)-(Geraetedaten!$B$173*I217/1000))*10</f>
        <v>1009.0029691417977</v>
      </c>
      <c r="N217" s="20">
        <f>IF((H217-J217)/(K217-J217)*(Geraetedaten!$B$174-Geraetedaten!$B$161)&lt;Geraetedaten!$B$174,(H217-J217)/(K217-J217)*(Geraetedaten!$B$174-Geraetedaten!$B$161),Geraetedaten!$B$174)</f>
        <v>193.82049081740956</v>
      </c>
      <c r="O217" s="20">
        <f>N217/Geraetedaten!$B$174*(M217-L217)+L217+C217</f>
        <v>802.75564955468553</v>
      </c>
      <c r="P217" s="20">
        <f t="shared" si="177"/>
        <v>239.16019721583814</v>
      </c>
      <c r="Q217" s="21">
        <f>(N217-Geraetedaten!$B$161)/(Geraetedaten!$B$174-Geraetedaten!$B$161)*(Geraetedaten!$B$175-Geraetedaten!$B$162)+Geraetedaten!$B$162</f>
        <v>34.966159601817935</v>
      </c>
      <c r="R217" s="21">
        <f t="shared" si="178"/>
        <v>34.966159601817935</v>
      </c>
      <c r="S217" s="21">
        <f t="shared" si="179"/>
        <v>1.2203013717227738</v>
      </c>
      <c r="T217" s="88">
        <f t="shared" si="180"/>
        <v>-34.944859162142521</v>
      </c>
      <c r="U217" s="86">
        <f t="shared" si="181"/>
        <v>-85348.923899999994</v>
      </c>
      <c r="V217" s="85">
        <f t="shared" si="182"/>
        <v>-1141.3067828769733</v>
      </c>
      <c r="W217" s="85">
        <f t="shared" si="183"/>
        <v>-34422.521482956348</v>
      </c>
      <c r="X217" s="90">
        <f t="shared" si="184"/>
        <v>1141.3067828769733</v>
      </c>
      <c r="Y217" s="86">
        <f t="shared" si="185"/>
        <v>8392.1352399999996</v>
      </c>
      <c r="Z217" s="85">
        <f t="shared" si="186"/>
        <v>-750</v>
      </c>
      <c r="AA217" s="85">
        <f t="shared" si="187"/>
        <v>750.45715822411626</v>
      </c>
      <c r="AB217" s="90">
        <f t="shared" si="188"/>
        <v>750</v>
      </c>
      <c r="AC217" s="86">
        <f t="shared" si="189"/>
        <v>75492.623219999994</v>
      </c>
      <c r="AD217" s="85">
        <f t="shared" si="190"/>
        <v>1055.7627565116984</v>
      </c>
      <c r="AE217" s="85">
        <f t="shared" si="191"/>
        <v>29394.844691991668</v>
      </c>
      <c r="AF217" s="90">
        <f t="shared" si="192"/>
        <v>1055.7627565116984</v>
      </c>
      <c r="AG217" s="86">
        <f t="shared" si="193"/>
        <v>-8909.2525299999998</v>
      </c>
      <c r="AH217" s="85">
        <f t="shared" si="194"/>
        <v>6128</v>
      </c>
      <c r="AI217" s="85">
        <f t="shared" si="195"/>
        <v>-6131.7352874631797</v>
      </c>
      <c r="AJ217" s="90">
        <f t="shared" si="196"/>
        <v>6128</v>
      </c>
      <c r="AL217" s="95">
        <f t="shared" si="197"/>
        <v>0</v>
      </c>
      <c r="AM217" s="95">
        <f t="shared" si="198"/>
        <v>0</v>
      </c>
      <c r="AN217" s="95">
        <f t="shared" si="199"/>
        <v>0</v>
      </c>
      <c r="AO217" s="95">
        <f t="shared" si="200"/>
        <v>0</v>
      </c>
      <c r="AP217"/>
      <c r="AQ217" s="95">
        <f t="shared" si="201"/>
        <v>0</v>
      </c>
      <c r="AR217" s="95">
        <f t="shared" si="202"/>
        <v>0</v>
      </c>
      <c r="AS217" s="95">
        <f>Geraetedaten!$B$94*ABS(SIN(RADIANS($A217)))</f>
        <v>5.374522492185176</v>
      </c>
      <c r="AT217" s="95">
        <f>Geraetedaten!$B$94*ABS(COS(RADIANS($A217)))</f>
        <v>153.90618736094075</v>
      </c>
      <c r="AU217" s="95">
        <f>((h_Aw_Sw+Geraetedaten!$B$18)/1000)*(AQ217*AS217+AR217*AT217)/100</f>
        <v>0</v>
      </c>
    </row>
    <row r="218" spans="1:47" ht="13.5" x14ac:dyDescent="0.25">
      <c r="A218" s="16">
        <v>179</v>
      </c>
      <c r="B218" s="16">
        <f t="shared" si="170"/>
        <v>271</v>
      </c>
      <c r="C218" s="19">
        <f t="shared" si="171"/>
        <v>31.051346220734359</v>
      </c>
      <c r="D218" s="17">
        <f t="shared" si="172"/>
        <v>-180182.64949622075</v>
      </c>
      <c r="E218" s="17">
        <f t="shared" si="173"/>
        <v>8357.2492137792651</v>
      </c>
      <c r="F218" s="17">
        <f t="shared" si="174"/>
        <v>146771.38690377926</v>
      </c>
      <c r="G218" s="17">
        <f t="shared" si="175"/>
        <v>-8936.2329062207355</v>
      </c>
      <c r="H218" s="17">
        <f t="shared" si="203"/>
        <v>8357.2492137792651</v>
      </c>
      <c r="I218" s="17">
        <f t="shared" si="176"/>
        <v>750.11424603293074</v>
      </c>
      <c r="J218" s="20">
        <f>(Geraetedaten!$B$152+(Geraetedaten!$B$153*(Geraetedaten!$B$18+d_y_Sw)/1000))*10</f>
        <v>6051.0442000000003</v>
      </c>
      <c r="K218" s="20">
        <f>(Geraetedaten!$B$165+(Geraetedaten!$B$166*(Geraetedaten!$B$18+d_y_Sw)/1000))*10</f>
        <v>10816.164000000001</v>
      </c>
      <c r="L218" s="20">
        <f>(Geraetedaten!$B$158+(Geraetedaten!$B$159*(Geraetedaten!$B$18+d_y_Sw)/1000)-(Geraetedaten!$B$160*I218/1000))*10</f>
        <v>546.53072233840498</v>
      </c>
      <c r="M218" s="20">
        <f>(Geraetedaten!$B$171+(Geraetedaten!$B$172*(Geraetedaten!$B$18+d_y_Sw)/1000)-(Geraetedaten!$B$173*I218/1000))*10</f>
        <v>1009.0284955253096</v>
      </c>
      <c r="N218" s="20">
        <f>IF((H218-J218)/(K218-J218)*(Geraetedaten!$B$174-Geraetedaten!$B$161)&lt;Geraetedaten!$B$174,(H218-J218)/(K218-J218)*(Geraetedaten!$B$174-Geraetedaten!$B$161),Geraetedaten!$B$174)</f>
        <v>193.590516971201</v>
      </c>
      <c r="O218" s="20">
        <f>N218/Geraetedaten!$B$174*(M218-L218)+L218+C218</f>
        <v>801.42002608234463</v>
      </c>
      <c r="P218" s="20">
        <f t="shared" si="177"/>
        <v>238.80764117039027</v>
      </c>
      <c r="Q218" s="21">
        <f>(N218-Geraetedaten!$B$161)/(Geraetedaten!$B$174-Geraetedaten!$B$161)*(Geraetedaten!$B$175-Geraetedaten!$B$162)+Geraetedaten!$B$162</f>
        <v>34.959317879893227</v>
      </c>
      <c r="R218" s="21">
        <f t="shared" si="178"/>
        <v>34.959317879893227</v>
      </c>
      <c r="S218" s="21">
        <f t="shared" si="179"/>
        <v>0.61012422441008662</v>
      </c>
      <c r="T218" s="88">
        <f t="shared" si="180"/>
        <v>-34.953993406450863</v>
      </c>
      <c r="U218" s="86">
        <f t="shared" si="181"/>
        <v>-180151.59815000001</v>
      </c>
      <c r="V218" s="85">
        <f t="shared" si="182"/>
        <v>-1141.3067828769733</v>
      </c>
      <c r="W218" s="85">
        <f t="shared" si="183"/>
        <v>-72657.884533867837</v>
      </c>
      <c r="X218" s="90">
        <f t="shared" si="184"/>
        <v>1141.3067828769733</v>
      </c>
      <c r="Y218" s="86">
        <f t="shared" si="185"/>
        <v>8388.3005599999997</v>
      </c>
      <c r="Z218" s="85">
        <f t="shared" si="186"/>
        <v>-750</v>
      </c>
      <c r="AA218" s="85">
        <f t="shared" si="187"/>
        <v>750.11424603293074</v>
      </c>
      <c r="AB218" s="90">
        <f t="shared" si="188"/>
        <v>750</v>
      </c>
      <c r="AC218" s="86">
        <f t="shared" si="189"/>
        <v>146802.43825000001</v>
      </c>
      <c r="AD218" s="85">
        <f t="shared" si="190"/>
        <v>1055.7627565116984</v>
      </c>
      <c r="AE218" s="85">
        <f t="shared" si="191"/>
        <v>57161.013738414258</v>
      </c>
      <c r="AF218" s="90">
        <f t="shared" si="192"/>
        <v>1055.7627565116984</v>
      </c>
      <c r="AG218" s="86">
        <f t="shared" si="193"/>
        <v>-8905.1815600000009</v>
      </c>
      <c r="AH218" s="85">
        <f t="shared" si="194"/>
        <v>6128</v>
      </c>
      <c r="AI218" s="85">
        <f t="shared" si="195"/>
        <v>-6128.9334662530664</v>
      </c>
      <c r="AJ218" s="90">
        <f t="shared" si="196"/>
        <v>6128</v>
      </c>
      <c r="AL218" s="95">
        <f t="shared" si="197"/>
        <v>0</v>
      </c>
      <c r="AM218" s="95">
        <f t="shared" si="198"/>
        <v>0</v>
      </c>
      <c r="AN218" s="95">
        <f t="shared" si="199"/>
        <v>0</v>
      </c>
      <c r="AO218" s="95">
        <f t="shared" si="200"/>
        <v>0</v>
      </c>
      <c r="AP218"/>
      <c r="AQ218" s="95">
        <f t="shared" si="201"/>
        <v>0</v>
      </c>
      <c r="AR218" s="95">
        <f t="shared" si="202"/>
        <v>0</v>
      </c>
      <c r="AS218" s="95">
        <f>Geraetedaten!$B$94*ABS(SIN(RADIANS($A218)))</f>
        <v>2.6876705913416497</v>
      </c>
      <c r="AT218" s="95">
        <f>Geraetedaten!$B$94*ABS(COS(RADIANS($A218)))</f>
        <v>153.97654505408426</v>
      </c>
      <c r="AU218" s="95">
        <f>((h_Aw_Sw+Geraetedaten!$B$18)/1000)*(AQ218*AS218+AR218*AT218)/100</f>
        <v>0</v>
      </c>
    </row>
    <row r="219" spans="1:47" s="3" customFormat="1" ht="13.5" x14ac:dyDescent="0.25">
      <c r="A219" s="59" t="s">
        <v>76</v>
      </c>
      <c r="B219" s="60"/>
      <c r="C219" s="22"/>
      <c r="D219" s="17"/>
      <c r="E219" s="17"/>
      <c r="F219" s="17"/>
      <c r="G219" s="17"/>
      <c r="H219" s="17"/>
      <c r="I219" s="17"/>
      <c r="J219" s="22"/>
      <c r="K219" s="22"/>
      <c r="L219" s="22"/>
      <c r="M219" s="22"/>
      <c r="N219" s="22"/>
      <c r="O219" s="22"/>
      <c r="P219" s="20"/>
      <c r="Q219" s="61"/>
      <c r="R219" s="61"/>
      <c r="S219" s="61">
        <f>Geraetedaten!B175*(-1)</f>
        <v>-41.1</v>
      </c>
      <c r="T219" s="87">
        <f>Geraetedaten!B175</f>
        <v>41.1</v>
      </c>
      <c r="U219" s="86"/>
      <c r="V219" s="85"/>
      <c r="W219" s="85"/>
      <c r="X219" s="90"/>
      <c r="Y219" s="86"/>
      <c r="Z219" s="85"/>
      <c r="AA219" s="85"/>
      <c r="AB219" s="90"/>
      <c r="AC219" s="86"/>
      <c r="AD219" s="85"/>
      <c r="AE219" s="85"/>
      <c r="AF219" s="90"/>
      <c r="AG219" s="86"/>
      <c r="AH219" s="85"/>
      <c r="AI219" s="85"/>
      <c r="AJ219" s="90"/>
      <c r="AL219" s="95"/>
      <c r="AM219" s="95"/>
      <c r="AN219" s="95"/>
      <c r="AO219" s="95"/>
      <c r="AQ219" s="95"/>
      <c r="AR219" s="95"/>
      <c r="AS219" s="95"/>
      <c r="AT219" s="95"/>
      <c r="AU219" s="95"/>
    </row>
    <row r="220" spans="1:47" s="3" customFormat="1" ht="13.5" x14ac:dyDescent="0.25">
      <c r="A220" s="59" t="s">
        <v>76</v>
      </c>
      <c r="B220" s="60"/>
      <c r="C220" s="22"/>
      <c r="D220" s="17"/>
      <c r="E220" s="17"/>
      <c r="F220" s="17"/>
      <c r="G220" s="17"/>
      <c r="H220" s="17"/>
      <c r="I220" s="17"/>
      <c r="J220" s="22"/>
      <c r="K220" s="22"/>
      <c r="L220" s="22"/>
      <c r="M220" s="22"/>
      <c r="N220" s="22"/>
      <c r="O220" s="22"/>
      <c r="P220" s="20"/>
      <c r="Q220" s="61"/>
      <c r="R220" s="61"/>
      <c r="S220" s="61">
        <f>Geraetedaten!B175*(-1)</f>
        <v>-41.1</v>
      </c>
      <c r="T220" s="87">
        <f>Geraetedaten!B175*(-1)</f>
        <v>-41.1</v>
      </c>
      <c r="U220" s="86"/>
      <c r="V220" s="85"/>
      <c r="W220" s="85"/>
      <c r="X220" s="90"/>
      <c r="Y220" s="86"/>
      <c r="Z220" s="85"/>
      <c r="AA220" s="85"/>
      <c r="AB220" s="90"/>
      <c r="AC220" s="86"/>
      <c r="AD220" s="85"/>
      <c r="AE220" s="85"/>
      <c r="AF220" s="90"/>
      <c r="AG220" s="86"/>
      <c r="AH220" s="85"/>
      <c r="AI220" s="85"/>
      <c r="AJ220" s="90"/>
      <c r="AL220" s="95"/>
      <c r="AM220" s="95"/>
      <c r="AN220" s="95"/>
      <c r="AO220" s="95"/>
      <c r="AQ220" s="95"/>
      <c r="AR220" s="95"/>
      <c r="AS220" s="95"/>
      <c r="AT220" s="95"/>
      <c r="AU220" s="95"/>
    </row>
    <row r="221" spans="1:47" ht="13.5" x14ac:dyDescent="0.25">
      <c r="A221" s="16">
        <v>180</v>
      </c>
      <c r="B221" s="16">
        <f t="shared" ref="B221:B252" si="204">360-A221+90</f>
        <v>270</v>
      </c>
      <c r="C221" s="19">
        <f t="shared" ref="C221:C252" si="205">$AE$16*ABS(COS(RADIANS(A221)))+$AE$17*ABS(SIN(RADIANS(A221)))+AU221</f>
        <v>29.946840000000009</v>
      </c>
      <c r="D221" s="17">
        <f t="shared" ref="D221:D252" si="206">IF(ISNUMBER(U221),U221-C221,"unendlich")</f>
        <v>1621927.1222899999</v>
      </c>
      <c r="E221" s="17">
        <f t="shared" ref="E221:E252" si="207">IF(ISNUMBER(Y221),Y221-C221,"unendlich")</f>
        <v>8357.0761399999992</v>
      </c>
      <c r="F221" s="17">
        <f t="shared" ref="F221:F252" si="208">IF(ISNUMBER(AC221),AC221-C221,"unendlich")</f>
        <v>2664152.97817</v>
      </c>
      <c r="G221" s="17">
        <f t="shared" ref="G221:G252" si="209">IF(ISNUMBER(AG221),AG221-C221,"unendlich")</f>
        <v>-8933.7720900000004</v>
      </c>
      <c r="H221" s="17">
        <f t="shared" ref="H221:H252" si="210">SMALL(D221:G221,COUNTIF(D221:G221,"&lt;0")+1)</f>
        <v>8357.0761399999992</v>
      </c>
      <c r="I221" s="17">
        <f t="shared" ref="I221:I252" si="211">IF(H221+C221=U221,W221,IF(H221+C221=Y221,AA221,IF(H221+C221=AC221,AE221,IF(H221+C221=AG221,AI221,"???"))))</f>
        <v>750</v>
      </c>
      <c r="J221" s="20">
        <f>(Geraetedaten!$B$152+(Geraetedaten!$B$153*(Geraetedaten!$B$18+d_y_Sw)/1000))*10</f>
        <v>6051.0442000000003</v>
      </c>
      <c r="K221" s="20">
        <f>(Geraetedaten!$B$165+(Geraetedaten!$B$166*(Geraetedaten!$B$18+d_y_Sw)/1000))*10</f>
        <v>10816.164000000001</v>
      </c>
      <c r="L221" s="20">
        <f>(Geraetedaten!$B$158+(Geraetedaten!$B$159*(Geraetedaten!$B$18+d_y_Sw)/1000)-(Geraetedaten!$B$160*I221/1000))*10</f>
        <v>546.53909999999973</v>
      </c>
      <c r="M221" s="20">
        <f>(Geraetedaten!$B$171+(Geraetedaten!$B$172*(Geraetedaten!$B$18+d_y_Sw)/1000)-(Geraetedaten!$B$173*I221/1000))*10</f>
        <v>1009.0370000000009</v>
      </c>
      <c r="N221" s="20">
        <f>IF((H221-J221)/(K221-J221)*(Geraetedaten!$B$174-Geraetedaten!$B$161)&lt;Geraetedaten!$B$174,(H221-J221)/(K221-J221)*(Geraetedaten!$B$174-Geraetedaten!$B$161),Geraetedaten!$B$174)</f>
        <v>193.57598858270038</v>
      </c>
      <c r="O221" s="20">
        <f>N221/Geraetedaten!$B$174*(M221-L221)+L221+C221</f>
        <v>800.30716052480761</v>
      </c>
      <c r="P221" s="20">
        <f t="shared" ref="P221:P252" si="212">O221*100/9.81/(Q221-(I221/1000))</f>
        <v>238.47824544291075</v>
      </c>
      <c r="Q221" s="21">
        <f>(N221-Geraetedaten!$B$161)/(Geraetedaten!$B$174-Geraetedaten!$B$161)*(Geraetedaten!$B$175-Geraetedaten!$B$162)+Geraetedaten!$B$162</f>
        <v>34.958885660335334</v>
      </c>
      <c r="R221" s="21">
        <f t="shared" ref="R221:R252" si="213">SQRT((r_K_D/1000)^2+Q221^2-(2*(r_K_D/1000)*Q221*COS(RADIANS(2*A221))))</f>
        <v>34.958885660335334</v>
      </c>
      <c r="S221" s="21">
        <f t="shared" ref="S221:S252" si="214">R221*SIN(A221*Const_2)</f>
        <v>4.2829824752086943E-15</v>
      </c>
      <c r="T221" s="88">
        <f t="shared" ref="T221:T252" si="215">R221*COS(A221*Const_2)</f>
        <v>-34.958885660335334</v>
      </c>
      <c r="U221" s="86">
        <f t="shared" ref="U221:U252" si="216">ROUND((F_S*r_Su_L-F_G*V221+F_SSw*X221)/(SIN(RADIANS(270+g_L-A221)))/1000,5)</f>
        <v>1621957.06913</v>
      </c>
      <c r="V221" s="85">
        <f t="shared" ref="V221:V252" si="217">(SIN(RADIANS(g_L)))*(((VL_Z-HL_Z)/(VL_X-HL_X))*(-HL_X+AM221)+HL_Z-AL221)</f>
        <v>-1141.3067828769733</v>
      </c>
      <c r="W221" s="85">
        <f t="shared" ref="W221:W252" si="218">V221/(SIN(RADIANS(180-g_L-(90-$A221))))</f>
        <v>654160.00000014261</v>
      </c>
      <c r="X221" s="90">
        <f t="shared" ref="X221:X252" si="219">SIN(RADIANS(g_L))*(((VL_Z-HL_Z)/(VL_X-HL_X))*(-AO221+HL_X)-HL_Z+AN221)</f>
        <v>1141.3067828769733</v>
      </c>
      <c r="Y221" s="86">
        <f t="shared" ref="Y221:Y252" si="220">ROUND((F_S*r_Su_H-F_G*Z221+F_SSw*AB221)/(SIN(RADIANS(180+g_H-A221)))/1000,5)</f>
        <v>8387.0229799999997</v>
      </c>
      <c r="Z221" s="85">
        <f t="shared" ref="Z221:Z252" si="221">(SIN(RADIANS(g_H)))*(((HL_X-HR_X)/(HL_Z-HR_Z))*(-HR_Z+AL221)+HR_X-AM221)</f>
        <v>-750</v>
      </c>
      <c r="AA221" s="85">
        <f t="shared" ref="AA221:AA252" si="222">Z221/(SIN(RADIANS(g_H-$A221)))</f>
        <v>750</v>
      </c>
      <c r="AB221" s="90">
        <f t="shared" ref="AB221:AB252" si="223">SIN(RADIANS(g_H))*(((HL_X-HR_X)/(HL_Z-HR_Z))*(-AN221+HR_Z)-HR_X+AO221)</f>
        <v>750</v>
      </c>
      <c r="AC221" s="86">
        <f t="shared" ref="AC221:AC252" si="224">ROUND((F_S*r_Su_R+F_G*AD221+F_SSw*AF221)/(SIN(RADIANS(90+g_R-A221)))/1000,5)</f>
        <v>2664182.9250099999</v>
      </c>
      <c r="AD221" s="85">
        <f t="shared" ref="AD221:AD252" si="225">(SIN(RADIANS(g_R)))*(((HR_Z-VR_Z)/(HR_X-VR_X))*(-VR_X+AM221)+VR_Z-AL221)</f>
        <v>1055.7627565116984</v>
      </c>
      <c r="AE221" s="85">
        <f t="shared" ref="AE221:AE252" si="226">AD221/(SIN(RADIANS(180-g_R-(90-$A221))))</f>
        <v>1037362.8571428637</v>
      </c>
      <c r="AF221" s="90">
        <f t="shared" ref="AF221:AF252" si="227">(SIN(RADIANS(g_R)))*(((HR_Z-VR_Z)/(HR_X-VR_X))*(-VR_X+AO221)+VR_Z-AN221)</f>
        <v>1055.7627565116984</v>
      </c>
      <c r="AG221" s="86">
        <f t="shared" ref="AG221:AG252" si="228">ROUND((F_S*r_Su_V+F_G*AH221+F_SSw*AJ221)/(SIN(RADIANS(g_V-A221)))/1000,5)</f>
        <v>-8903.8252499999999</v>
      </c>
      <c r="AH221" s="85">
        <f t="shared" ref="AH221:AH252" si="229">(SIN(RADIANS(g_V)))*(((VR_X-VL_X)/(VR_Z-VL_Z))*(AL221-VL_Z)+VL_X-AM221)</f>
        <v>6128</v>
      </c>
      <c r="AI221" s="85">
        <f t="shared" ref="AI221:AI252" si="230">AH221/(SIN(RADIANS(g_V-$A221)))</f>
        <v>-6128</v>
      </c>
      <c r="AJ221" s="90">
        <f t="shared" ref="AJ221:AJ252" si="231">(SIN(RADIANS(g_V)))*(((VR_X-VL_X)/(VR_Z-VL_Z))*(-VL_Z+AN221)+VL_X-AO221)</f>
        <v>6128</v>
      </c>
      <c r="AL221" s="95">
        <f t="shared" ref="AL221:AL252" si="232">SIN(RADIANS(A221))*r_K_D</f>
        <v>0</v>
      </c>
      <c r="AM221" s="95">
        <f t="shared" ref="AM221:AM252" si="233">COS(RADIANS(A221-180))*r_K_D</f>
        <v>0</v>
      </c>
      <c r="AN221" s="95">
        <f t="shared" ref="AN221:AN252" si="234">SIN(RADIANS(A221))*r_K_SSw</f>
        <v>0</v>
      </c>
      <c r="AO221" s="95">
        <f t="shared" ref="AO221:AO252" si="235">-COS(RADIANS(A221))*r_K_SSw</f>
        <v>0</v>
      </c>
      <c r="AP221"/>
      <c r="AQ221" s="95">
        <f t="shared" ref="AQ221:AQ252" si="236">MAX(d_y_Sw*(r_K_D*ABS(COS(RADIANS($A221)))+_r1_Sw+_r2_Sw), 2*_r1_Sw*d_y_Sw)/1000000</f>
        <v>0</v>
      </c>
      <c r="AR221" s="95">
        <f t="shared" ref="AR221:AR252" si="237">MAX(d_y_Sw*(r_K_D*ABS(SIN(RADIANS($A221)))+_r1_Sw+_r2_Sw), 2*_r1_Sw*d_y_Sw)/1000000</f>
        <v>0</v>
      </c>
      <c r="AS221" s="95">
        <f>Geraetedaten!$B$94*ABS(SIN(RADIANS($A221)))</f>
        <v>1.8867286205592748E-14</v>
      </c>
      <c r="AT221" s="95">
        <f>Geraetedaten!$B$94*ABS(COS(RADIANS($A221)))</f>
        <v>154</v>
      </c>
      <c r="AU221" s="95">
        <f>((h_Aw_Sw+Geraetedaten!$B$18)/1000)*(AQ221*AS221+AR221*AT221)/100</f>
        <v>0</v>
      </c>
    </row>
    <row r="222" spans="1:47" ht="13.5" x14ac:dyDescent="0.25">
      <c r="A222" s="16">
        <v>181</v>
      </c>
      <c r="B222" s="16">
        <f t="shared" si="204"/>
        <v>269</v>
      </c>
      <c r="C222" s="19">
        <f t="shared" si="205"/>
        <v>31.05134622073437</v>
      </c>
      <c r="D222" s="17">
        <f t="shared" si="206"/>
        <v>147379.58515377925</v>
      </c>
      <c r="E222" s="17">
        <f t="shared" si="207"/>
        <v>8357.2492137792651</v>
      </c>
      <c r="F222" s="17">
        <f t="shared" si="208"/>
        <v>-165012.40348622075</v>
      </c>
      <c r="G222" s="17">
        <f t="shared" si="209"/>
        <v>-8936.2329062207355</v>
      </c>
      <c r="H222" s="17">
        <f t="shared" si="210"/>
        <v>8357.2492137792651</v>
      </c>
      <c r="I222" s="17">
        <f t="shared" si="211"/>
        <v>750.11424603293074</v>
      </c>
      <c r="J222" s="20">
        <f>(Geraetedaten!$B$152+(Geraetedaten!$B$153*(Geraetedaten!$B$18+d_y_Sw)/1000))*10</f>
        <v>6051.0442000000003</v>
      </c>
      <c r="K222" s="20">
        <f>(Geraetedaten!$B$165+(Geraetedaten!$B$166*(Geraetedaten!$B$18+d_y_Sw)/1000))*10</f>
        <v>10816.164000000001</v>
      </c>
      <c r="L222" s="20">
        <f>(Geraetedaten!$B$158+(Geraetedaten!$B$159*(Geraetedaten!$B$18+d_y_Sw)/1000)-(Geraetedaten!$B$160*I222/1000))*10</f>
        <v>546.53072233840498</v>
      </c>
      <c r="M222" s="20">
        <f>(Geraetedaten!$B$171+(Geraetedaten!$B$172*(Geraetedaten!$B$18+d_y_Sw)/1000)-(Geraetedaten!$B$173*I222/1000))*10</f>
        <v>1009.0284955253096</v>
      </c>
      <c r="N222" s="20">
        <f>IF((H222-J222)/(K222-J222)*(Geraetedaten!$B$174-Geraetedaten!$B$161)&lt;Geraetedaten!$B$174,(H222-J222)/(K222-J222)*(Geraetedaten!$B$174-Geraetedaten!$B$161),Geraetedaten!$B$174)</f>
        <v>193.590516971201</v>
      </c>
      <c r="O222" s="20">
        <f>N222/Geraetedaten!$B$174*(M222-L222)+L222+C222</f>
        <v>801.42002608234463</v>
      </c>
      <c r="P222" s="20">
        <f t="shared" si="212"/>
        <v>238.80764117039027</v>
      </c>
      <c r="Q222" s="21">
        <f>(N222-Geraetedaten!$B$161)/(Geraetedaten!$B$174-Geraetedaten!$B$161)*(Geraetedaten!$B$175-Geraetedaten!$B$162)+Geraetedaten!$B$162</f>
        <v>34.959317879893227</v>
      </c>
      <c r="R222" s="21">
        <f t="shared" si="213"/>
        <v>34.959317879893227</v>
      </c>
      <c r="S222" s="21">
        <f t="shared" si="214"/>
        <v>-0.61012422441009351</v>
      </c>
      <c r="T222" s="88">
        <f t="shared" si="215"/>
        <v>-34.953993406450863</v>
      </c>
      <c r="U222" s="86">
        <f t="shared" si="216"/>
        <v>147410.63649999999</v>
      </c>
      <c r="V222" s="85">
        <f t="shared" si="217"/>
        <v>-1141.3067828769733</v>
      </c>
      <c r="W222" s="85">
        <f t="shared" si="218"/>
        <v>59452.955819395378</v>
      </c>
      <c r="X222" s="90">
        <f t="shared" si="219"/>
        <v>1141.3067828769733</v>
      </c>
      <c r="Y222" s="86">
        <f t="shared" si="220"/>
        <v>8388.3005599999997</v>
      </c>
      <c r="Z222" s="85">
        <f t="shared" si="221"/>
        <v>-750</v>
      </c>
      <c r="AA222" s="85">
        <f t="shared" si="222"/>
        <v>750.11424603293074</v>
      </c>
      <c r="AB222" s="90">
        <f t="shared" si="223"/>
        <v>750</v>
      </c>
      <c r="AC222" s="86">
        <f t="shared" si="224"/>
        <v>-164981.35214</v>
      </c>
      <c r="AD222" s="85">
        <f t="shared" si="225"/>
        <v>1055.7627565116984</v>
      </c>
      <c r="AE222" s="85">
        <f t="shared" si="226"/>
        <v>-64239.405343246377</v>
      </c>
      <c r="AF222" s="90">
        <f t="shared" si="227"/>
        <v>1055.7627565116984</v>
      </c>
      <c r="AG222" s="86">
        <f t="shared" si="228"/>
        <v>-8905.1815600000009</v>
      </c>
      <c r="AH222" s="85">
        <f t="shared" si="229"/>
        <v>6128</v>
      </c>
      <c r="AI222" s="85">
        <f t="shared" si="230"/>
        <v>-6128.9334662530664</v>
      </c>
      <c r="AJ222" s="90">
        <f t="shared" si="231"/>
        <v>6128</v>
      </c>
      <c r="AL222" s="95">
        <f t="shared" si="232"/>
        <v>0</v>
      </c>
      <c r="AM222" s="95">
        <f t="shared" si="233"/>
        <v>0</v>
      </c>
      <c r="AN222" s="95">
        <f t="shared" si="234"/>
        <v>0</v>
      </c>
      <c r="AO222" s="95">
        <f t="shared" si="235"/>
        <v>0</v>
      </c>
      <c r="AP222"/>
      <c r="AQ222" s="95">
        <f t="shared" si="236"/>
        <v>0</v>
      </c>
      <c r="AR222" s="95">
        <f t="shared" si="237"/>
        <v>0</v>
      </c>
      <c r="AS222" s="95">
        <f>Geraetedaten!$B$94*ABS(SIN(RADIANS($A222)))</f>
        <v>2.6876705913416798</v>
      </c>
      <c r="AT222" s="95">
        <f>Geraetedaten!$B$94*ABS(COS(RADIANS($A222)))</f>
        <v>153.97654505408426</v>
      </c>
      <c r="AU222" s="95">
        <f>((h_Aw_Sw+Geraetedaten!$B$18)/1000)*(AQ222*AS222+AR222*AT222)/100</f>
        <v>0</v>
      </c>
    </row>
    <row r="223" spans="1:47" ht="13.5" x14ac:dyDescent="0.25">
      <c r="A223" s="16">
        <v>182</v>
      </c>
      <c r="B223" s="16">
        <f t="shared" si="204"/>
        <v>268</v>
      </c>
      <c r="C223" s="19">
        <f t="shared" si="205"/>
        <v>32.146393900608736</v>
      </c>
      <c r="D223" s="17">
        <f t="shared" si="206"/>
        <v>77194.273206099388</v>
      </c>
      <c r="E223" s="17">
        <f t="shared" si="207"/>
        <v>8359.9888460993916</v>
      </c>
      <c r="F223" s="17">
        <f t="shared" si="208"/>
        <v>-80057.20731390061</v>
      </c>
      <c r="G223" s="17">
        <f t="shared" si="209"/>
        <v>-8941.3989239006078</v>
      </c>
      <c r="H223" s="17">
        <f t="shared" si="210"/>
        <v>8359.9888460993916</v>
      </c>
      <c r="I223" s="17">
        <f t="shared" si="211"/>
        <v>750.45715822411626</v>
      </c>
      <c r="J223" s="20">
        <f>(Geraetedaten!$B$152+(Geraetedaten!$B$153*(Geraetedaten!$B$18+d_y_Sw)/1000))*10</f>
        <v>6051.0442000000003</v>
      </c>
      <c r="K223" s="20">
        <f>(Geraetedaten!$B$165+(Geraetedaten!$B$166*(Geraetedaten!$B$18+d_y_Sw)/1000))*10</f>
        <v>10816.164000000001</v>
      </c>
      <c r="L223" s="20">
        <f>(Geraetedaten!$B$158+(Geraetedaten!$B$159*(Geraetedaten!$B$18+d_y_Sw)/1000)-(Geraetedaten!$B$160*I223/1000))*10</f>
        <v>546.50557658742525</v>
      </c>
      <c r="M223" s="20">
        <f>(Geraetedaten!$B$171+(Geraetedaten!$B$172*(Geraetedaten!$B$18+d_y_Sw)/1000)-(Geraetedaten!$B$173*I223/1000))*10</f>
        <v>1009.0029691417977</v>
      </c>
      <c r="N223" s="20">
        <f>IF((H223-J223)/(K223-J223)*(Geraetedaten!$B$174-Geraetedaten!$B$161)&lt;Geraetedaten!$B$174,(H223-J223)/(K223-J223)*(Geraetedaten!$B$174-Geraetedaten!$B$161),Geraetedaten!$B$174)</f>
        <v>193.82049081740956</v>
      </c>
      <c r="O223" s="20">
        <f>N223/Geraetedaten!$B$174*(M223-L223)+L223+C223</f>
        <v>802.75564955468553</v>
      </c>
      <c r="P223" s="20">
        <f t="shared" si="212"/>
        <v>239.16019721583814</v>
      </c>
      <c r="Q223" s="21">
        <f>(N223-Geraetedaten!$B$161)/(Geraetedaten!$B$174-Geraetedaten!$B$161)*(Geraetedaten!$B$175-Geraetedaten!$B$162)+Geraetedaten!$B$162</f>
        <v>34.966159601817935</v>
      </c>
      <c r="R223" s="21">
        <f t="shared" si="213"/>
        <v>34.966159601817935</v>
      </c>
      <c r="S223" s="21">
        <f t="shared" si="214"/>
        <v>-1.2203013717227653</v>
      </c>
      <c r="T223" s="88">
        <f t="shared" si="215"/>
        <v>-34.944859162142521</v>
      </c>
      <c r="U223" s="86">
        <f t="shared" si="216"/>
        <v>77226.419599999994</v>
      </c>
      <c r="V223" s="85">
        <f t="shared" si="217"/>
        <v>-1141.3067828769733</v>
      </c>
      <c r="W223" s="85">
        <f t="shared" si="218"/>
        <v>31146.591735374139</v>
      </c>
      <c r="X223" s="90">
        <f t="shared" si="219"/>
        <v>1141.3067828769733</v>
      </c>
      <c r="Y223" s="86">
        <f t="shared" si="220"/>
        <v>8392.1352399999996</v>
      </c>
      <c r="Z223" s="85">
        <f t="shared" si="221"/>
        <v>-750</v>
      </c>
      <c r="AA223" s="85">
        <f t="shared" si="222"/>
        <v>750.45715822411626</v>
      </c>
      <c r="AB223" s="90">
        <f t="shared" si="223"/>
        <v>750</v>
      </c>
      <c r="AC223" s="86">
        <f t="shared" si="224"/>
        <v>-80025.060920000004</v>
      </c>
      <c r="AD223" s="85">
        <f t="shared" si="225"/>
        <v>1055.7627565116984</v>
      </c>
      <c r="AE223" s="85">
        <f t="shared" si="226"/>
        <v>-31159.656892269846</v>
      </c>
      <c r="AF223" s="90">
        <f t="shared" si="227"/>
        <v>1055.7627565116984</v>
      </c>
      <c r="AG223" s="86">
        <f t="shared" si="228"/>
        <v>-8909.2525299999998</v>
      </c>
      <c r="AH223" s="85">
        <f t="shared" si="229"/>
        <v>6128</v>
      </c>
      <c r="AI223" s="85">
        <f t="shared" si="230"/>
        <v>-6131.7352874631797</v>
      </c>
      <c r="AJ223" s="90">
        <f t="shared" si="231"/>
        <v>6128</v>
      </c>
      <c r="AL223" s="95">
        <f t="shared" si="232"/>
        <v>0</v>
      </c>
      <c r="AM223" s="95">
        <f t="shared" si="233"/>
        <v>0</v>
      </c>
      <c r="AN223" s="95">
        <f t="shared" si="234"/>
        <v>0</v>
      </c>
      <c r="AO223" s="95">
        <f t="shared" si="235"/>
        <v>0</v>
      </c>
      <c r="AP223"/>
      <c r="AQ223" s="95">
        <f t="shared" si="236"/>
        <v>0</v>
      </c>
      <c r="AR223" s="95">
        <f t="shared" si="237"/>
        <v>0</v>
      </c>
      <c r="AS223" s="95">
        <f>Geraetedaten!$B$94*ABS(SIN(RADIANS($A223)))</f>
        <v>5.3745224921851387</v>
      </c>
      <c r="AT223" s="95">
        <f>Geraetedaten!$B$94*ABS(COS(RADIANS($A223)))</f>
        <v>153.90618736094075</v>
      </c>
      <c r="AU223" s="95">
        <f>((h_Aw_Sw+Geraetedaten!$B$18)/1000)*(AQ223*AS223+AR223*AT223)/100</f>
        <v>0</v>
      </c>
    </row>
    <row r="224" spans="1:47" ht="13.5" x14ac:dyDescent="0.25">
      <c r="A224" s="16">
        <v>183</v>
      </c>
      <c r="B224" s="16">
        <f t="shared" si="204"/>
        <v>267</v>
      </c>
      <c r="C224" s="19">
        <f t="shared" si="205"/>
        <v>33.231649477491864</v>
      </c>
      <c r="D224" s="17">
        <f t="shared" si="206"/>
        <v>52294.960710522508</v>
      </c>
      <c r="E224" s="17">
        <f t="shared" si="207"/>
        <v>8365.3012205225077</v>
      </c>
      <c r="F224" s="17">
        <f t="shared" si="208"/>
        <v>-52867.60171947749</v>
      </c>
      <c r="G224" s="17">
        <f t="shared" si="209"/>
        <v>-8949.2760294774907</v>
      </c>
      <c r="H224" s="17">
        <f t="shared" si="210"/>
        <v>8365.3012205225077</v>
      </c>
      <c r="I224" s="17">
        <f t="shared" si="211"/>
        <v>751.02925949844075</v>
      </c>
      <c r="J224" s="20">
        <f>(Geraetedaten!$B$152+(Geraetedaten!$B$153*(Geraetedaten!$B$18+d_y_Sw)/1000))*10</f>
        <v>6051.0442000000003</v>
      </c>
      <c r="K224" s="20">
        <f>(Geraetedaten!$B$165+(Geraetedaten!$B$166*(Geraetedaten!$B$18+d_y_Sw)/1000))*10</f>
        <v>10816.164000000001</v>
      </c>
      <c r="L224" s="20">
        <f>(Geraetedaten!$B$158+(Geraetedaten!$B$159*(Geraetedaten!$B$18+d_y_Sw)/1000)-(Geraetedaten!$B$160*I224/1000))*10</f>
        <v>546.46362440097914</v>
      </c>
      <c r="M224" s="20">
        <f>(Geraetedaten!$B$171+(Geraetedaten!$B$172*(Geraetedaten!$B$18+d_y_Sw)/1000)-(Geraetedaten!$B$173*I224/1000))*10</f>
        <v>1008.960381922937</v>
      </c>
      <c r="N224" s="20">
        <f>IF((H224-J224)/(K224-J224)*(Geraetedaten!$B$174-Geraetedaten!$B$161)&lt;Geraetedaten!$B$174,(H224-J224)/(K224-J224)*(Geraetedaten!$B$174-Geraetedaten!$B$161),Geraetedaten!$B$174)</f>
        <v>194.26642919009149</v>
      </c>
      <c r="O224" s="20">
        <f>N224/Geraetedaten!$B$174*(M224-L224)+L224+C224</f>
        <v>804.31425786793682</v>
      </c>
      <c r="P224" s="20">
        <f t="shared" si="212"/>
        <v>239.5356725708879</v>
      </c>
      <c r="Q224" s="21">
        <f>(N224-Geraetedaten!$B$161)/(Geraetedaten!$B$174-Geraetedaten!$B$161)*(Geraetedaten!$B$175-Geraetedaten!$B$162)+Geraetedaten!$B$162</f>
        <v>34.97942626840522</v>
      </c>
      <c r="R224" s="21">
        <f t="shared" si="213"/>
        <v>34.97942626840522</v>
      </c>
      <c r="S224" s="21">
        <f t="shared" si="214"/>
        <v>-1.830681722586526</v>
      </c>
      <c r="T224" s="88">
        <f t="shared" si="215"/>
        <v>-34.931488180399427</v>
      </c>
      <c r="U224" s="86">
        <f t="shared" si="216"/>
        <v>52328.192360000001</v>
      </c>
      <c r="V224" s="85">
        <f t="shared" si="217"/>
        <v>-1141.3067828769733</v>
      </c>
      <c r="W224" s="85">
        <f t="shared" si="218"/>
        <v>21104.757311558296</v>
      </c>
      <c r="X224" s="90">
        <f t="shared" si="219"/>
        <v>1141.3067828769733</v>
      </c>
      <c r="Y224" s="86">
        <f t="shared" si="220"/>
        <v>8398.5328699999991</v>
      </c>
      <c r="Z224" s="85">
        <f t="shared" si="221"/>
        <v>-750</v>
      </c>
      <c r="AA224" s="85">
        <f t="shared" si="222"/>
        <v>751.02925949844075</v>
      </c>
      <c r="AB224" s="90">
        <f t="shared" si="223"/>
        <v>750</v>
      </c>
      <c r="AC224" s="86">
        <f t="shared" si="224"/>
        <v>-52834.370069999997</v>
      </c>
      <c r="AD224" s="85">
        <f t="shared" si="225"/>
        <v>1055.7627565116984</v>
      </c>
      <c r="AE224" s="85">
        <f t="shared" si="226"/>
        <v>-20572.316027781697</v>
      </c>
      <c r="AF224" s="90">
        <f t="shared" si="227"/>
        <v>1055.7627565116984</v>
      </c>
      <c r="AG224" s="86">
        <f t="shared" si="228"/>
        <v>-8916.0443799999994</v>
      </c>
      <c r="AH224" s="85">
        <f t="shared" si="229"/>
        <v>6128</v>
      </c>
      <c r="AI224" s="85">
        <f t="shared" si="230"/>
        <v>-6136.40973627526</v>
      </c>
      <c r="AJ224" s="90">
        <f t="shared" si="231"/>
        <v>6128</v>
      </c>
      <c r="AL224" s="95">
        <f t="shared" si="232"/>
        <v>0</v>
      </c>
      <c r="AM224" s="95">
        <f t="shared" si="233"/>
        <v>0</v>
      </c>
      <c r="AN224" s="95">
        <f t="shared" si="234"/>
        <v>0</v>
      </c>
      <c r="AO224" s="95">
        <f t="shared" si="235"/>
        <v>0</v>
      </c>
      <c r="AP224"/>
      <c r="AQ224" s="95">
        <f t="shared" si="236"/>
        <v>0</v>
      </c>
      <c r="AR224" s="95">
        <f t="shared" si="237"/>
        <v>0</v>
      </c>
      <c r="AS224" s="95">
        <f>Geraetedaten!$B$94*ABS(SIN(RADIANS($A224)))</f>
        <v>8.0597372614133072</v>
      </c>
      <c r="AT224" s="95">
        <f>Geraetedaten!$B$94*ABS(COS(RADIANS($A224)))</f>
        <v>153.78894835220436</v>
      </c>
      <c r="AU224" s="95">
        <f>((h_Aw_Sw+Geraetedaten!$B$18)/1000)*(AQ224*AS224+AR224*AT224)/100</f>
        <v>0</v>
      </c>
    </row>
    <row r="225" spans="1:47" ht="13.5" x14ac:dyDescent="0.25">
      <c r="A225" s="16">
        <v>184</v>
      </c>
      <c r="B225" s="16">
        <f t="shared" si="204"/>
        <v>266</v>
      </c>
      <c r="C225" s="19">
        <f t="shared" si="205"/>
        <v>34.306782372021964</v>
      </c>
      <c r="D225" s="17">
        <f t="shared" si="206"/>
        <v>39545.267117627984</v>
      </c>
      <c r="E225" s="17">
        <f t="shared" si="207"/>
        <v>8373.1964476279791</v>
      </c>
      <c r="F225" s="17">
        <f t="shared" si="208"/>
        <v>-39478.466062372019</v>
      </c>
      <c r="G225" s="17">
        <f t="shared" si="209"/>
        <v>-8959.8742723720206</v>
      </c>
      <c r="H225" s="17">
        <f t="shared" si="210"/>
        <v>8373.1964476279791</v>
      </c>
      <c r="I225" s="17">
        <f t="shared" si="211"/>
        <v>751.8314235608791</v>
      </c>
      <c r="J225" s="20">
        <f>(Geraetedaten!$B$152+(Geraetedaten!$B$153*(Geraetedaten!$B$18+d_y_Sw)/1000))*10</f>
        <v>6051.0442000000003</v>
      </c>
      <c r="K225" s="20">
        <f>(Geraetedaten!$B$165+(Geraetedaten!$B$166*(Geraetedaten!$B$18+d_y_Sw)/1000))*10</f>
        <v>10816.164000000001</v>
      </c>
      <c r="L225" s="20">
        <f>(Geraetedaten!$B$158+(Geraetedaten!$B$159*(Geraetedaten!$B$18+d_y_Sw)/1000)-(Geraetedaten!$B$160*I225/1000))*10</f>
        <v>546.40480171028048</v>
      </c>
      <c r="M225" s="20">
        <f>(Geraetedaten!$B$171+(Geraetedaten!$B$172*(Geraetedaten!$B$18+d_y_Sw)/1000)-(Geraetedaten!$B$173*I225/1000))*10</f>
        <v>1008.900668830129</v>
      </c>
      <c r="N225" s="20">
        <f>IF((H225-J225)/(K225-J225)*(Geraetedaten!$B$174-Geraetedaten!$B$161)&lt;Geraetedaten!$B$174,(H225-J225)/(K225-J225)*(Geraetedaten!$B$174-Geraetedaten!$B$161),Geraetedaten!$B$174)</f>
        <v>194.92918080489633</v>
      </c>
      <c r="O225" s="20">
        <f>N225/Geraetedaten!$B$174*(M225-L225)+L225+C225</f>
        <v>806.09643534060808</v>
      </c>
      <c r="P225" s="20">
        <f t="shared" si="212"/>
        <v>239.93384111296959</v>
      </c>
      <c r="Q225" s="21">
        <f>(N225-Geraetedaten!$B$161)/(Geraetedaten!$B$174-Geraetedaten!$B$161)*(Geraetedaten!$B$175-Geraetedaten!$B$162)+Geraetedaten!$B$162</f>
        <v>34.999143128945668</v>
      </c>
      <c r="R225" s="21">
        <f t="shared" si="213"/>
        <v>34.999143128945668</v>
      </c>
      <c r="S225" s="21">
        <f t="shared" si="214"/>
        <v>-2.4414168087411809</v>
      </c>
      <c r="T225" s="88">
        <f t="shared" si="215"/>
        <v>-34.913886975334336</v>
      </c>
      <c r="U225" s="86">
        <f t="shared" si="216"/>
        <v>39579.573900000003</v>
      </c>
      <c r="V225" s="85">
        <f t="shared" si="217"/>
        <v>-1141.3067828769733</v>
      </c>
      <c r="W225" s="85">
        <f t="shared" si="218"/>
        <v>15963.045234184186</v>
      </c>
      <c r="X225" s="90">
        <f t="shared" si="219"/>
        <v>1141.3067828769733</v>
      </c>
      <c r="Y225" s="86">
        <f t="shared" si="220"/>
        <v>8407.5032300000003</v>
      </c>
      <c r="Z225" s="85">
        <f t="shared" si="221"/>
        <v>-750</v>
      </c>
      <c r="AA225" s="85">
        <f t="shared" si="222"/>
        <v>751.8314235608791</v>
      </c>
      <c r="AB225" s="90">
        <f t="shared" si="223"/>
        <v>750</v>
      </c>
      <c r="AC225" s="86">
        <f t="shared" si="224"/>
        <v>-39444.15928</v>
      </c>
      <c r="AD225" s="85">
        <f t="shared" si="225"/>
        <v>1055.7627565116984</v>
      </c>
      <c r="AE225" s="85">
        <f t="shared" si="226"/>
        <v>-15358.519636358817</v>
      </c>
      <c r="AF225" s="90">
        <f t="shared" si="227"/>
        <v>1055.7627565116984</v>
      </c>
      <c r="AG225" s="86">
        <f t="shared" si="228"/>
        <v>-8925.5674899999995</v>
      </c>
      <c r="AH225" s="85">
        <f t="shared" si="229"/>
        <v>6128</v>
      </c>
      <c r="AI225" s="85">
        <f t="shared" si="230"/>
        <v>-6142.963951441423</v>
      </c>
      <c r="AJ225" s="90">
        <f t="shared" si="231"/>
        <v>6128</v>
      </c>
      <c r="AL225" s="95">
        <f t="shared" si="232"/>
        <v>0</v>
      </c>
      <c r="AM225" s="95">
        <f t="shared" si="233"/>
        <v>0</v>
      </c>
      <c r="AN225" s="95">
        <f t="shared" si="234"/>
        <v>0</v>
      </c>
      <c r="AO225" s="95">
        <f t="shared" si="235"/>
        <v>0</v>
      </c>
      <c r="AP225"/>
      <c r="AQ225" s="95">
        <f t="shared" si="236"/>
        <v>0</v>
      </c>
      <c r="AR225" s="95">
        <f t="shared" si="237"/>
        <v>0</v>
      </c>
      <c r="AS225" s="95">
        <f>Geraetedaten!$B$94*ABS(SIN(RADIANS($A225)))</f>
        <v>10.742496956595293</v>
      </c>
      <c r="AT225" s="95">
        <f>Geraetedaten!$B$94*ABS(COS(RADIANS($A225)))</f>
        <v>153.62486374001293</v>
      </c>
      <c r="AU225" s="95">
        <f>((h_Aw_Sw+Geraetedaten!$B$18)/1000)*(AQ225*AS225+AR225*AT225)/100</f>
        <v>0</v>
      </c>
    </row>
    <row r="226" spans="1:47" ht="13.5" x14ac:dyDescent="0.25">
      <c r="A226" s="16">
        <v>185</v>
      </c>
      <c r="B226" s="16">
        <f t="shared" si="204"/>
        <v>265</v>
      </c>
      <c r="C226" s="19">
        <f t="shared" si="205"/>
        <v>35.371465088304255</v>
      </c>
      <c r="D226" s="17">
        <f t="shared" si="206"/>
        <v>31798.317814911694</v>
      </c>
      <c r="E226" s="17">
        <f t="shared" si="207"/>
        <v>8383.6885749116955</v>
      </c>
      <c r="F226" s="17">
        <f t="shared" si="208"/>
        <v>-31511.809045088306</v>
      </c>
      <c r="G226" s="17">
        <f t="shared" si="209"/>
        <v>-8973.2078850883045</v>
      </c>
      <c r="H226" s="17">
        <f t="shared" si="210"/>
        <v>8383.6885749116955</v>
      </c>
      <c r="I226" s="17">
        <f t="shared" si="211"/>
        <v>752.86487815751059</v>
      </c>
      <c r="J226" s="20">
        <f>(Geraetedaten!$B$152+(Geraetedaten!$B$153*(Geraetedaten!$B$18+d_y_Sw)/1000))*10</f>
        <v>6051.0442000000003</v>
      </c>
      <c r="K226" s="20">
        <f>(Geraetedaten!$B$165+(Geraetedaten!$B$166*(Geraetedaten!$B$18+d_y_Sw)/1000))*10</f>
        <v>10816.164000000001</v>
      </c>
      <c r="L226" s="20">
        <f>(Geraetedaten!$B$158+(Geraetedaten!$B$159*(Geraetedaten!$B$18+d_y_Sw)/1000)-(Geraetedaten!$B$160*I226/1000))*10</f>
        <v>546.32901848470954</v>
      </c>
      <c r="M226" s="20">
        <f>(Geraetedaten!$B$171+(Geraetedaten!$B$172*(Geraetedaten!$B$18+d_y_Sw)/1000)-(Geraetedaten!$B$173*I226/1000))*10</f>
        <v>1008.823738469956</v>
      </c>
      <c r="N226" s="20">
        <f>IF((H226-J226)/(K226-J226)*(Geraetedaten!$B$174-Geraetedaten!$B$161)&lt;Geraetedaten!$B$174,(H226-J226)/(K226-J226)*(Geraetedaten!$B$174-Geraetedaten!$B$161),Geraetedaten!$B$174)</f>
        <v>195.8099248553369</v>
      </c>
      <c r="O226" s="20">
        <f>N226/Geraetedaten!$B$174*(M226-L226)+L226+C226</f>
        <v>808.10312448876675</v>
      </c>
      <c r="P226" s="20">
        <f t="shared" si="212"/>
        <v>240.35449139636395</v>
      </c>
      <c r="Q226" s="21">
        <f>(N226-Geraetedaten!$B$161)/(Geraetedaten!$B$174-Geraetedaten!$B$161)*(Geraetedaten!$B$175-Geraetedaten!$B$162)+Geraetedaten!$B$162</f>
        <v>35.025345264446273</v>
      </c>
      <c r="R226" s="21">
        <f t="shared" si="213"/>
        <v>35.025345264446273</v>
      </c>
      <c r="S226" s="21">
        <f t="shared" si="214"/>
        <v>-3.0526599815159789</v>
      </c>
      <c r="T226" s="88">
        <f t="shared" si="215"/>
        <v>-34.892063251274202</v>
      </c>
      <c r="U226" s="86">
        <f t="shared" si="216"/>
        <v>31833.689279999999</v>
      </c>
      <c r="V226" s="85">
        <f t="shared" si="217"/>
        <v>-1141.3067828769733</v>
      </c>
      <c r="W226" s="85">
        <f t="shared" si="218"/>
        <v>12839.011943171563</v>
      </c>
      <c r="X226" s="90">
        <f t="shared" si="219"/>
        <v>1141.3067828769733</v>
      </c>
      <c r="Y226" s="86">
        <f t="shared" si="220"/>
        <v>8419.0600400000003</v>
      </c>
      <c r="Z226" s="85">
        <f t="shared" si="221"/>
        <v>-750</v>
      </c>
      <c r="AA226" s="85">
        <f t="shared" si="222"/>
        <v>752.86487815751059</v>
      </c>
      <c r="AB226" s="90">
        <f t="shared" si="223"/>
        <v>750</v>
      </c>
      <c r="AC226" s="86">
        <f t="shared" si="224"/>
        <v>-31476.437580000002</v>
      </c>
      <c r="AD226" s="85">
        <f t="shared" si="225"/>
        <v>1055.7627565116984</v>
      </c>
      <c r="AE226" s="85">
        <f t="shared" si="226"/>
        <v>-12256.098077395816</v>
      </c>
      <c r="AF226" s="90">
        <f t="shared" si="227"/>
        <v>1055.7627565116984</v>
      </c>
      <c r="AG226" s="86">
        <f t="shared" si="228"/>
        <v>-8937.8364199999996</v>
      </c>
      <c r="AH226" s="85">
        <f t="shared" si="229"/>
        <v>6128</v>
      </c>
      <c r="AI226" s="85">
        <f t="shared" si="230"/>
        <v>-6151.4079644656331</v>
      </c>
      <c r="AJ226" s="90">
        <f t="shared" si="231"/>
        <v>6128</v>
      </c>
      <c r="AL226" s="95">
        <f t="shared" si="232"/>
        <v>0</v>
      </c>
      <c r="AM226" s="95">
        <f t="shared" si="233"/>
        <v>0</v>
      </c>
      <c r="AN226" s="95">
        <f t="shared" si="234"/>
        <v>0</v>
      </c>
      <c r="AO226" s="95">
        <f t="shared" si="235"/>
        <v>0</v>
      </c>
      <c r="AP226"/>
      <c r="AQ226" s="95">
        <f t="shared" si="236"/>
        <v>0</v>
      </c>
      <c r="AR226" s="95">
        <f t="shared" si="237"/>
        <v>0</v>
      </c>
      <c r="AS226" s="95">
        <f>Geraetedaten!$B$94*ABS(SIN(RADIANS($A226)))</f>
        <v>13.421984383139323</v>
      </c>
      <c r="AT226" s="95">
        <f>Geraetedaten!$B$94*ABS(COS(RADIANS($A226)))</f>
        <v>153.4139835061288</v>
      </c>
      <c r="AU226" s="95">
        <f>((h_Aw_Sw+Geraetedaten!$B$18)/1000)*(AQ226*AS226+AR226*AT226)/100</f>
        <v>0</v>
      </c>
    </row>
    <row r="227" spans="1:47" ht="13.5" x14ac:dyDescent="0.25">
      <c r="A227" s="16">
        <v>186</v>
      </c>
      <c r="B227" s="16">
        <f t="shared" si="204"/>
        <v>264</v>
      </c>
      <c r="C227" s="19">
        <f t="shared" si="205"/>
        <v>36.425373313669596</v>
      </c>
      <c r="D227" s="17">
        <f t="shared" si="206"/>
        <v>26593.742806686332</v>
      </c>
      <c r="E227" s="17">
        <f t="shared" si="207"/>
        <v>8396.7956666863302</v>
      </c>
      <c r="F227" s="17">
        <f t="shared" si="208"/>
        <v>-26229.782543313668</v>
      </c>
      <c r="G227" s="17">
        <f t="shared" si="209"/>
        <v>-8989.2953833136708</v>
      </c>
      <c r="H227" s="17">
        <f t="shared" si="210"/>
        <v>8396.7956666863302</v>
      </c>
      <c r="I227" s="17">
        <f t="shared" si="211"/>
        <v>754.1312096726374</v>
      </c>
      <c r="J227" s="20">
        <f>(Geraetedaten!$B$152+(Geraetedaten!$B$153*(Geraetedaten!$B$18+d_y_Sw)/1000))*10</f>
        <v>6051.0442000000003</v>
      </c>
      <c r="K227" s="20">
        <f>(Geraetedaten!$B$165+(Geraetedaten!$B$166*(Geraetedaten!$B$18+d_y_Sw)/1000))*10</f>
        <v>10816.164000000001</v>
      </c>
      <c r="L227" s="20">
        <f>(Geraetedaten!$B$158+(Geraetedaten!$B$159*(Geraetedaten!$B$18+d_y_Sw)/1000)-(Geraetedaten!$B$160*I227/1000))*10</f>
        <v>546.23615839470528</v>
      </c>
      <c r="M227" s="20">
        <f>(Geraetedaten!$B$171+(Geraetedaten!$B$172*(Geraetedaten!$B$18+d_y_Sw)/1000)-(Geraetedaten!$B$173*I227/1000))*10</f>
        <v>1008.7294727519698</v>
      </c>
      <c r="N227" s="20">
        <f>IF((H227-J227)/(K227-J227)*(Geraetedaten!$B$174-Geraetedaten!$B$161)&lt;Geraetedaten!$B$174,(H227-J227)/(K227-J227)*(Geraetedaten!$B$174-Geraetedaten!$B$161),Geraetedaten!$B$174)</f>
        <v>196.91017771988268</v>
      </c>
      <c r="O227" s="20">
        <f>N227/Geraetedaten!$B$174*(M227-L227)+L227+C227</f>
        <v>810.33563351924124</v>
      </c>
      <c r="P227" s="20">
        <f t="shared" si="212"/>
        <v>240.79742708174049</v>
      </c>
      <c r="Q227" s="21">
        <f>(N227-Geraetedaten!$B$161)/(Geraetedaten!$B$174-Geraetedaten!$B$161)*(Geraetedaten!$B$175-Geraetedaten!$B$162)+Geraetedaten!$B$162</f>
        <v>35.058077787166511</v>
      </c>
      <c r="R227" s="21">
        <f t="shared" si="213"/>
        <v>35.058077787166511</v>
      </c>
      <c r="S227" s="21">
        <f t="shared" si="214"/>
        <v>-3.6645669962103735</v>
      </c>
      <c r="T227" s="88">
        <f t="shared" si="215"/>
        <v>-34.866025968861202</v>
      </c>
      <c r="U227" s="86">
        <f t="shared" si="216"/>
        <v>26630.168180000001</v>
      </c>
      <c r="V227" s="85">
        <f t="shared" si="217"/>
        <v>-1141.3067828769733</v>
      </c>
      <c r="W227" s="85">
        <f t="shared" si="218"/>
        <v>10740.352594336748</v>
      </c>
      <c r="X227" s="90">
        <f t="shared" si="219"/>
        <v>1141.3067828769733</v>
      </c>
      <c r="Y227" s="86">
        <f t="shared" si="220"/>
        <v>8433.2210400000004</v>
      </c>
      <c r="Z227" s="85">
        <f t="shared" si="221"/>
        <v>-750</v>
      </c>
      <c r="AA227" s="85">
        <f t="shared" si="222"/>
        <v>754.1312096726374</v>
      </c>
      <c r="AB227" s="90">
        <f t="shared" si="223"/>
        <v>750</v>
      </c>
      <c r="AC227" s="86">
        <f t="shared" si="224"/>
        <v>-26193.357169999999</v>
      </c>
      <c r="AD227" s="85">
        <f t="shared" si="225"/>
        <v>1055.7627565116984</v>
      </c>
      <c r="AE227" s="85">
        <f t="shared" si="226"/>
        <v>-10199.005324305368</v>
      </c>
      <c r="AF227" s="90">
        <f t="shared" si="227"/>
        <v>1055.7627565116984</v>
      </c>
      <c r="AG227" s="86">
        <f t="shared" si="228"/>
        <v>-8952.8700100000005</v>
      </c>
      <c r="AH227" s="85">
        <f t="shared" si="229"/>
        <v>6128</v>
      </c>
      <c r="AI227" s="85">
        <f t="shared" si="230"/>
        <v>-6161.754737165229</v>
      </c>
      <c r="AJ227" s="90">
        <f t="shared" si="231"/>
        <v>6128</v>
      </c>
      <c r="AL227" s="95">
        <f t="shared" si="232"/>
        <v>0</v>
      </c>
      <c r="AM227" s="95">
        <f t="shared" si="233"/>
        <v>0</v>
      </c>
      <c r="AN227" s="95">
        <f t="shared" si="234"/>
        <v>0</v>
      </c>
      <c r="AO227" s="95">
        <f t="shared" si="235"/>
        <v>0</v>
      </c>
      <c r="AP227"/>
      <c r="AQ227" s="95">
        <f t="shared" si="236"/>
        <v>0</v>
      </c>
      <c r="AR227" s="95">
        <f t="shared" si="237"/>
        <v>0</v>
      </c>
      <c r="AS227" s="95">
        <f>Geraetedaten!$B$94*ABS(SIN(RADIANS($A227)))</f>
        <v>16.097383343218638</v>
      </c>
      <c r="AT227" s="95">
        <f>Geraetedaten!$B$94*ABS(COS(RADIANS($A227)))</f>
        <v>153.15637188671408</v>
      </c>
      <c r="AU227" s="95">
        <f>((h_Aw_Sw+Geraetedaten!$B$18)/1000)*(AQ227*AS227+AR227*AT227)/100</f>
        <v>0</v>
      </c>
    </row>
    <row r="228" spans="1:47" ht="13.5" x14ac:dyDescent="0.25">
      <c r="A228" s="16">
        <v>187</v>
      </c>
      <c r="B228" s="16">
        <f t="shared" si="204"/>
        <v>263</v>
      </c>
      <c r="C228" s="19">
        <f t="shared" si="205"/>
        <v>37.468186017463054</v>
      </c>
      <c r="D228" s="17">
        <f t="shared" si="206"/>
        <v>22857.304333982534</v>
      </c>
      <c r="E228" s="17">
        <f t="shared" si="207"/>
        <v>8412.5398739825378</v>
      </c>
      <c r="F228" s="17">
        <f t="shared" si="208"/>
        <v>-22472.165966017463</v>
      </c>
      <c r="G228" s="17">
        <f t="shared" si="209"/>
        <v>-9008.1596160174631</v>
      </c>
      <c r="H228" s="17">
        <f t="shared" si="210"/>
        <v>8412.5398739825378</v>
      </c>
      <c r="I228" s="17">
        <f t="shared" si="211"/>
        <v>755.63236909413627</v>
      </c>
      <c r="J228" s="20">
        <f>(Geraetedaten!$B$152+(Geraetedaten!$B$153*(Geraetedaten!$B$18+d_y_Sw)/1000))*10</f>
        <v>6051.0442000000003</v>
      </c>
      <c r="K228" s="20">
        <f>(Geraetedaten!$B$165+(Geraetedaten!$B$166*(Geraetedaten!$B$18+d_y_Sw)/1000))*10</f>
        <v>10816.164000000001</v>
      </c>
      <c r="L228" s="20">
        <f>(Geraetedaten!$B$158+(Geraetedaten!$B$159*(Geraetedaten!$B$18+d_y_Sw)/1000)-(Geraetedaten!$B$160*I228/1000))*10</f>
        <v>546.12607837432677</v>
      </c>
      <c r="M228" s="20">
        <f>(Geraetedaten!$B$171+(Geraetedaten!$B$172*(Geraetedaten!$B$18+d_y_Sw)/1000)-(Geraetedaten!$B$173*I228/1000))*10</f>
        <v>1008.6177264446335</v>
      </c>
      <c r="N228" s="20">
        <f>IF((H228-J228)/(K228-J228)*(Geraetedaten!$B$174-Geraetedaten!$B$161)&lt;Geraetedaten!$B$174,(H228-J228)/(K228-J228)*(Geraetedaten!$B$174-Geraetedaten!$B$161),Geraetedaten!$B$174)</f>
        <v>198.23179882969887</v>
      </c>
      <c r="O228" s="20">
        <f>N228/Geraetedaten!$B$174*(M228-L228)+L228+C228</f>
        <v>812.79564274351219</v>
      </c>
      <c r="P228" s="20">
        <f t="shared" si="212"/>
        <v>241.26246708305368</v>
      </c>
      <c r="Q228" s="21">
        <f>(N228-Geraetedaten!$B$161)/(Geraetedaten!$B$174-Geraetedaten!$B$161)*(Geraetedaten!$B$175-Geraetedaten!$B$162)+Geraetedaten!$B$162</f>
        <v>35.097396015183541</v>
      </c>
      <c r="R228" s="21">
        <f t="shared" si="213"/>
        <v>35.097396015183541</v>
      </c>
      <c r="S228" s="21">
        <f t="shared" si="214"/>
        <v>-4.2772966076008521</v>
      </c>
      <c r="T228" s="88">
        <f t="shared" si="215"/>
        <v>-34.835785347501897</v>
      </c>
      <c r="U228" s="86">
        <f t="shared" si="216"/>
        <v>22894.772519999999</v>
      </c>
      <c r="V228" s="85">
        <f t="shared" si="217"/>
        <v>-1141.3067828769733</v>
      </c>
      <c r="W228" s="85">
        <f t="shared" si="218"/>
        <v>9233.8106074168263</v>
      </c>
      <c r="X228" s="90">
        <f t="shared" si="219"/>
        <v>1141.3067828769733</v>
      </c>
      <c r="Y228" s="86">
        <f t="shared" si="220"/>
        <v>8450.0080600000001</v>
      </c>
      <c r="Z228" s="85">
        <f t="shared" si="221"/>
        <v>-750</v>
      </c>
      <c r="AA228" s="85">
        <f t="shared" si="222"/>
        <v>755.63236909413627</v>
      </c>
      <c r="AB228" s="90">
        <f t="shared" si="223"/>
        <v>750</v>
      </c>
      <c r="AC228" s="86">
        <f t="shared" si="224"/>
        <v>-22434.697779999999</v>
      </c>
      <c r="AD228" s="85">
        <f t="shared" si="225"/>
        <v>1055.7627565116984</v>
      </c>
      <c r="AE228" s="85">
        <f t="shared" si="226"/>
        <v>-8735.4820760425664</v>
      </c>
      <c r="AF228" s="90">
        <f t="shared" si="227"/>
        <v>1055.7627565116984</v>
      </c>
      <c r="AG228" s="86">
        <f t="shared" si="228"/>
        <v>-8970.6914300000008</v>
      </c>
      <c r="AH228" s="85">
        <f t="shared" si="229"/>
        <v>6128</v>
      </c>
      <c r="AI228" s="85">
        <f t="shared" si="230"/>
        <v>-6174.0202104118225</v>
      </c>
      <c r="AJ228" s="90">
        <f t="shared" si="231"/>
        <v>6128</v>
      </c>
      <c r="AL228" s="95">
        <f t="shared" si="232"/>
        <v>0</v>
      </c>
      <c r="AM228" s="95">
        <f t="shared" si="233"/>
        <v>0</v>
      </c>
      <c r="AN228" s="95">
        <f t="shared" si="234"/>
        <v>0</v>
      </c>
      <c r="AO228" s="95">
        <f t="shared" si="235"/>
        <v>0</v>
      </c>
      <c r="AP228"/>
      <c r="AQ228" s="95">
        <f t="shared" si="236"/>
        <v>0</v>
      </c>
      <c r="AR228" s="95">
        <f t="shared" si="237"/>
        <v>0</v>
      </c>
      <c r="AS228" s="95">
        <f>Geraetedaten!$B$94*ABS(SIN(RADIANS($A228)))</f>
        <v>18.767878884392687</v>
      </c>
      <c r="AT228" s="95">
        <f>Geraetedaten!$B$94*ABS(COS(RADIANS($A228)))</f>
        <v>152.8521073527636</v>
      </c>
      <c r="AU228" s="95">
        <f>((h_Aw_Sw+Geraetedaten!$B$18)/1000)*(AQ228*AS228+AR228*AT228)/100</f>
        <v>0</v>
      </c>
    </row>
    <row r="229" spans="1:47" ht="13.5" x14ac:dyDescent="0.25">
      <c r="A229" s="16">
        <v>188</v>
      </c>
      <c r="B229" s="16">
        <f t="shared" si="204"/>
        <v>262</v>
      </c>
      <c r="C229" s="19">
        <f t="shared" si="205"/>
        <v>38.499585548833146</v>
      </c>
      <c r="D229" s="17">
        <f t="shared" si="206"/>
        <v>20045.255854451167</v>
      </c>
      <c r="E229" s="17">
        <f t="shared" si="207"/>
        <v>8430.9474644511683</v>
      </c>
      <c r="F229" s="17">
        <f t="shared" si="208"/>
        <v>-19663.109185548834</v>
      </c>
      <c r="G229" s="17">
        <f t="shared" si="209"/>
        <v>-9029.8278255488331</v>
      </c>
      <c r="H229" s="17">
        <f t="shared" si="210"/>
        <v>8430.9474644511683</v>
      </c>
      <c r="I229" s="17">
        <f t="shared" si="211"/>
        <v>757.37067938896359</v>
      </c>
      <c r="J229" s="20">
        <f>(Geraetedaten!$B$152+(Geraetedaten!$B$153*(Geraetedaten!$B$18+d_y_Sw)/1000))*10</f>
        <v>6051.0442000000003</v>
      </c>
      <c r="K229" s="20">
        <f>(Geraetedaten!$B$165+(Geraetedaten!$B$166*(Geraetedaten!$B$18+d_y_Sw)/1000))*10</f>
        <v>10816.164000000001</v>
      </c>
      <c r="L229" s="20">
        <f>(Geraetedaten!$B$158+(Geraetedaten!$B$159*(Geraetedaten!$B$18+d_y_Sw)/1000)-(Geraetedaten!$B$160*I229/1000))*10</f>
        <v>545.99860808040705</v>
      </c>
      <c r="M229" s="20">
        <f>(Geraetedaten!$B$171+(Geraetedaten!$B$172*(Geraetedaten!$B$18+d_y_Sw)/1000)-(Geraetedaten!$B$173*I229/1000))*10</f>
        <v>1008.4883266262865</v>
      </c>
      <c r="N229" s="20">
        <f>IF((H229-J229)/(K229-J229)*(Geraetedaten!$B$174-Geraetedaten!$B$161)&lt;Geraetedaten!$B$174,(H229-J229)/(K229-J229)*(Geraetedaten!$B$174-Geraetedaten!$B$161),Geraetedaten!$B$174)</f>
        <v>199.77699317873754</v>
      </c>
      <c r="O229" s="20">
        <f>N229/Geraetedaten!$B$174*(M229-L229)+L229+C229</f>
        <v>815.48520699718119</v>
      </c>
      <c r="P229" s="20">
        <f t="shared" si="212"/>
        <v>241.74944509674125</v>
      </c>
      <c r="Q229" s="21">
        <f>(N229-Geraetedaten!$B$161)/(Geraetedaten!$B$174-Geraetedaten!$B$161)*(Geraetedaten!$B$175-Geraetedaten!$B$162)+Geraetedaten!$B$162</f>
        <v>35.14336554706744</v>
      </c>
      <c r="R229" s="21">
        <f t="shared" si="213"/>
        <v>35.14336554706744</v>
      </c>
      <c r="S229" s="21">
        <f t="shared" si="214"/>
        <v>-4.891011161358505</v>
      </c>
      <c r="T229" s="88">
        <f t="shared" si="215"/>
        <v>-34.801352729373512</v>
      </c>
      <c r="U229" s="86">
        <f t="shared" si="216"/>
        <v>20083.755440000001</v>
      </c>
      <c r="V229" s="85">
        <f t="shared" si="217"/>
        <v>-1141.3067828769733</v>
      </c>
      <c r="W229" s="85">
        <f t="shared" si="218"/>
        <v>8100.0845901500243</v>
      </c>
      <c r="X229" s="90">
        <f t="shared" si="219"/>
        <v>1141.3067828769733</v>
      </c>
      <c r="Y229" s="86">
        <f t="shared" si="220"/>
        <v>8469.4470500000007</v>
      </c>
      <c r="Z229" s="85">
        <f t="shared" si="221"/>
        <v>-750</v>
      </c>
      <c r="AA229" s="85">
        <f t="shared" si="222"/>
        <v>757.37067938896359</v>
      </c>
      <c r="AB229" s="90">
        <f t="shared" si="223"/>
        <v>750</v>
      </c>
      <c r="AC229" s="86">
        <f t="shared" si="224"/>
        <v>-19624.6096</v>
      </c>
      <c r="AD229" s="85">
        <f t="shared" si="225"/>
        <v>1055.7627565116984</v>
      </c>
      <c r="AE229" s="85">
        <f t="shared" si="226"/>
        <v>-7641.3075449689568</v>
      </c>
      <c r="AF229" s="90">
        <f t="shared" si="227"/>
        <v>1055.7627565116984</v>
      </c>
      <c r="AG229" s="86">
        <f t="shared" si="228"/>
        <v>-8991.3282400000007</v>
      </c>
      <c r="AH229" s="85">
        <f t="shared" si="229"/>
        <v>6128</v>
      </c>
      <c r="AI229" s="85">
        <f t="shared" si="230"/>
        <v>-6188.2233643940917</v>
      </c>
      <c r="AJ229" s="90">
        <f t="shared" si="231"/>
        <v>6128</v>
      </c>
      <c r="AL229" s="95">
        <f t="shared" si="232"/>
        <v>0</v>
      </c>
      <c r="AM229" s="95">
        <f t="shared" si="233"/>
        <v>0</v>
      </c>
      <c r="AN229" s="95">
        <f t="shared" si="234"/>
        <v>0</v>
      </c>
      <c r="AO229" s="95">
        <f t="shared" si="235"/>
        <v>0</v>
      </c>
      <c r="AP229"/>
      <c r="AQ229" s="95">
        <f t="shared" si="236"/>
        <v>0</v>
      </c>
      <c r="AR229" s="95">
        <f t="shared" si="237"/>
        <v>0</v>
      </c>
      <c r="AS229" s="95">
        <f>Geraetedaten!$B$94*ABS(SIN(RADIANS($A229)))</f>
        <v>21.432657547850091</v>
      </c>
      <c r="AT229" s="95">
        <f>Geraetedaten!$B$94*ABS(COS(RADIANS($A229)))</f>
        <v>152.50128258620182</v>
      </c>
      <c r="AU229" s="95">
        <f>((h_Aw_Sw+Geraetedaten!$B$18)/1000)*(AQ229*AS229+AR229*AT229)/100</f>
        <v>0</v>
      </c>
    </row>
    <row r="230" spans="1:47" ht="13.5" x14ac:dyDescent="0.25">
      <c r="A230" s="16">
        <v>189</v>
      </c>
      <c r="B230" s="16">
        <f t="shared" si="204"/>
        <v>261</v>
      </c>
      <c r="C230" s="19">
        <f t="shared" si="205"/>
        <v>39.519257733491187</v>
      </c>
      <c r="D230" s="17">
        <f t="shared" si="206"/>
        <v>17852.862202266508</v>
      </c>
      <c r="E230" s="17">
        <f t="shared" si="207"/>
        <v>8452.0490122665087</v>
      </c>
      <c r="F230" s="17">
        <f t="shared" si="208"/>
        <v>-17484.365147733493</v>
      </c>
      <c r="G230" s="17">
        <f t="shared" si="209"/>
        <v>-9054.3318177334913</v>
      </c>
      <c r="H230" s="17">
        <f t="shared" si="210"/>
        <v>8452.0490122665087</v>
      </c>
      <c r="I230" s="17">
        <f t="shared" si="211"/>
        <v>759.34884434100218</v>
      </c>
      <c r="J230" s="20">
        <f>(Geraetedaten!$B$152+(Geraetedaten!$B$153*(Geraetedaten!$B$18+d_y_Sw)/1000))*10</f>
        <v>6051.0442000000003</v>
      </c>
      <c r="K230" s="20">
        <f>(Geraetedaten!$B$165+(Geraetedaten!$B$166*(Geraetedaten!$B$18+d_y_Sw)/1000))*10</f>
        <v>10816.164000000001</v>
      </c>
      <c r="L230" s="20">
        <f>(Geraetedaten!$B$158+(Geraetedaten!$B$159*(Geraetedaten!$B$18+d_y_Sw)/1000)-(Geraetedaten!$B$160*I230/1000))*10</f>
        <v>545.85354924447404</v>
      </c>
      <c r="M230" s="20">
        <f>(Geraetedaten!$B$171+(Geraetedaten!$B$172*(Geraetedaten!$B$18+d_y_Sw)/1000)-(Geraetedaten!$B$173*I230/1000))*10</f>
        <v>1008.3410720272568</v>
      </c>
      <c r="N230" s="20">
        <f>IF((H230-J230)/(K230-J230)*(Geraetedaten!$B$174-Geraetedaten!$B$161)&lt;Geraetedaten!$B$174,(H230-J230)/(K230-J230)*(Geraetedaten!$B$174-Geraetedaten!$B$161),Geraetedaten!$B$174)</f>
        <v>201.54832726484719</v>
      </c>
      <c r="O230" s="20">
        <f>N230/Geraetedaten!$B$174*(M230-L230)+L230+C230</f>
        <v>818.40677347229712</v>
      </c>
      <c r="P230" s="20">
        <f t="shared" si="212"/>
        <v>242.25821075970453</v>
      </c>
      <c r="Q230" s="21">
        <f>(N230-Geraetedaten!$B$161)/(Geraetedaten!$B$174-Geraetedaten!$B$161)*(Geraetedaten!$B$175-Geraetedaten!$B$162)+Geraetedaten!$B$162</f>
        <v>35.196062736129207</v>
      </c>
      <c r="R230" s="21">
        <f t="shared" si="213"/>
        <v>35.196062736129207</v>
      </c>
      <c r="S230" s="21">
        <f t="shared" si="214"/>
        <v>-5.5058772456487723</v>
      </c>
      <c r="T230" s="88">
        <f t="shared" si="215"/>
        <v>-34.762740799329819</v>
      </c>
      <c r="U230" s="86">
        <f t="shared" si="216"/>
        <v>17892.381460000001</v>
      </c>
      <c r="V230" s="85">
        <f t="shared" si="217"/>
        <v>-1141.3067828769733</v>
      </c>
      <c r="W230" s="85">
        <f t="shared" si="218"/>
        <v>7216.2700725939249</v>
      </c>
      <c r="X230" s="90">
        <f t="shared" si="219"/>
        <v>1141.3067828769733</v>
      </c>
      <c r="Y230" s="86">
        <f t="shared" si="220"/>
        <v>8491.5682699999998</v>
      </c>
      <c r="Z230" s="85">
        <f t="shared" si="221"/>
        <v>-750</v>
      </c>
      <c r="AA230" s="85">
        <f t="shared" si="222"/>
        <v>759.34884434100218</v>
      </c>
      <c r="AB230" s="90">
        <f t="shared" si="223"/>
        <v>750</v>
      </c>
      <c r="AC230" s="86">
        <f t="shared" si="224"/>
        <v>-17444.845890000001</v>
      </c>
      <c r="AD230" s="85">
        <f t="shared" si="225"/>
        <v>1055.7627565116984</v>
      </c>
      <c r="AE230" s="85">
        <f t="shared" si="226"/>
        <v>-6792.5648052255447</v>
      </c>
      <c r="AF230" s="90">
        <f t="shared" si="227"/>
        <v>1055.7627565116984</v>
      </c>
      <c r="AG230" s="86">
        <f t="shared" si="228"/>
        <v>-9014.8125600000003</v>
      </c>
      <c r="AH230" s="85">
        <f t="shared" si="229"/>
        <v>6128</v>
      </c>
      <c r="AI230" s="85">
        <f t="shared" si="230"/>
        <v>-6204.386290828882</v>
      </c>
      <c r="AJ230" s="90">
        <f t="shared" si="231"/>
        <v>6128</v>
      </c>
      <c r="AL230" s="95">
        <f t="shared" si="232"/>
        <v>0</v>
      </c>
      <c r="AM230" s="95">
        <f t="shared" si="233"/>
        <v>0</v>
      </c>
      <c r="AN230" s="95">
        <f t="shared" si="234"/>
        <v>0</v>
      </c>
      <c r="AO230" s="95">
        <f t="shared" si="235"/>
        <v>0</v>
      </c>
      <c r="AP230"/>
      <c r="AQ230" s="95">
        <f t="shared" si="236"/>
        <v>0</v>
      </c>
      <c r="AR230" s="95">
        <f t="shared" si="237"/>
        <v>0</v>
      </c>
      <c r="AS230" s="95">
        <f>Geraetedaten!$B$94*ABS(SIN(RADIANS($A230)))</f>
        <v>24.090907616195533</v>
      </c>
      <c r="AT230" s="95">
        <f>Geraetedaten!$B$94*ABS(COS(RADIANS($A230)))</f>
        <v>152.10400445165121</v>
      </c>
      <c r="AU230" s="95">
        <f>((h_Aw_Sw+Geraetedaten!$B$18)/1000)*(AQ230*AS230+AR230*AT230)/100</f>
        <v>0</v>
      </c>
    </row>
    <row r="231" spans="1:47" ht="13.5" x14ac:dyDescent="0.25">
      <c r="A231" s="16">
        <v>190</v>
      </c>
      <c r="B231" s="16">
        <f t="shared" si="204"/>
        <v>260</v>
      </c>
      <c r="C231" s="19">
        <f t="shared" si="205"/>
        <v>40.526891969411977</v>
      </c>
      <c r="D231" s="17">
        <f t="shared" si="206"/>
        <v>16096.076658030588</v>
      </c>
      <c r="E231" s="17">
        <f t="shared" si="207"/>
        <v>8475.8794280305883</v>
      </c>
      <c r="F231" s="17">
        <f t="shared" si="208"/>
        <v>-15745.732831969412</v>
      </c>
      <c r="G231" s="17">
        <f t="shared" si="209"/>
        <v>-9081.7080019694113</v>
      </c>
      <c r="H231" s="17">
        <f t="shared" si="210"/>
        <v>8475.8794280305883</v>
      </c>
      <c r="I231" s="17">
        <f t="shared" si="211"/>
        <v>761.56995891430881</v>
      </c>
      <c r="J231" s="20">
        <f>(Geraetedaten!$B$152+(Geraetedaten!$B$153*(Geraetedaten!$B$18+d_y_Sw)/1000))*10</f>
        <v>6051.0442000000003</v>
      </c>
      <c r="K231" s="20">
        <f>(Geraetedaten!$B$165+(Geraetedaten!$B$166*(Geraetedaten!$B$18+d_y_Sw)/1000))*10</f>
        <v>10816.164000000001</v>
      </c>
      <c r="L231" s="20">
        <f>(Geraetedaten!$B$158+(Geraetedaten!$B$159*(Geraetedaten!$B$18+d_y_Sw)/1000)-(Geraetedaten!$B$160*I231/1000))*10</f>
        <v>545.69067491281339</v>
      </c>
      <c r="M231" s="20">
        <f>(Geraetedaten!$B$171+(Geraetedaten!$B$172*(Geraetedaten!$B$18+d_y_Sw)/1000)-(Geraetedaten!$B$173*I231/1000))*10</f>
        <v>1008.1757322584199</v>
      </c>
      <c r="N231" s="20">
        <f>IF((H231-J231)/(K231-J231)*(Geraetedaten!$B$174-Geraetedaten!$B$161)&lt;Geraetedaten!$B$174,(H231-J231)/(K231-J231)*(Geraetedaten!$B$174-Geraetedaten!$B$161),Geraetedaten!$B$174)</f>
        <v>203.54873160003976</v>
      </c>
      <c r="O231" s="20">
        <f>N231/Geraetedaten!$B$174*(M231-L231)+L231+C231</f>
        <v>821.56318389889998</v>
      </c>
      <c r="P231" s="20">
        <f t="shared" si="212"/>
        <v>242.78862882127325</v>
      </c>
      <c r="Q231" s="21">
        <f>(N231-Geraetedaten!$B$161)/(Geraetedaten!$B$174-Geraetedaten!$B$161)*(Geraetedaten!$B$175-Geraetedaten!$B$162)+Geraetedaten!$B$162</f>
        <v>35.255574765101187</v>
      </c>
      <c r="R231" s="21">
        <f t="shared" si="213"/>
        <v>35.255574765101187</v>
      </c>
      <c r="S231" s="21">
        <f t="shared" si="214"/>
        <v>-6.122066310560041</v>
      </c>
      <c r="T231" s="88">
        <f t="shared" si="215"/>
        <v>-34.7199633655732</v>
      </c>
      <c r="U231" s="86">
        <f t="shared" si="216"/>
        <v>16136.60355</v>
      </c>
      <c r="V231" s="85">
        <f t="shared" si="217"/>
        <v>-1141.3067828769733</v>
      </c>
      <c r="W231" s="85">
        <f t="shared" si="218"/>
        <v>6508.1380878788486</v>
      </c>
      <c r="X231" s="90">
        <f t="shared" si="219"/>
        <v>1141.3067828769733</v>
      </c>
      <c r="Y231" s="86">
        <f t="shared" si="220"/>
        <v>8516.4063200000001</v>
      </c>
      <c r="Z231" s="85">
        <f t="shared" si="221"/>
        <v>-750</v>
      </c>
      <c r="AA231" s="85">
        <f t="shared" si="222"/>
        <v>761.56995891430881</v>
      </c>
      <c r="AB231" s="90">
        <f t="shared" si="223"/>
        <v>750</v>
      </c>
      <c r="AC231" s="86">
        <f t="shared" si="224"/>
        <v>-15705.20594</v>
      </c>
      <c r="AD231" s="85">
        <f t="shared" si="225"/>
        <v>1055.7627565116984</v>
      </c>
      <c r="AE231" s="85">
        <f t="shared" si="226"/>
        <v>-6115.1947022294416</v>
      </c>
      <c r="AF231" s="90">
        <f t="shared" si="227"/>
        <v>1055.7627565116984</v>
      </c>
      <c r="AG231" s="86">
        <f t="shared" si="228"/>
        <v>-9041.1811099999995</v>
      </c>
      <c r="AH231" s="85">
        <f t="shared" si="229"/>
        <v>6128</v>
      </c>
      <c r="AI231" s="85">
        <f t="shared" si="230"/>
        <v>-6222.5342776358457</v>
      </c>
      <c r="AJ231" s="90">
        <f t="shared" si="231"/>
        <v>6128</v>
      </c>
      <c r="AL231" s="95">
        <f t="shared" si="232"/>
        <v>0</v>
      </c>
      <c r="AM231" s="95">
        <f t="shared" si="233"/>
        <v>0</v>
      </c>
      <c r="AN231" s="95">
        <f t="shared" si="234"/>
        <v>0</v>
      </c>
      <c r="AO231" s="95">
        <f t="shared" si="235"/>
        <v>0</v>
      </c>
      <c r="AP231"/>
      <c r="AQ231" s="95">
        <f t="shared" si="236"/>
        <v>0</v>
      </c>
      <c r="AR231" s="95">
        <f t="shared" si="237"/>
        <v>0</v>
      </c>
      <c r="AS231" s="95">
        <f>Geraetedaten!$B$94*ABS(SIN(RADIANS($A231)))</f>
        <v>26.741819360707293</v>
      </c>
      <c r="AT231" s="95">
        <f>Geraetedaten!$B$94*ABS(COS(RADIANS($A231)))</f>
        <v>151.66039396388004</v>
      </c>
      <c r="AU231" s="95">
        <f>((h_Aw_Sw+Geraetedaten!$B$18)/1000)*(AQ231*AS231+AR231*AT231)/100</f>
        <v>0</v>
      </c>
    </row>
    <row r="232" spans="1:47" ht="13.5" x14ac:dyDescent="0.25">
      <c r="A232" s="16">
        <v>191</v>
      </c>
      <c r="B232" s="16">
        <f t="shared" si="204"/>
        <v>259</v>
      </c>
      <c r="C232" s="19">
        <f t="shared" si="205"/>
        <v>41.522181321446041</v>
      </c>
      <c r="D232" s="17">
        <f t="shared" si="206"/>
        <v>14657.176638678553</v>
      </c>
      <c r="E232" s="17">
        <f t="shared" si="207"/>
        <v>8502.4781486785541</v>
      </c>
      <c r="F232" s="17">
        <f t="shared" si="208"/>
        <v>-14326.544381321446</v>
      </c>
      <c r="G232" s="17">
        <f t="shared" si="209"/>
        <v>-9111.9976213214468</v>
      </c>
      <c r="H232" s="17">
        <f t="shared" si="210"/>
        <v>8502.4781486785541</v>
      </c>
      <c r="I232" s="17">
        <f t="shared" si="211"/>
        <v>764.03752121641071</v>
      </c>
      <c r="J232" s="20">
        <f>(Geraetedaten!$B$152+(Geraetedaten!$B$153*(Geraetedaten!$B$18+d_y_Sw)/1000))*10</f>
        <v>6051.0442000000003</v>
      </c>
      <c r="K232" s="20">
        <f>(Geraetedaten!$B$165+(Geraetedaten!$B$166*(Geraetedaten!$B$18+d_y_Sw)/1000))*10</f>
        <v>10816.164000000001</v>
      </c>
      <c r="L232" s="20">
        <f>(Geraetedaten!$B$158+(Geraetedaten!$B$159*(Geraetedaten!$B$18+d_y_Sw)/1000)-(Geraetedaten!$B$160*I232/1000))*10</f>
        <v>545.50972856920032</v>
      </c>
      <c r="M232" s="20">
        <f>(Geraetedaten!$B$171+(Geraetedaten!$B$172*(Geraetedaten!$B$18+d_y_Sw)/1000)-(Geraetedaten!$B$173*I232/1000))*10</f>
        <v>1007.9920469206513</v>
      </c>
      <c r="N232" s="20">
        <f>IF((H232-J232)/(K232-J232)*(Geraetedaten!$B$174-Geraetedaten!$B$161)&lt;Geraetedaten!$B$174,(H232-J232)/(K232-J232)*(Geraetedaten!$B$174-Geraetedaten!$B$161),Geraetedaten!$B$174)</f>
        <v>205.7815166517789</v>
      </c>
      <c r="O232" s="20">
        <f>N232/Geraetedaten!$B$174*(M232-L232)+L232+C232</f>
        <v>824.95769212812741</v>
      </c>
      <c r="P232" s="20">
        <f t="shared" si="212"/>
        <v>243.3405799223479</v>
      </c>
      <c r="Q232" s="21">
        <f>(N232-Geraetedaten!$B$161)/(Geraetedaten!$B$174-Geraetedaten!$B$161)*(Geraetedaten!$B$175-Geraetedaten!$B$162)+Geraetedaten!$B$162</f>
        <v>35.32200012039042</v>
      </c>
      <c r="R232" s="21">
        <f t="shared" si="213"/>
        <v>35.32200012039042</v>
      </c>
      <c r="S232" s="21">
        <f t="shared" si="214"/>
        <v>-6.7397553576618874</v>
      </c>
      <c r="T232" s="88">
        <f t="shared" si="215"/>
        <v>-34.673035491916899</v>
      </c>
      <c r="U232" s="86">
        <f t="shared" si="216"/>
        <v>14698.69882</v>
      </c>
      <c r="V232" s="85">
        <f t="shared" si="217"/>
        <v>-1141.3067828769733</v>
      </c>
      <c r="W232" s="85">
        <f t="shared" si="218"/>
        <v>5928.2091998997194</v>
      </c>
      <c r="X232" s="90">
        <f t="shared" si="219"/>
        <v>1141.3067828769733</v>
      </c>
      <c r="Y232" s="86">
        <f t="shared" si="220"/>
        <v>8544.0003300000008</v>
      </c>
      <c r="Z232" s="85">
        <f t="shared" si="221"/>
        <v>-750</v>
      </c>
      <c r="AA232" s="85">
        <f t="shared" si="222"/>
        <v>764.03752121641071</v>
      </c>
      <c r="AB232" s="90">
        <f t="shared" si="223"/>
        <v>750</v>
      </c>
      <c r="AC232" s="86">
        <f t="shared" si="224"/>
        <v>-14285.022199999999</v>
      </c>
      <c r="AD232" s="85">
        <f t="shared" si="225"/>
        <v>1055.7627565116984</v>
      </c>
      <c r="AE232" s="85">
        <f t="shared" si="226"/>
        <v>-5562.2124543640357</v>
      </c>
      <c r="AF232" s="90">
        <f t="shared" si="227"/>
        <v>1055.7627565116984</v>
      </c>
      <c r="AG232" s="86">
        <f t="shared" si="228"/>
        <v>-9070.4754400000002</v>
      </c>
      <c r="AH232" s="85">
        <f t="shared" si="229"/>
        <v>6128</v>
      </c>
      <c r="AI232" s="85">
        <f t="shared" si="230"/>
        <v>-6242.6959066855525</v>
      </c>
      <c r="AJ232" s="90">
        <f t="shared" si="231"/>
        <v>6128</v>
      </c>
      <c r="AL232" s="95">
        <f t="shared" si="232"/>
        <v>0</v>
      </c>
      <c r="AM232" s="95">
        <f t="shared" si="233"/>
        <v>0</v>
      </c>
      <c r="AN232" s="95">
        <f t="shared" si="234"/>
        <v>0</v>
      </c>
      <c r="AO232" s="95">
        <f t="shared" si="235"/>
        <v>0</v>
      </c>
      <c r="AP232"/>
      <c r="AQ232" s="95">
        <f t="shared" si="236"/>
        <v>0</v>
      </c>
      <c r="AR232" s="95">
        <f t="shared" si="237"/>
        <v>0</v>
      </c>
      <c r="AS232" s="95">
        <f>Geraetedaten!$B$94*ABS(SIN(RADIANS($A232)))</f>
        <v>29.384585287987885</v>
      </c>
      <c r="AT232" s="95">
        <f>Geraetedaten!$B$94*ABS(COS(RADIANS($A232)))</f>
        <v>151.17058625094026</v>
      </c>
      <c r="AU232" s="95">
        <f>((h_Aw_Sw+Geraetedaten!$B$18)/1000)*(AQ232*AS232+AR232*AT232)/100</f>
        <v>0</v>
      </c>
    </row>
    <row r="233" spans="1:47" ht="13.5" x14ac:dyDescent="0.25">
      <c r="A233" s="16">
        <v>192</v>
      </c>
      <c r="B233" s="16">
        <f t="shared" si="204"/>
        <v>258</v>
      </c>
      <c r="C233" s="19">
        <f t="shared" si="205"/>
        <v>42.504822614815225</v>
      </c>
      <c r="D233" s="17">
        <f t="shared" si="206"/>
        <v>13457.356937385184</v>
      </c>
      <c r="E233" s="17">
        <f t="shared" si="207"/>
        <v>8531.889237385185</v>
      </c>
      <c r="F233" s="17">
        <f t="shared" si="208"/>
        <v>-13146.551442614815</v>
      </c>
      <c r="G233" s="17">
        <f t="shared" si="209"/>
        <v>-9145.2468326148155</v>
      </c>
      <c r="H233" s="17">
        <f t="shared" si="210"/>
        <v>8531.889237385185</v>
      </c>
      <c r="I233" s="17">
        <f t="shared" si="211"/>
        <v>766.75544614877197</v>
      </c>
      <c r="J233" s="20">
        <f>(Geraetedaten!$B$152+(Geraetedaten!$B$153*(Geraetedaten!$B$18+d_y_Sw)/1000))*10</f>
        <v>6051.0442000000003</v>
      </c>
      <c r="K233" s="20">
        <f>(Geraetedaten!$B$165+(Geraetedaten!$B$166*(Geraetedaten!$B$18+d_y_Sw)/1000))*10</f>
        <v>10816.164000000001</v>
      </c>
      <c r="L233" s="20">
        <f>(Geraetedaten!$B$158+(Geraetedaten!$B$159*(Geraetedaten!$B$18+d_y_Sw)/1000)-(Geraetedaten!$B$160*I233/1000))*10</f>
        <v>545.31042313391026</v>
      </c>
      <c r="M233" s="20">
        <f>(Geraetedaten!$B$171+(Geraetedaten!$B$172*(Geraetedaten!$B$18+d_y_Sw)/1000)-(Geraetedaten!$B$173*I233/1000))*10</f>
        <v>1007.7897245886863</v>
      </c>
      <c r="N233" s="20">
        <f>IF((H233-J233)/(K233-J233)*(Geraetedaten!$B$174-Geraetedaten!$B$161)&lt;Geraetedaten!$B$174,(H233-J233)/(K233-J233)*(Geraetedaten!$B$174-Geraetedaten!$B$161),Geraetedaten!$B$174)</f>
        <v>208.25038122946538</v>
      </c>
      <c r="O233" s="20">
        <f>N233/Geraetedaten!$B$174*(M233-L233)+L233+C233</f>
        <v>828.59397284546037</v>
      </c>
      <c r="P233" s="20">
        <f t="shared" si="212"/>
        <v>243.91396016862581</v>
      </c>
      <c r="Q233" s="21">
        <f>(N233-Geraetedaten!$B$161)/(Geraetedaten!$B$174-Geraetedaten!$B$161)*(Geraetedaten!$B$175-Geraetedaten!$B$162)+Geraetedaten!$B$162</f>
        <v>35.395448841576595</v>
      </c>
      <c r="R233" s="21">
        <f t="shared" si="213"/>
        <v>35.395448841576595</v>
      </c>
      <c r="S233" s="21">
        <f t="shared" si="214"/>
        <v>-7.3591276159056971</v>
      </c>
      <c r="T233" s="88">
        <f t="shared" si="215"/>
        <v>-34.621973361284304</v>
      </c>
      <c r="U233" s="86">
        <f t="shared" si="216"/>
        <v>13499.86176</v>
      </c>
      <c r="V233" s="85">
        <f t="shared" si="217"/>
        <v>-1141.3067828769733</v>
      </c>
      <c r="W233" s="85">
        <f t="shared" si="218"/>
        <v>5444.6999470483206</v>
      </c>
      <c r="X233" s="90">
        <f t="shared" si="219"/>
        <v>1141.3067828769733</v>
      </c>
      <c r="Y233" s="86">
        <f t="shared" si="220"/>
        <v>8574.3940600000005</v>
      </c>
      <c r="Z233" s="85">
        <f t="shared" si="221"/>
        <v>-750</v>
      </c>
      <c r="AA233" s="85">
        <f t="shared" si="222"/>
        <v>766.75544614877197</v>
      </c>
      <c r="AB233" s="90">
        <f t="shared" si="223"/>
        <v>750</v>
      </c>
      <c r="AC233" s="86">
        <f t="shared" si="224"/>
        <v>-13104.046619999999</v>
      </c>
      <c r="AD233" s="85">
        <f t="shared" si="225"/>
        <v>1055.7627565116984</v>
      </c>
      <c r="AE233" s="85">
        <f t="shared" si="226"/>
        <v>-5102.3715804745643</v>
      </c>
      <c r="AF233" s="90">
        <f t="shared" si="227"/>
        <v>1055.7627565116984</v>
      </c>
      <c r="AG233" s="86">
        <f t="shared" si="228"/>
        <v>-9102.7420099999999</v>
      </c>
      <c r="AH233" s="85">
        <f t="shared" si="229"/>
        <v>6128</v>
      </c>
      <c r="AI233" s="85">
        <f t="shared" si="230"/>
        <v>-6264.9031653328993</v>
      </c>
      <c r="AJ233" s="90">
        <f t="shared" si="231"/>
        <v>6128</v>
      </c>
      <c r="AL233" s="95">
        <f t="shared" si="232"/>
        <v>0</v>
      </c>
      <c r="AM233" s="95">
        <f t="shared" si="233"/>
        <v>0</v>
      </c>
      <c r="AN233" s="95">
        <f t="shared" si="234"/>
        <v>0</v>
      </c>
      <c r="AO233" s="95">
        <f t="shared" si="235"/>
        <v>0</v>
      </c>
      <c r="AP233"/>
      <c r="AQ233" s="95">
        <f t="shared" si="236"/>
        <v>0</v>
      </c>
      <c r="AR233" s="95">
        <f t="shared" si="237"/>
        <v>0</v>
      </c>
      <c r="AS233" s="95">
        <f>Geraetedaten!$B$94*ABS(SIN(RADIANS($A233)))</f>
        <v>32.018400385934967</v>
      </c>
      <c r="AT233" s="95">
        <f>Geraetedaten!$B$94*ABS(COS(RADIANS($A233)))</f>
        <v>150.63473051300605</v>
      </c>
      <c r="AU233" s="95">
        <f>((h_Aw_Sw+Geraetedaten!$B$18)/1000)*(AQ233*AS233+AR233*AT233)/100</f>
        <v>0</v>
      </c>
    </row>
    <row r="234" spans="1:47" ht="13.5" x14ac:dyDescent="0.25">
      <c r="A234" s="16">
        <v>193</v>
      </c>
      <c r="B234" s="16">
        <f t="shared" si="204"/>
        <v>257</v>
      </c>
      <c r="C234" s="19">
        <f t="shared" si="205"/>
        <v>43.474516527462441</v>
      </c>
      <c r="D234" s="17">
        <f t="shared" si="206"/>
        <v>12441.875733472538</v>
      </c>
      <c r="E234" s="17">
        <f t="shared" si="207"/>
        <v>8564.1616134725391</v>
      </c>
      <c r="F234" s="17">
        <f t="shared" si="208"/>
        <v>-12150.309176527462</v>
      </c>
      <c r="G234" s="17">
        <f t="shared" si="209"/>
        <v>-9181.506946527461</v>
      </c>
      <c r="H234" s="17">
        <f t="shared" si="210"/>
        <v>8564.1616134725391</v>
      </c>
      <c r="I234" s="17">
        <f t="shared" si="211"/>
        <v>769.72808084504368</v>
      </c>
      <c r="J234" s="20">
        <f>(Geraetedaten!$B$152+(Geraetedaten!$B$153*(Geraetedaten!$B$18+d_y_Sw)/1000))*10</f>
        <v>6051.0442000000003</v>
      </c>
      <c r="K234" s="20">
        <f>(Geraetedaten!$B$165+(Geraetedaten!$B$166*(Geraetedaten!$B$18+d_y_Sw)/1000))*10</f>
        <v>10816.164000000001</v>
      </c>
      <c r="L234" s="20">
        <f>(Geraetedaten!$B$158+(Geraetedaten!$B$159*(Geraetedaten!$B$18+d_y_Sw)/1000)-(Geraetedaten!$B$160*I234/1000))*10</f>
        <v>545.09243983163276</v>
      </c>
      <c r="M234" s="20">
        <f>(Geraetedaten!$B$171+(Geraetedaten!$B$172*(Geraetedaten!$B$18+d_y_Sw)/1000)-(Geraetedaten!$B$173*I234/1000))*10</f>
        <v>1007.5684416618959</v>
      </c>
      <c r="N234" s="20">
        <f>IF((H234-J234)/(K234-J234)*(Geraetedaten!$B$174-Geraetedaten!$B$161)&lt;Geraetedaten!$B$174,(H234-J234)/(K234-J234)*(Geraetedaten!$B$174-Geraetedaten!$B$161),Geraetedaten!$B$174)</f>
        <v>210.95943178364905</v>
      </c>
      <c r="O234" s="20">
        <f>N234/Geraetedaten!$B$174*(M234-L234)+L234+C234</f>
        <v>832.47614275831063</v>
      </c>
      <c r="P234" s="20">
        <f t="shared" si="212"/>
        <v>244.50868193369899</v>
      </c>
      <c r="Q234" s="21">
        <f>(N234-Geraetedaten!$B$161)/(Geraetedaten!$B$174-Geraetedaten!$B$161)*(Geraetedaten!$B$175-Geraetedaten!$B$162)+Geraetedaten!$B$162</f>
        <v>35.476043095563561</v>
      </c>
      <c r="R234" s="21">
        <f t="shared" si="213"/>
        <v>35.476043095563561</v>
      </c>
      <c r="S234" s="21">
        <f t="shared" si="214"/>
        <v>-7.9803732982954143</v>
      </c>
      <c r="T234" s="88">
        <f t="shared" si="215"/>
        <v>-34.566794409348063</v>
      </c>
      <c r="U234" s="86">
        <f t="shared" si="216"/>
        <v>12485.35025</v>
      </c>
      <c r="V234" s="85">
        <f t="shared" si="217"/>
        <v>-1141.3067828769733</v>
      </c>
      <c r="W234" s="85">
        <f t="shared" si="218"/>
        <v>5035.5319978230445</v>
      </c>
      <c r="X234" s="90">
        <f t="shared" si="219"/>
        <v>1141.3067828769733</v>
      </c>
      <c r="Y234" s="86">
        <f t="shared" si="220"/>
        <v>8607.6361300000008</v>
      </c>
      <c r="Z234" s="85">
        <f t="shared" si="221"/>
        <v>-750</v>
      </c>
      <c r="AA234" s="85">
        <f t="shared" si="222"/>
        <v>769.72808084504368</v>
      </c>
      <c r="AB234" s="90">
        <f t="shared" si="223"/>
        <v>750</v>
      </c>
      <c r="AC234" s="86">
        <f t="shared" si="224"/>
        <v>-12106.83466</v>
      </c>
      <c r="AD234" s="85">
        <f t="shared" si="225"/>
        <v>1055.7627565116984</v>
      </c>
      <c r="AE234" s="85">
        <f t="shared" si="226"/>
        <v>-4714.0834352924403</v>
      </c>
      <c r="AF234" s="90">
        <f t="shared" si="227"/>
        <v>1055.7627565116984</v>
      </c>
      <c r="AG234" s="86">
        <f t="shared" si="228"/>
        <v>-9138.0324299999993</v>
      </c>
      <c r="AH234" s="85">
        <f t="shared" si="229"/>
        <v>6128</v>
      </c>
      <c r="AI234" s="85">
        <f t="shared" si="230"/>
        <v>-6289.1915725579038</v>
      </c>
      <c r="AJ234" s="90">
        <f t="shared" si="231"/>
        <v>6128</v>
      </c>
      <c r="AL234" s="95">
        <f t="shared" si="232"/>
        <v>0</v>
      </c>
      <c r="AM234" s="95">
        <f t="shared" si="233"/>
        <v>0</v>
      </c>
      <c r="AN234" s="95">
        <f t="shared" si="234"/>
        <v>0</v>
      </c>
      <c r="AO234" s="95">
        <f t="shared" si="235"/>
        <v>0</v>
      </c>
      <c r="AP234"/>
      <c r="AQ234" s="95">
        <f t="shared" si="236"/>
        <v>0</v>
      </c>
      <c r="AR234" s="95">
        <f t="shared" si="237"/>
        <v>0</v>
      </c>
      <c r="AS234" s="95">
        <f>Geraetedaten!$B$94*ABS(SIN(RADIANS($A234)))</f>
        <v>34.642462368955208</v>
      </c>
      <c r="AT234" s="95">
        <f>Geraetedaten!$B$94*ABS(COS(RADIANS($A234)))</f>
        <v>150.05298997692623</v>
      </c>
      <c r="AU234" s="95">
        <f>((h_Aw_Sw+Geraetedaten!$B$18)/1000)*(AQ234*AS234+AR234*AT234)/100</f>
        <v>0</v>
      </c>
    </row>
    <row r="235" spans="1:47" ht="13.5" x14ac:dyDescent="0.25">
      <c r="A235" s="16">
        <v>194</v>
      </c>
      <c r="B235" s="16">
        <f t="shared" si="204"/>
        <v>256</v>
      </c>
      <c r="C235" s="19">
        <f t="shared" si="205"/>
        <v>44.430967681228296</v>
      </c>
      <c r="D235" s="17">
        <f t="shared" si="206"/>
        <v>11571.521462318771</v>
      </c>
      <c r="E235" s="17">
        <f t="shared" si="207"/>
        <v>8599.3492223187714</v>
      </c>
      <c r="F235" s="17">
        <f t="shared" si="208"/>
        <v>-11298.280827681228</v>
      </c>
      <c r="G235" s="17">
        <f t="shared" si="209"/>
        <v>-9220.8346276812281</v>
      </c>
      <c r="H235" s="17">
        <f t="shared" si="210"/>
        <v>8599.3492223187714</v>
      </c>
      <c r="I235" s="17">
        <f t="shared" si="211"/>
        <v>772.96022201242351</v>
      </c>
      <c r="J235" s="20">
        <f>(Geraetedaten!$B$152+(Geraetedaten!$B$153*(Geraetedaten!$B$18+d_y_Sw)/1000))*10</f>
        <v>6051.0442000000003</v>
      </c>
      <c r="K235" s="20">
        <f>(Geraetedaten!$B$165+(Geraetedaten!$B$166*(Geraetedaten!$B$18+d_y_Sw)/1000))*10</f>
        <v>10816.164000000001</v>
      </c>
      <c r="L235" s="20">
        <f>(Geraetedaten!$B$158+(Geraetedaten!$B$159*(Geraetedaten!$B$18+d_y_Sw)/1000)-(Geraetedaten!$B$160*I235/1000))*10</f>
        <v>544.85542691982869</v>
      </c>
      <c r="M235" s="20">
        <f>(Geraetedaten!$B$171+(Geraetedaten!$B$172*(Geraetedaten!$B$18+d_y_Sw)/1000)-(Geraetedaten!$B$173*I235/1000))*10</f>
        <v>1007.3278410733961</v>
      </c>
      <c r="N235" s="20">
        <f>IF((H235-J235)/(K235-J235)*(Geraetedaten!$B$174-Geraetedaten!$B$161)&lt;Geraetedaten!$B$174,(H235-J235)/(K235-J235)*(Geraetedaten!$B$174-Geraetedaten!$B$161),Geraetedaten!$B$174)</f>
        <v>213.91319666874028</v>
      </c>
      <c r="O235" s="20">
        <f>N235/Geraetedaten!$B$174*(M235-L235)+L235+C235</f>
        <v>836.60877580780493</v>
      </c>
      <c r="P235" s="20">
        <f t="shared" si="212"/>
        <v>245.12467376732565</v>
      </c>
      <c r="Q235" s="21">
        <f>(N235-Geraetedaten!$B$161)/(Geraetedaten!$B$174-Geraetedaten!$B$161)*(Geraetedaten!$B$175-Geraetedaten!$B$162)+Geraetedaten!$B$162</f>
        <v>35.563917600895024</v>
      </c>
      <c r="R235" s="21">
        <f t="shared" si="213"/>
        <v>35.563917600895024</v>
      </c>
      <c r="S235" s="21">
        <f t="shared" si="214"/>
        <v>-8.6036903609589039</v>
      </c>
      <c r="T235" s="88">
        <f t="shared" si="215"/>
        <v>-34.50751725778013</v>
      </c>
      <c r="U235" s="86">
        <f t="shared" si="216"/>
        <v>11615.952429999999</v>
      </c>
      <c r="V235" s="85">
        <f t="shared" si="217"/>
        <v>-1141.3067828769733</v>
      </c>
      <c r="W235" s="85">
        <f t="shared" si="218"/>
        <v>4684.8906087457872</v>
      </c>
      <c r="X235" s="90">
        <f t="shared" si="219"/>
        <v>1141.3067828769733</v>
      </c>
      <c r="Y235" s="86">
        <f t="shared" si="220"/>
        <v>8643.7801899999995</v>
      </c>
      <c r="Z235" s="85">
        <f t="shared" si="221"/>
        <v>-750</v>
      </c>
      <c r="AA235" s="85">
        <f t="shared" si="222"/>
        <v>772.96022201242351</v>
      </c>
      <c r="AB235" s="90">
        <f t="shared" si="223"/>
        <v>750</v>
      </c>
      <c r="AC235" s="86">
        <f t="shared" si="224"/>
        <v>-11253.84986</v>
      </c>
      <c r="AD235" s="85">
        <f t="shared" si="225"/>
        <v>1055.7627565116984</v>
      </c>
      <c r="AE235" s="85">
        <f t="shared" si="226"/>
        <v>-4381.9535578594478</v>
      </c>
      <c r="AF235" s="90">
        <f t="shared" si="227"/>
        <v>1055.7627565116984</v>
      </c>
      <c r="AG235" s="86">
        <f t="shared" si="228"/>
        <v>-9176.4036599999999</v>
      </c>
      <c r="AH235" s="85">
        <f t="shared" si="229"/>
        <v>6128</v>
      </c>
      <c r="AI235" s="85">
        <f t="shared" si="230"/>
        <v>-6315.6003206561754</v>
      </c>
      <c r="AJ235" s="90">
        <f t="shared" si="231"/>
        <v>6128</v>
      </c>
      <c r="AL235" s="95">
        <f t="shared" si="232"/>
        <v>0</v>
      </c>
      <c r="AM235" s="95">
        <f t="shared" si="233"/>
        <v>0</v>
      </c>
      <c r="AN235" s="95">
        <f t="shared" si="234"/>
        <v>0</v>
      </c>
      <c r="AO235" s="95">
        <f t="shared" si="235"/>
        <v>0</v>
      </c>
      <c r="AP235"/>
      <c r="AQ235" s="95">
        <f t="shared" si="236"/>
        <v>0</v>
      </c>
      <c r="AR235" s="95">
        <f t="shared" si="237"/>
        <v>0</v>
      </c>
      <c r="AS235" s="95">
        <f>Geraetedaten!$B$94*ABS(SIN(RADIANS($A235)))</f>
        <v>37.255971922348799</v>
      </c>
      <c r="AT235" s="95">
        <f>Geraetedaten!$B$94*ABS(COS(RADIANS($A235)))</f>
        <v>149.42554184650345</v>
      </c>
      <c r="AU235" s="95">
        <f>((h_Aw_Sw+Geraetedaten!$B$18)/1000)*(AQ235*AS235+AR235*AT235)/100</f>
        <v>0</v>
      </c>
    </row>
    <row r="236" spans="1:47" ht="13.5" x14ac:dyDescent="0.25">
      <c r="A236" s="16">
        <v>195</v>
      </c>
      <c r="B236" s="16">
        <f t="shared" si="204"/>
        <v>255</v>
      </c>
      <c r="C236" s="19">
        <f t="shared" si="205"/>
        <v>45.373884731826024</v>
      </c>
      <c r="D236" s="17">
        <f t="shared" si="206"/>
        <v>10817.470315268174</v>
      </c>
      <c r="E236" s="17">
        <f t="shared" si="207"/>
        <v>8637.5112252681738</v>
      </c>
      <c r="F236" s="17">
        <f t="shared" si="208"/>
        <v>-10561.514334731826</v>
      </c>
      <c r="G236" s="17">
        <f t="shared" si="209"/>
        <v>-9263.2920847318255</v>
      </c>
      <c r="H236" s="17">
        <f t="shared" si="210"/>
        <v>8637.5112252681738</v>
      </c>
      <c r="I236" s="17">
        <f t="shared" si="211"/>
        <v>776.45713530756223</v>
      </c>
      <c r="J236" s="20">
        <f>(Geraetedaten!$B$152+(Geraetedaten!$B$153*(Geraetedaten!$B$18+d_y_Sw)/1000))*10</f>
        <v>6051.0442000000003</v>
      </c>
      <c r="K236" s="20">
        <f>(Geraetedaten!$B$165+(Geraetedaten!$B$166*(Geraetedaten!$B$18+d_y_Sw)/1000))*10</f>
        <v>10816.164000000001</v>
      </c>
      <c r="L236" s="20">
        <f>(Geraetedaten!$B$158+(Geraetedaten!$B$159*(Geraetedaten!$B$18+d_y_Sw)/1000)-(Geraetedaten!$B$160*I236/1000))*10</f>
        <v>544.59899826789626</v>
      </c>
      <c r="M236" s="20">
        <f>(Geraetedaten!$B$171+(Geraetedaten!$B$172*(Geraetedaten!$B$18+d_y_Sw)/1000)-(Geraetedaten!$B$173*I236/1000))*10</f>
        <v>1007.0675308477062</v>
      </c>
      <c r="N236" s="20">
        <f>IF((H236-J236)/(K236-J236)*(Geraetedaten!$B$174-Geraetedaten!$B$161)&lt;Geraetedaten!$B$174,(H236-J236)/(K236-J236)*(Geraetedaten!$B$174-Geraetedaten!$B$161),Geraetedaten!$B$174)</f>
        <v>217.11664208468994</v>
      </c>
      <c r="O236" s="20">
        <f>N236/Geraetedaten!$B$174*(M236-L236)+L236+C236</f>
        <v>840.9969201586282</v>
      </c>
      <c r="P236" s="20">
        <f t="shared" si="212"/>
        <v>245.76188029258773</v>
      </c>
      <c r="Q236" s="21">
        <f>(N236-Geraetedaten!$B$161)/(Geraetedaten!$B$174-Geraetedaten!$B$161)*(Geraetedaten!$B$175-Geraetedaten!$B$162)+Geraetedaten!$B$162</f>
        <v>35.659220102019525</v>
      </c>
      <c r="R236" s="21">
        <f t="shared" si="213"/>
        <v>35.659220102019525</v>
      </c>
      <c r="S236" s="21">
        <f t="shared" si="214"/>
        <v>-9.2292852959053082</v>
      </c>
      <c r="T236" s="88">
        <f t="shared" si="215"/>
        <v>-34.444161641866962</v>
      </c>
      <c r="U236" s="86">
        <f t="shared" si="216"/>
        <v>10862.8442</v>
      </c>
      <c r="V236" s="85">
        <f t="shared" si="217"/>
        <v>-1141.3067828769733</v>
      </c>
      <c r="W236" s="85">
        <f t="shared" si="218"/>
        <v>4381.1505859586305</v>
      </c>
      <c r="X236" s="90">
        <f t="shared" si="219"/>
        <v>1141.3067828769733</v>
      </c>
      <c r="Y236" s="86">
        <f t="shared" si="220"/>
        <v>8682.8851099999993</v>
      </c>
      <c r="Z236" s="85">
        <f t="shared" si="221"/>
        <v>-750</v>
      </c>
      <c r="AA236" s="85">
        <f t="shared" si="222"/>
        <v>776.45713530756223</v>
      </c>
      <c r="AB236" s="90">
        <f t="shared" si="223"/>
        <v>750</v>
      </c>
      <c r="AC236" s="86">
        <f t="shared" si="224"/>
        <v>-10516.140450000001</v>
      </c>
      <c r="AD236" s="85">
        <f t="shared" si="225"/>
        <v>1055.7627565116984</v>
      </c>
      <c r="AE236" s="85">
        <f t="shared" si="226"/>
        <v>-4094.7088877294182</v>
      </c>
      <c r="AF236" s="90">
        <f t="shared" si="227"/>
        <v>1055.7627565116984</v>
      </c>
      <c r="AG236" s="86">
        <f t="shared" si="228"/>
        <v>-9217.9182000000001</v>
      </c>
      <c r="AH236" s="85">
        <f t="shared" si="229"/>
        <v>6128</v>
      </c>
      <c r="AI236" s="85">
        <f t="shared" si="230"/>
        <v>-6344.1724335529889</v>
      </c>
      <c r="AJ236" s="90">
        <f t="shared" si="231"/>
        <v>6128</v>
      </c>
      <c r="AL236" s="95">
        <f t="shared" si="232"/>
        <v>0</v>
      </c>
      <c r="AM236" s="95">
        <f t="shared" si="233"/>
        <v>0</v>
      </c>
      <c r="AN236" s="95">
        <f t="shared" si="234"/>
        <v>0</v>
      </c>
      <c r="AO236" s="95">
        <f t="shared" si="235"/>
        <v>0</v>
      </c>
      <c r="AP236"/>
      <c r="AQ236" s="95">
        <f t="shared" si="236"/>
        <v>0</v>
      </c>
      <c r="AR236" s="95">
        <f t="shared" si="237"/>
        <v>0</v>
      </c>
      <c r="AS236" s="95">
        <f>Geraetedaten!$B$94*ABS(SIN(RADIANS($A236)))</f>
        <v>39.858132945788199</v>
      </c>
      <c r="AT236" s="95">
        <f>Geraetedaten!$B$94*ABS(COS(RADIANS($A236)))</f>
        <v>148.75257724851653</v>
      </c>
      <c r="AU236" s="95">
        <f>((h_Aw_Sw+Geraetedaten!$B$18)/1000)*(AQ236*AS236+AR236*AT236)/100</f>
        <v>0</v>
      </c>
    </row>
    <row r="237" spans="1:47" ht="13.5" x14ac:dyDescent="0.25">
      <c r="A237" s="16">
        <v>196</v>
      </c>
      <c r="B237" s="16">
        <f t="shared" si="204"/>
        <v>254</v>
      </c>
      <c r="C237" s="19">
        <f t="shared" si="205"/>
        <v>46.302980457587722</v>
      </c>
      <c r="D237" s="17">
        <f t="shared" si="206"/>
        <v>10158.060269542413</v>
      </c>
      <c r="E237" s="17">
        <f t="shared" si="207"/>
        <v>8678.7122895424127</v>
      </c>
      <c r="F237" s="17">
        <f t="shared" si="208"/>
        <v>-9918.3225104575868</v>
      </c>
      <c r="G237" s="17">
        <f t="shared" si="209"/>
        <v>-9308.9473704575867</v>
      </c>
      <c r="H237" s="17">
        <f t="shared" si="210"/>
        <v>8678.7122895424127</v>
      </c>
      <c r="I237" s="17">
        <f t="shared" si="211"/>
        <v>780.2245768962016</v>
      </c>
      <c r="J237" s="20">
        <f>(Geraetedaten!$B$152+(Geraetedaten!$B$153*(Geraetedaten!$B$18+d_y_Sw)/1000))*10</f>
        <v>6051.0442000000003</v>
      </c>
      <c r="K237" s="20">
        <f>(Geraetedaten!$B$165+(Geraetedaten!$B$166*(Geraetedaten!$B$18+d_y_Sw)/1000))*10</f>
        <v>10816.164000000001</v>
      </c>
      <c r="L237" s="20">
        <f>(Geraetedaten!$B$158+(Geraetedaten!$B$159*(Geraetedaten!$B$18+d_y_Sw)/1000)-(Geraetedaten!$B$160*I237/1000))*10</f>
        <v>544.32273177620129</v>
      </c>
      <c r="M237" s="20">
        <f>(Geraetedaten!$B$171+(Geraetedaten!$B$172*(Geraetedaten!$B$18+d_y_Sw)/1000)-(Geraetedaten!$B$173*I237/1000))*10</f>
        <v>1006.7870824958477</v>
      </c>
      <c r="N237" s="20">
        <f>IF((H237-J237)/(K237-J237)*(Geraetedaten!$B$174-Geraetedaten!$B$161)&lt;Geraetedaten!$B$174,(H237-J237)/(K237-J237)*(Geraetedaten!$B$174-Geraetedaten!$B$161),Geraetedaten!$B$174)</f>
        <v>220.57519641310273</v>
      </c>
      <c r="O237" s="20">
        <f>N237/Geraetedaten!$B$174*(M237-L237)+L237+C237</f>
        <v>845.64612471889916</v>
      </c>
      <c r="P237" s="20">
        <f t="shared" si="212"/>
        <v>246.42026293243507</v>
      </c>
      <c r="Q237" s="21">
        <f>(N237-Geraetedaten!$B$161)/(Geraetedaten!$B$174-Geraetedaten!$B$161)*(Geraetedaten!$B$175-Geraetedaten!$B$162)+Geraetedaten!$B$162</f>
        <v>35.762112093289808</v>
      </c>
      <c r="R237" s="21">
        <f t="shared" si="213"/>
        <v>35.762112093289808</v>
      </c>
      <c r="S237" s="21">
        <f t="shared" si="214"/>
        <v>-9.8573740158255259</v>
      </c>
      <c r="T237" s="88">
        <f t="shared" si="215"/>
        <v>-34.376748521132022</v>
      </c>
      <c r="U237" s="86">
        <f t="shared" si="216"/>
        <v>10204.36325</v>
      </c>
      <c r="V237" s="85">
        <f t="shared" si="217"/>
        <v>-1141.3067828769733</v>
      </c>
      <c r="W237" s="85">
        <f t="shared" si="218"/>
        <v>4115.5751823372357</v>
      </c>
      <c r="X237" s="90">
        <f t="shared" si="219"/>
        <v>1141.3067828769733</v>
      </c>
      <c r="Y237" s="86">
        <f t="shared" si="220"/>
        <v>8725.0152699999999</v>
      </c>
      <c r="Z237" s="85">
        <f t="shared" si="221"/>
        <v>-750</v>
      </c>
      <c r="AA237" s="85">
        <f t="shared" si="222"/>
        <v>780.2245768962016</v>
      </c>
      <c r="AB237" s="90">
        <f t="shared" si="223"/>
        <v>750</v>
      </c>
      <c r="AC237" s="86">
        <f t="shared" si="224"/>
        <v>-9872.0195299999996</v>
      </c>
      <c r="AD237" s="85">
        <f t="shared" si="225"/>
        <v>1055.7627565116984</v>
      </c>
      <c r="AE237" s="85">
        <f t="shared" si="226"/>
        <v>-3843.905118489406</v>
      </c>
      <c r="AF237" s="90">
        <f t="shared" si="227"/>
        <v>1055.7627565116984</v>
      </c>
      <c r="AG237" s="86">
        <f t="shared" si="228"/>
        <v>-9262.6443899999995</v>
      </c>
      <c r="AH237" s="85">
        <f t="shared" si="229"/>
        <v>6128</v>
      </c>
      <c r="AI237" s="85">
        <f t="shared" si="230"/>
        <v>-6374.9549429598974</v>
      </c>
      <c r="AJ237" s="90">
        <f t="shared" si="231"/>
        <v>6128</v>
      </c>
      <c r="AL237" s="95">
        <f t="shared" si="232"/>
        <v>0</v>
      </c>
      <c r="AM237" s="95">
        <f t="shared" si="233"/>
        <v>0</v>
      </c>
      <c r="AN237" s="95">
        <f t="shared" si="234"/>
        <v>0</v>
      </c>
      <c r="AO237" s="95">
        <f t="shared" si="235"/>
        <v>0</v>
      </c>
      <c r="AP237"/>
      <c r="AQ237" s="95">
        <f t="shared" si="236"/>
        <v>0</v>
      </c>
      <c r="AR237" s="95">
        <f t="shared" si="237"/>
        <v>0</v>
      </c>
      <c r="AS237" s="95">
        <f>Geraetedaten!$B$94*ABS(SIN(RADIANS($A237)))</f>
        <v>42.448152795817848</v>
      </c>
      <c r="AT237" s="95">
        <f>Geraetedaten!$B$94*ABS(COS(RADIANS($A237)))</f>
        <v>148.03430117450111</v>
      </c>
      <c r="AU237" s="95">
        <f>((h_Aw_Sw+Geraetedaten!$B$18)/1000)*(AQ237*AS237+AR237*AT237)/100</f>
        <v>0</v>
      </c>
    </row>
    <row r="238" spans="1:47" ht="13.5" x14ac:dyDescent="0.25">
      <c r="A238" s="16">
        <v>197</v>
      </c>
      <c r="B238" s="16">
        <f t="shared" si="204"/>
        <v>253</v>
      </c>
      <c r="C238" s="19">
        <f t="shared" si="205"/>
        <v>47.217971846955017</v>
      </c>
      <c r="D238" s="17">
        <f t="shared" si="206"/>
        <v>9576.6969381530453</v>
      </c>
      <c r="E238" s="17">
        <f t="shared" si="207"/>
        <v>8723.0228181530456</v>
      </c>
      <c r="F238" s="17">
        <f t="shared" si="208"/>
        <v>-9352.1389818469543</v>
      </c>
      <c r="G238" s="17">
        <f t="shared" si="209"/>
        <v>-9357.8746418469545</v>
      </c>
      <c r="H238" s="17">
        <f t="shared" si="210"/>
        <v>8723.0228181530456</v>
      </c>
      <c r="I238" s="17">
        <f t="shared" si="211"/>
        <v>784.26881736536097</v>
      </c>
      <c r="J238" s="20">
        <f>(Geraetedaten!$B$152+(Geraetedaten!$B$153*(Geraetedaten!$B$18+d_y_Sw)/1000))*10</f>
        <v>6051.0442000000003</v>
      </c>
      <c r="K238" s="20">
        <f>(Geraetedaten!$B$165+(Geraetedaten!$B$166*(Geraetedaten!$B$18+d_y_Sw)/1000))*10</f>
        <v>10816.164000000001</v>
      </c>
      <c r="L238" s="20">
        <f>(Geraetedaten!$B$158+(Geraetedaten!$B$159*(Geraetedaten!$B$18+d_y_Sw)/1000)-(Geraetedaten!$B$160*I238/1000))*10</f>
        <v>544.02616762259777</v>
      </c>
      <c r="M238" s="20">
        <f>(Geraetedaten!$B$171+(Geraetedaten!$B$172*(Geraetedaten!$B$18+d_y_Sw)/1000)-(Geraetedaten!$B$173*I238/1000))*10</f>
        <v>1006.4860292353235</v>
      </c>
      <c r="N238" s="20">
        <f>IF((H238-J238)/(K238-J238)*(Geraetedaten!$B$174-Geraetedaten!$B$161)&lt;Geraetedaten!$B$174,(H238-J238)/(K238-J238)*(Geraetedaten!$B$174-Geraetedaten!$B$161),Geraetedaten!$B$174)</f>
        <v>224.29476951685831</v>
      </c>
      <c r="O238" s="20">
        <f>N238/Geraetedaten!$B$174*(M238-L238)+L238+C238</f>
        <v>850.56245964761399</v>
      </c>
      <c r="P238" s="20">
        <f t="shared" si="212"/>
        <v>247.09979970723532</v>
      </c>
      <c r="Q238" s="21">
        <f>(N238-Geraetedaten!$B$161)/(Geraetedaten!$B$174-Geraetedaten!$B$161)*(Geraetedaten!$B$175-Geraetedaten!$B$162)+Geraetedaten!$B$162</f>
        <v>35.872769393126532</v>
      </c>
      <c r="R238" s="21">
        <f t="shared" si="213"/>
        <v>35.872769393126532</v>
      </c>
      <c r="S238" s="21">
        <f t="shared" si="214"/>
        <v>-10.48818274059402</v>
      </c>
      <c r="T238" s="88">
        <f t="shared" si="215"/>
        <v>-34.305299980212112</v>
      </c>
      <c r="U238" s="86">
        <f t="shared" si="216"/>
        <v>9623.9149099999995</v>
      </c>
      <c r="V238" s="85">
        <f t="shared" si="217"/>
        <v>-1141.3067828769733</v>
      </c>
      <c r="W238" s="85">
        <f t="shared" si="218"/>
        <v>3881.4715230972456</v>
      </c>
      <c r="X238" s="90">
        <f t="shared" si="219"/>
        <v>1141.3067828769733</v>
      </c>
      <c r="Y238" s="86">
        <f t="shared" si="220"/>
        <v>8770.2407899999998</v>
      </c>
      <c r="Z238" s="85">
        <f t="shared" si="221"/>
        <v>-750</v>
      </c>
      <c r="AA238" s="85">
        <f t="shared" si="222"/>
        <v>784.26881736536097</v>
      </c>
      <c r="AB238" s="90">
        <f t="shared" si="223"/>
        <v>750</v>
      </c>
      <c r="AC238" s="86">
        <f t="shared" si="224"/>
        <v>-9304.92101</v>
      </c>
      <c r="AD238" s="85">
        <f t="shared" si="225"/>
        <v>1055.7627565116984</v>
      </c>
      <c r="AE238" s="85">
        <f t="shared" si="226"/>
        <v>-3623.0918499294135</v>
      </c>
      <c r="AF238" s="90">
        <f t="shared" si="227"/>
        <v>1055.7627565116984</v>
      </c>
      <c r="AG238" s="86">
        <f t="shared" si="228"/>
        <v>-9310.6566700000003</v>
      </c>
      <c r="AH238" s="85">
        <f t="shared" si="229"/>
        <v>6128</v>
      </c>
      <c r="AI238" s="85">
        <f t="shared" si="230"/>
        <v>-6407.9990837532423</v>
      </c>
      <c r="AJ238" s="90">
        <f t="shared" si="231"/>
        <v>6128</v>
      </c>
      <c r="AL238" s="95">
        <f t="shared" si="232"/>
        <v>0</v>
      </c>
      <c r="AM238" s="95">
        <f t="shared" si="233"/>
        <v>0</v>
      </c>
      <c r="AN238" s="95">
        <f t="shared" si="234"/>
        <v>0</v>
      </c>
      <c r="AO238" s="95">
        <f t="shared" si="235"/>
        <v>0</v>
      </c>
      <c r="AP238"/>
      <c r="AQ238" s="95">
        <f t="shared" si="236"/>
        <v>0</v>
      </c>
      <c r="AR238" s="95">
        <f t="shared" si="237"/>
        <v>0</v>
      </c>
      <c r="AS238" s="95">
        <f>Geraetedaten!$B$94*ABS(SIN(RADIANS($A238)))</f>
        <v>45.025242527301465</v>
      </c>
      <c r="AT238" s="95">
        <f>Geraetedaten!$B$94*ABS(COS(RADIANS($A238)))</f>
        <v>147.27093241830747</v>
      </c>
      <c r="AU238" s="95">
        <f>((h_Aw_Sw+Geraetedaten!$B$18)/1000)*(AQ238*AS238+AR238*AT238)/100</f>
        <v>0</v>
      </c>
    </row>
    <row r="239" spans="1:47" ht="13.5" x14ac:dyDescent="0.25">
      <c r="A239" s="16">
        <v>198</v>
      </c>
      <c r="B239" s="16">
        <f t="shared" si="204"/>
        <v>252</v>
      </c>
      <c r="C239" s="19">
        <f t="shared" si="205"/>
        <v>48.118580184686948</v>
      </c>
      <c r="D239" s="17">
        <f t="shared" si="206"/>
        <v>9060.4537298153118</v>
      </c>
      <c r="E239" s="17">
        <f t="shared" si="207"/>
        <v>8770.5192498153119</v>
      </c>
      <c r="F239" s="17">
        <f t="shared" si="208"/>
        <v>-8850.0911201846884</v>
      </c>
      <c r="G239" s="17">
        <f t="shared" si="209"/>
        <v>-9410.1544901846883</v>
      </c>
      <c r="H239" s="17">
        <f t="shared" si="210"/>
        <v>8770.5192498153119</v>
      </c>
      <c r="I239" s="17">
        <f t="shared" si="211"/>
        <v>788.59666817870038</v>
      </c>
      <c r="J239" s="20">
        <f>(Geraetedaten!$B$152+(Geraetedaten!$B$153*(Geraetedaten!$B$18+d_y_Sw)/1000))*10</f>
        <v>6051.0442000000003</v>
      </c>
      <c r="K239" s="20">
        <f>(Geraetedaten!$B$165+(Geraetedaten!$B$166*(Geraetedaten!$B$18+d_y_Sw)/1000))*10</f>
        <v>10816.164000000001</v>
      </c>
      <c r="L239" s="20">
        <f>(Geraetedaten!$B$158+(Geraetedaten!$B$159*(Geraetedaten!$B$18+d_y_Sw)/1000)-(Geraetedaten!$B$160*I239/1000))*10</f>
        <v>543.70880632245564</v>
      </c>
      <c r="M239" s="20">
        <f>(Geraetedaten!$B$171+(Geraetedaten!$B$172*(Geraetedaten!$B$18+d_y_Sw)/1000)-(Geraetedaten!$B$173*I239/1000))*10</f>
        <v>1006.1638640207785</v>
      </c>
      <c r="N239" s="20">
        <f>IF((H239-J239)/(K239-J239)*(Geraetedaten!$B$174-Geraetedaten!$B$161)&lt;Geraetedaten!$B$174,(H239-J239)/(K239-J239)*(Geraetedaten!$B$174-Geraetedaten!$B$161),Geraetedaten!$B$174)</f>
        <v>228.28177791587203</v>
      </c>
      <c r="O239" s="20">
        <f>N239/Geraetedaten!$B$174*(M239-L239)+L239+C239</f>
        <v>855.75254345104338</v>
      </c>
      <c r="P239" s="20">
        <f t="shared" si="212"/>
        <v>247.80048549651039</v>
      </c>
      <c r="Q239" s="21">
        <f>(N239-Geraetedaten!$B$161)/(Geraetedaten!$B$174-Geraetedaten!$B$161)*(Geraetedaten!$B$175-Geraetedaten!$B$162)+Geraetedaten!$B$162</f>
        <v>35.991382892997194</v>
      </c>
      <c r="R239" s="21">
        <f t="shared" si="213"/>
        <v>35.991382892997194</v>
      </c>
      <c r="S239" s="21">
        <f t="shared" si="214"/>
        <v>-11.121948964991887</v>
      </c>
      <c r="T239" s="88">
        <f t="shared" si="215"/>
        <v>-34.2298392308589</v>
      </c>
      <c r="U239" s="86">
        <f t="shared" si="216"/>
        <v>9108.5723099999996</v>
      </c>
      <c r="V239" s="85">
        <f t="shared" si="217"/>
        <v>-1141.3067828769733</v>
      </c>
      <c r="W239" s="85">
        <f t="shared" si="218"/>
        <v>3673.6260015606676</v>
      </c>
      <c r="X239" s="90">
        <f t="shared" si="219"/>
        <v>1141.3067828769733</v>
      </c>
      <c r="Y239" s="86">
        <f t="shared" si="220"/>
        <v>8818.6378299999997</v>
      </c>
      <c r="Z239" s="85">
        <f t="shared" si="221"/>
        <v>-750</v>
      </c>
      <c r="AA239" s="85">
        <f t="shared" si="222"/>
        <v>788.59666817870038</v>
      </c>
      <c r="AB239" s="90">
        <f t="shared" si="223"/>
        <v>750</v>
      </c>
      <c r="AC239" s="86">
        <f t="shared" si="224"/>
        <v>-8801.9725400000007</v>
      </c>
      <c r="AD239" s="85">
        <f t="shared" si="225"/>
        <v>1055.7627565116984</v>
      </c>
      <c r="AE239" s="85">
        <f t="shared" si="226"/>
        <v>-3427.2569274347884</v>
      </c>
      <c r="AF239" s="90">
        <f t="shared" si="227"/>
        <v>1055.7627565116984</v>
      </c>
      <c r="AG239" s="86">
        <f t="shared" si="228"/>
        <v>-9362.0359100000005</v>
      </c>
      <c r="AH239" s="85">
        <f t="shared" si="229"/>
        <v>6128</v>
      </c>
      <c r="AI239" s="85">
        <f t="shared" si="230"/>
        <v>-6443.3605101321009</v>
      </c>
      <c r="AJ239" s="90">
        <f t="shared" si="231"/>
        <v>6128</v>
      </c>
      <c r="AL239" s="95">
        <f t="shared" si="232"/>
        <v>0</v>
      </c>
      <c r="AM239" s="95">
        <f t="shared" si="233"/>
        <v>0</v>
      </c>
      <c r="AN239" s="95">
        <f t="shared" si="234"/>
        <v>0</v>
      </c>
      <c r="AO239" s="95">
        <f t="shared" si="235"/>
        <v>0</v>
      </c>
      <c r="AP239"/>
      <c r="AQ239" s="95">
        <f t="shared" si="236"/>
        <v>0</v>
      </c>
      <c r="AR239" s="95">
        <f t="shared" si="237"/>
        <v>0</v>
      </c>
      <c r="AS239" s="95">
        <f>Geraetedaten!$B$94*ABS(SIN(RADIANS($A239)))</f>
        <v>47.588617133741884</v>
      </c>
      <c r="AT239" s="95">
        <f>Geraetedaten!$B$94*ABS(COS(RADIANS($A239)))</f>
        <v>146.46270350945366</v>
      </c>
      <c r="AU239" s="95">
        <f>((h_Aw_Sw+Geraetedaten!$B$18)/1000)*(AQ239*AS239+AR239*AT239)/100</f>
        <v>0</v>
      </c>
    </row>
    <row r="240" spans="1:47" ht="13.5" x14ac:dyDescent="0.25">
      <c r="A240" s="16">
        <v>199</v>
      </c>
      <c r="B240" s="16">
        <f t="shared" si="204"/>
        <v>251</v>
      </c>
      <c r="C240" s="19">
        <f t="shared" si="205"/>
        <v>49.004531136759482</v>
      </c>
      <c r="D240" s="17">
        <f t="shared" si="206"/>
        <v>8599.111668863241</v>
      </c>
      <c r="E240" s="17">
        <f t="shared" si="207"/>
        <v>8821.2844188632407</v>
      </c>
      <c r="F240" s="17">
        <f t="shared" si="208"/>
        <v>-8402.0250311367599</v>
      </c>
      <c r="G240" s="17">
        <f t="shared" si="209"/>
        <v>-9465.8742611367597</v>
      </c>
      <c r="H240" s="17">
        <f t="shared" si="210"/>
        <v>8599.111668863241</v>
      </c>
      <c r="I240" s="17">
        <f t="shared" si="211"/>
        <v>3487.9170380253345</v>
      </c>
      <c r="J240" s="20">
        <f>(Geraetedaten!$B$152+(Geraetedaten!$B$153*(Geraetedaten!$B$18+d_y_Sw)/1000))*10</f>
        <v>6051.0442000000003</v>
      </c>
      <c r="K240" s="20">
        <f>(Geraetedaten!$B$165+(Geraetedaten!$B$166*(Geraetedaten!$B$18+d_y_Sw)/1000))*10</f>
        <v>10816.164000000001</v>
      </c>
      <c r="L240" s="20">
        <f>(Geraetedaten!$B$158+(Geraetedaten!$B$159*(Geraetedaten!$B$18+d_y_Sw)/1000)-(Geraetedaten!$B$160*I240/1000))*10</f>
        <v>345.767643601602</v>
      </c>
      <c r="M240" s="20">
        <f>(Geraetedaten!$B$171+(Geraetedaten!$B$172*(Geraetedaten!$B$18+d_y_Sw)/1000)-(Geraetedaten!$B$173*I240/1000))*10</f>
        <v>805.22645568939492</v>
      </c>
      <c r="N240" s="20">
        <f>IF((H240-J240)/(K240-J240)*(Geraetedaten!$B$174-Geraetedaten!$B$161)&lt;Geraetedaten!$B$174,(H240-J240)/(K240-J240)*(Geraetedaten!$B$174-Geraetedaten!$B$161),Geraetedaten!$B$174)</f>
        <v>213.89325564181959</v>
      </c>
      <c r="O240" s="20">
        <f>N240/Geraetedaten!$B$174*(M240-L240)+L240+C240</f>
        <v>640.46002761531406</v>
      </c>
      <c r="P240" s="20">
        <f t="shared" si="212"/>
        <v>203.54050246300196</v>
      </c>
      <c r="Q240" s="21">
        <f>(N240-Geraetedaten!$B$161)/(Geraetedaten!$B$174-Geraetedaten!$B$161)*(Geraetedaten!$B$175-Geraetedaten!$B$162)+Geraetedaten!$B$162</f>
        <v>35.563324355344136</v>
      </c>
      <c r="R240" s="21">
        <f t="shared" si="213"/>
        <v>35.563324355344136</v>
      </c>
      <c r="S240" s="21">
        <f t="shared" si="214"/>
        <v>-11.578285876730645</v>
      </c>
      <c r="T240" s="88">
        <f t="shared" si="215"/>
        <v>-33.625783788041474</v>
      </c>
      <c r="U240" s="86">
        <f t="shared" si="216"/>
        <v>8648.1162000000004</v>
      </c>
      <c r="V240" s="85">
        <f t="shared" si="217"/>
        <v>-1141.3067828769733</v>
      </c>
      <c r="W240" s="85">
        <f t="shared" si="218"/>
        <v>3487.9170380253345</v>
      </c>
      <c r="X240" s="90">
        <f t="shared" si="219"/>
        <v>1141.3067828769733</v>
      </c>
      <c r="Y240" s="86">
        <f t="shared" si="220"/>
        <v>8870.2889500000001</v>
      </c>
      <c r="Z240" s="85">
        <f t="shared" si="221"/>
        <v>-750</v>
      </c>
      <c r="AA240" s="85">
        <f t="shared" si="222"/>
        <v>793.21551089000297</v>
      </c>
      <c r="AB240" s="90">
        <f t="shared" si="223"/>
        <v>750</v>
      </c>
      <c r="AC240" s="86">
        <f t="shared" si="224"/>
        <v>-8353.0205000000005</v>
      </c>
      <c r="AD240" s="85">
        <f t="shared" si="225"/>
        <v>1055.7627565116984</v>
      </c>
      <c r="AE240" s="85">
        <f t="shared" si="226"/>
        <v>-3252.44679350458</v>
      </c>
      <c r="AF240" s="90">
        <f t="shared" si="227"/>
        <v>1055.7627565116984</v>
      </c>
      <c r="AG240" s="86">
        <f t="shared" si="228"/>
        <v>-9416.8697300000003</v>
      </c>
      <c r="AH240" s="85">
        <f t="shared" si="229"/>
        <v>6128</v>
      </c>
      <c r="AI240" s="85">
        <f t="shared" si="230"/>
        <v>-6481.0995343119175</v>
      </c>
      <c r="AJ240" s="90">
        <f t="shared" si="231"/>
        <v>6128</v>
      </c>
      <c r="AL240" s="95">
        <f t="shared" si="232"/>
        <v>0</v>
      </c>
      <c r="AM240" s="95">
        <f t="shared" si="233"/>
        <v>0</v>
      </c>
      <c r="AN240" s="95">
        <f t="shared" si="234"/>
        <v>0</v>
      </c>
      <c r="AO240" s="95">
        <f t="shared" si="235"/>
        <v>0</v>
      </c>
      <c r="AP240"/>
      <c r="AQ240" s="95">
        <f t="shared" si="236"/>
        <v>0</v>
      </c>
      <c r="AR240" s="95">
        <f t="shared" si="237"/>
        <v>0</v>
      </c>
      <c r="AS240" s="95">
        <f>Geraetedaten!$B$94*ABS(SIN(RADIANS($A240)))</f>
        <v>50.137495786402141</v>
      </c>
      <c r="AT240" s="95">
        <f>Geraetedaten!$B$94*ABS(COS(RADIANS($A240)))</f>
        <v>145.60986064229479</v>
      </c>
      <c r="AU240" s="95">
        <f>((h_Aw_Sw+Geraetedaten!$B$18)/1000)*(AQ240*AS240+AR240*AT240)/100</f>
        <v>0</v>
      </c>
    </row>
    <row r="241" spans="1:47" ht="13.5" x14ac:dyDescent="0.25">
      <c r="A241" s="16">
        <v>200</v>
      </c>
      <c r="B241" s="16">
        <f t="shared" si="204"/>
        <v>250</v>
      </c>
      <c r="C241" s="19">
        <f t="shared" si="205"/>
        <v>49.875554833930195</v>
      </c>
      <c r="D241" s="17">
        <f t="shared" si="206"/>
        <v>8184.4858751660704</v>
      </c>
      <c r="E241" s="17">
        <f t="shared" si="207"/>
        <v>8875.4078751660691</v>
      </c>
      <c r="F241" s="17">
        <f t="shared" si="208"/>
        <v>-7999.8238548339305</v>
      </c>
      <c r="G241" s="17">
        <f t="shared" si="209"/>
        <v>-9525.128484833931</v>
      </c>
      <c r="H241" s="17">
        <f t="shared" si="210"/>
        <v>8184.4858751660704</v>
      </c>
      <c r="I241" s="17">
        <f t="shared" si="211"/>
        <v>3321.0434333848802</v>
      </c>
      <c r="J241" s="20">
        <f>(Geraetedaten!$B$152+(Geraetedaten!$B$153*(Geraetedaten!$B$18+d_y_Sw)/1000))*10</f>
        <v>6051.0442000000003</v>
      </c>
      <c r="K241" s="20">
        <f>(Geraetedaten!$B$165+(Geraetedaten!$B$166*(Geraetedaten!$B$18+d_y_Sw)/1000))*10</f>
        <v>10816.164000000001</v>
      </c>
      <c r="L241" s="20">
        <f>(Geraetedaten!$B$158+(Geraetedaten!$B$159*(Geraetedaten!$B$18+d_y_Sw)/1000)-(Geraetedaten!$B$160*I241/1000))*10</f>
        <v>358.0044850298865</v>
      </c>
      <c r="M241" s="20">
        <f>(Geraetedaten!$B$171+(Geraetedaten!$B$172*(Geraetedaten!$B$18+d_y_Sw)/1000)-(Geraetedaten!$B$173*I241/1000))*10</f>
        <v>817.64852681883042</v>
      </c>
      <c r="N241" s="20">
        <f>IF((H241-J241)/(K241-J241)*(Geraetedaten!$B$174-Geraetedaten!$B$161)&lt;Geraetedaten!$B$174,(H241-J241)/(K241-J241)*(Geraetedaten!$B$174-Geraetedaten!$B$161),Geraetedaten!$B$174)</f>
        <v>179.08818789118962</v>
      </c>
      <c r="O241" s="20">
        <f>N241/Geraetedaten!$B$174*(M241-L241)+L241+C241</f>
        <v>613.67208616122718</v>
      </c>
      <c r="P241" s="20">
        <f t="shared" si="212"/>
        <v>200.45537434813312</v>
      </c>
      <c r="Q241" s="21">
        <f>(N241-Geraetedaten!$B$161)/(Geraetedaten!$B$174-Geraetedaten!$B$161)*(Geraetedaten!$B$175-Geraetedaten!$B$162)+Geraetedaten!$B$162</f>
        <v>34.527873589762891</v>
      </c>
      <c r="R241" s="21">
        <f t="shared" si="213"/>
        <v>34.527873589762891</v>
      </c>
      <c r="S241" s="21">
        <f t="shared" si="214"/>
        <v>-11.809228273901274</v>
      </c>
      <c r="T241" s="88">
        <f t="shared" si="215"/>
        <v>-32.445588023728845</v>
      </c>
      <c r="U241" s="86">
        <f t="shared" si="216"/>
        <v>8234.3614300000008</v>
      </c>
      <c r="V241" s="85">
        <f t="shared" si="217"/>
        <v>-1141.3067828769733</v>
      </c>
      <c r="W241" s="85">
        <f t="shared" si="218"/>
        <v>3321.0434333848802</v>
      </c>
      <c r="X241" s="90">
        <f t="shared" si="219"/>
        <v>1141.3067828769733</v>
      </c>
      <c r="Y241" s="86">
        <f t="shared" si="220"/>
        <v>8925.2834299999995</v>
      </c>
      <c r="Z241" s="85">
        <f t="shared" si="221"/>
        <v>-750</v>
      </c>
      <c r="AA241" s="85">
        <f t="shared" si="222"/>
        <v>798.13332935693404</v>
      </c>
      <c r="AB241" s="90">
        <f t="shared" si="223"/>
        <v>750</v>
      </c>
      <c r="AC241" s="86">
        <f t="shared" si="224"/>
        <v>-7949.9483</v>
      </c>
      <c r="AD241" s="85">
        <f t="shared" si="225"/>
        <v>1055.7627565116984</v>
      </c>
      <c r="AE241" s="85">
        <f t="shared" si="226"/>
        <v>-3095.5010670172946</v>
      </c>
      <c r="AF241" s="90">
        <f t="shared" si="227"/>
        <v>1055.7627565116984</v>
      </c>
      <c r="AG241" s="86">
        <f t="shared" si="228"/>
        <v>-9475.2529300000006</v>
      </c>
      <c r="AH241" s="85">
        <f t="shared" si="229"/>
        <v>6128</v>
      </c>
      <c r="AI241" s="85">
        <f t="shared" si="230"/>
        <v>-6521.2813897323895</v>
      </c>
      <c r="AJ241" s="90">
        <f t="shared" si="231"/>
        <v>6128</v>
      </c>
      <c r="AL241" s="95">
        <f t="shared" si="232"/>
        <v>0</v>
      </c>
      <c r="AM241" s="95">
        <f t="shared" si="233"/>
        <v>0</v>
      </c>
      <c r="AN241" s="95">
        <f t="shared" si="234"/>
        <v>0</v>
      </c>
      <c r="AO241" s="95">
        <f t="shared" si="235"/>
        <v>0</v>
      </c>
      <c r="AP241"/>
      <c r="AQ241" s="95">
        <f t="shared" si="236"/>
        <v>0</v>
      </c>
      <c r="AR241" s="95">
        <f t="shared" si="237"/>
        <v>0</v>
      </c>
      <c r="AS241" s="95">
        <f>Geraetedaten!$B$94*ABS(SIN(RADIANS($A241)))</f>
        <v>52.671102072152976</v>
      </c>
      <c r="AT241" s="95">
        <f>Geraetedaten!$B$94*ABS(COS(RADIANS($A241)))</f>
        <v>144.7126636010299</v>
      </c>
      <c r="AU241" s="95">
        <f>((h_Aw_Sw+Geraetedaten!$B$18)/1000)*(AQ241*AS241+AR241*AT241)/100</f>
        <v>0</v>
      </c>
    </row>
    <row r="242" spans="1:47" ht="13.5" x14ac:dyDescent="0.25">
      <c r="A242" s="16">
        <v>201</v>
      </c>
      <c r="B242" s="16">
        <f t="shared" si="204"/>
        <v>249</v>
      </c>
      <c r="C242" s="19">
        <f t="shared" si="205"/>
        <v>50.731385953943175</v>
      </c>
      <c r="D242" s="17">
        <f t="shared" si="206"/>
        <v>7809.9435340460568</v>
      </c>
      <c r="E242" s="17">
        <f t="shared" si="207"/>
        <v>8932.9862840460573</v>
      </c>
      <c r="F242" s="17">
        <f t="shared" si="208"/>
        <v>-7636.9214659539439</v>
      </c>
      <c r="G242" s="17">
        <f t="shared" si="209"/>
        <v>-9588.0192359539433</v>
      </c>
      <c r="H242" s="17">
        <f t="shared" si="210"/>
        <v>7809.9435340460568</v>
      </c>
      <c r="I242" s="17">
        <f t="shared" si="211"/>
        <v>3170.3299684678977</v>
      </c>
      <c r="J242" s="20">
        <f>(Geraetedaten!$B$152+(Geraetedaten!$B$153*(Geraetedaten!$B$18+d_y_Sw)/1000))*10</f>
        <v>6051.0442000000003</v>
      </c>
      <c r="K242" s="20">
        <f>(Geraetedaten!$B$165+(Geraetedaten!$B$166*(Geraetedaten!$B$18+d_y_Sw)/1000))*10</f>
        <v>10816.164000000001</v>
      </c>
      <c r="L242" s="20">
        <f>(Geraetedaten!$B$158+(Geraetedaten!$B$159*(Geraetedaten!$B$18+d_y_Sw)/1000)-(Geraetedaten!$B$160*I242/1000))*10</f>
        <v>369.05630341224884</v>
      </c>
      <c r="M242" s="20">
        <f>(Geraetedaten!$B$171+(Geraetedaten!$B$172*(Geraetedaten!$B$18+d_y_Sw)/1000)-(Geraetedaten!$B$173*I242/1000))*10</f>
        <v>828.86763714725066</v>
      </c>
      <c r="N242" s="20">
        <f>IF((H242-J242)/(K242-J242)*(Geraetedaten!$B$174-Geraetedaten!$B$161)&lt;Geraetedaten!$B$174,(H242-J242)/(K242-J242)*(Geraetedaten!$B$174-Geraetedaten!$B$161),Geraetedaten!$B$174)</f>
        <v>147.64785842706883</v>
      </c>
      <c r="O242" s="20">
        <f>N242/Geraetedaten!$B$174*(M242-L242)+L242+C242</f>
        <v>589.51308613236006</v>
      </c>
      <c r="P242" s="20">
        <f t="shared" si="212"/>
        <v>197.53038664399401</v>
      </c>
      <c r="Q242" s="21">
        <f>(N242-Geraetedaten!$B$161)/(Geraetedaten!$B$174-Geraetedaten!$B$161)*(Geraetedaten!$B$175-Geraetedaten!$B$162)+Geraetedaten!$B$162</f>
        <v>33.592523788205298</v>
      </c>
      <c r="R242" s="21">
        <f t="shared" si="213"/>
        <v>33.592523788205298</v>
      </c>
      <c r="S242" s="21">
        <f t="shared" si="214"/>
        <v>-12.038483870030861</v>
      </c>
      <c r="T242" s="88">
        <f t="shared" si="215"/>
        <v>-31.361322685310096</v>
      </c>
      <c r="U242" s="86">
        <f t="shared" si="216"/>
        <v>7860.6749200000004</v>
      </c>
      <c r="V242" s="85">
        <f t="shared" si="217"/>
        <v>-1141.3067828769733</v>
      </c>
      <c r="W242" s="85">
        <f t="shared" si="218"/>
        <v>3170.3299684678977</v>
      </c>
      <c r="X242" s="90">
        <f t="shared" si="219"/>
        <v>1141.3067828769733</v>
      </c>
      <c r="Y242" s="86">
        <f t="shared" si="220"/>
        <v>8983.71767</v>
      </c>
      <c r="Z242" s="85">
        <f t="shared" si="221"/>
        <v>-750</v>
      </c>
      <c r="AA242" s="85">
        <f t="shared" si="222"/>
        <v>803.35874522777181</v>
      </c>
      <c r="AB242" s="90">
        <f t="shared" si="223"/>
        <v>750</v>
      </c>
      <c r="AC242" s="86">
        <f t="shared" si="224"/>
        <v>-7586.1900800000003</v>
      </c>
      <c r="AD242" s="85">
        <f t="shared" si="225"/>
        <v>1055.7627565116984</v>
      </c>
      <c r="AE242" s="85">
        <f t="shared" si="226"/>
        <v>-2953.863168310168</v>
      </c>
      <c r="AF242" s="90">
        <f t="shared" si="227"/>
        <v>1055.7627565116984</v>
      </c>
      <c r="AG242" s="86">
        <f t="shared" si="228"/>
        <v>-9537.2878500000006</v>
      </c>
      <c r="AH242" s="85">
        <f t="shared" si="229"/>
        <v>6128</v>
      </c>
      <c r="AI242" s="85">
        <f t="shared" si="230"/>
        <v>-6563.9765210077139</v>
      </c>
      <c r="AJ242" s="90">
        <f t="shared" si="231"/>
        <v>6128</v>
      </c>
      <c r="AL242" s="95">
        <f t="shared" si="232"/>
        <v>0</v>
      </c>
      <c r="AM242" s="95">
        <f t="shared" si="233"/>
        <v>0</v>
      </c>
      <c r="AN242" s="95">
        <f t="shared" si="234"/>
        <v>0</v>
      </c>
      <c r="AO242" s="95">
        <f t="shared" si="235"/>
        <v>0</v>
      </c>
      <c r="AP242"/>
      <c r="AQ242" s="95">
        <f t="shared" si="236"/>
        <v>0</v>
      </c>
      <c r="AR242" s="95">
        <f t="shared" si="237"/>
        <v>0</v>
      </c>
      <c r="AS242" s="95">
        <f>Geraetedaten!$B$94*ABS(SIN(RADIANS($A242)))</f>
        <v>55.188664229976268</v>
      </c>
      <c r="AT242" s="95">
        <f>Geraetedaten!$B$94*ABS(COS(RADIANS($A242)))</f>
        <v>143.77138568056907</v>
      </c>
      <c r="AU242" s="95">
        <f>((h_Aw_Sw+Geraetedaten!$B$18)/1000)*(AQ242*AS242+AR242*AT242)/100</f>
        <v>0</v>
      </c>
    </row>
    <row r="243" spans="1:47" ht="13.5" x14ac:dyDescent="0.25">
      <c r="A243" s="16">
        <v>202</v>
      </c>
      <c r="B243" s="16">
        <f t="shared" si="204"/>
        <v>248</v>
      </c>
      <c r="C243" s="19">
        <f t="shared" si="205"/>
        <v>51.57176380234857</v>
      </c>
      <c r="D243" s="17">
        <f t="shared" si="206"/>
        <v>7470.0527661976512</v>
      </c>
      <c r="E243" s="17">
        <f t="shared" si="207"/>
        <v>8994.1239061976503</v>
      </c>
      <c r="F243" s="17">
        <f t="shared" si="208"/>
        <v>-7307.9490538023492</v>
      </c>
      <c r="G243" s="17">
        <f t="shared" si="209"/>
        <v>-9654.6566438023492</v>
      </c>
      <c r="H243" s="17">
        <f t="shared" si="210"/>
        <v>7470.0527661976512</v>
      </c>
      <c r="I243" s="17">
        <f t="shared" si="211"/>
        <v>3033.5857820907909</v>
      </c>
      <c r="J243" s="20">
        <f>(Geraetedaten!$B$152+(Geraetedaten!$B$153*(Geraetedaten!$B$18+d_y_Sw)/1000))*10</f>
        <v>6051.0442000000003</v>
      </c>
      <c r="K243" s="20">
        <f>(Geraetedaten!$B$165+(Geraetedaten!$B$166*(Geraetedaten!$B$18+d_y_Sw)/1000))*10</f>
        <v>10816.164000000001</v>
      </c>
      <c r="L243" s="20">
        <f>(Geraetedaten!$B$158+(Geraetedaten!$B$159*(Geraetedaten!$B$18+d_y_Sw)/1000)-(Geraetedaten!$B$160*I243/1000))*10</f>
        <v>379.08375459928209</v>
      </c>
      <c r="M243" s="20">
        <f>(Geraetedaten!$B$171+(Geraetedaten!$B$172*(Geraetedaten!$B$18+d_y_Sw)/1000)-(Geraetedaten!$B$173*I243/1000))*10</f>
        <v>839.04687438116241</v>
      </c>
      <c r="N243" s="20">
        <f>IF((H243-J243)/(K243-J243)*(Geraetedaten!$B$174-Geraetedaten!$B$161)&lt;Geraetedaten!$B$174,(H243-J243)/(K243-J243)*(Geraetedaten!$B$174-Geraetedaten!$B$161),Geraetedaten!$B$174)</f>
        <v>119.11629723959098</v>
      </c>
      <c r="O243" s="20">
        <f>N243/Geraetedaten!$B$174*(M243-L243)+L243+C243</f>
        <v>567.6282776396007</v>
      </c>
      <c r="P243" s="20">
        <f t="shared" si="212"/>
        <v>194.7558671610002</v>
      </c>
      <c r="Q243" s="21">
        <f>(N243-Geraetedaten!$B$161)/(Geraetedaten!$B$174-Geraetedaten!$B$161)*(Geraetedaten!$B$175-Geraetedaten!$B$162)+Geraetedaten!$B$162</f>
        <v>32.743709842877834</v>
      </c>
      <c r="R243" s="21">
        <f t="shared" si="213"/>
        <v>32.743709842877834</v>
      </c>
      <c r="S243" s="21">
        <f t="shared" si="214"/>
        <v>-12.266009600039533</v>
      </c>
      <c r="T243" s="88">
        <f t="shared" si="215"/>
        <v>-30.359439104935927</v>
      </c>
      <c r="U243" s="86">
        <f t="shared" si="216"/>
        <v>7521.62453</v>
      </c>
      <c r="V243" s="85">
        <f t="shared" si="217"/>
        <v>-1141.3067828769733</v>
      </c>
      <c r="W243" s="85">
        <f t="shared" si="218"/>
        <v>3033.5857820907909</v>
      </c>
      <c r="X243" s="90">
        <f t="shared" si="219"/>
        <v>1141.3067828769733</v>
      </c>
      <c r="Y243" s="86">
        <f t="shared" si="220"/>
        <v>9045.6956699999992</v>
      </c>
      <c r="Z243" s="85">
        <f t="shared" si="221"/>
        <v>-750</v>
      </c>
      <c r="AA243" s="85">
        <f t="shared" si="222"/>
        <v>808.90105700818754</v>
      </c>
      <c r="AB243" s="90">
        <f t="shared" si="223"/>
        <v>750</v>
      </c>
      <c r="AC243" s="86">
        <f t="shared" si="224"/>
        <v>-7256.3772900000004</v>
      </c>
      <c r="AD243" s="85">
        <f t="shared" si="225"/>
        <v>1055.7627565116984</v>
      </c>
      <c r="AE243" s="85">
        <f t="shared" si="226"/>
        <v>-2825.4427293769122</v>
      </c>
      <c r="AF243" s="90">
        <f t="shared" si="227"/>
        <v>1055.7627565116984</v>
      </c>
      <c r="AG243" s="86">
        <f t="shared" si="228"/>
        <v>-9603.0848800000003</v>
      </c>
      <c r="AH243" s="85">
        <f t="shared" si="229"/>
        <v>6128</v>
      </c>
      <c r="AI243" s="85">
        <f t="shared" si="230"/>
        <v>-6609.2609031282309</v>
      </c>
      <c r="AJ243" s="90">
        <f t="shared" si="231"/>
        <v>6128</v>
      </c>
      <c r="AL243" s="95">
        <f t="shared" si="232"/>
        <v>0</v>
      </c>
      <c r="AM243" s="95">
        <f t="shared" si="233"/>
        <v>0</v>
      </c>
      <c r="AN243" s="95">
        <f t="shared" si="234"/>
        <v>0</v>
      </c>
      <c r="AO243" s="95">
        <f t="shared" si="235"/>
        <v>0</v>
      </c>
      <c r="AP243"/>
      <c r="AQ243" s="95">
        <f t="shared" si="236"/>
        <v>0</v>
      </c>
      <c r="AR243" s="95">
        <f t="shared" si="237"/>
        <v>0</v>
      </c>
      <c r="AS243" s="95">
        <f>Geraetedaten!$B$94*ABS(SIN(RADIANS($A243)))</f>
        <v>57.689415386050449</v>
      </c>
      <c r="AT243" s="95">
        <f>Geraetedaten!$B$94*ABS(COS(RADIANS($A243)))</f>
        <v>142.78631360328527</v>
      </c>
      <c r="AU243" s="95">
        <f>((h_Aw_Sw+Geraetedaten!$B$18)/1000)*(AQ243*AS243+AR243*AT243)/100</f>
        <v>0</v>
      </c>
    </row>
    <row r="244" spans="1:47" ht="13.5" x14ac:dyDescent="0.25">
      <c r="A244" s="16">
        <v>203</v>
      </c>
      <c r="B244" s="16">
        <f t="shared" si="204"/>
        <v>247</v>
      </c>
      <c r="C244" s="19">
        <f t="shared" si="205"/>
        <v>52.396432391912882</v>
      </c>
      <c r="D244" s="17">
        <f t="shared" si="206"/>
        <v>7160.3227176080873</v>
      </c>
      <c r="E244" s="17">
        <f t="shared" si="207"/>
        <v>9058.9330176080857</v>
      </c>
      <c r="F244" s="17">
        <f t="shared" si="208"/>
        <v>-7008.4742123919123</v>
      </c>
      <c r="G244" s="17">
        <f t="shared" si="209"/>
        <v>-9725.1593923919136</v>
      </c>
      <c r="H244" s="17">
        <f t="shared" si="210"/>
        <v>7160.3227176080873</v>
      </c>
      <c r="I244" s="17">
        <f t="shared" si="211"/>
        <v>2908.9995342541215</v>
      </c>
      <c r="J244" s="20">
        <f>(Geraetedaten!$B$152+(Geraetedaten!$B$153*(Geraetedaten!$B$18+d_y_Sw)/1000))*10</f>
        <v>6051.0442000000003</v>
      </c>
      <c r="K244" s="20">
        <f>(Geraetedaten!$B$165+(Geraetedaten!$B$166*(Geraetedaten!$B$18+d_y_Sw)/1000))*10</f>
        <v>10816.164000000001</v>
      </c>
      <c r="L244" s="20">
        <f>(Geraetedaten!$B$158+(Geraetedaten!$B$159*(Geraetedaten!$B$18+d_y_Sw)/1000)-(Geraetedaten!$B$160*I244/1000))*10</f>
        <v>388.21966415314506</v>
      </c>
      <c r="M244" s="20">
        <f>(Geraetedaten!$B$171+(Geraetedaten!$B$172*(Geraetedaten!$B$18+d_y_Sw)/1000)-(Geraetedaten!$B$173*I244/1000))*10</f>
        <v>848.32107467012406</v>
      </c>
      <c r="N244" s="20">
        <f>IF((H244-J244)/(K244-J244)*(Geraetedaten!$B$174-Geraetedaten!$B$161)&lt;Geraetedaten!$B$174,(H244-J244)/(K244-J244)*(Geraetedaten!$B$174-Geraetedaten!$B$161),Geraetedaten!$B$174)</f>
        <v>93.116527110868176</v>
      </c>
      <c r="O244" s="20">
        <f>N244/Geraetedaten!$B$174*(M244-L244)+L244+C244</f>
        <v>547.72371021044034</v>
      </c>
      <c r="P244" s="20">
        <f t="shared" si="212"/>
        <v>192.12272346794134</v>
      </c>
      <c r="Q244" s="21">
        <f>(N244-Geraetedaten!$B$161)/(Geraetedaten!$B$174-Geraetedaten!$B$161)*(Geraetedaten!$B$175-Geraetedaten!$B$162)+Geraetedaten!$B$162</f>
        <v>31.97021668154833</v>
      </c>
      <c r="R244" s="21">
        <f t="shared" si="213"/>
        <v>31.97021668154833</v>
      </c>
      <c r="S244" s="21">
        <f t="shared" si="214"/>
        <v>-12.491758842027977</v>
      </c>
      <c r="T244" s="88">
        <f t="shared" si="215"/>
        <v>-29.42873962129141</v>
      </c>
      <c r="U244" s="86">
        <f t="shared" si="216"/>
        <v>7212.7191499999999</v>
      </c>
      <c r="V244" s="85">
        <f t="shared" si="217"/>
        <v>-1141.3067828769733</v>
      </c>
      <c r="W244" s="85">
        <f t="shared" si="218"/>
        <v>2908.9995342541215</v>
      </c>
      <c r="X244" s="90">
        <f t="shared" si="219"/>
        <v>1141.3067828769733</v>
      </c>
      <c r="Y244" s="86">
        <f t="shared" si="220"/>
        <v>9111.3294499999993</v>
      </c>
      <c r="Z244" s="85">
        <f t="shared" si="221"/>
        <v>-750</v>
      </c>
      <c r="AA244" s="85">
        <f t="shared" si="222"/>
        <v>814.77028305397221</v>
      </c>
      <c r="AB244" s="90">
        <f t="shared" si="223"/>
        <v>750</v>
      </c>
      <c r="AC244" s="86">
        <f t="shared" si="224"/>
        <v>-6956.0777799999996</v>
      </c>
      <c r="AD244" s="85">
        <f t="shared" si="225"/>
        <v>1055.7627565116984</v>
      </c>
      <c r="AE244" s="85">
        <f t="shared" si="226"/>
        <v>-2708.5139884404957</v>
      </c>
      <c r="AF244" s="90">
        <f t="shared" si="227"/>
        <v>1055.7627565116984</v>
      </c>
      <c r="AG244" s="86">
        <f t="shared" si="228"/>
        <v>-9672.76296</v>
      </c>
      <c r="AH244" s="85">
        <f t="shared" si="229"/>
        <v>6128</v>
      </c>
      <c r="AI244" s="85">
        <f t="shared" si="230"/>
        <v>-6657.2163927396559</v>
      </c>
      <c r="AJ244" s="90">
        <f t="shared" si="231"/>
        <v>6128</v>
      </c>
      <c r="AL244" s="95">
        <f t="shared" si="232"/>
        <v>0</v>
      </c>
      <c r="AM244" s="95">
        <f t="shared" si="233"/>
        <v>0</v>
      </c>
      <c r="AN244" s="95">
        <f t="shared" si="234"/>
        <v>0</v>
      </c>
      <c r="AO244" s="95">
        <f t="shared" si="235"/>
        <v>0</v>
      </c>
      <c r="AP244"/>
      <c r="AQ244" s="95">
        <f t="shared" si="236"/>
        <v>0</v>
      </c>
      <c r="AR244" s="95">
        <f t="shared" si="237"/>
        <v>0</v>
      </c>
      <c r="AS244" s="95">
        <f>Geraetedaten!$B$94*ABS(SIN(RADIANS($A244)))</f>
        <v>60.172593787348127</v>
      </c>
      <c r="AT244" s="95">
        <f>Geraetedaten!$B$94*ABS(COS(RADIANS($A244)))</f>
        <v>141.75774743167582</v>
      </c>
      <c r="AU244" s="95">
        <f>((h_Aw_Sw+Geraetedaten!$B$18)/1000)*(AQ244*AS244+AR244*AT244)/100</f>
        <v>0</v>
      </c>
    </row>
    <row r="245" spans="1:47" ht="13.5" x14ac:dyDescent="0.25">
      <c r="A245" s="16">
        <v>204</v>
      </c>
      <c r="B245" s="16">
        <f t="shared" si="204"/>
        <v>246</v>
      </c>
      <c r="C245" s="19">
        <f t="shared" si="205"/>
        <v>53.205140520595009</v>
      </c>
      <c r="D245" s="17">
        <f t="shared" si="206"/>
        <v>6877.0082794794052</v>
      </c>
      <c r="E245" s="17">
        <f t="shared" si="207"/>
        <v>9127.5344794794055</v>
      </c>
      <c r="F245" s="17">
        <f t="shared" si="208"/>
        <v>-6734.8053905205952</v>
      </c>
      <c r="G245" s="17">
        <f t="shared" si="209"/>
        <v>-9799.6552805205956</v>
      </c>
      <c r="H245" s="17">
        <f t="shared" si="210"/>
        <v>6877.0082794794052</v>
      </c>
      <c r="I245" s="17">
        <f t="shared" si="211"/>
        <v>2795.0606699898008</v>
      </c>
      <c r="J245" s="20">
        <f>(Geraetedaten!$B$152+(Geraetedaten!$B$153*(Geraetedaten!$B$18+d_y_Sw)/1000))*10</f>
        <v>6051.0442000000003</v>
      </c>
      <c r="K245" s="20">
        <f>(Geraetedaten!$B$165+(Geraetedaten!$B$166*(Geraetedaten!$B$18+d_y_Sw)/1000))*10</f>
        <v>10816.164000000001</v>
      </c>
      <c r="L245" s="20">
        <f>(Geraetedaten!$B$158+(Geraetedaten!$B$159*(Geraetedaten!$B$18+d_y_Sw)/1000)-(Geraetedaten!$B$160*I245/1000))*10</f>
        <v>396.57480106964772</v>
      </c>
      <c r="M245" s="20">
        <f>(Geraetedaten!$B$171+(Geraetedaten!$B$172*(Geraetedaten!$B$18+d_y_Sw)/1000)-(Geraetedaten!$B$173*I245/1000))*10</f>
        <v>856.80268372596015</v>
      </c>
      <c r="N245" s="20">
        <f>IF((H245-J245)/(K245-J245)*(Geraetedaten!$B$174-Geraetedaten!$B$161)&lt;Geraetedaten!$B$174,(H245-J245)/(K245-J245)*(Geraetedaten!$B$174-Geraetedaten!$B$161),Geraetedaten!$B$174)</f>
        <v>69.334171155940709</v>
      </c>
      <c r="O245" s="20">
        <f>N245/Geraetedaten!$B$174*(M245-L245)+L245+C245</f>
        <v>529.55373855731511</v>
      </c>
      <c r="P245" s="20">
        <f t="shared" si="212"/>
        <v>189.62242854987616</v>
      </c>
      <c r="Q245" s="21">
        <f>(N245-Geraetedaten!$B$161)/(Geraetedaten!$B$174-Geraetedaten!$B$161)*(Geraetedaten!$B$175-Geraetedaten!$B$162)+Geraetedaten!$B$162</f>
        <v>31.262691591889237</v>
      </c>
      <c r="R245" s="21">
        <f t="shared" si="213"/>
        <v>31.262691591889237</v>
      </c>
      <c r="S245" s="21">
        <f t="shared" si="214"/>
        <v>-12.715682231599073</v>
      </c>
      <c r="T245" s="88">
        <f t="shared" si="215"/>
        <v>-28.559889897451942</v>
      </c>
      <c r="U245" s="86">
        <f t="shared" si="216"/>
        <v>6930.21342</v>
      </c>
      <c r="V245" s="85">
        <f t="shared" si="217"/>
        <v>-1141.3067828769733</v>
      </c>
      <c r="W245" s="85">
        <f t="shared" si="218"/>
        <v>2795.0606699898008</v>
      </c>
      <c r="X245" s="90">
        <f t="shared" si="219"/>
        <v>1141.3067828769733</v>
      </c>
      <c r="Y245" s="86">
        <f t="shared" si="220"/>
        <v>9180.7396200000003</v>
      </c>
      <c r="Z245" s="85">
        <f t="shared" si="221"/>
        <v>-750</v>
      </c>
      <c r="AA245" s="85">
        <f t="shared" si="222"/>
        <v>820.97720887953506</v>
      </c>
      <c r="AB245" s="90">
        <f t="shared" si="223"/>
        <v>750</v>
      </c>
      <c r="AC245" s="86">
        <f t="shared" si="224"/>
        <v>-6681.6002500000004</v>
      </c>
      <c r="AD245" s="85">
        <f t="shared" si="225"/>
        <v>1055.7627565116984</v>
      </c>
      <c r="AE245" s="85">
        <f t="shared" si="226"/>
        <v>-2601.6396479001401</v>
      </c>
      <c r="AF245" s="90">
        <f t="shared" si="227"/>
        <v>1055.7627565116984</v>
      </c>
      <c r="AG245" s="86">
        <f t="shared" si="228"/>
        <v>-9746.4501400000008</v>
      </c>
      <c r="AH245" s="85">
        <f t="shared" si="229"/>
        <v>6128</v>
      </c>
      <c r="AI245" s="85">
        <f t="shared" si="230"/>
        <v>-6707.931114685055</v>
      </c>
      <c r="AJ245" s="90">
        <f t="shared" si="231"/>
        <v>6128</v>
      </c>
      <c r="AL245" s="95">
        <f t="shared" si="232"/>
        <v>0</v>
      </c>
      <c r="AM245" s="95">
        <f t="shared" si="233"/>
        <v>0</v>
      </c>
      <c r="AN245" s="95">
        <f t="shared" si="234"/>
        <v>0</v>
      </c>
      <c r="AO245" s="95">
        <f t="shared" si="235"/>
        <v>0</v>
      </c>
      <c r="AP245"/>
      <c r="AQ245" s="95">
        <f t="shared" si="236"/>
        <v>0</v>
      </c>
      <c r="AR245" s="95">
        <f t="shared" si="237"/>
        <v>0</v>
      </c>
      <c r="AS245" s="95">
        <f>Geraetedaten!$B$94*ABS(SIN(RADIANS($A245)))</f>
        <v>62.637443033673229</v>
      </c>
      <c r="AT245" s="95">
        <f>Geraetedaten!$B$94*ABS(COS(RADIANS($A245)))</f>
        <v>140.68600047696054</v>
      </c>
      <c r="AU245" s="95">
        <f>((h_Aw_Sw+Geraetedaten!$B$18)/1000)*(AQ245*AS245+AR245*AT245)/100</f>
        <v>0</v>
      </c>
    </row>
    <row r="246" spans="1:47" ht="13.5" x14ac:dyDescent="0.25">
      <c r="A246" s="16">
        <v>205</v>
      </c>
      <c r="B246" s="16">
        <f t="shared" si="204"/>
        <v>245</v>
      </c>
      <c r="C246" s="19">
        <f t="shared" si="205"/>
        <v>53.99764184806476</v>
      </c>
      <c r="D246" s="17">
        <f t="shared" si="206"/>
        <v>6616.9615881519358</v>
      </c>
      <c r="E246" s="17">
        <f t="shared" si="207"/>
        <v>9200.0583181519341</v>
      </c>
      <c r="F246" s="17">
        <f t="shared" si="208"/>
        <v>-6483.8433718480646</v>
      </c>
      <c r="G246" s="17">
        <f t="shared" si="209"/>
        <v>-9878.2818218480661</v>
      </c>
      <c r="H246" s="17">
        <f t="shared" si="210"/>
        <v>6616.9615881519358</v>
      </c>
      <c r="I246" s="17">
        <f t="shared" si="211"/>
        <v>2690.4995047875436</v>
      </c>
      <c r="J246" s="20">
        <f>(Geraetedaten!$B$152+(Geraetedaten!$B$153*(Geraetedaten!$B$18+d_y_Sw)/1000))*10</f>
        <v>6051.0442000000003</v>
      </c>
      <c r="K246" s="20">
        <f>(Geraetedaten!$B$165+(Geraetedaten!$B$166*(Geraetedaten!$B$18+d_y_Sw)/1000))*10</f>
        <v>10816.164000000001</v>
      </c>
      <c r="L246" s="20">
        <f>(Geraetedaten!$B$158+(Geraetedaten!$B$159*(Geraetedaten!$B$18+d_y_Sw)/1000)-(Geraetedaten!$B$160*I246/1000))*10</f>
        <v>404.24227131392917</v>
      </c>
      <c r="M246" s="20">
        <f>(Geraetedaten!$B$171+(Geraetedaten!$B$172*(Geraetedaten!$B$18+d_y_Sw)/1000)-(Geraetedaten!$B$173*I246/1000))*10</f>
        <v>864.5862168636163</v>
      </c>
      <c r="N246" s="20">
        <f>IF((H246-J246)/(K246-J246)*(Geraetedaten!$B$174-Geraetedaten!$B$161)&lt;Geraetedaten!$B$174,(H246-J246)/(K246-J246)*(Geraetedaten!$B$174-Geraetedaten!$B$161),Geraetedaten!$B$174)</f>
        <v>47.50498723259259</v>
      </c>
      <c r="O246" s="20">
        <f>N246/Geraetedaten!$B$174*(M246-L246)+L246+C246</f>
        <v>512.91149630184191</v>
      </c>
      <c r="P246" s="20">
        <f t="shared" si="212"/>
        <v>187.24699934903728</v>
      </c>
      <c r="Q246" s="21">
        <f>(N246-Geraetedaten!$B$161)/(Geraetedaten!$B$174-Geraetedaten!$B$161)*(Geraetedaten!$B$175-Geraetedaten!$B$162)+Geraetedaten!$B$162</f>
        <v>30.61327337016963</v>
      </c>
      <c r="R246" s="21">
        <f t="shared" si="213"/>
        <v>30.61327337016963</v>
      </c>
      <c r="S246" s="21">
        <f t="shared" si="214"/>
        <v>-12.937728377893928</v>
      </c>
      <c r="T246" s="88">
        <f t="shared" si="215"/>
        <v>-27.745048042066447</v>
      </c>
      <c r="U246" s="86">
        <f t="shared" si="216"/>
        <v>6670.9592300000004</v>
      </c>
      <c r="V246" s="85">
        <f t="shared" si="217"/>
        <v>-1141.3067828769733</v>
      </c>
      <c r="W246" s="85">
        <f t="shared" si="218"/>
        <v>2690.4995047875436</v>
      </c>
      <c r="X246" s="90">
        <f t="shared" si="219"/>
        <v>1141.3067828769733</v>
      </c>
      <c r="Y246" s="86">
        <f t="shared" si="220"/>
        <v>9254.0559599999997</v>
      </c>
      <c r="Z246" s="85">
        <f t="shared" si="221"/>
        <v>-750</v>
      </c>
      <c r="AA246" s="85">
        <f t="shared" si="222"/>
        <v>827.53343922186878</v>
      </c>
      <c r="AB246" s="90">
        <f t="shared" si="223"/>
        <v>750</v>
      </c>
      <c r="AC246" s="86">
        <f t="shared" si="224"/>
        <v>-6429.84573</v>
      </c>
      <c r="AD246" s="85">
        <f t="shared" si="225"/>
        <v>1055.7627565116984</v>
      </c>
      <c r="AE246" s="85">
        <f t="shared" si="226"/>
        <v>-2503.6130492436555</v>
      </c>
      <c r="AF246" s="90">
        <f t="shared" si="227"/>
        <v>1055.7627565116984</v>
      </c>
      <c r="AG246" s="86">
        <f t="shared" si="228"/>
        <v>-9824.2841800000006</v>
      </c>
      <c r="AH246" s="85">
        <f t="shared" si="229"/>
        <v>6128</v>
      </c>
      <c r="AI246" s="85">
        <f t="shared" si="230"/>
        <v>-6761.4998874021485</v>
      </c>
      <c r="AJ246" s="90">
        <f t="shared" si="231"/>
        <v>6128</v>
      </c>
      <c r="AL246" s="95">
        <f t="shared" si="232"/>
        <v>0</v>
      </c>
      <c r="AM246" s="95">
        <f t="shared" si="233"/>
        <v>0</v>
      </c>
      <c r="AN246" s="95">
        <f t="shared" si="234"/>
        <v>0</v>
      </c>
      <c r="AO246" s="95">
        <f t="shared" si="235"/>
        <v>0</v>
      </c>
      <c r="AP246"/>
      <c r="AQ246" s="95">
        <f t="shared" si="236"/>
        <v>0</v>
      </c>
      <c r="AR246" s="95">
        <f t="shared" si="237"/>
        <v>0</v>
      </c>
      <c r="AS246" s="95">
        <f>Geraetedaten!$B$94*ABS(SIN(RADIANS($A246)))</f>
        <v>65.083212308067687</v>
      </c>
      <c r="AT246" s="95">
        <f>Geraetedaten!$B$94*ABS(COS(RADIANS($A246)))</f>
        <v>139.57139920364412</v>
      </c>
      <c r="AU246" s="95">
        <f>((h_Aw_Sw+Geraetedaten!$B$18)/1000)*(AQ246*AS246+AR246*AT246)/100</f>
        <v>0</v>
      </c>
    </row>
    <row r="247" spans="1:47" ht="13.5" x14ac:dyDescent="0.25">
      <c r="A247" s="16">
        <v>206</v>
      </c>
      <c r="B247" s="16">
        <f t="shared" si="204"/>
        <v>244</v>
      </c>
      <c r="C247" s="19">
        <f t="shared" si="205"/>
        <v>54.773694970740721</v>
      </c>
      <c r="D247" s="17">
        <f t="shared" si="206"/>
        <v>6377.5175850292599</v>
      </c>
      <c r="E247" s="17">
        <f t="shared" si="207"/>
        <v>9276.6443450292591</v>
      </c>
      <c r="F247" s="17">
        <f t="shared" si="208"/>
        <v>-6252.9671049707404</v>
      </c>
      <c r="G247" s="17">
        <f t="shared" si="209"/>
        <v>-9961.1869549707408</v>
      </c>
      <c r="H247" s="17">
        <f t="shared" si="210"/>
        <v>6377.5175850292599</v>
      </c>
      <c r="I247" s="17">
        <f t="shared" si="211"/>
        <v>2594.2410836656973</v>
      </c>
      <c r="J247" s="20">
        <f>(Geraetedaten!$B$152+(Geraetedaten!$B$153*(Geraetedaten!$B$18+d_y_Sw)/1000))*10</f>
        <v>6051.0442000000003</v>
      </c>
      <c r="K247" s="20">
        <f>(Geraetedaten!$B$165+(Geraetedaten!$B$166*(Geraetedaten!$B$18+d_y_Sw)/1000))*10</f>
        <v>10816.164000000001</v>
      </c>
      <c r="L247" s="20">
        <f>(Geraetedaten!$B$158+(Geraetedaten!$B$159*(Geraetedaten!$B$18+d_y_Sw)/1000)-(Geraetedaten!$B$160*I247/1000))*10</f>
        <v>411.30090133479422</v>
      </c>
      <c r="M247" s="20">
        <f>(Geraetedaten!$B$171+(Geraetedaten!$B$172*(Geraetedaten!$B$18+d_y_Sw)/1000)-(Geraetedaten!$B$173*I247/1000))*10</f>
        <v>871.75169373192648</v>
      </c>
      <c r="N247" s="20">
        <f>IF((H247-J247)/(K247-J247)*(Geraetedaten!$B$174-Geraetedaten!$B$161)&lt;Geraetedaten!$B$174,(H247-J247)/(K247-J247)*(Geraetedaten!$B$174-Geraetedaten!$B$161),Geraetedaten!$B$174)</f>
        <v>27.405261460940356</v>
      </c>
      <c r="O247" s="20">
        <f>N247/Geraetedaten!$B$174*(M247-L247)+L247+C247</f>
        <v>497.62153219438642</v>
      </c>
      <c r="P247" s="20">
        <f t="shared" si="212"/>
        <v>184.98896878862749</v>
      </c>
      <c r="Q247" s="21">
        <f>(N247-Geraetedaten!$B$161)/(Geraetedaten!$B$174-Geraetedaten!$B$161)*(Geraetedaten!$B$175-Geraetedaten!$B$162)+Geraetedaten!$B$162</f>
        <v>30.015306528462975</v>
      </c>
      <c r="R247" s="21">
        <f t="shared" si="213"/>
        <v>30.015306528462975</v>
      </c>
      <c r="S247" s="21">
        <f t="shared" si="214"/>
        <v>-13.157844344107998</v>
      </c>
      <c r="T247" s="88">
        <f t="shared" si="215"/>
        <v>-26.97757880562704</v>
      </c>
      <c r="U247" s="86">
        <f t="shared" si="216"/>
        <v>6432.2912800000004</v>
      </c>
      <c r="V247" s="85">
        <f t="shared" si="217"/>
        <v>-1141.3067828769733</v>
      </c>
      <c r="W247" s="85">
        <f t="shared" si="218"/>
        <v>2594.2410836656973</v>
      </c>
      <c r="X247" s="90">
        <f t="shared" si="219"/>
        <v>1141.3067828769733</v>
      </c>
      <c r="Y247" s="86">
        <f t="shared" si="220"/>
        <v>9331.4180400000005</v>
      </c>
      <c r="Z247" s="85">
        <f t="shared" si="221"/>
        <v>-750</v>
      </c>
      <c r="AA247" s="85">
        <f t="shared" si="222"/>
        <v>834.45145535639176</v>
      </c>
      <c r="AB247" s="90">
        <f t="shared" si="223"/>
        <v>750</v>
      </c>
      <c r="AC247" s="86">
        <f t="shared" si="224"/>
        <v>-6198.1934099999999</v>
      </c>
      <c r="AD247" s="85">
        <f t="shared" si="225"/>
        <v>1055.7627565116984</v>
      </c>
      <c r="AE247" s="85">
        <f t="shared" si="226"/>
        <v>-2413.4137223540965</v>
      </c>
      <c r="AF247" s="90">
        <f t="shared" si="227"/>
        <v>1055.7627565116984</v>
      </c>
      <c r="AG247" s="86">
        <f t="shared" si="228"/>
        <v>-9906.4132599999994</v>
      </c>
      <c r="AH247" s="85">
        <f t="shared" si="229"/>
        <v>6128</v>
      </c>
      <c r="AI247" s="85">
        <f t="shared" si="230"/>
        <v>-6818.0246912319581</v>
      </c>
      <c r="AJ247" s="90">
        <f t="shared" si="231"/>
        <v>6128</v>
      </c>
      <c r="AL247" s="95">
        <f t="shared" si="232"/>
        <v>0</v>
      </c>
      <c r="AM247" s="95">
        <f t="shared" si="233"/>
        <v>0</v>
      </c>
      <c r="AN247" s="95">
        <f t="shared" si="234"/>
        <v>0</v>
      </c>
      <c r="AO247" s="95">
        <f t="shared" si="235"/>
        <v>0</v>
      </c>
      <c r="AP247"/>
      <c r="AQ247" s="95">
        <f t="shared" si="236"/>
        <v>0</v>
      </c>
      <c r="AR247" s="95">
        <f t="shared" si="237"/>
        <v>0</v>
      </c>
      <c r="AS247" s="95">
        <f>Geraetedaten!$B$94*ABS(SIN(RADIANS($A247)))</f>
        <v>67.50915660551793</v>
      </c>
      <c r="AT247" s="95">
        <f>Geraetedaten!$B$94*ABS(COS(RADIANS($A247)))</f>
        <v>138.41428313007171</v>
      </c>
      <c r="AU247" s="95">
        <f>((h_Aw_Sw+Geraetedaten!$B$18)/1000)*(AQ247*AS247+AR247*AT247)/100</f>
        <v>0</v>
      </c>
    </row>
    <row r="248" spans="1:47" ht="13.5" x14ac:dyDescent="0.25">
      <c r="A248" s="16">
        <v>207</v>
      </c>
      <c r="B248" s="16">
        <f t="shared" si="204"/>
        <v>243</v>
      </c>
      <c r="C248" s="19">
        <f t="shared" si="205"/>
        <v>55.533063495323873</v>
      </c>
      <c r="D248" s="17">
        <f t="shared" si="206"/>
        <v>6156.4049565046753</v>
      </c>
      <c r="E248" s="17">
        <f t="shared" si="207"/>
        <v>9357.442876504676</v>
      </c>
      <c r="F248" s="17">
        <f t="shared" si="208"/>
        <v>-6039.945013495324</v>
      </c>
      <c r="G248" s="17">
        <f t="shared" si="209"/>
        <v>-10048.529763495324</v>
      </c>
      <c r="H248" s="17">
        <f t="shared" si="210"/>
        <v>6156.4049565046753</v>
      </c>
      <c r="I248" s="17">
        <f t="shared" si="211"/>
        <v>2505.3692561189941</v>
      </c>
      <c r="J248" s="20">
        <f>(Geraetedaten!$B$152+(Geraetedaten!$B$153*(Geraetedaten!$B$18+d_y_Sw)/1000))*10</f>
        <v>6051.0442000000003</v>
      </c>
      <c r="K248" s="20">
        <f>(Geraetedaten!$B$165+(Geraetedaten!$B$166*(Geraetedaten!$B$18+d_y_Sw)/1000))*10</f>
        <v>10816.164000000001</v>
      </c>
      <c r="L248" s="20">
        <f>(Geraetedaten!$B$158+(Geraetedaten!$B$159*(Geraetedaten!$B$18+d_y_Sw)/1000)-(Geraetedaten!$B$160*I248/1000))*10</f>
        <v>417.81787244879399</v>
      </c>
      <c r="M248" s="20">
        <f>(Geraetedaten!$B$171+(Geraetedaten!$B$172*(Geraetedaten!$B$18+d_y_Sw)/1000)-(Geraetedaten!$B$173*I248/1000))*10</f>
        <v>878.36731257450299</v>
      </c>
      <c r="N248" s="20">
        <f>IF((H248-J248)/(K248-J248)*(Geraetedaten!$B$174-Geraetedaten!$B$161)&lt;Geraetedaten!$B$174,(H248-J248)/(K248-J248)*(Geraetedaten!$B$174-Geraetedaten!$B$161),Geraetedaten!$B$174)</f>
        <v>8.8443322247365117</v>
      </c>
      <c r="O248" s="20">
        <f>N248/Geraetedaten!$B$174*(M248-L248)+L248+C248</f>
        <v>483.53406658008828</v>
      </c>
      <c r="P248" s="20">
        <f t="shared" si="212"/>
        <v>182.84135628827894</v>
      </c>
      <c r="Q248" s="21">
        <f>(N248-Geraetedaten!$B$161)/(Geraetedaten!$B$174-Geraetedaten!$B$161)*(Geraetedaten!$B$175-Geraetedaten!$B$162)+Geraetedaten!$B$162</f>
        <v>29.463118883685912</v>
      </c>
      <c r="R248" s="21">
        <f t="shared" si="213"/>
        <v>29.463118883685912</v>
      </c>
      <c r="S248" s="21">
        <f t="shared" si="214"/>
        <v>-13.375976065890242</v>
      </c>
      <c r="T248" s="88">
        <f t="shared" si="215"/>
        <v>-26.251831148301651</v>
      </c>
      <c r="U248" s="86">
        <f t="shared" si="216"/>
        <v>6211.9380199999996</v>
      </c>
      <c r="V248" s="85">
        <f t="shared" si="217"/>
        <v>-1141.3067828769733</v>
      </c>
      <c r="W248" s="85">
        <f t="shared" si="218"/>
        <v>2505.3692561189941</v>
      </c>
      <c r="X248" s="90">
        <f t="shared" si="219"/>
        <v>1141.3067828769733</v>
      </c>
      <c r="Y248" s="86">
        <f t="shared" si="220"/>
        <v>9412.9759400000003</v>
      </c>
      <c r="Z248" s="85">
        <f t="shared" si="221"/>
        <v>-750</v>
      </c>
      <c r="AA248" s="85">
        <f t="shared" si="222"/>
        <v>841.7446782257706</v>
      </c>
      <c r="AB248" s="90">
        <f t="shared" si="223"/>
        <v>750</v>
      </c>
      <c r="AC248" s="86">
        <f t="shared" si="224"/>
        <v>-5984.4119499999997</v>
      </c>
      <c r="AD248" s="85">
        <f t="shared" si="225"/>
        <v>1055.7627565116984</v>
      </c>
      <c r="AE248" s="85">
        <f t="shared" si="226"/>
        <v>-2330.1728342753468</v>
      </c>
      <c r="AF248" s="90">
        <f t="shared" si="227"/>
        <v>1055.7627565116984</v>
      </c>
      <c r="AG248" s="86">
        <f t="shared" si="228"/>
        <v>-9992.9966999999997</v>
      </c>
      <c r="AH248" s="85">
        <f t="shared" si="229"/>
        <v>6128</v>
      </c>
      <c r="AI248" s="85">
        <f t="shared" si="230"/>
        <v>-6877.615184223363</v>
      </c>
      <c r="AJ248" s="90">
        <f t="shared" si="231"/>
        <v>6128</v>
      </c>
      <c r="AL248" s="95">
        <f t="shared" si="232"/>
        <v>0</v>
      </c>
      <c r="AM248" s="95">
        <f t="shared" si="233"/>
        <v>0</v>
      </c>
      <c r="AN248" s="95">
        <f t="shared" si="234"/>
        <v>0</v>
      </c>
      <c r="AO248" s="95">
        <f t="shared" si="235"/>
        <v>0</v>
      </c>
      <c r="AP248"/>
      <c r="AQ248" s="95">
        <f t="shared" si="236"/>
        <v>0</v>
      </c>
      <c r="AR248" s="95">
        <f t="shared" si="237"/>
        <v>0</v>
      </c>
      <c r="AS248" s="95">
        <f>Geraetedaten!$B$94*ABS(SIN(RADIANS($A248)))</f>
        <v>69.914536959890185</v>
      </c>
      <c r="AT248" s="95">
        <f>Geraetedaten!$B$94*ABS(COS(RADIANS($A248)))</f>
        <v>137.21500472500867</v>
      </c>
      <c r="AU248" s="95">
        <f>((h_Aw_Sw+Geraetedaten!$B$18)/1000)*(AQ248*AS248+AR248*AT248)/100</f>
        <v>0</v>
      </c>
    </row>
    <row r="249" spans="1:47" ht="13.5" x14ac:dyDescent="0.25">
      <c r="A249" s="16">
        <v>208</v>
      </c>
      <c r="B249" s="16">
        <f t="shared" si="204"/>
        <v>242</v>
      </c>
      <c r="C249" s="19">
        <f t="shared" si="205"/>
        <v>56.275516110805498</v>
      </c>
      <c r="D249" s="17">
        <f t="shared" si="206"/>
        <v>5951.6760738891944</v>
      </c>
      <c r="E249" s="17">
        <f t="shared" si="207"/>
        <v>9442.6155238891952</v>
      </c>
      <c r="F249" s="17">
        <f t="shared" si="208"/>
        <v>-5842.8652461108049</v>
      </c>
      <c r="G249" s="17">
        <f t="shared" si="209"/>
        <v>-10140.481336110804</v>
      </c>
      <c r="H249" s="17">
        <f t="shared" si="210"/>
        <v>5951.6760738891944</v>
      </c>
      <c r="I249" s="17">
        <f t="shared" si="211"/>
        <v>2423.0984220651385</v>
      </c>
      <c r="J249" s="20">
        <f>(Geraetedaten!$B$152+(Geraetedaten!$B$153*(Geraetedaten!$B$18+d_y_Sw)/1000))*10</f>
        <v>6051.0442000000003</v>
      </c>
      <c r="K249" s="20">
        <f>(Geraetedaten!$B$165+(Geraetedaten!$B$166*(Geraetedaten!$B$18+d_y_Sw)/1000))*10</f>
        <v>10816.164000000001</v>
      </c>
      <c r="L249" s="20">
        <f>(Geraetedaten!$B$158+(Geraetedaten!$B$159*(Geraetedaten!$B$18+d_y_Sw)/1000)-(Geraetedaten!$B$160*I249/1000))*10</f>
        <v>423.85079270996312</v>
      </c>
      <c r="M249" s="20">
        <f>(Geraetedaten!$B$171+(Geraetedaten!$B$172*(Geraetedaten!$B$18+d_y_Sw)/1000)-(Geraetedaten!$B$173*I249/1000))*10</f>
        <v>884.49155346147199</v>
      </c>
      <c r="N249" s="20">
        <f>IF((H249-J249)/(K249-J249)*(Geraetedaten!$B$174-Geraetedaten!$B$161)&lt;Geraetedaten!$B$174,(H249-J249)/(K249-J249)*(Geraetedaten!$B$174-Geraetedaten!$B$161),Geraetedaten!$B$174)</f>
        <v>-8.3412909040235128</v>
      </c>
      <c r="O249" s="20">
        <f>N249/Geraetedaten!$B$174*(M249-L249)+L249+C249</f>
        <v>470.52046235157104</v>
      </c>
      <c r="P249" s="20">
        <f t="shared" si="212"/>
        <v>180.79763722425315</v>
      </c>
      <c r="Q249" s="21">
        <f>(N249-Geraetedaten!$B$161)/(Geraetedaten!$B$174-Geraetedaten!$B$161)*(Geraetedaten!$B$175-Geraetedaten!$B$162)+Geraetedaten!$B$162</f>
        <v>28.9518465956053</v>
      </c>
      <c r="R249" s="21">
        <f t="shared" si="213"/>
        <v>28.9518465956053</v>
      </c>
      <c r="S249" s="21">
        <f t="shared" si="214"/>
        <v>-13.592068666776195</v>
      </c>
      <c r="T249" s="88">
        <f t="shared" si="215"/>
        <v>-25.562963260410616</v>
      </c>
      <c r="U249" s="86">
        <f t="shared" si="216"/>
        <v>6007.9515899999997</v>
      </c>
      <c r="V249" s="85">
        <f t="shared" si="217"/>
        <v>-1141.3067828769733</v>
      </c>
      <c r="W249" s="85">
        <f t="shared" si="218"/>
        <v>2423.0984220651385</v>
      </c>
      <c r="X249" s="90">
        <f t="shared" si="219"/>
        <v>1141.3067828769733</v>
      </c>
      <c r="Y249" s="86">
        <f t="shared" si="220"/>
        <v>9498.8910400000004</v>
      </c>
      <c r="Z249" s="85">
        <f t="shared" si="221"/>
        <v>-750</v>
      </c>
      <c r="AA249" s="85">
        <f t="shared" si="222"/>
        <v>849.42753801677941</v>
      </c>
      <c r="AB249" s="90">
        <f t="shared" si="223"/>
        <v>750</v>
      </c>
      <c r="AC249" s="86">
        <f t="shared" si="224"/>
        <v>-5786.5897299999997</v>
      </c>
      <c r="AD249" s="85">
        <f t="shared" si="225"/>
        <v>1055.7627565116984</v>
      </c>
      <c r="AE249" s="85">
        <f t="shared" si="226"/>
        <v>-2253.1460574120583</v>
      </c>
      <c r="AF249" s="90">
        <f t="shared" si="227"/>
        <v>1055.7627565116984</v>
      </c>
      <c r="AG249" s="86">
        <f t="shared" si="228"/>
        <v>-10084.205819999999</v>
      </c>
      <c r="AH249" s="85">
        <f t="shared" si="229"/>
        <v>6128</v>
      </c>
      <c r="AI249" s="85">
        <f t="shared" si="230"/>
        <v>-6940.3892706224324</v>
      </c>
      <c r="AJ249" s="90">
        <f t="shared" si="231"/>
        <v>6128</v>
      </c>
      <c r="AL249" s="95">
        <f t="shared" si="232"/>
        <v>0</v>
      </c>
      <c r="AM249" s="95">
        <f t="shared" si="233"/>
        <v>0</v>
      </c>
      <c r="AN249" s="95">
        <f t="shared" si="234"/>
        <v>0</v>
      </c>
      <c r="AO249" s="95">
        <f t="shared" si="235"/>
        <v>0</v>
      </c>
      <c r="AP249"/>
      <c r="AQ249" s="95">
        <f t="shared" si="236"/>
        <v>0</v>
      </c>
      <c r="AR249" s="95">
        <f t="shared" si="237"/>
        <v>0</v>
      </c>
      <c r="AS249" s="95">
        <f>Geraetedaten!$B$94*ABS(SIN(RADIANS($A249)))</f>
        <v>72.298620669027187</v>
      </c>
      <c r="AT249" s="95">
        <f>Geraetedaten!$B$94*ABS(COS(RADIANS($A249)))</f>
        <v>135.97392930027473</v>
      </c>
      <c r="AU249" s="95">
        <f>((h_Aw_Sw+Geraetedaten!$B$18)/1000)*(AQ249*AS249+AR249*AT249)/100</f>
        <v>0</v>
      </c>
    </row>
    <row r="250" spans="1:47" ht="13.5" x14ac:dyDescent="0.25">
      <c r="A250" s="16">
        <v>209</v>
      </c>
      <c r="B250" s="16">
        <f t="shared" si="204"/>
        <v>241</v>
      </c>
      <c r="C250" s="19">
        <f t="shared" si="205"/>
        <v>57.000826658926592</v>
      </c>
      <c r="D250" s="17">
        <f t="shared" si="206"/>
        <v>5761.6514033410731</v>
      </c>
      <c r="E250" s="17">
        <f t="shared" si="207"/>
        <v>9532.3360133410733</v>
      </c>
      <c r="F250" s="17">
        <f t="shared" si="208"/>
        <v>-5660.0805066589264</v>
      </c>
      <c r="G250" s="17">
        <f t="shared" si="209"/>
        <v>-10237.225646658926</v>
      </c>
      <c r="H250" s="17">
        <f t="shared" si="210"/>
        <v>5761.6514033410731</v>
      </c>
      <c r="I250" s="17">
        <f t="shared" si="211"/>
        <v>2346.7511035360681</v>
      </c>
      <c r="J250" s="20">
        <f>(Geraetedaten!$B$152+(Geraetedaten!$B$153*(Geraetedaten!$B$18+d_y_Sw)/1000))*10</f>
        <v>6051.0442000000003</v>
      </c>
      <c r="K250" s="20">
        <f>(Geraetedaten!$B$165+(Geraetedaten!$B$166*(Geraetedaten!$B$18+d_y_Sw)/1000))*10</f>
        <v>10816.164000000001</v>
      </c>
      <c r="L250" s="20">
        <f>(Geraetedaten!$B$158+(Geraetedaten!$B$159*(Geraetedaten!$B$18+d_y_Sw)/1000)-(Geraetedaten!$B$160*I250/1000))*10</f>
        <v>429.4493415776999</v>
      </c>
      <c r="M250" s="20">
        <f>(Geraetedaten!$B$171+(Geraetedaten!$B$172*(Geraetedaten!$B$18+d_y_Sw)/1000)-(Geraetedaten!$B$173*I250/1000))*10</f>
        <v>890.174847852776</v>
      </c>
      <c r="N250" s="20">
        <f>IF((H250-J250)/(K250-J250)*(Geraetedaten!$B$174-Geraetedaten!$B$161)&lt;Geraetedaten!$B$174,(H250-J250)/(K250-J250)*(Geraetedaten!$B$174-Geraetedaten!$B$161),Geraetedaten!$B$174)</f>
        <v>-24.292593580453289</v>
      </c>
      <c r="O250" s="20">
        <f>N250/Geraetedaten!$B$174*(M250-L250)+L250+C250</f>
        <v>458.46962454640396</v>
      </c>
      <c r="P250" s="20">
        <f t="shared" si="212"/>
        <v>178.85171324755891</v>
      </c>
      <c r="Q250" s="21">
        <f>(N250-Geraetedaten!$B$161)/(Geraetedaten!$B$174-Geraetedaten!$B$161)*(Geraetedaten!$B$175-Geraetedaten!$B$162)+Geraetedaten!$B$162</f>
        <v>28.477295340981513</v>
      </c>
      <c r="R250" s="21">
        <f t="shared" si="213"/>
        <v>28.477295340981513</v>
      </c>
      <c r="S250" s="21">
        <f t="shared" si="214"/>
        <v>-13.806066739904027</v>
      </c>
      <c r="T250" s="88">
        <f t="shared" si="215"/>
        <v>-24.906803711251332</v>
      </c>
      <c r="U250" s="86">
        <f t="shared" si="216"/>
        <v>5818.6522299999997</v>
      </c>
      <c r="V250" s="85">
        <f t="shared" si="217"/>
        <v>-1141.3067828769733</v>
      </c>
      <c r="W250" s="85">
        <f t="shared" si="218"/>
        <v>2346.7511035360681</v>
      </c>
      <c r="X250" s="90">
        <f t="shared" si="219"/>
        <v>1141.3067828769733</v>
      </c>
      <c r="Y250" s="86">
        <f t="shared" si="220"/>
        <v>9589.3368399999999</v>
      </c>
      <c r="Z250" s="85">
        <f t="shared" si="221"/>
        <v>-750</v>
      </c>
      <c r="AA250" s="85">
        <f t="shared" si="222"/>
        <v>857.51555090498994</v>
      </c>
      <c r="AB250" s="90">
        <f t="shared" si="223"/>
        <v>750</v>
      </c>
      <c r="AC250" s="86">
        <f t="shared" si="224"/>
        <v>-5603.0796799999998</v>
      </c>
      <c r="AD250" s="85">
        <f t="shared" si="225"/>
        <v>1055.7627565116984</v>
      </c>
      <c r="AE250" s="85">
        <f t="shared" si="226"/>
        <v>-2181.6920626629412</v>
      </c>
      <c r="AF250" s="90">
        <f t="shared" si="227"/>
        <v>1055.7627565116984</v>
      </c>
      <c r="AG250" s="86">
        <f t="shared" si="228"/>
        <v>-10180.224819999999</v>
      </c>
      <c r="AH250" s="85">
        <f t="shared" si="229"/>
        <v>6128</v>
      </c>
      <c r="AI250" s="85">
        <f t="shared" si="230"/>
        <v>-7006.4737279277042</v>
      </c>
      <c r="AJ250" s="90">
        <f t="shared" si="231"/>
        <v>6128</v>
      </c>
      <c r="AL250" s="95">
        <f t="shared" si="232"/>
        <v>0</v>
      </c>
      <c r="AM250" s="95">
        <f t="shared" si="233"/>
        <v>0</v>
      </c>
      <c r="AN250" s="95">
        <f t="shared" si="234"/>
        <v>0</v>
      </c>
      <c r="AO250" s="95">
        <f t="shared" si="235"/>
        <v>0</v>
      </c>
      <c r="AP250"/>
      <c r="AQ250" s="95">
        <f t="shared" si="236"/>
        <v>0</v>
      </c>
      <c r="AR250" s="95">
        <f t="shared" si="237"/>
        <v>0</v>
      </c>
      <c r="AS250" s="95">
        <f>Geraetedaten!$B$94*ABS(SIN(RADIANS($A250)))</f>
        <v>74.660681517935885</v>
      </c>
      <c r="AT250" s="95">
        <f>Geraetedaten!$B$94*ABS(COS(RADIANS($A250)))</f>
        <v>134.69143489946697</v>
      </c>
      <c r="AU250" s="95">
        <f>((h_Aw_Sw+Geraetedaten!$B$18)/1000)*(AQ250*AS250+AR250*AT250)/100</f>
        <v>0</v>
      </c>
    </row>
    <row r="251" spans="1:47" ht="13.5" x14ac:dyDescent="0.25">
      <c r="A251" s="16">
        <v>210</v>
      </c>
      <c r="B251" s="16">
        <f t="shared" si="204"/>
        <v>240</v>
      </c>
      <c r="C251" s="19">
        <f t="shared" si="205"/>
        <v>57.708774203067989</v>
      </c>
      <c r="D251" s="17">
        <f t="shared" si="206"/>
        <v>5584.8749357969318</v>
      </c>
      <c r="E251" s="17">
        <f t="shared" si="207"/>
        <v>9626.7911757969323</v>
      </c>
      <c r="F251" s="17">
        <f t="shared" si="208"/>
        <v>-5490.163844203068</v>
      </c>
      <c r="G251" s="17">
        <f t="shared" si="209"/>
        <v>-10338.960594203067</v>
      </c>
      <c r="H251" s="17">
        <f t="shared" si="210"/>
        <v>5584.8749357969318</v>
      </c>
      <c r="I251" s="17">
        <f t="shared" si="211"/>
        <v>2275.7399872937331</v>
      </c>
      <c r="J251" s="20">
        <f>(Geraetedaten!$B$152+(Geraetedaten!$B$153*(Geraetedaten!$B$18+d_y_Sw)/1000))*10</f>
        <v>6051.0442000000003</v>
      </c>
      <c r="K251" s="20">
        <f>(Geraetedaten!$B$165+(Geraetedaten!$B$166*(Geraetedaten!$B$18+d_y_Sw)/1000))*10</f>
        <v>10816.164000000001</v>
      </c>
      <c r="L251" s="20">
        <f>(Geraetedaten!$B$158+(Geraetedaten!$B$159*(Geraetedaten!$B$18+d_y_Sw)/1000)-(Geraetedaten!$B$160*I251/1000))*10</f>
        <v>434.65658673175028</v>
      </c>
      <c r="M251" s="20">
        <f>(Geraetedaten!$B$171+(Geraetedaten!$B$172*(Geraetedaten!$B$18+d_y_Sw)/1000)-(Geraetedaten!$B$173*I251/1000))*10</f>
        <v>895.46091534585548</v>
      </c>
      <c r="N251" s="20">
        <f>IF((H251-J251)/(K251-J251)*(Geraetedaten!$B$174-Geraetedaten!$B$161)&lt;Geraetedaten!$B$174,(H251-J251)/(K251-J251)*(Geraetedaten!$B$174-Geraetedaten!$B$161),Geraetedaten!$B$174)</f>
        <v>-39.131798046552234</v>
      </c>
      <c r="O251" s="20">
        <f>N251/Geraetedaten!$B$174*(M251-L251)+L251+C251</f>
        <v>447.28510611905762</v>
      </c>
      <c r="P251" s="20">
        <f t="shared" si="212"/>
        <v>176.9978822814833</v>
      </c>
      <c r="Q251" s="21">
        <f>(N251-Geraetedaten!$B$161)/(Geraetedaten!$B$174-Geraetedaten!$B$161)*(Geraetedaten!$B$175-Geraetedaten!$B$162)+Geraetedaten!$B$162</f>
        <v>28.035829008115069</v>
      </c>
      <c r="R251" s="21">
        <f t="shared" si="213"/>
        <v>28.035829008115069</v>
      </c>
      <c r="S251" s="21">
        <f t="shared" si="214"/>
        <v>-14.017914504057538</v>
      </c>
      <c r="T251" s="88">
        <f t="shared" si="215"/>
        <v>-24.27974013718433</v>
      </c>
      <c r="U251" s="86">
        <f t="shared" si="216"/>
        <v>5642.5837099999999</v>
      </c>
      <c r="V251" s="85">
        <f t="shared" si="217"/>
        <v>-1141.3067828769733</v>
      </c>
      <c r="W251" s="85">
        <f t="shared" si="218"/>
        <v>2275.7399872937331</v>
      </c>
      <c r="X251" s="90">
        <f t="shared" si="219"/>
        <v>1141.3067828769733</v>
      </c>
      <c r="Y251" s="86">
        <f t="shared" si="220"/>
        <v>9684.4999499999994</v>
      </c>
      <c r="Z251" s="85">
        <f t="shared" si="221"/>
        <v>-750</v>
      </c>
      <c r="AA251" s="85">
        <f t="shared" si="222"/>
        <v>866.02540378443859</v>
      </c>
      <c r="AB251" s="90">
        <f t="shared" si="223"/>
        <v>750</v>
      </c>
      <c r="AC251" s="86">
        <f t="shared" si="224"/>
        <v>-5432.45507</v>
      </c>
      <c r="AD251" s="85">
        <f t="shared" si="225"/>
        <v>1055.7627565116984</v>
      </c>
      <c r="AE251" s="85">
        <f t="shared" si="226"/>
        <v>-2115.2553224522067</v>
      </c>
      <c r="AF251" s="90">
        <f t="shared" si="227"/>
        <v>1055.7627565116984</v>
      </c>
      <c r="AG251" s="86">
        <f t="shared" si="228"/>
        <v>-10281.251819999999</v>
      </c>
      <c r="AH251" s="85">
        <f t="shared" si="229"/>
        <v>6128</v>
      </c>
      <c r="AI251" s="85">
        <f t="shared" si="230"/>
        <v>-7076.0048991880531</v>
      </c>
      <c r="AJ251" s="90">
        <f t="shared" si="231"/>
        <v>6128</v>
      </c>
      <c r="AL251" s="95">
        <f t="shared" si="232"/>
        <v>0</v>
      </c>
      <c r="AM251" s="95">
        <f t="shared" si="233"/>
        <v>0</v>
      </c>
      <c r="AN251" s="95">
        <f t="shared" si="234"/>
        <v>0</v>
      </c>
      <c r="AO251" s="95">
        <f t="shared" si="235"/>
        <v>0</v>
      </c>
      <c r="AP251"/>
      <c r="AQ251" s="95">
        <f t="shared" si="236"/>
        <v>0</v>
      </c>
      <c r="AR251" s="95">
        <f t="shared" si="237"/>
        <v>0</v>
      </c>
      <c r="AS251" s="95">
        <f>Geraetedaten!$B$94*ABS(SIN(RADIANS($A251)))</f>
        <v>77.000000000000014</v>
      </c>
      <c r="AT251" s="95">
        <f>Geraetedaten!$B$94*ABS(COS(RADIANS($A251)))</f>
        <v>133.36791218280354</v>
      </c>
      <c r="AU251" s="95">
        <f>((h_Aw_Sw+Geraetedaten!$B$18)/1000)*(AQ251*AS251+AR251*AT251)/100</f>
        <v>0</v>
      </c>
    </row>
    <row r="252" spans="1:47" ht="13.5" x14ac:dyDescent="0.25">
      <c r="A252" s="16">
        <v>211</v>
      </c>
      <c r="B252" s="16">
        <f t="shared" si="204"/>
        <v>239</v>
      </c>
      <c r="C252" s="19">
        <f t="shared" si="205"/>
        <v>58.399143095549661</v>
      </c>
      <c r="D252" s="17">
        <f t="shared" si="206"/>
        <v>5420.078306904451</v>
      </c>
      <c r="E252" s="17">
        <f t="shared" si="207"/>
        <v>9726.1819669044489</v>
      </c>
      <c r="F252" s="17">
        <f t="shared" si="208"/>
        <v>-5331.8730930955489</v>
      </c>
      <c r="G252" s="17">
        <f t="shared" si="209"/>
        <v>-10445.899053095551</v>
      </c>
      <c r="H252" s="17">
        <f t="shared" si="210"/>
        <v>5420.078306904451</v>
      </c>
      <c r="I252" s="17">
        <f t="shared" si="211"/>
        <v>2209.5534320578108</v>
      </c>
      <c r="J252" s="20">
        <f>(Geraetedaten!$B$152+(Geraetedaten!$B$153*(Geraetedaten!$B$18+d_y_Sw)/1000))*10</f>
        <v>6051.0442000000003</v>
      </c>
      <c r="K252" s="20">
        <f>(Geraetedaten!$B$165+(Geraetedaten!$B$166*(Geraetedaten!$B$18+d_y_Sw)/1000))*10</f>
        <v>10816.164000000001</v>
      </c>
      <c r="L252" s="20">
        <f>(Geraetedaten!$B$158+(Geraetedaten!$B$159*(Geraetedaten!$B$18+d_y_Sw)/1000)-(Geraetedaten!$B$160*I252/1000))*10</f>
        <v>439.51004682720054</v>
      </c>
      <c r="M252" s="20">
        <f>(Geraetedaten!$B$171+(Geraetedaten!$B$172*(Geraetedaten!$B$18+d_y_Sw)/1000)-(Geraetedaten!$B$173*I252/1000))*10</f>
        <v>900.38784251761751</v>
      </c>
      <c r="N252" s="20">
        <f>IF((H252-J252)/(K252-J252)*(Geraetedaten!$B$174-Geraetedaten!$B$161)&lt;Geraetedaten!$B$174,(H252-J252)/(K252-J252)*(Geraetedaten!$B$174-Geraetedaten!$B$161),Geraetedaten!$B$174)</f>
        <v>-52.965375023356117</v>
      </c>
      <c r="O252" s="20">
        <f>N252/Geraetedaten!$B$174*(M252-L252)+L252+C252</f>
        <v>436.88277670104861</v>
      </c>
      <c r="P252" s="20">
        <f t="shared" si="212"/>
        <v>175.2308119216905</v>
      </c>
      <c r="Q252" s="21">
        <f>(N252-Geraetedaten!$B$161)/(Geraetedaten!$B$174-Geraetedaten!$B$161)*(Geraetedaten!$B$175-Geraetedaten!$B$162)+Geraetedaten!$B$162</f>
        <v>27.624280093055155</v>
      </c>
      <c r="R252" s="21">
        <f t="shared" si="213"/>
        <v>27.624280093055155</v>
      </c>
      <c r="S252" s="21">
        <f t="shared" si="214"/>
        <v>-14.227556039903259</v>
      </c>
      <c r="T252" s="88">
        <f t="shared" si="215"/>
        <v>-23.678629601203184</v>
      </c>
      <c r="U252" s="86">
        <f t="shared" si="216"/>
        <v>5478.4774500000003</v>
      </c>
      <c r="V252" s="85">
        <f t="shared" si="217"/>
        <v>-1141.3067828769733</v>
      </c>
      <c r="W252" s="85">
        <f t="shared" si="218"/>
        <v>2209.5534320578108</v>
      </c>
      <c r="X252" s="90">
        <f t="shared" si="219"/>
        <v>1141.3067828769733</v>
      </c>
      <c r="Y252" s="86">
        <f t="shared" si="220"/>
        <v>9784.5811099999992</v>
      </c>
      <c r="Z252" s="85">
        <f t="shared" si="221"/>
        <v>-750</v>
      </c>
      <c r="AA252" s="85">
        <f t="shared" si="222"/>
        <v>874.97504791149777</v>
      </c>
      <c r="AB252" s="90">
        <f t="shared" si="223"/>
        <v>750</v>
      </c>
      <c r="AC252" s="86">
        <f t="shared" si="224"/>
        <v>-5273.4739499999996</v>
      </c>
      <c r="AD252" s="85">
        <f t="shared" si="225"/>
        <v>1055.7627565116984</v>
      </c>
      <c r="AE252" s="85">
        <f t="shared" si="226"/>
        <v>-2053.3522486277789</v>
      </c>
      <c r="AF252" s="90">
        <f t="shared" si="227"/>
        <v>1055.7627565116984</v>
      </c>
      <c r="AG252" s="86">
        <f t="shared" si="228"/>
        <v>-10387.49991</v>
      </c>
      <c r="AH252" s="85">
        <f t="shared" si="229"/>
        <v>6128</v>
      </c>
      <c r="AI252" s="85">
        <f t="shared" si="230"/>
        <v>-7149.1294581355451</v>
      </c>
      <c r="AJ252" s="90">
        <f t="shared" si="231"/>
        <v>6128</v>
      </c>
      <c r="AL252" s="95">
        <f t="shared" si="232"/>
        <v>0</v>
      </c>
      <c r="AM252" s="95">
        <f t="shared" si="233"/>
        <v>0</v>
      </c>
      <c r="AN252" s="95">
        <f t="shared" si="234"/>
        <v>0</v>
      </c>
      <c r="AO252" s="95">
        <f t="shared" si="235"/>
        <v>0</v>
      </c>
      <c r="AP252"/>
      <c r="AQ252" s="95">
        <f t="shared" si="236"/>
        <v>0</v>
      </c>
      <c r="AR252" s="95">
        <f t="shared" si="237"/>
        <v>0</v>
      </c>
      <c r="AS252" s="95">
        <f>Geraetedaten!$B$94*ABS(SIN(RADIANS($A252)))</f>
        <v>79.315863536148342</v>
      </c>
      <c r="AT252" s="95">
        <f>Geraetedaten!$B$94*ABS(COS(RADIANS($A252)))</f>
        <v>132.00376430812531</v>
      </c>
      <c r="AU252" s="95">
        <f>((h_Aw_Sw+Geraetedaten!$B$18)/1000)*(AQ252*AS252+AR252*AT252)/100</f>
        <v>0</v>
      </c>
    </row>
    <row r="253" spans="1:47" ht="13.5" x14ac:dyDescent="0.25">
      <c r="A253" s="16">
        <v>212</v>
      </c>
      <c r="B253" s="16">
        <f t="shared" ref="B253:B284" si="238">360-A253+90</f>
        <v>238</v>
      </c>
      <c r="C253" s="19">
        <f t="shared" ref="C253:C284" si="239">$AE$16*ABS(COS(RADIANS(A253)))+$AE$17*ABS(SIN(RADIANS(A253)))+AU253</f>
        <v>59.071723043319224</v>
      </c>
      <c r="D253" s="17">
        <f t="shared" ref="D253:D284" si="240">IF(ISNUMBER(U253),U253-C253,"unendlich")</f>
        <v>5266.1515469566812</v>
      </c>
      <c r="E253" s="17">
        <f t="shared" ref="E253:E284" si="241">IF(ISNUMBER(Y253),Y253-C253,"unendlich")</f>
        <v>9830.7246369566819</v>
      </c>
      <c r="F253" s="17">
        <f t="shared" ref="F253:F284" si="242">IF(ISNUMBER(AC253),AC253-C253,"unendlich")</f>
        <v>-5184.1219130433192</v>
      </c>
      <c r="G253" s="17">
        <f t="shared" ref="G253:G284" si="243">IF(ISNUMBER(AG253),AG253-C253,"unendlich")</f>
        <v>-10558.270173043318</v>
      </c>
      <c r="H253" s="17">
        <f t="shared" ref="H253:H284" si="244">SMALL(D253:G253,COUNTIF(D253:G253,"&lt;0")+1)</f>
        <v>5266.1515469566812</v>
      </c>
      <c r="I253" s="17">
        <f t="shared" ref="I253:I284" si="245">IF(H253+C253=U253,W253,IF(H253+C253=Y253,AA253,IF(H253+C253=AC253,AE253,IF(H253+C253=AG253,AI253,"???"))))</f>
        <v>2147.743684827768</v>
      </c>
      <c r="J253" s="20">
        <f>(Geraetedaten!$B$152+(Geraetedaten!$B$153*(Geraetedaten!$B$18+d_y_Sw)/1000))*10</f>
        <v>6051.0442000000003</v>
      </c>
      <c r="K253" s="20">
        <f>(Geraetedaten!$B$165+(Geraetedaten!$B$166*(Geraetedaten!$B$18+d_y_Sw)/1000))*10</f>
        <v>10816.164000000001</v>
      </c>
      <c r="L253" s="20">
        <f>(Geraetedaten!$B$158+(Geraetedaten!$B$159*(Geraetedaten!$B$18+d_y_Sw)/1000)-(Geraetedaten!$B$160*I253/1000))*10</f>
        <v>444.04255559157951</v>
      </c>
      <c r="M253" s="20">
        <f>(Geraetedaten!$B$171+(Geraetedaten!$B$172*(Geraetedaten!$B$18+d_y_Sw)/1000)-(Geraetedaten!$B$173*I253/1000))*10</f>
        <v>904.98896010142187</v>
      </c>
      <c r="N253" s="20">
        <f>IF((H253-J253)/(K253-J253)*(Geraetedaten!$B$174-Geraetedaten!$B$161)&lt;Geraetedaten!$B$174,(H253-J253)/(K253-J253)*(Geraetedaten!$B$174-Geraetedaten!$B$161),Geraetedaten!$B$174)</f>
        <v>-65.886499058707329</v>
      </c>
      <c r="O253" s="20">
        <f>N253/Geraetedaten!$B$174*(M253-L253)+L253+C253</f>
        <v>427.18891651776812</v>
      </c>
      <c r="P253" s="20">
        <f t="shared" ref="P253:P284" si="246">O253*100/9.81/(Q253-(I253/1000))</f>
        <v>173.54551265987595</v>
      </c>
      <c r="Q253" s="21">
        <f>(N253-Geraetedaten!$B$161)/(Geraetedaten!$B$174-Geraetedaten!$B$161)*(Geraetedaten!$B$175-Geraetedaten!$B$162)+Geraetedaten!$B$162</f>
        <v>27.239876653003456</v>
      </c>
      <c r="R253" s="21">
        <f t="shared" ref="R253:R284" si="247">SQRT((r_K_D/1000)^2+Q253^2-(2*(r_K_D/1000)*Q253*COS(RADIANS(2*A253))))</f>
        <v>27.239876653003456</v>
      </c>
      <c r="S253" s="21">
        <f t="shared" ref="S253:S284" si="248">R253*SIN(A253*Const_2)</f>
        <v>-14.434935393762844</v>
      </c>
      <c r="T253" s="88">
        <f t="shared" ref="T253:T284" si="249">R253*COS(A253*Const_2)</f>
        <v>-23.100725535115462</v>
      </c>
      <c r="U253" s="86">
        <f t="shared" ref="U253:U284" si="250">ROUND((F_S*r_Su_L-F_G*V253+F_SSw*X253)/(SIN(RADIANS(270+g_L-A253)))/1000,5)</f>
        <v>5325.2232700000004</v>
      </c>
      <c r="V253" s="85">
        <f t="shared" ref="V253:V284" si="251">(SIN(RADIANS(g_L)))*(((VL_Z-HL_Z)/(VL_X-HL_X))*(-HL_X+AM253)+HL_Z-AL253)</f>
        <v>-1141.3067828769733</v>
      </c>
      <c r="W253" s="85">
        <f t="shared" ref="W253:W284" si="252">V253/(SIN(RADIANS(180-g_L-(90-$A253))))</f>
        <v>2147.743684827768</v>
      </c>
      <c r="X253" s="90">
        <f t="shared" ref="X253:X284" si="253">SIN(RADIANS(g_L))*(((VL_Z-HL_Z)/(VL_X-HL_X))*(-AO253+HL_X)-HL_Z+AN253)</f>
        <v>1141.3067828769733</v>
      </c>
      <c r="Y253" s="86">
        <f t="shared" ref="Y253:Y284" si="254">ROUND((F_S*r_Su_H-F_G*Z253+F_SSw*AB253)/(SIN(RADIANS(180+g_H-A253)))/1000,5)</f>
        <v>9889.7963600000003</v>
      </c>
      <c r="Z253" s="85">
        <f t="shared" ref="Z253:Z284" si="255">(SIN(RADIANS(g_H)))*(((HL_X-HR_X)/(HL_Z-HR_Z))*(-HR_Z+AL253)+HR_X-AM253)</f>
        <v>-750</v>
      </c>
      <c r="AA253" s="85">
        <f t="shared" ref="AA253:AA284" si="256">Z253/(SIN(RADIANS(g_H-$A253)))</f>
        <v>884.38380252157219</v>
      </c>
      <c r="AB253" s="90">
        <f t="shared" ref="AB253:AB284" si="257">SIN(RADIANS(g_H))*(((HL_X-HR_X)/(HL_Z-HR_Z))*(-AN253+HR_Z)-HR_X+AO253)</f>
        <v>750</v>
      </c>
      <c r="AC253" s="86">
        <f t="shared" ref="AC253:AC284" si="258">ROUND((F_S*r_Su_R+F_G*AD253+F_SSw*AF253)/(SIN(RADIANS(90+g_R-A253)))/1000,5)</f>
        <v>-5125.0501899999999</v>
      </c>
      <c r="AD253" s="85">
        <f t="shared" ref="AD253:AD284" si="259">(SIN(RADIANS(g_R)))*(((HR_Z-VR_Z)/(HR_X-VR_X))*(-VR_X+AM253)+VR_Z-AL253)</f>
        <v>1055.7627565116984</v>
      </c>
      <c r="AE253" s="85">
        <f t="shared" ref="AE253:AE284" si="260">AD253/(SIN(RADIANS(180-g_R-(90-$A253))))</f>
        <v>-1995.5599343981216</v>
      </c>
      <c r="AF253" s="90">
        <f t="shared" ref="AF253:AF284" si="261">(SIN(RADIANS(g_R)))*(((HR_Z-VR_Z)/(HR_X-VR_X))*(-VR_X+AO253)+VR_Z-AN253)</f>
        <v>1055.7627565116984</v>
      </c>
      <c r="AG253" s="86">
        <f t="shared" ref="AG253:AG284" si="262">ROUND((F_S*r_Su_V+F_G*AH253+F_SSw*AJ253)/(SIN(RADIANS(g_V-A253)))/1000,5)</f>
        <v>-10499.19845</v>
      </c>
      <c r="AH253" s="85">
        <f t="shared" ref="AH253:AH284" si="263">(SIN(RADIANS(g_V)))*(((VR_X-VL_X)/(VR_Z-VL_Z))*(AL253-VL_Z)+VL_X-AM253)</f>
        <v>6128</v>
      </c>
      <c r="AI253" s="85">
        <f t="shared" ref="AI253:AI284" si="264">AH253/(SIN(RADIANS(g_V-$A253)))</f>
        <v>-7226.0052558029265</v>
      </c>
      <c r="AJ253" s="90">
        <f t="shared" ref="AJ253:AJ284" si="265">(SIN(RADIANS(g_V)))*(((VR_X-VL_X)/(VR_Z-VL_Z))*(-VL_Z+AN253)+VL_X-AO253)</f>
        <v>6128</v>
      </c>
      <c r="AL253" s="95">
        <f t="shared" ref="AL253:AL284" si="266">SIN(RADIANS(A253))*r_K_D</f>
        <v>0</v>
      </c>
      <c r="AM253" s="95">
        <f t="shared" ref="AM253:AM284" si="267">COS(RADIANS(A253-180))*r_K_D</f>
        <v>0</v>
      </c>
      <c r="AN253" s="95">
        <f t="shared" ref="AN253:AN284" si="268">SIN(RADIANS(A253))*r_K_SSw</f>
        <v>0</v>
      </c>
      <c r="AO253" s="95">
        <f t="shared" ref="AO253:AO284" si="269">-COS(RADIANS(A253))*r_K_SSw</f>
        <v>0</v>
      </c>
      <c r="AP253"/>
      <c r="AQ253" s="95">
        <f t="shared" ref="AQ253:AQ284" si="270">MAX(d_y_Sw*(r_K_D*ABS(COS(RADIANS($A253)))+_r1_Sw+_r2_Sw), 2*_r1_Sw*d_y_Sw)/1000000</f>
        <v>0</v>
      </c>
      <c r="AR253" s="95">
        <f t="shared" ref="AR253:AR284" si="271">MAX(d_y_Sw*(r_K_D*ABS(SIN(RADIANS($A253)))+_r1_Sw+_r2_Sw), 2*_r1_Sw*d_y_Sw)/1000000</f>
        <v>0</v>
      </c>
      <c r="AS253" s="95">
        <f>Geraetedaten!$B$94*ABS(SIN(RADIANS($A253)))</f>
        <v>81.607566691913533</v>
      </c>
      <c r="AT253" s="95">
        <f>Geraetedaten!$B$94*ABS(COS(RADIANS($A253)))</f>
        <v>130.59940680808961</v>
      </c>
      <c r="AU253" s="95">
        <f>((h_Aw_Sw+Geraetedaten!$B$18)/1000)*(AQ253*AS253+AR253*AT253)/100</f>
        <v>0</v>
      </c>
    </row>
    <row r="254" spans="1:47" ht="13.5" x14ac:dyDescent="0.25">
      <c r="A254" s="16">
        <v>213</v>
      </c>
      <c r="B254" s="16">
        <f t="shared" si="238"/>
        <v>237</v>
      </c>
      <c r="C254" s="19">
        <f t="shared" si="239"/>
        <v>59.726309172009181</v>
      </c>
      <c r="D254" s="17">
        <f t="shared" si="240"/>
        <v>5122.1191608279914</v>
      </c>
      <c r="E254" s="17">
        <f t="shared" si="241"/>
        <v>9940.6520208279908</v>
      </c>
      <c r="F254" s="17">
        <f t="shared" si="242"/>
        <v>-5045.9561691720091</v>
      </c>
      <c r="G254" s="17">
        <f t="shared" si="243"/>
        <v>-10676.320709172009</v>
      </c>
      <c r="H254" s="17">
        <f t="shared" si="244"/>
        <v>5122.1191608279914</v>
      </c>
      <c r="I254" s="17">
        <f t="shared" si="245"/>
        <v>2089.9172333847878</v>
      </c>
      <c r="J254" s="20">
        <f>(Geraetedaten!$B$152+(Geraetedaten!$B$153*(Geraetedaten!$B$18+d_y_Sw)/1000))*10</f>
        <v>6051.0442000000003</v>
      </c>
      <c r="K254" s="20">
        <f>(Geraetedaten!$B$165+(Geraetedaten!$B$166*(Geraetedaten!$B$18+d_y_Sw)/1000))*10</f>
        <v>10816.164000000001</v>
      </c>
      <c r="L254" s="20">
        <f>(Geraetedaten!$B$158+(Geraetedaten!$B$159*(Geraetedaten!$B$18+d_y_Sw)/1000)-(Geraetedaten!$B$160*I254/1000))*10</f>
        <v>448.28296927589327</v>
      </c>
      <c r="M254" s="20">
        <f>(Geraetedaten!$B$171+(Geraetedaten!$B$172*(Geraetedaten!$B$18+d_y_Sw)/1000)-(Geraetedaten!$B$173*I254/1000))*10</f>
        <v>909.29356114683731</v>
      </c>
      <c r="N254" s="20">
        <f>IF((H254-J254)/(K254-J254)*(Geraetedaten!$B$174-Geraetedaten!$B$161)&lt;Geraetedaten!$B$174,(H254-J254)/(K254-J254)*(Geraetedaten!$B$174-Geraetedaten!$B$161),Geraetedaten!$B$174)</f>
        <v>-77.977056456965371</v>
      </c>
      <c r="O254" s="20">
        <f>N254/Geraetedaten!$B$174*(M254-L254)+L254+C254</f>
        <v>418.13865607395337</v>
      </c>
      <c r="P254" s="20">
        <f t="shared" si="246"/>
        <v>171.93731344148867</v>
      </c>
      <c r="Q254" s="21">
        <f>(N254-Geraetedaten!$B$161)/(Geraetedaten!$B$174-Geraetedaten!$B$161)*(Geraetedaten!$B$175-Geraetedaten!$B$162)+Geraetedaten!$B$162</f>
        <v>26.880182570405278</v>
      </c>
      <c r="R254" s="21">
        <f t="shared" si="247"/>
        <v>26.880182570405278</v>
      </c>
      <c r="S254" s="21">
        <f t="shared" si="248"/>
        <v>-14.639996696173281</v>
      </c>
      <c r="T254" s="88">
        <f t="shared" si="249"/>
        <v>-22.543617982798484</v>
      </c>
      <c r="U254" s="86">
        <f t="shared" si="250"/>
        <v>5181.8454700000002</v>
      </c>
      <c r="V254" s="85">
        <f t="shared" si="251"/>
        <v>-1141.3067828769733</v>
      </c>
      <c r="W254" s="85">
        <f t="shared" si="252"/>
        <v>2089.9172333847878</v>
      </c>
      <c r="X254" s="90">
        <f t="shared" si="253"/>
        <v>1141.3067828769733</v>
      </c>
      <c r="Y254" s="86">
        <f t="shared" si="254"/>
        <v>10000.37833</v>
      </c>
      <c r="Z254" s="85">
        <f t="shared" si="255"/>
        <v>-750</v>
      </c>
      <c r="AA254" s="85">
        <f t="shared" si="256"/>
        <v>894.27246962696074</v>
      </c>
      <c r="AB254" s="90">
        <f t="shared" si="257"/>
        <v>750</v>
      </c>
      <c r="AC254" s="86">
        <f t="shared" si="258"/>
        <v>-4986.2298600000004</v>
      </c>
      <c r="AD254" s="85">
        <f t="shared" si="259"/>
        <v>1055.7627565116984</v>
      </c>
      <c r="AE254" s="85">
        <f t="shared" si="260"/>
        <v>-1941.506946963872</v>
      </c>
      <c r="AF254" s="90">
        <f t="shared" si="261"/>
        <v>1055.7627565116984</v>
      </c>
      <c r="AG254" s="86">
        <f t="shared" si="262"/>
        <v>-10616.5944</v>
      </c>
      <c r="AH254" s="85">
        <f t="shared" si="263"/>
        <v>6128</v>
      </c>
      <c r="AI254" s="85">
        <f t="shared" si="264"/>
        <v>-7306.8022584986866</v>
      </c>
      <c r="AJ254" s="90">
        <f t="shared" si="265"/>
        <v>6128</v>
      </c>
      <c r="AL254" s="95">
        <f t="shared" si="266"/>
        <v>0</v>
      </c>
      <c r="AM254" s="95">
        <f t="shared" si="267"/>
        <v>0</v>
      </c>
      <c r="AN254" s="95">
        <f t="shared" si="268"/>
        <v>0</v>
      </c>
      <c r="AO254" s="95">
        <f t="shared" si="269"/>
        <v>0</v>
      </c>
      <c r="AP254"/>
      <c r="AQ254" s="95">
        <f t="shared" si="270"/>
        <v>0</v>
      </c>
      <c r="AR254" s="95">
        <f t="shared" si="271"/>
        <v>0</v>
      </c>
      <c r="AS254" s="95">
        <f>Geraetedaten!$B$94*ABS(SIN(RADIANS($A254)))</f>
        <v>83.874411392314173</v>
      </c>
      <c r="AT254" s="95">
        <f>Geraetedaten!$B$94*ABS(COS(RADIANS($A254)))</f>
        <v>129.15526746359529</v>
      </c>
      <c r="AU254" s="95">
        <f>((h_Aw_Sw+Geraetedaten!$B$18)/1000)*(AQ254*AS254+AR254*AT254)/100</f>
        <v>0</v>
      </c>
    </row>
    <row r="255" spans="1:47" ht="13.5" x14ac:dyDescent="0.25">
      <c r="A255" s="16">
        <v>214</v>
      </c>
      <c r="B255" s="16">
        <f t="shared" si="238"/>
        <v>236</v>
      </c>
      <c r="C255" s="19">
        <f t="shared" si="239"/>
        <v>60.362702088343582</v>
      </c>
      <c r="D255" s="17">
        <f t="shared" si="240"/>
        <v>4987.1204279116564</v>
      </c>
      <c r="E255" s="17">
        <f t="shared" si="241"/>
        <v>10056.214947911656</v>
      </c>
      <c r="F255" s="17">
        <f t="shared" si="242"/>
        <v>-4916.5344920883435</v>
      </c>
      <c r="G255" s="17">
        <f t="shared" si="243"/>
        <v>-10800.316532088344</v>
      </c>
      <c r="H255" s="17">
        <f t="shared" si="244"/>
        <v>4987.1204279116564</v>
      </c>
      <c r="I255" s="17">
        <f t="shared" si="245"/>
        <v>2035.7268564675883</v>
      </c>
      <c r="J255" s="20">
        <f>(Geraetedaten!$B$152+(Geraetedaten!$B$153*(Geraetedaten!$B$18+d_y_Sw)/1000))*10</f>
        <v>6051.0442000000003</v>
      </c>
      <c r="K255" s="20">
        <f>(Geraetedaten!$B$165+(Geraetedaten!$B$166*(Geraetedaten!$B$18+d_y_Sw)/1000))*10</f>
        <v>10816.164000000001</v>
      </c>
      <c r="L255" s="20">
        <f>(Geraetedaten!$B$158+(Geraetedaten!$B$159*(Geraetedaten!$B$18+d_y_Sw)/1000)-(Geraetedaten!$B$160*I255/1000))*10</f>
        <v>452.25674961523157</v>
      </c>
      <c r="M255" s="20">
        <f>(Geraetedaten!$B$171+(Geraetedaten!$B$172*(Geraetedaten!$B$18+d_y_Sw)/1000)-(Geraetedaten!$B$173*I255/1000))*10</f>
        <v>913.32749280455357</v>
      </c>
      <c r="N255" s="20">
        <f>IF((H255-J255)/(K255-J255)*(Geraetedaten!$B$174-Geraetedaten!$B$161)&lt;Geraetedaten!$B$174,(H255-J255)/(K255-J255)*(Geraetedaten!$B$174-Geraetedaten!$B$161),Geraetedaten!$B$174)</f>
        <v>-89.309298967748404</v>
      </c>
      <c r="O255" s="20">
        <f>N255/Geraetedaten!$B$174*(M255-L255)+L255+C255</f>
        <v>409.67468958163238</v>
      </c>
      <c r="P255" s="20">
        <f t="shared" si="246"/>
        <v>170.40183915712433</v>
      </c>
      <c r="Q255" s="21">
        <f>(N255-Geraetedaten!$B$161)/(Geraetedaten!$B$174-Geraetedaten!$B$161)*(Geraetedaten!$B$175-Geraetedaten!$B$162)+Geraetedaten!$B$162</f>
        <v>26.543048355709484</v>
      </c>
      <c r="R255" s="21">
        <f t="shared" si="247"/>
        <v>26.543048355709484</v>
      </c>
      <c r="S255" s="21">
        <f t="shared" si="248"/>
        <v>-14.842684276993614</v>
      </c>
      <c r="T255" s="88">
        <f t="shared" si="249"/>
        <v>-22.005184377028485</v>
      </c>
      <c r="U255" s="86">
        <f t="shared" si="250"/>
        <v>5047.4831299999996</v>
      </c>
      <c r="V255" s="85">
        <f t="shared" si="251"/>
        <v>-1141.3067828769733</v>
      </c>
      <c r="W255" s="85">
        <f t="shared" si="252"/>
        <v>2035.7268564675883</v>
      </c>
      <c r="X255" s="90">
        <f t="shared" si="253"/>
        <v>1141.3067828769733</v>
      </c>
      <c r="Y255" s="86">
        <f t="shared" si="254"/>
        <v>10116.577649999999</v>
      </c>
      <c r="Z255" s="85">
        <f t="shared" si="255"/>
        <v>-750</v>
      </c>
      <c r="AA255" s="85">
        <f t="shared" si="256"/>
        <v>904.66346137792902</v>
      </c>
      <c r="AB255" s="90">
        <f t="shared" si="257"/>
        <v>750</v>
      </c>
      <c r="AC255" s="86">
        <f t="shared" si="258"/>
        <v>-4856.1717900000003</v>
      </c>
      <c r="AD255" s="85">
        <f t="shared" si="259"/>
        <v>1055.7627565116984</v>
      </c>
      <c r="AE255" s="85">
        <f t="shared" si="260"/>
        <v>-1890.8657479231324</v>
      </c>
      <c r="AF255" s="90">
        <f t="shared" si="261"/>
        <v>1055.7627565116984</v>
      </c>
      <c r="AG255" s="86">
        <f t="shared" si="262"/>
        <v>-10739.95383</v>
      </c>
      <c r="AH255" s="85">
        <f t="shared" si="263"/>
        <v>6128</v>
      </c>
      <c r="AI255" s="85">
        <f t="shared" si="264"/>
        <v>-7391.7035884319321</v>
      </c>
      <c r="AJ255" s="90">
        <f t="shared" si="265"/>
        <v>6128</v>
      </c>
      <c r="AL255" s="95">
        <f t="shared" si="266"/>
        <v>0</v>
      </c>
      <c r="AM255" s="95">
        <f t="shared" si="267"/>
        <v>0</v>
      </c>
      <c r="AN255" s="95">
        <f t="shared" si="268"/>
        <v>0</v>
      </c>
      <c r="AO255" s="95">
        <f t="shared" si="269"/>
        <v>0</v>
      </c>
      <c r="AP255"/>
      <c r="AQ255" s="95">
        <f t="shared" si="270"/>
        <v>0</v>
      </c>
      <c r="AR255" s="95">
        <f t="shared" si="271"/>
        <v>0</v>
      </c>
      <c r="AS255" s="95">
        <f>Geraetedaten!$B$94*ABS(SIN(RADIANS($A255)))</f>
        <v>86.115707134494983</v>
      </c>
      <c r="AT255" s="95">
        <f>Geraetedaten!$B$94*ABS(COS(RADIANS($A255)))</f>
        <v>127.67178617347645</v>
      </c>
      <c r="AU255" s="95">
        <f>((h_Aw_Sw+Geraetedaten!$B$18)/1000)*(AQ255*AS255+AR255*AT255)/100</f>
        <v>0</v>
      </c>
    </row>
    <row r="256" spans="1:47" ht="13.5" x14ac:dyDescent="0.25">
      <c r="A256" s="16">
        <v>215</v>
      </c>
      <c r="B256" s="16">
        <f t="shared" si="238"/>
        <v>235</v>
      </c>
      <c r="C256" s="19">
        <f t="shared" si="239"/>
        <v>60.98070794087527</v>
      </c>
      <c r="D256" s="17">
        <f t="shared" si="240"/>
        <v>4860.3930720591243</v>
      </c>
      <c r="E256" s="17">
        <f t="shared" si="241"/>
        <v>10177.683822059125</v>
      </c>
      <c r="F256" s="17">
        <f t="shared" si="242"/>
        <v>-4795.1120779408757</v>
      </c>
      <c r="G256" s="17">
        <f t="shared" si="243"/>
        <v>-10930.544317940874</v>
      </c>
      <c r="H256" s="17">
        <f t="shared" si="244"/>
        <v>4860.3930720591243</v>
      </c>
      <c r="I256" s="17">
        <f t="shared" si="245"/>
        <v>1984.8650330611445</v>
      </c>
      <c r="J256" s="20">
        <f>(Geraetedaten!$B$152+(Geraetedaten!$B$153*(Geraetedaten!$B$18+d_y_Sw)/1000))*10</f>
        <v>6051.0442000000003</v>
      </c>
      <c r="K256" s="20">
        <f>(Geraetedaten!$B$165+(Geraetedaten!$B$166*(Geraetedaten!$B$18+d_y_Sw)/1000))*10</f>
        <v>10816.164000000001</v>
      </c>
      <c r="L256" s="20">
        <f>(Geraetedaten!$B$158+(Geraetedaten!$B$159*(Geraetedaten!$B$18+d_y_Sw)/1000)-(Geraetedaten!$B$160*I256/1000))*10</f>
        <v>455.986447125626</v>
      </c>
      <c r="M256" s="20">
        <f>(Geraetedaten!$B$171+(Geraetedaten!$B$172*(Geraetedaten!$B$18+d_y_Sw)/1000)-(Geraetedaten!$B$173*I256/1000))*10</f>
        <v>917.11364693892938</v>
      </c>
      <c r="N256" s="20">
        <f>IF((H256-J256)/(K256-J256)*(Geraetedaten!$B$174-Geraetedaten!$B$161)&lt;Geraetedaten!$B$174,(H256-J256)/(K256-J256)*(Geraetedaten!$B$174-Geraetedaten!$B$161),Geraetedaten!$B$174)</f>
        <v>-99.947214585528442</v>
      </c>
      <c r="O256" s="20">
        <f>N256/Geraetedaten!$B$174*(M256-L256)+L256+C256</f>
        <v>401.74620708909106</v>
      </c>
      <c r="P256" s="20">
        <f t="shared" si="246"/>
        <v>168.93498981441783</v>
      </c>
      <c r="Q256" s="21">
        <f>(N256-Geraetedaten!$B$161)/(Geraetedaten!$B$174-Geraetedaten!$B$161)*(Geraetedaten!$B$175-Geraetedaten!$B$162)+Geraetedaten!$B$162</f>
        <v>26.226570366080526</v>
      </c>
      <c r="R256" s="21">
        <f t="shared" si="247"/>
        <v>26.226570366080526</v>
      </c>
      <c r="S256" s="21">
        <f t="shared" si="248"/>
        <v>-15.042942768286421</v>
      </c>
      <c r="T256" s="88">
        <f t="shared" si="249"/>
        <v>-21.483548730063955</v>
      </c>
      <c r="U256" s="86">
        <f t="shared" si="250"/>
        <v>4921.3737799999999</v>
      </c>
      <c r="V256" s="85">
        <f t="shared" si="251"/>
        <v>-1141.3067828769733</v>
      </c>
      <c r="W256" s="85">
        <f t="shared" si="252"/>
        <v>1984.8650330611445</v>
      </c>
      <c r="X256" s="90">
        <f t="shared" si="253"/>
        <v>1141.3067828769733</v>
      </c>
      <c r="Y256" s="86">
        <f t="shared" si="254"/>
        <v>10238.66453</v>
      </c>
      <c r="Z256" s="85">
        <f t="shared" si="255"/>
        <v>-750</v>
      </c>
      <c r="AA256" s="85">
        <f t="shared" si="256"/>
        <v>915.58094157109213</v>
      </c>
      <c r="AB256" s="90">
        <f t="shared" si="257"/>
        <v>750</v>
      </c>
      <c r="AC256" s="86">
        <f t="shared" si="258"/>
        <v>-4734.1313700000001</v>
      </c>
      <c r="AD256" s="85">
        <f t="shared" si="259"/>
        <v>1055.7627565116984</v>
      </c>
      <c r="AE256" s="85">
        <f t="shared" si="260"/>
        <v>-1843.346415358568</v>
      </c>
      <c r="AF256" s="90">
        <f t="shared" si="261"/>
        <v>1055.7627565116984</v>
      </c>
      <c r="AG256" s="86">
        <f t="shared" si="262"/>
        <v>-10869.563609999999</v>
      </c>
      <c r="AH256" s="85">
        <f t="shared" si="263"/>
        <v>6128</v>
      </c>
      <c r="AI256" s="85">
        <f t="shared" si="264"/>
        <v>-7480.9066799302036</v>
      </c>
      <c r="AJ256" s="90">
        <f t="shared" si="265"/>
        <v>6128</v>
      </c>
      <c r="AL256" s="95">
        <f t="shared" si="266"/>
        <v>0</v>
      </c>
      <c r="AM256" s="95">
        <f t="shared" si="267"/>
        <v>0</v>
      </c>
      <c r="AN256" s="95">
        <f t="shared" si="268"/>
        <v>0</v>
      </c>
      <c r="AO256" s="95">
        <f t="shared" si="269"/>
        <v>0</v>
      </c>
      <c r="AP256"/>
      <c r="AQ256" s="95">
        <f t="shared" si="270"/>
        <v>0</v>
      </c>
      <c r="AR256" s="95">
        <f t="shared" si="271"/>
        <v>0</v>
      </c>
      <c r="AS256" s="95">
        <f>Geraetedaten!$B$94*ABS(SIN(RADIANS($A256)))</f>
        <v>88.330771198061115</v>
      </c>
      <c r="AT256" s="95">
        <f>Geraetedaten!$B$94*ABS(COS(RADIANS($A256)))</f>
        <v>126.14941482050473</v>
      </c>
      <c r="AU256" s="95">
        <f>((h_Aw_Sw+Geraetedaten!$B$18)/1000)*(AQ256*AS256+AR256*AT256)/100</f>
        <v>0</v>
      </c>
    </row>
    <row r="257" spans="1:47" ht="13.5" x14ac:dyDescent="0.25">
      <c r="A257" s="16">
        <v>216</v>
      </c>
      <c r="B257" s="16">
        <f t="shared" si="238"/>
        <v>234</v>
      </c>
      <c r="C257" s="19">
        <f t="shared" si="239"/>
        <v>61.580138479034758</v>
      </c>
      <c r="D257" s="17">
        <f t="shared" si="240"/>
        <v>4741.2596015209656</v>
      </c>
      <c r="E257" s="17">
        <f t="shared" si="241"/>
        <v>10305.350391520966</v>
      </c>
      <c r="F257" s="17">
        <f t="shared" si="242"/>
        <v>-4681.027348479035</v>
      </c>
      <c r="G257" s="17">
        <f t="shared" si="243"/>
        <v>-11067.313408479036</v>
      </c>
      <c r="H257" s="17">
        <f t="shared" si="244"/>
        <v>4741.2596015209656</v>
      </c>
      <c r="I257" s="17">
        <f t="shared" si="245"/>
        <v>1937.058447265071</v>
      </c>
      <c r="J257" s="20">
        <f>(Geraetedaten!$B$152+(Geraetedaten!$B$153*(Geraetedaten!$B$18+d_y_Sw)/1000))*10</f>
        <v>6051.0442000000003</v>
      </c>
      <c r="K257" s="20">
        <f>(Geraetedaten!$B$165+(Geraetedaten!$B$166*(Geraetedaten!$B$18+d_y_Sw)/1000))*10</f>
        <v>10816.164000000001</v>
      </c>
      <c r="L257" s="20">
        <f>(Geraetedaten!$B$158+(Geraetedaten!$B$159*(Geraetedaten!$B$18+d_y_Sw)/1000)-(Geraetedaten!$B$160*I257/1000))*10</f>
        <v>459.49210406205214</v>
      </c>
      <c r="M257" s="20">
        <f>(Geraetedaten!$B$171+(Geraetedaten!$B$172*(Geraetedaten!$B$18+d_y_Sw)/1000)-(Geraetedaten!$B$173*I257/1000))*10</f>
        <v>920.6723691855891</v>
      </c>
      <c r="N257" s="20">
        <f>IF((H257-J257)/(K257-J257)*(Geraetedaten!$B$174-Geraetedaten!$B$161)&lt;Geraetedaten!$B$174,(H257-J257)/(K257-J257)*(Geraetedaten!$B$174-Geraetedaten!$B$161),Geraetedaten!$B$174)</f>
        <v>-109.94767422040761</v>
      </c>
      <c r="O257" s="20">
        <f>N257/Geraetedaten!$B$174*(M257-L257)+L257+C257</f>
        <v>394.30799867437725</v>
      </c>
      <c r="P257" s="20">
        <f t="shared" si="246"/>
        <v>167.53292021697578</v>
      </c>
      <c r="Q257" s="21">
        <f>(N257-Geraetedaten!$B$161)/(Geraetedaten!$B$174-Geraetedaten!$B$161)*(Geraetedaten!$B$175-Geraetedaten!$B$162)+Geraetedaten!$B$162</f>
        <v>25.929056691942872</v>
      </c>
      <c r="R257" s="21">
        <f t="shared" si="247"/>
        <v>25.929056691942872</v>
      </c>
      <c r="S257" s="21">
        <f t="shared" si="248"/>
        <v>-15.240717129379478</v>
      </c>
      <c r="T257" s="88">
        <f t="shared" si="249"/>
        <v>-20.977047511893243</v>
      </c>
      <c r="U257" s="86">
        <f t="shared" si="250"/>
        <v>4802.8397400000003</v>
      </c>
      <c r="V257" s="85">
        <f t="shared" si="251"/>
        <v>-1141.3067828769733</v>
      </c>
      <c r="W257" s="85">
        <f t="shared" si="252"/>
        <v>1937.058447265071</v>
      </c>
      <c r="X257" s="90">
        <f t="shared" si="253"/>
        <v>1141.3067828769733</v>
      </c>
      <c r="Y257" s="86">
        <f t="shared" si="254"/>
        <v>10366.93053</v>
      </c>
      <c r="Z257" s="85">
        <f t="shared" si="255"/>
        <v>-750</v>
      </c>
      <c r="AA257" s="85">
        <f t="shared" si="256"/>
        <v>927.05098312484222</v>
      </c>
      <c r="AB257" s="90">
        <f t="shared" si="257"/>
        <v>750</v>
      </c>
      <c r="AC257" s="86">
        <f t="shared" si="258"/>
        <v>-4619.4472100000003</v>
      </c>
      <c r="AD257" s="85">
        <f t="shared" si="259"/>
        <v>1055.7627565116984</v>
      </c>
      <c r="AE257" s="85">
        <f t="shared" si="260"/>
        <v>-1798.6914140973299</v>
      </c>
      <c r="AF257" s="90">
        <f t="shared" si="261"/>
        <v>1055.7627565116984</v>
      </c>
      <c r="AG257" s="86">
        <f t="shared" si="262"/>
        <v>-11005.733270000001</v>
      </c>
      <c r="AH257" s="85">
        <f t="shared" si="263"/>
        <v>6128</v>
      </c>
      <c r="AI257" s="85">
        <f t="shared" si="264"/>
        <v>-7574.6245661187113</v>
      </c>
      <c r="AJ257" s="90">
        <f t="shared" si="265"/>
        <v>6128</v>
      </c>
      <c r="AL257" s="95">
        <f t="shared" si="266"/>
        <v>0</v>
      </c>
      <c r="AM257" s="95">
        <f t="shared" si="267"/>
        <v>0</v>
      </c>
      <c r="AN257" s="95">
        <f t="shared" si="268"/>
        <v>0</v>
      </c>
      <c r="AO257" s="95">
        <f t="shared" si="269"/>
        <v>0</v>
      </c>
      <c r="AP257"/>
      <c r="AQ257" s="95">
        <f t="shared" si="270"/>
        <v>0</v>
      </c>
      <c r="AR257" s="95">
        <f t="shared" si="271"/>
        <v>0</v>
      </c>
      <c r="AS257" s="95">
        <f>Geraetedaten!$B$94*ABS(SIN(RADIANS($A257)))</f>
        <v>90.518928853040848</v>
      </c>
      <c r="AT257" s="95">
        <f>Geraetedaten!$B$94*ABS(COS(RADIANS($A257)))</f>
        <v>124.58861713374192</v>
      </c>
      <c r="AU257" s="95">
        <f>((h_Aw_Sw+Geraetedaten!$B$18)/1000)*(AQ257*AS257+AR257*AT257)/100</f>
        <v>0</v>
      </c>
    </row>
    <row r="258" spans="1:47" ht="13.5" x14ac:dyDescent="0.25">
      <c r="A258" s="16">
        <v>217</v>
      </c>
      <c r="B258" s="16">
        <f t="shared" si="238"/>
        <v>233</v>
      </c>
      <c r="C258" s="19">
        <f t="shared" si="239"/>
        <v>62.160811110473361</v>
      </c>
      <c r="D258" s="17">
        <f t="shared" si="240"/>
        <v>4629.1159088895265</v>
      </c>
      <c r="E258" s="17">
        <f t="shared" si="241"/>
        <v>10439.529718889526</v>
      </c>
      <c r="F258" s="17">
        <f t="shared" si="242"/>
        <v>-4573.6906211104733</v>
      </c>
      <c r="G258" s="17">
        <f t="shared" si="243"/>
        <v>-11210.957911110474</v>
      </c>
      <c r="H258" s="17">
        <f t="shared" si="244"/>
        <v>4629.1159088895265</v>
      </c>
      <c r="I258" s="17">
        <f t="shared" si="245"/>
        <v>1892.0633820355497</v>
      </c>
      <c r="J258" s="20">
        <f>(Geraetedaten!$B$152+(Geraetedaten!$B$153*(Geraetedaten!$B$18+d_y_Sw)/1000))*10</f>
        <v>6051.0442000000003</v>
      </c>
      <c r="K258" s="20">
        <f>(Geraetedaten!$B$165+(Geraetedaten!$B$166*(Geraetedaten!$B$18+d_y_Sw)/1000))*10</f>
        <v>10816.164000000001</v>
      </c>
      <c r="L258" s="20">
        <f>(Geraetedaten!$B$158+(Geraetedaten!$B$159*(Geraetedaten!$B$18+d_y_Sw)/1000)-(Geraetedaten!$B$160*I258/1000))*10</f>
        <v>462.7915921953329</v>
      </c>
      <c r="M258" s="20">
        <f>(Geraetedaten!$B$171+(Geraetedaten!$B$172*(Geraetedaten!$B$18+d_y_Sw)/1000)-(Geraetedaten!$B$173*I258/1000))*10</f>
        <v>924.02180184127462</v>
      </c>
      <c r="N258" s="20">
        <f>IF((H258-J258)/(K258-J258)*(Geraetedaten!$B$174-Geraetedaten!$B$161)&lt;Geraetedaten!$B$174,(H258-J258)/(K258-J258)*(Geraetedaten!$B$174-Geraetedaten!$B$161),Geraetedaten!$B$174)</f>
        <v>-119.36138865683701</v>
      </c>
      <c r="O258" s="20">
        <f>N258/Geraetedaten!$B$174*(M258-L258)+L258+C258</f>
        <v>387.3197075212471</v>
      </c>
      <c r="P258" s="20">
        <f t="shared" si="246"/>
        <v>166.19202240611105</v>
      </c>
      <c r="Q258" s="21">
        <f>(N258-Geraetedaten!$B$161)/(Geraetedaten!$B$174-Geraetedaten!$B$161)*(Geraetedaten!$B$175-Geraetedaten!$B$162)+Geraetedaten!$B$162</f>
        <v>25.648998687459098</v>
      </c>
      <c r="R258" s="21">
        <f t="shared" si="247"/>
        <v>25.648998687459098</v>
      </c>
      <c r="S258" s="21">
        <f t="shared" si="248"/>
        <v>-15.435952738920056</v>
      </c>
      <c r="T258" s="88">
        <f t="shared" si="249"/>
        <v>-20.48420114896124</v>
      </c>
      <c r="U258" s="86">
        <f t="shared" si="250"/>
        <v>4691.2767199999998</v>
      </c>
      <c r="V258" s="85">
        <f t="shared" si="251"/>
        <v>-1141.3067828769733</v>
      </c>
      <c r="W258" s="85">
        <f t="shared" si="252"/>
        <v>1892.0633820355497</v>
      </c>
      <c r="X258" s="90">
        <f t="shared" si="253"/>
        <v>1141.3067828769733</v>
      </c>
      <c r="Y258" s="86">
        <f t="shared" si="254"/>
        <v>10501.69053</v>
      </c>
      <c r="Z258" s="85">
        <f t="shared" si="255"/>
        <v>-750</v>
      </c>
      <c r="AA258" s="85">
        <f t="shared" si="256"/>
        <v>939.1017436171694</v>
      </c>
      <c r="AB258" s="90">
        <f t="shared" si="257"/>
        <v>750</v>
      </c>
      <c r="AC258" s="86">
        <f t="shared" si="258"/>
        <v>-4511.52981</v>
      </c>
      <c r="AD258" s="85">
        <f t="shared" si="259"/>
        <v>1055.7627565116984</v>
      </c>
      <c r="AE258" s="85">
        <f t="shared" si="260"/>
        <v>-1756.6712155344012</v>
      </c>
      <c r="AF258" s="90">
        <f t="shared" si="261"/>
        <v>1055.7627565116984</v>
      </c>
      <c r="AG258" s="86">
        <f t="shared" si="262"/>
        <v>-11148.7971</v>
      </c>
      <c r="AH258" s="85">
        <f t="shared" si="263"/>
        <v>6128</v>
      </c>
      <c r="AI258" s="85">
        <f t="shared" si="264"/>
        <v>-7673.0873131813523</v>
      </c>
      <c r="AJ258" s="90">
        <f t="shared" si="265"/>
        <v>6128</v>
      </c>
      <c r="AL258" s="95">
        <f t="shared" si="266"/>
        <v>0</v>
      </c>
      <c r="AM258" s="95">
        <f t="shared" si="267"/>
        <v>0</v>
      </c>
      <c r="AN258" s="95">
        <f t="shared" si="268"/>
        <v>0</v>
      </c>
      <c r="AO258" s="95">
        <f t="shared" si="269"/>
        <v>0</v>
      </c>
      <c r="AP258"/>
      <c r="AQ258" s="95">
        <f t="shared" si="270"/>
        <v>0</v>
      </c>
      <c r="AR258" s="95">
        <f t="shared" si="271"/>
        <v>0</v>
      </c>
      <c r="AS258" s="95">
        <f>Geraetedaten!$B$94*ABS(SIN(RADIANS($A258)))</f>
        <v>92.679513565415448</v>
      </c>
      <c r="AT258" s="95">
        <f>Geraetedaten!$B$94*ABS(COS(RADIANS($A258)))</f>
        <v>122.98986854728309</v>
      </c>
      <c r="AU258" s="95">
        <f>((h_Aw_Sw+Geraetedaten!$B$18)/1000)*(AQ258*AS258+AR258*AT258)/100</f>
        <v>0</v>
      </c>
    </row>
    <row r="259" spans="1:47" ht="13.5" x14ac:dyDescent="0.25">
      <c r="A259" s="16">
        <v>218</v>
      </c>
      <c r="B259" s="16">
        <f t="shared" si="238"/>
        <v>232</v>
      </c>
      <c r="C259" s="19">
        <f t="shared" si="239"/>
        <v>62.722548956682388</v>
      </c>
      <c r="D259" s="17">
        <f t="shared" si="240"/>
        <v>4523.4216610433177</v>
      </c>
      <c r="E259" s="17">
        <f t="shared" si="241"/>
        <v>10580.562381043317</v>
      </c>
      <c r="F259" s="17">
        <f t="shared" si="242"/>
        <v>-4472.5747189566828</v>
      </c>
      <c r="G259" s="17">
        <f t="shared" si="243"/>
        <v>-11361.838978956683</v>
      </c>
      <c r="H259" s="17">
        <f t="shared" si="244"/>
        <v>4523.4216610433177</v>
      </c>
      <c r="I259" s="17">
        <f t="shared" si="245"/>
        <v>1849.6618384979702</v>
      </c>
      <c r="J259" s="20">
        <f>(Geraetedaten!$B$152+(Geraetedaten!$B$153*(Geraetedaten!$B$18+d_y_Sw)/1000))*10</f>
        <v>6051.0442000000003</v>
      </c>
      <c r="K259" s="20">
        <f>(Geraetedaten!$B$165+(Geraetedaten!$B$166*(Geraetedaten!$B$18+d_y_Sw)/1000))*10</f>
        <v>10816.164000000001</v>
      </c>
      <c r="L259" s="20">
        <f>(Geraetedaten!$B$158+(Geraetedaten!$B$159*(Geraetedaten!$B$18+d_y_Sw)/1000)-(Geraetedaten!$B$160*I259/1000))*10</f>
        <v>465.90089738294358</v>
      </c>
      <c r="M259" s="20">
        <f>(Geraetedaten!$B$171+(Geraetedaten!$B$172*(Geraetedaten!$B$18+d_y_Sw)/1000)-(Geraetedaten!$B$173*I259/1000))*10</f>
        <v>927.17817274221204</v>
      </c>
      <c r="N259" s="20">
        <f>IF((H259-J259)/(K259-J259)*(Geraetedaten!$B$174-Geraetedaten!$B$161)&lt;Geraetedaten!$B$174,(H259-J259)/(K259-J259)*(Geraetedaten!$B$174-Geraetedaten!$B$161),Geraetedaten!$B$174)</f>
        <v>-128.23371525363811</v>
      </c>
      <c r="O259" s="20">
        <f>N259/Geraetedaten!$B$174*(M259-L259)+L259+C259</f>
        <v>380.74519938613986</v>
      </c>
      <c r="P259" s="20">
        <f t="shared" si="246"/>
        <v>164.90890933564495</v>
      </c>
      <c r="Q259" s="21">
        <f>(N259-Geraetedaten!$B$161)/(Geraetedaten!$B$174-Geraetedaten!$B$161)*(Geraetedaten!$B$175-Geraetedaten!$B$162)+Geraetedaten!$B$162</f>
        <v>25.385046971204265</v>
      </c>
      <c r="R259" s="21">
        <f t="shared" si="247"/>
        <v>25.385046971204265</v>
      </c>
      <c r="S259" s="21">
        <f t="shared" si="248"/>
        <v>-15.628595469502748</v>
      </c>
      <c r="T259" s="88">
        <f t="shared" si="249"/>
        <v>-20.003689994120709</v>
      </c>
      <c r="U259" s="86">
        <f t="shared" si="250"/>
        <v>4586.1442100000004</v>
      </c>
      <c r="V259" s="85">
        <f t="shared" si="251"/>
        <v>-1141.3067828769733</v>
      </c>
      <c r="W259" s="85">
        <f t="shared" si="252"/>
        <v>1849.6618384979702</v>
      </c>
      <c r="X259" s="90">
        <f t="shared" si="253"/>
        <v>1141.3067828769733</v>
      </c>
      <c r="Y259" s="86">
        <f t="shared" si="254"/>
        <v>10643.28493</v>
      </c>
      <c r="Z259" s="85">
        <f t="shared" si="255"/>
        <v>-750</v>
      </c>
      <c r="AA259" s="85">
        <f t="shared" si="256"/>
        <v>951.76366130443409</v>
      </c>
      <c r="AB259" s="90">
        <f t="shared" si="257"/>
        <v>750</v>
      </c>
      <c r="AC259" s="86">
        <f t="shared" si="258"/>
        <v>-4409.8521700000001</v>
      </c>
      <c r="AD259" s="85">
        <f t="shared" si="259"/>
        <v>1055.7627565116984</v>
      </c>
      <c r="AE259" s="85">
        <f t="shared" si="260"/>
        <v>-1717.0806102871954</v>
      </c>
      <c r="AF259" s="90">
        <f t="shared" si="261"/>
        <v>1055.7627565116984</v>
      </c>
      <c r="AG259" s="86">
        <f t="shared" si="262"/>
        <v>-11299.11643</v>
      </c>
      <c r="AH259" s="85">
        <f t="shared" si="263"/>
        <v>6128</v>
      </c>
      <c r="AI259" s="85">
        <f t="shared" si="264"/>
        <v>-7776.5436219647627</v>
      </c>
      <c r="AJ259" s="90">
        <f t="shared" si="265"/>
        <v>6128</v>
      </c>
      <c r="AL259" s="95">
        <f t="shared" si="266"/>
        <v>0</v>
      </c>
      <c r="AM259" s="95">
        <f t="shared" si="267"/>
        <v>0</v>
      </c>
      <c r="AN259" s="95">
        <f t="shared" si="268"/>
        <v>0</v>
      </c>
      <c r="AO259" s="95">
        <f t="shared" si="269"/>
        <v>0</v>
      </c>
      <c r="AP259"/>
      <c r="AQ259" s="95">
        <f t="shared" si="270"/>
        <v>0</v>
      </c>
      <c r="AR259" s="95">
        <f t="shared" si="271"/>
        <v>0</v>
      </c>
      <c r="AS259" s="95">
        <f>Geraetedaten!$B$94*ABS(SIN(RADIANS($A259)))</f>
        <v>94.811867200151354</v>
      </c>
      <c r="AT259" s="95">
        <f>Geraetedaten!$B$94*ABS(COS(RADIANS($A259)))</f>
        <v>121.3536560554352</v>
      </c>
      <c r="AU259" s="95">
        <f>((h_Aw_Sw+Geraetedaten!$B$18)/1000)*(AQ259*AS259+AR259*AT259)/100</f>
        <v>0</v>
      </c>
    </row>
    <row r="260" spans="1:47" ht="13.5" x14ac:dyDescent="0.25">
      <c r="A260" s="16">
        <v>219</v>
      </c>
      <c r="B260" s="16">
        <f t="shared" si="238"/>
        <v>231</v>
      </c>
      <c r="C260" s="19">
        <f t="shared" si="239"/>
        <v>63.26518090687226</v>
      </c>
      <c r="D260" s="17">
        <f t="shared" si="240"/>
        <v>4423.6921290931277</v>
      </c>
      <c r="E260" s="17">
        <f t="shared" si="241"/>
        <v>10728.816859093127</v>
      </c>
      <c r="F260" s="17">
        <f t="shared" si="242"/>
        <v>-4377.2068709068717</v>
      </c>
      <c r="G260" s="17">
        <f t="shared" si="243"/>
        <v>-11520.347500906872</v>
      </c>
      <c r="H260" s="17">
        <f t="shared" si="244"/>
        <v>4423.6921290931277</v>
      </c>
      <c r="I260" s="17">
        <f t="shared" si="245"/>
        <v>1809.6582509402695</v>
      </c>
      <c r="J260" s="20">
        <f>(Geraetedaten!$B$152+(Geraetedaten!$B$153*(Geraetedaten!$B$18+d_y_Sw)/1000))*10</f>
        <v>6051.0442000000003</v>
      </c>
      <c r="K260" s="20">
        <f>(Geraetedaten!$B$165+(Geraetedaten!$B$166*(Geraetedaten!$B$18+d_y_Sw)/1000))*10</f>
        <v>10816.164000000001</v>
      </c>
      <c r="L260" s="20">
        <f>(Geraetedaten!$B$158+(Geraetedaten!$B$159*(Geraetedaten!$B$18+d_y_Sw)/1000)-(Geraetedaten!$B$160*I260/1000))*10</f>
        <v>468.83436045854978</v>
      </c>
      <c r="M260" s="20">
        <f>(Geraetedaten!$B$171+(Geraetedaten!$B$172*(Geraetedaten!$B$18+d_y_Sw)/1000)-(Geraetedaten!$B$173*I260/1000))*10</f>
        <v>930.15603980000731</v>
      </c>
      <c r="N260" s="20">
        <f>IF((H260-J260)/(K260-J260)*(Geraetedaten!$B$174-Geraetedaten!$B$161)&lt;Geraetedaten!$B$174,(H260-J260)/(K260-J260)*(Geraetedaten!$B$174-Geraetedaten!$B$161),Geraetedaten!$B$174)</f>
        <v>-136.60534376549126</v>
      </c>
      <c r="O260" s="20">
        <f>N260/Geraetedaten!$B$174*(M260-L260)+L260+C260</f>
        <v>374.55202488313824</v>
      </c>
      <c r="P260" s="20">
        <f t="shared" si="246"/>
        <v>163.68039896281255</v>
      </c>
      <c r="Q260" s="21">
        <f>(N260-Geraetedaten!$B$161)/(Geraetedaten!$B$174-Geraetedaten!$B$161)*(Geraetedaten!$B$175-Geraetedaten!$B$162)+Geraetedaten!$B$162</f>
        <v>25.135991022976633</v>
      </c>
      <c r="R260" s="21">
        <f t="shared" si="247"/>
        <v>25.135991022976633</v>
      </c>
      <c r="S260" s="21">
        <f t="shared" si="248"/>
        <v>-15.818591700004863</v>
      </c>
      <c r="T260" s="88">
        <f t="shared" si="249"/>
        <v>-19.534333910724961</v>
      </c>
      <c r="U260" s="86">
        <f t="shared" si="250"/>
        <v>4486.9573099999998</v>
      </c>
      <c r="V260" s="85">
        <f t="shared" si="251"/>
        <v>-1141.3067828769733</v>
      </c>
      <c r="W260" s="85">
        <f t="shared" si="252"/>
        <v>1809.6582509402695</v>
      </c>
      <c r="X260" s="90">
        <f t="shared" si="253"/>
        <v>1141.3067828769733</v>
      </c>
      <c r="Y260" s="86">
        <f t="shared" si="254"/>
        <v>10792.082039999999</v>
      </c>
      <c r="Z260" s="85">
        <f t="shared" si="255"/>
        <v>-750</v>
      </c>
      <c r="AA260" s="85">
        <f t="shared" si="256"/>
        <v>965.06967441987535</v>
      </c>
      <c r="AB260" s="90">
        <f t="shared" si="257"/>
        <v>750</v>
      </c>
      <c r="AC260" s="86">
        <f t="shared" si="258"/>
        <v>-4313.9416899999997</v>
      </c>
      <c r="AD260" s="85">
        <f t="shared" si="259"/>
        <v>1055.7627565116984</v>
      </c>
      <c r="AE260" s="85">
        <f t="shared" si="260"/>
        <v>-1679.7355891479342</v>
      </c>
      <c r="AF260" s="90">
        <f t="shared" si="261"/>
        <v>1055.7627565116984</v>
      </c>
      <c r="AG260" s="86">
        <f t="shared" si="262"/>
        <v>-11457.08232</v>
      </c>
      <c r="AH260" s="85">
        <f t="shared" si="263"/>
        <v>6128</v>
      </c>
      <c r="AI260" s="85">
        <f t="shared" si="264"/>
        <v>-7885.2626197933278</v>
      </c>
      <c r="AJ260" s="90">
        <f t="shared" si="265"/>
        <v>6128</v>
      </c>
      <c r="AL260" s="95">
        <f t="shared" si="266"/>
        <v>0</v>
      </c>
      <c r="AM260" s="95">
        <f t="shared" si="267"/>
        <v>0</v>
      </c>
      <c r="AN260" s="95">
        <f t="shared" si="268"/>
        <v>0</v>
      </c>
      <c r="AO260" s="95">
        <f t="shared" si="269"/>
        <v>0</v>
      </c>
      <c r="AP260"/>
      <c r="AQ260" s="95">
        <f t="shared" si="270"/>
        <v>0</v>
      </c>
      <c r="AR260" s="95">
        <f t="shared" si="271"/>
        <v>0</v>
      </c>
      <c r="AS260" s="95">
        <f>Geraetedaten!$B$94*ABS(SIN(RADIANS($A260)))</f>
        <v>96.915340221674995</v>
      </c>
      <c r="AT260" s="95">
        <f>Geraetedaten!$B$94*ABS(COS(RADIANS($A260)))</f>
        <v>119.6804780643735</v>
      </c>
      <c r="AU260" s="95">
        <f>((h_Aw_Sw+Geraetedaten!$B$18)/1000)*(AQ260*AS260+AR260*AT260)/100</f>
        <v>0</v>
      </c>
    </row>
    <row r="261" spans="1:47" ht="13.5" x14ac:dyDescent="0.25">
      <c r="A261" s="16">
        <v>220</v>
      </c>
      <c r="B261" s="16">
        <f t="shared" si="238"/>
        <v>230</v>
      </c>
      <c r="C261" s="19">
        <f t="shared" si="239"/>
        <v>63.788541670094304</v>
      </c>
      <c r="D261" s="17">
        <f t="shared" si="240"/>
        <v>4329.4912783299051</v>
      </c>
      <c r="E261" s="17">
        <f t="shared" si="241"/>
        <v>10884.692388329906</v>
      </c>
      <c r="F261" s="17">
        <f t="shared" si="242"/>
        <v>-4287.161981670095</v>
      </c>
      <c r="G261" s="17">
        <f t="shared" si="243"/>
        <v>-11686.906931670093</v>
      </c>
      <c r="H261" s="17">
        <f t="shared" si="244"/>
        <v>4329.4912783299051</v>
      </c>
      <c r="I261" s="17">
        <f t="shared" si="245"/>
        <v>1771.8766935106989</v>
      </c>
      <c r="J261" s="20">
        <f>(Geraetedaten!$B$152+(Geraetedaten!$B$153*(Geraetedaten!$B$18+d_y_Sw)/1000))*10</f>
        <v>6051.0442000000003</v>
      </c>
      <c r="K261" s="20">
        <f>(Geraetedaten!$B$165+(Geraetedaten!$B$166*(Geraetedaten!$B$18+d_y_Sw)/1000))*10</f>
        <v>10816.164000000001</v>
      </c>
      <c r="L261" s="20">
        <f>(Geraetedaten!$B$158+(Geraetedaten!$B$159*(Geraetedaten!$B$18+d_y_Sw)/1000)-(Geraetedaten!$B$160*I261/1000))*10</f>
        <v>471.60488206486025</v>
      </c>
      <c r="M261" s="20">
        <f>(Geraetedaten!$B$171+(Geraetedaten!$B$172*(Geraetedaten!$B$18+d_y_Sw)/1000)-(Geraetedaten!$B$173*I261/1000))*10</f>
        <v>932.96849893506442</v>
      </c>
      <c r="N261" s="20">
        <f>IF((H261-J261)/(K261-J261)*(Geraetedaten!$B$174-Geraetedaten!$B$161)&lt;Geraetedaten!$B$174,(H261-J261)/(K261-J261)*(Geraetedaten!$B$174-Geraetedaten!$B$161),Geraetedaten!$B$174)</f>
        <v>-144.51287639568642</v>
      </c>
      <c r="O261" s="20">
        <f>N261/Geraetedaten!$B$174*(M261-L261)+L261+C261</f>
        <v>368.71096538937798</v>
      </c>
      <c r="P261" s="20">
        <f t="shared" si="246"/>
        <v>162.50350052293049</v>
      </c>
      <c r="Q261" s="21">
        <f>(N261-Geraetedaten!$B$161)/(Geraetedaten!$B$174-Geraetedaten!$B$161)*(Geraetedaten!$B$175-Geraetedaten!$B$162)+Geraetedaten!$B$162</f>
        <v>24.900741927228328</v>
      </c>
      <c r="R261" s="21">
        <f t="shared" si="247"/>
        <v>24.900741927228328</v>
      </c>
      <c r="S261" s="21">
        <f t="shared" si="248"/>
        <v>-16.005888382824487</v>
      </c>
      <c r="T261" s="88">
        <f t="shared" si="249"/>
        <v>-19.07507498289301</v>
      </c>
      <c r="U261" s="86">
        <f t="shared" si="250"/>
        <v>4393.2798199999997</v>
      </c>
      <c r="V261" s="85">
        <f t="shared" si="251"/>
        <v>-1141.3067828769733</v>
      </c>
      <c r="W261" s="85">
        <f t="shared" si="252"/>
        <v>1771.8766935106989</v>
      </c>
      <c r="X261" s="90">
        <f t="shared" si="253"/>
        <v>1141.3067828769733</v>
      </c>
      <c r="Y261" s="86">
        <f t="shared" si="254"/>
        <v>10948.48093</v>
      </c>
      <c r="Z261" s="85">
        <f t="shared" si="255"/>
        <v>-750</v>
      </c>
      <c r="AA261" s="85">
        <f t="shared" si="256"/>
        <v>979.05546699920899</v>
      </c>
      <c r="AB261" s="90">
        <f t="shared" si="257"/>
        <v>750</v>
      </c>
      <c r="AC261" s="86">
        <f t="shared" si="258"/>
        <v>-4223.3734400000003</v>
      </c>
      <c r="AD261" s="85">
        <f t="shared" si="259"/>
        <v>1055.7627565116984</v>
      </c>
      <c r="AE261" s="85">
        <f t="shared" si="260"/>
        <v>-1644.4706927438078</v>
      </c>
      <c r="AF261" s="90">
        <f t="shared" si="261"/>
        <v>1055.7627565116984</v>
      </c>
      <c r="AG261" s="86">
        <f t="shared" si="262"/>
        <v>-11623.11839</v>
      </c>
      <c r="AH261" s="85">
        <f t="shared" si="263"/>
        <v>6128</v>
      </c>
      <c r="AI261" s="85">
        <f t="shared" si="264"/>
        <v>-7999.5358690282037</v>
      </c>
      <c r="AJ261" s="90">
        <f t="shared" si="265"/>
        <v>6128</v>
      </c>
      <c r="AL261" s="95">
        <f t="shared" si="266"/>
        <v>0</v>
      </c>
      <c r="AM261" s="95">
        <f t="shared" si="267"/>
        <v>0</v>
      </c>
      <c r="AN261" s="95">
        <f t="shared" si="268"/>
        <v>0</v>
      </c>
      <c r="AO261" s="95">
        <f t="shared" si="269"/>
        <v>0</v>
      </c>
      <c r="AP261"/>
      <c r="AQ261" s="95">
        <f t="shared" si="270"/>
        <v>0</v>
      </c>
      <c r="AR261" s="95">
        <f t="shared" si="271"/>
        <v>0</v>
      </c>
      <c r="AS261" s="95">
        <f>Geraetedaten!$B$94*ABS(SIN(RADIANS($A261)))</f>
        <v>98.989291891727049</v>
      </c>
      <c r="AT261" s="95">
        <f>Geraetedaten!$B$94*ABS(COS(RADIANS($A261)))</f>
        <v>117.97084424032262</v>
      </c>
      <c r="AU261" s="95">
        <f>((h_Aw_Sw+Geraetedaten!$B$18)/1000)*(AQ261*AS261+AR261*AT261)/100</f>
        <v>0</v>
      </c>
    </row>
    <row r="262" spans="1:47" ht="13.5" x14ac:dyDescent="0.25">
      <c r="A262" s="16">
        <v>221</v>
      </c>
      <c r="B262" s="16">
        <f t="shared" si="238"/>
        <v>229</v>
      </c>
      <c r="C262" s="19">
        <f t="shared" si="239"/>
        <v>64.292471825590169</v>
      </c>
      <c r="D262" s="17">
        <f t="shared" si="240"/>
        <v>4240.4258581744098</v>
      </c>
      <c r="E262" s="17">
        <f t="shared" si="241"/>
        <v>11048.621948174408</v>
      </c>
      <c r="F262" s="17">
        <f t="shared" si="242"/>
        <v>-4202.0567918255902</v>
      </c>
      <c r="G262" s="17">
        <f t="shared" si="243"/>
        <v>-11861.97662182559</v>
      </c>
      <c r="H262" s="17">
        <f t="shared" si="244"/>
        <v>4240.4258581744098</v>
      </c>
      <c r="I262" s="17">
        <f t="shared" si="245"/>
        <v>1736.1584948828736</v>
      </c>
      <c r="J262" s="20">
        <f>(Geraetedaten!$B$152+(Geraetedaten!$B$153*(Geraetedaten!$B$18+d_y_Sw)/1000))*10</f>
        <v>6051.0442000000003</v>
      </c>
      <c r="K262" s="20">
        <f>(Geraetedaten!$B$165+(Geraetedaten!$B$166*(Geraetedaten!$B$18+d_y_Sw)/1000))*10</f>
        <v>10816.164000000001</v>
      </c>
      <c r="L262" s="20">
        <f>(Geraetedaten!$B$158+(Geraetedaten!$B$159*(Geraetedaten!$B$18+d_y_Sw)/1000)-(Geraetedaten!$B$160*I262/1000))*10</f>
        <v>474.22409757023865</v>
      </c>
      <c r="M262" s="20">
        <f>(Geraetedaten!$B$171+(Geraetedaten!$B$172*(Geraetedaten!$B$18+d_y_Sw)/1000)-(Geraetedaten!$B$173*I262/1000))*10</f>
        <v>935.62736164091984</v>
      </c>
      <c r="N262" s="20">
        <f>IF((H262-J262)/(K262-J262)*(Geraetedaten!$B$174-Geraetedaten!$B$161)&lt;Geraetedaten!$B$174,(H262-J262)/(K262-J262)*(Geraetedaten!$B$174-Geraetedaten!$B$161),Geraetedaten!$B$174)</f>
        <v>-151.98932390540028</v>
      </c>
      <c r="O262" s="20">
        <f>N262/Geraetedaten!$B$174*(M262-L262)+L262+C262</f>
        <v>363.19564401120954</v>
      </c>
      <c r="P262" s="20">
        <f t="shared" si="246"/>
        <v>161.37540166264088</v>
      </c>
      <c r="Q262" s="21">
        <f>(N262-Geraetedaten!$B$161)/(Geraetedaten!$B$174-Geraetedaten!$B$161)*(Geraetedaten!$B$175-Geraetedaten!$B$162)+Geraetedaten!$B$162</f>
        <v>24.67831761381434</v>
      </c>
      <c r="R262" s="21">
        <f t="shared" si="247"/>
        <v>24.67831761381434</v>
      </c>
      <c r="S262" s="21">
        <f t="shared" si="248"/>
        <v>-16.190433090838361</v>
      </c>
      <c r="T262" s="88">
        <f t="shared" si="249"/>
        <v>-18.624962726926064</v>
      </c>
      <c r="U262" s="86">
        <f t="shared" si="250"/>
        <v>4304.7183299999997</v>
      </c>
      <c r="V262" s="85">
        <f t="shared" si="251"/>
        <v>-1141.3067828769733</v>
      </c>
      <c r="W262" s="85">
        <f t="shared" si="252"/>
        <v>1736.1584948828736</v>
      </c>
      <c r="X262" s="90">
        <f t="shared" si="253"/>
        <v>1141.3067828769733</v>
      </c>
      <c r="Y262" s="86">
        <f t="shared" si="254"/>
        <v>11112.914419999999</v>
      </c>
      <c r="Z262" s="85">
        <f t="shared" si="255"/>
        <v>-750</v>
      </c>
      <c r="AA262" s="85">
        <f t="shared" si="256"/>
        <v>993.7597450116084</v>
      </c>
      <c r="AB262" s="90">
        <f t="shared" si="257"/>
        <v>750</v>
      </c>
      <c r="AC262" s="86">
        <f t="shared" si="258"/>
        <v>-4137.7643200000002</v>
      </c>
      <c r="AD262" s="85">
        <f t="shared" si="259"/>
        <v>1055.7627565116984</v>
      </c>
      <c r="AE262" s="85">
        <f t="shared" si="260"/>
        <v>-1611.1367497752719</v>
      </c>
      <c r="AF262" s="90">
        <f t="shared" si="261"/>
        <v>1055.7627565116984</v>
      </c>
      <c r="AG262" s="86">
        <f t="shared" si="262"/>
        <v>-11797.684149999999</v>
      </c>
      <c r="AH262" s="85">
        <f t="shared" si="263"/>
        <v>6128</v>
      </c>
      <c r="AI262" s="85">
        <f t="shared" si="264"/>
        <v>-8119.6796232415145</v>
      </c>
      <c r="AJ262" s="90">
        <f t="shared" si="265"/>
        <v>6128</v>
      </c>
      <c r="AL262" s="95">
        <f t="shared" si="266"/>
        <v>0</v>
      </c>
      <c r="AM262" s="95">
        <f t="shared" si="267"/>
        <v>0</v>
      </c>
      <c r="AN262" s="95">
        <f t="shared" si="268"/>
        <v>0</v>
      </c>
      <c r="AO262" s="95">
        <f t="shared" si="269"/>
        <v>0</v>
      </c>
      <c r="AP262"/>
      <c r="AQ262" s="95">
        <f t="shared" si="270"/>
        <v>0</v>
      </c>
      <c r="AR262" s="95">
        <f t="shared" si="271"/>
        <v>0</v>
      </c>
      <c r="AS262" s="95">
        <f>Geraetedaten!$B$94*ABS(SIN(RADIANS($A262)))</f>
        <v>101.03309046453809</v>
      </c>
      <c r="AT262" s="95">
        <f>Geraetedaten!$B$94*ABS(COS(RADIANS($A262)))</f>
        <v>116.2252753543069</v>
      </c>
      <c r="AU262" s="95">
        <f>((h_Aw_Sw+Geraetedaten!$B$18)/1000)*(AQ262*AS262+AR262*AT262)/100</f>
        <v>0</v>
      </c>
    </row>
    <row r="263" spans="1:47" ht="13.5" x14ac:dyDescent="0.25">
      <c r="A263" s="16">
        <v>222</v>
      </c>
      <c r="B263" s="16">
        <f t="shared" si="238"/>
        <v>228</v>
      </c>
      <c r="C263" s="19">
        <f t="shared" si="239"/>
        <v>64.776817871352804</v>
      </c>
      <c r="D263" s="17">
        <f t="shared" si="240"/>
        <v>4156.1403121286467</v>
      </c>
      <c r="E263" s="17">
        <f t="shared" si="241"/>
        <v>11221.075802128647</v>
      </c>
      <c r="F263" s="17">
        <f t="shared" si="242"/>
        <v>-4121.544897871353</v>
      </c>
      <c r="G263" s="17">
        <f t="shared" si="243"/>
        <v>-12046.055497871352</v>
      </c>
      <c r="H263" s="17">
        <f t="shared" si="244"/>
        <v>4156.1403121286467</v>
      </c>
      <c r="I263" s="17">
        <f t="shared" si="245"/>
        <v>1702.3601930635693</v>
      </c>
      <c r="J263" s="20">
        <f>(Geraetedaten!$B$152+(Geraetedaten!$B$153*(Geraetedaten!$B$18+d_y_Sw)/1000))*10</f>
        <v>6051.0442000000003</v>
      </c>
      <c r="K263" s="20">
        <f>(Geraetedaten!$B$165+(Geraetedaten!$B$166*(Geraetedaten!$B$18+d_y_Sw)/1000))*10</f>
        <v>10816.164000000001</v>
      </c>
      <c r="L263" s="20">
        <f>(Geraetedaten!$B$158+(Geraetedaten!$B$159*(Geraetedaten!$B$18+d_y_Sw)/1000)-(Geraetedaten!$B$160*I263/1000))*10</f>
        <v>476.70252704264828</v>
      </c>
      <c r="M263" s="20">
        <f>(Geraetedaten!$B$171+(Geraetedaten!$B$172*(Geraetedaten!$B$18+d_y_Sw)/1000)-(Geraetedaten!$B$173*I263/1000))*10</f>
        <v>938.14330722834882</v>
      </c>
      <c r="N263" s="20">
        <f>IF((H263-J263)/(K263-J263)*(Geraetedaten!$B$174-Geraetedaten!$B$161)&lt;Geraetedaten!$B$174,(H263-J263)/(K263-J263)*(Geraetedaten!$B$174-Geraetedaten!$B$161),Geraetedaten!$B$174)</f>
        <v>-159.06453288929723</v>
      </c>
      <c r="O263" s="20">
        <f>N263/Geraetedaten!$B$174*(M263-L263)+L263+C263</f>
        <v>357.98218952322276</v>
      </c>
      <c r="P263" s="20">
        <f t="shared" si="246"/>
        <v>160.2934560087148</v>
      </c>
      <c r="Q263" s="21">
        <f>(N263-Geraetedaten!$B$161)/(Geraetedaten!$B$174-Geraetedaten!$B$161)*(Geraetedaten!$B$175-Geraetedaten!$B$162)+Geraetedaten!$B$162</f>
        <v>24.467830146543406</v>
      </c>
      <c r="R263" s="21">
        <f t="shared" si="247"/>
        <v>24.467830146543406</v>
      </c>
      <c r="S263" s="21">
        <f t="shared" si="248"/>
        <v>-16.372174022242142</v>
      </c>
      <c r="T263" s="88">
        <f t="shared" si="249"/>
        <v>-18.183141364063527</v>
      </c>
      <c r="U263" s="86">
        <f t="shared" si="250"/>
        <v>4220.9171299999998</v>
      </c>
      <c r="V263" s="85">
        <f t="shared" si="251"/>
        <v>-1141.3067828769733</v>
      </c>
      <c r="W263" s="85">
        <f t="shared" si="252"/>
        <v>1702.3601930635693</v>
      </c>
      <c r="X263" s="90">
        <f t="shared" si="253"/>
        <v>1141.3067828769733</v>
      </c>
      <c r="Y263" s="86">
        <f t="shared" si="254"/>
        <v>11285.85262</v>
      </c>
      <c r="Z263" s="85">
        <f t="shared" si="255"/>
        <v>-750</v>
      </c>
      <c r="AA263" s="85">
        <f t="shared" si="256"/>
        <v>1009.2245472047821</v>
      </c>
      <c r="AB263" s="90">
        <f t="shared" si="257"/>
        <v>750</v>
      </c>
      <c r="AC263" s="86">
        <f t="shared" si="258"/>
        <v>-4056.7680799999998</v>
      </c>
      <c r="AD263" s="85">
        <f t="shared" si="259"/>
        <v>1055.7627565116984</v>
      </c>
      <c r="AE263" s="85">
        <f t="shared" si="260"/>
        <v>-1579.5989389872345</v>
      </c>
      <c r="AF263" s="90">
        <f t="shared" si="261"/>
        <v>1055.7627565116984</v>
      </c>
      <c r="AG263" s="86">
        <f t="shared" si="262"/>
        <v>-11981.278679999999</v>
      </c>
      <c r="AH263" s="85">
        <f t="shared" si="263"/>
        <v>6128</v>
      </c>
      <c r="AI263" s="85">
        <f t="shared" si="264"/>
        <v>-8246.0373670278732</v>
      </c>
      <c r="AJ263" s="90">
        <f t="shared" si="265"/>
        <v>6128</v>
      </c>
      <c r="AL263" s="95">
        <f t="shared" si="266"/>
        <v>0</v>
      </c>
      <c r="AM263" s="95">
        <f t="shared" si="267"/>
        <v>0</v>
      </c>
      <c r="AN263" s="95">
        <f t="shared" si="268"/>
        <v>0</v>
      </c>
      <c r="AO263" s="95">
        <f t="shared" si="269"/>
        <v>0</v>
      </c>
      <c r="AP263"/>
      <c r="AQ263" s="95">
        <f t="shared" si="270"/>
        <v>0</v>
      </c>
      <c r="AR263" s="95">
        <f t="shared" si="271"/>
        <v>0</v>
      </c>
      <c r="AS263" s="95">
        <f>Geraetedaten!$B$94*ABS(SIN(RADIANS($A263)))</f>
        <v>103.04611337926417</v>
      </c>
      <c r="AT263" s="95">
        <f>Geraetedaten!$B$94*ABS(COS(RADIANS($A263)))</f>
        <v>114.44430312351871</v>
      </c>
      <c r="AU263" s="95">
        <f>((h_Aw_Sw+Geraetedaten!$B$18)/1000)*(AQ263*AS263+AR263*AT263)/100</f>
        <v>0</v>
      </c>
    </row>
    <row r="264" spans="1:47" ht="13.5" x14ac:dyDescent="0.25">
      <c r="A264" s="16">
        <v>223</v>
      </c>
      <c r="B264" s="16">
        <f t="shared" si="238"/>
        <v>227</v>
      </c>
      <c r="C264" s="19">
        <f t="shared" si="239"/>
        <v>65.241432270884687</v>
      </c>
      <c r="D264" s="17">
        <f t="shared" si="240"/>
        <v>4076.3124177291156</v>
      </c>
      <c r="E264" s="17">
        <f t="shared" si="241"/>
        <v>11402.565397729115</v>
      </c>
      <c r="F264" s="17">
        <f t="shared" si="242"/>
        <v>-4045.3124622708847</v>
      </c>
      <c r="G264" s="17">
        <f t="shared" si="243"/>
        <v>-12239.686212270884</v>
      </c>
      <c r="H264" s="17">
        <f t="shared" si="244"/>
        <v>4076.3124177291156</v>
      </c>
      <c r="I264" s="17">
        <f t="shared" si="245"/>
        <v>1670.3517751084441</v>
      </c>
      <c r="J264" s="20">
        <f>(Geraetedaten!$B$152+(Geraetedaten!$B$153*(Geraetedaten!$B$18+d_y_Sw)/1000))*10</f>
        <v>6051.0442000000003</v>
      </c>
      <c r="K264" s="20">
        <f>(Geraetedaten!$B$165+(Geraetedaten!$B$166*(Geraetedaten!$B$18+d_y_Sw)/1000))*10</f>
        <v>10816.164000000001</v>
      </c>
      <c r="L264" s="20">
        <f>(Geraetedaten!$B$158+(Geraetedaten!$B$159*(Geraetedaten!$B$18+d_y_Sw)/1000)-(Geraetedaten!$B$160*I264/1000))*10</f>
        <v>479.04970433129756</v>
      </c>
      <c r="M264" s="20">
        <f>(Geraetedaten!$B$171+(Geraetedaten!$B$172*(Geraetedaten!$B$18+d_y_Sw)/1000)-(Geraetedaten!$B$173*I264/1000))*10</f>
        <v>940.52601386092829</v>
      </c>
      <c r="N264" s="20">
        <f>IF((H264-J264)/(K264-J264)*(Geraetedaten!$B$174-Geraetedaten!$B$161)&lt;Geraetedaten!$B$174,(H264-J264)/(K264-J264)*(Geraetedaten!$B$174-Geraetedaten!$B$161),Geraetedaten!$B$174)</f>
        <v>-165.76555177235076</v>
      </c>
      <c r="O264" s="20">
        <f>N264/Geraetedaten!$B$174*(M264-L264)+L264+C264</f>
        <v>353.04894890456382</v>
      </c>
      <c r="P264" s="20">
        <f t="shared" si="246"/>
        <v>159.25517226261272</v>
      </c>
      <c r="Q264" s="21">
        <f>(N264-Geraetedaten!$B$161)/(Geraetedaten!$B$174-Geraetedaten!$B$161)*(Geraetedaten!$B$175-Geraetedaten!$B$162)+Geraetedaten!$B$162</f>
        <v>24.268474834772562</v>
      </c>
      <c r="R264" s="21">
        <f t="shared" si="247"/>
        <v>24.268474834772562</v>
      </c>
      <c r="S264" s="21">
        <f t="shared" si="248"/>
        <v>-16.551060038532899</v>
      </c>
      <c r="T264" s="88">
        <f t="shared" si="249"/>
        <v>-17.748838903062602</v>
      </c>
      <c r="U264" s="86">
        <f t="shared" si="250"/>
        <v>4141.5538500000002</v>
      </c>
      <c r="V264" s="85">
        <f t="shared" si="251"/>
        <v>-1141.3067828769733</v>
      </c>
      <c r="W264" s="85">
        <f t="shared" si="252"/>
        <v>1670.3517751084441</v>
      </c>
      <c r="X264" s="90">
        <f t="shared" si="253"/>
        <v>1141.3067828769733</v>
      </c>
      <c r="Y264" s="86">
        <f t="shared" si="254"/>
        <v>11467.80683</v>
      </c>
      <c r="Z264" s="85">
        <f t="shared" si="255"/>
        <v>-750</v>
      </c>
      <c r="AA264" s="85">
        <f t="shared" si="256"/>
        <v>1025.4955958239464</v>
      </c>
      <c r="AB264" s="90">
        <f t="shared" si="257"/>
        <v>750</v>
      </c>
      <c r="AC264" s="86">
        <f t="shared" si="258"/>
        <v>-3980.0710300000001</v>
      </c>
      <c r="AD264" s="85">
        <f t="shared" si="259"/>
        <v>1055.7627565116984</v>
      </c>
      <c r="AE264" s="85">
        <f t="shared" si="260"/>
        <v>-1549.7351221090425</v>
      </c>
      <c r="AF264" s="90">
        <f t="shared" si="261"/>
        <v>1055.7627565116984</v>
      </c>
      <c r="AG264" s="86">
        <f t="shared" si="262"/>
        <v>-12174.44478</v>
      </c>
      <c r="AH264" s="85">
        <f t="shared" si="263"/>
        <v>6128</v>
      </c>
      <c r="AI264" s="85">
        <f t="shared" si="264"/>
        <v>-8378.9826816121913</v>
      </c>
      <c r="AJ264" s="90">
        <f t="shared" si="265"/>
        <v>6128</v>
      </c>
      <c r="AL264" s="95">
        <f t="shared" si="266"/>
        <v>0</v>
      </c>
      <c r="AM264" s="95">
        <f t="shared" si="267"/>
        <v>0</v>
      </c>
      <c r="AN264" s="95">
        <f t="shared" si="268"/>
        <v>0</v>
      </c>
      <c r="AO264" s="95">
        <f t="shared" si="269"/>
        <v>0</v>
      </c>
      <c r="AP264"/>
      <c r="AQ264" s="95">
        <f t="shared" si="270"/>
        <v>0</v>
      </c>
      <c r="AR264" s="95">
        <f t="shared" si="271"/>
        <v>0</v>
      </c>
      <c r="AS264" s="95">
        <f>Geraetedaten!$B$94*ABS(SIN(RADIANS($A264)))</f>
        <v>105.02774744962475</v>
      </c>
      <c r="AT264" s="95">
        <f>Geraetedaten!$B$94*ABS(COS(RADIANS($A264)))</f>
        <v>112.62847004935227</v>
      </c>
      <c r="AU264" s="95">
        <f>((h_Aw_Sw+Geraetedaten!$B$18)/1000)*(AQ264*AS264+AR264*AT264)/100</f>
        <v>0</v>
      </c>
    </row>
    <row r="265" spans="1:47" ht="13.5" x14ac:dyDescent="0.25">
      <c r="A265" s="16">
        <v>224</v>
      </c>
      <c r="B265" s="16">
        <f t="shared" si="238"/>
        <v>226</v>
      </c>
      <c r="C265" s="19">
        <f t="shared" si="239"/>
        <v>65.686173498138942</v>
      </c>
      <c r="D265" s="17">
        <f t="shared" si="240"/>
        <v>4000.6495465018611</v>
      </c>
      <c r="E265" s="17">
        <f t="shared" si="241"/>
        <v>11593.64780650186</v>
      </c>
      <c r="F265" s="17">
        <f t="shared" si="242"/>
        <v>-3973.0745434981391</v>
      </c>
      <c r="G265" s="17">
        <f t="shared" si="243"/>
        <v>-12443.459863498139</v>
      </c>
      <c r="H265" s="17">
        <f t="shared" si="244"/>
        <v>4000.6495465018611</v>
      </c>
      <c r="I265" s="17">
        <f t="shared" si="245"/>
        <v>1640.0151565313772</v>
      </c>
      <c r="J265" s="20">
        <f>(Geraetedaten!$B$152+(Geraetedaten!$B$153*(Geraetedaten!$B$18+d_y_Sw)/1000))*10</f>
        <v>6051.0442000000003</v>
      </c>
      <c r="K265" s="20">
        <f>(Geraetedaten!$B$165+(Geraetedaten!$B$166*(Geraetedaten!$B$18+d_y_Sw)/1000))*10</f>
        <v>10816.164000000001</v>
      </c>
      <c r="L265" s="20">
        <f>(Geraetedaten!$B$158+(Geraetedaten!$B$159*(Geraetedaten!$B$18+d_y_Sw)/1000)-(Geraetedaten!$B$160*I265/1000))*10</f>
        <v>481.27428857155388</v>
      </c>
      <c r="M265" s="20">
        <f>(Geraetedaten!$B$171+(Geraetedaten!$B$172*(Geraetedaten!$B$18+d_y_Sw)/1000)-(Geraetedaten!$B$173*I265/1000))*10</f>
        <v>942.78427174780518</v>
      </c>
      <c r="N265" s="20">
        <f>IF((H265-J265)/(K265-J265)*(Geraetedaten!$B$174-Geraetedaten!$B$161)&lt;Geraetedaten!$B$174,(H265-J265)/(K265-J265)*(Geraetedaten!$B$174-Geraetedaten!$B$161),Geraetedaten!$B$174)</f>
        <v>-172.11694476165229</v>
      </c>
      <c r="O265" s="20">
        <f>N265/Geraetedaten!$B$174*(M265-L265)+L265+C265</f>
        <v>348.37624136644803</v>
      </c>
      <c r="P265" s="20">
        <f t="shared" si="246"/>
        <v>158.25820485239328</v>
      </c>
      <c r="Q265" s="21">
        <f>(N265-Geraetedaten!$B$161)/(Geraetedaten!$B$174-Geraetedaten!$B$161)*(Geraetedaten!$B$175-Geraetedaten!$B$162)+Geraetedaten!$B$162</f>
        <v>24.079520893340842</v>
      </c>
      <c r="R265" s="21">
        <f t="shared" si="247"/>
        <v>24.079520893340842</v>
      </c>
      <c r="S265" s="21">
        <f t="shared" si="248"/>
        <v>-16.727040745201531</v>
      </c>
      <c r="T265" s="88">
        <f t="shared" si="249"/>
        <v>-17.321357751666177</v>
      </c>
      <c r="U265" s="86">
        <f t="shared" si="250"/>
        <v>4066.33572</v>
      </c>
      <c r="V265" s="85">
        <f t="shared" si="251"/>
        <v>-1141.3067828769733</v>
      </c>
      <c r="W265" s="85">
        <f t="shared" si="252"/>
        <v>1640.0151565313772</v>
      </c>
      <c r="X265" s="90">
        <f t="shared" si="253"/>
        <v>1141.3067828769733</v>
      </c>
      <c r="Y265" s="86">
        <f t="shared" si="254"/>
        <v>11659.333979999999</v>
      </c>
      <c r="Z265" s="85">
        <f t="shared" si="255"/>
        <v>-750</v>
      </c>
      <c r="AA265" s="85">
        <f t="shared" si="256"/>
        <v>1042.6226932625091</v>
      </c>
      <c r="AB265" s="90">
        <f t="shared" si="257"/>
        <v>750</v>
      </c>
      <c r="AC265" s="86">
        <f t="shared" si="258"/>
        <v>-3907.3883700000001</v>
      </c>
      <c r="AD265" s="85">
        <f t="shared" si="259"/>
        <v>1055.7627565116984</v>
      </c>
      <c r="AE265" s="85">
        <f t="shared" si="260"/>
        <v>-1521.4344046057993</v>
      </c>
      <c r="AF265" s="90">
        <f t="shared" si="261"/>
        <v>1055.7627565116984</v>
      </c>
      <c r="AG265" s="86">
        <f t="shared" si="262"/>
        <v>-12377.77369</v>
      </c>
      <c r="AH265" s="85">
        <f t="shared" si="263"/>
        <v>6128</v>
      </c>
      <c r="AI265" s="85">
        <f t="shared" si="264"/>
        <v>-8518.9224857502086</v>
      </c>
      <c r="AJ265" s="90">
        <f t="shared" si="265"/>
        <v>6128</v>
      </c>
      <c r="AL265" s="95">
        <f t="shared" si="266"/>
        <v>0</v>
      </c>
      <c r="AM265" s="95">
        <f t="shared" si="267"/>
        <v>0</v>
      </c>
      <c r="AN265" s="95">
        <f t="shared" si="268"/>
        <v>0</v>
      </c>
      <c r="AO265" s="95">
        <f t="shared" si="269"/>
        <v>0</v>
      </c>
      <c r="AP265"/>
      <c r="AQ265" s="95">
        <f t="shared" si="270"/>
        <v>0</v>
      </c>
      <c r="AR265" s="95">
        <f t="shared" si="271"/>
        <v>0</v>
      </c>
      <c r="AS265" s="95">
        <f>Geraetedaten!$B$94*ABS(SIN(RADIANS($A265)))</f>
        <v>106.97738905068559</v>
      </c>
      <c r="AT265" s="95">
        <f>Geraetedaten!$B$94*ABS(COS(RADIANS($A265)))</f>
        <v>110.77832925215226</v>
      </c>
      <c r="AU265" s="95">
        <f>((h_Aw_Sw+Geraetedaten!$B$18)/1000)*(AQ265*AS265+AR265*AT265)/100</f>
        <v>0</v>
      </c>
    </row>
    <row r="266" spans="1:47" ht="13.5" x14ac:dyDescent="0.25">
      <c r="A266" s="16">
        <v>225</v>
      </c>
      <c r="B266" s="16">
        <f t="shared" si="238"/>
        <v>225</v>
      </c>
      <c r="C266" s="19">
        <f t="shared" si="239"/>
        <v>66.110906080629391</v>
      </c>
      <c r="D266" s="17">
        <f t="shared" si="240"/>
        <v>3928.8853539193706</v>
      </c>
      <c r="E266" s="17">
        <f t="shared" si="241"/>
        <v>11794.930733919369</v>
      </c>
      <c r="F266" s="17">
        <f t="shared" si="242"/>
        <v>-3904.5718860806292</v>
      </c>
      <c r="G266" s="17">
        <f t="shared" si="243"/>
        <v>-12658.02133608063</v>
      </c>
      <c r="H266" s="17">
        <f t="shared" si="244"/>
        <v>3928.8853539193706</v>
      </c>
      <c r="I266" s="17">
        <f t="shared" si="245"/>
        <v>1611.2428632139058</v>
      </c>
      <c r="J266" s="20">
        <f>(Geraetedaten!$B$152+(Geraetedaten!$B$153*(Geraetedaten!$B$18+d_y_Sw)/1000))*10</f>
        <v>6051.0442000000003</v>
      </c>
      <c r="K266" s="20">
        <f>(Geraetedaten!$B$165+(Geraetedaten!$B$166*(Geraetedaten!$B$18+d_y_Sw)/1000))*10</f>
        <v>10816.164000000001</v>
      </c>
      <c r="L266" s="20">
        <f>(Geraetedaten!$B$158+(Geraetedaten!$B$159*(Geraetedaten!$B$18+d_y_Sw)/1000)-(Geraetedaten!$B$160*I266/1000))*10</f>
        <v>483.38416084052403</v>
      </c>
      <c r="M266" s="20">
        <f>(Geraetedaten!$B$171+(Geraetedaten!$B$172*(Geraetedaten!$B$18+d_y_Sw)/1000)-(Geraetedaten!$B$173*I266/1000))*10</f>
        <v>944.9260812623578</v>
      </c>
      <c r="N266" s="20">
        <f>IF((H266-J266)/(K266-J266)*(Geraetedaten!$B$174-Geraetedaten!$B$161)&lt;Geraetedaten!$B$174,(H266-J266)/(K266-J266)*(Geraetedaten!$B$174-Geraetedaten!$B$161),Geraetedaten!$B$174)</f>
        <v>-178.14106970243472</v>
      </c>
      <c r="O266" s="20">
        <f>N266/Geraetedaten!$B$174*(M266-L266)+L266+C266</f>
        <v>343.9461383799997</v>
      </c>
      <c r="P266" s="20">
        <f t="shared" si="246"/>
        <v>157.30034351273682</v>
      </c>
      <c r="Q266" s="21">
        <f>(N266-Geraetedaten!$B$161)/(Geraetedaten!$B$174-Geraetedaten!$B$161)*(Geraetedaten!$B$175-Geraetedaten!$B$162)+Geraetedaten!$B$162</f>
        <v>23.900303176352566</v>
      </c>
      <c r="R266" s="21">
        <f t="shared" si="247"/>
        <v>23.900303176352566</v>
      </c>
      <c r="S266" s="21">
        <f t="shared" si="248"/>
        <v>-16.900066448413281</v>
      </c>
      <c r="T266" s="88">
        <f t="shared" si="249"/>
        <v>-16.900066448413284</v>
      </c>
      <c r="U266" s="86">
        <f t="shared" si="250"/>
        <v>3994.9962599999999</v>
      </c>
      <c r="V266" s="85">
        <f t="shared" si="251"/>
        <v>-1141.3067828769733</v>
      </c>
      <c r="W266" s="85">
        <f t="shared" si="252"/>
        <v>1611.2428632139058</v>
      </c>
      <c r="X266" s="90">
        <f t="shared" si="253"/>
        <v>1141.3067828769733</v>
      </c>
      <c r="Y266" s="86">
        <f t="shared" si="254"/>
        <v>11861.041639999999</v>
      </c>
      <c r="Z266" s="85">
        <f t="shared" si="255"/>
        <v>-750</v>
      </c>
      <c r="AA266" s="85">
        <f t="shared" si="256"/>
        <v>1060.6601717798212</v>
      </c>
      <c r="AB266" s="90">
        <f t="shared" si="257"/>
        <v>750</v>
      </c>
      <c r="AC266" s="86">
        <f t="shared" si="258"/>
        <v>-3838.4609799999998</v>
      </c>
      <c r="AD266" s="85">
        <f t="shared" si="259"/>
        <v>1055.7627565116984</v>
      </c>
      <c r="AE266" s="85">
        <f t="shared" si="260"/>
        <v>-1494.5958887665149</v>
      </c>
      <c r="AF266" s="90">
        <f t="shared" si="261"/>
        <v>1055.7627565116984</v>
      </c>
      <c r="AG266" s="86">
        <f t="shared" si="262"/>
        <v>-12591.91043</v>
      </c>
      <c r="AH266" s="85">
        <f t="shared" si="263"/>
        <v>6128</v>
      </c>
      <c r="AI266" s="85">
        <f t="shared" si="264"/>
        <v>-8666.3007102223255</v>
      </c>
      <c r="AJ266" s="90">
        <f t="shared" si="265"/>
        <v>6128</v>
      </c>
      <c r="AL266" s="95">
        <f t="shared" si="266"/>
        <v>0</v>
      </c>
      <c r="AM266" s="95">
        <f t="shared" si="267"/>
        <v>0</v>
      </c>
      <c r="AN266" s="95">
        <f t="shared" si="268"/>
        <v>0</v>
      </c>
      <c r="AO266" s="95">
        <f t="shared" si="269"/>
        <v>0</v>
      </c>
      <c r="AP266"/>
      <c r="AQ266" s="95">
        <f t="shared" si="270"/>
        <v>0</v>
      </c>
      <c r="AR266" s="95">
        <f t="shared" si="271"/>
        <v>0</v>
      </c>
      <c r="AS266" s="95">
        <f>Geraetedaten!$B$94*ABS(SIN(RADIANS($A266)))</f>
        <v>108.8944443027283</v>
      </c>
      <c r="AT266" s="95">
        <f>Geraetedaten!$B$94*ABS(COS(RADIANS($A266)))</f>
        <v>108.89444430272835</v>
      </c>
      <c r="AU266" s="95">
        <f>((h_Aw_Sw+Geraetedaten!$B$18)/1000)*(AQ266*AS266+AR266*AT266)/100</f>
        <v>0</v>
      </c>
    </row>
    <row r="267" spans="1:47" ht="13.5" x14ac:dyDescent="0.25">
      <c r="A267" s="16">
        <v>226</v>
      </c>
      <c r="B267" s="16">
        <f t="shared" si="238"/>
        <v>224</v>
      </c>
      <c r="C267" s="19">
        <f t="shared" si="239"/>
        <v>66.515500640696956</v>
      </c>
      <c r="D267" s="17">
        <f t="shared" si="240"/>
        <v>3860.7769493593028</v>
      </c>
      <c r="E267" s="17">
        <f t="shared" si="241"/>
        <v>12007.078269359303</v>
      </c>
      <c r="F267" s="17">
        <f t="shared" si="242"/>
        <v>-3839.5681106406973</v>
      </c>
      <c r="G267" s="17">
        <f t="shared" si="243"/>
        <v>-12884.075370640696</v>
      </c>
      <c r="H267" s="17">
        <f t="shared" si="244"/>
        <v>3860.7769493593028</v>
      </c>
      <c r="I267" s="17">
        <f t="shared" si="245"/>
        <v>1583.9368850762714</v>
      </c>
      <c r="J267" s="20">
        <f>(Geraetedaten!$B$152+(Geraetedaten!$B$153*(Geraetedaten!$B$18+d_y_Sw)/1000))*10</f>
        <v>6051.0442000000003</v>
      </c>
      <c r="K267" s="20">
        <f>(Geraetedaten!$B$165+(Geraetedaten!$B$166*(Geraetedaten!$B$18+d_y_Sw)/1000))*10</f>
        <v>10816.164000000001</v>
      </c>
      <c r="L267" s="20">
        <f>(Geraetedaten!$B$158+(Geraetedaten!$B$159*(Geraetedaten!$B$18+d_y_Sw)/1000)-(Geraetedaten!$B$160*I267/1000))*10</f>
        <v>485.38650821735678</v>
      </c>
      <c r="M267" s="20">
        <f>(Geraetedaten!$B$171+(Geraetedaten!$B$172*(Geraetedaten!$B$18+d_y_Sw)/1000)-(Geraetedaten!$B$173*I267/1000))*10</f>
        <v>946.95873827492335</v>
      </c>
      <c r="N267" s="20">
        <f>IF((H267-J267)/(K267-J267)*(Geraetedaten!$B$174-Geraetedaten!$B$161)&lt;Geraetedaten!$B$174,(H267-J267)/(K267-J267)*(Geraetedaten!$B$174-Geraetedaten!$B$161),Geraetedaten!$B$174)</f>
        <v>-183.85831564114693</v>
      </c>
      <c r="O267" s="20">
        <f>N267/Geraetedaten!$B$174*(M267-L267)+L267+C267</f>
        <v>339.74227694527326</v>
      </c>
      <c r="P267" s="20">
        <f t="shared" si="246"/>
        <v>156.37950498151091</v>
      </c>
      <c r="Q267" s="21">
        <f>(N267-Geraetedaten!$B$161)/(Geraetedaten!$B$174-Geraetedaten!$B$161)*(Geraetedaten!$B$175-Geraetedaten!$B$162)+Geraetedaten!$B$162</f>
        <v>23.730215109675875</v>
      </c>
      <c r="R267" s="21">
        <f t="shared" si="247"/>
        <v>23.730215109675875</v>
      </c>
      <c r="S267" s="21">
        <f t="shared" si="248"/>
        <v>-17.070088198987488</v>
      </c>
      <c r="T267" s="88">
        <f t="shared" si="249"/>
        <v>-16.484392558728917</v>
      </c>
      <c r="U267" s="86">
        <f t="shared" si="250"/>
        <v>3927.2924499999999</v>
      </c>
      <c r="V267" s="85">
        <f t="shared" si="251"/>
        <v>-1141.3067828769733</v>
      </c>
      <c r="W267" s="85">
        <f t="shared" si="252"/>
        <v>1583.9368850762714</v>
      </c>
      <c r="X267" s="90">
        <f t="shared" si="253"/>
        <v>1141.3067828769733</v>
      </c>
      <c r="Y267" s="86">
        <f t="shared" si="254"/>
        <v>12073.593769999999</v>
      </c>
      <c r="Z267" s="85">
        <f t="shared" si="255"/>
        <v>-750</v>
      </c>
      <c r="AA267" s="85">
        <f t="shared" si="256"/>
        <v>1079.6674047192951</v>
      </c>
      <c r="AB267" s="90">
        <f t="shared" si="257"/>
        <v>750</v>
      </c>
      <c r="AC267" s="86">
        <f t="shared" si="258"/>
        <v>-3773.0526100000002</v>
      </c>
      <c r="AD267" s="85">
        <f t="shared" si="259"/>
        <v>1055.7627565116984</v>
      </c>
      <c r="AE267" s="85">
        <f t="shared" si="260"/>
        <v>-1469.1275898323754</v>
      </c>
      <c r="AF267" s="90">
        <f t="shared" si="261"/>
        <v>1055.7627565116984</v>
      </c>
      <c r="AG267" s="86">
        <f t="shared" si="262"/>
        <v>-12817.559869999999</v>
      </c>
      <c r="AH267" s="85">
        <f t="shared" si="263"/>
        <v>6128</v>
      </c>
      <c r="AI267" s="85">
        <f t="shared" si="264"/>
        <v>-8821.6024748264535</v>
      </c>
      <c r="AJ267" s="90">
        <f t="shared" si="265"/>
        <v>6128</v>
      </c>
      <c r="AL267" s="95">
        <f t="shared" si="266"/>
        <v>0</v>
      </c>
      <c r="AM267" s="95">
        <f t="shared" si="267"/>
        <v>0</v>
      </c>
      <c r="AN267" s="95">
        <f t="shared" si="268"/>
        <v>0</v>
      </c>
      <c r="AO267" s="95">
        <f t="shared" si="269"/>
        <v>0</v>
      </c>
      <c r="AP267"/>
      <c r="AQ267" s="95">
        <f t="shared" si="270"/>
        <v>0</v>
      </c>
      <c r="AR267" s="95">
        <f t="shared" si="271"/>
        <v>0</v>
      </c>
      <c r="AS267" s="95">
        <f>Geraetedaten!$B$94*ABS(SIN(RADIANS($A267)))</f>
        <v>110.77832925215229</v>
      </c>
      <c r="AT267" s="95">
        <f>Geraetedaten!$B$94*ABS(COS(RADIANS($A267)))</f>
        <v>106.97738905068557</v>
      </c>
      <c r="AU267" s="95">
        <f>((h_Aw_Sw+Geraetedaten!$B$18)/1000)*(AQ267*AS267+AR267*AT267)/100</f>
        <v>0</v>
      </c>
    </row>
    <row r="268" spans="1:47" ht="13.5" x14ac:dyDescent="0.25">
      <c r="A268" s="16">
        <v>227</v>
      </c>
      <c r="B268" s="16">
        <f t="shared" si="238"/>
        <v>223</v>
      </c>
      <c r="C268" s="19">
        <f t="shared" si="239"/>
        <v>66.899833934919243</v>
      </c>
      <c r="D268" s="17">
        <f t="shared" si="240"/>
        <v>3796.1024360650808</v>
      </c>
      <c r="E268" s="17">
        <f t="shared" si="241"/>
        <v>12230.81738606508</v>
      </c>
      <c r="F268" s="17">
        <f t="shared" si="242"/>
        <v>-3777.8473339349193</v>
      </c>
      <c r="G268" s="17">
        <f t="shared" si="243"/>
        <v>-13122.393473934921</v>
      </c>
      <c r="H268" s="17">
        <f t="shared" si="244"/>
        <v>3796.1024360650808</v>
      </c>
      <c r="I268" s="17">
        <f t="shared" si="245"/>
        <v>1558.0076759931528</v>
      </c>
      <c r="J268" s="20">
        <f>(Geraetedaten!$B$152+(Geraetedaten!$B$153*(Geraetedaten!$B$18+d_y_Sw)/1000))*10</f>
        <v>6051.0442000000003</v>
      </c>
      <c r="K268" s="20">
        <f>(Geraetedaten!$B$165+(Geraetedaten!$B$166*(Geraetedaten!$B$18+d_y_Sw)/1000))*10</f>
        <v>10816.164000000001</v>
      </c>
      <c r="L268" s="20">
        <f>(Geraetedaten!$B$158+(Geraetedaten!$B$159*(Geraetedaten!$B$18+d_y_Sw)/1000)-(Geraetedaten!$B$160*I268/1000))*10</f>
        <v>487.28789711942181</v>
      </c>
      <c r="M268" s="20">
        <f>(Geraetedaten!$B$171+(Geraetedaten!$B$172*(Geraetedaten!$B$18+d_y_Sw)/1000)-(Geraetedaten!$B$173*I268/1000))*10</f>
        <v>948.88890859907065</v>
      </c>
      <c r="N268" s="20">
        <f>IF((H268-J268)/(K268-J268)*(Geraetedaten!$B$174-Geraetedaten!$B$161)&lt;Geraetedaten!$B$174,(H268-J268)/(K268-J268)*(Geraetedaten!$B$174-Geraetedaten!$B$161),Geraetedaten!$B$174)</f>
        <v>-189.28730932934104</v>
      </c>
      <c r="O268" s="20">
        <f>N268/Geraetedaten!$B$174*(M268-L268)+L268+C268</f>
        <v>335.74969743762858</v>
      </c>
      <c r="P268" s="20">
        <f t="shared" si="246"/>
        <v>155.49372559036109</v>
      </c>
      <c r="Q268" s="21">
        <f>(N268-Geraetedaten!$B$161)/(Geraetedaten!$B$174-Geraetedaten!$B$161)*(Geraetedaten!$B$175-Geraetedaten!$B$162)+Geraetedaten!$B$162</f>
        <v>23.568702547452101</v>
      </c>
      <c r="R268" s="21">
        <f t="shared" si="247"/>
        <v>23.568702547452101</v>
      </c>
      <c r="S268" s="21">
        <f t="shared" si="248"/>
        <v>-17.237057850440266</v>
      </c>
      <c r="T268" s="88">
        <f t="shared" si="249"/>
        <v>-16.073816486163167</v>
      </c>
      <c r="U268" s="86">
        <f t="shared" si="250"/>
        <v>3863.00227</v>
      </c>
      <c r="V268" s="85">
        <f t="shared" si="251"/>
        <v>-1141.3067828769733</v>
      </c>
      <c r="W268" s="85">
        <f t="shared" si="252"/>
        <v>1558.0076759931528</v>
      </c>
      <c r="X268" s="90">
        <f t="shared" si="253"/>
        <v>1141.3067828769733</v>
      </c>
      <c r="Y268" s="86">
        <f t="shared" si="254"/>
        <v>12297.71722</v>
      </c>
      <c r="Z268" s="85">
        <f t="shared" si="255"/>
        <v>-750</v>
      </c>
      <c r="AA268" s="85">
        <f t="shared" si="256"/>
        <v>1099.7093892297185</v>
      </c>
      <c r="AB268" s="90">
        <f t="shared" si="257"/>
        <v>750</v>
      </c>
      <c r="AC268" s="86">
        <f t="shared" si="258"/>
        <v>-3710.9475000000002</v>
      </c>
      <c r="AD268" s="85">
        <f t="shared" si="259"/>
        <v>1055.7627565116984</v>
      </c>
      <c r="AE268" s="85">
        <f t="shared" si="260"/>
        <v>-1444.9454908618814</v>
      </c>
      <c r="AF268" s="90">
        <f t="shared" si="261"/>
        <v>1055.7627565116984</v>
      </c>
      <c r="AG268" s="86">
        <f t="shared" si="262"/>
        <v>-13055.493640000001</v>
      </c>
      <c r="AH268" s="85">
        <f t="shared" si="263"/>
        <v>6128</v>
      </c>
      <c r="AI268" s="85">
        <f t="shared" si="264"/>
        <v>-8985.358849599621</v>
      </c>
      <c r="AJ268" s="90">
        <f t="shared" si="265"/>
        <v>6128</v>
      </c>
      <c r="AL268" s="95">
        <f t="shared" si="266"/>
        <v>0</v>
      </c>
      <c r="AM268" s="95">
        <f t="shared" si="267"/>
        <v>0</v>
      </c>
      <c r="AN268" s="95">
        <f t="shared" si="268"/>
        <v>0</v>
      </c>
      <c r="AO268" s="95">
        <f t="shared" si="269"/>
        <v>0</v>
      </c>
      <c r="AP268"/>
      <c r="AQ268" s="95">
        <f t="shared" si="270"/>
        <v>0</v>
      </c>
      <c r="AR268" s="95">
        <f t="shared" si="271"/>
        <v>0</v>
      </c>
      <c r="AS268" s="95">
        <f>Geraetedaten!$B$94*ABS(SIN(RADIANS($A268)))</f>
        <v>112.62847004935225</v>
      </c>
      <c r="AT268" s="95">
        <f>Geraetedaten!$B$94*ABS(COS(RADIANS($A268)))</f>
        <v>105.02774744962478</v>
      </c>
      <c r="AU268" s="95">
        <f>((h_Aw_Sw+Geraetedaten!$B$18)/1000)*(AQ268*AS268+AR268*AT268)/100</f>
        <v>0</v>
      </c>
    </row>
    <row r="269" spans="1:47" ht="13.5" x14ac:dyDescent="0.25">
      <c r="A269" s="16">
        <v>228</v>
      </c>
      <c r="B269" s="16">
        <f t="shared" si="238"/>
        <v>222</v>
      </c>
      <c r="C269" s="19">
        <f t="shared" si="239"/>
        <v>67.263788891651714</v>
      </c>
      <c r="D269" s="17">
        <f t="shared" si="240"/>
        <v>3734.6587211083483</v>
      </c>
      <c r="E269" s="17">
        <f t="shared" si="241"/>
        <v>12466.945371108348</v>
      </c>
      <c r="F269" s="17">
        <f t="shared" si="242"/>
        <v>-3719.2119988916515</v>
      </c>
      <c r="G269" s="17">
        <f t="shared" si="243"/>
        <v>-13373.821838891652</v>
      </c>
      <c r="H269" s="17">
        <f t="shared" si="244"/>
        <v>3734.6587211083483</v>
      </c>
      <c r="I269" s="17">
        <f t="shared" si="245"/>
        <v>1533.3732786817629</v>
      </c>
      <c r="J269" s="20">
        <f>(Geraetedaten!$B$152+(Geraetedaten!$B$153*(Geraetedaten!$B$18+d_y_Sw)/1000))*10</f>
        <v>6051.0442000000003</v>
      </c>
      <c r="K269" s="20">
        <f>(Geraetedaten!$B$165+(Geraetedaten!$B$166*(Geraetedaten!$B$18+d_y_Sw)/1000))*10</f>
        <v>10816.164000000001</v>
      </c>
      <c r="L269" s="20">
        <f>(Geraetedaten!$B$158+(Geraetedaten!$B$159*(Geraetedaten!$B$18+d_y_Sw)/1000)-(Geraetedaten!$B$160*I269/1000))*10</f>
        <v>489.09433747426601</v>
      </c>
      <c r="M269" s="20">
        <f>(Geraetedaten!$B$171+(Geraetedaten!$B$172*(Geraetedaten!$B$18+d_y_Sw)/1000)-(Geraetedaten!$B$173*I269/1000))*10</f>
        <v>950.72269313493052</v>
      </c>
      <c r="N269" s="20">
        <f>IF((H269-J269)/(K269-J269)*(Geraetedaten!$B$174-Geraetedaten!$B$161)&lt;Geraetedaten!$B$174,(H269-J269)/(K269-J269)*(Geraetedaten!$B$174-Geraetedaten!$B$161),Geraetedaten!$B$174)</f>
        <v>-194.44509906270576</v>
      </c>
      <c r="O269" s="20">
        <f>N269/Geraetedaten!$B$174*(M269-L269)+L269+C269</f>
        <v>331.954697999438</v>
      </c>
      <c r="P269" s="20">
        <f t="shared" si="246"/>
        <v>154.64115340563444</v>
      </c>
      <c r="Q269" s="21">
        <f>(N269-Geraetedaten!$B$161)/(Geraetedaten!$B$174-Geraetedaten!$B$161)*(Geraetedaten!$B$175-Geraetedaten!$B$162)+Geraetedaten!$B$162</f>
        <v>23.415258302884503</v>
      </c>
      <c r="R269" s="21">
        <f t="shared" si="247"/>
        <v>23.415258302884503</v>
      </c>
      <c r="S269" s="21">
        <f t="shared" si="248"/>
        <v>-17.400928045005212</v>
      </c>
      <c r="T269" s="88">
        <f t="shared" si="249"/>
        <v>-15.667865986258395</v>
      </c>
      <c r="U269" s="86">
        <f t="shared" si="250"/>
        <v>3801.9225099999999</v>
      </c>
      <c r="V269" s="85">
        <f t="shared" si="251"/>
        <v>-1141.3067828769733</v>
      </c>
      <c r="W269" s="85">
        <f t="shared" si="252"/>
        <v>1533.3732786817629</v>
      </c>
      <c r="X269" s="90">
        <f t="shared" si="253"/>
        <v>1141.3067828769733</v>
      </c>
      <c r="Y269" s="86">
        <f t="shared" si="254"/>
        <v>12534.20916</v>
      </c>
      <c r="Z269" s="85">
        <f t="shared" si="255"/>
        <v>-750</v>
      </c>
      <c r="AA269" s="85">
        <f t="shared" si="256"/>
        <v>1120.8574123984563</v>
      </c>
      <c r="AB269" s="90">
        <f t="shared" si="257"/>
        <v>750</v>
      </c>
      <c r="AC269" s="86">
        <f t="shared" si="258"/>
        <v>-3651.94821</v>
      </c>
      <c r="AD269" s="85">
        <f t="shared" si="259"/>
        <v>1055.7627565116984</v>
      </c>
      <c r="AE269" s="85">
        <f t="shared" si="260"/>
        <v>-1421.9727160856353</v>
      </c>
      <c r="AF269" s="90">
        <f t="shared" si="261"/>
        <v>1055.7627565116984</v>
      </c>
      <c r="AG269" s="86">
        <f t="shared" si="262"/>
        <v>-13306.55805</v>
      </c>
      <c r="AH269" s="85">
        <f t="shared" si="263"/>
        <v>6128</v>
      </c>
      <c r="AI269" s="85">
        <f t="shared" si="264"/>
        <v>-9158.1522975703192</v>
      </c>
      <c r="AJ269" s="90">
        <f t="shared" si="265"/>
        <v>6128</v>
      </c>
      <c r="AL269" s="95">
        <f t="shared" si="266"/>
        <v>0</v>
      </c>
      <c r="AM269" s="95">
        <f t="shared" si="267"/>
        <v>0</v>
      </c>
      <c r="AN269" s="95">
        <f t="shared" si="268"/>
        <v>0</v>
      </c>
      <c r="AO269" s="95">
        <f t="shared" si="269"/>
        <v>0</v>
      </c>
      <c r="AP269"/>
      <c r="AQ269" s="95">
        <f t="shared" si="270"/>
        <v>0</v>
      </c>
      <c r="AR269" s="95">
        <f t="shared" si="271"/>
        <v>0</v>
      </c>
      <c r="AS269" s="95">
        <f>Geraetedaten!$B$94*ABS(SIN(RADIANS($A269)))</f>
        <v>114.44430312351874</v>
      </c>
      <c r="AT269" s="95">
        <f>Geraetedaten!$B$94*ABS(COS(RADIANS($A269)))</f>
        <v>103.04611337926416</v>
      </c>
      <c r="AU269" s="95">
        <f>((h_Aw_Sw+Geraetedaten!$B$18)/1000)*(AQ269*AS269+AR269*AT269)/100</f>
        <v>0</v>
      </c>
    </row>
    <row r="270" spans="1:47" ht="13.5" x14ac:dyDescent="0.25">
      <c r="A270" s="16">
        <v>229</v>
      </c>
      <c r="B270" s="16">
        <f t="shared" si="238"/>
        <v>221</v>
      </c>
      <c r="C270" s="19">
        <f t="shared" si="239"/>
        <v>67.60725464668883</v>
      </c>
      <c r="D270" s="17">
        <f t="shared" si="240"/>
        <v>3676.2596253533111</v>
      </c>
      <c r="E270" s="17">
        <f t="shared" si="241"/>
        <v>12716.33840535331</v>
      </c>
      <c r="F270" s="17">
        <f t="shared" si="242"/>
        <v>-3663.4810346466888</v>
      </c>
      <c r="G270" s="17">
        <f t="shared" si="243"/>
        <v>-13639.290384646689</v>
      </c>
      <c r="H270" s="17">
        <f t="shared" si="244"/>
        <v>3676.2596253533111</v>
      </c>
      <c r="I270" s="17">
        <f t="shared" si="245"/>
        <v>1509.9585567566467</v>
      </c>
      <c r="J270" s="20">
        <f>(Geraetedaten!$B$152+(Geraetedaten!$B$153*(Geraetedaten!$B$18+d_y_Sw)/1000))*10</f>
        <v>6051.0442000000003</v>
      </c>
      <c r="K270" s="20">
        <f>(Geraetedaten!$B$165+(Geraetedaten!$B$166*(Geraetedaten!$B$18+d_y_Sw)/1000))*10</f>
        <v>10816.164000000001</v>
      </c>
      <c r="L270" s="20">
        <f>(Geraetedaten!$B$158+(Geraetedaten!$B$159*(Geraetedaten!$B$18+d_y_Sw)/1000)-(Geraetedaten!$B$160*I270/1000))*10</f>
        <v>490.81133903303487</v>
      </c>
      <c r="M270" s="20">
        <f>(Geraetedaten!$B$171+(Geraetedaten!$B$172*(Geraetedaten!$B$18+d_y_Sw)/1000)-(Geraetedaten!$B$173*I270/1000))*10</f>
        <v>952.46568503503613</v>
      </c>
      <c r="N270" s="20">
        <f>IF((H270-J270)/(K270-J270)*(Geraetedaten!$B$174-Geraetedaten!$B$161)&lt;Geraetedaten!$B$174,(H270-J270)/(K270-J270)*(Geraetedaten!$B$174-Geraetedaten!$B$161),Geraetedaten!$B$174)</f>
        <v>-199.34731333694393</v>
      </c>
      <c r="O270" s="20">
        <f>N270/Geraetedaten!$B$174*(M270-L270)+L270+C270</f>
        <v>328.3447097651665</v>
      </c>
      <c r="P270" s="20">
        <f t="shared" si="246"/>
        <v>153.82004185091449</v>
      </c>
      <c r="Q270" s="21">
        <f>(N270-Geraetedaten!$B$161)/(Geraetedaten!$B$174-Geraetedaten!$B$161)*(Geraetedaten!$B$175-Geraetedaten!$B$162)+Geraetedaten!$B$162</f>
        <v>23.269417428225914</v>
      </c>
      <c r="R270" s="21">
        <f t="shared" si="247"/>
        <v>23.269417428225914</v>
      </c>
      <c r="S270" s="21">
        <f t="shared" si="248"/>
        <v>-17.561652259284834</v>
      </c>
      <c r="T270" s="88">
        <f t="shared" si="249"/>
        <v>-15.26611140313668</v>
      </c>
      <c r="U270" s="86">
        <f t="shared" si="250"/>
        <v>3743.86688</v>
      </c>
      <c r="V270" s="85">
        <f t="shared" si="251"/>
        <v>-1141.3067828769733</v>
      </c>
      <c r="W270" s="85">
        <f t="shared" si="252"/>
        <v>1509.9585567566467</v>
      </c>
      <c r="X270" s="90">
        <f t="shared" si="253"/>
        <v>1141.3067828769733</v>
      </c>
      <c r="Y270" s="86">
        <f t="shared" si="254"/>
        <v>12783.945659999999</v>
      </c>
      <c r="Z270" s="85">
        <f t="shared" si="255"/>
        <v>-750</v>
      </c>
      <c r="AA270" s="85">
        <f t="shared" si="256"/>
        <v>1143.1898150293607</v>
      </c>
      <c r="AB270" s="90">
        <f t="shared" si="257"/>
        <v>750</v>
      </c>
      <c r="AC270" s="86">
        <f t="shared" si="258"/>
        <v>-3595.8737799999999</v>
      </c>
      <c r="AD270" s="85">
        <f t="shared" si="259"/>
        <v>1055.7627565116984</v>
      </c>
      <c r="AE270" s="85">
        <f t="shared" si="260"/>
        <v>-1400.1388058137679</v>
      </c>
      <c r="AF270" s="90">
        <f t="shared" si="261"/>
        <v>1055.7627565116984</v>
      </c>
      <c r="AG270" s="86">
        <f t="shared" si="262"/>
        <v>-13571.683129999999</v>
      </c>
      <c r="AH270" s="85">
        <f t="shared" si="263"/>
        <v>6128</v>
      </c>
      <c r="AI270" s="85">
        <f t="shared" si="264"/>
        <v>-9340.6229153332297</v>
      </c>
      <c r="AJ270" s="90">
        <f t="shared" si="265"/>
        <v>6128</v>
      </c>
      <c r="AL270" s="95">
        <f t="shared" si="266"/>
        <v>0</v>
      </c>
      <c r="AM270" s="95">
        <f t="shared" si="267"/>
        <v>0</v>
      </c>
      <c r="AN270" s="95">
        <f t="shared" si="268"/>
        <v>0</v>
      </c>
      <c r="AO270" s="95">
        <f t="shared" si="269"/>
        <v>0</v>
      </c>
      <c r="AP270"/>
      <c r="AQ270" s="95">
        <f t="shared" si="270"/>
        <v>0</v>
      </c>
      <c r="AR270" s="95">
        <f t="shared" si="271"/>
        <v>0</v>
      </c>
      <c r="AS270" s="95">
        <f>Geraetedaten!$B$94*ABS(SIN(RADIANS($A270)))</f>
        <v>116.22527535430689</v>
      </c>
      <c r="AT270" s="95">
        <f>Geraetedaten!$B$94*ABS(COS(RADIANS($A270)))</f>
        <v>101.03309046453812</v>
      </c>
      <c r="AU270" s="95">
        <f>((h_Aw_Sw+Geraetedaten!$B$18)/1000)*(AQ270*AS270+AR270*AT270)/100</f>
        <v>0</v>
      </c>
    </row>
    <row r="271" spans="1:47" ht="13.5" x14ac:dyDescent="0.25">
      <c r="A271" s="16">
        <v>230</v>
      </c>
      <c r="B271" s="16">
        <f t="shared" si="238"/>
        <v>220</v>
      </c>
      <c r="C271" s="19">
        <f t="shared" si="239"/>
        <v>67.930126577034372</v>
      </c>
      <c r="D271" s="17">
        <f t="shared" si="240"/>
        <v>3620.7341834229655</v>
      </c>
      <c r="E271" s="17">
        <f t="shared" si="241"/>
        <v>12979.961353422967</v>
      </c>
      <c r="F271" s="17">
        <f t="shared" si="242"/>
        <v>-3610.4882265770348</v>
      </c>
      <c r="G271" s="17">
        <f t="shared" si="243"/>
        <v>-13919.823226577033</v>
      </c>
      <c r="H271" s="17">
        <f t="shared" si="244"/>
        <v>3620.7341834229655</v>
      </c>
      <c r="I271" s="17">
        <f t="shared" si="245"/>
        <v>1487.6945189893834</v>
      </c>
      <c r="J271" s="20">
        <f>(Geraetedaten!$B$152+(Geraetedaten!$B$153*(Geraetedaten!$B$18+d_y_Sw)/1000))*10</f>
        <v>6051.0442000000003</v>
      </c>
      <c r="K271" s="20">
        <f>(Geraetedaten!$B$165+(Geraetedaten!$B$166*(Geraetedaten!$B$18+d_y_Sw)/1000))*10</f>
        <v>10816.164000000001</v>
      </c>
      <c r="L271" s="20">
        <f>(Geraetedaten!$B$158+(Geraetedaten!$B$159*(Geraetedaten!$B$18+d_y_Sw)/1000)-(Geraetedaten!$B$160*I271/1000))*10</f>
        <v>492.44396092250827</v>
      </c>
      <c r="M271" s="20">
        <f>(Geraetedaten!$B$171+(Geraetedaten!$B$172*(Geraetedaten!$B$18+d_y_Sw)/1000)-(Geraetedaten!$B$173*I271/1000))*10</f>
        <v>954.12302000643126</v>
      </c>
      <c r="N271" s="20">
        <f>IF((H271-J271)/(K271-J271)*(Geraetedaten!$B$174-Geraetedaten!$B$161)&lt;Geraetedaten!$B$174,(H271-J271)/(K271-J271)*(Geraetedaten!$B$174-Geraetedaten!$B$161),Geraetedaten!$B$174)</f>
        <v>-204.00830355425984</v>
      </c>
      <c r="O271" s="20">
        <f>N271/Geraetedaten!$B$174*(M271-L271)+L271+C271</f>
        <v>324.90818342394755</v>
      </c>
      <c r="P271" s="20">
        <f t="shared" si="246"/>
        <v>153.02874278692417</v>
      </c>
      <c r="Q271" s="21">
        <f>(N271-Geraetedaten!$B$161)/(Geraetedaten!$B$174-Geraetedaten!$B$161)*(Geraetedaten!$B$175-Geraetedaten!$B$162)+Geraetedaten!$B$162</f>
        <v>23.130752969260769</v>
      </c>
      <c r="R271" s="21">
        <f t="shared" si="247"/>
        <v>23.130752969260769</v>
      </c>
      <c r="S271" s="21">
        <f t="shared" si="248"/>
        <v>-17.719184777260011</v>
      </c>
      <c r="T271" s="88">
        <f t="shared" si="249"/>
        <v>-14.868161411360955</v>
      </c>
      <c r="U271" s="86">
        <f t="shared" si="250"/>
        <v>3688.6643100000001</v>
      </c>
      <c r="V271" s="85">
        <f t="shared" si="251"/>
        <v>-1141.3067828769733</v>
      </c>
      <c r="W271" s="85">
        <f t="shared" si="252"/>
        <v>1487.6945189893834</v>
      </c>
      <c r="X271" s="90">
        <f t="shared" si="253"/>
        <v>1141.3067828769733</v>
      </c>
      <c r="Y271" s="86">
        <f t="shared" si="254"/>
        <v>13047.89148</v>
      </c>
      <c r="Z271" s="85">
        <f t="shared" si="255"/>
        <v>-750</v>
      </c>
      <c r="AA271" s="85">
        <f t="shared" si="256"/>
        <v>1166.7928701453091</v>
      </c>
      <c r="AB271" s="90">
        <f t="shared" si="257"/>
        <v>750</v>
      </c>
      <c r="AC271" s="86">
        <f t="shared" si="258"/>
        <v>-3542.5581000000002</v>
      </c>
      <c r="AD271" s="85">
        <f t="shared" si="259"/>
        <v>1055.7627565116984</v>
      </c>
      <c r="AE271" s="85">
        <f t="shared" si="260"/>
        <v>-1379.3790786727373</v>
      </c>
      <c r="AF271" s="90">
        <f t="shared" si="261"/>
        <v>1055.7627565116984</v>
      </c>
      <c r="AG271" s="86">
        <f t="shared" si="262"/>
        <v>-13851.893099999999</v>
      </c>
      <c r="AH271" s="85">
        <f t="shared" si="263"/>
        <v>6128</v>
      </c>
      <c r="AI271" s="85">
        <f t="shared" si="264"/>
        <v>-9533.4756110006037</v>
      </c>
      <c r="AJ271" s="90">
        <f t="shared" si="265"/>
        <v>6128</v>
      </c>
      <c r="AL271" s="95">
        <f t="shared" si="266"/>
        <v>0</v>
      </c>
      <c r="AM271" s="95">
        <f t="shared" si="267"/>
        <v>0</v>
      </c>
      <c r="AN271" s="95">
        <f t="shared" si="268"/>
        <v>0</v>
      </c>
      <c r="AO271" s="95">
        <f t="shared" si="269"/>
        <v>0</v>
      </c>
      <c r="AP271"/>
      <c r="AQ271" s="95">
        <f t="shared" si="270"/>
        <v>0</v>
      </c>
      <c r="AR271" s="95">
        <f t="shared" si="271"/>
        <v>0</v>
      </c>
      <c r="AS271" s="95">
        <f>Geraetedaten!$B$94*ABS(SIN(RADIANS($A271)))</f>
        <v>117.97084424032259</v>
      </c>
      <c r="AT271" s="95">
        <f>Geraetedaten!$B$94*ABS(COS(RADIANS($A271)))</f>
        <v>98.989291891727078</v>
      </c>
      <c r="AU271" s="95">
        <f>((h_Aw_Sw+Geraetedaten!$B$18)/1000)*(AQ271*AS271+AR271*AT271)/100</f>
        <v>0</v>
      </c>
    </row>
    <row r="272" spans="1:47" ht="13.5" x14ac:dyDescent="0.25">
      <c r="A272" s="16">
        <v>231</v>
      </c>
      <c r="B272" s="16">
        <f t="shared" si="238"/>
        <v>219</v>
      </c>
      <c r="C272" s="19">
        <f t="shared" si="239"/>
        <v>68.232306332770634</v>
      </c>
      <c r="D272" s="17">
        <f t="shared" si="240"/>
        <v>3567.925193667229</v>
      </c>
      <c r="E272" s="17">
        <f t="shared" si="241"/>
        <v>13258.87912366723</v>
      </c>
      <c r="F272" s="17">
        <f t="shared" si="242"/>
        <v>-3560.080746332771</v>
      </c>
      <c r="G272" s="17">
        <f t="shared" si="243"/>
        <v>-14216.550686332772</v>
      </c>
      <c r="H272" s="17">
        <f t="shared" si="244"/>
        <v>3567.925193667229</v>
      </c>
      <c r="I272" s="17">
        <f t="shared" si="245"/>
        <v>1466.5177231545213</v>
      </c>
      <c r="J272" s="20">
        <f>(Geraetedaten!$B$152+(Geraetedaten!$B$153*(Geraetedaten!$B$18+d_y_Sw)/1000))*10</f>
        <v>6051.0442000000003</v>
      </c>
      <c r="K272" s="20">
        <f>(Geraetedaten!$B$165+(Geraetedaten!$B$166*(Geraetedaten!$B$18+d_y_Sw)/1000))*10</f>
        <v>10816.164000000001</v>
      </c>
      <c r="L272" s="20">
        <f>(Geraetedaten!$B$158+(Geraetedaten!$B$159*(Geraetedaten!$B$18+d_y_Sw)/1000)-(Geraetedaten!$B$160*I272/1000))*10</f>
        <v>493.9968553610787</v>
      </c>
      <c r="M272" s="20">
        <f>(Geraetedaten!$B$171+(Geraetedaten!$B$172*(Geraetedaten!$B$18+d_y_Sw)/1000)-(Geraetedaten!$B$173*I272/1000))*10</f>
        <v>955.69942068837827</v>
      </c>
      <c r="N272" s="20">
        <f>IF((H272-J272)/(K272-J272)*(Geraetedaten!$B$174-Geraetedaten!$B$161)&lt;Geraetedaten!$B$174,(H272-J272)/(K272-J272)*(Geraetedaten!$B$174-Geraetedaten!$B$161),Geraetedaten!$B$174)</f>
        <v>-208.44126574385569</v>
      </c>
      <c r="O272" s="20">
        <f>N272/Geraetedaten!$B$174*(M272-L272)+L272+C272</f>
        <v>321.63449390883045</v>
      </c>
      <c r="P272" s="20">
        <f t="shared" si="246"/>
        <v>152.26570151538772</v>
      </c>
      <c r="Q272" s="21">
        <f>(N272-Geraetedaten!$B$161)/(Geraetedaten!$B$174-Geraetedaten!$B$161)*(Geraetedaten!$B$175-Geraetedaten!$B$162)+Geraetedaten!$B$162</f>
        <v>22.998872344120294</v>
      </c>
      <c r="R272" s="21">
        <f t="shared" si="247"/>
        <v>22.998872344120294</v>
      </c>
      <c r="S272" s="21">
        <f t="shared" si="248"/>
        <v>-17.873480760297497</v>
      </c>
      <c r="T272" s="88">
        <f t="shared" si="249"/>
        <v>-14.473659337307083</v>
      </c>
      <c r="U272" s="86">
        <f t="shared" si="250"/>
        <v>3636.1574999999998</v>
      </c>
      <c r="V272" s="85">
        <f t="shared" si="251"/>
        <v>-1141.3067828769733</v>
      </c>
      <c r="W272" s="85">
        <f t="shared" si="252"/>
        <v>1466.5177231545213</v>
      </c>
      <c r="X272" s="90">
        <f t="shared" si="253"/>
        <v>1141.3067828769733</v>
      </c>
      <c r="Y272" s="86">
        <f t="shared" si="254"/>
        <v>13327.111430000001</v>
      </c>
      <c r="Z272" s="85">
        <f t="shared" si="255"/>
        <v>-750</v>
      </c>
      <c r="AA272" s="85">
        <f t="shared" si="256"/>
        <v>1191.7617967993122</v>
      </c>
      <c r="AB272" s="90">
        <f t="shared" si="257"/>
        <v>750</v>
      </c>
      <c r="AC272" s="86">
        <f t="shared" si="258"/>
        <v>-3491.8484400000002</v>
      </c>
      <c r="AD272" s="85">
        <f t="shared" si="259"/>
        <v>1055.7627565116984</v>
      </c>
      <c r="AE272" s="85">
        <f t="shared" si="260"/>
        <v>-1359.6340691825171</v>
      </c>
      <c r="AF272" s="90">
        <f t="shared" si="261"/>
        <v>1055.7627565116984</v>
      </c>
      <c r="AG272" s="86">
        <f t="shared" si="262"/>
        <v>-14148.318380000001</v>
      </c>
      <c r="AH272" s="85">
        <f t="shared" si="263"/>
        <v>6128</v>
      </c>
      <c r="AI272" s="85">
        <f t="shared" si="264"/>
        <v>-9737.4883877149132</v>
      </c>
      <c r="AJ272" s="90">
        <f t="shared" si="265"/>
        <v>6128</v>
      </c>
      <c r="AL272" s="95">
        <f t="shared" si="266"/>
        <v>0</v>
      </c>
      <c r="AM272" s="95">
        <f t="shared" si="267"/>
        <v>0</v>
      </c>
      <c r="AN272" s="95">
        <f t="shared" si="268"/>
        <v>0</v>
      </c>
      <c r="AO272" s="95">
        <f t="shared" si="269"/>
        <v>0</v>
      </c>
      <c r="AP272"/>
      <c r="AQ272" s="95">
        <f t="shared" si="270"/>
        <v>0</v>
      </c>
      <c r="AR272" s="95">
        <f t="shared" si="271"/>
        <v>0</v>
      </c>
      <c r="AS272" s="95">
        <f>Geraetedaten!$B$94*ABS(SIN(RADIANS($A272)))</f>
        <v>119.68047806437347</v>
      </c>
      <c r="AT272" s="95">
        <f>Geraetedaten!$B$94*ABS(COS(RADIANS($A272)))</f>
        <v>96.915340221675024</v>
      </c>
      <c r="AU272" s="95">
        <f>((h_Aw_Sw+Geraetedaten!$B$18)/1000)*(AQ272*AS272+AR272*AT272)/100</f>
        <v>0</v>
      </c>
    </row>
    <row r="273" spans="1:47" ht="13.5" x14ac:dyDescent="0.25">
      <c r="A273" s="16">
        <v>232</v>
      </c>
      <c r="B273" s="16">
        <f t="shared" si="238"/>
        <v>218</v>
      </c>
      <c r="C273" s="19">
        <f t="shared" si="239"/>
        <v>68.513701867016778</v>
      </c>
      <c r="D273" s="17">
        <f t="shared" si="240"/>
        <v>3517.6878981329833</v>
      </c>
      <c r="E273" s="17">
        <f t="shared" si="241"/>
        <v>13554.269778132983</v>
      </c>
      <c r="F273" s="17">
        <f t="shared" si="242"/>
        <v>-3512.1179018670168</v>
      </c>
      <c r="G273" s="17">
        <f t="shared" si="243"/>
        <v>-14530.723231867018</v>
      </c>
      <c r="H273" s="17">
        <f t="shared" si="244"/>
        <v>3517.6878981329833</v>
      </c>
      <c r="I273" s="17">
        <f t="shared" si="245"/>
        <v>1446.369748781404</v>
      </c>
      <c r="J273" s="20">
        <f>(Geraetedaten!$B$152+(Geraetedaten!$B$153*(Geraetedaten!$B$18+d_y_Sw)/1000))*10</f>
        <v>6051.0442000000003</v>
      </c>
      <c r="K273" s="20">
        <f>(Geraetedaten!$B$165+(Geraetedaten!$B$166*(Geraetedaten!$B$18+d_y_Sw)/1000))*10</f>
        <v>10816.164000000001</v>
      </c>
      <c r="L273" s="20">
        <f>(Geraetedaten!$B$158+(Geraetedaten!$B$159*(Geraetedaten!$B$18+d_y_Sw)/1000)-(Geraetedaten!$B$160*I273/1000))*10</f>
        <v>495.47430632185933</v>
      </c>
      <c r="M273" s="20">
        <f>(Geraetedaten!$B$171+(Geraetedaten!$B$172*(Geraetedaten!$B$18+d_y_Sw)/1000)-(Geraetedaten!$B$173*I273/1000))*10</f>
        <v>957.19923590071312</v>
      </c>
      <c r="N273" s="20">
        <f>IF((H273-J273)/(K273-J273)*(Geraetedaten!$B$174-Geraetedaten!$B$161)&lt;Geraetedaten!$B$174,(H273-J273)/(K273-J273)*(Geraetedaten!$B$174-Geraetedaten!$B$161),Geraetedaten!$B$174)</f>
        <v>-212.6583513696354</v>
      </c>
      <c r="O273" s="20">
        <f>N273/Geraetedaten!$B$174*(M273-L273)+L273+C273</f>
        <v>318.51385241262597</v>
      </c>
      <c r="P273" s="20">
        <f t="shared" si="246"/>
        <v>151.52945109625881</v>
      </c>
      <c r="Q273" s="21">
        <f>(N273-Geraetedaten!$B$161)/(Geraetedaten!$B$174-Geraetedaten!$B$161)*(Geraetedaten!$B$175-Geraetedaten!$B$162)+Geraetedaten!$B$162</f>
        <v>22.873414046753346</v>
      </c>
      <c r="R273" s="21">
        <f t="shared" si="247"/>
        <v>22.873414046753346</v>
      </c>
      <c r="S273" s="21">
        <f t="shared" si="248"/>
        <v>-18.024496240540689</v>
      </c>
      <c r="T273" s="88">
        <f t="shared" si="249"/>
        <v>-14.082279837758795</v>
      </c>
      <c r="U273" s="86">
        <f t="shared" si="250"/>
        <v>3586.2015999999999</v>
      </c>
      <c r="V273" s="85">
        <f t="shared" si="251"/>
        <v>-1141.3067828769733</v>
      </c>
      <c r="W273" s="85">
        <f t="shared" si="252"/>
        <v>1446.369748781404</v>
      </c>
      <c r="X273" s="90">
        <f t="shared" si="253"/>
        <v>1141.3067828769733</v>
      </c>
      <c r="Y273" s="86">
        <f t="shared" si="254"/>
        <v>13622.78348</v>
      </c>
      <c r="Z273" s="85">
        <f t="shared" si="255"/>
        <v>-750</v>
      </c>
      <c r="AA273" s="85">
        <f t="shared" si="256"/>
        <v>1218.2019341120579</v>
      </c>
      <c r="AB273" s="90">
        <f t="shared" si="257"/>
        <v>750</v>
      </c>
      <c r="AC273" s="86">
        <f t="shared" si="258"/>
        <v>-3443.6042000000002</v>
      </c>
      <c r="AD273" s="85">
        <f t="shared" si="259"/>
        <v>1055.7627565116984</v>
      </c>
      <c r="AE273" s="85">
        <f t="shared" si="260"/>
        <v>-1340.8490305324553</v>
      </c>
      <c r="AF273" s="90">
        <f t="shared" si="261"/>
        <v>1055.7627565116984</v>
      </c>
      <c r="AG273" s="86">
        <f t="shared" si="262"/>
        <v>-14462.20953</v>
      </c>
      <c r="AH273" s="85">
        <f t="shared" si="263"/>
        <v>6128</v>
      </c>
      <c r="AI273" s="85">
        <f t="shared" si="264"/>
        <v>-9953.5219363182532</v>
      </c>
      <c r="AJ273" s="90">
        <f t="shared" si="265"/>
        <v>6128</v>
      </c>
      <c r="AL273" s="95">
        <f t="shared" si="266"/>
        <v>0</v>
      </c>
      <c r="AM273" s="95">
        <f t="shared" si="267"/>
        <v>0</v>
      </c>
      <c r="AN273" s="95">
        <f t="shared" si="268"/>
        <v>0</v>
      </c>
      <c r="AO273" s="95">
        <f t="shared" si="269"/>
        <v>0</v>
      </c>
      <c r="AP273"/>
      <c r="AQ273" s="95">
        <f t="shared" si="270"/>
        <v>0</v>
      </c>
      <c r="AR273" s="95">
        <f t="shared" si="271"/>
        <v>0</v>
      </c>
      <c r="AS273" s="95">
        <f>Geraetedaten!$B$94*ABS(SIN(RADIANS($A273)))</f>
        <v>121.35365605543521</v>
      </c>
      <c r="AT273" s="95">
        <f>Geraetedaten!$B$94*ABS(COS(RADIANS($A273)))</f>
        <v>94.81186720015134</v>
      </c>
      <c r="AU273" s="95">
        <f>((h_Aw_Sw+Geraetedaten!$B$18)/1000)*(AQ273*AS273+AR273*AT273)/100</f>
        <v>0</v>
      </c>
    </row>
    <row r="274" spans="1:47" ht="13.5" x14ac:dyDescent="0.25">
      <c r="A274" s="16">
        <v>233</v>
      </c>
      <c r="B274" s="16">
        <f t="shared" si="238"/>
        <v>217</v>
      </c>
      <c r="C274" s="19">
        <f t="shared" si="239"/>
        <v>68.774227463967051</v>
      </c>
      <c r="D274" s="17">
        <f t="shared" si="240"/>
        <v>3469.8888325360326</v>
      </c>
      <c r="E274" s="17">
        <f t="shared" si="241"/>
        <v>13867.439812536033</v>
      </c>
      <c r="F274" s="17">
        <f t="shared" si="242"/>
        <v>-3466.469997463967</v>
      </c>
      <c r="G274" s="17">
        <f t="shared" si="243"/>
        <v>-14863.727677463969</v>
      </c>
      <c r="H274" s="17">
        <f t="shared" si="244"/>
        <v>3469.8888325360326</v>
      </c>
      <c r="I274" s="17">
        <f t="shared" si="245"/>
        <v>1427.1967297414715</v>
      </c>
      <c r="J274" s="20">
        <f>(Geraetedaten!$B$152+(Geraetedaten!$B$153*(Geraetedaten!$B$18+d_y_Sw)/1000))*10</f>
        <v>6051.0442000000003</v>
      </c>
      <c r="K274" s="20">
        <f>(Geraetedaten!$B$165+(Geraetedaten!$B$166*(Geraetedaten!$B$18+d_y_Sw)/1000))*10</f>
        <v>10816.164000000001</v>
      </c>
      <c r="L274" s="20">
        <f>(Geraetedaten!$B$158+(Geraetedaten!$B$159*(Geraetedaten!$B$18+d_y_Sw)/1000)-(Geraetedaten!$B$160*I274/1000))*10</f>
        <v>496.88026380805763</v>
      </c>
      <c r="M274" s="20">
        <f>(Geraetedaten!$B$171+(Geraetedaten!$B$172*(Geraetedaten!$B$18+d_y_Sw)/1000)-(Geraetedaten!$B$173*I274/1000))*10</f>
        <v>958.62647543804587</v>
      </c>
      <c r="N274" s="20">
        <f>IF((H274-J274)/(K274-J274)*(Geraetedaten!$B$174-Geraetedaten!$B$161)&lt;Geraetedaten!$B$174,(H274-J274)/(K274-J274)*(Geraetedaten!$B$174-Geraetedaten!$B$161),Geraetedaten!$B$174)</f>
        <v>-216.67076386738211</v>
      </c>
      <c r="O274" s="20">
        <f>N274/Geraetedaten!$B$174*(M274-L274)+L274+C274</f>
        <v>315.53723030517614</v>
      </c>
      <c r="P274" s="20">
        <f t="shared" si="246"/>
        <v>150.8186076661583</v>
      </c>
      <c r="Q274" s="21">
        <f>(N274-Geraetedaten!$B$161)/(Geraetedaten!$B$174-Geraetedaten!$B$161)*(Geraetedaten!$B$175-Geraetedaten!$B$162)+Geraetedaten!$B$162</f>
        <v>22.754044774945381</v>
      </c>
      <c r="R274" s="21">
        <f t="shared" si="247"/>
        <v>22.754044774945381</v>
      </c>
      <c r="S274" s="21">
        <f t="shared" si="248"/>
        <v>-18.172188154477443</v>
      </c>
      <c r="T274" s="88">
        <f t="shared" si="249"/>
        <v>-13.693725983036497</v>
      </c>
      <c r="U274" s="86">
        <f t="shared" si="250"/>
        <v>3538.6630599999999</v>
      </c>
      <c r="V274" s="85">
        <f t="shared" si="251"/>
        <v>-1141.3067828769733</v>
      </c>
      <c r="W274" s="85">
        <f t="shared" si="252"/>
        <v>1427.1967297414715</v>
      </c>
      <c r="X274" s="90">
        <f t="shared" si="253"/>
        <v>1141.3067828769733</v>
      </c>
      <c r="Y274" s="86">
        <f t="shared" si="254"/>
        <v>13936.214040000001</v>
      </c>
      <c r="Z274" s="85">
        <f t="shared" si="255"/>
        <v>-750</v>
      </c>
      <c r="AA274" s="85">
        <f t="shared" si="256"/>
        <v>1246.2301058418627</v>
      </c>
      <c r="AB274" s="90">
        <f t="shared" si="257"/>
        <v>750</v>
      </c>
      <c r="AC274" s="86">
        <f t="shared" si="258"/>
        <v>-3397.6957699999998</v>
      </c>
      <c r="AD274" s="85">
        <f t="shared" si="259"/>
        <v>1055.7627565116984</v>
      </c>
      <c r="AE274" s="85">
        <f t="shared" si="260"/>
        <v>-1322.9734939473042</v>
      </c>
      <c r="AF274" s="90">
        <f t="shared" si="261"/>
        <v>1055.7627565116984</v>
      </c>
      <c r="AG274" s="86">
        <f t="shared" si="262"/>
        <v>-14794.953450000001</v>
      </c>
      <c r="AH274" s="85">
        <f t="shared" si="263"/>
        <v>6128</v>
      </c>
      <c r="AI274" s="85">
        <f t="shared" si="264"/>
        <v>-10182.530784798579</v>
      </c>
      <c r="AJ274" s="90">
        <f t="shared" si="265"/>
        <v>6128</v>
      </c>
      <c r="AL274" s="95">
        <f t="shared" si="266"/>
        <v>0</v>
      </c>
      <c r="AM274" s="95">
        <f t="shared" si="267"/>
        <v>0</v>
      </c>
      <c r="AN274" s="95">
        <f t="shared" si="268"/>
        <v>0</v>
      </c>
      <c r="AO274" s="95">
        <f t="shared" si="269"/>
        <v>0</v>
      </c>
      <c r="AP274"/>
      <c r="AQ274" s="95">
        <f t="shared" si="270"/>
        <v>0</v>
      </c>
      <c r="AR274" s="95">
        <f t="shared" si="271"/>
        <v>0</v>
      </c>
      <c r="AS274" s="95">
        <f>Geraetedaten!$B$94*ABS(SIN(RADIANS($A274)))</f>
        <v>122.98986854728309</v>
      </c>
      <c r="AT274" s="95">
        <f>Geraetedaten!$B$94*ABS(COS(RADIANS($A274)))</f>
        <v>92.679513565415434</v>
      </c>
      <c r="AU274" s="95">
        <f>((h_Aw_Sw+Geraetedaten!$B$18)/1000)*(AQ274*AS274+AR274*AT274)/100</f>
        <v>0</v>
      </c>
    </row>
    <row r="275" spans="1:47" ht="13.5" x14ac:dyDescent="0.25">
      <c r="A275" s="16">
        <v>234</v>
      </c>
      <c r="B275" s="16">
        <f t="shared" si="238"/>
        <v>216</v>
      </c>
      <c r="C275" s="19">
        <f t="shared" si="239"/>
        <v>69.013803765000915</v>
      </c>
      <c r="D275" s="17">
        <f t="shared" si="240"/>
        <v>3424.404766234999</v>
      </c>
      <c r="E275" s="17">
        <f t="shared" si="241"/>
        <v>14199.841946234999</v>
      </c>
      <c r="F275" s="17">
        <f t="shared" si="242"/>
        <v>-3423.017323765001</v>
      </c>
      <c r="G275" s="17">
        <f t="shared" si="243"/>
        <v>-15217.106103765002</v>
      </c>
      <c r="H275" s="17">
        <f t="shared" si="244"/>
        <v>3424.404766234999</v>
      </c>
      <c r="I275" s="17">
        <f t="shared" si="245"/>
        <v>1408.9489389427144</v>
      </c>
      <c r="J275" s="20">
        <f>(Geraetedaten!$B$152+(Geraetedaten!$B$153*(Geraetedaten!$B$18+d_y_Sw)/1000))*10</f>
        <v>6051.0442000000003</v>
      </c>
      <c r="K275" s="20">
        <f>(Geraetedaten!$B$165+(Geraetedaten!$B$166*(Geraetedaten!$B$18+d_y_Sw)/1000))*10</f>
        <v>10816.164000000001</v>
      </c>
      <c r="L275" s="20">
        <f>(Geraetedaten!$B$158+(Geraetedaten!$B$159*(Geraetedaten!$B$18+d_y_Sw)/1000)-(Geraetedaten!$B$160*I275/1000))*10</f>
        <v>498.21837430733058</v>
      </c>
      <c r="M275" s="20">
        <f>(Geraetedaten!$B$171+(Geraetedaten!$B$172*(Geraetedaten!$B$18+d_y_Sw)/1000)-(Geraetedaten!$B$173*I275/1000))*10</f>
        <v>959.98484098510528</v>
      </c>
      <c r="N275" s="20">
        <f>IF((H275-J275)/(K275-J275)*(Geraetedaten!$B$174-Geraetedaten!$B$161)&lt;Geraetedaten!$B$174,(H275-J275)/(K275-J275)*(Geraetedaten!$B$174-Geraetedaten!$B$161),Geraetedaten!$B$174)</f>
        <v>-220.48884762687405</v>
      </c>
      <c r="O275" s="20">
        <f>N275/Geraetedaten!$B$174*(M275-L275)+L275+C275</f>
        <v>312.69628779604182</v>
      </c>
      <c r="P275" s="20">
        <f t="shared" si="246"/>
        <v>150.13186500353302</v>
      </c>
      <c r="Q275" s="21">
        <f>(N275-Geraetedaten!$B$161)/(Geraetedaten!$B$174-Geraetedaten!$B$161)*(Geraetedaten!$B$175-Geraetedaten!$B$162)+Geraetedaten!$B$162</f>
        <v>22.640456783100497</v>
      </c>
      <c r="R275" s="21">
        <f t="shared" si="247"/>
        <v>22.640456783100497</v>
      </c>
      <c r="S275" s="21">
        <f t="shared" si="248"/>
        <v>-18.316514297939854</v>
      </c>
      <c r="T275" s="88">
        <f t="shared" si="249"/>
        <v>-13.307726602271563</v>
      </c>
      <c r="U275" s="86">
        <f t="shared" si="250"/>
        <v>3493.4185699999998</v>
      </c>
      <c r="V275" s="85">
        <f t="shared" si="251"/>
        <v>-1141.3067828769733</v>
      </c>
      <c r="W275" s="85">
        <f t="shared" si="252"/>
        <v>1408.9489389427144</v>
      </c>
      <c r="X275" s="90">
        <f t="shared" si="253"/>
        <v>1141.3067828769733</v>
      </c>
      <c r="Y275" s="86">
        <f t="shared" si="254"/>
        <v>14268.855750000001</v>
      </c>
      <c r="Z275" s="85">
        <f t="shared" si="255"/>
        <v>-750</v>
      </c>
      <c r="AA275" s="85">
        <f t="shared" si="256"/>
        <v>1275.9762125280597</v>
      </c>
      <c r="AB275" s="90">
        <f t="shared" si="257"/>
        <v>750</v>
      </c>
      <c r="AC275" s="86">
        <f t="shared" si="258"/>
        <v>-3354.0035200000002</v>
      </c>
      <c r="AD275" s="85">
        <f t="shared" si="259"/>
        <v>1055.7627565116984</v>
      </c>
      <c r="AE275" s="85">
        <f t="shared" si="260"/>
        <v>-1305.960877312413</v>
      </c>
      <c r="AF275" s="90">
        <f t="shared" si="261"/>
        <v>1055.7627565116984</v>
      </c>
      <c r="AG275" s="86">
        <f t="shared" si="262"/>
        <v>-15148.0923</v>
      </c>
      <c r="AH275" s="85">
        <f t="shared" si="263"/>
        <v>6128</v>
      </c>
      <c r="AI275" s="85">
        <f t="shared" si="264"/>
        <v>-10425.576307162599</v>
      </c>
      <c r="AJ275" s="90">
        <f t="shared" si="265"/>
        <v>6128</v>
      </c>
      <c r="AL275" s="95">
        <f t="shared" si="266"/>
        <v>0</v>
      </c>
      <c r="AM275" s="95">
        <f t="shared" si="267"/>
        <v>0</v>
      </c>
      <c r="AN275" s="95">
        <f t="shared" si="268"/>
        <v>0</v>
      </c>
      <c r="AO275" s="95">
        <f t="shared" si="269"/>
        <v>0</v>
      </c>
      <c r="AP275"/>
      <c r="AQ275" s="95">
        <f t="shared" si="270"/>
        <v>0</v>
      </c>
      <c r="AR275" s="95">
        <f t="shared" si="271"/>
        <v>0</v>
      </c>
      <c r="AS275" s="95">
        <f>Geraetedaten!$B$94*ABS(SIN(RADIANS($A275)))</f>
        <v>124.58861713374189</v>
      </c>
      <c r="AT275" s="95">
        <f>Geraetedaten!$B$94*ABS(COS(RADIANS($A275)))</f>
        <v>90.518928853040876</v>
      </c>
      <c r="AU275" s="95">
        <f>((h_Aw_Sw+Geraetedaten!$B$18)/1000)*(AQ275*AS275+AR275*AT275)/100</f>
        <v>0</v>
      </c>
    </row>
    <row r="276" spans="1:47" ht="13.5" x14ac:dyDescent="0.25">
      <c r="A276" s="16">
        <v>235</v>
      </c>
      <c r="B276" s="16">
        <f t="shared" si="238"/>
        <v>215</v>
      </c>
      <c r="C276" s="19">
        <f t="shared" si="239"/>
        <v>69.232357792856234</v>
      </c>
      <c r="D276" s="17">
        <f t="shared" si="240"/>
        <v>3381.1218322071436</v>
      </c>
      <c r="E276" s="17">
        <f t="shared" si="241"/>
        <v>14553.095972207144</v>
      </c>
      <c r="F276" s="17">
        <f t="shared" si="242"/>
        <v>-3381.6492477928564</v>
      </c>
      <c r="G276" s="17">
        <f t="shared" si="243"/>
        <v>-15592.577967792857</v>
      </c>
      <c r="H276" s="17">
        <f t="shared" si="244"/>
        <v>3381.1218322071436</v>
      </c>
      <c r="I276" s="17">
        <f t="shared" si="245"/>
        <v>1391.5804185259387</v>
      </c>
      <c r="J276" s="20">
        <f>(Geraetedaten!$B$152+(Geraetedaten!$B$153*(Geraetedaten!$B$18+d_y_Sw)/1000))*10</f>
        <v>6051.0442000000003</v>
      </c>
      <c r="K276" s="20">
        <f>(Geraetedaten!$B$165+(Geraetedaten!$B$166*(Geraetedaten!$B$18+d_y_Sw)/1000))*10</f>
        <v>10816.164000000001</v>
      </c>
      <c r="L276" s="20">
        <f>(Geraetedaten!$B$158+(Geraetedaten!$B$159*(Geraetedaten!$B$18+d_y_Sw)/1000)-(Geraetedaten!$B$160*I276/1000))*10</f>
        <v>499.4920079094926</v>
      </c>
      <c r="M276" s="20">
        <f>(Geraetedaten!$B$171+(Geraetedaten!$B$172*(Geraetedaten!$B$18+d_y_Sw)/1000)-(Geraetedaten!$B$173*I276/1000))*10</f>
        <v>961.27775364493004</v>
      </c>
      <c r="N276" s="20">
        <f>IF((H276-J276)/(K276-J276)*(Geraetedaten!$B$174-Geraetedaten!$B$161)&lt;Geraetedaten!$B$174,(H276-J276)/(K276-J276)*(Geraetedaten!$B$174-Geraetedaten!$B$161),Geraetedaten!$B$174)</f>
        <v>-224.12216102460687</v>
      </c>
      <c r="O276" s="20">
        <f>N276/Geraetedaten!$B$174*(M276-L276)+L276+C276</f>
        <v>309.98331754088417</v>
      </c>
      <c r="P276" s="20">
        <f t="shared" si="246"/>
        <v>149.46799163688596</v>
      </c>
      <c r="Q276" s="21">
        <f>(N276-Geraetedaten!$B$161)/(Geraetedaten!$B$174-Geraetedaten!$B$161)*(Geraetedaten!$B$175-Geraetedaten!$B$162)+Geraetedaten!$B$162</f>
        <v>22.532365709517943</v>
      </c>
      <c r="R276" s="21">
        <f t="shared" si="247"/>
        <v>22.532365709517943</v>
      </c>
      <c r="S276" s="21">
        <f t="shared" si="248"/>
        <v>-18.457433433618796</v>
      </c>
      <c r="T276" s="88">
        <f t="shared" si="249"/>
        <v>-12.924034026223818</v>
      </c>
      <c r="U276" s="86">
        <f t="shared" si="250"/>
        <v>3450.35419</v>
      </c>
      <c r="V276" s="85">
        <f t="shared" si="251"/>
        <v>-1141.3067828769733</v>
      </c>
      <c r="W276" s="85">
        <f t="shared" si="252"/>
        <v>1391.5804185259387</v>
      </c>
      <c r="X276" s="90">
        <f t="shared" si="253"/>
        <v>1141.3067828769733</v>
      </c>
      <c r="Y276" s="86">
        <f t="shared" si="254"/>
        <v>14622.32833</v>
      </c>
      <c r="Z276" s="85">
        <f t="shared" si="255"/>
        <v>-750</v>
      </c>
      <c r="AA276" s="85">
        <f t="shared" si="256"/>
        <v>1307.585096715824</v>
      </c>
      <c r="AB276" s="90">
        <f t="shared" si="257"/>
        <v>750</v>
      </c>
      <c r="AC276" s="86">
        <f t="shared" si="258"/>
        <v>-3312.41689</v>
      </c>
      <c r="AD276" s="85">
        <f t="shared" si="259"/>
        <v>1055.7627565116984</v>
      </c>
      <c r="AE276" s="85">
        <f t="shared" si="260"/>
        <v>-1289.7681367953401</v>
      </c>
      <c r="AF276" s="90">
        <f t="shared" si="261"/>
        <v>1055.7627565116984</v>
      </c>
      <c r="AG276" s="86">
        <f t="shared" si="262"/>
        <v>-15523.34561</v>
      </c>
      <c r="AH276" s="85">
        <f t="shared" si="263"/>
        <v>6128</v>
      </c>
      <c r="AI276" s="85">
        <f t="shared" si="264"/>
        <v>-10683.841963566092</v>
      </c>
      <c r="AJ276" s="90">
        <f t="shared" si="265"/>
        <v>6128</v>
      </c>
      <c r="AL276" s="95">
        <f t="shared" si="266"/>
        <v>0</v>
      </c>
      <c r="AM276" s="95">
        <f t="shared" si="267"/>
        <v>0</v>
      </c>
      <c r="AN276" s="95">
        <f t="shared" si="268"/>
        <v>0</v>
      </c>
      <c r="AO276" s="95">
        <f t="shared" si="269"/>
        <v>0</v>
      </c>
      <c r="AP276"/>
      <c r="AQ276" s="95">
        <f t="shared" si="270"/>
        <v>0</v>
      </c>
      <c r="AR276" s="95">
        <f t="shared" si="271"/>
        <v>0</v>
      </c>
      <c r="AS276" s="95">
        <f>Geraetedaten!$B$94*ABS(SIN(RADIANS($A276)))</f>
        <v>126.1494148205047</v>
      </c>
      <c r="AT276" s="95">
        <f>Geraetedaten!$B$94*ABS(COS(RADIANS($A276)))</f>
        <v>88.330771198061143</v>
      </c>
      <c r="AU276" s="95">
        <f>((h_Aw_Sw+Geraetedaten!$B$18)/1000)*(AQ276*AS276+AR276*AT276)/100</f>
        <v>0</v>
      </c>
    </row>
    <row r="277" spans="1:47" ht="13.5" x14ac:dyDescent="0.25">
      <c r="A277" s="16">
        <v>236</v>
      </c>
      <c r="B277" s="16">
        <f t="shared" si="238"/>
        <v>214</v>
      </c>
      <c r="C277" s="19">
        <f t="shared" si="239"/>
        <v>69.429822973858947</v>
      </c>
      <c r="D277" s="17">
        <f t="shared" si="240"/>
        <v>3339.9346770261413</v>
      </c>
      <c r="E277" s="17">
        <f t="shared" si="241"/>
        <v>14929.013337026141</v>
      </c>
      <c r="F277" s="17">
        <f t="shared" si="242"/>
        <v>-3342.2634529738589</v>
      </c>
      <c r="G277" s="17">
        <f t="shared" si="243"/>
        <v>-15992.06618297386</v>
      </c>
      <c r="H277" s="17">
        <f t="shared" si="244"/>
        <v>3339.9346770261413</v>
      </c>
      <c r="I277" s="17">
        <f t="shared" si="245"/>
        <v>1375.0486499003507</v>
      </c>
      <c r="J277" s="20">
        <f>(Geraetedaten!$B$152+(Geraetedaten!$B$153*(Geraetedaten!$B$18+d_y_Sw)/1000))*10</f>
        <v>6051.0442000000003</v>
      </c>
      <c r="K277" s="20">
        <f>(Geraetedaten!$B$165+(Geraetedaten!$B$166*(Geraetedaten!$B$18+d_y_Sw)/1000))*10</f>
        <v>10816.164000000001</v>
      </c>
      <c r="L277" s="20">
        <f>(Geraetedaten!$B$158+(Geraetedaten!$B$159*(Geraetedaten!$B$18+d_y_Sw)/1000)-(Geraetedaten!$B$160*I277/1000))*10</f>
        <v>500.70428250280708</v>
      </c>
      <c r="M277" s="20">
        <f>(Geraetedaten!$B$171+(Geraetedaten!$B$172*(Geraetedaten!$B$18+d_y_Sw)/1000)-(Geraetedaten!$B$173*I277/1000))*10</f>
        <v>962.50837850141897</v>
      </c>
      <c r="N277" s="20">
        <f>IF((H277-J277)/(K277-J277)*(Geraetedaten!$B$174-Geraetedaten!$B$161)&lt;Geraetedaten!$B$174,(H277-J277)/(K277-J277)*(Geraetedaten!$B$174-Geraetedaten!$B$161),Geraetedaten!$B$174)</f>
        <v>-227.5795477774858</v>
      </c>
      <c r="O277" s="20">
        <f>N277/Geraetedaten!$B$174*(M277-L277)+L277+C277</f>
        <v>307.39118715377919</v>
      </c>
      <c r="P277" s="20">
        <f t="shared" si="246"/>
        <v>148.82582601547475</v>
      </c>
      <c r="Q277" s="21">
        <f>(N277-Geraetedaten!$B$161)/(Geraetedaten!$B$174-Geraetedaten!$B$161)*(Geraetedaten!$B$175-Geraetedaten!$B$162)+Geraetedaten!$B$162</f>
        <v>22.429508453619796</v>
      </c>
      <c r="R277" s="21">
        <f t="shared" si="247"/>
        <v>22.429508453619796</v>
      </c>
      <c r="S277" s="21">
        <f t="shared" si="248"/>
        <v>-18.594905241991746</v>
      </c>
      <c r="T277" s="88">
        <f t="shared" si="249"/>
        <v>-12.542421955601309</v>
      </c>
      <c r="U277" s="86">
        <f t="shared" si="250"/>
        <v>3409.3645000000001</v>
      </c>
      <c r="V277" s="85">
        <f t="shared" si="251"/>
        <v>-1141.3067828769733</v>
      </c>
      <c r="W277" s="85">
        <f t="shared" si="252"/>
        <v>1375.0486499003507</v>
      </c>
      <c r="X277" s="90">
        <f t="shared" si="253"/>
        <v>1141.3067828769733</v>
      </c>
      <c r="Y277" s="86">
        <f t="shared" si="254"/>
        <v>14998.443160000001</v>
      </c>
      <c r="Z277" s="85">
        <f t="shared" si="255"/>
        <v>-750</v>
      </c>
      <c r="AA277" s="85">
        <f t="shared" si="256"/>
        <v>1341.2187374785503</v>
      </c>
      <c r="AB277" s="90">
        <f t="shared" si="257"/>
        <v>750</v>
      </c>
      <c r="AC277" s="86">
        <f t="shared" si="258"/>
        <v>-3272.8336300000001</v>
      </c>
      <c r="AD277" s="85">
        <f t="shared" si="259"/>
        <v>1055.7627565116984</v>
      </c>
      <c r="AE277" s="85">
        <f t="shared" si="260"/>
        <v>-1274.3554560976163</v>
      </c>
      <c r="AF277" s="90">
        <f t="shared" si="261"/>
        <v>1055.7627565116984</v>
      </c>
      <c r="AG277" s="86">
        <f t="shared" si="262"/>
        <v>-15922.63636</v>
      </c>
      <c r="AH277" s="85">
        <f t="shared" si="263"/>
        <v>6128</v>
      </c>
      <c r="AI277" s="85">
        <f t="shared" si="264"/>
        <v>-10958.651231024742</v>
      </c>
      <c r="AJ277" s="90">
        <f t="shared" si="265"/>
        <v>6128</v>
      </c>
      <c r="AL277" s="95">
        <f t="shared" si="266"/>
        <v>0</v>
      </c>
      <c r="AM277" s="95">
        <f t="shared" si="267"/>
        <v>0</v>
      </c>
      <c r="AN277" s="95">
        <f t="shared" si="268"/>
        <v>0</v>
      </c>
      <c r="AO277" s="95">
        <f t="shared" si="269"/>
        <v>0</v>
      </c>
      <c r="AP277"/>
      <c r="AQ277" s="95">
        <f t="shared" si="270"/>
        <v>0</v>
      </c>
      <c r="AR277" s="95">
        <f t="shared" si="271"/>
        <v>0</v>
      </c>
      <c r="AS277" s="95">
        <f>Geraetedaten!$B$94*ABS(SIN(RADIANS($A277)))</f>
        <v>127.67178617347645</v>
      </c>
      <c r="AT277" s="95">
        <f>Geraetedaten!$B$94*ABS(COS(RADIANS($A277)))</f>
        <v>86.115707134494968</v>
      </c>
      <c r="AU277" s="95">
        <f>((h_Aw_Sw+Geraetedaten!$B$18)/1000)*(AQ277*AS277+AR277*AT277)/100</f>
        <v>0</v>
      </c>
    </row>
    <row r="278" spans="1:47" ht="13.5" x14ac:dyDescent="0.25">
      <c r="A278" s="16">
        <v>237</v>
      </c>
      <c r="B278" s="16">
        <f t="shared" si="238"/>
        <v>213</v>
      </c>
      <c r="C278" s="19">
        <f t="shared" si="239"/>
        <v>69.606139158202012</v>
      </c>
      <c r="D278" s="17">
        <f t="shared" si="240"/>
        <v>3300.7457208417982</v>
      </c>
      <c r="E278" s="17">
        <f t="shared" si="241"/>
        <v>15329.626080841797</v>
      </c>
      <c r="F278" s="17">
        <f t="shared" si="242"/>
        <v>-3304.765199158202</v>
      </c>
      <c r="G278" s="17">
        <f t="shared" si="243"/>
        <v>-16417.727889158203</v>
      </c>
      <c r="H278" s="17">
        <f t="shared" si="244"/>
        <v>3300.7457208417982</v>
      </c>
      <c r="I278" s="17">
        <f t="shared" si="245"/>
        <v>1359.3142587503162</v>
      </c>
      <c r="J278" s="20">
        <f>(Geraetedaten!$B$152+(Geraetedaten!$B$153*(Geraetedaten!$B$18+d_y_Sw)/1000))*10</f>
        <v>6051.0442000000003</v>
      </c>
      <c r="K278" s="20">
        <f>(Geraetedaten!$B$165+(Geraetedaten!$B$166*(Geraetedaten!$B$18+d_y_Sw)/1000))*10</f>
        <v>10816.164000000001</v>
      </c>
      <c r="L278" s="20">
        <f>(Geraetedaten!$B$158+(Geraetedaten!$B$159*(Geraetedaten!$B$18+d_y_Sw)/1000)-(Geraetedaten!$B$160*I278/1000))*10</f>
        <v>501.85808540583906</v>
      </c>
      <c r="M278" s="20">
        <f>(Geraetedaten!$B$171+(Geraetedaten!$B$172*(Geraetedaten!$B$18+d_y_Sw)/1000)-(Geraetedaten!$B$173*I278/1000))*10</f>
        <v>963.6796465786274</v>
      </c>
      <c r="N278" s="20">
        <f>IF((H278-J278)/(K278-J278)*(Geraetedaten!$B$174-Geraetedaten!$B$161)&lt;Geraetedaten!$B$174,(H278-J278)/(K278-J278)*(Geraetedaten!$B$174-Geraetedaten!$B$161),Geraetedaten!$B$174)</f>
        <v>-230.86919906258828</v>
      </c>
      <c r="O278" s="20">
        <f>N278/Geraetedaten!$B$174*(M278-L278)+L278+C278</f>
        <v>304.9132897195517</v>
      </c>
      <c r="P278" s="20">
        <f t="shared" si="246"/>
        <v>148.20427261297195</v>
      </c>
      <c r="Q278" s="21">
        <f>(N278-Geraetedaten!$B$161)/(Geraetedaten!$B$174-Geraetedaten!$B$161)*(Geraetedaten!$B$175-Geraetedaten!$B$162)+Geraetedaten!$B$162</f>
        <v>22.331641327887997</v>
      </c>
      <c r="R278" s="21">
        <f t="shared" si="247"/>
        <v>22.331641327887997</v>
      </c>
      <c r="S278" s="21">
        <f t="shared" si="248"/>
        <v>-18.728890315613331</v>
      </c>
      <c r="T278" s="88">
        <f t="shared" si="249"/>
        <v>-12.162683583122615</v>
      </c>
      <c r="U278" s="86">
        <f t="shared" si="250"/>
        <v>3370.3518600000002</v>
      </c>
      <c r="V278" s="85">
        <f t="shared" si="251"/>
        <v>-1141.3067828769733</v>
      </c>
      <c r="W278" s="85">
        <f t="shared" si="252"/>
        <v>1359.3142587503162</v>
      </c>
      <c r="X278" s="90">
        <f t="shared" si="253"/>
        <v>1141.3067828769733</v>
      </c>
      <c r="Y278" s="86">
        <f t="shared" si="254"/>
        <v>15399.23222</v>
      </c>
      <c r="Z278" s="85">
        <f t="shared" si="255"/>
        <v>-750</v>
      </c>
      <c r="AA278" s="85">
        <f t="shared" si="256"/>
        <v>1377.0588440824968</v>
      </c>
      <c r="AB278" s="90">
        <f t="shared" si="257"/>
        <v>750</v>
      </c>
      <c r="AC278" s="86">
        <f t="shared" si="258"/>
        <v>-3235.15906</v>
      </c>
      <c r="AD278" s="85">
        <f t="shared" si="259"/>
        <v>1055.7627565116984</v>
      </c>
      <c r="AE278" s="85">
        <f t="shared" si="260"/>
        <v>-1259.6859687251945</v>
      </c>
      <c r="AF278" s="90">
        <f t="shared" si="261"/>
        <v>1055.7627565116984</v>
      </c>
      <c r="AG278" s="86">
        <f t="shared" si="262"/>
        <v>-16348.12175</v>
      </c>
      <c r="AH278" s="85">
        <f t="shared" si="263"/>
        <v>6128</v>
      </c>
      <c r="AI278" s="85">
        <f t="shared" si="264"/>
        <v>-11251.488795383388</v>
      </c>
      <c r="AJ278" s="90">
        <f t="shared" si="265"/>
        <v>6128</v>
      </c>
      <c r="AL278" s="95">
        <f t="shared" si="266"/>
        <v>0</v>
      </c>
      <c r="AM278" s="95">
        <f t="shared" si="267"/>
        <v>0</v>
      </c>
      <c r="AN278" s="95">
        <f t="shared" si="268"/>
        <v>0</v>
      </c>
      <c r="AO278" s="95">
        <f t="shared" si="269"/>
        <v>0</v>
      </c>
      <c r="AP278"/>
      <c r="AQ278" s="95">
        <f t="shared" si="270"/>
        <v>0</v>
      </c>
      <c r="AR278" s="95">
        <f t="shared" si="271"/>
        <v>0</v>
      </c>
      <c r="AS278" s="95">
        <f>Geraetedaten!$B$94*ABS(SIN(RADIANS($A278)))</f>
        <v>129.15526746359529</v>
      </c>
      <c r="AT278" s="95">
        <f>Geraetedaten!$B$94*ABS(COS(RADIANS($A278)))</f>
        <v>83.874411392314158</v>
      </c>
      <c r="AU278" s="95">
        <f>((h_Aw_Sw+Geraetedaten!$B$18)/1000)*(AQ278*AS278+AR278*AT278)/100</f>
        <v>0</v>
      </c>
    </row>
    <row r="279" spans="1:47" ht="13.5" x14ac:dyDescent="0.25">
      <c r="A279" s="16">
        <v>238</v>
      </c>
      <c r="B279" s="16">
        <f t="shared" si="238"/>
        <v>212</v>
      </c>
      <c r="C279" s="19">
        <f t="shared" si="239"/>
        <v>69.761252638267678</v>
      </c>
      <c r="D279" s="17">
        <f t="shared" si="240"/>
        <v>3263.4645373617323</v>
      </c>
      <c r="E279" s="17">
        <f t="shared" si="241"/>
        <v>15757.221347361732</v>
      </c>
      <c r="F279" s="17">
        <f t="shared" si="242"/>
        <v>-3269.0666926382678</v>
      </c>
      <c r="G279" s="17">
        <f t="shared" si="243"/>
        <v>-16871.99105263827</v>
      </c>
      <c r="H279" s="17">
        <f t="shared" si="244"/>
        <v>3263.4645373617323</v>
      </c>
      <c r="I279" s="17">
        <f t="shared" si="245"/>
        <v>1344.3407508164714</v>
      </c>
      <c r="J279" s="20">
        <f>(Geraetedaten!$B$152+(Geraetedaten!$B$153*(Geraetedaten!$B$18+d_y_Sw)/1000))*10</f>
        <v>6051.0442000000003</v>
      </c>
      <c r="K279" s="20">
        <f>(Geraetedaten!$B$165+(Geraetedaten!$B$166*(Geraetedaten!$B$18+d_y_Sw)/1000))*10</f>
        <v>10816.164000000001</v>
      </c>
      <c r="L279" s="20">
        <f>(Geraetedaten!$B$158+(Geraetedaten!$B$159*(Geraetedaten!$B$18+d_y_Sw)/1000)-(Geraetedaten!$B$160*I279/1000))*10</f>
        <v>502.9560927426279</v>
      </c>
      <c r="M279" s="20">
        <f>(Geraetedaten!$B$171+(Geraetedaten!$B$172*(Geraetedaten!$B$18+d_y_Sw)/1000)-(Geraetedaten!$B$173*I279/1000))*10</f>
        <v>964.79427450922287</v>
      </c>
      <c r="N279" s="20">
        <f>IF((H279-J279)/(K279-J279)*(Geraetedaten!$B$174-Geraetedaten!$B$161)&lt;Geraetedaten!$B$174,(H279-J279)/(K279-J279)*(Geraetedaten!$B$174-Geraetedaten!$B$161),Geraetedaten!$B$174)</f>
        <v>-233.99870556356359</v>
      </c>
      <c r="O279" s="20">
        <f>N279/Geraetedaten!$B$174*(M279-L279)+L279+C279</f>
        <v>302.54350359786304</v>
      </c>
      <c r="P279" s="20">
        <f t="shared" si="246"/>
        <v>147.60229958117759</v>
      </c>
      <c r="Q279" s="21">
        <f>(N279-Geraetedaten!$B$161)/(Geraetedaten!$B$174-Geraetedaten!$B$161)*(Geraetedaten!$B$175-Geraetedaten!$B$162)+Geraetedaten!$B$162</f>
        <v>22.23853850948398</v>
      </c>
      <c r="R279" s="21">
        <f t="shared" si="247"/>
        <v>22.23853850948398</v>
      </c>
      <c r="S279" s="21">
        <f t="shared" si="248"/>
        <v>-18.859350244269251</v>
      </c>
      <c r="T279" s="88">
        <f t="shared" si="249"/>
        <v>-11.784629964567547</v>
      </c>
      <c r="U279" s="86">
        <f t="shared" si="250"/>
        <v>3333.22579</v>
      </c>
      <c r="V279" s="85">
        <f t="shared" si="251"/>
        <v>-1141.3067828769733</v>
      </c>
      <c r="W279" s="85">
        <f t="shared" si="252"/>
        <v>1344.3407508164714</v>
      </c>
      <c r="X279" s="90">
        <f t="shared" si="253"/>
        <v>1141.3067828769733</v>
      </c>
      <c r="Y279" s="86">
        <f t="shared" si="254"/>
        <v>15826.982599999999</v>
      </c>
      <c r="Z279" s="85">
        <f t="shared" si="255"/>
        <v>-750</v>
      </c>
      <c r="AA279" s="85">
        <f t="shared" si="256"/>
        <v>1415.3099360998938</v>
      </c>
      <c r="AB279" s="90">
        <f t="shared" si="257"/>
        <v>750</v>
      </c>
      <c r="AC279" s="86">
        <f t="shared" si="258"/>
        <v>-3199.3054400000001</v>
      </c>
      <c r="AD279" s="85">
        <f t="shared" si="259"/>
        <v>1055.7627565116984</v>
      </c>
      <c r="AE279" s="85">
        <f t="shared" si="260"/>
        <v>-1245.7255093038075</v>
      </c>
      <c r="AF279" s="90">
        <f t="shared" si="261"/>
        <v>1055.7627565116984</v>
      </c>
      <c r="AG279" s="86">
        <f t="shared" si="262"/>
        <v>-16802.229800000001</v>
      </c>
      <c r="AH279" s="85">
        <f t="shared" si="263"/>
        <v>6128</v>
      </c>
      <c r="AI279" s="85">
        <f t="shared" si="264"/>
        <v>-11564.025717893534</v>
      </c>
      <c r="AJ279" s="90">
        <f t="shared" si="265"/>
        <v>6128</v>
      </c>
      <c r="AL279" s="95">
        <f t="shared" si="266"/>
        <v>0</v>
      </c>
      <c r="AM279" s="95">
        <f t="shared" si="267"/>
        <v>0</v>
      </c>
      <c r="AN279" s="95">
        <f t="shared" si="268"/>
        <v>0</v>
      </c>
      <c r="AO279" s="95">
        <f t="shared" si="269"/>
        <v>0</v>
      </c>
      <c r="AP279"/>
      <c r="AQ279" s="95">
        <f t="shared" si="270"/>
        <v>0</v>
      </c>
      <c r="AR279" s="95">
        <f t="shared" si="271"/>
        <v>0</v>
      </c>
      <c r="AS279" s="95">
        <f>Geraetedaten!$B$94*ABS(SIN(RADIANS($A279)))</f>
        <v>130.59940680808961</v>
      </c>
      <c r="AT279" s="95">
        <f>Geraetedaten!$B$94*ABS(COS(RADIANS($A279)))</f>
        <v>81.607566691913576</v>
      </c>
      <c r="AU279" s="95">
        <f>((h_Aw_Sw+Geraetedaten!$B$18)/1000)*(AQ279*AS279+AR279*AT279)/100</f>
        <v>0</v>
      </c>
    </row>
    <row r="280" spans="1:47" ht="13.5" x14ac:dyDescent="0.25">
      <c r="A280" s="16">
        <v>239</v>
      </c>
      <c r="B280" s="16">
        <f t="shared" si="238"/>
        <v>211</v>
      </c>
      <c r="C280" s="19">
        <f t="shared" si="239"/>
        <v>69.8951161649873</v>
      </c>
      <c r="D280" s="17">
        <f t="shared" si="240"/>
        <v>3228.0072538350123</v>
      </c>
      <c r="E280" s="17">
        <f t="shared" si="241"/>
        <v>16214.382463835012</v>
      </c>
      <c r="F280" s="17">
        <f t="shared" si="242"/>
        <v>-3235.0864961649877</v>
      </c>
      <c r="G280" s="17">
        <f t="shared" si="243"/>
        <v>-17357.598086164984</v>
      </c>
      <c r="H280" s="17">
        <f t="shared" si="244"/>
        <v>3228.0072538350123</v>
      </c>
      <c r="I280" s="17">
        <f t="shared" si="245"/>
        <v>1330.0942748235739</v>
      </c>
      <c r="J280" s="20">
        <f>(Geraetedaten!$B$152+(Geraetedaten!$B$153*(Geraetedaten!$B$18+d_y_Sw)/1000))*10</f>
        <v>6051.0442000000003</v>
      </c>
      <c r="K280" s="20">
        <f>(Geraetedaten!$B$165+(Geraetedaten!$B$166*(Geraetedaten!$B$18+d_y_Sw)/1000))*10</f>
        <v>10816.164000000001</v>
      </c>
      <c r="L280" s="20">
        <f>(Geraetedaten!$B$158+(Geraetedaten!$B$159*(Geraetedaten!$B$18+d_y_Sw)/1000)-(Geraetedaten!$B$160*I280/1000))*10</f>
        <v>504.00078682718708</v>
      </c>
      <c r="M280" s="20">
        <f>(Geraetedaten!$B$171+(Geraetedaten!$B$172*(Geraetedaten!$B$18+d_y_Sw)/1000)-(Geraetedaten!$B$173*I280/1000))*10</f>
        <v>965.85478218213416</v>
      </c>
      <c r="N280" s="20">
        <f>IF((H280-J280)/(K280-J280)*(Geraetedaten!$B$174-Geraetedaten!$B$161)&lt;Geraetedaten!$B$174,(H280-J280)/(K280-J280)*(Geraetedaten!$B$174-Geraetedaten!$B$161),Geraetedaten!$B$174)</f>
        <v>-236.97510783800126</v>
      </c>
      <c r="O280" s="20">
        <f>N280/Geraetedaten!$B$174*(M280-L280)+L280+C280</f>
        <v>300.27615210554859</v>
      </c>
      <c r="P280" s="20">
        <f t="shared" si="246"/>
        <v>147.01893527491615</v>
      </c>
      <c r="Q280" s="21">
        <f>(N280-Geraetedaten!$B$161)/(Geraetedaten!$B$174-Geraetedaten!$B$161)*(Geraetedaten!$B$175-Geraetedaten!$B$162)+Geraetedaten!$B$162</f>
        <v>22.149990541819459</v>
      </c>
      <c r="R280" s="21">
        <f t="shared" si="247"/>
        <v>22.149990541819459</v>
      </c>
      <c r="S280" s="21">
        <f t="shared" si="248"/>
        <v>-18.986247603308701</v>
      </c>
      <c r="T280" s="88">
        <f t="shared" si="249"/>
        <v>-11.408088487934609</v>
      </c>
      <c r="U280" s="86">
        <f t="shared" si="250"/>
        <v>3297.9023699999998</v>
      </c>
      <c r="V280" s="85">
        <f t="shared" si="251"/>
        <v>-1141.3067828769733</v>
      </c>
      <c r="W280" s="85">
        <f t="shared" si="252"/>
        <v>1330.0942748235739</v>
      </c>
      <c r="X280" s="90">
        <f t="shared" si="253"/>
        <v>1141.3067828769733</v>
      </c>
      <c r="Y280" s="86">
        <f t="shared" si="254"/>
        <v>16284.27758</v>
      </c>
      <c r="Z280" s="85">
        <f t="shared" si="255"/>
        <v>-750</v>
      </c>
      <c r="AA280" s="85">
        <f t="shared" si="256"/>
        <v>1456.2030198077669</v>
      </c>
      <c r="AB280" s="90">
        <f t="shared" si="257"/>
        <v>750</v>
      </c>
      <c r="AC280" s="86">
        <f t="shared" si="258"/>
        <v>-3165.1913800000002</v>
      </c>
      <c r="AD280" s="85">
        <f t="shared" si="259"/>
        <v>1055.7627565116984</v>
      </c>
      <c r="AE280" s="85">
        <f t="shared" si="260"/>
        <v>-1232.4423905057772</v>
      </c>
      <c r="AF280" s="90">
        <f t="shared" si="261"/>
        <v>1055.7627565116984</v>
      </c>
      <c r="AG280" s="86">
        <f t="shared" si="262"/>
        <v>-17287.702969999998</v>
      </c>
      <c r="AH280" s="85">
        <f t="shared" si="263"/>
        <v>6128</v>
      </c>
      <c r="AI280" s="85">
        <f t="shared" si="264"/>
        <v>-11898.149473842661</v>
      </c>
      <c r="AJ280" s="90">
        <f t="shared" si="265"/>
        <v>6128</v>
      </c>
      <c r="AL280" s="95">
        <f t="shared" si="266"/>
        <v>0</v>
      </c>
      <c r="AM280" s="95">
        <f t="shared" si="267"/>
        <v>0</v>
      </c>
      <c r="AN280" s="95">
        <f t="shared" si="268"/>
        <v>0</v>
      </c>
      <c r="AO280" s="95">
        <f t="shared" si="269"/>
        <v>0</v>
      </c>
      <c r="AP280"/>
      <c r="AQ280" s="95">
        <f t="shared" si="270"/>
        <v>0</v>
      </c>
      <c r="AR280" s="95">
        <f t="shared" si="271"/>
        <v>0</v>
      </c>
      <c r="AS280" s="95">
        <f>Geraetedaten!$B$94*ABS(SIN(RADIANS($A280)))</f>
        <v>132.00376430812526</v>
      </c>
      <c r="AT280" s="95">
        <f>Geraetedaten!$B$94*ABS(COS(RADIANS($A280)))</f>
        <v>79.315863536148385</v>
      </c>
      <c r="AU280" s="95">
        <f>((h_Aw_Sw+Geraetedaten!$B$18)/1000)*(AQ280*AS280+AR280*AT280)/100</f>
        <v>0</v>
      </c>
    </row>
    <row r="281" spans="1:47" ht="13.5" x14ac:dyDescent="0.25">
      <c r="A281" s="16">
        <v>240</v>
      </c>
      <c r="B281" s="16">
        <f t="shared" si="238"/>
        <v>210</v>
      </c>
      <c r="C281" s="19">
        <f t="shared" si="239"/>
        <v>70.007688962233885</v>
      </c>
      <c r="D281" s="17">
        <f t="shared" si="240"/>
        <v>3194.2959810377661</v>
      </c>
      <c r="E281" s="17">
        <f t="shared" si="241"/>
        <v>16704.038261037767</v>
      </c>
      <c r="F281" s="17">
        <f t="shared" si="242"/>
        <v>-3202.7490389622335</v>
      </c>
      <c r="G281" s="17">
        <f t="shared" si="243"/>
        <v>-17877.658198962232</v>
      </c>
      <c r="H281" s="17">
        <f t="shared" si="244"/>
        <v>3194.2959810377661</v>
      </c>
      <c r="I281" s="17">
        <f t="shared" si="245"/>
        <v>1316.5434094114819</v>
      </c>
      <c r="J281" s="20">
        <f>(Geraetedaten!$B$152+(Geraetedaten!$B$153*(Geraetedaten!$B$18+d_y_Sw)/1000))*10</f>
        <v>6051.0442000000003</v>
      </c>
      <c r="K281" s="20">
        <f>(Geraetedaten!$B$165+(Geraetedaten!$B$166*(Geraetedaten!$B$18+d_y_Sw)/1000))*10</f>
        <v>10816.164000000001</v>
      </c>
      <c r="L281" s="20">
        <f>(Geraetedaten!$B$158+(Geraetedaten!$B$159*(Geraetedaten!$B$18+d_y_Sw)/1000)-(Geraetedaten!$B$160*I281/1000))*10</f>
        <v>504.99447178785579</v>
      </c>
      <c r="M281" s="20">
        <f>(Geraetedaten!$B$171+(Geraetedaten!$B$172*(Geraetedaten!$B$18+d_y_Sw)/1000)-(Geraetedaten!$B$173*I281/1000))*10</f>
        <v>966.8635086034102</v>
      </c>
      <c r="N281" s="20">
        <f>IF((H281-J281)/(K281-J281)*(Geraetedaten!$B$174-Geraetedaten!$B$161)&lt;Geraetedaten!$B$174,(H281-J281)/(K281-J281)*(Geraetedaten!$B$174-Geraetedaten!$B$161),Geraetedaten!$B$174)</f>
        <v>-239.80494416633417</v>
      </c>
      <c r="O281" s="20">
        <f>N281/Geraetedaten!$B$174*(M281-L281)+L281+C281</f>
        <v>298.10596428580823</v>
      </c>
      <c r="P281" s="20">
        <f t="shared" si="246"/>
        <v>146.4532641018051</v>
      </c>
      <c r="Q281" s="21">
        <f>(N281-Geraetedaten!$B$161)/(Geraetedaten!$B$174-Geraetedaten!$B$161)*(Geraetedaten!$B$175-Geraetedaten!$B$162)+Geraetedaten!$B$162</f>
        <v>22.065802911051556</v>
      </c>
      <c r="R281" s="21">
        <f t="shared" si="247"/>
        <v>22.065802911051556</v>
      </c>
      <c r="S281" s="21">
        <f t="shared" si="248"/>
        <v>-19.109545875871259</v>
      </c>
      <c r="T281" s="88">
        <f t="shared" si="249"/>
        <v>-11.032901455525788</v>
      </c>
      <c r="U281" s="86">
        <f t="shared" si="250"/>
        <v>3264.3036699999998</v>
      </c>
      <c r="V281" s="85">
        <f t="shared" si="251"/>
        <v>-1141.3067828769733</v>
      </c>
      <c r="W281" s="85">
        <f t="shared" si="252"/>
        <v>1316.5434094114819</v>
      </c>
      <c r="X281" s="90">
        <f t="shared" si="253"/>
        <v>1141.3067828769733</v>
      </c>
      <c r="Y281" s="86">
        <f t="shared" si="254"/>
        <v>16774.04595</v>
      </c>
      <c r="Z281" s="85">
        <f t="shared" si="255"/>
        <v>-750</v>
      </c>
      <c r="AA281" s="85">
        <f t="shared" si="256"/>
        <v>1500.0000000000002</v>
      </c>
      <c r="AB281" s="90">
        <f t="shared" si="257"/>
        <v>750</v>
      </c>
      <c r="AC281" s="86">
        <f t="shared" si="258"/>
        <v>-3132.7413499999998</v>
      </c>
      <c r="AD281" s="85">
        <f t="shared" si="259"/>
        <v>1055.7627565116984</v>
      </c>
      <c r="AE281" s="85">
        <f t="shared" si="260"/>
        <v>-1219.8072026141306</v>
      </c>
      <c r="AF281" s="90">
        <f t="shared" si="261"/>
        <v>1055.7627565116984</v>
      </c>
      <c r="AG281" s="86">
        <f t="shared" si="262"/>
        <v>-17807.650509999999</v>
      </c>
      <c r="AH281" s="85">
        <f t="shared" si="263"/>
        <v>6128</v>
      </c>
      <c r="AI281" s="85">
        <f t="shared" si="264"/>
        <v>-12256.000000000002</v>
      </c>
      <c r="AJ281" s="90">
        <f t="shared" si="265"/>
        <v>6128</v>
      </c>
      <c r="AL281" s="95">
        <f t="shared" si="266"/>
        <v>0</v>
      </c>
      <c r="AM281" s="95">
        <f t="shared" si="267"/>
        <v>0</v>
      </c>
      <c r="AN281" s="95">
        <f t="shared" si="268"/>
        <v>0</v>
      </c>
      <c r="AO281" s="95">
        <f t="shared" si="269"/>
        <v>0</v>
      </c>
      <c r="AP281"/>
      <c r="AQ281" s="95">
        <f t="shared" si="270"/>
        <v>0</v>
      </c>
      <c r="AR281" s="95">
        <f t="shared" si="271"/>
        <v>0</v>
      </c>
      <c r="AS281" s="95">
        <f>Geraetedaten!$B$94*ABS(SIN(RADIANS($A281)))</f>
        <v>133.36791218280351</v>
      </c>
      <c r="AT281" s="95">
        <f>Geraetedaten!$B$94*ABS(COS(RADIANS($A281)))</f>
        <v>77.000000000000071</v>
      </c>
      <c r="AU281" s="95">
        <f>((h_Aw_Sw+Geraetedaten!$B$18)/1000)*(AQ281*AS281+AR281*AT281)/100</f>
        <v>0</v>
      </c>
    </row>
    <row r="282" spans="1:47" ht="13.5" x14ac:dyDescent="0.25">
      <c r="A282" s="16">
        <v>241</v>
      </c>
      <c r="B282" s="16">
        <f t="shared" si="238"/>
        <v>209</v>
      </c>
      <c r="C282" s="19">
        <f t="shared" si="239"/>
        <v>70.098936739242859</v>
      </c>
      <c r="D282" s="17">
        <f t="shared" si="240"/>
        <v>3162.2584132607572</v>
      </c>
      <c r="E282" s="17">
        <f t="shared" si="241"/>
        <v>17229.522663260756</v>
      </c>
      <c r="F282" s="17">
        <f t="shared" si="242"/>
        <v>-3171.9841567392432</v>
      </c>
      <c r="G282" s="17">
        <f t="shared" si="243"/>
        <v>-18435.710676739243</v>
      </c>
      <c r="H282" s="17">
        <f t="shared" si="244"/>
        <v>3162.2584132607572</v>
      </c>
      <c r="I282" s="17">
        <f t="shared" si="245"/>
        <v>1303.6589713385122</v>
      </c>
      <c r="J282" s="20">
        <f>(Geraetedaten!$B$152+(Geraetedaten!$B$153*(Geraetedaten!$B$18+d_y_Sw)/1000))*10</f>
        <v>6051.0442000000003</v>
      </c>
      <c r="K282" s="20">
        <f>(Geraetedaten!$B$165+(Geraetedaten!$B$166*(Geraetedaten!$B$18+d_y_Sw)/1000))*10</f>
        <v>10816.164000000001</v>
      </c>
      <c r="L282" s="20">
        <f>(Geraetedaten!$B$158+(Geraetedaten!$B$159*(Geraetedaten!$B$18+d_y_Sw)/1000)-(Geraetedaten!$B$160*I282/1000))*10</f>
        <v>505.93928763174665</v>
      </c>
      <c r="M282" s="20">
        <f>(Geraetedaten!$B$171+(Geraetedaten!$B$172*(Geraetedaten!$B$18+d_y_Sw)/1000)-(Geraetedaten!$B$173*I282/1000))*10</f>
        <v>967.82262617356207</v>
      </c>
      <c r="N282" s="20">
        <f>IF((H282-J282)/(K282-J282)*(Geraetedaten!$B$174-Geraetedaten!$B$161)&lt;Geraetedaten!$B$174,(H282-J282)/(K282-J282)*(Geraetedaten!$B$174-Geraetedaten!$B$161),Geraetedaten!$B$174)</f>
        <v>-242.49428413021161</v>
      </c>
      <c r="O282" s="20">
        <f>N282/Geraetedaten!$B$174*(M282-L282)+L282+C282</f>
        <v>296.02805054256521</v>
      </c>
      <c r="P282" s="20">
        <f t="shared" si="246"/>
        <v>145.90442607359586</v>
      </c>
      <c r="Q282" s="21">
        <f>(N282-Geraetedaten!$B$161)/(Geraetedaten!$B$174-Geraetedaten!$B$161)*(Geraetedaten!$B$175-Geraetedaten!$B$162)+Geraetedaten!$B$162</f>
        <v>21.985795047126203</v>
      </c>
      <c r="R282" s="21">
        <f t="shared" si="247"/>
        <v>21.985795047126203</v>
      </c>
      <c r="S282" s="21">
        <f t="shared" si="248"/>
        <v>-19.229209625344303</v>
      </c>
      <c r="T282" s="88">
        <f t="shared" si="249"/>
        <v>-10.658924947611048</v>
      </c>
      <c r="U282" s="86">
        <f t="shared" si="250"/>
        <v>3232.3573500000002</v>
      </c>
      <c r="V282" s="85">
        <f t="shared" si="251"/>
        <v>-1141.3067828769733</v>
      </c>
      <c r="W282" s="85">
        <f t="shared" si="252"/>
        <v>1303.6589713385122</v>
      </c>
      <c r="X282" s="90">
        <f t="shared" si="253"/>
        <v>1141.3067828769733</v>
      </c>
      <c r="Y282" s="86">
        <f t="shared" si="254"/>
        <v>17299.621599999999</v>
      </c>
      <c r="Z282" s="85">
        <f t="shared" si="255"/>
        <v>-750</v>
      </c>
      <c r="AA282" s="85">
        <f t="shared" si="256"/>
        <v>1546.9990047204851</v>
      </c>
      <c r="AB282" s="90">
        <f t="shared" si="257"/>
        <v>750</v>
      </c>
      <c r="AC282" s="86">
        <f t="shared" si="258"/>
        <v>-3101.8852200000001</v>
      </c>
      <c r="AD282" s="85">
        <f t="shared" si="259"/>
        <v>1055.7627565116984</v>
      </c>
      <c r="AE282" s="85">
        <f t="shared" si="260"/>
        <v>-1207.792633141411</v>
      </c>
      <c r="AF282" s="90">
        <f t="shared" si="261"/>
        <v>1055.7627565116984</v>
      </c>
      <c r="AG282" s="86">
        <f t="shared" si="262"/>
        <v>-18365.61174</v>
      </c>
      <c r="AH282" s="85">
        <f t="shared" si="263"/>
        <v>6128</v>
      </c>
      <c r="AI282" s="85">
        <f t="shared" si="264"/>
        <v>-12640.013201236177</v>
      </c>
      <c r="AJ282" s="90">
        <f t="shared" si="265"/>
        <v>6128</v>
      </c>
      <c r="AL282" s="95">
        <f t="shared" si="266"/>
        <v>0</v>
      </c>
      <c r="AM282" s="95">
        <f t="shared" si="267"/>
        <v>0</v>
      </c>
      <c r="AN282" s="95">
        <f t="shared" si="268"/>
        <v>0</v>
      </c>
      <c r="AO282" s="95">
        <f t="shared" si="269"/>
        <v>0</v>
      </c>
      <c r="AP282"/>
      <c r="AQ282" s="95">
        <f t="shared" si="270"/>
        <v>0</v>
      </c>
      <c r="AR282" s="95">
        <f t="shared" si="271"/>
        <v>0</v>
      </c>
      <c r="AS282" s="95">
        <f>Geraetedaten!$B$94*ABS(SIN(RADIANS($A282)))</f>
        <v>134.69143489946697</v>
      </c>
      <c r="AT282" s="95">
        <f>Geraetedaten!$B$94*ABS(COS(RADIANS($A282)))</f>
        <v>74.66068151793587</v>
      </c>
      <c r="AU282" s="95">
        <f>((h_Aw_Sw+Geraetedaten!$B$18)/1000)*(AQ282*AS282+AR282*AT282)/100</f>
        <v>0</v>
      </c>
    </row>
    <row r="283" spans="1:47" ht="13.5" x14ac:dyDescent="0.25">
      <c r="A283" s="16">
        <v>242</v>
      </c>
      <c r="B283" s="16">
        <f t="shared" si="238"/>
        <v>208</v>
      </c>
      <c r="C283" s="19">
        <f t="shared" si="239"/>
        <v>70.1688317010574</v>
      </c>
      <c r="D283" s="17">
        <f t="shared" si="240"/>
        <v>3131.8273282989426</v>
      </c>
      <c r="E283" s="17">
        <f t="shared" si="241"/>
        <v>17794.646938298945</v>
      </c>
      <c r="F283" s="17">
        <f t="shared" si="242"/>
        <v>-3142.7266217010574</v>
      </c>
      <c r="G283" s="17">
        <f t="shared" si="243"/>
        <v>-19035.801601701056</v>
      </c>
      <c r="H283" s="17">
        <f t="shared" si="244"/>
        <v>3131.8273282989426</v>
      </c>
      <c r="I283" s="17">
        <f t="shared" si="245"/>
        <v>1291.4138425794667</v>
      </c>
      <c r="J283" s="20">
        <f>(Geraetedaten!$B$152+(Geraetedaten!$B$153*(Geraetedaten!$B$18+d_y_Sw)/1000))*10</f>
        <v>6051.0442000000003</v>
      </c>
      <c r="K283" s="20">
        <f>(Geraetedaten!$B$165+(Geraetedaten!$B$166*(Geraetedaten!$B$18+d_y_Sw)/1000))*10</f>
        <v>10816.164000000001</v>
      </c>
      <c r="L283" s="20">
        <f>(Geraetedaten!$B$158+(Geraetedaten!$B$159*(Geraetedaten!$B$18+d_y_Sw)/1000)-(Geraetedaten!$B$160*I283/1000))*10</f>
        <v>506.83722292364746</v>
      </c>
      <c r="M283" s="20">
        <f>(Geraetedaten!$B$171+(Geraetedaten!$B$172*(Geraetedaten!$B$18+d_y_Sw)/1000)-(Geraetedaten!$B$173*I283/1000))*10</f>
        <v>968.73415355838551</v>
      </c>
      <c r="N283" s="20">
        <f>IF((H283-J283)/(K283-J283)*(Geraetedaten!$B$174-Geraetedaten!$B$161)&lt;Geraetedaten!$B$174,(H283-J283)/(K283-J283)*(Geraetedaten!$B$174-Geraetedaten!$B$161),Geraetedaten!$B$174)</f>
        <v>-245.04877058503814</v>
      </c>
      <c r="O283" s="20">
        <f>N283/Geraetedaten!$B$174*(M283-L283)+L283+C283</f>
        <v>294.03786715209185</v>
      </c>
      <c r="P283" s="20">
        <f t="shared" si="246"/>
        <v>145.37161217288056</v>
      </c>
      <c r="Q283" s="21">
        <f>(N283-Geraetedaten!$B$161)/(Geraetedaten!$B$174-Geraetedaten!$B$161)*(Geraetedaten!$B$175-Geraetedaten!$B$162)+Geraetedaten!$B$162</f>
        <v>21.909799075095112</v>
      </c>
      <c r="R283" s="21">
        <f t="shared" si="247"/>
        <v>21.909799075095112</v>
      </c>
      <c r="S283" s="21">
        <f t="shared" si="248"/>
        <v>-19.345204353377973</v>
      </c>
      <c r="T283" s="88">
        <f t="shared" si="249"/>
        <v>-10.286027612109766</v>
      </c>
      <c r="U283" s="86">
        <f t="shared" si="250"/>
        <v>3201.9961600000001</v>
      </c>
      <c r="V283" s="85">
        <f t="shared" si="251"/>
        <v>-1141.3067828769733</v>
      </c>
      <c r="W283" s="85">
        <f t="shared" si="252"/>
        <v>1291.4138425794667</v>
      </c>
      <c r="X283" s="90">
        <f t="shared" si="253"/>
        <v>1141.3067828769733</v>
      </c>
      <c r="Y283" s="86">
        <f t="shared" si="254"/>
        <v>17864.815770000001</v>
      </c>
      <c r="Z283" s="85">
        <f t="shared" si="255"/>
        <v>-750</v>
      </c>
      <c r="AA283" s="85">
        <f t="shared" si="256"/>
        <v>1597.5408511421349</v>
      </c>
      <c r="AB283" s="90">
        <f t="shared" si="257"/>
        <v>750</v>
      </c>
      <c r="AC283" s="86">
        <f t="shared" si="258"/>
        <v>-3072.5577899999998</v>
      </c>
      <c r="AD283" s="85">
        <f t="shared" si="259"/>
        <v>1055.7627565116984</v>
      </c>
      <c r="AE283" s="85">
        <f t="shared" si="260"/>
        <v>-1196.3733042553229</v>
      </c>
      <c r="AF283" s="90">
        <f t="shared" si="261"/>
        <v>1055.7627565116984</v>
      </c>
      <c r="AG283" s="86">
        <f t="shared" si="262"/>
        <v>-18965.63277</v>
      </c>
      <c r="AH283" s="85">
        <f t="shared" si="263"/>
        <v>6128</v>
      </c>
      <c r="AI283" s="85">
        <f t="shared" si="264"/>
        <v>-13052.973781065337</v>
      </c>
      <c r="AJ283" s="90">
        <f t="shared" si="265"/>
        <v>6128</v>
      </c>
      <c r="AL283" s="95">
        <f t="shared" si="266"/>
        <v>0</v>
      </c>
      <c r="AM283" s="95">
        <f t="shared" si="267"/>
        <v>0</v>
      </c>
      <c r="AN283" s="95">
        <f t="shared" si="268"/>
        <v>0</v>
      </c>
      <c r="AO283" s="95">
        <f t="shared" si="269"/>
        <v>0</v>
      </c>
      <c r="AP283"/>
      <c r="AQ283" s="95">
        <f t="shared" si="270"/>
        <v>0</v>
      </c>
      <c r="AR283" s="95">
        <f t="shared" si="271"/>
        <v>0</v>
      </c>
      <c r="AS283" s="95">
        <f>Geraetedaten!$B$94*ABS(SIN(RADIANS($A283)))</f>
        <v>135.97392930027476</v>
      </c>
      <c r="AT283" s="95">
        <f>Geraetedaten!$B$94*ABS(COS(RADIANS($A283)))</f>
        <v>72.298620669027173</v>
      </c>
      <c r="AU283" s="95">
        <f>((h_Aw_Sw+Geraetedaten!$B$18)/1000)*(AQ283*AS283+AR283*AT283)/100</f>
        <v>0</v>
      </c>
    </row>
    <row r="284" spans="1:47" ht="13.5" x14ac:dyDescent="0.25">
      <c r="A284" s="16">
        <v>243</v>
      </c>
      <c r="B284" s="16">
        <f t="shared" si="238"/>
        <v>207</v>
      </c>
      <c r="C284" s="19">
        <f t="shared" si="239"/>
        <v>70.217352556995067</v>
      </c>
      <c r="D284" s="17">
        <f t="shared" si="240"/>
        <v>3102.9402574430051</v>
      </c>
      <c r="E284" s="17">
        <f t="shared" si="241"/>
        <v>18403.788117443004</v>
      </c>
      <c r="F284" s="17">
        <f t="shared" si="242"/>
        <v>-3114.9158525569951</v>
      </c>
      <c r="G284" s="17">
        <f t="shared" si="243"/>
        <v>-19682.577652556996</v>
      </c>
      <c r="H284" s="17">
        <f t="shared" si="244"/>
        <v>3102.9402574430051</v>
      </c>
      <c r="I284" s="17">
        <f t="shared" si="245"/>
        <v>1279.7828142434616</v>
      </c>
      <c r="J284" s="20">
        <f>(Geraetedaten!$B$152+(Geraetedaten!$B$153*(Geraetedaten!$B$18+d_y_Sw)/1000))*10</f>
        <v>6051.0442000000003</v>
      </c>
      <c r="K284" s="20">
        <f>(Geraetedaten!$B$165+(Geraetedaten!$B$166*(Geraetedaten!$B$18+d_y_Sw)/1000))*10</f>
        <v>10816.164000000001</v>
      </c>
      <c r="L284" s="20">
        <f>(Geraetedaten!$B$158+(Geraetedaten!$B$159*(Geraetedaten!$B$18+d_y_Sw)/1000)-(Geraetedaten!$B$160*I284/1000))*10</f>
        <v>507.69012623152668</v>
      </c>
      <c r="M284" s="20">
        <f>(Geraetedaten!$B$171+(Geraetedaten!$B$172*(Geraetedaten!$B$18+d_y_Sw)/1000)-(Geraetedaten!$B$173*I284/1000))*10</f>
        <v>969.59996730771763</v>
      </c>
      <c r="N284" s="20">
        <f>IF((H284-J284)/(K284-J284)*(Geraetedaten!$B$174-Geraetedaten!$B$161)&lt;Geraetedaten!$B$174,(H284-J284)/(K284-J284)*(Geraetedaten!$B$174-Geraetedaten!$B$161),Geraetedaten!$B$174)</f>
        <v>-247.47364736198193</v>
      </c>
      <c r="O284" s="20">
        <f>N284/Geraetedaten!$B$174*(M284-L284)+L284+C284</f>
        <v>292.13119597972576</v>
      </c>
      <c r="P284" s="20">
        <f t="shared" si="246"/>
        <v>144.85406373743669</v>
      </c>
      <c r="Q284" s="21">
        <f>(N284-Geraetedaten!$B$161)/(Geraetedaten!$B$174-Geraetedaten!$B$161)*(Geraetedaten!$B$175-Geraetedaten!$B$162)+Geraetedaten!$B$162</f>
        <v>21.837658990981033</v>
      </c>
      <c r="R284" s="21">
        <f t="shared" si="247"/>
        <v>21.837658990981033</v>
      </c>
      <c r="S284" s="21">
        <f t="shared" si="248"/>
        <v>-19.457496633964869</v>
      </c>
      <c r="T284" s="88">
        <f t="shared" si="249"/>
        <v>-9.9140897184572889</v>
      </c>
      <c r="U284" s="86">
        <f t="shared" si="250"/>
        <v>3173.1576100000002</v>
      </c>
      <c r="V284" s="85">
        <f t="shared" si="251"/>
        <v>-1141.3067828769733</v>
      </c>
      <c r="W284" s="85">
        <f t="shared" si="252"/>
        <v>1279.7828142434616</v>
      </c>
      <c r="X284" s="90">
        <f t="shared" si="253"/>
        <v>1141.3067828769733</v>
      </c>
      <c r="Y284" s="86">
        <f t="shared" si="254"/>
        <v>18474.00547</v>
      </c>
      <c r="Z284" s="85">
        <f t="shared" si="255"/>
        <v>-750</v>
      </c>
      <c r="AA284" s="85">
        <f t="shared" si="256"/>
        <v>1652.0169484389496</v>
      </c>
      <c r="AB284" s="90">
        <f t="shared" si="257"/>
        <v>750</v>
      </c>
      <c r="AC284" s="86">
        <f t="shared" si="258"/>
        <v>-3044.6985</v>
      </c>
      <c r="AD284" s="85">
        <f t="shared" si="259"/>
        <v>1055.7627565116984</v>
      </c>
      <c r="AE284" s="85">
        <f t="shared" si="260"/>
        <v>-1185.5256260502938</v>
      </c>
      <c r="AF284" s="90">
        <f t="shared" si="261"/>
        <v>1055.7627565116984</v>
      </c>
      <c r="AG284" s="86">
        <f t="shared" si="262"/>
        <v>-19612.3603</v>
      </c>
      <c r="AH284" s="85">
        <f t="shared" si="263"/>
        <v>6128</v>
      </c>
      <c r="AI284" s="85">
        <f t="shared" si="264"/>
        <v>-13498.079813378512</v>
      </c>
      <c r="AJ284" s="90">
        <f t="shared" si="265"/>
        <v>6128</v>
      </c>
      <c r="AL284" s="95">
        <f t="shared" si="266"/>
        <v>0</v>
      </c>
      <c r="AM284" s="95">
        <f t="shared" si="267"/>
        <v>0</v>
      </c>
      <c r="AN284" s="95">
        <f t="shared" si="268"/>
        <v>0</v>
      </c>
      <c r="AO284" s="95">
        <f t="shared" si="269"/>
        <v>0</v>
      </c>
      <c r="AP284"/>
      <c r="AQ284" s="95">
        <f t="shared" si="270"/>
        <v>0</v>
      </c>
      <c r="AR284" s="95">
        <f t="shared" si="271"/>
        <v>0</v>
      </c>
      <c r="AS284" s="95">
        <f>Geraetedaten!$B$94*ABS(SIN(RADIANS($A284)))</f>
        <v>137.21500472500864</v>
      </c>
      <c r="AT284" s="95">
        <f>Geraetedaten!$B$94*ABS(COS(RADIANS($A284)))</f>
        <v>69.914536959890228</v>
      </c>
      <c r="AU284" s="95">
        <f>((h_Aw_Sw+Geraetedaten!$B$18)/1000)*(AQ284*AS284+AR284*AT284)/100</f>
        <v>0</v>
      </c>
    </row>
    <row r="285" spans="1:47" ht="13.5" x14ac:dyDescent="0.25">
      <c r="A285" s="16">
        <v>244</v>
      </c>
      <c r="B285" s="16">
        <f t="shared" ref="B285:B316" si="272">360-A285+90</f>
        <v>206</v>
      </c>
      <c r="C285" s="19">
        <f t="shared" ref="C285:C316" si="273">$AE$16*ABS(COS(RADIANS(A285)))+$AE$17*ABS(SIN(RADIANS(A285)))+AU285</f>
        <v>70.24448452713311</v>
      </c>
      <c r="D285" s="17">
        <f t="shared" ref="D285:D316" si="274">IF(ISNUMBER(U285),U285-C285,"unendlich")</f>
        <v>3075.5390854728671</v>
      </c>
      <c r="E285" s="17">
        <f t="shared" ref="E285:E316" si="275">IF(ISNUMBER(Y285),Y285-C285,"unendlich")</f>
        <v>19061.997765472865</v>
      </c>
      <c r="F285" s="17">
        <f t="shared" ref="F285:F316" si="276">IF(ISNUMBER(AC285),AC285-C285,"unendlich")</f>
        <v>-3088.495474527133</v>
      </c>
      <c r="G285" s="17">
        <f t="shared" ref="G285:G316" si="277">IF(ISNUMBER(AG285),AG285-C285,"unendlich")</f>
        <v>-20381.401644527134</v>
      </c>
      <c r="H285" s="17">
        <f t="shared" ref="H285:H316" si="278">SMALL(D285:G285,COUNTIF(D285:G285,"&lt;0")+1)</f>
        <v>3075.5390854728671</v>
      </c>
      <c r="I285" s="17">
        <f t="shared" ref="I285:I316" si="279">IF(H285+C285=U285,W285,IF(H285+C285=Y285,AA285,IF(H285+C285=AC285,AE285,IF(H285+C285=AG285,AI285,"???"))))</f>
        <v>1268.7424454970933</v>
      </c>
      <c r="J285" s="20">
        <f>(Geraetedaten!$B$152+(Geraetedaten!$B$153*(Geraetedaten!$B$18+d_y_Sw)/1000))*10</f>
        <v>6051.0442000000003</v>
      </c>
      <c r="K285" s="20">
        <f>(Geraetedaten!$B$165+(Geraetedaten!$B$166*(Geraetedaten!$B$18+d_y_Sw)/1000))*10</f>
        <v>10816.164000000001</v>
      </c>
      <c r="L285" s="20">
        <f>(Geraetedaten!$B$158+(Geraetedaten!$B$159*(Geraetedaten!$B$18+d_y_Sw)/1000)-(Geraetedaten!$B$160*I285/1000))*10</f>
        <v>508.49971647169798</v>
      </c>
      <c r="M285" s="20">
        <f>(Geraetedaten!$B$171+(Geraetedaten!$B$172*(Geraetedaten!$B$18+d_y_Sw)/1000)-(Geraetedaten!$B$173*I285/1000))*10</f>
        <v>970.42181235719738</v>
      </c>
      <c r="N285" s="20">
        <f>IF((H285-J285)/(K285-J285)*(Geraetedaten!$B$174-Geraetedaten!$B$161)&lt;Geraetedaten!$B$174,(H285-J285)/(K285-J285)*(Geraetedaten!$B$174-Geraetedaten!$B$161),Geraetedaten!$B$174)</f>
        <v>-249.77379284584896</v>
      </c>
      <c r="O285" s="20">
        <f>N285/Geraetedaten!$B$174*(M285-L285)+L285+C285</f>
        <v>290.30411627726835</v>
      </c>
      <c r="P285" s="20">
        <f t="shared" ref="P285:P316" si="280">O285*100/9.81/(Q285-(I285/1000))</f>
        <v>144.35106878026969</v>
      </c>
      <c r="Q285" s="21">
        <f>(N285-Geraetedaten!$B$161)/(Geraetedaten!$B$174-Geraetedaten!$B$161)*(Geraetedaten!$B$175-Geraetedaten!$B$162)+Geraetedaten!$B$162</f>
        <v>21.76922966283599</v>
      </c>
      <c r="R285" s="21">
        <f t="shared" ref="R285:R316" si="281">SQRT((r_K_D/1000)^2+Q285^2-(2*(r_K_D/1000)*Q285*COS(RADIANS(2*A285))))</f>
        <v>21.76922966283599</v>
      </c>
      <c r="S285" s="21">
        <f t="shared" ref="S285:S316" si="282">R285*SIN(A285*Const_2)</f>
        <v>-19.566054013476208</v>
      </c>
      <c r="T285" s="88">
        <f t="shared" ref="T285:T316" si="283">R285*COS(A285*Const_2)</f>
        <v>-9.5430021720122209</v>
      </c>
      <c r="U285" s="86">
        <f t="shared" ref="U285:U316" si="284">ROUND((F_S*r_Su_L-F_G*V285+F_SSw*X285)/(SIN(RADIANS(270+g_L-A285)))/1000,5)</f>
        <v>3145.7835700000001</v>
      </c>
      <c r="V285" s="85">
        <f t="shared" ref="V285:V316" si="285">(SIN(RADIANS(g_L)))*(((VL_Z-HL_Z)/(VL_X-HL_X))*(-HL_X+AM285)+HL_Z-AL285)</f>
        <v>-1141.3067828769733</v>
      </c>
      <c r="W285" s="85">
        <f t="shared" ref="W285:W316" si="286">V285/(SIN(RADIANS(180-g_L-(90-$A285))))</f>
        <v>1268.7424454970933</v>
      </c>
      <c r="X285" s="90">
        <f t="shared" ref="X285:X316" si="287">SIN(RADIANS(g_L))*(((VL_Z-HL_Z)/(VL_X-HL_X))*(-AO285+HL_X)-HL_Z+AN285)</f>
        <v>1141.3067828769733</v>
      </c>
      <c r="Y285" s="86">
        <f t="shared" ref="Y285:Y316" si="288">ROUND((F_S*r_Su_H-F_G*Z285+F_SSw*AB285)/(SIN(RADIANS(180+g_H-A285)))/1000,5)</f>
        <v>19132.242249999999</v>
      </c>
      <c r="Z285" s="85">
        <f t="shared" ref="Z285:Z316" si="289">(SIN(RADIANS(g_H)))*(((HL_X-HR_X)/(HL_Z-HR_Z))*(-HR_Z+AL285)+HR_X-AM285)</f>
        <v>-750</v>
      </c>
      <c r="AA285" s="85">
        <f t="shared" ref="AA285:AA316" si="290">Z285/(SIN(RADIANS(g_H-$A285)))</f>
        <v>1710.879024528645</v>
      </c>
      <c r="AB285" s="90">
        <f t="shared" ref="AB285:AB316" si="291">SIN(RADIANS(g_H))*(((HL_X-HR_X)/(HL_Z-HR_Z))*(-AN285+HR_Z)-HR_X+AO285)</f>
        <v>750</v>
      </c>
      <c r="AC285" s="86">
        <f t="shared" ref="AC285:AC316" si="292">ROUND((F_S*r_Su_R+F_G*AD285+F_SSw*AF285)/(SIN(RADIANS(90+g_R-A285)))/1000,5)</f>
        <v>-3018.25099</v>
      </c>
      <c r="AD285" s="85">
        <f t="shared" ref="AD285:AD316" si="293">(SIN(RADIANS(g_R)))*(((HR_Z-VR_Z)/(HR_X-VR_X))*(-VR_X+AM285)+VR_Z-AL285)</f>
        <v>1055.7627565116984</v>
      </c>
      <c r="AE285" s="85">
        <f t="shared" ref="AE285:AE316" si="294">AD285/(SIN(RADIANS(180-g_R-(90-$A285))))</f>
        <v>-1175.2276639507199</v>
      </c>
      <c r="AF285" s="90">
        <f t="shared" ref="AF285:AF316" si="295">(SIN(RADIANS(g_R)))*(((HR_Z-VR_Z)/(HR_X-VR_X))*(-VR_X+AO285)+VR_Z-AN285)</f>
        <v>1055.7627565116984</v>
      </c>
      <c r="AG285" s="86">
        <f t="shared" ref="AG285:AG316" si="296">ROUND((F_S*r_Su_V+F_G*AH285+F_SSw*AJ285)/(SIN(RADIANS(g_V-A285)))/1000,5)</f>
        <v>-20311.157159999999</v>
      </c>
      <c r="AH285" s="85">
        <f t="shared" ref="AH285:AH316" si="297">(SIN(RADIANS(g_V)))*(((VR_X-VL_X)/(VR_Z-VL_Z))*(AL285-VL_Z)+VL_X-AM285)</f>
        <v>6128</v>
      </c>
      <c r="AI285" s="85">
        <f t="shared" ref="AI285:AI316" si="298">AH285/(SIN(RADIANS(g_V-$A285)))</f>
        <v>-13979.022216415382</v>
      </c>
      <c r="AJ285" s="90">
        <f t="shared" ref="AJ285:AJ316" si="299">(SIN(RADIANS(g_V)))*(((VR_X-VL_X)/(VR_Z-VL_Z))*(-VL_Z+AN285)+VL_X-AO285)</f>
        <v>6128</v>
      </c>
      <c r="AL285" s="95">
        <f t="shared" ref="AL285:AL316" si="300">SIN(RADIANS(A285))*r_K_D</f>
        <v>0</v>
      </c>
      <c r="AM285" s="95">
        <f t="shared" ref="AM285:AM316" si="301">COS(RADIANS(A285-180))*r_K_D</f>
        <v>0</v>
      </c>
      <c r="AN285" s="95">
        <f t="shared" ref="AN285:AN316" si="302">SIN(RADIANS(A285))*r_K_SSw</f>
        <v>0</v>
      </c>
      <c r="AO285" s="95">
        <f t="shared" ref="AO285:AO316" si="303">-COS(RADIANS(A285))*r_K_SSw</f>
        <v>0</v>
      </c>
      <c r="AP285"/>
      <c r="AQ285" s="95">
        <f t="shared" ref="AQ285:AQ316" si="304">MAX(d_y_Sw*(r_K_D*ABS(COS(RADIANS($A285)))+_r1_Sw+_r2_Sw), 2*_r1_Sw*d_y_Sw)/1000000</f>
        <v>0</v>
      </c>
      <c r="AR285" s="95">
        <f t="shared" ref="AR285:AR316" si="305">MAX(d_y_Sw*(r_K_D*ABS(SIN(RADIANS($A285)))+_r1_Sw+_r2_Sw), 2*_r1_Sw*d_y_Sw)/1000000</f>
        <v>0</v>
      </c>
      <c r="AS285" s="95">
        <f>Geraetedaten!$B$94*ABS(SIN(RADIANS($A285)))</f>
        <v>138.41428313007168</v>
      </c>
      <c r="AT285" s="95">
        <f>Geraetedaten!$B$94*ABS(COS(RADIANS($A285)))</f>
        <v>67.509156605517973</v>
      </c>
      <c r="AU285" s="95">
        <f>((h_Aw_Sw+Geraetedaten!$B$18)/1000)*(AQ285*AS285+AR285*AT285)/100</f>
        <v>0</v>
      </c>
    </row>
    <row r="286" spans="1:47" ht="13.5" x14ac:dyDescent="0.25">
      <c r="A286" s="16">
        <v>245</v>
      </c>
      <c r="B286" s="16">
        <f t="shared" si="272"/>
        <v>205</v>
      </c>
      <c r="C286" s="19">
        <f t="shared" si="273"/>
        <v>70.250219346810582</v>
      </c>
      <c r="D286" s="17">
        <f t="shared" si="274"/>
        <v>3049.5697606531894</v>
      </c>
      <c r="E286" s="17">
        <f t="shared" si="275"/>
        <v>19775.136830653191</v>
      </c>
      <c r="F286" s="17">
        <f t="shared" si="276"/>
        <v>-3063.4131193468102</v>
      </c>
      <c r="G286" s="17">
        <f t="shared" si="277"/>
        <v>-21138.495629346809</v>
      </c>
      <c r="H286" s="17">
        <f t="shared" si="278"/>
        <v>3049.5697606531894</v>
      </c>
      <c r="I286" s="17">
        <f t="shared" si="279"/>
        <v>1258.2709359029805</v>
      </c>
      <c r="J286" s="20">
        <f>(Geraetedaten!$B$152+(Geraetedaten!$B$153*(Geraetedaten!$B$18+d_y_Sw)/1000))*10</f>
        <v>6051.0442000000003</v>
      </c>
      <c r="K286" s="20">
        <f>(Geraetedaten!$B$165+(Geraetedaten!$B$166*(Geraetedaten!$B$18+d_y_Sw)/1000))*10</f>
        <v>10816.164000000001</v>
      </c>
      <c r="L286" s="20">
        <f>(Geraetedaten!$B$158+(Geraetedaten!$B$159*(Geraetedaten!$B$18+d_y_Sw)/1000)-(Geraetedaten!$B$160*I286/1000))*10</f>
        <v>509.26759227023416</v>
      </c>
      <c r="M286" s="20">
        <f>(Geraetedaten!$B$171+(Geraetedaten!$B$172*(Geraetedaten!$B$18+d_y_Sw)/1000)-(Geraetedaten!$B$173*I286/1000))*10</f>
        <v>971.201311531383</v>
      </c>
      <c r="N286" s="20">
        <f>IF((H286-J286)/(K286-J286)*(Geraetedaten!$B$174-Geraetedaten!$B$161)&lt;Geraetedaten!$B$174,(H286-J286)/(K286-J286)*(Geraetedaten!$B$174-Geraetedaten!$B$161),Geraetedaten!$B$174)</f>
        <v>-251.95374431902513</v>
      </c>
      <c r="O286" s="20">
        <f>N286/Geraetedaten!$B$174*(M286-L286)+L286+C286</f>
        <v>288.55298612939515</v>
      </c>
      <c r="P286" s="20">
        <f t="shared" si="280"/>
        <v>143.86196077797908</v>
      </c>
      <c r="Q286" s="21">
        <f>(N286-Geraetedaten!$B$161)/(Geraetedaten!$B$174-Geraetedaten!$B$161)*(Geraetedaten!$B$175-Geraetedaten!$B$162)+Geraetedaten!$B$162</f>
        <v>21.704376106509002</v>
      </c>
      <c r="R286" s="21">
        <f t="shared" si="281"/>
        <v>21.704376106509002</v>
      </c>
      <c r="S286" s="21">
        <f t="shared" si="282"/>
        <v>-19.670845078101316</v>
      </c>
      <c r="T286" s="88">
        <f t="shared" si="283"/>
        <v>-9.1726657022991986</v>
      </c>
      <c r="U286" s="86">
        <f t="shared" si="284"/>
        <v>3119.8199800000002</v>
      </c>
      <c r="V286" s="85">
        <f t="shared" si="285"/>
        <v>-1141.3067828769733</v>
      </c>
      <c r="W286" s="85">
        <f t="shared" si="286"/>
        <v>1258.2709359029805</v>
      </c>
      <c r="X286" s="90">
        <f t="shared" si="287"/>
        <v>1141.3067828769733</v>
      </c>
      <c r="Y286" s="86">
        <f t="shared" si="288"/>
        <v>19845.387050000001</v>
      </c>
      <c r="Z286" s="85">
        <f t="shared" si="289"/>
        <v>-750</v>
      </c>
      <c r="AA286" s="85">
        <f t="shared" si="290"/>
        <v>1774.6511873643735</v>
      </c>
      <c r="AB286" s="90">
        <f t="shared" si="291"/>
        <v>750</v>
      </c>
      <c r="AC286" s="86">
        <f t="shared" si="292"/>
        <v>-2993.1628999999998</v>
      </c>
      <c r="AD286" s="85">
        <f t="shared" si="293"/>
        <v>1055.7627565116984</v>
      </c>
      <c r="AE286" s="85">
        <f t="shared" si="294"/>
        <v>-1165.4590187442332</v>
      </c>
      <c r="AF286" s="90">
        <f t="shared" si="295"/>
        <v>1055.7627565116984</v>
      </c>
      <c r="AG286" s="86">
        <f t="shared" si="296"/>
        <v>-21068.24541</v>
      </c>
      <c r="AH286" s="85">
        <f t="shared" si="297"/>
        <v>6128</v>
      </c>
      <c r="AI286" s="85">
        <f t="shared" si="298"/>
        <v>-14500.083301558509</v>
      </c>
      <c r="AJ286" s="90">
        <f t="shared" si="299"/>
        <v>6128</v>
      </c>
      <c r="AL286" s="95">
        <f t="shared" si="300"/>
        <v>0</v>
      </c>
      <c r="AM286" s="95">
        <f t="shared" si="301"/>
        <v>0</v>
      </c>
      <c r="AN286" s="95">
        <f t="shared" si="302"/>
        <v>0</v>
      </c>
      <c r="AO286" s="95">
        <f t="shared" si="303"/>
        <v>0</v>
      </c>
      <c r="AP286"/>
      <c r="AQ286" s="95">
        <f t="shared" si="304"/>
        <v>0</v>
      </c>
      <c r="AR286" s="95">
        <f t="shared" si="305"/>
        <v>0</v>
      </c>
      <c r="AS286" s="95">
        <f>Geraetedaten!$B$94*ABS(SIN(RADIANS($A286)))</f>
        <v>139.57139920364412</v>
      </c>
      <c r="AT286" s="95">
        <f>Geraetedaten!$B$94*ABS(COS(RADIANS($A286)))</f>
        <v>65.083212308067672</v>
      </c>
      <c r="AU286" s="95">
        <f>((h_Aw_Sw+Geraetedaten!$B$18)/1000)*(AQ286*AS286+AR286*AT286)/100</f>
        <v>0</v>
      </c>
    </row>
    <row r="287" spans="1:47" ht="13.5" x14ac:dyDescent="0.25">
      <c r="A287" s="16">
        <v>246</v>
      </c>
      <c r="B287" s="16">
        <f t="shared" si="272"/>
        <v>204</v>
      </c>
      <c r="C287" s="19">
        <f t="shared" si="273"/>
        <v>70.234555269145858</v>
      </c>
      <c r="D287" s="17">
        <f t="shared" si="274"/>
        <v>3024.9820247308539</v>
      </c>
      <c r="E287" s="17">
        <f t="shared" si="275"/>
        <v>20550.044244730852</v>
      </c>
      <c r="F287" s="17">
        <f t="shared" si="276"/>
        <v>-3039.6200352691458</v>
      </c>
      <c r="G287" s="17">
        <f t="shared" si="277"/>
        <v>-21961.119985269142</v>
      </c>
      <c r="H287" s="17">
        <f t="shared" si="278"/>
        <v>3024.9820247308539</v>
      </c>
      <c r="I287" s="17">
        <f t="shared" si="279"/>
        <v>1248.3480097778099</v>
      </c>
      <c r="J287" s="20">
        <f>(Geraetedaten!$B$152+(Geraetedaten!$B$153*(Geraetedaten!$B$18+d_y_Sw)/1000))*10</f>
        <v>6051.0442000000003</v>
      </c>
      <c r="K287" s="20">
        <f>(Geraetedaten!$B$165+(Geraetedaten!$B$166*(Geraetedaten!$B$18+d_y_Sw)/1000))*10</f>
        <v>10816.164000000001</v>
      </c>
      <c r="L287" s="20">
        <f>(Geraetedaten!$B$158+(Geraetedaten!$B$159*(Geraetedaten!$B$18+d_y_Sw)/1000)-(Geraetedaten!$B$160*I287/1000))*10</f>
        <v>509.99524044299289</v>
      </c>
      <c r="M287" s="20">
        <f>(Geraetedaten!$B$171+(Geraetedaten!$B$172*(Geraetedaten!$B$18+d_y_Sw)/1000)-(Geraetedaten!$B$173*I287/1000))*10</f>
        <v>971.93997415214085</v>
      </c>
      <c r="N287" s="20">
        <f>IF((H287-J287)/(K287-J287)*(Geraetedaten!$B$174-Geraetedaten!$B$161)&lt;Geraetedaten!$B$174,(H287-J287)/(K287-J287)*(Geraetedaten!$B$174-Geraetedaten!$B$161),Geraetedaten!$B$174)</f>
        <v>-254.01772062638562</v>
      </c>
      <c r="O287" s="20">
        <f>N287/Geraetedaten!$B$174*(M287-L287)+L287+C287</f>
        <v>286.87442493173762</v>
      </c>
      <c r="P287" s="20">
        <f t="shared" si="280"/>
        <v>143.38611732225257</v>
      </c>
      <c r="Q287" s="21">
        <f>(N287-Geraetedaten!$B$161)/(Geraetedaten!$B$174-Geraetedaten!$B$161)*(Geraetedaten!$B$175-Geraetedaten!$B$162)+Geraetedaten!$B$162</f>
        <v>21.642972811365027</v>
      </c>
      <c r="R287" s="21">
        <f t="shared" si="281"/>
        <v>21.642972811365027</v>
      </c>
      <c r="S287" s="21">
        <f t="shared" si="282"/>
        <v>-19.771839501704832</v>
      </c>
      <c r="T287" s="88">
        <f t="shared" si="283"/>
        <v>-8.8029901074754235</v>
      </c>
      <c r="U287" s="86">
        <f t="shared" si="284"/>
        <v>3095.2165799999998</v>
      </c>
      <c r="V287" s="85">
        <f t="shared" si="285"/>
        <v>-1141.3067828769733</v>
      </c>
      <c r="W287" s="85">
        <f t="shared" si="286"/>
        <v>1248.3480097778099</v>
      </c>
      <c r="X287" s="90">
        <f t="shared" si="287"/>
        <v>1141.3067828769733</v>
      </c>
      <c r="Y287" s="86">
        <f t="shared" si="288"/>
        <v>20620.2788</v>
      </c>
      <c r="Z287" s="85">
        <f t="shared" si="289"/>
        <v>-750</v>
      </c>
      <c r="AA287" s="85">
        <f t="shared" si="290"/>
        <v>1843.9450016806777</v>
      </c>
      <c r="AB287" s="90">
        <f t="shared" si="291"/>
        <v>750</v>
      </c>
      <c r="AC287" s="86">
        <f t="shared" si="292"/>
        <v>-2969.3854799999999</v>
      </c>
      <c r="AD287" s="85">
        <f t="shared" si="293"/>
        <v>1055.7627565116984</v>
      </c>
      <c r="AE287" s="85">
        <f t="shared" si="294"/>
        <v>-1156.200717927009</v>
      </c>
      <c r="AF287" s="90">
        <f t="shared" si="295"/>
        <v>1055.7627565116984</v>
      </c>
      <c r="AG287" s="86">
        <f t="shared" si="296"/>
        <v>-21890.885429999998</v>
      </c>
      <c r="AH287" s="85">
        <f t="shared" si="297"/>
        <v>6128</v>
      </c>
      <c r="AI287" s="85">
        <f t="shared" si="298"/>
        <v>-15066.259960398924</v>
      </c>
      <c r="AJ287" s="90">
        <f t="shared" si="299"/>
        <v>6128</v>
      </c>
      <c r="AL287" s="95">
        <f t="shared" si="300"/>
        <v>0</v>
      </c>
      <c r="AM287" s="95">
        <f t="shared" si="301"/>
        <v>0</v>
      </c>
      <c r="AN287" s="95">
        <f t="shared" si="302"/>
        <v>0</v>
      </c>
      <c r="AO287" s="95">
        <f t="shared" si="303"/>
        <v>0</v>
      </c>
      <c r="AP287"/>
      <c r="AQ287" s="95">
        <f t="shared" si="304"/>
        <v>0</v>
      </c>
      <c r="AR287" s="95">
        <f t="shared" si="305"/>
        <v>0</v>
      </c>
      <c r="AS287" s="95">
        <f>Geraetedaten!$B$94*ABS(SIN(RADIANS($A287)))</f>
        <v>140.68600047696054</v>
      </c>
      <c r="AT287" s="95">
        <f>Geraetedaten!$B$94*ABS(COS(RADIANS($A287)))</f>
        <v>62.637443033673215</v>
      </c>
      <c r="AU287" s="95">
        <f>((h_Aw_Sw+Geraetedaten!$B$18)/1000)*(AQ287*AS287+AR287*AT287)/100</f>
        <v>0</v>
      </c>
    </row>
    <row r="288" spans="1:47" ht="13.5" x14ac:dyDescent="0.25">
      <c r="A288" s="16">
        <v>247</v>
      </c>
      <c r="B288" s="16">
        <f t="shared" si="272"/>
        <v>203</v>
      </c>
      <c r="C288" s="19">
        <f t="shared" si="273"/>
        <v>70.19749706556874</v>
      </c>
      <c r="D288" s="17">
        <f t="shared" si="274"/>
        <v>3001.7291229344314</v>
      </c>
      <c r="E288" s="17">
        <f t="shared" si="275"/>
        <v>21394.749532934431</v>
      </c>
      <c r="F288" s="17">
        <f t="shared" si="276"/>
        <v>-3017.0709370655686</v>
      </c>
      <c r="G288" s="17">
        <f t="shared" si="277"/>
        <v>-22857.799007065569</v>
      </c>
      <c r="H288" s="17">
        <f t="shared" si="278"/>
        <v>3001.7291229344314</v>
      </c>
      <c r="I288" s="17">
        <f t="shared" si="279"/>
        <v>1238.9548113421554</v>
      </c>
      <c r="J288" s="20">
        <f>(Geraetedaten!$B$152+(Geraetedaten!$B$153*(Geraetedaten!$B$18+d_y_Sw)/1000))*10</f>
        <v>6051.0442000000003</v>
      </c>
      <c r="K288" s="20">
        <f>(Geraetedaten!$B$165+(Geraetedaten!$B$166*(Geraetedaten!$B$18+d_y_Sw)/1000))*10</f>
        <v>10816.164000000001</v>
      </c>
      <c r="L288" s="20">
        <f>(Geraetedaten!$B$158+(Geraetedaten!$B$159*(Geraetedaten!$B$18+d_y_Sw)/1000)-(Geraetedaten!$B$160*I288/1000))*10</f>
        <v>510.68404368427946</v>
      </c>
      <c r="M288" s="20">
        <f>(Geraetedaten!$B$171+(Geraetedaten!$B$172*(Geraetedaten!$B$18+d_y_Sw)/1000)-(Geraetedaten!$B$173*I288/1000))*10</f>
        <v>972.63920384369089</v>
      </c>
      <c r="N288" s="20">
        <f>IF((H288-J288)/(K288-J288)*(Geraetedaten!$B$174-Geraetedaten!$B$161)&lt;Geraetedaten!$B$174,(H288-J288)/(K288-J288)*(Geraetedaten!$B$174-Geraetedaten!$B$161),Geraetedaten!$B$174)</f>
        <v>-255.96964651890337</v>
      </c>
      <c r="O288" s="20">
        <f>N288/Geraetedaten!$B$174*(M288-L288)+L288+C288</f>
        <v>285.26529311587831</v>
      </c>
      <c r="P288" s="20">
        <f t="shared" si="280"/>
        <v>142.92295746587902</v>
      </c>
      <c r="Q288" s="21">
        <f>(N288-Geraetedaten!$B$161)/(Geraetedaten!$B$174-Geraetedaten!$B$161)*(Geraetedaten!$B$175-Geraetedaten!$B$162)+Geraetedaten!$B$162</f>
        <v>21.584903016062622</v>
      </c>
      <c r="R288" s="21">
        <f t="shared" si="281"/>
        <v>21.584903016062622</v>
      </c>
      <c r="S288" s="21">
        <f t="shared" si="282"/>
        <v>-19.86900798758586</v>
      </c>
      <c r="T288" s="88">
        <f t="shared" si="283"/>
        <v>-8.4338935137976794</v>
      </c>
      <c r="U288" s="86">
        <f t="shared" si="284"/>
        <v>3071.9266200000002</v>
      </c>
      <c r="V288" s="85">
        <f t="shared" si="285"/>
        <v>-1141.3067828769733</v>
      </c>
      <c r="W288" s="85">
        <f t="shared" si="286"/>
        <v>1238.9548113421554</v>
      </c>
      <c r="X288" s="90">
        <f t="shared" si="287"/>
        <v>1141.3067828769733</v>
      </c>
      <c r="Y288" s="86">
        <f t="shared" si="288"/>
        <v>21464.947029999999</v>
      </c>
      <c r="Z288" s="85">
        <f t="shared" si="289"/>
        <v>-750</v>
      </c>
      <c r="AA288" s="85">
        <f t="shared" si="290"/>
        <v>1919.478498935589</v>
      </c>
      <c r="AB288" s="90">
        <f t="shared" si="291"/>
        <v>750</v>
      </c>
      <c r="AC288" s="86">
        <f t="shared" si="292"/>
        <v>-2946.8734399999998</v>
      </c>
      <c r="AD288" s="85">
        <f t="shared" si="293"/>
        <v>1055.7627565116984</v>
      </c>
      <c r="AE288" s="85">
        <f t="shared" si="294"/>
        <v>-1147.4351172022484</v>
      </c>
      <c r="AF288" s="90">
        <f t="shared" si="295"/>
        <v>1055.7627565116984</v>
      </c>
      <c r="AG288" s="86">
        <f t="shared" si="296"/>
        <v>-22787.60151</v>
      </c>
      <c r="AH288" s="85">
        <f t="shared" si="297"/>
        <v>6128</v>
      </c>
      <c r="AI288" s="85">
        <f t="shared" si="298"/>
        <v>-15683.418988636386</v>
      </c>
      <c r="AJ288" s="90">
        <f t="shared" si="299"/>
        <v>6128</v>
      </c>
      <c r="AL288" s="95">
        <f t="shared" si="300"/>
        <v>0</v>
      </c>
      <c r="AM288" s="95">
        <f t="shared" si="301"/>
        <v>0</v>
      </c>
      <c r="AN288" s="95">
        <f t="shared" si="302"/>
        <v>0</v>
      </c>
      <c r="AO288" s="95">
        <f t="shared" si="303"/>
        <v>0</v>
      </c>
      <c r="AP288"/>
      <c r="AQ288" s="95">
        <f t="shared" si="304"/>
        <v>0</v>
      </c>
      <c r="AR288" s="95">
        <f t="shared" si="305"/>
        <v>0</v>
      </c>
      <c r="AS288" s="95">
        <f>Geraetedaten!$B$94*ABS(SIN(RADIANS($A288)))</f>
        <v>141.7577474316758</v>
      </c>
      <c r="AT288" s="95">
        <f>Geraetedaten!$B$94*ABS(COS(RADIANS($A288)))</f>
        <v>60.17259378734817</v>
      </c>
      <c r="AU288" s="95">
        <f>((h_Aw_Sw+Geraetedaten!$B$18)/1000)*(AQ288*AS288+AR288*AT288)/100</f>
        <v>0</v>
      </c>
    </row>
    <row r="289" spans="1:47" ht="13.5" x14ac:dyDescent="0.25">
      <c r="A289" s="16">
        <v>248</v>
      </c>
      <c r="B289" s="16">
        <f t="shared" si="272"/>
        <v>202</v>
      </c>
      <c r="C289" s="19">
        <f t="shared" si="273"/>
        <v>70.139056024367036</v>
      </c>
      <c r="D289" s="17">
        <f t="shared" si="274"/>
        <v>2979.7675539756328</v>
      </c>
      <c r="E289" s="17">
        <f t="shared" si="275"/>
        <v>22318.743373975634</v>
      </c>
      <c r="F289" s="17">
        <f t="shared" si="276"/>
        <v>-2995.7236760243673</v>
      </c>
      <c r="G289" s="17">
        <f t="shared" si="277"/>
        <v>-23838.608196024368</v>
      </c>
      <c r="H289" s="17">
        <f t="shared" si="278"/>
        <v>2979.7675539756328</v>
      </c>
      <c r="I289" s="17">
        <f t="shared" si="279"/>
        <v>1230.0738095804325</v>
      </c>
      <c r="J289" s="20">
        <f>(Geraetedaten!$B$152+(Geraetedaten!$B$153*(Geraetedaten!$B$18+d_y_Sw)/1000))*10</f>
        <v>6051.0442000000003</v>
      </c>
      <c r="K289" s="20">
        <f>(Geraetedaten!$B$165+(Geraetedaten!$B$166*(Geraetedaten!$B$18+d_y_Sw)/1000))*10</f>
        <v>10816.164000000001</v>
      </c>
      <c r="L289" s="20">
        <f>(Geraetedaten!$B$158+(Geraetedaten!$B$159*(Geraetedaten!$B$18+d_y_Sw)/1000)-(Geraetedaten!$B$160*I289/1000))*10</f>
        <v>511.33528754346662</v>
      </c>
      <c r="M289" s="20">
        <f>(Geraetedaten!$B$171+(Geraetedaten!$B$172*(Geraetedaten!$B$18+d_y_Sw)/1000)-(Geraetedaten!$B$173*I289/1000))*10</f>
        <v>973.30030561483352</v>
      </c>
      <c r="N289" s="20">
        <f>IF((H289-J289)/(K289-J289)*(Geraetedaten!$B$174-Geraetedaten!$B$161)&lt;Geraetedaten!$B$174,(H289-J289)/(K289-J289)*(Geraetedaten!$B$174-Geraetedaten!$B$161),Geraetedaten!$B$174)</f>
        <v>-257.81317363935881</v>
      </c>
      <c r="O289" s="20">
        <f>N289/Geraetedaten!$B$174*(M289-L289)+L289+C289</f>
        <v>283.72267501947653</v>
      </c>
      <c r="P289" s="20">
        <f t="shared" si="280"/>
        <v>142.47193966386317</v>
      </c>
      <c r="Q289" s="21">
        <f>(N289-Geraetedaten!$B$161)/(Geraetedaten!$B$174-Geraetedaten!$B$161)*(Geraetedaten!$B$175-Geraetedaten!$B$162)+Geraetedaten!$B$162</f>
        <v>21.530058084229072</v>
      </c>
      <c r="R289" s="21">
        <f t="shared" si="281"/>
        <v>21.530058084229072</v>
      </c>
      <c r="S289" s="21">
        <f t="shared" si="282"/>
        <v>-19.962322243582332</v>
      </c>
      <c r="T289" s="88">
        <f t="shared" si="283"/>
        <v>-8.0653017149797748</v>
      </c>
      <c r="U289" s="86">
        <f t="shared" si="284"/>
        <v>3049.90661</v>
      </c>
      <c r="V289" s="85">
        <f t="shared" si="285"/>
        <v>-1141.3067828769733</v>
      </c>
      <c r="W289" s="85">
        <f t="shared" si="286"/>
        <v>1230.0738095804325</v>
      </c>
      <c r="X289" s="90">
        <f t="shared" si="287"/>
        <v>1141.3067828769733</v>
      </c>
      <c r="Y289" s="86">
        <f t="shared" si="288"/>
        <v>22388.882430000001</v>
      </c>
      <c r="Z289" s="85">
        <f t="shared" si="289"/>
        <v>-750</v>
      </c>
      <c r="AA289" s="85">
        <f t="shared" si="290"/>
        <v>2002.1003719155096</v>
      </c>
      <c r="AB289" s="90">
        <f t="shared" si="291"/>
        <v>750</v>
      </c>
      <c r="AC289" s="86">
        <f t="shared" si="292"/>
        <v>-2925.5846200000001</v>
      </c>
      <c r="AD289" s="85">
        <f t="shared" si="293"/>
        <v>1055.7627565116984</v>
      </c>
      <c r="AE289" s="85">
        <f t="shared" si="294"/>
        <v>-1139.1458111111008</v>
      </c>
      <c r="AF289" s="90">
        <f t="shared" si="295"/>
        <v>1055.7627565116984</v>
      </c>
      <c r="AG289" s="86">
        <f t="shared" si="296"/>
        <v>-23768.469140000001</v>
      </c>
      <c r="AH289" s="85">
        <f t="shared" si="297"/>
        <v>6128</v>
      </c>
      <c r="AI289" s="85">
        <f t="shared" si="298"/>
        <v>-16358.494772130991</v>
      </c>
      <c r="AJ289" s="90">
        <f t="shared" si="299"/>
        <v>6128</v>
      </c>
      <c r="AL289" s="95">
        <f t="shared" si="300"/>
        <v>0</v>
      </c>
      <c r="AM289" s="95">
        <f t="shared" si="301"/>
        <v>0</v>
      </c>
      <c r="AN289" s="95">
        <f t="shared" si="302"/>
        <v>0</v>
      </c>
      <c r="AO289" s="95">
        <f t="shared" si="303"/>
        <v>0</v>
      </c>
      <c r="AP289"/>
      <c r="AQ289" s="95">
        <f t="shared" si="304"/>
        <v>0</v>
      </c>
      <c r="AR289" s="95">
        <f t="shared" si="305"/>
        <v>0</v>
      </c>
      <c r="AS289" s="95">
        <f>Geraetedaten!$B$94*ABS(SIN(RADIANS($A289)))</f>
        <v>142.78631360328524</v>
      </c>
      <c r="AT289" s="95">
        <f>Geraetedaten!$B$94*ABS(COS(RADIANS($A289)))</f>
        <v>57.689415386050491</v>
      </c>
      <c r="AU289" s="95">
        <f>((h_Aw_Sw+Geraetedaten!$B$18)/1000)*(AQ289*AS289+AR289*AT289)/100</f>
        <v>0</v>
      </c>
    </row>
    <row r="290" spans="1:47" ht="13.5" x14ac:dyDescent="0.25">
      <c r="A290" s="16">
        <v>249</v>
      </c>
      <c r="B290" s="16">
        <f t="shared" si="272"/>
        <v>201</v>
      </c>
      <c r="C290" s="19">
        <f t="shared" si="273"/>
        <v>70.05924994724802</v>
      </c>
      <c r="D290" s="17">
        <f t="shared" si="274"/>
        <v>2959.0569300527518</v>
      </c>
      <c r="E290" s="17">
        <f t="shared" si="275"/>
        <v>23333.325420052752</v>
      </c>
      <c r="F290" s="17">
        <f t="shared" si="276"/>
        <v>-2975.5391299472481</v>
      </c>
      <c r="G290" s="17">
        <f t="shared" si="277"/>
        <v>-24915.543519947249</v>
      </c>
      <c r="H290" s="17">
        <f t="shared" si="278"/>
        <v>2959.0569300527518</v>
      </c>
      <c r="I290" s="17">
        <f t="shared" si="279"/>
        <v>1221.6887118565428</v>
      </c>
      <c r="J290" s="20">
        <f>(Geraetedaten!$B$152+(Geraetedaten!$B$153*(Geraetedaten!$B$18+d_y_Sw)/1000))*10</f>
        <v>6051.0442000000003</v>
      </c>
      <c r="K290" s="20">
        <f>(Geraetedaten!$B$165+(Geraetedaten!$B$166*(Geraetedaten!$B$18+d_y_Sw)/1000))*10</f>
        <v>10816.164000000001</v>
      </c>
      <c r="L290" s="20">
        <f>(Geraetedaten!$B$158+(Geraetedaten!$B$159*(Geraetedaten!$B$18+d_y_Sw)/1000)-(Geraetedaten!$B$160*I290/1000))*10</f>
        <v>511.95016675955947</v>
      </c>
      <c r="M290" s="20">
        <f>(Geraetedaten!$B$171+(Geraetedaten!$B$172*(Geraetedaten!$B$18+d_y_Sw)/1000)-(Geraetedaten!$B$173*I290/1000))*10</f>
        <v>973.92449228939995</v>
      </c>
      <c r="N290" s="20">
        <f>IF((H290-J290)/(K290-J290)*(Geraetedaten!$B$174-Geraetedaten!$B$161)&lt;Geraetedaten!$B$174,(H290-J290)/(K290-J290)*(Geraetedaten!$B$174-Geraetedaten!$B$161),Geraetedaten!$B$174)</f>
        <v>-259.55169227411642</v>
      </c>
      <c r="O290" s="20">
        <f>N290/Geraetedaten!$B$174*(M290-L290)+L290+C290</f>
        <v>282.24387176064835</v>
      </c>
      <c r="P290" s="20">
        <f t="shared" si="280"/>
        <v>142.03256258160116</v>
      </c>
      <c r="Q290" s="21">
        <f>(N290-Geraetedaten!$B$161)/(Geraetedaten!$B$174-Geraetedaten!$B$161)*(Geraetedaten!$B$175-Geraetedaten!$B$162)+Geraetedaten!$B$162</f>
        <v>21.478337154845036</v>
      </c>
      <c r="R290" s="21">
        <f t="shared" si="281"/>
        <v>21.478337154845036</v>
      </c>
      <c r="S290" s="21">
        <f t="shared" si="282"/>
        <v>-20.051755161470922</v>
      </c>
      <c r="T290" s="88">
        <f t="shared" si="283"/>
        <v>-7.6971476458244634</v>
      </c>
      <c r="U290" s="86">
        <f t="shared" si="284"/>
        <v>3029.11618</v>
      </c>
      <c r="V290" s="85">
        <f t="shared" si="285"/>
        <v>-1141.3067828769733</v>
      </c>
      <c r="W290" s="85">
        <f t="shared" si="286"/>
        <v>1221.6887118565428</v>
      </c>
      <c r="X290" s="90">
        <f t="shared" si="287"/>
        <v>1141.3067828769733</v>
      </c>
      <c r="Y290" s="86">
        <f t="shared" si="288"/>
        <v>23403.384669999999</v>
      </c>
      <c r="Z290" s="85">
        <f t="shared" si="289"/>
        <v>-750</v>
      </c>
      <c r="AA290" s="85">
        <f t="shared" si="290"/>
        <v>2092.8210822190022</v>
      </c>
      <c r="AB290" s="90">
        <f t="shared" si="291"/>
        <v>750</v>
      </c>
      <c r="AC290" s="86">
        <f t="shared" si="292"/>
        <v>-2905.4798799999999</v>
      </c>
      <c r="AD290" s="85">
        <f t="shared" si="293"/>
        <v>1055.7627565116984</v>
      </c>
      <c r="AE290" s="85">
        <f t="shared" si="294"/>
        <v>-1131.3175518955613</v>
      </c>
      <c r="AF290" s="90">
        <f t="shared" si="295"/>
        <v>1055.7627565116984</v>
      </c>
      <c r="AG290" s="86">
        <f t="shared" si="296"/>
        <v>-24845.484270000001</v>
      </c>
      <c r="AH290" s="85">
        <f t="shared" si="297"/>
        <v>6128</v>
      </c>
      <c r="AI290" s="85">
        <f t="shared" si="298"/>
        <v>-17099.743455784061</v>
      </c>
      <c r="AJ290" s="90">
        <f t="shared" si="299"/>
        <v>6128</v>
      </c>
      <c r="AL290" s="95">
        <f t="shared" si="300"/>
        <v>0</v>
      </c>
      <c r="AM290" s="95">
        <f t="shared" si="301"/>
        <v>0</v>
      </c>
      <c r="AN290" s="95">
        <f t="shared" si="302"/>
        <v>0</v>
      </c>
      <c r="AO290" s="95">
        <f t="shared" si="303"/>
        <v>0</v>
      </c>
      <c r="AP290"/>
      <c r="AQ290" s="95">
        <f t="shared" si="304"/>
        <v>0</v>
      </c>
      <c r="AR290" s="95">
        <f t="shared" si="305"/>
        <v>0</v>
      </c>
      <c r="AS290" s="95">
        <f>Geraetedaten!$B$94*ABS(SIN(RADIANS($A290)))</f>
        <v>143.77138568056904</v>
      </c>
      <c r="AT290" s="95">
        <f>Geraetedaten!$B$94*ABS(COS(RADIANS($A290)))</f>
        <v>55.188664229976311</v>
      </c>
      <c r="AU290" s="95">
        <f>((h_Aw_Sw+Geraetedaten!$B$18)/1000)*(AQ290*AS290+AR290*AT290)/100</f>
        <v>0</v>
      </c>
    </row>
    <row r="291" spans="1:47" ht="13.5" x14ac:dyDescent="0.25">
      <c r="A291" s="16">
        <v>250</v>
      </c>
      <c r="B291" s="16">
        <f t="shared" si="272"/>
        <v>200</v>
      </c>
      <c r="C291" s="19">
        <f t="shared" si="273"/>
        <v>69.958103143915849</v>
      </c>
      <c r="D291" s="17">
        <f t="shared" si="274"/>
        <v>2939.5596968560844</v>
      </c>
      <c r="E291" s="17">
        <f t="shared" si="275"/>
        <v>24452.056576856085</v>
      </c>
      <c r="F291" s="17">
        <f t="shared" si="276"/>
        <v>-2956.4809331439155</v>
      </c>
      <c r="G291" s="17">
        <f t="shared" si="277"/>
        <v>-26103.001563143916</v>
      </c>
      <c r="H291" s="17">
        <f t="shared" si="278"/>
        <v>2939.5596968560844</v>
      </c>
      <c r="I291" s="17">
        <f t="shared" si="279"/>
        <v>1213.7843854417997</v>
      </c>
      <c r="J291" s="20">
        <f>(Geraetedaten!$B$152+(Geraetedaten!$B$153*(Geraetedaten!$B$18+d_y_Sw)/1000))*10</f>
        <v>6051.0442000000003</v>
      </c>
      <c r="K291" s="20">
        <f>(Geraetedaten!$B$165+(Geraetedaten!$B$166*(Geraetedaten!$B$18+d_y_Sw)/1000))*10</f>
        <v>10816.164000000001</v>
      </c>
      <c r="L291" s="20">
        <f>(Geraetedaten!$B$158+(Geraetedaten!$B$159*(Geraetedaten!$B$18+d_y_Sw)/1000)-(Geraetedaten!$B$160*I291/1000))*10</f>
        <v>512.52979101555252</v>
      </c>
      <c r="M291" s="20">
        <f>(Geraetedaten!$B$171+(Geraetedaten!$B$172*(Geraetedaten!$B$18+d_y_Sw)/1000)-(Geraetedaten!$B$173*I291/1000))*10</f>
        <v>974.51289034771332</v>
      </c>
      <c r="N291" s="20">
        <f>IF((H291-J291)/(K291-J291)*(Geraetedaten!$B$174-Geraetedaten!$B$161)&lt;Geraetedaten!$B$174,(H291-J291)/(K291-J291)*(Geraetedaten!$B$174-Geraetedaten!$B$161),Geraetedaten!$B$174)</f>
        <v>-261.18835485680052</v>
      </c>
      <c r="O291" s="20">
        <f>N291/Geraetedaten!$B$174*(M291-L291)+L291+C291</f>
        <v>280.82637994393599</v>
      </c>
      <c r="P291" s="20">
        <f t="shared" si="280"/>
        <v>141.60436105340116</v>
      </c>
      <c r="Q291" s="21">
        <f>(N291-Geraetedaten!$B$161)/(Geraetedaten!$B$174-Geraetedaten!$B$161)*(Geraetedaten!$B$175-Geraetedaten!$B$162)+Geraetedaten!$B$162</f>
        <v>21.429646443010185</v>
      </c>
      <c r="R291" s="21">
        <f t="shared" si="281"/>
        <v>21.429646443010185</v>
      </c>
      <c r="S291" s="21">
        <f t="shared" si="282"/>
        <v>-20.137280628547661</v>
      </c>
      <c r="T291" s="88">
        <f t="shared" si="283"/>
        <v>-7.3293707478567462</v>
      </c>
      <c r="U291" s="86">
        <f t="shared" si="284"/>
        <v>3009.5178000000001</v>
      </c>
      <c r="V291" s="85">
        <f t="shared" si="285"/>
        <v>-1141.3067828769733</v>
      </c>
      <c r="W291" s="85">
        <f t="shared" si="286"/>
        <v>1213.7843854417997</v>
      </c>
      <c r="X291" s="90">
        <f t="shared" si="287"/>
        <v>1141.3067828769733</v>
      </c>
      <c r="Y291" s="86">
        <f t="shared" si="288"/>
        <v>24522.01468</v>
      </c>
      <c r="Z291" s="85">
        <f t="shared" si="289"/>
        <v>-750</v>
      </c>
      <c r="AA291" s="85">
        <f t="shared" si="290"/>
        <v>2192.8533001223145</v>
      </c>
      <c r="AB291" s="90">
        <f t="shared" si="291"/>
        <v>750</v>
      </c>
      <c r="AC291" s="86">
        <f t="shared" si="292"/>
        <v>-2886.5228299999999</v>
      </c>
      <c r="AD291" s="85">
        <f t="shared" si="293"/>
        <v>1055.7627565116984</v>
      </c>
      <c r="AE291" s="85">
        <f t="shared" si="294"/>
        <v>-1123.9361757977861</v>
      </c>
      <c r="AF291" s="90">
        <f t="shared" si="295"/>
        <v>1055.7627565116984</v>
      </c>
      <c r="AG291" s="86">
        <f t="shared" si="296"/>
        <v>-26033.043460000001</v>
      </c>
      <c r="AH291" s="85">
        <f t="shared" si="297"/>
        <v>6128</v>
      </c>
      <c r="AI291" s="85">
        <f t="shared" si="298"/>
        <v>-17917.07336419939</v>
      </c>
      <c r="AJ291" s="90">
        <f t="shared" si="299"/>
        <v>6128</v>
      </c>
      <c r="AL291" s="95">
        <f t="shared" si="300"/>
        <v>0</v>
      </c>
      <c r="AM291" s="95">
        <f t="shared" si="301"/>
        <v>0</v>
      </c>
      <c r="AN291" s="95">
        <f t="shared" si="302"/>
        <v>0</v>
      </c>
      <c r="AO291" s="95">
        <f t="shared" si="303"/>
        <v>0</v>
      </c>
      <c r="AP291"/>
      <c r="AQ291" s="95">
        <f t="shared" si="304"/>
        <v>0</v>
      </c>
      <c r="AR291" s="95">
        <f t="shared" si="305"/>
        <v>0</v>
      </c>
      <c r="AS291" s="95">
        <f>Geraetedaten!$B$94*ABS(SIN(RADIANS($A291)))</f>
        <v>144.7126636010299</v>
      </c>
      <c r="AT291" s="95">
        <f>Geraetedaten!$B$94*ABS(COS(RADIANS($A291)))</f>
        <v>52.671102072152955</v>
      </c>
      <c r="AU291" s="95">
        <f>((h_Aw_Sw+Geraetedaten!$B$18)/1000)*(AQ291*AS291+AR291*AT291)/100</f>
        <v>0</v>
      </c>
    </row>
    <row r="292" spans="1:47" ht="13.5" x14ac:dyDescent="0.25">
      <c r="A292" s="16">
        <v>251</v>
      </c>
      <c r="B292" s="16">
        <f t="shared" si="272"/>
        <v>199</v>
      </c>
      <c r="C292" s="19">
        <f t="shared" si="273"/>
        <v>69.835646424666706</v>
      </c>
      <c r="D292" s="17">
        <f t="shared" si="274"/>
        <v>2921.2409935753335</v>
      </c>
      <c r="E292" s="17">
        <f t="shared" si="275"/>
        <v>25691.354023575332</v>
      </c>
      <c r="F292" s="17">
        <f t="shared" si="276"/>
        <v>-2938.5153564246666</v>
      </c>
      <c r="G292" s="17">
        <f t="shared" si="277"/>
        <v>-27418.411156424667</v>
      </c>
      <c r="H292" s="17">
        <f t="shared" si="278"/>
        <v>2921.2409935753335</v>
      </c>
      <c r="I292" s="17">
        <f t="shared" si="279"/>
        <v>1206.3467862088589</v>
      </c>
      <c r="J292" s="20">
        <f>(Geraetedaten!$B$152+(Geraetedaten!$B$153*(Geraetedaten!$B$18+d_y_Sw)/1000))*10</f>
        <v>6051.0442000000003</v>
      </c>
      <c r="K292" s="20">
        <f>(Geraetedaten!$B$165+(Geraetedaten!$B$166*(Geraetedaten!$B$18+d_y_Sw)/1000))*10</f>
        <v>10816.164000000001</v>
      </c>
      <c r="L292" s="20">
        <f>(Geraetedaten!$B$158+(Geraetedaten!$B$159*(Geraetedaten!$B$18+d_y_Sw)/1000)-(Geraetedaten!$B$160*I292/1000))*10</f>
        <v>513.07519016730407</v>
      </c>
      <c r="M292" s="20">
        <f>(Geraetedaten!$B$171+(Geraetedaten!$B$172*(Geraetedaten!$B$18+d_y_Sw)/1000)-(Geraetedaten!$B$173*I292/1000))*10</f>
        <v>975.0665452346135</v>
      </c>
      <c r="N292" s="20">
        <f>IF((H292-J292)/(K292-J292)*(Geraetedaten!$B$174-Geraetedaten!$B$161)&lt;Geraetedaten!$B$174,(H292-J292)/(K292-J292)*(Geraetedaten!$B$174-Geraetedaten!$B$161),Geraetedaten!$B$174)</f>
        <v>-262.72608771973933</v>
      </c>
      <c r="O292" s="20">
        <f>N292/Geraetedaten!$B$174*(M292-L292)+L292+C292</f>
        <v>279.46788339903287</v>
      </c>
      <c r="P292" s="20">
        <f t="shared" si="280"/>
        <v>141.18690593164953</v>
      </c>
      <c r="Q292" s="21">
        <f>(N292-Geraetedaten!$B$161)/(Geraetedaten!$B$174-Geraetedaten!$B$161)*(Geraetedaten!$B$175-Geraetedaten!$B$162)+Geraetedaten!$B$162</f>
        <v>21.383898890337754</v>
      </c>
      <c r="R292" s="21">
        <f t="shared" si="281"/>
        <v>21.383898890337754</v>
      </c>
      <c r="S292" s="21">
        <f t="shared" si="282"/>
        <v>-20.218873619551964</v>
      </c>
      <c r="T292" s="88">
        <f t="shared" si="283"/>
        <v>-6.9619164968257028</v>
      </c>
      <c r="U292" s="86">
        <f t="shared" si="284"/>
        <v>2991.0766400000002</v>
      </c>
      <c r="V292" s="85">
        <f t="shared" si="285"/>
        <v>-1141.3067828769733</v>
      </c>
      <c r="W292" s="85">
        <f t="shared" si="286"/>
        <v>1206.3467862088589</v>
      </c>
      <c r="X292" s="90">
        <f t="shared" si="287"/>
        <v>1141.3067828769733</v>
      </c>
      <c r="Y292" s="86">
        <f t="shared" si="288"/>
        <v>25761.18967</v>
      </c>
      <c r="Z292" s="85">
        <f t="shared" si="289"/>
        <v>-750</v>
      </c>
      <c r="AA292" s="85">
        <f t="shared" si="290"/>
        <v>2303.6651150679322</v>
      </c>
      <c r="AB292" s="90">
        <f t="shared" si="291"/>
        <v>750</v>
      </c>
      <c r="AC292" s="86">
        <f t="shared" si="292"/>
        <v>-2868.6797099999999</v>
      </c>
      <c r="AD292" s="85">
        <f t="shared" si="293"/>
        <v>1055.7627565116984</v>
      </c>
      <c r="AE292" s="85">
        <f t="shared" si="294"/>
        <v>-1116.98853609206</v>
      </c>
      <c r="AF292" s="90">
        <f t="shared" si="295"/>
        <v>1055.7627565116984</v>
      </c>
      <c r="AG292" s="86">
        <f t="shared" si="296"/>
        <v>-27348.575509999999</v>
      </c>
      <c r="AH292" s="85">
        <f t="shared" si="297"/>
        <v>6128</v>
      </c>
      <c r="AI292" s="85">
        <f t="shared" si="298"/>
        <v>-18822.479766848384</v>
      </c>
      <c r="AJ292" s="90">
        <f t="shared" si="299"/>
        <v>6128</v>
      </c>
      <c r="AL292" s="95">
        <f t="shared" si="300"/>
        <v>0</v>
      </c>
      <c r="AM292" s="95">
        <f t="shared" si="301"/>
        <v>0</v>
      </c>
      <c r="AN292" s="95">
        <f t="shared" si="302"/>
        <v>0</v>
      </c>
      <c r="AO292" s="95">
        <f t="shared" si="303"/>
        <v>0</v>
      </c>
      <c r="AP292"/>
      <c r="AQ292" s="95">
        <f t="shared" si="304"/>
        <v>0</v>
      </c>
      <c r="AR292" s="95">
        <f t="shared" si="305"/>
        <v>0</v>
      </c>
      <c r="AS292" s="95">
        <f>Geraetedaten!$B$94*ABS(SIN(RADIANS($A292)))</f>
        <v>145.60986064229479</v>
      </c>
      <c r="AT292" s="95">
        <f>Geraetedaten!$B$94*ABS(COS(RADIANS($A292)))</f>
        <v>50.13749578640212</v>
      </c>
      <c r="AU292" s="95">
        <f>((h_Aw_Sw+Geraetedaten!$B$18)/1000)*(AQ292*AS292+AR292*AT292)/100</f>
        <v>0</v>
      </c>
    </row>
    <row r="293" spans="1:47" ht="13.5" x14ac:dyDescent="0.25">
      <c r="A293" s="16">
        <v>252</v>
      </c>
      <c r="B293" s="16">
        <f t="shared" si="272"/>
        <v>198</v>
      </c>
      <c r="C293" s="19">
        <f t="shared" si="273"/>
        <v>69.691917091003504</v>
      </c>
      <c r="D293" s="17">
        <f t="shared" si="274"/>
        <v>2904.0685129089961</v>
      </c>
      <c r="E293" s="17">
        <f t="shared" si="275"/>
        <v>27071.284562908997</v>
      </c>
      <c r="F293" s="17">
        <f t="shared" si="276"/>
        <v>-2921.6111470910037</v>
      </c>
      <c r="G293" s="17">
        <f t="shared" si="277"/>
        <v>-28883.075697091004</v>
      </c>
      <c r="H293" s="17">
        <f t="shared" si="278"/>
        <v>2904.0685129089961</v>
      </c>
      <c r="I293" s="17">
        <f t="shared" si="279"/>
        <v>1199.3628938305933</v>
      </c>
      <c r="J293" s="20">
        <f>(Geraetedaten!$B$152+(Geraetedaten!$B$153*(Geraetedaten!$B$18+d_y_Sw)/1000))*10</f>
        <v>6051.0442000000003</v>
      </c>
      <c r="K293" s="20">
        <f>(Geraetedaten!$B$165+(Geraetedaten!$B$166*(Geraetedaten!$B$18+d_y_Sw)/1000))*10</f>
        <v>10816.164000000001</v>
      </c>
      <c r="L293" s="20">
        <f>(Geraetedaten!$B$158+(Geraetedaten!$B$159*(Geraetedaten!$B$18+d_y_Sw)/1000)-(Geraetedaten!$B$160*I293/1000))*10</f>
        <v>513.58731899540237</v>
      </c>
      <c r="M293" s="20">
        <f>(Geraetedaten!$B$171+(Geraetedaten!$B$172*(Geraetedaten!$B$18+d_y_Sw)/1000)-(Geraetedaten!$B$173*I293/1000))*10</f>
        <v>975.58642618325166</v>
      </c>
      <c r="N293" s="20">
        <f>IF((H293-J293)/(K293-J293)*(Geraetedaten!$B$174-Geraetedaten!$B$161)&lt;Geraetedaten!$B$174,(H293-J293)/(K293-J293)*(Geraetedaten!$B$174-Geraetedaten!$B$161),Geraetedaten!$B$174)</f>
        <v>-264.16760284524253</v>
      </c>
      <c r="O293" s="20">
        <f>N293/Geraetedaten!$B$174*(M293-L293)+L293+C293</f>
        <v>278.1662444302649</v>
      </c>
      <c r="P293" s="20">
        <f t="shared" si="280"/>
        <v>140.77980354676563</v>
      </c>
      <c r="Q293" s="21">
        <f>(N293-Geraetedaten!$B$161)/(Geraetedaten!$B$174-Geraetedaten!$B$161)*(Geraetedaten!$B$175-Geraetedaten!$B$162)+Geraetedaten!$B$162</f>
        <v>21.341013815354032</v>
      </c>
      <c r="R293" s="21">
        <f t="shared" si="281"/>
        <v>21.341013815354032</v>
      </c>
      <c r="S293" s="21">
        <f t="shared" si="282"/>
        <v>-20.296510253437347</v>
      </c>
      <c r="T293" s="88">
        <f t="shared" si="283"/>
        <v>-6.5947359461349349</v>
      </c>
      <c r="U293" s="86">
        <f t="shared" si="284"/>
        <v>2973.7604299999998</v>
      </c>
      <c r="V293" s="85">
        <f t="shared" si="285"/>
        <v>-1141.3067828769733</v>
      </c>
      <c r="W293" s="85">
        <f t="shared" si="286"/>
        <v>1199.3628938305933</v>
      </c>
      <c r="X293" s="90">
        <f t="shared" si="287"/>
        <v>1141.3067828769733</v>
      </c>
      <c r="Y293" s="86">
        <f t="shared" si="288"/>
        <v>27140.976480000001</v>
      </c>
      <c r="Z293" s="85">
        <f t="shared" si="289"/>
        <v>-750</v>
      </c>
      <c r="AA293" s="85">
        <f t="shared" si="290"/>
        <v>2427.0509831248414</v>
      </c>
      <c r="AB293" s="90">
        <f t="shared" si="291"/>
        <v>750</v>
      </c>
      <c r="AC293" s="86">
        <f t="shared" si="292"/>
        <v>-2851.91923</v>
      </c>
      <c r="AD293" s="85">
        <f t="shared" si="293"/>
        <v>1055.7627565116984</v>
      </c>
      <c r="AE293" s="85">
        <f t="shared" si="294"/>
        <v>-1110.4624422260815</v>
      </c>
      <c r="AF293" s="90">
        <f t="shared" si="295"/>
        <v>1055.7627565116984</v>
      </c>
      <c r="AG293" s="86">
        <f t="shared" si="296"/>
        <v>-28813.38378</v>
      </c>
      <c r="AH293" s="85">
        <f t="shared" si="297"/>
        <v>6128</v>
      </c>
      <c r="AI293" s="85">
        <f t="shared" si="298"/>
        <v>-19830.624566118706</v>
      </c>
      <c r="AJ293" s="90">
        <f t="shared" si="299"/>
        <v>6128</v>
      </c>
      <c r="AL293" s="95">
        <f t="shared" si="300"/>
        <v>0</v>
      </c>
      <c r="AM293" s="95">
        <f t="shared" si="301"/>
        <v>0</v>
      </c>
      <c r="AN293" s="95">
        <f t="shared" si="302"/>
        <v>0</v>
      </c>
      <c r="AO293" s="95">
        <f t="shared" si="303"/>
        <v>0</v>
      </c>
      <c r="AP293"/>
      <c r="AQ293" s="95">
        <f t="shared" si="304"/>
        <v>0</v>
      </c>
      <c r="AR293" s="95">
        <f t="shared" si="305"/>
        <v>0</v>
      </c>
      <c r="AS293" s="95">
        <f>Geraetedaten!$B$94*ABS(SIN(RADIANS($A293)))</f>
        <v>146.46270350945363</v>
      </c>
      <c r="AT293" s="95">
        <f>Geraetedaten!$B$94*ABS(COS(RADIANS($A293)))</f>
        <v>47.588617133741927</v>
      </c>
      <c r="AU293" s="95">
        <f>((h_Aw_Sw+Geraetedaten!$B$18)/1000)*(AQ293*AS293+AR293*AT293)/100</f>
        <v>0</v>
      </c>
    </row>
    <row r="294" spans="1:47" ht="13.5" x14ac:dyDescent="0.25">
      <c r="A294" s="16">
        <v>253</v>
      </c>
      <c r="B294" s="16">
        <f t="shared" si="272"/>
        <v>197</v>
      </c>
      <c r="C294" s="19">
        <f t="shared" si="273"/>
        <v>69.526958924273615</v>
      </c>
      <c r="D294" s="17">
        <f t="shared" si="274"/>
        <v>2888.0123110757268</v>
      </c>
      <c r="E294" s="17">
        <f t="shared" si="275"/>
        <v>28616.638091075725</v>
      </c>
      <c r="F294" s="17">
        <f t="shared" si="276"/>
        <v>-2905.7393289242737</v>
      </c>
      <c r="G294" s="17">
        <f t="shared" si="277"/>
        <v>-30523.312708924273</v>
      </c>
      <c r="H294" s="17">
        <f t="shared" si="278"/>
        <v>2888.0123110757268</v>
      </c>
      <c r="I294" s="17">
        <f t="shared" si="279"/>
        <v>1192.8206528977569</v>
      </c>
      <c r="J294" s="20">
        <f>(Geraetedaten!$B$152+(Geraetedaten!$B$153*(Geraetedaten!$B$18+d_y_Sw)/1000))*10</f>
        <v>6051.0442000000003</v>
      </c>
      <c r="K294" s="20">
        <f>(Geraetedaten!$B$165+(Geraetedaten!$B$166*(Geraetedaten!$B$18+d_y_Sw)/1000))*10</f>
        <v>10816.164000000001</v>
      </c>
      <c r="L294" s="20">
        <f>(Geraetedaten!$B$158+(Geraetedaten!$B$159*(Geraetedaten!$B$18+d_y_Sw)/1000)-(Geraetedaten!$B$160*I294/1000))*10</f>
        <v>514.06706152300728</v>
      </c>
      <c r="M294" s="20">
        <f>(Geraetedaten!$B$171+(Geraetedaten!$B$172*(Geraetedaten!$B$18+d_y_Sw)/1000)-(Geraetedaten!$B$173*I294/1000))*10</f>
        <v>976.07343059829191</v>
      </c>
      <c r="N294" s="20">
        <f>IF((H294-J294)/(K294-J294)*(Geraetedaten!$B$174-Geraetedaten!$B$161)&lt;Geraetedaten!$B$174,(H294-J294)/(K294-J294)*(Geraetedaten!$B$174-Geraetedaten!$B$161),Geraetedaten!$B$174)</f>
        <v>-265.51541381387921</v>
      </c>
      <c r="O294" s="20">
        <f>N294/Geraetedaten!$B$174*(M294-L294)+L294+C294</f>
        <v>276.91948977310091</v>
      </c>
      <c r="P294" s="20">
        <f t="shared" si="280"/>
        <v>140.38269321719818</v>
      </c>
      <c r="Q294" s="21">
        <f>(N294-Geraetedaten!$B$161)/(Geraetedaten!$B$174-Geraetedaten!$B$161)*(Geraetedaten!$B$175-Geraetedaten!$B$162)+Geraetedaten!$B$162</f>
        <v>21.300916439037092</v>
      </c>
      <c r="R294" s="21">
        <f t="shared" si="281"/>
        <v>21.300916439037092</v>
      </c>
      <c r="S294" s="21">
        <f t="shared" si="282"/>
        <v>-20.370167697022374</v>
      </c>
      <c r="T294" s="88">
        <f t="shared" si="283"/>
        <v>-6.2277852514378491</v>
      </c>
      <c r="U294" s="86">
        <f t="shared" si="284"/>
        <v>2957.5392700000002</v>
      </c>
      <c r="V294" s="85">
        <f t="shared" si="285"/>
        <v>-1141.3067828769733</v>
      </c>
      <c r="W294" s="85">
        <f t="shared" si="286"/>
        <v>1192.8206528977569</v>
      </c>
      <c r="X294" s="90">
        <f t="shared" si="287"/>
        <v>1141.3067828769733</v>
      </c>
      <c r="Y294" s="86">
        <f t="shared" si="288"/>
        <v>28686.16505</v>
      </c>
      <c r="Z294" s="85">
        <f t="shared" si="289"/>
        <v>-750</v>
      </c>
      <c r="AA294" s="85">
        <f t="shared" si="290"/>
        <v>2565.2277148749527</v>
      </c>
      <c r="AB294" s="90">
        <f t="shared" si="291"/>
        <v>750</v>
      </c>
      <c r="AC294" s="86">
        <f t="shared" si="292"/>
        <v>-2836.2123700000002</v>
      </c>
      <c r="AD294" s="85">
        <f t="shared" si="293"/>
        <v>1055.7627565116984</v>
      </c>
      <c r="AE294" s="85">
        <f t="shared" si="294"/>
        <v>-1104.3466045189657</v>
      </c>
      <c r="AF294" s="90">
        <f t="shared" si="295"/>
        <v>1055.7627565116984</v>
      </c>
      <c r="AG294" s="86">
        <f t="shared" si="296"/>
        <v>-30453.785749999999</v>
      </c>
      <c r="AH294" s="85">
        <f t="shared" si="297"/>
        <v>6128</v>
      </c>
      <c r="AI294" s="85">
        <f t="shared" si="298"/>
        <v>-20959.620582338281</v>
      </c>
      <c r="AJ294" s="90">
        <f t="shared" si="299"/>
        <v>6128</v>
      </c>
      <c r="AL294" s="95">
        <f t="shared" si="300"/>
        <v>0</v>
      </c>
      <c r="AM294" s="95">
        <f t="shared" si="301"/>
        <v>0</v>
      </c>
      <c r="AN294" s="95">
        <f t="shared" si="302"/>
        <v>0</v>
      </c>
      <c r="AO294" s="95">
        <f t="shared" si="303"/>
        <v>0</v>
      </c>
      <c r="AP294"/>
      <c r="AQ294" s="95">
        <f t="shared" si="304"/>
        <v>0</v>
      </c>
      <c r="AR294" s="95">
        <f t="shared" si="305"/>
        <v>0</v>
      </c>
      <c r="AS294" s="95">
        <f>Geraetedaten!$B$94*ABS(SIN(RADIANS($A294)))</f>
        <v>147.27093241830744</v>
      </c>
      <c r="AT294" s="95">
        <f>Geraetedaten!$B$94*ABS(COS(RADIANS($A294)))</f>
        <v>45.025242527301515</v>
      </c>
      <c r="AU294" s="95">
        <f>((h_Aw_Sw+Geraetedaten!$B$18)/1000)*(AQ294*AS294+AR294*AT294)/100</f>
        <v>0</v>
      </c>
    </row>
    <row r="295" spans="1:47" ht="13.5" x14ac:dyDescent="0.25">
      <c r="A295" s="16">
        <v>254</v>
      </c>
      <c r="B295" s="16">
        <f t="shared" si="272"/>
        <v>196</v>
      </c>
      <c r="C295" s="19">
        <f t="shared" si="273"/>
        <v>69.340822172332622</v>
      </c>
      <c r="D295" s="17">
        <f t="shared" si="274"/>
        <v>2873.0447078276675</v>
      </c>
      <c r="E295" s="17">
        <f t="shared" si="275"/>
        <v>30358.403457827666</v>
      </c>
      <c r="F295" s="17">
        <f t="shared" si="276"/>
        <v>-2890.8731521723325</v>
      </c>
      <c r="G295" s="17">
        <f t="shared" si="277"/>
        <v>-32372.020652172334</v>
      </c>
      <c r="H295" s="17">
        <f t="shared" si="278"/>
        <v>2873.0447078276675</v>
      </c>
      <c r="I295" s="17">
        <f t="shared" si="279"/>
        <v>1186.7089194353105</v>
      </c>
      <c r="J295" s="20">
        <f>(Geraetedaten!$B$152+(Geraetedaten!$B$153*(Geraetedaten!$B$18+d_y_Sw)/1000))*10</f>
        <v>6051.0442000000003</v>
      </c>
      <c r="K295" s="20">
        <f>(Geraetedaten!$B$165+(Geraetedaten!$B$166*(Geraetedaten!$B$18+d_y_Sw)/1000))*10</f>
        <v>10816.164000000001</v>
      </c>
      <c r="L295" s="20">
        <f>(Geraetedaten!$B$158+(Geraetedaten!$B$159*(Geraetedaten!$B$18+d_y_Sw)/1000)-(Geraetedaten!$B$160*I295/1000))*10</f>
        <v>514.51523493780849</v>
      </c>
      <c r="M295" s="20">
        <f>(Geraetedaten!$B$171+(Geraetedaten!$B$172*(Geraetedaten!$B$18+d_y_Sw)/1000)-(Geraetedaten!$B$173*I295/1000))*10</f>
        <v>976.52838803723637</v>
      </c>
      <c r="N295" s="20">
        <f>IF((H295-J295)/(K295-J295)*(Geraetedaten!$B$174-Geraetedaten!$B$161)&lt;Geraetedaten!$B$174,(H295-J295)/(K295-J295)*(Geraetedaten!$B$174-Geraetedaten!$B$161),Geraetedaten!$B$174)</f>
        <v>-266.77184419769111</v>
      </c>
      <c r="O295" s="20">
        <f>N295/Geraetedaten!$B$174*(M295-L295)+L295+C295</f>
        <v>275.72580487032963</v>
      </c>
      <c r="P295" s="20">
        <f t="shared" si="280"/>
        <v>139.99524725285417</v>
      </c>
      <c r="Q295" s="21">
        <f>(N295-Geraetedaten!$B$161)/(Geraetedaten!$B$174-Geraetedaten!$B$161)*(Geraetedaten!$B$175-Geraetedaten!$B$162)+Geraetedaten!$B$162</f>
        <v>21.263537635118688</v>
      </c>
      <c r="R295" s="21">
        <f t="shared" si="281"/>
        <v>21.263537635118688</v>
      </c>
      <c r="S295" s="21">
        <f t="shared" si="282"/>
        <v>-20.439824248782461</v>
      </c>
      <c r="T295" s="88">
        <f t="shared" si="283"/>
        <v>-5.8610252890593566</v>
      </c>
      <c r="U295" s="86">
        <f t="shared" si="284"/>
        <v>2942.38553</v>
      </c>
      <c r="V295" s="85">
        <f t="shared" si="285"/>
        <v>-1141.3067828769733</v>
      </c>
      <c r="W295" s="85">
        <f t="shared" si="286"/>
        <v>1186.7089194353105</v>
      </c>
      <c r="X295" s="90">
        <f t="shared" si="287"/>
        <v>1141.3067828769733</v>
      </c>
      <c r="Y295" s="86">
        <f t="shared" si="288"/>
        <v>30427.744279999999</v>
      </c>
      <c r="Z295" s="85">
        <f t="shared" si="289"/>
        <v>-750</v>
      </c>
      <c r="AA295" s="85">
        <f t="shared" si="290"/>
        <v>2720.9664589074746</v>
      </c>
      <c r="AB295" s="90">
        <f t="shared" si="291"/>
        <v>750</v>
      </c>
      <c r="AC295" s="86">
        <f t="shared" si="292"/>
        <v>-2821.53233</v>
      </c>
      <c r="AD295" s="85">
        <f t="shared" si="293"/>
        <v>1055.7627565116984</v>
      </c>
      <c r="AE295" s="85">
        <f t="shared" si="294"/>
        <v>-1098.6305839256495</v>
      </c>
      <c r="AF295" s="90">
        <f t="shared" si="295"/>
        <v>1055.7627565116984</v>
      </c>
      <c r="AG295" s="86">
        <f t="shared" si="296"/>
        <v>-32302.679830000001</v>
      </c>
      <c r="AH295" s="85">
        <f t="shared" si="297"/>
        <v>6128</v>
      </c>
      <c r="AI295" s="85">
        <f t="shared" si="298"/>
        <v>-22232.109946913341</v>
      </c>
      <c r="AJ295" s="90">
        <f t="shared" si="299"/>
        <v>6128</v>
      </c>
      <c r="AL295" s="95">
        <f t="shared" si="300"/>
        <v>0</v>
      </c>
      <c r="AM295" s="95">
        <f t="shared" si="301"/>
        <v>0</v>
      </c>
      <c r="AN295" s="95">
        <f t="shared" si="302"/>
        <v>0</v>
      </c>
      <c r="AO295" s="95">
        <f t="shared" si="303"/>
        <v>0</v>
      </c>
      <c r="AP295"/>
      <c r="AQ295" s="95">
        <f t="shared" si="304"/>
        <v>0</v>
      </c>
      <c r="AR295" s="95">
        <f t="shared" si="305"/>
        <v>0</v>
      </c>
      <c r="AS295" s="95">
        <f>Geraetedaten!$B$94*ABS(SIN(RADIANS($A295)))</f>
        <v>148.03430117450114</v>
      </c>
      <c r="AT295" s="95">
        <f>Geraetedaten!$B$94*ABS(COS(RADIANS($A295)))</f>
        <v>42.448152795817826</v>
      </c>
      <c r="AU295" s="95">
        <f>((h_Aw_Sw+Geraetedaten!$B$18)/1000)*(AQ295*AS295+AR295*AT295)/100</f>
        <v>0</v>
      </c>
    </row>
    <row r="296" spans="1:47" ht="13.5" x14ac:dyDescent="0.25">
      <c r="A296" s="16">
        <v>255</v>
      </c>
      <c r="B296" s="16">
        <f t="shared" si="272"/>
        <v>195</v>
      </c>
      <c r="C296" s="19">
        <f t="shared" si="273"/>
        <v>69.133563534238306</v>
      </c>
      <c r="D296" s="17">
        <f t="shared" si="274"/>
        <v>2859.1401664657615</v>
      </c>
      <c r="E296" s="17">
        <f t="shared" si="275"/>
        <v>32335.834826465765</v>
      </c>
      <c r="F296" s="17">
        <f t="shared" si="276"/>
        <v>-2876.9879435342386</v>
      </c>
      <c r="G296" s="17">
        <f t="shared" si="277"/>
        <v>-34470.872633534244</v>
      </c>
      <c r="H296" s="17">
        <f t="shared" si="278"/>
        <v>2859.1401664657615</v>
      </c>
      <c r="I296" s="17">
        <f t="shared" si="279"/>
        <v>1181.0174123556362</v>
      </c>
      <c r="J296" s="20">
        <f>(Geraetedaten!$B$152+(Geraetedaten!$B$153*(Geraetedaten!$B$18+d_y_Sw)/1000))*10</f>
        <v>6051.0442000000003</v>
      </c>
      <c r="K296" s="20">
        <f>(Geraetedaten!$B$165+(Geraetedaten!$B$166*(Geraetedaten!$B$18+d_y_Sw)/1000))*10</f>
        <v>10816.164000000001</v>
      </c>
      <c r="L296" s="20">
        <f>(Geraetedaten!$B$158+(Geraetedaten!$B$159*(Geraetedaten!$B$18+d_y_Sw)/1000)-(Geraetedaten!$B$160*I296/1000))*10</f>
        <v>514.93259315196099</v>
      </c>
      <c r="M296" s="20">
        <f>(Geraetedaten!$B$171+(Geraetedaten!$B$172*(Geraetedaten!$B$18+d_y_Sw)/1000)-(Geraetedaten!$B$173*I296/1000))*10</f>
        <v>976.95206382424749</v>
      </c>
      <c r="N296" s="20">
        <f>IF((H296-J296)/(K296-J296)*(Geraetedaten!$B$174-Geraetedaten!$B$161)&lt;Geraetedaten!$B$174,(H296-J296)/(K296-J296)*(Geraetedaten!$B$174-Geraetedaten!$B$161),Geraetedaten!$B$174)</f>
        <v>-267.93903763210642</v>
      </c>
      <c r="O296" s="20">
        <f>N296/Geraetedaten!$B$174*(M296-L296)+L296+C296</f>
        <v>274.58352583813013</v>
      </c>
      <c r="P296" s="20">
        <f t="shared" si="280"/>
        <v>139.61717002829144</v>
      </c>
      <c r="Q296" s="21">
        <f>(N296-Geraetedaten!$B$161)/(Geraetedaten!$B$174-Geraetedaten!$B$161)*(Geraetedaten!$B$175-Geraetedaten!$B$162)+Geraetedaten!$B$162</f>
        <v>21.228813630444833</v>
      </c>
      <c r="R296" s="21">
        <f t="shared" si="281"/>
        <v>21.228813630444833</v>
      </c>
      <c r="S296" s="21">
        <f t="shared" si="282"/>
        <v>-20.505459347124063</v>
      </c>
      <c r="T296" s="88">
        <f t="shared" si="283"/>
        <v>-5.4944212724911061</v>
      </c>
      <c r="U296" s="86">
        <f t="shared" si="284"/>
        <v>2928.2737299999999</v>
      </c>
      <c r="V296" s="85">
        <f t="shared" si="285"/>
        <v>-1141.3067828769733</v>
      </c>
      <c r="W296" s="85">
        <f t="shared" si="286"/>
        <v>1181.0174123556362</v>
      </c>
      <c r="X296" s="90">
        <f t="shared" si="287"/>
        <v>1141.3067828769733</v>
      </c>
      <c r="Y296" s="86">
        <f t="shared" si="288"/>
        <v>32404.968390000002</v>
      </c>
      <c r="Z296" s="85">
        <f t="shared" si="289"/>
        <v>-750</v>
      </c>
      <c r="AA296" s="85">
        <f t="shared" si="290"/>
        <v>2897.7774788672018</v>
      </c>
      <c r="AB296" s="90">
        <f t="shared" si="291"/>
        <v>750</v>
      </c>
      <c r="AC296" s="86">
        <f t="shared" si="292"/>
        <v>-2807.8543800000002</v>
      </c>
      <c r="AD296" s="85">
        <f t="shared" si="293"/>
        <v>1055.7627565116984</v>
      </c>
      <c r="AE296" s="85">
        <f t="shared" si="294"/>
        <v>-1093.3047464324293</v>
      </c>
      <c r="AF296" s="90">
        <f t="shared" si="295"/>
        <v>1055.7627565116984</v>
      </c>
      <c r="AG296" s="86">
        <f t="shared" si="296"/>
        <v>-34401.739070000003</v>
      </c>
      <c r="AH296" s="85">
        <f t="shared" si="297"/>
        <v>6128</v>
      </c>
      <c r="AI296" s="85">
        <f t="shared" si="298"/>
        <v>-23676.77385399762</v>
      </c>
      <c r="AJ296" s="90">
        <f t="shared" si="299"/>
        <v>6128</v>
      </c>
      <c r="AL296" s="95">
        <f t="shared" si="300"/>
        <v>0</v>
      </c>
      <c r="AM296" s="95">
        <f t="shared" si="301"/>
        <v>0</v>
      </c>
      <c r="AN296" s="95">
        <f t="shared" si="302"/>
        <v>0</v>
      </c>
      <c r="AO296" s="95">
        <f t="shared" si="303"/>
        <v>0</v>
      </c>
      <c r="AP296"/>
      <c r="AQ296" s="95">
        <f t="shared" si="304"/>
        <v>0</v>
      </c>
      <c r="AR296" s="95">
        <f t="shared" si="305"/>
        <v>0</v>
      </c>
      <c r="AS296" s="95">
        <f>Geraetedaten!$B$94*ABS(SIN(RADIANS($A296)))</f>
        <v>148.75257724851653</v>
      </c>
      <c r="AT296" s="95">
        <f>Geraetedaten!$B$94*ABS(COS(RADIANS($A296)))</f>
        <v>39.858132945788178</v>
      </c>
      <c r="AU296" s="95">
        <f>((h_Aw_Sw+Geraetedaten!$B$18)/1000)*(AQ296*AS296+AR296*AT296)/100</f>
        <v>0</v>
      </c>
    </row>
    <row r="297" spans="1:47" ht="13.5" x14ac:dyDescent="0.25">
      <c r="A297" s="16">
        <v>256</v>
      </c>
      <c r="B297" s="16">
        <f t="shared" si="272"/>
        <v>194</v>
      </c>
      <c r="C297" s="19">
        <f t="shared" si="273"/>
        <v>68.905246142979607</v>
      </c>
      <c r="D297" s="17">
        <f t="shared" si="274"/>
        <v>2846.2751438570203</v>
      </c>
      <c r="E297" s="17">
        <f t="shared" si="275"/>
        <v>34599.403533857017</v>
      </c>
      <c r="F297" s="17">
        <f t="shared" si="276"/>
        <v>-2864.0609661429799</v>
      </c>
      <c r="G297" s="17">
        <f t="shared" si="277"/>
        <v>-36873.450086142984</v>
      </c>
      <c r="H297" s="17">
        <f t="shared" si="278"/>
        <v>2846.2751438570203</v>
      </c>
      <c r="I297" s="17">
        <f t="shared" si="279"/>
        <v>1175.7366694385612</v>
      </c>
      <c r="J297" s="20">
        <f>(Geraetedaten!$B$152+(Geraetedaten!$B$153*(Geraetedaten!$B$18+d_y_Sw)/1000))*10</f>
        <v>6051.0442000000003</v>
      </c>
      <c r="K297" s="20">
        <f>(Geraetedaten!$B$165+(Geraetedaten!$B$166*(Geraetedaten!$B$18+d_y_Sw)/1000))*10</f>
        <v>10816.164000000001</v>
      </c>
      <c r="L297" s="20">
        <f>(Geraetedaten!$B$158+(Geraetedaten!$B$159*(Geraetedaten!$B$18+d_y_Sw)/1000)-(Geraetedaten!$B$160*I297/1000))*10</f>
        <v>515.31983003007008</v>
      </c>
      <c r="M297" s="20">
        <f>(Geraetedaten!$B$171+(Geraetedaten!$B$172*(Geraetedaten!$B$18+d_y_Sw)/1000)-(Geraetedaten!$B$173*I297/1000))*10</f>
        <v>977.34516232699445</v>
      </c>
      <c r="N297" s="20">
        <f>IF((H297-J297)/(K297-J297)*(Geraetedaten!$B$174-Geraetedaten!$B$161)&lt;Geraetedaten!$B$174,(H297-J297)/(K297-J297)*(Geraetedaten!$B$174-Geraetedaten!$B$161),Geraetedaten!$B$174)</f>
        <v>-269.01897040598891</v>
      </c>
      <c r="O297" s="20">
        <f>N297/Geraetedaten!$B$174*(M297-L297)+L297+C297</f>
        <v>273.49112818304093</v>
      </c>
      <c r="P297" s="20">
        <f t="shared" si="280"/>
        <v>139.24819581064125</v>
      </c>
      <c r="Q297" s="21">
        <f>(N297-Geraetedaten!$B$161)/(Geraetedaten!$B$174-Geraetedaten!$B$161)*(Geraetedaten!$B$175-Geraetedaten!$B$162)+Geraetedaten!$B$162</f>
        <v>21.196685630421825</v>
      </c>
      <c r="R297" s="21">
        <f t="shared" si="281"/>
        <v>21.196685630421825</v>
      </c>
      <c r="S297" s="21">
        <f t="shared" si="282"/>
        <v>-20.567053478414124</v>
      </c>
      <c r="T297" s="88">
        <f t="shared" si="283"/>
        <v>-5.1279423681418868</v>
      </c>
      <c r="U297" s="86">
        <f t="shared" si="284"/>
        <v>2915.18039</v>
      </c>
      <c r="V297" s="85">
        <f t="shared" si="285"/>
        <v>-1141.3067828769733</v>
      </c>
      <c r="W297" s="85">
        <f t="shared" si="286"/>
        <v>1175.7366694385612</v>
      </c>
      <c r="X297" s="90">
        <f t="shared" si="287"/>
        <v>1141.3067828769733</v>
      </c>
      <c r="Y297" s="86">
        <f t="shared" si="288"/>
        <v>34668.308779999999</v>
      </c>
      <c r="Z297" s="85">
        <f t="shared" si="289"/>
        <v>-750</v>
      </c>
      <c r="AA297" s="85">
        <f t="shared" si="290"/>
        <v>3100.1741208290618</v>
      </c>
      <c r="AB297" s="90">
        <f t="shared" si="291"/>
        <v>750</v>
      </c>
      <c r="AC297" s="86">
        <f t="shared" si="292"/>
        <v>-2795.1557200000002</v>
      </c>
      <c r="AD297" s="85">
        <f t="shared" si="293"/>
        <v>1055.7627565116984</v>
      </c>
      <c r="AE297" s="85">
        <f t="shared" si="294"/>
        <v>-1088.3602216970933</v>
      </c>
      <c r="AF297" s="90">
        <f t="shared" si="295"/>
        <v>1055.7627565116984</v>
      </c>
      <c r="AG297" s="86">
        <f t="shared" si="296"/>
        <v>-36804.544840000002</v>
      </c>
      <c r="AH297" s="85">
        <f t="shared" si="297"/>
        <v>6128</v>
      </c>
      <c r="AI297" s="85">
        <f t="shared" si="298"/>
        <v>-25330.489349920656</v>
      </c>
      <c r="AJ297" s="90">
        <f t="shared" si="299"/>
        <v>6128</v>
      </c>
      <c r="AL297" s="95">
        <f t="shared" si="300"/>
        <v>0</v>
      </c>
      <c r="AM297" s="95">
        <f t="shared" si="301"/>
        <v>0</v>
      </c>
      <c r="AN297" s="95">
        <f t="shared" si="302"/>
        <v>0</v>
      </c>
      <c r="AO297" s="95">
        <f t="shared" si="303"/>
        <v>0</v>
      </c>
      <c r="AP297"/>
      <c r="AQ297" s="95">
        <f t="shared" si="304"/>
        <v>0</v>
      </c>
      <c r="AR297" s="95">
        <f t="shared" si="305"/>
        <v>0</v>
      </c>
      <c r="AS297" s="95">
        <f>Geraetedaten!$B$94*ABS(SIN(RADIANS($A297)))</f>
        <v>149.42554184650345</v>
      </c>
      <c r="AT297" s="95">
        <f>Geraetedaten!$B$94*ABS(COS(RADIANS($A297)))</f>
        <v>37.255971922348841</v>
      </c>
      <c r="AU297" s="95">
        <f>((h_Aw_Sw+Geraetedaten!$B$18)/1000)*(AQ297*AS297+AR297*AT297)/100</f>
        <v>0</v>
      </c>
    </row>
    <row r="298" spans="1:47" ht="13.5" x14ac:dyDescent="0.25">
      <c r="A298" s="16">
        <v>257</v>
      </c>
      <c r="B298" s="16">
        <f t="shared" si="272"/>
        <v>193</v>
      </c>
      <c r="C298" s="19">
        <f t="shared" si="273"/>
        <v>68.655939546245634</v>
      </c>
      <c r="D298" s="17">
        <f t="shared" si="274"/>
        <v>2834.4280504537546</v>
      </c>
      <c r="E298" s="17">
        <f t="shared" si="275"/>
        <v>37215.112300453751</v>
      </c>
      <c r="F298" s="17">
        <f t="shared" si="276"/>
        <v>-2852.0713795462457</v>
      </c>
      <c r="G298" s="17">
        <f t="shared" si="277"/>
        <v>-39649.822969546243</v>
      </c>
      <c r="H298" s="17">
        <f t="shared" si="278"/>
        <v>2834.4280504537546</v>
      </c>
      <c r="I298" s="17">
        <f t="shared" si="279"/>
        <v>1170.8580074740469</v>
      </c>
      <c r="J298" s="20">
        <f>(Geraetedaten!$B$152+(Geraetedaten!$B$153*(Geraetedaten!$B$18+d_y_Sw)/1000))*10</f>
        <v>6051.0442000000003</v>
      </c>
      <c r="K298" s="20">
        <f>(Geraetedaten!$B$165+(Geraetedaten!$B$166*(Geraetedaten!$B$18+d_y_Sw)/1000))*10</f>
        <v>10816.164000000001</v>
      </c>
      <c r="L298" s="20">
        <f>(Geraetedaten!$B$158+(Geraetedaten!$B$159*(Geraetedaten!$B$18+d_y_Sw)/1000)-(Geraetedaten!$B$160*I298/1000))*10</f>
        <v>515.67758231192795</v>
      </c>
      <c r="M298" s="20">
        <f>(Geraetedaten!$B$171+(Geraetedaten!$B$172*(Geraetedaten!$B$18+d_y_Sw)/1000)-(Geraetedaten!$B$173*I298/1000))*10</f>
        <v>977.70832992363296</v>
      </c>
      <c r="N298" s="20">
        <f>IF((H298-J298)/(K298-J298)*(Geraetedaten!$B$174-Geraetedaten!$B$161)&lt;Geraetedaten!$B$174,(H298-J298)/(K298-J298)*(Geraetedaten!$B$174-Geraetedaten!$B$161),Geraetedaten!$B$174)</f>
        <v>-270.01345481775678</v>
      </c>
      <c r="O298" s="20">
        <f>N298/Geraetedaten!$B$174*(M298-L298)+L298+C298</f>
        <v>272.44722587150488</v>
      </c>
      <c r="P298" s="20">
        <f t="shared" si="280"/>
        <v>138.88808983436391</v>
      </c>
      <c r="Q298" s="21">
        <f>(N298-Geraetedaten!$B$161)/(Geraetedaten!$B$174-Geraetedaten!$B$161)*(Geraetedaten!$B$175-Geraetedaten!$B$162)+Geraetedaten!$B$162</f>
        <v>21.167099719171734</v>
      </c>
      <c r="R298" s="21">
        <f t="shared" si="281"/>
        <v>21.167099719171734</v>
      </c>
      <c r="S298" s="21">
        <f t="shared" si="282"/>
        <v>-20.624588324684893</v>
      </c>
      <c r="T298" s="88">
        <f t="shared" si="283"/>
        <v>-4.7615613992294161</v>
      </c>
      <c r="U298" s="86">
        <f t="shared" si="284"/>
        <v>2903.0839900000001</v>
      </c>
      <c r="V298" s="85">
        <f t="shared" si="285"/>
        <v>-1141.3067828769733</v>
      </c>
      <c r="W298" s="85">
        <f t="shared" si="286"/>
        <v>1170.8580074740469</v>
      </c>
      <c r="X298" s="90">
        <f t="shared" si="287"/>
        <v>1141.3067828769733</v>
      </c>
      <c r="Y298" s="86">
        <f t="shared" si="288"/>
        <v>37283.768239999998</v>
      </c>
      <c r="Z298" s="85">
        <f t="shared" si="289"/>
        <v>-750</v>
      </c>
      <c r="AA298" s="85">
        <f t="shared" si="290"/>
        <v>3334.0586119393479</v>
      </c>
      <c r="AB298" s="90">
        <f t="shared" si="291"/>
        <v>750</v>
      </c>
      <c r="AC298" s="86">
        <f t="shared" si="292"/>
        <v>-2783.4154400000002</v>
      </c>
      <c r="AD298" s="85">
        <f t="shared" si="293"/>
        <v>1055.7627565116984</v>
      </c>
      <c r="AE298" s="85">
        <f t="shared" si="294"/>
        <v>-1083.7888655903969</v>
      </c>
      <c r="AF298" s="90">
        <f t="shared" si="295"/>
        <v>1055.7627565116984</v>
      </c>
      <c r="AG298" s="86">
        <f t="shared" si="296"/>
        <v>-39581.167029999997</v>
      </c>
      <c r="AH298" s="85">
        <f t="shared" si="297"/>
        <v>6128</v>
      </c>
      <c r="AI298" s="85">
        <f t="shared" si="298"/>
        <v>-27241.481565285765</v>
      </c>
      <c r="AJ298" s="90">
        <f t="shared" si="299"/>
        <v>6128</v>
      </c>
      <c r="AL298" s="95">
        <f t="shared" si="300"/>
        <v>0</v>
      </c>
      <c r="AM298" s="95">
        <f t="shared" si="301"/>
        <v>0</v>
      </c>
      <c r="AN298" s="95">
        <f t="shared" si="302"/>
        <v>0</v>
      </c>
      <c r="AO298" s="95">
        <f t="shared" si="303"/>
        <v>0</v>
      </c>
      <c r="AP298"/>
      <c r="AQ298" s="95">
        <f t="shared" si="304"/>
        <v>0</v>
      </c>
      <c r="AR298" s="95">
        <f t="shared" si="305"/>
        <v>0</v>
      </c>
      <c r="AS298" s="95">
        <f>Geraetedaten!$B$94*ABS(SIN(RADIANS($A298)))</f>
        <v>150.0529899769262</v>
      </c>
      <c r="AT298" s="95">
        <f>Geraetedaten!$B$94*ABS(COS(RADIANS($A298)))</f>
        <v>34.64246236895525</v>
      </c>
      <c r="AU298" s="95">
        <f>((h_Aw_Sw+Geraetedaten!$B$18)/1000)*(AQ298*AS298+AR298*AT298)/100</f>
        <v>0</v>
      </c>
    </row>
    <row r="299" spans="1:47" ht="13.5" x14ac:dyDescent="0.25">
      <c r="A299" s="16">
        <v>258</v>
      </c>
      <c r="B299" s="16">
        <f t="shared" si="272"/>
        <v>192</v>
      </c>
      <c r="C299" s="19">
        <f t="shared" si="273"/>
        <v>68.385719685240872</v>
      </c>
      <c r="D299" s="17">
        <f t="shared" si="274"/>
        <v>2823.5791203147592</v>
      </c>
      <c r="E299" s="17">
        <f t="shared" si="275"/>
        <v>40270.966740314761</v>
      </c>
      <c r="F299" s="17">
        <f t="shared" si="276"/>
        <v>-2841.0001196852409</v>
      </c>
      <c r="G299" s="17">
        <f t="shared" si="277"/>
        <v>-42893.41984968524</v>
      </c>
      <c r="H299" s="17">
        <f t="shared" si="278"/>
        <v>2823.5791203147592</v>
      </c>
      <c r="I299" s="17">
        <f t="shared" si="279"/>
        <v>1166.3734862443416</v>
      </c>
      <c r="J299" s="20">
        <f>(Geraetedaten!$B$152+(Geraetedaten!$B$153*(Geraetedaten!$B$18+d_y_Sw)/1000))*10</f>
        <v>6051.0442000000003</v>
      </c>
      <c r="K299" s="20">
        <f>(Geraetedaten!$B$165+(Geraetedaten!$B$166*(Geraetedaten!$B$18+d_y_Sw)/1000))*10</f>
        <v>10816.164000000001</v>
      </c>
      <c r="L299" s="20">
        <f>(Geraetedaten!$B$158+(Geraetedaten!$B$159*(Geraetedaten!$B$18+d_y_Sw)/1000)-(Geraetedaten!$B$160*I299/1000))*10</f>
        <v>516.0064322537022</v>
      </c>
      <c r="M299" s="20">
        <f>(Geraetedaten!$B$171+(Geraetedaten!$B$172*(Geraetedaten!$B$18+d_y_Sw)/1000)-(Geraetedaten!$B$173*I299/1000))*10</f>
        <v>978.04215768397216</v>
      </c>
      <c r="N299" s="20">
        <f>IF((H299-J299)/(K299-J299)*(Geraetedaten!$B$174-Geraetedaten!$B$161)&lt;Geraetedaten!$B$174,(H299-J299)/(K299-J299)*(Geraetedaten!$B$174-Geraetedaten!$B$161),Geraetedaten!$B$174)</f>
        <v>-270.9241500862363</v>
      </c>
      <c r="O299" s="20">
        <f>N299/Geraetedaten!$B$174*(M299-L299)+L299+C299</f>
        <v>271.45056138475923</v>
      </c>
      <c r="P299" s="20">
        <f t="shared" si="280"/>
        <v>138.53664627234238</v>
      </c>
      <c r="Q299" s="21">
        <f>(N299-Geraetedaten!$B$161)/(Geraetedaten!$B$174-Geraetedaten!$B$161)*(Geraetedaten!$B$175-Geraetedaten!$B$162)+Geraetedaten!$B$162</f>
        <v>21.140006534934468</v>
      </c>
      <c r="R299" s="21">
        <f t="shared" si="281"/>
        <v>21.140006534934468</v>
      </c>
      <c r="S299" s="21">
        <f t="shared" si="282"/>
        <v>-20.67804667164312</v>
      </c>
      <c r="T299" s="88">
        <f t="shared" si="283"/>
        <v>-4.3952545025767167</v>
      </c>
      <c r="U299" s="86">
        <f t="shared" si="284"/>
        <v>2891.9648400000001</v>
      </c>
      <c r="V299" s="85">
        <f t="shared" si="285"/>
        <v>-1141.3067828769733</v>
      </c>
      <c r="W299" s="85">
        <f t="shared" si="286"/>
        <v>1166.3734862443416</v>
      </c>
      <c r="X299" s="90">
        <f t="shared" si="287"/>
        <v>1141.3067828769733</v>
      </c>
      <c r="Y299" s="86">
        <f t="shared" si="288"/>
        <v>40339.352460000002</v>
      </c>
      <c r="Z299" s="85">
        <f t="shared" si="289"/>
        <v>-750</v>
      </c>
      <c r="AA299" s="85">
        <f t="shared" si="290"/>
        <v>3607.3007585580986</v>
      </c>
      <c r="AB299" s="90">
        <f t="shared" si="291"/>
        <v>750</v>
      </c>
      <c r="AC299" s="86">
        <f t="shared" si="292"/>
        <v>-2772.6143999999999</v>
      </c>
      <c r="AD299" s="85">
        <f t="shared" si="293"/>
        <v>1055.7627565116984</v>
      </c>
      <c r="AE299" s="85">
        <f t="shared" si="294"/>
        <v>-1079.5832263341943</v>
      </c>
      <c r="AF299" s="90">
        <f t="shared" si="295"/>
        <v>1055.7627565116984</v>
      </c>
      <c r="AG299" s="86">
        <f t="shared" si="296"/>
        <v>-42825.03413</v>
      </c>
      <c r="AH299" s="85">
        <f t="shared" si="297"/>
        <v>6128</v>
      </c>
      <c r="AI299" s="85">
        <f t="shared" si="298"/>
        <v>-29474.052064592037</v>
      </c>
      <c r="AJ299" s="90">
        <f t="shared" si="299"/>
        <v>6128</v>
      </c>
      <c r="AL299" s="95">
        <f t="shared" si="300"/>
        <v>0</v>
      </c>
      <c r="AM299" s="95">
        <f t="shared" si="301"/>
        <v>0</v>
      </c>
      <c r="AN299" s="95">
        <f t="shared" si="302"/>
        <v>0</v>
      </c>
      <c r="AO299" s="95">
        <f t="shared" si="303"/>
        <v>0</v>
      </c>
      <c r="AP299"/>
      <c r="AQ299" s="95">
        <f t="shared" si="304"/>
        <v>0</v>
      </c>
      <c r="AR299" s="95">
        <f t="shared" si="305"/>
        <v>0</v>
      </c>
      <c r="AS299" s="95">
        <f>Geraetedaten!$B$94*ABS(SIN(RADIANS($A299)))</f>
        <v>150.63473051300605</v>
      </c>
      <c r="AT299" s="95">
        <f>Geraetedaten!$B$94*ABS(COS(RADIANS($A299)))</f>
        <v>32.01840038593501</v>
      </c>
      <c r="AU299" s="95">
        <f>((h_Aw_Sw+Geraetedaten!$B$18)/1000)*(AQ299*AS299+AR299*AT299)/100</f>
        <v>0</v>
      </c>
    </row>
    <row r="300" spans="1:47" ht="13.5" x14ac:dyDescent="0.25">
      <c r="A300" s="16">
        <v>259</v>
      </c>
      <c r="B300" s="16">
        <f t="shared" si="272"/>
        <v>191</v>
      </c>
      <c r="C300" s="19">
        <f t="shared" si="273"/>
        <v>68.094668871552614</v>
      </c>
      <c r="D300" s="17">
        <f t="shared" si="274"/>
        <v>2813.7103511284472</v>
      </c>
      <c r="E300" s="17">
        <f t="shared" si="275"/>
        <v>43886.976531128443</v>
      </c>
      <c r="F300" s="17">
        <f t="shared" si="276"/>
        <v>-2830.8298388715525</v>
      </c>
      <c r="G300" s="17">
        <f t="shared" si="277"/>
        <v>-46731.645498871556</v>
      </c>
      <c r="H300" s="17">
        <f t="shared" si="278"/>
        <v>2813.7103511284472</v>
      </c>
      <c r="I300" s="17">
        <f t="shared" si="279"/>
        <v>1162.2758760589902</v>
      </c>
      <c r="J300" s="20">
        <f>(Geraetedaten!$B$152+(Geraetedaten!$B$153*(Geraetedaten!$B$18+d_y_Sw)/1000))*10</f>
        <v>6051.0442000000003</v>
      </c>
      <c r="K300" s="20">
        <f>(Geraetedaten!$B$165+(Geraetedaten!$B$166*(Geraetedaten!$B$18+d_y_Sw)/1000))*10</f>
        <v>10816.164000000001</v>
      </c>
      <c r="L300" s="20">
        <f>(Geraetedaten!$B$158+(Geraetedaten!$B$159*(Geraetedaten!$B$18+d_y_Sw)/1000)-(Geraetedaten!$B$160*I300/1000))*10</f>
        <v>516.30691000859406</v>
      </c>
      <c r="M300" s="20">
        <f>(Geraetedaten!$B$171+(Geraetedaten!$B$172*(Geraetedaten!$B$18+d_y_Sw)/1000)-(Geraetedaten!$B$173*I300/1000))*10</f>
        <v>978.34718378616969</v>
      </c>
      <c r="N300" s="20">
        <f>IF((H300-J300)/(K300-J300)*(Geraetedaten!$B$174-Geraetedaten!$B$161)&lt;Geraetedaten!$B$174,(H300-J300)/(K300-J300)*(Geraetedaten!$B$174-Geraetedaten!$B$161),Geraetedaten!$B$174)</f>
        <v>-271.75256738531971</v>
      </c>
      <c r="O300" s="20">
        <f>N300/Geraetedaten!$B$174*(M300-L300)+L300+C300</f>
        <v>270.50000229396619</v>
      </c>
      <c r="P300" s="20">
        <f t="shared" si="280"/>
        <v>138.19368822285378</v>
      </c>
      <c r="Q300" s="21">
        <f>(N300-Geraetedaten!$B$161)/(Geraetedaten!$B$174-Geraetedaten!$B$161)*(Geraetedaten!$B$175-Geraetedaten!$B$162)+Geraetedaten!$B$162</f>
        <v>21.115361120286735</v>
      </c>
      <c r="R300" s="21">
        <f t="shared" si="281"/>
        <v>21.115361120286735</v>
      </c>
      <c r="S300" s="21">
        <f t="shared" si="282"/>
        <v>-20.727412463987378</v>
      </c>
      <c r="T300" s="88">
        <f t="shared" si="283"/>
        <v>-4.0290008423748613</v>
      </c>
      <c r="U300" s="86">
        <f t="shared" si="284"/>
        <v>2881.8050199999998</v>
      </c>
      <c r="V300" s="85">
        <f t="shared" si="285"/>
        <v>-1141.3067828769733</v>
      </c>
      <c r="W300" s="85">
        <f t="shared" si="286"/>
        <v>1162.2758760589902</v>
      </c>
      <c r="X300" s="90">
        <f t="shared" si="287"/>
        <v>1141.3067828769733</v>
      </c>
      <c r="Y300" s="86">
        <f t="shared" si="288"/>
        <v>43955.071199999998</v>
      </c>
      <c r="Z300" s="85">
        <f t="shared" si="289"/>
        <v>-750</v>
      </c>
      <c r="AA300" s="85">
        <f t="shared" si="290"/>
        <v>3930.6322981258832</v>
      </c>
      <c r="AB300" s="90">
        <f t="shared" si="291"/>
        <v>750</v>
      </c>
      <c r="AC300" s="86">
        <f t="shared" si="292"/>
        <v>-2762.7351699999999</v>
      </c>
      <c r="AD300" s="85">
        <f t="shared" si="293"/>
        <v>1055.7627565116984</v>
      </c>
      <c r="AE300" s="85">
        <f t="shared" si="294"/>
        <v>-1075.7365139659835</v>
      </c>
      <c r="AF300" s="90">
        <f t="shared" si="295"/>
        <v>1055.7627565116984</v>
      </c>
      <c r="AG300" s="86">
        <f t="shared" si="296"/>
        <v>-46663.55083</v>
      </c>
      <c r="AH300" s="85">
        <f t="shared" si="297"/>
        <v>6128</v>
      </c>
      <c r="AI300" s="85">
        <f t="shared" si="298"/>
        <v>-32115.88629722055</v>
      </c>
      <c r="AJ300" s="90">
        <f t="shared" si="299"/>
        <v>6128</v>
      </c>
      <c r="AL300" s="95">
        <f t="shared" si="300"/>
        <v>0</v>
      </c>
      <c r="AM300" s="95">
        <f t="shared" si="301"/>
        <v>0</v>
      </c>
      <c r="AN300" s="95">
        <f t="shared" si="302"/>
        <v>0</v>
      </c>
      <c r="AO300" s="95">
        <f t="shared" si="303"/>
        <v>0</v>
      </c>
      <c r="AP300"/>
      <c r="AQ300" s="95">
        <f t="shared" si="304"/>
        <v>0</v>
      </c>
      <c r="AR300" s="95">
        <f t="shared" si="305"/>
        <v>0</v>
      </c>
      <c r="AS300" s="95">
        <f>Geraetedaten!$B$94*ABS(SIN(RADIANS($A300)))</f>
        <v>151.17058625094026</v>
      </c>
      <c r="AT300" s="95">
        <f>Geraetedaten!$B$94*ABS(COS(RADIANS($A300)))</f>
        <v>29.384585287987871</v>
      </c>
      <c r="AU300" s="95">
        <f>((h_Aw_Sw+Geraetedaten!$B$18)/1000)*(AQ300*AS300+AR300*AT300)/100</f>
        <v>0</v>
      </c>
    </row>
    <row r="301" spans="1:47" ht="13.5" x14ac:dyDescent="0.25">
      <c r="A301" s="16">
        <v>260</v>
      </c>
      <c r="B301" s="16">
        <f t="shared" si="272"/>
        <v>190</v>
      </c>
      <c r="C301" s="19">
        <f t="shared" si="273"/>
        <v>67.782875762078234</v>
      </c>
      <c r="D301" s="17">
        <f t="shared" si="274"/>
        <v>2804.8054142379219</v>
      </c>
      <c r="E301" s="17">
        <f t="shared" si="275"/>
        <v>48231.15748423792</v>
      </c>
      <c r="F301" s="17">
        <f t="shared" si="276"/>
        <v>-2821.5448157620781</v>
      </c>
      <c r="G301" s="17">
        <f t="shared" si="277"/>
        <v>-51342.868945762079</v>
      </c>
      <c r="H301" s="17">
        <f t="shared" si="278"/>
        <v>2804.8054142379219</v>
      </c>
      <c r="I301" s="17">
        <f t="shared" si="279"/>
        <v>1158.5586285889378</v>
      </c>
      <c r="J301" s="20">
        <f>(Geraetedaten!$B$152+(Geraetedaten!$B$153*(Geraetedaten!$B$18+d_y_Sw)/1000))*10</f>
        <v>6051.0442000000003</v>
      </c>
      <c r="K301" s="20">
        <f>(Geraetedaten!$B$165+(Geraetedaten!$B$166*(Geraetedaten!$B$18+d_y_Sw)/1000))*10</f>
        <v>10816.164000000001</v>
      </c>
      <c r="L301" s="20">
        <f>(Geraetedaten!$B$158+(Geraetedaten!$B$159*(Geraetedaten!$B$18+d_y_Sw)/1000)-(Geraetedaten!$B$160*I301/1000))*10</f>
        <v>516.57949576557291</v>
      </c>
      <c r="M301" s="20">
        <f>(Geraetedaten!$B$171+(Geraetedaten!$B$172*(Geraetedaten!$B$18+d_y_Sw)/1000)-(Geraetedaten!$B$173*I301/1000))*10</f>
        <v>978.62389568784033</v>
      </c>
      <c r="N301" s="20">
        <f>IF((H301-J301)/(K301-J301)*(Geraetedaten!$B$174-Geraetedaten!$B$161)&lt;Geraetedaten!$B$174,(H301-J301)/(K301-J301)*(Geraetedaten!$B$174-Geraetedaten!$B$161),Geraetedaten!$B$174)</f>
        <v>-272.50007739675948</v>
      </c>
      <c r="O301" s="20">
        <f>N301/Geraetedaten!$B$174*(M301-L301)+L301+C301</f>
        <v>269.59453467875824</v>
      </c>
      <c r="P301" s="20">
        <f t="shared" si="280"/>
        <v>137.85906653319606</v>
      </c>
      <c r="Q301" s="21">
        <f>(N301-Geraetedaten!$B$161)/(Geraetedaten!$B$174-Geraetedaten!$B$161)*(Geraetedaten!$B$175-Geraetedaten!$B$162)+Geraetedaten!$B$162</f>
        <v>21.093122697446404</v>
      </c>
      <c r="R301" s="21">
        <f t="shared" si="281"/>
        <v>21.093122697446404</v>
      </c>
      <c r="S301" s="21">
        <f t="shared" si="282"/>
        <v>-20.772670767682996</v>
      </c>
      <c r="T301" s="88">
        <f t="shared" si="283"/>
        <v>-3.662782317716534</v>
      </c>
      <c r="U301" s="86">
        <f t="shared" si="284"/>
        <v>2872.5882900000001</v>
      </c>
      <c r="V301" s="85">
        <f t="shared" si="285"/>
        <v>-1141.3067828769733</v>
      </c>
      <c r="W301" s="85">
        <f t="shared" si="286"/>
        <v>1158.5586285889378</v>
      </c>
      <c r="X301" s="90">
        <f t="shared" si="287"/>
        <v>1141.3067828769733</v>
      </c>
      <c r="Y301" s="86">
        <f t="shared" si="288"/>
        <v>48298.940360000001</v>
      </c>
      <c r="Z301" s="85">
        <f t="shared" si="289"/>
        <v>-750</v>
      </c>
      <c r="AA301" s="85">
        <f t="shared" si="290"/>
        <v>4319.0778623577271</v>
      </c>
      <c r="AB301" s="90">
        <f t="shared" si="291"/>
        <v>750</v>
      </c>
      <c r="AC301" s="86">
        <f t="shared" si="292"/>
        <v>-2753.7619399999999</v>
      </c>
      <c r="AD301" s="85">
        <f t="shared" si="293"/>
        <v>1055.7627565116984</v>
      </c>
      <c r="AE301" s="85">
        <f t="shared" si="294"/>
        <v>-1072.2425728905303</v>
      </c>
      <c r="AF301" s="90">
        <f t="shared" si="295"/>
        <v>1055.7627565116984</v>
      </c>
      <c r="AG301" s="86">
        <f t="shared" si="296"/>
        <v>-51275.086069999998</v>
      </c>
      <c r="AH301" s="85">
        <f t="shared" si="297"/>
        <v>6128</v>
      </c>
      <c r="AI301" s="85">
        <f t="shared" si="298"/>
        <v>-35289.7455207042</v>
      </c>
      <c r="AJ301" s="90">
        <f t="shared" si="299"/>
        <v>6128</v>
      </c>
      <c r="AL301" s="95">
        <f t="shared" si="300"/>
        <v>0</v>
      </c>
      <c r="AM301" s="95">
        <f t="shared" si="301"/>
        <v>0</v>
      </c>
      <c r="AN301" s="95">
        <f t="shared" si="302"/>
        <v>0</v>
      </c>
      <c r="AO301" s="95">
        <f t="shared" si="303"/>
        <v>0</v>
      </c>
      <c r="AP301"/>
      <c r="AQ301" s="95">
        <f t="shared" si="304"/>
        <v>0</v>
      </c>
      <c r="AR301" s="95">
        <f t="shared" si="305"/>
        <v>0</v>
      </c>
      <c r="AS301" s="95">
        <f>Geraetedaten!$B$94*ABS(SIN(RADIANS($A301)))</f>
        <v>151.66039396388004</v>
      </c>
      <c r="AT301" s="95">
        <f>Geraetedaten!$B$94*ABS(COS(RADIANS($A301)))</f>
        <v>26.741819360707272</v>
      </c>
      <c r="AU301" s="95">
        <f>((h_Aw_Sw+Geraetedaten!$B$18)/1000)*(AQ301*AS301+AR301*AT301)/100</f>
        <v>0</v>
      </c>
    </row>
    <row r="302" spans="1:47" ht="13.5" x14ac:dyDescent="0.25">
      <c r="A302" s="16">
        <v>261</v>
      </c>
      <c r="B302" s="16">
        <f t="shared" si="272"/>
        <v>189</v>
      </c>
      <c r="C302" s="19">
        <f t="shared" si="273"/>
        <v>67.450435332019254</v>
      </c>
      <c r="D302" s="17">
        <f t="shared" si="274"/>
        <v>2796.8496046679807</v>
      </c>
      <c r="E302" s="17">
        <f t="shared" si="275"/>
        <v>53546.201614667974</v>
      </c>
      <c r="F302" s="17">
        <f t="shared" si="276"/>
        <v>-2813.1308953320195</v>
      </c>
      <c r="G302" s="17">
        <f t="shared" si="277"/>
        <v>-56984.736865332023</v>
      </c>
      <c r="H302" s="17">
        <f t="shared" si="278"/>
        <v>2796.8496046679807</v>
      </c>
      <c r="I302" s="17">
        <f t="shared" si="279"/>
        <v>1155.2158507755175</v>
      </c>
      <c r="J302" s="20">
        <f>(Geraetedaten!$B$152+(Geraetedaten!$B$153*(Geraetedaten!$B$18+d_y_Sw)/1000))*10</f>
        <v>6051.0442000000003</v>
      </c>
      <c r="K302" s="20">
        <f>(Geraetedaten!$B$165+(Geraetedaten!$B$166*(Geraetedaten!$B$18+d_y_Sw)/1000))*10</f>
        <v>10816.164000000001</v>
      </c>
      <c r="L302" s="20">
        <f>(Geraetedaten!$B$158+(Geraetedaten!$B$159*(Geraetedaten!$B$18+d_y_Sw)/1000)-(Geraetedaten!$B$160*I302/1000))*10</f>
        <v>516.8246216626311</v>
      </c>
      <c r="M302" s="20">
        <f>(Geraetedaten!$B$171+(Geraetedaten!$B$172*(Geraetedaten!$B$18+d_y_Sw)/1000)-(Geraetedaten!$B$173*I302/1000))*10</f>
        <v>978.87273206827149</v>
      </c>
      <c r="N302" s="20">
        <f>IF((H302-J302)/(K302-J302)*(Geraetedaten!$B$174-Geraetedaten!$B$161)&lt;Geraetedaten!$B$174,(H302-J302)/(K302-J302)*(Geraetedaten!$B$174-Geraetedaten!$B$161),Geraetedaten!$B$174)</f>
        <v>-273.16791450506821</v>
      </c>
      <c r="O302" s="20">
        <f>N302/Geraetedaten!$B$174*(M302-L302)+L302+C302</f>
        <v>268.73326019335963</v>
      </c>
      <c r="P302" s="20">
        <f t="shared" si="280"/>
        <v>137.532659722012</v>
      </c>
      <c r="Q302" s="21">
        <f>(N302-Geraetedaten!$B$161)/(Geraetedaten!$B$174-Geraetedaten!$B$161)*(Geraetedaten!$B$175-Geraetedaten!$B$162)+Geraetedaten!$B$162</f>
        <v>21.073254543474217</v>
      </c>
      <c r="R302" s="21">
        <f t="shared" si="281"/>
        <v>21.073254543474217</v>
      </c>
      <c r="S302" s="21">
        <f t="shared" si="282"/>
        <v>-20.813807810982993</v>
      </c>
      <c r="T302" s="88">
        <f t="shared" si="283"/>
        <v>-3.2965833011650072</v>
      </c>
      <c r="U302" s="86">
        <f t="shared" si="284"/>
        <v>2864.3000400000001</v>
      </c>
      <c r="V302" s="85">
        <f t="shared" si="285"/>
        <v>-1141.3067828769733</v>
      </c>
      <c r="W302" s="85">
        <f t="shared" si="286"/>
        <v>1155.2158507755175</v>
      </c>
      <c r="X302" s="90">
        <f t="shared" si="287"/>
        <v>1141.3067828769733</v>
      </c>
      <c r="Y302" s="86">
        <f t="shared" si="288"/>
        <v>53613.652049999997</v>
      </c>
      <c r="Z302" s="85">
        <f t="shared" si="289"/>
        <v>-750</v>
      </c>
      <c r="AA302" s="85">
        <f t="shared" si="290"/>
        <v>4794.3399161247426</v>
      </c>
      <c r="AB302" s="90">
        <f t="shared" si="291"/>
        <v>750</v>
      </c>
      <c r="AC302" s="86">
        <f t="shared" si="292"/>
        <v>-2745.68046</v>
      </c>
      <c r="AD302" s="85">
        <f t="shared" si="293"/>
        <v>1055.7627565116984</v>
      </c>
      <c r="AE302" s="85">
        <f t="shared" si="294"/>
        <v>-1069.0958573070229</v>
      </c>
      <c r="AF302" s="90">
        <f t="shared" si="295"/>
        <v>1055.7627565116984</v>
      </c>
      <c r="AG302" s="86">
        <f t="shared" si="296"/>
        <v>-56917.28643</v>
      </c>
      <c r="AH302" s="85">
        <f t="shared" si="297"/>
        <v>6128</v>
      </c>
      <c r="AI302" s="85">
        <f t="shared" si="298"/>
        <v>-39172.953341349901</v>
      </c>
      <c r="AJ302" s="90">
        <f t="shared" si="299"/>
        <v>6128</v>
      </c>
      <c r="AL302" s="95">
        <f t="shared" si="300"/>
        <v>0</v>
      </c>
      <c r="AM302" s="95">
        <f t="shared" si="301"/>
        <v>0</v>
      </c>
      <c r="AN302" s="95">
        <f t="shared" si="302"/>
        <v>0</v>
      </c>
      <c r="AO302" s="95">
        <f t="shared" si="303"/>
        <v>0</v>
      </c>
      <c r="AP302"/>
      <c r="AQ302" s="95">
        <f t="shared" si="304"/>
        <v>0</v>
      </c>
      <c r="AR302" s="95">
        <f t="shared" si="305"/>
        <v>0</v>
      </c>
      <c r="AS302" s="95">
        <f>Geraetedaten!$B$94*ABS(SIN(RADIANS($A302)))</f>
        <v>152.10400445165121</v>
      </c>
      <c r="AT302" s="95">
        <f>Geraetedaten!$B$94*ABS(COS(RADIANS($A302)))</f>
        <v>24.09090761619558</v>
      </c>
      <c r="AU302" s="95">
        <f>((h_Aw_Sw+Geraetedaten!$B$18)/1000)*(AQ302*AS302+AR302*AT302)/100</f>
        <v>0</v>
      </c>
    </row>
    <row r="303" spans="1:47" ht="13.5" x14ac:dyDescent="0.25">
      <c r="A303" s="16">
        <v>262</v>
      </c>
      <c r="B303" s="16">
        <f t="shared" si="272"/>
        <v>188</v>
      </c>
      <c r="C303" s="19">
        <f t="shared" si="273"/>
        <v>67.097448845951121</v>
      </c>
      <c r="D303" s="17">
        <f t="shared" si="274"/>
        <v>2789.8297811540488</v>
      </c>
      <c r="E303" s="17">
        <f t="shared" si="275"/>
        <v>60196.149681154049</v>
      </c>
      <c r="F303" s="17">
        <f t="shared" si="276"/>
        <v>-2805.5754488459511</v>
      </c>
      <c r="G303" s="17">
        <f t="shared" si="277"/>
        <v>-64043.722198845957</v>
      </c>
      <c r="H303" s="17">
        <f t="shared" si="278"/>
        <v>2789.8297811540488</v>
      </c>
      <c r="I303" s="17">
        <f t="shared" si="279"/>
        <v>1152.2422816168794</v>
      </c>
      <c r="J303" s="20">
        <f>(Geraetedaten!$B$152+(Geraetedaten!$B$153*(Geraetedaten!$B$18+d_y_Sw)/1000))*10</f>
        <v>6051.0442000000003</v>
      </c>
      <c r="K303" s="20">
        <f>(Geraetedaten!$B$165+(Geraetedaten!$B$166*(Geraetedaten!$B$18+d_y_Sw)/1000))*10</f>
        <v>10816.164000000001</v>
      </c>
      <c r="L303" s="20">
        <f>(Geraetedaten!$B$158+(Geraetedaten!$B$159*(Geraetedaten!$B$18+d_y_Sw)/1000)-(Geraetedaten!$B$160*I303/1000))*10</f>
        <v>517.04267348903397</v>
      </c>
      <c r="M303" s="20">
        <f>(Geraetedaten!$B$171+(Geraetedaten!$B$172*(Geraetedaten!$B$18+d_y_Sw)/1000)-(Geraetedaten!$B$173*I303/1000))*10</f>
        <v>979.09408455644041</v>
      </c>
      <c r="N303" s="20">
        <f>IF((H303-J303)/(K303-J303)*(Geraetedaten!$B$174-Geraetedaten!$B$161)&lt;Geraetedaten!$B$174,(H303-J303)/(K303-J303)*(Geraetedaten!$B$174-Geraetedaten!$B$161),Geraetedaten!$B$174)</f>
        <v>-273.7571818316888</v>
      </c>
      <c r="O303" s="20">
        <f>N303/Geraetedaten!$B$174*(M303-L303)+L303+C303</f>
        <v>267.91539194706417</v>
      </c>
      <c r="P303" s="20">
        <f t="shared" si="280"/>
        <v>137.21437340768711</v>
      </c>
      <c r="Q303" s="21">
        <f>(N303-Geraetedaten!$B$161)/(Geraetedaten!$B$174-Geraetedaten!$B$161)*(Geraetedaten!$B$175-Geraetedaten!$B$162)+Geraetedaten!$B$162</f>
        <v>21.055723840507255</v>
      </c>
      <c r="R303" s="21">
        <f t="shared" si="281"/>
        <v>21.055723840507255</v>
      </c>
      <c r="S303" s="21">
        <f t="shared" si="282"/>
        <v>-20.850810983494959</v>
      </c>
      <c r="T303" s="88">
        <f t="shared" si="283"/>
        <v>-2.9303903798421813</v>
      </c>
      <c r="U303" s="86">
        <f t="shared" si="284"/>
        <v>2856.9272299999998</v>
      </c>
      <c r="V303" s="85">
        <f t="shared" si="285"/>
        <v>-1141.3067828769733</v>
      </c>
      <c r="W303" s="85">
        <f t="shared" si="286"/>
        <v>1152.2422816168794</v>
      </c>
      <c r="X303" s="90">
        <f t="shared" si="287"/>
        <v>1141.3067828769733</v>
      </c>
      <c r="Y303" s="86">
        <f t="shared" si="288"/>
        <v>60263.247130000003</v>
      </c>
      <c r="Z303" s="85">
        <f t="shared" si="289"/>
        <v>-750</v>
      </c>
      <c r="AA303" s="85">
        <f t="shared" si="290"/>
        <v>5388.9724007457935</v>
      </c>
      <c r="AB303" s="90">
        <f t="shared" si="291"/>
        <v>750</v>
      </c>
      <c r="AC303" s="86">
        <f t="shared" si="292"/>
        <v>-2738.4780000000001</v>
      </c>
      <c r="AD303" s="85">
        <f t="shared" si="293"/>
        <v>1055.7627565116984</v>
      </c>
      <c r="AE303" s="85">
        <f t="shared" si="294"/>
        <v>-1066.291409325351</v>
      </c>
      <c r="AF303" s="90">
        <f t="shared" si="295"/>
        <v>1055.7627565116984</v>
      </c>
      <c r="AG303" s="86">
        <f t="shared" si="296"/>
        <v>-63976.624750000003</v>
      </c>
      <c r="AH303" s="85">
        <f t="shared" si="297"/>
        <v>6128</v>
      </c>
      <c r="AI303" s="85">
        <f t="shared" si="298"/>
        <v>-44031.497162360298</v>
      </c>
      <c r="AJ303" s="90">
        <f t="shared" si="299"/>
        <v>6128</v>
      </c>
      <c r="AL303" s="95">
        <f t="shared" si="300"/>
        <v>0</v>
      </c>
      <c r="AM303" s="95">
        <f t="shared" si="301"/>
        <v>0</v>
      </c>
      <c r="AN303" s="95">
        <f t="shared" si="302"/>
        <v>0</v>
      </c>
      <c r="AO303" s="95">
        <f t="shared" si="303"/>
        <v>0</v>
      </c>
      <c r="AP303"/>
      <c r="AQ303" s="95">
        <f t="shared" si="304"/>
        <v>0</v>
      </c>
      <c r="AR303" s="95">
        <f t="shared" si="305"/>
        <v>0</v>
      </c>
      <c r="AS303" s="95">
        <f>Geraetedaten!$B$94*ABS(SIN(RADIANS($A303)))</f>
        <v>152.50128258620182</v>
      </c>
      <c r="AT303" s="95">
        <f>Geraetedaten!$B$94*ABS(COS(RADIANS($A303)))</f>
        <v>21.432657547850138</v>
      </c>
      <c r="AU303" s="95">
        <f>((h_Aw_Sw+Geraetedaten!$B$18)/1000)*(AQ303*AS303+AR303*AT303)/100</f>
        <v>0</v>
      </c>
    </row>
    <row r="304" spans="1:47" ht="13.5" x14ac:dyDescent="0.25">
      <c r="A304" s="16">
        <v>263</v>
      </c>
      <c r="B304" s="16">
        <f t="shared" si="272"/>
        <v>187</v>
      </c>
      <c r="C304" s="19">
        <f t="shared" si="273"/>
        <v>66.724023826976889</v>
      </c>
      <c r="D304" s="17">
        <f t="shared" si="274"/>
        <v>2783.7342961730233</v>
      </c>
      <c r="E304" s="17">
        <f t="shared" si="275"/>
        <v>68753.068896173034</v>
      </c>
      <c r="F304" s="17">
        <f t="shared" si="276"/>
        <v>-2798.8673138269769</v>
      </c>
      <c r="G304" s="17">
        <f t="shared" si="277"/>
        <v>-73127.142713826979</v>
      </c>
      <c r="H304" s="17">
        <f t="shared" si="278"/>
        <v>2783.7342961730233</v>
      </c>
      <c r="I304" s="17">
        <f t="shared" si="279"/>
        <v>1149.6332716586803</v>
      </c>
      <c r="J304" s="20">
        <f>(Geraetedaten!$B$152+(Geraetedaten!$B$153*(Geraetedaten!$B$18+d_y_Sw)/1000))*10</f>
        <v>6051.0442000000003</v>
      </c>
      <c r="K304" s="20">
        <f>(Geraetedaten!$B$165+(Geraetedaten!$B$166*(Geraetedaten!$B$18+d_y_Sw)/1000))*10</f>
        <v>10816.164000000001</v>
      </c>
      <c r="L304" s="20">
        <f>(Geraetedaten!$B$158+(Geraetedaten!$B$159*(Geraetedaten!$B$18+d_y_Sw)/1000)-(Geraetedaten!$B$160*I304/1000))*10</f>
        <v>517.23399218926875</v>
      </c>
      <c r="M304" s="20">
        <f>(Geraetedaten!$B$171+(Geraetedaten!$B$172*(Geraetedaten!$B$18+d_y_Sw)/1000)-(Geraetedaten!$B$173*I304/1000))*10</f>
        <v>979.2882992577288</v>
      </c>
      <c r="N304" s="20">
        <f>IF((H304-J304)/(K304-J304)*(Geraetedaten!$B$174-Geraetedaten!$B$161)&lt;Geraetedaten!$B$174,(H304-J304)/(K304-J304)*(Geraetedaten!$B$174-Geraetedaten!$B$161),Geraetedaten!$B$174)</f>
        <v>-274.26885710843845</v>
      </c>
      <c r="O304" s="20">
        <f>N304/Geraetedaten!$B$174*(M304-L304)+L304+C304</f>
        <v>267.14024921200064</v>
      </c>
      <c r="P304" s="20">
        <f t="shared" si="280"/>
        <v>136.90413924627089</v>
      </c>
      <c r="Q304" s="21">
        <f>(N304-Geraetedaten!$B$161)/(Geraetedaten!$B$174-Geraetedaten!$B$161)*(Geraetedaten!$B$175-Geraetedaten!$B$162)+Geraetedaten!$B$162</f>
        <v>21.040501501023954</v>
      </c>
      <c r="R304" s="21">
        <f t="shared" si="281"/>
        <v>21.040501501023954</v>
      </c>
      <c r="S304" s="21">
        <f t="shared" si="282"/>
        <v>-20.883668793444787</v>
      </c>
      <c r="T304" s="88">
        <f t="shared" si="283"/>
        <v>-2.5641921028448027</v>
      </c>
      <c r="U304" s="86">
        <f t="shared" si="284"/>
        <v>2850.4583200000002</v>
      </c>
      <c r="V304" s="85">
        <f t="shared" si="285"/>
        <v>-1141.3067828769733</v>
      </c>
      <c r="W304" s="85">
        <f t="shared" si="286"/>
        <v>1149.6332716586803</v>
      </c>
      <c r="X304" s="90">
        <f t="shared" si="287"/>
        <v>1141.3067828769733</v>
      </c>
      <c r="Y304" s="86">
        <f t="shared" si="288"/>
        <v>68819.792920000007</v>
      </c>
      <c r="Z304" s="85">
        <f t="shared" si="289"/>
        <v>-750</v>
      </c>
      <c r="AA304" s="85">
        <f t="shared" si="290"/>
        <v>6154.1317860938052</v>
      </c>
      <c r="AB304" s="90">
        <f t="shared" si="291"/>
        <v>750</v>
      </c>
      <c r="AC304" s="86">
        <f t="shared" si="292"/>
        <v>-2732.14329</v>
      </c>
      <c r="AD304" s="85">
        <f t="shared" si="293"/>
        <v>1055.7627565116984</v>
      </c>
      <c r="AE304" s="85">
        <f t="shared" si="294"/>
        <v>-1063.8248396078959</v>
      </c>
      <c r="AF304" s="90">
        <f t="shared" si="295"/>
        <v>1055.7627565116984</v>
      </c>
      <c r="AG304" s="86">
        <f t="shared" si="296"/>
        <v>-73060.418690000006</v>
      </c>
      <c r="AH304" s="85">
        <f t="shared" si="297"/>
        <v>6128</v>
      </c>
      <c r="AI304" s="85">
        <f t="shared" si="298"/>
        <v>-50283.35944691045</v>
      </c>
      <c r="AJ304" s="90">
        <f t="shared" si="299"/>
        <v>6128</v>
      </c>
      <c r="AL304" s="95">
        <f t="shared" si="300"/>
        <v>0</v>
      </c>
      <c r="AM304" s="95">
        <f t="shared" si="301"/>
        <v>0</v>
      </c>
      <c r="AN304" s="95">
        <f t="shared" si="302"/>
        <v>0</v>
      </c>
      <c r="AO304" s="95">
        <f t="shared" si="303"/>
        <v>0</v>
      </c>
      <c r="AP304"/>
      <c r="AQ304" s="95">
        <f t="shared" si="304"/>
        <v>0</v>
      </c>
      <c r="AR304" s="95">
        <f t="shared" si="305"/>
        <v>0</v>
      </c>
      <c r="AS304" s="95">
        <f>Geraetedaten!$B$94*ABS(SIN(RADIANS($A304)))</f>
        <v>152.8521073527636</v>
      </c>
      <c r="AT304" s="95">
        <f>Geraetedaten!$B$94*ABS(COS(RADIANS($A304)))</f>
        <v>18.767878884392665</v>
      </c>
      <c r="AU304" s="95">
        <f>((h_Aw_Sw+Geraetedaten!$B$18)/1000)*(AQ304*AS304+AR304*AT304)/100</f>
        <v>0</v>
      </c>
    </row>
    <row r="305" spans="1:47" ht="13.5" x14ac:dyDescent="0.25">
      <c r="A305" s="16">
        <v>264</v>
      </c>
      <c r="B305" s="16">
        <f t="shared" si="272"/>
        <v>186</v>
      </c>
      <c r="C305" s="19">
        <f t="shared" si="273"/>
        <v>66.330274023974866</v>
      </c>
      <c r="D305" s="17">
        <f t="shared" si="274"/>
        <v>2778.5529859760254</v>
      </c>
      <c r="E305" s="17">
        <f t="shared" si="275"/>
        <v>80170.408255976028</v>
      </c>
      <c r="F305" s="17">
        <f t="shared" si="276"/>
        <v>-2792.9967440239748</v>
      </c>
      <c r="G305" s="17">
        <f t="shared" si="277"/>
        <v>-85247.198494023978</v>
      </c>
      <c r="H305" s="17">
        <f t="shared" si="278"/>
        <v>2778.5529859760254</v>
      </c>
      <c r="I305" s="17">
        <f t="shared" si="279"/>
        <v>1147.3847650380665</v>
      </c>
      <c r="J305" s="20">
        <f>(Geraetedaten!$B$152+(Geraetedaten!$B$153*(Geraetedaten!$B$18+d_y_Sw)/1000))*10</f>
        <v>6051.0442000000003</v>
      </c>
      <c r="K305" s="20">
        <f>(Geraetedaten!$B$165+(Geraetedaten!$B$166*(Geraetedaten!$B$18+d_y_Sw)/1000))*10</f>
        <v>10816.164000000001</v>
      </c>
      <c r="L305" s="20">
        <f>(Geraetedaten!$B$158+(Geraetedaten!$B$159*(Geraetedaten!$B$18+d_y_Sw)/1000)-(Geraetedaten!$B$160*I305/1000))*10</f>
        <v>517.39887517975831</v>
      </c>
      <c r="M305" s="20">
        <f>(Geraetedaten!$B$171+(Geraetedaten!$B$172*(Geraetedaten!$B$18+d_y_Sw)/1000)-(Geraetedaten!$B$173*I305/1000))*10</f>
        <v>979.45567809056729</v>
      </c>
      <c r="N305" s="20">
        <f>IF((H305-J305)/(K305-J305)*(Geraetedaten!$B$174-Geraetedaten!$B$161)&lt;Geraetedaten!$B$174,(H305-J305)/(K305-J305)*(Geraetedaten!$B$174-Geraetedaten!$B$161),Geraetedaten!$B$174)</f>
        <v>-274.7037935141924</v>
      </c>
      <c r="O305" s="20">
        <f>N305/Geraetedaten!$B$174*(M305-L305)+L305+C305</f>
        <v>266.40725775713628</v>
      </c>
      <c r="P305" s="20">
        <f t="shared" si="280"/>
        <v>136.60191566224631</v>
      </c>
      <c r="Q305" s="21">
        <f>(N305-Geraetedaten!$B$161)/(Geraetedaten!$B$174-Geraetedaten!$B$161)*(Geraetedaten!$B$175-Geraetedaten!$B$162)+Geraetedaten!$B$162</f>
        <v>21.027562142952775</v>
      </c>
      <c r="R305" s="21">
        <f t="shared" si="281"/>
        <v>21.027562142952775</v>
      </c>
      <c r="S305" s="21">
        <f t="shared" si="282"/>
        <v>-20.912370957383548</v>
      </c>
      <c r="T305" s="88">
        <f t="shared" si="283"/>
        <v>-2.1979787570679377</v>
      </c>
      <c r="U305" s="86">
        <f t="shared" si="284"/>
        <v>2844.8832600000001</v>
      </c>
      <c r="V305" s="85">
        <f t="shared" si="285"/>
        <v>-1141.3067828769733</v>
      </c>
      <c r="W305" s="85">
        <f t="shared" si="286"/>
        <v>1147.3847650380665</v>
      </c>
      <c r="X305" s="90">
        <f t="shared" si="287"/>
        <v>1141.3067828769733</v>
      </c>
      <c r="Y305" s="86">
        <f t="shared" si="288"/>
        <v>80236.738530000002</v>
      </c>
      <c r="Z305" s="85">
        <f t="shared" si="289"/>
        <v>-750</v>
      </c>
      <c r="AA305" s="85">
        <f t="shared" si="290"/>
        <v>7175.0791751292018</v>
      </c>
      <c r="AB305" s="90">
        <f t="shared" si="291"/>
        <v>750</v>
      </c>
      <c r="AC305" s="86">
        <f t="shared" si="292"/>
        <v>-2726.6664700000001</v>
      </c>
      <c r="AD305" s="85">
        <f t="shared" si="293"/>
        <v>1055.7627565116984</v>
      </c>
      <c r="AE305" s="85">
        <f t="shared" si="294"/>
        <v>-1061.6923103940471</v>
      </c>
      <c r="AF305" s="90">
        <f t="shared" si="295"/>
        <v>1055.7627565116984</v>
      </c>
      <c r="AG305" s="86">
        <f t="shared" si="296"/>
        <v>-85180.868220000004</v>
      </c>
      <c r="AH305" s="85">
        <f t="shared" si="297"/>
        <v>6128</v>
      </c>
      <c r="AI305" s="85">
        <f t="shared" si="298"/>
        <v>-58625.180246922326</v>
      </c>
      <c r="AJ305" s="90">
        <f t="shared" si="299"/>
        <v>6128</v>
      </c>
      <c r="AL305" s="95">
        <f t="shared" si="300"/>
        <v>0</v>
      </c>
      <c r="AM305" s="95">
        <f t="shared" si="301"/>
        <v>0</v>
      </c>
      <c r="AN305" s="95">
        <f t="shared" si="302"/>
        <v>0</v>
      </c>
      <c r="AO305" s="95">
        <f t="shared" si="303"/>
        <v>0</v>
      </c>
      <c r="AP305"/>
      <c r="AQ305" s="95">
        <f t="shared" si="304"/>
        <v>0</v>
      </c>
      <c r="AR305" s="95">
        <f t="shared" si="305"/>
        <v>0</v>
      </c>
      <c r="AS305" s="95">
        <f>Geraetedaten!$B$94*ABS(SIN(RADIANS($A305)))</f>
        <v>153.15637188671411</v>
      </c>
      <c r="AT305" s="95">
        <f>Geraetedaten!$B$94*ABS(COS(RADIANS($A305)))</f>
        <v>16.097383343218617</v>
      </c>
      <c r="AU305" s="95">
        <f>((h_Aw_Sw+Geraetedaten!$B$18)/1000)*(AQ305*AS305+AR305*AT305)/100</f>
        <v>0</v>
      </c>
    </row>
    <row r="306" spans="1:47" ht="13.5" x14ac:dyDescent="0.25">
      <c r="A306" s="16">
        <v>265</v>
      </c>
      <c r="B306" s="16">
        <f t="shared" si="272"/>
        <v>185</v>
      </c>
      <c r="C306" s="19">
        <f t="shared" si="273"/>
        <v>65.916319376949332</v>
      </c>
      <c r="D306" s="17">
        <f t="shared" si="274"/>
        <v>2774.2771006230505</v>
      </c>
      <c r="E306" s="17">
        <f t="shared" si="275"/>
        <v>96164.380300623045</v>
      </c>
      <c r="F306" s="17">
        <f t="shared" si="276"/>
        <v>-2787.9553893769489</v>
      </c>
      <c r="G306" s="17">
        <f t="shared" si="277"/>
        <v>-102225.85407937695</v>
      </c>
      <c r="H306" s="17">
        <f t="shared" si="278"/>
        <v>2774.2771006230505</v>
      </c>
      <c r="I306" s="17">
        <f t="shared" si="279"/>
        <v>1145.4932839503322</v>
      </c>
      <c r="J306" s="20">
        <f>(Geraetedaten!$B$152+(Geraetedaten!$B$153*(Geraetedaten!$B$18+d_y_Sw)/1000))*10</f>
        <v>6051.0442000000003</v>
      </c>
      <c r="K306" s="20">
        <f>(Geraetedaten!$B$165+(Geraetedaten!$B$166*(Geraetedaten!$B$18+d_y_Sw)/1000))*10</f>
        <v>10816.164000000001</v>
      </c>
      <c r="L306" s="20">
        <f>(Geraetedaten!$B$158+(Geraetedaten!$B$159*(Geraetedaten!$B$18+d_y_Sw)/1000)-(Geraetedaten!$B$160*I306/1000))*10</f>
        <v>517.53757748792191</v>
      </c>
      <c r="M306" s="20">
        <f>(Geraetedaten!$B$171+(Geraetedaten!$B$172*(Geraetedaten!$B$18+d_y_Sw)/1000)-(Geraetedaten!$B$173*I306/1000))*10</f>
        <v>979.59647994273826</v>
      </c>
      <c r="N306" s="20">
        <f>IF((H306-J306)/(K306-J306)*(Geraetedaten!$B$174-Geraetedaten!$B$161)&lt;Geraetedaten!$B$174,(H306-J306)/(K306-J306)*(Geraetedaten!$B$174-Geraetedaten!$B$161),Geraetedaten!$B$174)</f>
        <v>-275.06272554800819</v>
      </c>
      <c r="O306" s="20">
        <f>N306/Geraetedaten!$B$174*(M306-L306)+L306+C306</f>
        <v>265.71594418251368</v>
      </c>
      <c r="P306" s="20">
        <f t="shared" si="280"/>
        <v>136.3076864887538</v>
      </c>
      <c r="Q306" s="21">
        <f>(N306-Geraetedaten!$B$161)/(Geraetedaten!$B$174-Geraetedaten!$B$161)*(Geraetedaten!$B$175-Geraetedaten!$B$162)+Geraetedaten!$B$162</f>
        <v>21.016883914946753</v>
      </c>
      <c r="R306" s="21">
        <f t="shared" si="281"/>
        <v>21.016883914946753</v>
      </c>
      <c r="S306" s="21">
        <f t="shared" si="282"/>
        <v>-20.936908326479642</v>
      </c>
      <c r="T306" s="88">
        <f t="shared" si="283"/>
        <v>-1.8317421278484958</v>
      </c>
      <c r="U306" s="86">
        <f t="shared" si="284"/>
        <v>2840.1934200000001</v>
      </c>
      <c r="V306" s="85">
        <f t="shared" si="285"/>
        <v>-1141.3067828769733</v>
      </c>
      <c r="W306" s="85">
        <f t="shared" si="286"/>
        <v>1145.4932839503322</v>
      </c>
      <c r="X306" s="90">
        <f t="shared" si="287"/>
        <v>1141.3067828769733</v>
      </c>
      <c r="Y306" s="86">
        <f t="shared" si="288"/>
        <v>96230.296619999994</v>
      </c>
      <c r="Z306" s="85">
        <f t="shared" si="289"/>
        <v>-750</v>
      </c>
      <c r="AA306" s="85">
        <f t="shared" si="290"/>
        <v>8605.2849342523896</v>
      </c>
      <c r="AB306" s="90">
        <f t="shared" si="291"/>
        <v>750</v>
      </c>
      <c r="AC306" s="86">
        <f t="shared" si="292"/>
        <v>-2722.0390699999998</v>
      </c>
      <c r="AD306" s="85">
        <f t="shared" si="293"/>
        <v>1055.7627565116984</v>
      </c>
      <c r="AE306" s="85">
        <f t="shared" si="294"/>
        <v>-1059.8905207837379</v>
      </c>
      <c r="AF306" s="90">
        <f t="shared" si="295"/>
        <v>1055.7627565116984</v>
      </c>
      <c r="AG306" s="86">
        <f t="shared" si="296"/>
        <v>-102159.93776</v>
      </c>
      <c r="AH306" s="85">
        <f t="shared" si="297"/>
        <v>6128</v>
      </c>
      <c r="AI306" s="85">
        <f t="shared" si="298"/>
        <v>-70310.914769464856</v>
      </c>
      <c r="AJ306" s="90">
        <f t="shared" si="299"/>
        <v>6128</v>
      </c>
      <c r="AL306" s="95">
        <f t="shared" si="300"/>
        <v>0</v>
      </c>
      <c r="AM306" s="95">
        <f t="shared" si="301"/>
        <v>0</v>
      </c>
      <c r="AN306" s="95">
        <f t="shared" si="302"/>
        <v>0</v>
      </c>
      <c r="AO306" s="95">
        <f t="shared" si="303"/>
        <v>0</v>
      </c>
      <c r="AP306"/>
      <c r="AQ306" s="95">
        <f t="shared" si="304"/>
        <v>0</v>
      </c>
      <c r="AR306" s="95">
        <f t="shared" si="305"/>
        <v>0</v>
      </c>
      <c r="AS306" s="95">
        <f>Geraetedaten!$B$94*ABS(SIN(RADIANS($A306)))</f>
        <v>153.4139835061288</v>
      </c>
      <c r="AT306" s="95">
        <f>Geraetedaten!$B$94*ABS(COS(RADIANS($A306)))</f>
        <v>13.421984383139371</v>
      </c>
      <c r="AU306" s="95">
        <f>((h_Aw_Sw+Geraetedaten!$B$18)/1000)*(AQ306*AS306+AR306*AT306)/100</f>
        <v>0</v>
      </c>
    </row>
    <row r="307" spans="1:47" ht="13.5" x14ac:dyDescent="0.25">
      <c r="A307" s="16">
        <v>266</v>
      </c>
      <c r="B307" s="16">
        <f t="shared" si="272"/>
        <v>184</v>
      </c>
      <c r="C307" s="19">
        <f t="shared" si="273"/>
        <v>65.48228598049586</v>
      </c>
      <c r="D307" s="17">
        <f t="shared" si="274"/>
        <v>2770.8993040195041</v>
      </c>
      <c r="E307" s="17">
        <f t="shared" si="275"/>
        <v>120167.4154840195</v>
      </c>
      <c r="F307" s="17">
        <f t="shared" si="276"/>
        <v>-2783.7362359804956</v>
      </c>
      <c r="G307" s="17">
        <f t="shared" si="277"/>
        <v>-127707.0440959805</v>
      </c>
      <c r="H307" s="17">
        <f t="shared" si="278"/>
        <v>2770.8993040195041</v>
      </c>
      <c r="I307" s="17">
        <f t="shared" si="279"/>
        <v>1143.9559154264782</v>
      </c>
      <c r="J307" s="20">
        <f>(Geraetedaten!$B$152+(Geraetedaten!$B$153*(Geraetedaten!$B$18+d_y_Sw)/1000))*10</f>
        <v>6051.0442000000003</v>
      </c>
      <c r="K307" s="20">
        <f>(Geraetedaten!$B$165+(Geraetedaten!$B$166*(Geraetedaten!$B$18+d_y_Sw)/1000))*10</f>
        <v>10816.164000000001</v>
      </c>
      <c r="L307" s="20">
        <f>(Geraetedaten!$B$158+(Geraetedaten!$B$159*(Geraetedaten!$B$18+d_y_Sw)/1000)-(Geraetedaten!$B$160*I307/1000))*10</f>
        <v>517.65031272177612</v>
      </c>
      <c r="M307" s="20">
        <f>(Geraetedaten!$B$171+(Geraetedaten!$B$172*(Geraetedaten!$B$18+d_y_Sw)/1000)-(Geraetedaten!$B$173*I307/1000))*10</f>
        <v>979.71092165565392</v>
      </c>
      <c r="N307" s="20">
        <f>IF((H307-J307)/(K307-J307)*(Geraetedaten!$B$174-Geraetedaten!$B$161)&lt;Geraetedaten!$B$174,(H307-J307)/(K307-J307)*(Geraetedaten!$B$174-Geraetedaten!$B$161),Geraetedaten!$B$174)</f>
        <v>-275.34626902605856</v>
      </c>
      <c r="O307" s="20">
        <f>N307/Geraetedaten!$B$174*(M307-L307)+L307+C307</f>
        <v>265.06593686764211</v>
      </c>
      <c r="P307" s="20">
        <f t="shared" si="280"/>
        <v>136.02146174580912</v>
      </c>
      <c r="Q307" s="21">
        <f>(N307-Geraetedaten!$B$161)/(Geraetedaten!$B$174-Geraetedaten!$B$161)*(Geraetedaten!$B$175-Geraetedaten!$B$162)+Geraetedaten!$B$162</f>
        <v>21.008448496474756</v>
      </c>
      <c r="R307" s="21">
        <f t="shared" si="281"/>
        <v>21.008448496474756</v>
      </c>
      <c r="S307" s="21">
        <f t="shared" si="282"/>
        <v>-20.95727297181827</v>
      </c>
      <c r="T307" s="88">
        <f t="shared" si="283"/>
        <v>-1.4654752859491558</v>
      </c>
      <c r="U307" s="86">
        <f t="shared" si="284"/>
        <v>2836.38159</v>
      </c>
      <c r="V307" s="85">
        <f t="shared" si="285"/>
        <v>-1141.3067828769733</v>
      </c>
      <c r="W307" s="85">
        <f t="shared" si="286"/>
        <v>1143.9559154264782</v>
      </c>
      <c r="X307" s="90">
        <f t="shared" si="287"/>
        <v>1141.3067828769733</v>
      </c>
      <c r="Y307" s="86">
        <f t="shared" si="288"/>
        <v>120232.89777</v>
      </c>
      <c r="Z307" s="85">
        <f t="shared" si="289"/>
        <v>-750</v>
      </c>
      <c r="AA307" s="85">
        <f t="shared" si="290"/>
        <v>10751.690269652723</v>
      </c>
      <c r="AB307" s="90">
        <f t="shared" si="291"/>
        <v>750</v>
      </c>
      <c r="AC307" s="86">
        <f t="shared" si="292"/>
        <v>-2718.2539499999998</v>
      </c>
      <c r="AD307" s="85">
        <f t="shared" si="293"/>
        <v>1055.7627565116984</v>
      </c>
      <c r="AE307" s="85">
        <f t="shared" si="294"/>
        <v>-1058.4166941739275</v>
      </c>
      <c r="AF307" s="90">
        <f t="shared" si="295"/>
        <v>1055.7627565116984</v>
      </c>
      <c r="AG307" s="86">
        <f t="shared" si="296"/>
        <v>-127641.56181</v>
      </c>
      <c r="AH307" s="85">
        <f t="shared" si="297"/>
        <v>6128</v>
      </c>
      <c r="AI307" s="85">
        <f t="shared" si="298"/>
        <v>-87848.477296575846</v>
      </c>
      <c r="AJ307" s="90">
        <f t="shared" si="299"/>
        <v>6128</v>
      </c>
      <c r="AL307" s="95">
        <f t="shared" si="300"/>
        <v>0</v>
      </c>
      <c r="AM307" s="95">
        <f t="shared" si="301"/>
        <v>0</v>
      </c>
      <c r="AN307" s="95">
        <f t="shared" si="302"/>
        <v>0</v>
      </c>
      <c r="AO307" s="95">
        <f t="shared" si="303"/>
        <v>0</v>
      </c>
      <c r="AP307"/>
      <c r="AQ307" s="95">
        <f t="shared" si="304"/>
        <v>0</v>
      </c>
      <c r="AR307" s="95">
        <f t="shared" si="305"/>
        <v>0</v>
      </c>
      <c r="AS307" s="95">
        <f>Geraetedaten!$B$94*ABS(SIN(RADIANS($A307)))</f>
        <v>153.62486374001293</v>
      </c>
      <c r="AT307" s="95">
        <f>Geraetedaten!$B$94*ABS(COS(RADIANS($A307)))</f>
        <v>10.742496956595339</v>
      </c>
      <c r="AU307" s="95">
        <f>((h_Aw_Sw+Geraetedaten!$B$18)/1000)*(AQ307*AS307+AR307*AT307)/100</f>
        <v>0</v>
      </c>
    </row>
    <row r="308" spans="1:47" ht="13.5" x14ac:dyDescent="0.25">
      <c r="A308" s="16">
        <v>267</v>
      </c>
      <c r="B308" s="16">
        <f t="shared" si="272"/>
        <v>183</v>
      </c>
      <c r="C308" s="19">
        <f t="shared" si="273"/>
        <v>65.028306045391588</v>
      </c>
      <c r="D308" s="17">
        <f t="shared" si="274"/>
        <v>2768.4136139546085</v>
      </c>
      <c r="E308" s="17">
        <f t="shared" si="275"/>
        <v>160188.52543395461</v>
      </c>
      <c r="F308" s="17">
        <f t="shared" si="276"/>
        <v>-2780.3336060453917</v>
      </c>
      <c r="G308" s="17">
        <f t="shared" si="277"/>
        <v>-170193.28990604539</v>
      </c>
      <c r="H308" s="17">
        <f t="shared" si="278"/>
        <v>2768.4136139546085</v>
      </c>
      <c r="I308" s="17">
        <f t="shared" si="279"/>
        <v>1142.7703003274137</v>
      </c>
      <c r="J308" s="20">
        <f>(Geraetedaten!$B$152+(Geraetedaten!$B$153*(Geraetedaten!$B$18+d_y_Sw)/1000))*10</f>
        <v>6051.0442000000003</v>
      </c>
      <c r="K308" s="20">
        <f>(Geraetedaten!$B$165+(Geraetedaten!$B$166*(Geraetedaten!$B$18+d_y_Sw)/1000))*10</f>
        <v>10816.164000000001</v>
      </c>
      <c r="L308" s="20">
        <f>(Geraetedaten!$B$158+(Geraetedaten!$B$159*(Geraetedaten!$B$18+d_y_Sw)/1000)-(Geraetedaten!$B$160*I308/1000))*10</f>
        <v>517.73725387699051</v>
      </c>
      <c r="M308" s="20">
        <f>(Geraetedaten!$B$171+(Geraetedaten!$B$172*(Geraetedaten!$B$18+d_y_Sw)/1000)-(Geraetedaten!$B$173*I308/1000))*10</f>
        <v>979.7991788436284</v>
      </c>
      <c r="N308" s="20">
        <f>IF((H308-J308)/(K308-J308)*(Geraetedaten!$B$174-Geraetedaten!$B$161)&lt;Geraetedaten!$B$174,(H308-J308)/(K308-J308)*(Geraetedaten!$B$174-Geraetedaten!$B$161),Geraetedaten!$B$174)</f>
        <v>-275.55492611500694</v>
      </c>
      <c r="O308" s="20">
        <f>N308/Geraetedaten!$B$174*(M308-L308)+L308+C308</f>
        <v>264.45696093553261</v>
      </c>
      <c r="P308" s="20">
        <f t="shared" si="280"/>
        <v>135.74327633391744</v>
      </c>
      <c r="Q308" s="21">
        <f>(N308-Geraetedaten!$B$161)/(Geraetedaten!$B$174-Geraetedaten!$B$161)*(Geraetedaten!$B$175-Geraetedaten!$B$162)+Geraetedaten!$B$162</f>
        <v>21.002240948078541</v>
      </c>
      <c r="R308" s="21">
        <f t="shared" si="281"/>
        <v>21.002240948078541</v>
      </c>
      <c r="S308" s="21">
        <f t="shared" si="282"/>
        <v>-20.973458106783134</v>
      </c>
      <c r="T308" s="88">
        <f t="shared" si="283"/>
        <v>-1.0991723632624117</v>
      </c>
      <c r="U308" s="86">
        <f t="shared" si="284"/>
        <v>2833.4419200000002</v>
      </c>
      <c r="V308" s="85">
        <f t="shared" si="285"/>
        <v>-1141.3067828769733</v>
      </c>
      <c r="W308" s="85">
        <f t="shared" si="286"/>
        <v>1142.7703003274137</v>
      </c>
      <c r="X308" s="90">
        <f t="shared" si="287"/>
        <v>1141.3067828769733</v>
      </c>
      <c r="Y308" s="86">
        <f t="shared" si="288"/>
        <v>160253.55374</v>
      </c>
      <c r="Z308" s="85">
        <f t="shared" si="289"/>
        <v>-750</v>
      </c>
      <c r="AA308" s="85">
        <f t="shared" si="290"/>
        <v>14330.491956973055</v>
      </c>
      <c r="AB308" s="90">
        <f t="shared" si="291"/>
        <v>750</v>
      </c>
      <c r="AC308" s="86">
        <f t="shared" si="292"/>
        <v>-2715.3053</v>
      </c>
      <c r="AD308" s="85">
        <f t="shared" si="293"/>
        <v>1055.7627565116984</v>
      </c>
      <c r="AE308" s="85">
        <f t="shared" si="294"/>
        <v>-1057.2685677583506</v>
      </c>
      <c r="AF308" s="90">
        <f t="shared" si="295"/>
        <v>1055.7627565116984</v>
      </c>
      <c r="AG308" s="86">
        <f t="shared" si="296"/>
        <v>-170128.2616</v>
      </c>
      <c r="AH308" s="85">
        <f t="shared" si="297"/>
        <v>6128</v>
      </c>
      <c r="AI308" s="85">
        <f t="shared" si="298"/>
        <v>-117089.67294977451</v>
      </c>
      <c r="AJ308" s="90">
        <f t="shared" si="299"/>
        <v>6128</v>
      </c>
      <c r="AL308" s="95">
        <f t="shared" si="300"/>
        <v>0</v>
      </c>
      <c r="AM308" s="95">
        <f t="shared" si="301"/>
        <v>0</v>
      </c>
      <c r="AN308" s="95">
        <f t="shared" si="302"/>
        <v>0</v>
      </c>
      <c r="AO308" s="95">
        <f t="shared" si="303"/>
        <v>0</v>
      </c>
      <c r="AP308"/>
      <c r="AQ308" s="95">
        <f t="shared" si="304"/>
        <v>0</v>
      </c>
      <c r="AR308" s="95">
        <f t="shared" si="305"/>
        <v>0</v>
      </c>
      <c r="AS308" s="95">
        <f>Geraetedaten!$B$94*ABS(SIN(RADIANS($A308)))</f>
        <v>153.78894835220436</v>
      </c>
      <c r="AT308" s="95">
        <f>Geraetedaten!$B$94*ABS(COS(RADIANS($A308)))</f>
        <v>8.0597372614134226</v>
      </c>
      <c r="AU308" s="95">
        <f>((h_Aw_Sw+Geraetedaten!$B$18)/1000)*(AQ308*AS308+AR308*AT308)/100</f>
        <v>0</v>
      </c>
    </row>
    <row r="309" spans="1:47" ht="13.5" x14ac:dyDescent="0.25">
      <c r="A309" s="16">
        <v>268</v>
      </c>
      <c r="B309" s="16">
        <f t="shared" si="272"/>
        <v>182</v>
      </c>
      <c r="C309" s="19">
        <f t="shared" si="273"/>
        <v>64.554517858322512</v>
      </c>
      <c r="D309" s="17">
        <f t="shared" si="274"/>
        <v>2766.8153821416777</v>
      </c>
      <c r="E309" s="17">
        <f t="shared" si="275"/>
        <v>240254.75576214169</v>
      </c>
      <c r="F309" s="17">
        <f t="shared" si="276"/>
        <v>-2777.7431278583226</v>
      </c>
      <c r="G309" s="17">
        <f t="shared" si="277"/>
        <v>-255192.1665478583</v>
      </c>
      <c r="H309" s="17">
        <f t="shared" si="278"/>
        <v>2766.8153821416777</v>
      </c>
      <c r="I309" s="17">
        <f t="shared" si="279"/>
        <v>1141.9346244769781</v>
      </c>
      <c r="J309" s="20">
        <f>(Geraetedaten!$B$152+(Geraetedaten!$B$153*(Geraetedaten!$B$18+d_y_Sw)/1000))*10</f>
        <v>6051.0442000000003</v>
      </c>
      <c r="K309" s="20">
        <f>(Geraetedaten!$B$165+(Geraetedaten!$B$166*(Geraetedaten!$B$18+d_y_Sw)/1000))*10</f>
        <v>10816.164000000001</v>
      </c>
      <c r="L309" s="20">
        <f>(Geraetedaten!$B$158+(Geraetedaten!$B$159*(Geraetedaten!$B$18+d_y_Sw)/1000)-(Geraetedaten!$B$160*I309/1000))*10</f>
        <v>517.79853398710293</v>
      </c>
      <c r="M309" s="20">
        <f>(Geraetedaten!$B$171+(Geraetedaten!$B$172*(Geraetedaten!$B$18+d_y_Sw)/1000)-(Geraetedaten!$B$173*I309/1000))*10</f>
        <v>979.86138655393472</v>
      </c>
      <c r="N309" s="20">
        <f>IF((H309-J309)/(K309-J309)*(Geraetedaten!$B$174-Geraetedaten!$B$161)&lt;Geraetedaten!$B$174,(H309-J309)/(K309-J309)*(Geraetedaten!$B$174-Geraetedaten!$B$161),Geraetedaten!$B$174)</f>
        <v>-275.6890870074933</v>
      </c>
      <c r="O309" s="20">
        <f>N309/Geraetedaten!$B$174*(M309-L309)+L309+C309</f>
        <v>263.88883693485587</v>
      </c>
      <c r="P309" s="20">
        <f t="shared" si="280"/>
        <v>135.47318990189368</v>
      </c>
      <c r="Q309" s="21">
        <f>(N309-Geraetedaten!$B$161)/(Geraetedaten!$B$174-Geraetedaten!$B$161)*(Geraetedaten!$B$175-Geraetedaten!$B$162)+Geraetedaten!$B$162</f>
        <v>20.998249661527073</v>
      </c>
      <c r="R309" s="21">
        <f t="shared" si="281"/>
        <v>20.998249661527073</v>
      </c>
      <c r="S309" s="21">
        <f t="shared" si="282"/>
        <v>-20.985458095186988</v>
      </c>
      <c r="T309" s="88">
        <f t="shared" si="283"/>
        <v>-0.73282834482075176</v>
      </c>
      <c r="U309" s="86">
        <f t="shared" si="284"/>
        <v>2831.3699000000001</v>
      </c>
      <c r="V309" s="85">
        <f t="shared" si="285"/>
        <v>-1141.3067828769733</v>
      </c>
      <c r="W309" s="85">
        <f t="shared" si="286"/>
        <v>1141.9346244769781</v>
      </c>
      <c r="X309" s="90">
        <f t="shared" si="287"/>
        <v>1141.3067828769733</v>
      </c>
      <c r="Y309" s="86">
        <f t="shared" si="288"/>
        <v>240319.31028000001</v>
      </c>
      <c r="Z309" s="85">
        <f t="shared" si="289"/>
        <v>-750</v>
      </c>
      <c r="AA309" s="85">
        <f t="shared" si="290"/>
        <v>21490.281260882759</v>
      </c>
      <c r="AB309" s="90">
        <f t="shared" si="291"/>
        <v>750</v>
      </c>
      <c r="AC309" s="86">
        <f t="shared" si="292"/>
        <v>-2713.1886100000002</v>
      </c>
      <c r="AD309" s="85">
        <f t="shared" si="293"/>
        <v>1055.7627565116984</v>
      </c>
      <c r="AE309" s="85">
        <f t="shared" si="294"/>
        <v>-1056.4443840161923</v>
      </c>
      <c r="AF309" s="90">
        <f t="shared" si="295"/>
        <v>1055.7627565116984</v>
      </c>
      <c r="AG309" s="86">
        <f t="shared" si="296"/>
        <v>-255127.61202999999</v>
      </c>
      <c r="AH309" s="85">
        <f t="shared" si="297"/>
        <v>6128</v>
      </c>
      <c r="AI309" s="85">
        <f t="shared" si="298"/>
        <v>-175589.92475558608</v>
      </c>
      <c r="AJ309" s="90">
        <f t="shared" si="299"/>
        <v>6128</v>
      </c>
      <c r="AL309" s="95">
        <f t="shared" si="300"/>
        <v>0</v>
      </c>
      <c r="AM309" s="95">
        <f t="shared" si="301"/>
        <v>0</v>
      </c>
      <c r="AN309" s="95">
        <f t="shared" si="302"/>
        <v>0</v>
      </c>
      <c r="AO309" s="95">
        <f t="shared" si="303"/>
        <v>0</v>
      </c>
      <c r="AP309"/>
      <c r="AQ309" s="95">
        <f t="shared" si="304"/>
        <v>0</v>
      </c>
      <c r="AR309" s="95">
        <f t="shared" si="305"/>
        <v>0</v>
      </c>
      <c r="AS309" s="95">
        <f>Geraetedaten!$B$94*ABS(SIN(RADIANS($A309)))</f>
        <v>153.90618736094075</v>
      </c>
      <c r="AT309" s="95">
        <f>Geraetedaten!$B$94*ABS(COS(RADIANS($A309)))</f>
        <v>5.3745224921851174</v>
      </c>
      <c r="AU309" s="95">
        <f>((h_Aw_Sw+Geraetedaten!$B$18)/1000)*(AQ309*AS309+AR309*AT309)/100</f>
        <v>0</v>
      </c>
    </row>
    <row r="310" spans="1:47" ht="13.5" x14ac:dyDescent="0.25">
      <c r="A310" s="16">
        <v>269</v>
      </c>
      <c r="B310" s="16">
        <f t="shared" si="272"/>
        <v>181</v>
      </c>
      <c r="C310" s="19">
        <f t="shared" si="273"/>
        <v>64.061065739760167</v>
      </c>
      <c r="D310" s="17">
        <f t="shared" si="274"/>
        <v>2766.1013142602401</v>
      </c>
      <c r="E310" s="17">
        <f t="shared" si="275"/>
        <v>480501.35589426022</v>
      </c>
      <c r="F310" s="17">
        <f t="shared" si="276"/>
        <v>-2775.9617157397602</v>
      </c>
      <c r="G310" s="17">
        <f t="shared" si="277"/>
        <v>-510241.57079573977</v>
      </c>
      <c r="H310" s="17">
        <f t="shared" si="278"/>
        <v>2766.1013142602401</v>
      </c>
      <c r="I310" s="17">
        <f t="shared" si="279"/>
        <v>1141.4476118715183</v>
      </c>
      <c r="J310" s="20">
        <f>(Geraetedaten!$B$152+(Geraetedaten!$B$153*(Geraetedaten!$B$18+d_y_Sw)/1000))*10</f>
        <v>6051.0442000000003</v>
      </c>
      <c r="K310" s="20">
        <f>(Geraetedaten!$B$165+(Geraetedaten!$B$166*(Geraetedaten!$B$18+d_y_Sw)/1000))*10</f>
        <v>10816.164000000001</v>
      </c>
      <c r="L310" s="20">
        <f>(Geraetedaten!$B$158+(Geraetedaten!$B$159*(Geraetedaten!$B$18+d_y_Sw)/1000)-(Geraetedaten!$B$160*I310/1000))*10</f>
        <v>517.83424662146126</v>
      </c>
      <c r="M310" s="20">
        <f>(Geraetedaten!$B$171+(Geraetedaten!$B$172*(Geraetedaten!$B$18+d_y_Sw)/1000)-(Geraetedaten!$B$173*I310/1000))*10</f>
        <v>979.89763977228506</v>
      </c>
      <c r="N310" s="20">
        <f>IF((H310-J310)/(K310-J310)*(Geraetedaten!$B$174-Geraetedaten!$B$161)&lt;Geraetedaten!$B$174,(H310-J310)/(K310-J310)*(Geraetedaten!$B$174-Geraetedaten!$B$161),Geraetedaten!$B$174)</f>
        <v>-275.74902823973156</v>
      </c>
      <c r="O310" s="20">
        <f>N310/Geraetedaten!$B$174*(M310-L310)+L310+C310</f>
        <v>263.3614832449897</v>
      </c>
      <c r="P310" s="20">
        <f t="shared" si="280"/>
        <v>135.21128790463322</v>
      </c>
      <c r="Q310" s="21">
        <f>(N310-Geraetedaten!$B$161)/(Geraetedaten!$B$174-Geraetedaten!$B$161)*(Geraetedaten!$B$175-Geraetedaten!$B$162)+Geraetedaten!$B$162</f>
        <v>20.996466409867985</v>
      </c>
      <c r="R310" s="21">
        <f t="shared" si="281"/>
        <v>20.996466409867985</v>
      </c>
      <c r="S310" s="21">
        <f t="shared" si="282"/>
        <v>-20.993268546335095</v>
      </c>
      <c r="T310" s="88">
        <f t="shared" si="283"/>
        <v>-0.36643886553178673</v>
      </c>
      <c r="U310" s="86">
        <f t="shared" si="284"/>
        <v>2830.1623800000002</v>
      </c>
      <c r="V310" s="85">
        <f t="shared" si="285"/>
        <v>-1141.3067828769733</v>
      </c>
      <c r="W310" s="85">
        <f t="shared" si="286"/>
        <v>1141.4476118715183</v>
      </c>
      <c r="X310" s="90">
        <f t="shared" si="287"/>
        <v>1141.3067828769733</v>
      </c>
      <c r="Y310" s="86">
        <f t="shared" si="288"/>
        <v>480565.41696</v>
      </c>
      <c r="Z310" s="85">
        <f t="shared" si="289"/>
        <v>-750</v>
      </c>
      <c r="AA310" s="85">
        <f t="shared" si="290"/>
        <v>42974.016373912818</v>
      </c>
      <c r="AB310" s="90">
        <f t="shared" si="291"/>
        <v>750</v>
      </c>
      <c r="AC310" s="86">
        <f t="shared" si="292"/>
        <v>-2711.90065</v>
      </c>
      <c r="AD310" s="85">
        <f t="shared" si="293"/>
        <v>1055.7627565116984</v>
      </c>
      <c r="AE310" s="85">
        <f t="shared" si="294"/>
        <v>-1055.94288412986</v>
      </c>
      <c r="AF310" s="90">
        <f t="shared" si="295"/>
        <v>1055.7627565116984</v>
      </c>
      <c r="AG310" s="86">
        <f t="shared" si="296"/>
        <v>-510177.50972999999</v>
      </c>
      <c r="AH310" s="85">
        <f t="shared" si="297"/>
        <v>6128</v>
      </c>
      <c r="AI310" s="85">
        <f t="shared" si="298"/>
        <v>-351126.36311911704</v>
      </c>
      <c r="AJ310" s="90">
        <f t="shared" si="299"/>
        <v>6128</v>
      </c>
      <c r="AL310" s="95">
        <f t="shared" si="300"/>
        <v>0</v>
      </c>
      <c r="AM310" s="95">
        <f t="shared" si="301"/>
        <v>0</v>
      </c>
      <c r="AN310" s="95">
        <f t="shared" si="302"/>
        <v>0</v>
      </c>
      <c r="AO310" s="95">
        <f t="shared" si="303"/>
        <v>0</v>
      </c>
      <c r="AP310"/>
      <c r="AQ310" s="95">
        <f t="shared" si="304"/>
        <v>0</v>
      </c>
      <c r="AR310" s="95">
        <f t="shared" si="305"/>
        <v>0</v>
      </c>
      <c r="AS310" s="95">
        <f>Geraetedaten!$B$94*ABS(SIN(RADIANS($A310)))</f>
        <v>153.97654505408426</v>
      </c>
      <c r="AT310" s="95">
        <f>Geraetedaten!$B$94*ABS(COS(RADIANS($A310)))</f>
        <v>2.6876705913416585</v>
      </c>
      <c r="AU310" s="95">
        <f>((h_Aw_Sw+Geraetedaten!$B$18)/1000)*(AQ310*AS310+AR310*AT310)/100</f>
        <v>0</v>
      </c>
    </row>
    <row r="311" spans="1:47" ht="13.5" x14ac:dyDescent="0.25">
      <c r="A311" s="16">
        <v>270</v>
      </c>
      <c r="B311" s="16">
        <f t="shared" si="272"/>
        <v>180</v>
      </c>
      <c r="C311" s="19">
        <f t="shared" si="273"/>
        <v>63.548100000000005</v>
      </c>
      <c r="D311" s="17">
        <f t="shared" si="274"/>
        <v>2766.2694099999999</v>
      </c>
      <c r="E311" s="17" t="str">
        <f t="shared" si="275"/>
        <v>unendlich</v>
      </c>
      <c r="F311" s="17">
        <f t="shared" si="276"/>
        <v>-2774.9875400000001</v>
      </c>
      <c r="G311" s="17">
        <f t="shared" si="277"/>
        <v>-7.2675480422227902E+19</v>
      </c>
      <c r="H311" s="17">
        <f t="shared" si="278"/>
        <v>2766.2694099999999</v>
      </c>
      <c r="I311" s="17">
        <f t="shared" si="279"/>
        <v>1141.3085199185809</v>
      </c>
      <c r="J311" s="20">
        <f>(Geraetedaten!$B$152+(Geraetedaten!$B$153*(Geraetedaten!$B$18+d_y_Sw)/1000))*10</f>
        <v>6051.0442000000003</v>
      </c>
      <c r="K311" s="20">
        <f>(Geraetedaten!$B$165+(Geraetedaten!$B$166*(Geraetedaten!$B$18+d_y_Sw)/1000))*10</f>
        <v>10816.164000000001</v>
      </c>
      <c r="L311" s="20">
        <f>(Geraetedaten!$B$158+(Geraetedaten!$B$159*(Geraetedaten!$B$18+d_y_Sw)/1000)-(Geraetedaten!$B$160*I311/1000))*10</f>
        <v>517.84444623437025</v>
      </c>
      <c r="M311" s="20">
        <f>(Geraetedaten!$B$171+(Geraetedaten!$B$172*(Geraetedaten!$B$18+d_y_Sw)/1000)-(Geraetedaten!$B$173*I311/1000))*10</f>
        <v>979.90799377726171</v>
      </c>
      <c r="N311" s="20">
        <f>IF((H311-J311)/(K311-J311)*(Geraetedaten!$B$174-Geraetedaten!$B$161)&lt;Geraetedaten!$B$174,(H311-J311)/(K311-J311)*(Geraetedaten!$B$174-Geraetedaten!$B$161),Geraetedaten!$B$174)</f>
        <v>-275.73491772441906</v>
      </c>
      <c r="O311" s="20">
        <f>N311/Geraetedaten!$B$174*(M311-L311)+L311+C311</f>
        <v>262.87491057138936</v>
      </c>
      <c r="P311" s="20">
        <f t="shared" si="280"/>
        <v>134.95767992461009</v>
      </c>
      <c r="Q311" s="21">
        <f>(N311-Geraetedaten!$B$161)/(Geraetedaten!$B$174-Geraetedaten!$B$161)*(Geraetedaten!$B$175-Geraetedaten!$B$162)+Geraetedaten!$B$162</f>
        <v>20.996886197698529</v>
      </c>
      <c r="R311" s="21">
        <f t="shared" si="281"/>
        <v>20.996886197698529</v>
      </c>
      <c r="S311" s="21">
        <f t="shared" si="282"/>
        <v>-20.996886197698529</v>
      </c>
      <c r="T311" s="88">
        <f t="shared" si="283"/>
        <v>-3.8586454024503721E-15</v>
      </c>
      <c r="U311" s="86">
        <f t="shared" si="284"/>
        <v>2829.8175099999999</v>
      </c>
      <c r="V311" s="85">
        <f t="shared" si="285"/>
        <v>-1141.3067828769733</v>
      </c>
      <c r="W311" s="85">
        <f t="shared" si="286"/>
        <v>1141.3085199185809</v>
      </c>
      <c r="X311" s="90">
        <f t="shared" si="287"/>
        <v>1141.3067828769733</v>
      </c>
      <c r="Y311" s="86" t="e">
        <f t="shared" si="288"/>
        <v>#DIV/0!</v>
      </c>
      <c r="Z311" s="85">
        <f t="shared" si="289"/>
        <v>-750</v>
      </c>
      <c r="AA311" s="85">
        <f t="shared" si="290"/>
        <v>6.1217071041071524E+18</v>
      </c>
      <c r="AB311" s="90">
        <f t="shared" si="291"/>
        <v>750</v>
      </c>
      <c r="AC311" s="86">
        <f t="shared" si="292"/>
        <v>-2711.4394400000001</v>
      </c>
      <c r="AD311" s="85">
        <f t="shared" si="293"/>
        <v>1055.7627565116984</v>
      </c>
      <c r="AE311" s="85">
        <f t="shared" si="294"/>
        <v>-1055.7633032858389</v>
      </c>
      <c r="AF311" s="90">
        <f t="shared" si="295"/>
        <v>1055.7627565116984</v>
      </c>
      <c r="AG311" s="86">
        <f t="shared" si="296"/>
        <v>-7.2675480422227902E+19</v>
      </c>
      <c r="AH311" s="85">
        <f t="shared" si="297"/>
        <v>6128</v>
      </c>
      <c r="AI311" s="85">
        <f t="shared" si="298"/>
        <v>-5.001842817862484E+19</v>
      </c>
      <c r="AJ311" s="90">
        <f t="shared" si="299"/>
        <v>6128</v>
      </c>
      <c r="AL311" s="95">
        <f t="shared" si="300"/>
        <v>0</v>
      </c>
      <c r="AM311" s="95">
        <f t="shared" si="301"/>
        <v>0</v>
      </c>
      <c r="AN311" s="95">
        <f t="shared" si="302"/>
        <v>0</v>
      </c>
      <c r="AO311" s="95">
        <f t="shared" si="303"/>
        <v>0</v>
      </c>
      <c r="AP311"/>
      <c r="AQ311" s="95">
        <f t="shared" si="304"/>
        <v>0</v>
      </c>
      <c r="AR311" s="95">
        <f t="shared" si="305"/>
        <v>0</v>
      </c>
      <c r="AS311" s="95">
        <f>Geraetedaten!$B$94*ABS(SIN(RADIANS($A311)))</f>
        <v>154</v>
      </c>
      <c r="AT311" s="95">
        <f>Geraetedaten!$B$94*ABS(COS(RADIANS($A311)))</f>
        <v>2.8300929308389122E-14</v>
      </c>
      <c r="AU311" s="95">
        <f>((h_Aw_Sw+Geraetedaten!$B$18)/1000)*(AQ311*AS311+AR311*AT311)/100</f>
        <v>0</v>
      </c>
    </row>
    <row r="312" spans="1:47" ht="13.5" x14ac:dyDescent="0.25">
      <c r="A312" s="16">
        <v>271</v>
      </c>
      <c r="B312" s="16">
        <f t="shared" si="272"/>
        <v>179</v>
      </c>
      <c r="C312" s="19">
        <f t="shared" si="273"/>
        <v>64.061065739760153</v>
      </c>
      <c r="D312" s="17">
        <f t="shared" si="274"/>
        <v>2766.2736942602401</v>
      </c>
      <c r="E312" s="17">
        <f t="shared" si="275"/>
        <v>-480629.47802573978</v>
      </c>
      <c r="F312" s="17">
        <f t="shared" si="276"/>
        <v>-2775.8653557397602</v>
      </c>
      <c r="G312" s="17">
        <f t="shared" si="277"/>
        <v>510113.44866426021</v>
      </c>
      <c r="H312" s="17">
        <f t="shared" si="278"/>
        <v>2766.2736942602401</v>
      </c>
      <c r="I312" s="17">
        <f t="shared" si="279"/>
        <v>1141.517136671602</v>
      </c>
      <c r="J312" s="20">
        <f>(Geraetedaten!$B$152+(Geraetedaten!$B$153*(Geraetedaten!$B$18+d_y_Sw)/1000))*10</f>
        <v>6051.0442000000003</v>
      </c>
      <c r="K312" s="20">
        <f>(Geraetedaten!$B$165+(Geraetedaten!$B$166*(Geraetedaten!$B$18+d_y_Sw)/1000))*10</f>
        <v>10816.164000000001</v>
      </c>
      <c r="L312" s="20">
        <f>(Geraetedaten!$B$158+(Geraetedaten!$B$159*(Geraetedaten!$B$18+d_y_Sw)/1000)-(Geraetedaten!$B$160*I312/1000))*10</f>
        <v>517.82914836787108</v>
      </c>
      <c r="M312" s="20">
        <f>(Geraetedaten!$B$171+(Geraetedaten!$B$172*(Geraetedaten!$B$18+d_y_Sw)/1000)-(Geraetedaten!$B$173*I312/1000))*10</f>
        <v>979.89246434616689</v>
      </c>
      <c r="N312" s="20">
        <f>IF((H312-J312)/(K312-J312)*(Geraetedaten!$B$174-Geraetedaten!$B$161)&lt;Geraetedaten!$B$174,(H312-J312)/(K312-J312)*(Geraetedaten!$B$174-Geraetedaten!$B$161),Geraetedaten!$B$174)</f>
        <v>-275.73455808936933</v>
      </c>
      <c r="O312" s="20">
        <f>N312/Geraetedaten!$B$174*(M312-L312)+L312+C312</f>
        <v>263.37315350617121</v>
      </c>
      <c r="P312" s="20">
        <f t="shared" si="280"/>
        <v>135.21482129193555</v>
      </c>
      <c r="Q312" s="21">
        <f>(N312-Geraetedaten!$B$161)/(Geraetedaten!$B$174-Geraetedaten!$B$161)*(Geraetedaten!$B$175-Geraetedaten!$B$162)+Geraetedaten!$B$162</f>
        <v>20.99689689684126</v>
      </c>
      <c r="R312" s="21">
        <f t="shared" si="281"/>
        <v>20.99689689684126</v>
      </c>
      <c r="S312" s="21">
        <f t="shared" si="282"/>
        <v>-20.993698967743118</v>
      </c>
      <c r="T312" s="88">
        <f t="shared" si="283"/>
        <v>0.36644637856540258</v>
      </c>
      <c r="U312" s="86">
        <f t="shared" si="284"/>
        <v>2830.3347600000002</v>
      </c>
      <c r="V312" s="85">
        <f t="shared" si="285"/>
        <v>-1141.3067828769733</v>
      </c>
      <c r="W312" s="85">
        <f t="shared" si="286"/>
        <v>1141.517136671602</v>
      </c>
      <c r="X312" s="90">
        <f t="shared" si="287"/>
        <v>1141.3067828769733</v>
      </c>
      <c r="Y312" s="86">
        <f t="shared" si="288"/>
        <v>-480565.41696</v>
      </c>
      <c r="Z312" s="85">
        <f t="shared" si="289"/>
        <v>-750</v>
      </c>
      <c r="AA312" s="85">
        <f t="shared" si="290"/>
        <v>-42974.016373912331</v>
      </c>
      <c r="AB312" s="90">
        <f t="shared" si="291"/>
        <v>750</v>
      </c>
      <c r="AC312" s="86">
        <f t="shared" si="292"/>
        <v>-2711.80429</v>
      </c>
      <c r="AD312" s="85">
        <f t="shared" si="293"/>
        <v>1055.7627565116984</v>
      </c>
      <c r="AE312" s="85">
        <f t="shared" si="294"/>
        <v>-1055.9053678259208</v>
      </c>
      <c r="AF312" s="90">
        <f t="shared" si="295"/>
        <v>1055.7627565116984</v>
      </c>
      <c r="AG312" s="86">
        <f t="shared" si="296"/>
        <v>510177.50972999999</v>
      </c>
      <c r="AH312" s="85">
        <f t="shared" si="297"/>
        <v>6128</v>
      </c>
      <c r="AI312" s="85">
        <f t="shared" si="298"/>
        <v>351126.36311911303</v>
      </c>
      <c r="AJ312" s="90">
        <f t="shared" si="299"/>
        <v>6128</v>
      </c>
      <c r="AL312" s="95">
        <f t="shared" si="300"/>
        <v>0</v>
      </c>
      <c r="AM312" s="95">
        <f t="shared" si="301"/>
        <v>0</v>
      </c>
      <c r="AN312" s="95">
        <f t="shared" si="302"/>
        <v>0</v>
      </c>
      <c r="AO312" s="95">
        <f t="shared" si="303"/>
        <v>0</v>
      </c>
      <c r="AP312"/>
      <c r="AQ312" s="95">
        <f t="shared" si="304"/>
        <v>0</v>
      </c>
      <c r="AR312" s="95">
        <f t="shared" si="305"/>
        <v>0</v>
      </c>
      <c r="AS312" s="95">
        <f>Geraetedaten!$B$94*ABS(SIN(RADIANS($A312)))</f>
        <v>153.97654505408426</v>
      </c>
      <c r="AT312" s="95">
        <f>Geraetedaten!$B$94*ABS(COS(RADIANS($A312)))</f>
        <v>2.6876705913416021</v>
      </c>
      <c r="AU312" s="95">
        <f>((h_Aw_Sw+Geraetedaten!$B$18)/1000)*(AQ312*AS312+AR312*AT312)/100</f>
        <v>0</v>
      </c>
    </row>
    <row r="313" spans="1:47" ht="13.5" x14ac:dyDescent="0.25">
      <c r="A313" s="16">
        <v>272</v>
      </c>
      <c r="B313" s="16">
        <f t="shared" si="272"/>
        <v>178</v>
      </c>
      <c r="C313" s="19">
        <f t="shared" si="273"/>
        <v>64.554517858322527</v>
      </c>
      <c r="D313" s="17">
        <f t="shared" si="274"/>
        <v>2767.1604121416776</v>
      </c>
      <c r="E313" s="17">
        <f t="shared" si="275"/>
        <v>-240383.86479785832</v>
      </c>
      <c r="F313" s="17">
        <f t="shared" si="276"/>
        <v>-2777.5502778583223</v>
      </c>
      <c r="G313" s="17">
        <f t="shared" si="277"/>
        <v>255063.05751214168</v>
      </c>
      <c r="H313" s="17">
        <f t="shared" si="278"/>
        <v>2767.1604121416776</v>
      </c>
      <c r="I313" s="17">
        <f t="shared" si="279"/>
        <v>1142.0737800414061</v>
      </c>
      <c r="J313" s="20">
        <f>(Geraetedaten!$B$152+(Geraetedaten!$B$153*(Geraetedaten!$B$18+d_y_Sw)/1000))*10</f>
        <v>6051.0442000000003</v>
      </c>
      <c r="K313" s="20">
        <f>(Geraetedaten!$B$165+(Geraetedaten!$B$166*(Geraetedaten!$B$18+d_y_Sw)/1000))*10</f>
        <v>10816.164000000001</v>
      </c>
      <c r="L313" s="20">
        <f>(Geraetedaten!$B$158+(Geraetedaten!$B$159*(Geraetedaten!$B$18+d_y_Sw)/1000)-(Geraetedaten!$B$160*I313/1000))*10</f>
        <v>517.78832970956341</v>
      </c>
      <c r="M313" s="20">
        <f>(Geraetedaten!$B$171+(Geraetedaten!$B$172*(Geraetedaten!$B$18+d_y_Sw)/1000)-(Geraetedaten!$B$173*I313/1000))*10</f>
        <v>979.8510278137187</v>
      </c>
      <c r="N313" s="20">
        <f>IF((H313-J313)/(K313-J313)*(Geraetedaten!$B$174-Geraetedaten!$B$161)&lt;Geraetedaten!$B$174,(H313-J313)/(K313-J313)*(Geraetedaten!$B$174-Geraetedaten!$B$161),Geraetedaten!$B$174)</f>
        <v>-275.66012404207106</v>
      </c>
      <c r="O313" s="20">
        <f>N313/Geraetedaten!$B$174*(M313-L313)+L313+C313</f>
        <v>263.91219588137221</v>
      </c>
      <c r="P313" s="20">
        <f t="shared" si="280"/>
        <v>135.48025214563984</v>
      </c>
      <c r="Q313" s="21">
        <f>(N313-Geraetedaten!$B$161)/(Geraetedaten!$B$174-Geraetedaten!$B$161)*(Geraetedaten!$B$175-Geraetedaten!$B$162)+Geraetedaten!$B$162</f>
        <v>20.999111309748383</v>
      </c>
      <c r="R313" s="21">
        <f t="shared" si="281"/>
        <v>20.999111309748383</v>
      </c>
      <c r="S313" s="21">
        <f t="shared" si="282"/>
        <v>-20.986319218515483</v>
      </c>
      <c r="T313" s="88">
        <f t="shared" si="283"/>
        <v>0.73285841591002099</v>
      </c>
      <c r="U313" s="86">
        <f t="shared" si="284"/>
        <v>2831.7149300000001</v>
      </c>
      <c r="V313" s="85">
        <f t="shared" si="285"/>
        <v>-1141.3067828769733</v>
      </c>
      <c r="W313" s="85">
        <f t="shared" si="286"/>
        <v>1142.0737800414061</v>
      </c>
      <c r="X313" s="90">
        <f t="shared" si="287"/>
        <v>1141.3067828769733</v>
      </c>
      <c r="Y313" s="86">
        <f t="shared" si="288"/>
        <v>-240319.31028000001</v>
      </c>
      <c r="Z313" s="85">
        <f t="shared" si="289"/>
        <v>-750</v>
      </c>
      <c r="AA313" s="85">
        <f t="shared" si="290"/>
        <v>-21490.281260882912</v>
      </c>
      <c r="AB313" s="90">
        <f t="shared" si="291"/>
        <v>750</v>
      </c>
      <c r="AC313" s="86">
        <f t="shared" si="292"/>
        <v>-2712.9957599999998</v>
      </c>
      <c r="AD313" s="85">
        <f t="shared" si="293"/>
        <v>1055.7627565116984</v>
      </c>
      <c r="AE313" s="85">
        <f t="shared" si="294"/>
        <v>-1056.3692942290363</v>
      </c>
      <c r="AF313" s="90">
        <f t="shared" si="295"/>
        <v>1055.7627565116984</v>
      </c>
      <c r="AG313" s="86">
        <f t="shared" si="296"/>
        <v>255127.61202999999</v>
      </c>
      <c r="AH313" s="85">
        <f t="shared" si="297"/>
        <v>6128</v>
      </c>
      <c r="AI313" s="85">
        <f t="shared" si="298"/>
        <v>175589.9247555873</v>
      </c>
      <c r="AJ313" s="90">
        <f t="shared" si="299"/>
        <v>6128</v>
      </c>
      <c r="AL313" s="95">
        <f t="shared" si="300"/>
        <v>0</v>
      </c>
      <c r="AM313" s="95">
        <f t="shared" si="301"/>
        <v>0</v>
      </c>
      <c r="AN313" s="95">
        <f t="shared" si="302"/>
        <v>0</v>
      </c>
      <c r="AO313" s="95">
        <f t="shared" si="303"/>
        <v>0</v>
      </c>
      <c r="AP313"/>
      <c r="AQ313" s="95">
        <f t="shared" si="304"/>
        <v>0</v>
      </c>
      <c r="AR313" s="95">
        <f t="shared" si="305"/>
        <v>0</v>
      </c>
      <c r="AS313" s="95">
        <f>Geraetedaten!$B$94*ABS(SIN(RADIANS($A313)))</f>
        <v>153.90618736094075</v>
      </c>
      <c r="AT313" s="95">
        <f>Geraetedaten!$B$94*ABS(COS(RADIANS($A313)))</f>
        <v>5.3745224921851973</v>
      </c>
      <c r="AU313" s="95">
        <f>((h_Aw_Sw+Geraetedaten!$B$18)/1000)*(AQ313*AS313+AR313*AT313)/100</f>
        <v>0</v>
      </c>
    </row>
    <row r="314" spans="1:47" ht="13.5" x14ac:dyDescent="0.25">
      <c r="A314" s="16">
        <v>273</v>
      </c>
      <c r="B314" s="16">
        <f t="shared" si="272"/>
        <v>177</v>
      </c>
      <c r="C314" s="19">
        <f t="shared" si="273"/>
        <v>65.028306045391574</v>
      </c>
      <c r="D314" s="17">
        <f t="shared" si="274"/>
        <v>2768.9318139546085</v>
      </c>
      <c r="E314" s="17">
        <f t="shared" si="275"/>
        <v>-160318.5820460454</v>
      </c>
      <c r="F314" s="17">
        <f t="shared" si="276"/>
        <v>-2780.0439660453917</v>
      </c>
      <c r="G314" s="17">
        <f t="shared" si="277"/>
        <v>170063.2332939546</v>
      </c>
      <c r="H314" s="17">
        <f t="shared" si="278"/>
        <v>2768.9318139546085</v>
      </c>
      <c r="I314" s="17">
        <f t="shared" si="279"/>
        <v>1142.9792989790508</v>
      </c>
      <c r="J314" s="20">
        <f>(Geraetedaten!$B$152+(Geraetedaten!$B$153*(Geraetedaten!$B$18+d_y_Sw)/1000))*10</f>
        <v>6051.0442000000003</v>
      </c>
      <c r="K314" s="20">
        <f>(Geraetedaten!$B$165+(Geraetedaten!$B$166*(Geraetedaten!$B$18+d_y_Sw)/1000))*10</f>
        <v>10816.164000000001</v>
      </c>
      <c r="L314" s="20">
        <f>(Geraetedaten!$B$158+(Geraetedaten!$B$159*(Geraetedaten!$B$18+d_y_Sw)/1000)-(Geraetedaten!$B$160*I314/1000))*10</f>
        <v>517.72192800586595</v>
      </c>
      <c r="M314" s="20">
        <f>(Geraetedaten!$B$171+(Geraetedaten!$B$172*(Geraetedaten!$B$18+d_y_Sw)/1000)-(Geraetedaten!$B$173*I314/1000))*10</f>
        <v>979.78362098400044</v>
      </c>
      <c r="N314" s="20">
        <f>IF((H314-J314)/(K314-J314)*(Geraetedaten!$B$174-Geraetedaten!$B$161)&lt;Geraetedaten!$B$174,(H314-J314)/(K314-J314)*(Geraetedaten!$B$174-Geraetedaten!$B$161),Geraetedaten!$B$174)</f>
        <v>-275.51142668399575</v>
      </c>
      <c r="O314" s="20">
        <f>N314/Geraetedaten!$B$174*(M314-L314)+L314+C314</f>
        <v>264.49204343018687</v>
      </c>
      <c r="P314" s="20">
        <f t="shared" si="280"/>
        <v>135.75386634035218</v>
      </c>
      <c r="Q314" s="21">
        <f>(N314-Geraetedaten!$B$161)/(Geraetedaten!$B$174-Geraetedaten!$B$161)*(Geraetedaten!$B$175-Geraetedaten!$B$162)+Geraetedaten!$B$162</f>
        <v>21.003535056151122</v>
      </c>
      <c r="R314" s="21">
        <f t="shared" si="281"/>
        <v>21.003535056151122</v>
      </c>
      <c r="S314" s="21">
        <f t="shared" si="282"/>
        <v>-20.974750441325575</v>
      </c>
      <c r="T314" s="88">
        <f t="shared" si="283"/>
        <v>1.0992400916458644</v>
      </c>
      <c r="U314" s="86">
        <f t="shared" si="284"/>
        <v>2833.9601200000002</v>
      </c>
      <c r="V314" s="85">
        <f t="shared" si="285"/>
        <v>-1141.3067828769733</v>
      </c>
      <c r="W314" s="85">
        <f t="shared" si="286"/>
        <v>1142.9792989790508</v>
      </c>
      <c r="X314" s="90">
        <f t="shared" si="287"/>
        <v>1141.3067828769733</v>
      </c>
      <c r="Y314" s="86">
        <f t="shared" si="288"/>
        <v>-160253.55374</v>
      </c>
      <c r="Z314" s="85">
        <f t="shared" si="289"/>
        <v>-750</v>
      </c>
      <c r="AA314" s="85">
        <f t="shared" si="290"/>
        <v>-14330.491956973125</v>
      </c>
      <c r="AB314" s="90">
        <f t="shared" si="291"/>
        <v>750</v>
      </c>
      <c r="AC314" s="86">
        <f t="shared" si="292"/>
        <v>-2715.01566</v>
      </c>
      <c r="AD314" s="85">
        <f t="shared" si="293"/>
        <v>1055.7627565116984</v>
      </c>
      <c r="AE314" s="85">
        <f t="shared" si="294"/>
        <v>-1057.155789916633</v>
      </c>
      <c r="AF314" s="90">
        <f t="shared" si="295"/>
        <v>1055.7627565116984</v>
      </c>
      <c r="AG314" s="86">
        <f t="shared" si="296"/>
        <v>170128.2616</v>
      </c>
      <c r="AH314" s="85">
        <f t="shared" si="297"/>
        <v>6128</v>
      </c>
      <c r="AI314" s="85">
        <f t="shared" si="298"/>
        <v>117089.67294977508</v>
      </c>
      <c r="AJ314" s="90">
        <f t="shared" si="299"/>
        <v>6128</v>
      </c>
      <c r="AL314" s="95">
        <f t="shared" si="300"/>
        <v>0</v>
      </c>
      <c r="AM314" s="95">
        <f t="shared" si="301"/>
        <v>0</v>
      </c>
      <c r="AN314" s="95">
        <f t="shared" si="302"/>
        <v>0</v>
      </c>
      <c r="AO314" s="95">
        <f t="shared" si="303"/>
        <v>0</v>
      </c>
      <c r="AP314"/>
      <c r="AQ314" s="95">
        <f t="shared" si="304"/>
        <v>0</v>
      </c>
      <c r="AR314" s="95">
        <f t="shared" si="305"/>
        <v>0</v>
      </c>
      <c r="AS314" s="95">
        <f>Geraetedaten!$B$94*ABS(SIN(RADIANS($A314)))</f>
        <v>153.78894835220436</v>
      </c>
      <c r="AT314" s="95">
        <f>Geraetedaten!$B$94*ABS(COS(RADIANS($A314)))</f>
        <v>8.0597372614133675</v>
      </c>
      <c r="AU314" s="95">
        <f>((h_Aw_Sw+Geraetedaten!$B$18)/1000)*(AQ314*AS314+AR314*AT314)/100</f>
        <v>0</v>
      </c>
    </row>
    <row r="315" spans="1:47" ht="13.5" x14ac:dyDescent="0.25">
      <c r="A315" s="16">
        <v>274</v>
      </c>
      <c r="B315" s="16">
        <f t="shared" si="272"/>
        <v>176</v>
      </c>
      <c r="C315" s="19">
        <f t="shared" si="273"/>
        <v>65.48228598049586</v>
      </c>
      <c r="D315" s="17">
        <f t="shared" si="274"/>
        <v>2771.5914740195044</v>
      </c>
      <c r="E315" s="17">
        <f t="shared" si="275"/>
        <v>-120298.38005598049</v>
      </c>
      <c r="F315" s="17">
        <f t="shared" si="276"/>
        <v>-2783.3493659804958</v>
      </c>
      <c r="G315" s="17">
        <f t="shared" si="277"/>
        <v>127576.0795240195</v>
      </c>
      <c r="H315" s="17">
        <f t="shared" si="278"/>
        <v>2771.5914740195044</v>
      </c>
      <c r="I315" s="17">
        <f t="shared" si="279"/>
        <v>1144.2350766382137</v>
      </c>
      <c r="J315" s="20">
        <f>(Geraetedaten!$B$152+(Geraetedaten!$B$153*(Geraetedaten!$B$18+d_y_Sw)/1000))*10</f>
        <v>6051.0442000000003</v>
      </c>
      <c r="K315" s="20">
        <f>(Geraetedaten!$B$165+(Geraetedaten!$B$166*(Geraetedaten!$B$18+d_y_Sw)/1000))*10</f>
        <v>10816.164000000001</v>
      </c>
      <c r="L315" s="20">
        <f>(Geraetedaten!$B$158+(Geraetedaten!$B$159*(Geraetedaten!$B$18+d_y_Sw)/1000)-(Geraetedaten!$B$160*I315/1000))*10</f>
        <v>517.62984183011952</v>
      </c>
      <c r="M315" s="20">
        <f>(Geraetedaten!$B$171+(Geraetedaten!$B$172*(Geraetedaten!$B$18+d_y_Sw)/1000)-(Geraetedaten!$B$173*I315/1000))*10</f>
        <v>979.69014089505231</v>
      </c>
      <c r="N315" s="20">
        <f>IF((H315-J315)/(K315-J315)*(Geraetedaten!$B$174-Geraetedaten!$B$161)&lt;Geraetedaten!$B$174,(H315-J315)/(K315-J315)*(Geraetedaten!$B$174-Geraetedaten!$B$161),Geraetedaten!$B$174)</f>
        <v>-275.2881659747984</v>
      </c>
      <c r="O315" s="20">
        <f>N315/Geraetedaten!$B$174*(M315-L315)+L315+C315</f>
        <v>265.11279706223485</v>
      </c>
      <c r="P315" s="20">
        <f t="shared" si="280"/>
        <v>136.03558278257864</v>
      </c>
      <c r="Q315" s="21">
        <f>(N315-Geraetedaten!$B$161)/(Geraetedaten!$B$174-Geraetedaten!$B$161)*(Geraetedaten!$B$175-Geraetedaten!$B$162)+Geraetedaten!$B$162</f>
        <v>21.010177062249745</v>
      </c>
      <c r="R315" s="21">
        <f t="shared" si="281"/>
        <v>21.010177062249745</v>
      </c>
      <c r="S315" s="21">
        <f t="shared" si="282"/>
        <v>-20.958997326893911</v>
      </c>
      <c r="T315" s="88">
        <f t="shared" si="283"/>
        <v>1.4655958646022462</v>
      </c>
      <c r="U315" s="86">
        <f t="shared" si="284"/>
        <v>2837.0737600000002</v>
      </c>
      <c r="V315" s="85">
        <f t="shared" si="285"/>
        <v>-1141.3067828769733</v>
      </c>
      <c r="W315" s="85">
        <f t="shared" si="286"/>
        <v>1144.2350766382137</v>
      </c>
      <c r="X315" s="90">
        <f t="shared" si="287"/>
        <v>1141.3067828769733</v>
      </c>
      <c r="Y315" s="86">
        <f t="shared" si="288"/>
        <v>-120232.89777</v>
      </c>
      <c r="Z315" s="85">
        <f t="shared" si="289"/>
        <v>-750</v>
      </c>
      <c r="AA315" s="85">
        <f t="shared" si="290"/>
        <v>-10751.690269652761</v>
      </c>
      <c r="AB315" s="90">
        <f t="shared" si="291"/>
        <v>750</v>
      </c>
      <c r="AC315" s="86">
        <f t="shared" si="292"/>
        <v>-2717.86708</v>
      </c>
      <c r="AD315" s="85">
        <f t="shared" si="293"/>
        <v>1055.7627565116984</v>
      </c>
      <c r="AE315" s="85">
        <f t="shared" si="294"/>
        <v>-1058.2660558871794</v>
      </c>
      <c r="AF315" s="90">
        <f t="shared" si="295"/>
        <v>1055.7627565116984</v>
      </c>
      <c r="AG315" s="86">
        <f t="shared" si="296"/>
        <v>127641.56181</v>
      </c>
      <c r="AH315" s="85">
        <f t="shared" si="297"/>
        <v>6128</v>
      </c>
      <c r="AI315" s="85">
        <f t="shared" si="298"/>
        <v>87848.477296576151</v>
      </c>
      <c r="AJ315" s="90">
        <f t="shared" si="299"/>
        <v>6128</v>
      </c>
      <c r="AL315" s="95">
        <f t="shared" si="300"/>
        <v>0</v>
      </c>
      <c r="AM315" s="95">
        <f t="shared" si="301"/>
        <v>0</v>
      </c>
      <c r="AN315" s="95">
        <f t="shared" si="302"/>
        <v>0</v>
      </c>
      <c r="AO315" s="95">
        <f t="shared" si="303"/>
        <v>0</v>
      </c>
      <c r="AP315"/>
      <c r="AQ315" s="95">
        <f t="shared" si="304"/>
        <v>0</v>
      </c>
      <c r="AR315" s="95">
        <f t="shared" si="305"/>
        <v>0</v>
      </c>
      <c r="AS315" s="95">
        <f>Geraetedaten!$B$94*ABS(SIN(RADIANS($A315)))</f>
        <v>153.62486374001296</v>
      </c>
      <c r="AT315" s="95">
        <f>Geraetedaten!$B$94*ABS(COS(RADIANS($A315)))</f>
        <v>10.742496956595284</v>
      </c>
      <c r="AU315" s="95">
        <f>((h_Aw_Sw+Geraetedaten!$B$18)/1000)*(AQ315*AS315+AR315*AT315)/100</f>
        <v>0</v>
      </c>
    </row>
    <row r="316" spans="1:47" ht="13.5" x14ac:dyDescent="0.25">
      <c r="A316" s="16">
        <v>275</v>
      </c>
      <c r="B316" s="16">
        <f t="shared" si="272"/>
        <v>175</v>
      </c>
      <c r="C316" s="19">
        <f t="shared" si="273"/>
        <v>65.916319376949318</v>
      </c>
      <c r="D316" s="17">
        <f t="shared" si="274"/>
        <v>2775.1442906230509</v>
      </c>
      <c r="E316" s="17">
        <f t="shared" si="275"/>
        <v>-96296.212939376943</v>
      </c>
      <c r="F316" s="17">
        <f t="shared" si="276"/>
        <v>-2787.4706893769489</v>
      </c>
      <c r="G316" s="17">
        <f t="shared" si="277"/>
        <v>102094.02144062305</v>
      </c>
      <c r="H316" s="17">
        <f t="shared" si="278"/>
        <v>2775.1442906230509</v>
      </c>
      <c r="I316" s="17">
        <f t="shared" si="279"/>
        <v>1145.843035539074</v>
      </c>
      <c r="J316" s="20">
        <f>(Geraetedaten!$B$152+(Geraetedaten!$B$153*(Geraetedaten!$B$18+d_y_Sw)/1000))*10</f>
        <v>6051.0442000000003</v>
      </c>
      <c r="K316" s="20">
        <f>(Geraetedaten!$B$165+(Geraetedaten!$B$166*(Geraetedaten!$B$18+d_y_Sw)/1000))*10</f>
        <v>10816.164000000001</v>
      </c>
      <c r="L316" s="20">
        <f>(Geraetedaten!$B$158+(Geraetedaten!$B$159*(Geraetedaten!$B$18+d_y_Sw)/1000)-(Geraetedaten!$B$160*I316/1000))*10</f>
        <v>517.51193020391941</v>
      </c>
      <c r="M316" s="20">
        <f>(Geraetedaten!$B$171+(Geraetedaten!$B$172*(Geraetedaten!$B$18+d_y_Sw)/1000)-(Geraetedaten!$B$173*I316/1000))*10</f>
        <v>979.57044443447228</v>
      </c>
      <c r="N316" s="20">
        <f>IF((H316-J316)/(K316-J316)*(Geraetedaten!$B$174-Geraetedaten!$B$161)&lt;Geraetedaten!$B$174,(H316-J316)/(K316-J316)*(Geraetedaten!$B$174-Geraetedaten!$B$161),Geraetedaten!$B$174)</f>
        <v>-274.98993073600786</v>
      </c>
      <c r="O316" s="20">
        <f>N316/Geraetedaten!$B$174*(M316-L316)+L316+C316</f>
        <v>265.77465252026263</v>
      </c>
      <c r="P316" s="20">
        <f t="shared" si="280"/>
        <v>136.32534512294353</v>
      </c>
      <c r="Q316" s="21">
        <f>(N316-Geraetedaten!$B$161)/(Geraetedaten!$B$174-Geraetedaten!$B$161)*(Geraetedaten!$B$175-Geraetedaten!$B$162)+Geraetedaten!$B$162</f>
        <v>21.019049560603762</v>
      </c>
      <c r="R316" s="21">
        <f t="shared" si="281"/>
        <v>21.019049560603762</v>
      </c>
      <c r="S316" s="21">
        <f t="shared" si="282"/>
        <v>-20.939065731201101</v>
      </c>
      <c r="T316" s="88">
        <f t="shared" si="283"/>
        <v>1.831930876304253</v>
      </c>
      <c r="U316" s="86">
        <f t="shared" si="284"/>
        <v>2841.06061</v>
      </c>
      <c r="V316" s="85">
        <f t="shared" si="285"/>
        <v>-1141.3067828769733</v>
      </c>
      <c r="W316" s="85">
        <f t="shared" si="286"/>
        <v>1145.843035539074</v>
      </c>
      <c r="X316" s="90">
        <f t="shared" si="287"/>
        <v>1141.3067828769733</v>
      </c>
      <c r="Y316" s="86">
        <f t="shared" si="288"/>
        <v>-96230.296619999994</v>
      </c>
      <c r="Z316" s="85">
        <f t="shared" si="289"/>
        <v>-750</v>
      </c>
      <c r="AA316" s="85">
        <f t="shared" si="290"/>
        <v>-8605.2849342524132</v>
      </c>
      <c r="AB316" s="90">
        <f t="shared" si="291"/>
        <v>750</v>
      </c>
      <c r="AC316" s="86">
        <f t="shared" si="292"/>
        <v>-2721.5543699999998</v>
      </c>
      <c r="AD316" s="85">
        <f t="shared" si="293"/>
        <v>1055.7627565116984</v>
      </c>
      <c r="AE316" s="85">
        <f t="shared" si="294"/>
        <v>-1059.7017911980784</v>
      </c>
      <c r="AF316" s="90">
        <f t="shared" si="295"/>
        <v>1055.7627565116984</v>
      </c>
      <c r="AG316" s="86">
        <f t="shared" si="296"/>
        <v>102159.93776</v>
      </c>
      <c r="AH316" s="85">
        <f t="shared" si="297"/>
        <v>6128</v>
      </c>
      <c r="AI316" s="85">
        <f t="shared" si="298"/>
        <v>70310.91476946506</v>
      </c>
      <c r="AJ316" s="90">
        <f t="shared" si="299"/>
        <v>6128</v>
      </c>
      <c r="AL316" s="95">
        <f t="shared" si="300"/>
        <v>0</v>
      </c>
      <c r="AM316" s="95">
        <f t="shared" si="301"/>
        <v>0</v>
      </c>
      <c r="AN316" s="95">
        <f t="shared" si="302"/>
        <v>0</v>
      </c>
      <c r="AO316" s="95">
        <f t="shared" si="303"/>
        <v>0</v>
      </c>
      <c r="AP316"/>
      <c r="AQ316" s="95">
        <f t="shared" si="304"/>
        <v>0</v>
      </c>
      <c r="AR316" s="95">
        <f t="shared" si="305"/>
        <v>0</v>
      </c>
      <c r="AS316" s="95">
        <f>Geraetedaten!$B$94*ABS(SIN(RADIANS($A316)))</f>
        <v>153.4139835061288</v>
      </c>
      <c r="AT316" s="95">
        <f>Geraetedaten!$B$94*ABS(COS(RADIANS($A316)))</f>
        <v>13.421984383139314</v>
      </c>
      <c r="AU316" s="95">
        <f>((h_Aw_Sw+Geraetedaten!$B$18)/1000)*(AQ316*AS316+AR316*AT316)/100</f>
        <v>0</v>
      </c>
    </row>
    <row r="317" spans="1:47" ht="13.5" x14ac:dyDescent="0.25">
      <c r="A317" s="16">
        <v>276</v>
      </c>
      <c r="B317" s="16">
        <f t="shared" ref="B317:B348" si="306">360-A317+90</f>
        <v>174</v>
      </c>
      <c r="C317" s="19">
        <f t="shared" ref="C317:C348" si="307">$AE$16*ABS(COS(RADIANS(A317)))+$AE$17*ABS(SIN(RADIANS(A317)))+AU317</f>
        <v>66.330274023974852</v>
      </c>
      <c r="D317" s="17">
        <f t="shared" ref="D317:D348" si="308">IF(ISNUMBER(U317),U317-C317,"unendlich")</f>
        <v>2779.5965359760253</v>
      </c>
      <c r="E317" s="17">
        <f t="shared" ref="E317:E348" si="309">IF(ISNUMBER(Y317),Y317-C317,"unendlich")</f>
        <v>-80303.068804023977</v>
      </c>
      <c r="F317" s="17">
        <f t="shared" ref="F317:F348" si="310">IF(ISNUMBER(AC317),AC317-C317,"unendlich")</f>
        <v>-2792.4134740239747</v>
      </c>
      <c r="G317" s="17">
        <f t="shared" ref="G317:G348" si="311">IF(ISNUMBER(AG317),AG317-C317,"unendlich")</f>
        <v>85114.53794597603</v>
      </c>
      <c r="H317" s="17">
        <f t="shared" ref="H317:H348" si="312">SMALL(D317:G317,COUNTIF(D317:G317,"&lt;0")+1)</f>
        <v>2779.5965359760253</v>
      </c>
      <c r="I317" s="17">
        <f t="shared" ref="I317:I348" si="313">IF(H317+C317=U317,W317,IF(H317+C317=Y317,AA317,IF(H317+C317=AC317,AE317,IF(H317+C317=AG317,AI317,"???"))))</f>
        <v>1147.8056447696372</v>
      </c>
      <c r="J317" s="20">
        <f>(Geraetedaten!$B$152+(Geraetedaten!$B$153*(Geraetedaten!$B$18+d_y_Sw)/1000))*10</f>
        <v>6051.0442000000003</v>
      </c>
      <c r="K317" s="20">
        <f>(Geraetedaten!$B$165+(Geraetedaten!$B$166*(Geraetedaten!$B$18+d_y_Sw)/1000))*10</f>
        <v>10816.164000000001</v>
      </c>
      <c r="L317" s="20">
        <f>(Geraetedaten!$B$158+(Geraetedaten!$B$159*(Geraetedaten!$B$18+d_y_Sw)/1000)-(Geraetedaten!$B$160*I317/1000))*10</f>
        <v>517.36801206904227</v>
      </c>
      <c r="M317" s="20">
        <f>(Geraetedaten!$B$171+(Geraetedaten!$B$172*(Geraetedaten!$B$18+d_y_Sw)/1000)-(Geraetedaten!$B$173*I317/1000))*10</f>
        <v>979.42434780334918</v>
      </c>
      <c r="N317" s="20">
        <f>IF((H317-J317)/(K317-J317)*(Geraetedaten!$B$174-Geraetedaten!$B$161)&lt;Geraetedaten!$B$174,(H317-J317)/(K317-J317)*(Geraetedaten!$B$174-Geraetedaten!$B$161),Geraetedaten!$B$174)</f>
        <v>-274.61619445739643</v>
      </c>
      <c r="O317" s="20">
        <f>N317/Geraetedaten!$B$174*(M317-L317)+L317+C317</f>
        <v>266.47790473230589</v>
      </c>
      <c r="P317" s="20">
        <f t="shared" ref="P317:P348" si="314">O317*100/9.81/(Q317-(I317/1000))</f>
        <v>136.6231229613729</v>
      </c>
      <c r="Q317" s="21">
        <f>(N317-Geraetedaten!$B$161)/(Geraetedaten!$B$174-Geraetedaten!$B$161)*(Geraetedaten!$B$175-Geraetedaten!$B$162)+Geraetedaten!$B$162</f>
        <v>21.030168214892456</v>
      </c>
      <c r="R317" s="21">
        <f t="shared" ref="R317:R348" si="315">SQRT((r_K_D/1000)^2+Q317^2-(2*(r_K_D/1000)*Q317*COS(RADIANS(2*A317))))</f>
        <v>21.030168214892456</v>
      </c>
      <c r="S317" s="21">
        <f t="shared" ref="S317:S348" si="316">R317*SIN(A317*Const_2)</f>
        <v>-20.914962752988465</v>
      </c>
      <c r="T317" s="88">
        <f t="shared" ref="T317:T348" si="317">R317*COS(A317*Const_2)</f>
        <v>2.1982511657629495</v>
      </c>
      <c r="U317" s="86">
        <f t="shared" ref="U317:U348" si="318">ROUND((F_S*r_Su_L-F_G*V317+F_SSw*X317)/(SIN(RADIANS(270+g_L-A317)))/1000,5)</f>
        <v>2845.9268099999999</v>
      </c>
      <c r="V317" s="85">
        <f t="shared" ref="V317:V348" si="319">(SIN(RADIANS(g_L)))*(((VL_Z-HL_Z)/(VL_X-HL_X))*(-HL_X+AM317)+HL_Z-AL317)</f>
        <v>-1141.3067828769733</v>
      </c>
      <c r="W317" s="85">
        <f t="shared" ref="W317:W348" si="320">V317/(SIN(RADIANS(180-g_L-(90-$A317))))</f>
        <v>1147.8056447696372</v>
      </c>
      <c r="X317" s="90">
        <f t="shared" ref="X317:X348" si="321">SIN(RADIANS(g_L))*(((VL_Z-HL_Z)/(VL_X-HL_X))*(-AO317+HL_X)-HL_Z+AN317)</f>
        <v>1141.3067828769733</v>
      </c>
      <c r="Y317" s="86">
        <f t="shared" ref="Y317:Y348" si="322">ROUND((F_S*r_Su_H-F_G*Z317+F_SSw*AB317)/(SIN(RADIANS(180+g_H-A317)))/1000,5)</f>
        <v>-80236.738530000002</v>
      </c>
      <c r="Z317" s="85">
        <f t="shared" ref="Z317:Z348" si="323">(SIN(RADIANS(g_H)))*(((HL_X-HR_X)/(HL_Z-HR_Z))*(-HR_Z+AL317)+HR_X-AM317)</f>
        <v>-750</v>
      </c>
      <c r="AA317" s="85">
        <f t="shared" ref="AA317:AA348" si="324">Z317/(SIN(RADIANS(g_H-$A317)))</f>
        <v>-7175.0791751292181</v>
      </c>
      <c r="AB317" s="90">
        <f t="shared" ref="AB317:AB348" si="325">SIN(RADIANS(g_H))*(((HL_X-HR_X)/(HL_Z-HR_Z))*(-AN317+HR_Z)-HR_X+AO317)</f>
        <v>750</v>
      </c>
      <c r="AC317" s="86">
        <f t="shared" ref="AC317:AC348" si="326">ROUND((F_S*r_Su_R+F_G*AD317+F_SSw*AF317)/(SIN(RADIANS(90+g_R-A317)))/1000,5)</f>
        <v>-2726.0832</v>
      </c>
      <c r="AD317" s="85">
        <f t="shared" ref="AD317:AD348" si="327">(SIN(RADIANS(g_R)))*(((HR_Z-VR_Z)/(HR_X-VR_X))*(-VR_X+AM317)+VR_Z-AL317)</f>
        <v>1055.7627565116984</v>
      </c>
      <c r="AE317" s="85">
        <f t="shared" ref="AE317:AE348" si="328">AD317/(SIN(RADIANS(180-g_R-(90-$A317))))</f>
        <v>-1061.4651993261707</v>
      </c>
      <c r="AF317" s="90">
        <f t="shared" ref="AF317:AF348" si="329">(SIN(RADIANS(g_R)))*(((HR_Z-VR_Z)/(HR_X-VR_X))*(-VR_X+AO317)+VR_Z-AN317)</f>
        <v>1055.7627565116984</v>
      </c>
      <c r="AG317" s="86">
        <f t="shared" ref="AG317:AG348" si="330">ROUND((F_S*r_Su_V+F_G*AH317+F_SSw*AJ317)/(SIN(RADIANS(g_V-A317)))/1000,5)</f>
        <v>85180.868220000004</v>
      </c>
      <c r="AH317" s="85">
        <f t="shared" ref="AH317:AH348" si="331">(SIN(RADIANS(g_V)))*(((VR_X-VL_X)/(VR_Z-VL_Z))*(AL317-VL_Z)+VL_X-AM317)</f>
        <v>6128</v>
      </c>
      <c r="AI317" s="85">
        <f t="shared" ref="AI317:AI348" si="332">AH317/(SIN(RADIANS(g_V-$A317)))</f>
        <v>58625.180246922464</v>
      </c>
      <c r="AJ317" s="90">
        <f t="shared" ref="AJ317:AJ348" si="333">(SIN(RADIANS(g_V)))*(((VR_X-VL_X)/(VR_Z-VL_Z))*(-VL_Z+AN317)+VL_X-AO317)</f>
        <v>6128</v>
      </c>
      <c r="AL317" s="95">
        <f t="shared" ref="AL317:AL348" si="334">SIN(RADIANS(A317))*r_K_D</f>
        <v>0</v>
      </c>
      <c r="AM317" s="95">
        <f t="shared" ref="AM317:AM348" si="335">COS(RADIANS(A317-180))*r_K_D</f>
        <v>0</v>
      </c>
      <c r="AN317" s="95">
        <f t="shared" ref="AN317:AN348" si="336">SIN(RADIANS(A317))*r_K_SSw</f>
        <v>0</v>
      </c>
      <c r="AO317" s="95">
        <f t="shared" ref="AO317:AO348" si="337">-COS(RADIANS(A317))*r_K_SSw</f>
        <v>0</v>
      </c>
      <c r="AP317"/>
      <c r="AQ317" s="95">
        <f t="shared" ref="AQ317:AQ348" si="338">MAX(d_y_Sw*(r_K_D*ABS(COS(RADIANS($A317)))+_r1_Sw+_r2_Sw), 2*_r1_Sw*d_y_Sw)/1000000</f>
        <v>0</v>
      </c>
      <c r="AR317" s="95">
        <f t="shared" ref="AR317:AR348" si="339">MAX(d_y_Sw*(r_K_D*ABS(SIN(RADIANS($A317)))+_r1_Sw+_r2_Sw), 2*_r1_Sw*d_y_Sw)/1000000</f>
        <v>0</v>
      </c>
      <c r="AS317" s="95">
        <f>Geraetedaten!$B$94*ABS(SIN(RADIANS($A317)))</f>
        <v>153.15637188671411</v>
      </c>
      <c r="AT317" s="95">
        <f>Geraetedaten!$B$94*ABS(COS(RADIANS($A317)))</f>
        <v>16.09738334321856</v>
      </c>
      <c r="AU317" s="95">
        <f>((h_Aw_Sw+Geraetedaten!$B$18)/1000)*(AQ317*AS317+AR317*AT317)/100</f>
        <v>0</v>
      </c>
    </row>
    <row r="318" spans="1:47" ht="13.5" x14ac:dyDescent="0.25">
      <c r="A318" s="16">
        <v>277</v>
      </c>
      <c r="B318" s="16">
        <f t="shared" si="306"/>
        <v>173</v>
      </c>
      <c r="C318" s="19">
        <f t="shared" si="307"/>
        <v>66.724023826976904</v>
      </c>
      <c r="D318" s="17">
        <f t="shared" si="308"/>
        <v>2784.9558161730229</v>
      </c>
      <c r="E318" s="17">
        <f t="shared" si="309"/>
        <v>-68886.51694382698</v>
      </c>
      <c r="F318" s="17">
        <f t="shared" si="310"/>
        <v>-2798.1845738269767</v>
      </c>
      <c r="G318" s="17">
        <f t="shared" si="311"/>
        <v>72993.694666173033</v>
      </c>
      <c r="H318" s="17">
        <f t="shared" si="312"/>
        <v>2784.9558161730229</v>
      </c>
      <c r="I318" s="17">
        <f t="shared" si="313"/>
        <v>1150.1259292748518</v>
      </c>
      <c r="J318" s="20">
        <f>(Geraetedaten!$B$152+(Geraetedaten!$B$153*(Geraetedaten!$B$18+d_y_Sw)/1000))*10</f>
        <v>6051.0442000000003</v>
      </c>
      <c r="K318" s="20">
        <f>(Geraetedaten!$B$165+(Geraetedaten!$B$166*(Geraetedaten!$B$18+d_y_Sw)/1000))*10</f>
        <v>10816.164000000001</v>
      </c>
      <c r="L318" s="20">
        <f>(Geraetedaten!$B$158+(Geraetedaten!$B$159*(Geraetedaten!$B$18+d_y_Sw)/1000)-(Geraetedaten!$B$160*I318/1000))*10</f>
        <v>517.19786560627483</v>
      </c>
      <c r="M318" s="20">
        <f>(Geraetedaten!$B$171+(Geraetedaten!$B$172*(Geraetedaten!$B$18+d_y_Sw)/1000)-(Geraetedaten!$B$173*I318/1000))*10</f>
        <v>979.25162582478094</v>
      </c>
      <c r="N318" s="20">
        <f>IF((H318-J318)/(K318-J318)*(Geraetedaten!$B$174-Geraetedaten!$B$161)&lt;Geraetedaten!$B$174,(H318-J318)/(K318-J318)*(Geraetedaten!$B$174-Geraetedaten!$B$161),Geraetedaten!$B$174)</f>
        <v>-274.16631865809353</v>
      </c>
      <c r="O318" s="20">
        <f>N318/Geraetedaten!$B$174*(M318-L318)+L318+C318</f>
        <v>267.22294328015857</v>
      </c>
      <c r="P318" s="20">
        <f t="shared" si="314"/>
        <v>136.9289099952934</v>
      </c>
      <c r="Q318" s="21">
        <f>(N318-Geraetedaten!$B$161)/(Geraetedaten!$B$174-Geraetedaten!$B$161)*(Geraetedaten!$B$175-Geraetedaten!$B$162)+Geraetedaten!$B$162</f>
        <v>21.043552019921716</v>
      </c>
      <c r="R318" s="21">
        <f t="shared" si="315"/>
        <v>21.043552019921716</v>
      </c>
      <c r="S318" s="21">
        <f t="shared" si="316"/>
        <v>-20.886696574237266</v>
      </c>
      <c r="T318" s="88">
        <f t="shared" si="317"/>
        <v>2.5645638675799289</v>
      </c>
      <c r="U318" s="86">
        <f t="shared" si="318"/>
        <v>2851.6798399999998</v>
      </c>
      <c r="V318" s="85">
        <f t="shared" si="319"/>
        <v>-1141.3067828769733</v>
      </c>
      <c r="W318" s="85">
        <f t="shared" si="320"/>
        <v>1150.1259292748518</v>
      </c>
      <c r="X318" s="90">
        <f t="shared" si="321"/>
        <v>1141.3067828769733</v>
      </c>
      <c r="Y318" s="86">
        <f t="shared" si="322"/>
        <v>-68819.792920000007</v>
      </c>
      <c r="Z318" s="85">
        <f t="shared" si="323"/>
        <v>-750</v>
      </c>
      <c r="AA318" s="85">
        <f t="shared" si="324"/>
        <v>-6154.131786093817</v>
      </c>
      <c r="AB318" s="90">
        <f t="shared" si="325"/>
        <v>750</v>
      </c>
      <c r="AC318" s="86">
        <f t="shared" si="326"/>
        <v>-2731.4605499999998</v>
      </c>
      <c r="AD318" s="85">
        <f t="shared" si="327"/>
        <v>1055.7627565116984</v>
      </c>
      <c r="AE318" s="85">
        <f t="shared" si="328"/>
        <v>-1063.5589964512692</v>
      </c>
      <c r="AF318" s="90">
        <f t="shared" si="329"/>
        <v>1055.7627565116984</v>
      </c>
      <c r="AG318" s="86">
        <f t="shared" si="330"/>
        <v>73060.418690000006</v>
      </c>
      <c r="AH318" s="85">
        <f t="shared" si="331"/>
        <v>6128</v>
      </c>
      <c r="AI318" s="85">
        <f t="shared" si="332"/>
        <v>50283.359446910552</v>
      </c>
      <c r="AJ318" s="90">
        <f t="shared" si="333"/>
        <v>6128</v>
      </c>
      <c r="AL318" s="95">
        <f t="shared" si="334"/>
        <v>0</v>
      </c>
      <c r="AM318" s="95">
        <f t="shared" si="335"/>
        <v>0</v>
      </c>
      <c r="AN318" s="95">
        <f t="shared" si="336"/>
        <v>0</v>
      </c>
      <c r="AO318" s="95">
        <f t="shared" si="337"/>
        <v>0</v>
      </c>
      <c r="AP318"/>
      <c r="AQ318" s="95">
        <f t="shared" si="338"/>
        <v>0</v>
      </c>
      <c r="AR318" s="95">
        <f t="shared" si="339"/>
        <v>0</v>
      </c>
      <c r="AS318" s="95">
        <f>Geraetedaten!$B$94*ABS(SIN(RADIANS($A318)))</f>
        <v>152.8521073527636</v>
      </c>
      <c r="AT318" s="95">
        <f>Geraetedaten!$B$94*ABS(COS(RADIANS($A318)))</f>
        <v>18.767878884392744</v>
      </c>
      <c r="AU318" s="95">
        <f>((h_Aw_Sw+Geraetedaten!$B$18)/1000)*(AQ318*AS318+AR318*AT318)/100</f>
        <v>0</v>
      </c>
    </row>
    <row r="319" spans="1:47" ht="13.5" x14ac:dyDescent="0.25">
      <c r="A319" s="16">
        <v>278</v>
      </c>
      <c r="B319" s="16">
        <f t="shared" si="306"/>
        <v>172</v>
      </c>
      <c r="C319" s="19">
        <f t="shared" si="307"/>
        <v>67.097448845951106</v>
      </c>
      <c r="D319" s="17">
        <f t="shared" si="308"/>
        <v>2791.231161154049</v>
      </c>
      <c r="E319" s="17">
        <f t="shared" si="309"/>
        <v>-60330.344578845958</v>
      </c>
      <c r="F319" s="17">
        <f t="shared" si="310"/>
        <v>-2804.7921788459512</v>
      </c>
      <c r="G319" s="17">
        <f t="shared" si="311"/>
        <v>63909.527301154048</v>
      </c>
      <c r="H319" s="17">
        <f t="shared" si="312"/>
        <v>2791.231161154049</v>
      </c>
      <c r="I319" s="17">
        <f t="shared" si="313"/>
        <v>1152.8074812988405</v>
      </c>
      <c r="J319" s="20">
        <f>(Geraetedaten!$B$152+(Geraetedaten!$B$153*(Geraetedaten!$B$18+d_y_Sw)/1000))*10</f>
        <v>6051.0442000000003</v>
      </c>
      <c r="K319" s="20">
        <f>(Geraetedaten!$B$165+(Geraetedaten!$B$166*(Geraetedaten!$B$18+d_y_Sw)/1000))*10</f>
        <v>10816.164000000001</v>
      </c>
      <c r="L319" s="20">
        <f>(Geraetedaten!$B$158+(Geraetedaten!$B$159*(Geraetedaten!$B$18+d_y_Sw)/1000)-(Geraetedaten!$B$160*I319/1000))*10</f>
        <v>517.00122739635572</v>
      </c>
      <c r="M319" s="20">
        <f>(Geraetedaten!$B$171+(Geraetedaten!$B$172*(Geraetedaten!$B$18+d_y_Sw)/1000)-(Geraetedaten!$B$173*I319/1000))*10</f>
        <v>979.05201109211532</v>
      </c>
      <c r="N319" s="20">
        <f>IF((H319-J319)/(K319-J319)*(Geraetedaten!$B$174-Geraetedaten!$B$161)&lt;Geraetedaten!$B$174,(H319-J319)/(K319-J319)*(Geraetedaten!$B$174-Geraetedaten!$B$161),Geraetedaten!$B$174)</f>
        <v>-273.63954533491068</v>
      </c>
      <c r="O319" s="20">
        <f>N319/Geraetedaten!$B$174*(M319-L319)+L319+C319</f>
        <v>268.01026031193976</v>
      </c>
      <c r="P319" s="20">
        <f t="shared" si="314"/>
        <v>137.24272628012554</v>
      </c>
      <c r="Q319" s="21">
        <f>(N319-Geraetedaten!$B$161)/(Geraetedaten!$B$174-Geraetedaten!$B$161)*(Geraetedaten!$B$175-Geraetedaten!$B$162)+Geraetedaten!$B$162</f>
        <v>21.059223526286406</v>
      </c>
      <c r="R319" s="21">
        <f t="shared" si="315"/>
        <v>21.059223526286406</v>
      </c>
      <c r="S319" s="21">
        <f t="shared" si="316"/>
        <v>-20.854276610572683</v>
      </c>
      <c r="T319" s="88">
        <f t="shared" si="317"/>
        <v>2.9308774419644439</v>
      </c>
      <c r="U319" s="86">
        <f t="shared" si="318"/>
        <v>2858.32861</v>
      </c>
      <c r="V319" s="85">
        <f t="shared" si="319"/>
        <v>-1141.3067828769733</v>
      </c>
      <c r="W319" s="85">
        <f t="shared" si="320"/>
        <v>1152.8074812988405</v>
      </c>
      <c r="X319" s="90">
        <f t="shared" si="321"/>
        <v>1141.3067828769733</v>
      </c>
      <c r="Y319" s="86">
        <f t="shared" si="322"/>
        <v>-60263.247130000003</v>
      </c>
      <c r="Z319" s="85">
        <f t="shared" si="323"/>
        <v>-750</v>
      </c>
      <c r="AA319" s="85">
        <f t="shared" si="324"/>
        <v>-5388.9724007457862</v>
      </c>
      <c r="AB319" s="90">
        <f t="shared" si="325"/>
        <v>750</v>
      </c>
      <c r="AC319" s="86">
        <f t="shared" si="326"/>
        <v>-2737.6947300000002</v>
      </c>
      <c r="AD319" s="85">
        <f t="shared" si="327"/>
        <v>1055.7627565116984</v>
      </c>
      <c r="AE319" s="85">
        <f t="shared" si="328"/>
        <v>-1065.9864217209094</v>
      </c>
      <c r="AF319" s="90">
        <f t="shared" si="329"/>
        <v>1055.7627565116984</v>
      </c>
      <c r="AG319" s="86">
        <f t="shared" si="330"/>
        <v>63976.624750000003</v>
      </c>
      <c r="AH319" s="85">
        <f t="shared" si="331"/>
        <v>6128</v>
      </c>
      <c r="AI319" s="85">
        <f t="shared" si="332"/>
        <v>44031.49716236024</v>
      </c>
      <c r="AJ319" s="90">
        <f t="shared" si="333"/>
        <v>6128</v>
      </c>
      <c r="AL319" s="95">
        <f t="shared" si="334"/>
        <v>0</v>
      </c>
      <c r="AM319" s="95">
        <f t="shared" si="335"/>
        <v>0</v>
      </c>
      <c r="AN319" s="95">
        <f t="shared" si="336"/>
        <v>0</v>
      </c>
      <c r="AO319" s="95">
        <f t="shared" si="337"/>
        <v>0</v>
      </c>
      <c r="AP319"/>
      <c r="AQ319" s="95">
        <f t="shared" si="338"/>
        <v>0</v>
      </c>
      <c r="AR319" s="95">
        <f t="shared" si="339"/>
        <v>0</v>
      </c>
      <c r="AS319" s="95">
        <f>Geraetedaten!$B$94*ABS(SIN(RADIANS($A319)))</f>
        <v>152.50128258620182</v>
      </c>
      <c r="AT319" s="95">
        <f>Geraetedaten!$B$94*ABS(COS(RADIANS($A319)))</f>
        <v>21.432657547850081</v>
      </c>
      <c r="AU319" s="95">
        <f>((h_Aw_Sw+Geraetedaten!$B$18)/1000)*(AQ319*AS319+AR319*AT319)/100</f>
        <v>0</v>
      </c>
    </row>
    <row r="320" spans="1:47" ht="13.5" x14ac:dyDescent="0.25">
      <c r="A320" s="16">
        <v>279</v>
      </c>
      <c r="B320" s="16">
        <f t="shared" si="306"/>
        <v>171</v>
      </c>
      <c r="C320" s="19">
        <f t="shared" si="307"/>
        <v>67.450435332019254</v>
      </c>
      <c r="D320" s="17">
        <f t="shared" si="308"/>
        <v>2798.4330446679805</v>
      </c>
      <c r="E320" s="17">
        <f t="shared" si="309"/>
        <v>-53681.10248533202</v>
      </c>
      <c r="F320" s="17">
        <f t="shared" si="310"/>
        <v>-2812.2458653320195</v>
      </c>
      <c r="G320" s="17">
        <f t="shared" si="311"/>
        <v>56849.835994667978</v>
      </c>
      <c r="H320" s="17">
        <f t="shared" si="312"/>
        <v>2798.4330446679805</v>
      </c>
      <c r="I320" s="17">
        <f t="shared" si="313"/>
        <v>1155.8544740612692</v>
      </c>
      <c r="J320" s="20">
        <f>(Geraetedaten!$B$152+(Geraetedaten!$B$153*(Geraetedaten!$B$18+d_y_Sw)/1000))*10</f>
        <v>6051.0442000000003</v>
      </c>
      <c r="K320" s="20">
        <f>(Geraetedaten!$B$165+(Geraetedaten!$B$166*(Geraetedaten!$B$18+d_y_Sw)/1000))*10</f>
        <v>10816.164000000001</v>
      </c>
      <c r="L320" s="20">
        <f>(Geraetedaten!$B$158+(Geraetedaten!$B$159*(Geraetedaten!$B$18+d_y_Sw)/1000)-(Geraetedaten!$B$160*I320/1000))*10</f>
        <v>516.77779141708686</v>
      </c>
      <c r="M320" s="20">
        <f>(Geraetedaten!$B$171+(Geraetedaten!$B$172*(Geraetedaten!$B$18+d_y_Sw)/1000)-(Geraetedaten!$B$173*I320/1000))*10</f>
        <v>978.82519295088002</v>
      </c>
      <c r="N320" s="20">
        <f>IF((H320-J320)/(K320-J320)*(Geraetedaten!$B$174-Geraetedaten!$B$161)&lt;Geraetedaten!$B$174,(H320-J320)/(K320-J320)*(Geraetedaten!$B$174-Geraetedaten!$B$161),Geraetedaten!$B$174)</f>
        <v>-273.03499528654197</v>
      </c>
      <c r="O320" s="20">
        <f>N320/Geraetedaten!$B$174*(M320-L320)+L320+C320</f>
        <v>268.84045149926067</v>
      </c>
      <c r="P320" s="20">
        <f t="shared" si="314"/>
        <v>137.56461807092728</v>
      </c>
      <c r="Q320" s="21">
        <f>(N320-Geraetedaten!$B$161)/(Geraetedaten!$B$174-Geraetedaten!$B$161)*(Geraetedaten!$B$175-Geraetedaten!$B$162)+Geraetedaten!$B$162</f>
        <v>21.077208890225371</v>
      </c>
      <c r="R320" s="21">
        <f t="shared" si="315"/>
        <v>21.077208890225371</v>
      </c>
      <c r="S320" s="21">
        <f t="shared" si="316"/>
        <v>-20.817713473163781</v>
      </c>
      <c r="T320" s="88">
        <f t="shared" si="317"/>
        <v>3.2972018972836001</v>
      </c>
      <c r="U320" s="86">
        <f t="shared" si="318"/>
        <v>2865.88348</v>
      </c>
      <c r="V320" s="85">
        <f t="shared" si="319"/>
        <v>-1141.3067828769733</v>
      </c>
      <c r="W320" s="85">
        <f t="shared" si="320"/>
        <v>1155.8544740612692</v>
      </c>
      <c r="X320" s="90">
        <f t="shared" si="321"/>
        <v>1141.3067828769733</v>
      </c>
      <c r="Y320" s="86">
        <f t="shared" si="322"/>
        <v>-53613.652049999997</v>
      </c>
      <c r="Z320" s="85">
        <f t="shared" si="323"/>
        <v>-750</v>
      </c>
      <c r="AA320" s="85">
        <f t="shared" si="324"/>
        <v>-4794.3399161247507</v>
      </c>
      <c r="AB320" s="90">
        <f t="shared" si="325"/>
        <v>750</v>
      </c>
      <c r="AC320" s="86">
        <f t="shared" si="326"/>
        <v>-2744.7954300000001</v>
      </c>
      <c r="AD320" s="85">
        <f t="shared" si="327"/>
        <v>1055.7627565116984</v>
      </c>
      <c r="AE320" s="85">
        <f t="shared" si="328"/>
        <v>-1068.7512495689227</v>
      </c>
      <c r="AF320" s="90">
        <f t="shared" si="329"/>
        <v>1055.7627565116984</v>
      </c>
      <c r="AG320" s="86">
        <f t="shared" si="330"/>
        <v>56917.28643</v>
      </c>
      <c r="AH320" s="85">
        <f t="shared" si="331"/>
        <v>6128</v>
      </c>
      <c r="AI320" s="85">
        <f t="shared" si="332"/>
        <v>39172.953341349959</v>
      </c>
      <c r="AJ320" s="90">
        <f t="shared" si="333"/>
        <v>6128</v>
      </c>
      <c r="AL320" s="95">
        <f t="shared" si="334"/>
        <v>0</v>
      </c>
      <c r="AM320" s="95">
        <f t="shared" si="335"/>
        <v>0</v>
      </c>
      <c r="AN320" s="95">
        <f t="shared" si="336"/>
        <v>0</v>
      </c>
      <c r="AO320" s="95">
        <f t="shared" si="337"/>
        <v>0</v>
      </c>
      <c r="AP320"/>
      <c r="AQ320" s="95">
        <f t="shared" si="338"/>
        <v>0</v>
      </c>
      <c r="AR320" s="95">
        <f t="shared" si="339"/>
        <v>0</v>
      </c>
      <c r="AS320" s="95">
        <f>Geraetedaten!$B$94*ABS(SIN(RADIANS($A320)))</f>
        <v>152.10400445165121</v>
      </c>
      <c r="AT320" s="95">
        <f>Geraetedaten!$B$94*ABS(COS(RADIANS($A320)))</f>
        <v>24.090907616195523</v>
      </c>
      <c r="AU320" s="95">
        <f>((h_Aw_Sw+Geraetedaten!$B$18)/1000)*(AQ320*AS320+AR320*AT320)/100</f>
        <v>0</v>
      </c>
    </row>
    <row r="321" spans="1:47" ht="13.5" x14ac:dyDescent="0.25">
      <c r="A321" s="16">
        <v>280</v>
      </c>
      <c r="B321" s="16">
        <f t="shared" si="306"/>
        <v>170</v>
      </c>
      <c r="C321" s="19">
        <f t="shared" si="307"/>
        <v>67.782875762078234</v>
      </c>
      <c r="D321" s="17">
        <f t="shared" si="308"/>
        <v>2806.5733842379218</v>
      </c>
      <c r="E321" s="17">
        <f t="shared" si="309"/>
        <v>-48366.723235762081</v>
      </c>
      <c r="F321" s="17">
        <f t="shared" si="310"/>
        <v>-2820.556645762078</v>
      </c>
      <c r="G321" s="17">
        <f t="shared" si="311"/>
        <v>51207.303194237917</v>
      </c>
      <c r="H321" s="17">
        <f t="shared" si="312"/>
        <v>2806.5733842379218</v>
      </c>
      <c r="I321" s="17">
        <f t="shared" si="313"/>
        <v>1159.2716777655251</v>
      </c>
      <c r="J321" s="20">
        <f>(Geraetedaten!$B$152+(Geraetedaten!$B$153*(Geraetedaten!$B$18+d_y_Sw)/1000))*10</f>
        <v>6051.0442000000003</v>
      </c>
      <c r="K321" s="20">
        <f>(Geraetedaten!$B$165+(Geraetedaten!$B$166*(Geraetedaten!$B$18+d_y_Sw)/1000))*10</f>
        <v>10816.164000000001</v>
      </c>
      <c r="L321" s="20">
        <f>(Geraetedaten!$B$158+(Geraetedaten!$B$159*(Geraetedaten!$B$18+d_y_Sw)/1000)-(Geraetedaten!$B$160*I321/1000))*10</f>
        <v>516.52720786945383</v>
      </c>
      <c r="M321" s="20">
        <f>(Geraetedaten!$B$171+(Geraetedaten!$B$172*(Geraetedaten!$B$18+d_y_Sw)/1000)-(Geraetedaten!$B$173*I321/1000))*10</f>
        <v>978.57081630713526</v>
      </c>
      <c r="N321" s="20">
        <f>IF((H321-J321)/(K321-J321)*(Geraetedaten!$B$174-Geraetedaten!$B$161)&lt;Geraetedaten!$B$174,(H321-J321)/(K321-J321)*(Geraetedaten!$B$174-Geraetedaten!$B$161),Geraetedaten!$B$174)</f>
        <v>-272.35166811647235</v>
      </c>
      <c r="O321" s="20">
        <f>N321/Geraetedaten!$B$174*(M321-L321)+L321+C321</f>
        <v>269.71421488014028</v>
      </c>
      <c r="P321" s="20">
        <f t="shared" si="314"/>
        <v>137.89465688484586</v>
      </c>
      <c r="Q321" s="21">
        <f>(N321-Geraetedaten!$B$161)/(Geraetedaten!$B$174-Geraetedaten!$B$161)*(Geraetedaten!$B$175-Geraetedaten!$B$162)+Geraetedaten!$B$162</f>
        <v>21.097537873534947</v>
      </c>
      <c r="R321" s="21">
        <f t="shared" si="315"/>
        <v>21.097537873534947</v>
      </c>
      <c r="S321" s="21">
        <f t="shared" si="316"/>
        <v>-20.777018867325911</v>
      </c>
      <c r="T321" s="88">
        <f t="shared" si="317"/>
        <v>3.6635490049983805</v>
      </c>
      <c r="U321" s="86">
        <f t="shared" si="318"/>
        <v>2874.35626</v>
      </c>
      <c r="V321" s="85">
        <f t="shared" si="319"/>
        <v>-1141.3067828769733</v>
      </c>
      <c r="W321" s="85">
        <f t="shared" si="320"/>
        <v>1159.2716777655251</v>
      </c>
      <c r="X321" s="90">
        <f t="shared" si="321"/>
        <v>1141.3067828769733</v>
      </c>
      <c r="Y321" s="86">
        <f t="shared" si="322"/>
        <v>-48298.940360000001</v>
      </c>
      <c r="Z321" s="85">
        <f t="shared" si="323"/>
        <v>-750</v>
      </c>
      <c r="AA321" s="85">
        <f t="shared" si="324"/>
        <v>-4319.0778623577226</v>
      </c>
      <c r="AB321" s="90">
        <f t="shared" si="325"/>
        <v>750</v>
      </c>
      <c r="AC321" s="86">
        <f t="shared" si="326"/>
        <v>-2752.7737699999998</v>
      </c>
      <c r="AD321" s="85">
        <f t="shared" si="327"/>
        <v>1055.7627565116984</v>
      </c>
      <c r="AE321" s="85">
        <f t="shared" si="328"/>
        <v>-1071.8578041756759</v>
      </c>
      <c r="AF321" s="90">
        <f t="shared" si="329"/>
        <v>1055.7627565116984</v>
      </c>
      <c r="AG321" s="86">
        <f t="shared" si="330"/>
        <v>51275.086069999998</v>
      </c>
      <c r="AH321" s="85">
        <f t="shared" si="331"/>
        <v>6128</v>
      </c>
      <c r="AI321" s="85">
        <f t="shared" si="332"/>
        <v>35289.745520704164</v>
      </c>
      <c r="AJ321" s="90">
        <f t="shared" si="333"/>
        <v>6128</v>
      </c>
      <c r="AL321" s="95">
        <f t="shared" si="334"/>
        <v>0</v>
      </c>
      <c r="AM321" s="95">
        <f t="shared" si="335"/>
        <v>0</v>
      </c>
      <c r="AN321" s="95">
        <f t="shared" si="336"/>
        <v>0</v>
      </c>
      <c r="AO321" s="95">
        <f t="shared" si="337"/>
        <v>0</v>
      </c>
      <c r="AP321"/>
      <c r="AQ321" s="95">
        <f t="shared" si="338"/>
        <v>0</v>
      </c>
      <c r="AR321" s="95">
        <f t="shared" si="339"/>
        <v>0</v>
      </c>
      <c r="AS321" s="95">
        <f>Geraetedaten!$B$94*ABS(SIN(RADIANS($A321)))</f>
        <v>151.66039396388004</v>
      </c>
      <c r="AT321" s="95">
        <f>Geraetedaten!$B$94*ABS(COS(RADIANS($A321)))</f>
        <v>26.741819360707215</v>
      </c>
      <c r="AU321" s="95">
        <f>((h_Aw_Sw+Geraetedaten!$B$18)/1000)*(AQ321*AS321+AR321*AT321)/100</f>
        <v>0</v>
      </c>
    </row>
    <row r="322" spans="1:47" ht="13.5" x14ac:dyDescent="0.25">
      <c r="A322" s="16">
        <v>281</v>
      </c>
      <c r="B322" s="16">
        <f t="shared" si="306"/>
        <v>169</v>
      </c>
      <c r="C322" s="19">
        <f t="shared" si="307"/>
        <v>68.094668871552628</v>
      </c>
      <c r="D322" s="17">
        <f t="shared" si="308"/>
        <v>2815.6656511284473</v>
      </c>
      <c r="E322" s="17">
        <f t="shared" si="309"/>
        <v>-44023.165868871554</v>
      </c>
      <c r="F322" s="17">
        <f t="shared" si="310"/>
        <v>-2829.7369688715526</v>
      </c>
      <c r="G322" s="17">
        <f t="shared" si="311"/>
        <v>46595.456161128444</v>
      </c>
      <c r="H322" s="17">
        <f t="shared" si="312"/>
        <v>2815.6656511284473</v>
      </c>
      <c r="I322" s="17">
        <f t="shared" si="313"/>
        <v>1163.0644780541334</v>
      </c>
      <c r="J322" s="20">
        <f>(Geraetedaten!$B$152+(Geraetedaten!$B$153*(Geraetedaten!$B$18+d_y_Sw)/1000))*10</f>
        <v>6051.0442000000003</v>
      </c>
      <c r="K322" s="20">
        <f>(Geraetedaten!$B$165+(Geraetedaten!$B$166*(Geraetedaten!$B$18+d_y_Sw)/1000))*10</f>
        <v>10816.164000000001</v>
      </c>
      <c r="L322" s="20">
        <f>(Geraetedaten!$B$158+(Geraetedaten!$B$159*(Geraetedaten!$B$18+d_y_Sw)/1000)-(Geraetedaten!$B$160*I322/1000))*10</f>
        <v>516.24908182429022</v>
      </c>
      <c r="M322" s="20">
        <f>(Geraetedaten!$B$171+(Geraetedaten!$B$172*(Geraetedaten!$B$18+d_y_Sw)/1000)-(Geraetedaten!$B$173*I322/1000))*10</f>
        <v>978.28848025365119</v>
      </c>
      <c r="N322" s="20">
        <f>IF((H322-J322)/(K322-J322)*(Geraetedaten!$B$174-Geraetedaten!$B$161)&lt;Geraetedaten!$B$174,(H322-J322)/(K322-J322)*(Geraetedaten!$B$174-Geraetedaten!$B$161),Geraetedaten!$B$174)</f>
        <v>-271.58843300196168</v>
      </c>
      <c r="O322" s="20">
        <f>N322/Geraetedaten!$B$174*(M322-L322)+L322+C322</f>
        <v>270.63236018434486</v>
      </c>
      <c r="P322" s="20">
        <f t="shared" si="314"/>
        <v>138.23294198072509</v>
      </c>
      <c r="Q322" s="21">
        <f>(N322-Geraetedaten!$B$161)/(Geraetedaten!$B$174-Geraetedaten!$B$161)*(Geraetedaten!$B$175-Geraetedaten!$B$162)+Geraetedaten!$B$162</f>
        <v>21.120244118191636</v>
      </c>
      <c r="R322" s="21">
        <f t="shared" si="315"/>
        <v>21.120244118191636</v>
      </c>
      <c r="S322" s="21">
        <f t="shared" si="316"/>
        <v>-20.732205747467546</v>
      </c>
      <c r="T322" s="88">
        <f t="shared" si="317"/>
        <v>4.0299325622995319</v>
      </c>
      <c r="U322" s="86">
        <f t="shared" si="318"/>
        <v>2883.7603199999999</v>
      </c>
      <c r="V322" s="85">
        <f t="shared" si="319"/>
        <v>-1141.3067828769733</v>
      </c>
      <c r="W322" s="85">
        <f t="shared" si="320"/>
        <v>1163.0644780541334</v>
      </c>
      <c r="X322" s="90">
        <f t="shared" si="321"/>
        <v>1141.3067828769733</v>
      </c>
      <c r="Y322" s="86">
        <f t="shared" si="322"/>
        <v>-43955.071199999998</v>
      </c>
      <c r="Z322" s="85">
        <f t="shared" si="323"/>
        <v>-750</v>
      </c>
      <c r="AA322" s="85">
        <f t="shared" si="324"/>
        <v>-3930.6322981258886</v>
      </c>
      <c r="AB322" s="90">
        <f t="shared" si="325"/>
        <v>750</v>
      </c>
      <c r="AC322" s="86">
        <f t="shared" si="326"/>
        <v>-2761.6423</v>
      </c>
      <c r="AD322" s="85">
        <f t="shared" si="327"/>
        <v>1055.7627565116984</v>
      </c>
      <c r="AE322" s="85">
        <f t="shared" si="328"/>
        <v>-1075.3109761740784</v>
      </c>
      <c r="AF322" s="90">
        <f t="shared" si="329"/>
        <v>1055.7627565116984</v>
      </c>
      <c r="AG322" s="86">
        <f t="shared" si="330"/>
        <v>46663.55083</v>
      </c>
      <c r="AH322" s="85">
        <f t="shared" si="331"/>
        <v>6128</v>
      </c>
      <c r="AI322" s="85">
        <f t="shared" si="332"/>
        <v>32115.886297220593</v>
      </c>
      <c r="AJ322" s="90">
        <f t="shared" si="333"/>
        <v>6128</v>
      </c>
      <c r="AL322" s="95">
        <f t="shared" si="334"/>
        <v>0</v>
      </c>
      <c r="AM322" s="95">
        <f t="shared" si="335"/>
        <v>0</v>
      </c>
      <c r="AN322" s="95">
        <f t="shared" si="336"/>
        <v>0</v>
      </c>
      <c r="AO322" s="95">
        <f t="shared" si="337"/>
        <v>0</v>
      </c>
      <c r="AP322"/>
      <c r="AQ322" s="95">
        <f t="shared" si="338"/>
        <v>0</v>
      </c>
      <c r="AR322" s="95">
        <f t="shared" si="339"/>
        <v>0</v>
      </c>
      <c r="AS322" s="95">
        <f>Geraetedaten!$B$94*ABS(SIN(RADIANS($A322)))</f>
        <v>151.17058625094023</v>
      </c>
      <c r="AT322" s="95">
        <f>Geraetedaten!$B$94*ABS(COS(RADIANS($A322)))</f>
        <v>29.384585287987946</v>
      </c>
      <c r="AU322" s="95">
        <f>((h_Aw_Sw+Geraetedaten!$B$18)/1000)*(AQ322*AS322+AR322*AT322)/100</f>
        <v>0</v>
      </c>
    </row>
    <row r="323" spans="1:47" ht="13.5" x14ac:dyDescent="0.25">
      <c r="A323" s="16">
        <v>282</v>
      </c>
      <c r="B323" s="16">
        <f t="shared" si="306"/>
        <v>168</v>
      </c>
      <c r="C323" s="19">
        <f t="shared" si="307"/>
        <v>68.385719685240858</v>
      </c>
      <c r="D323" s="17">
        <f t="shared" si="308"/>
        <v>2825.7248703147588</v>
      </c>
      <c r="E323" s="17">
        <f t="shared" si="309"/>
        <v>-40407.738179685242</v>
      </c>
      <c r="F323" s="17">
        <f t="shared" si="310"/>
        <v>-2839.8007996852411</v>
      </c>
      <c r="G323" s="17">
        <f t="shared" si="311"/>
        <v>42756.64841031476</v>
      </c>
      <c r="H323" s="17">
        <f t="shared" si="312"/>
        <v>2825.7248703147588</v>
      </c>
      <c r="I323" s="17">
        <f t="shared" si="313"/>
        <v>1167.2388970459629</v>
      </c>
      <c r="J323" s="20">
        <f>(Geraetedaten!$B$152+(Geraetedaten!$B$153*(Geraetedaten!$B$18+d_y_Sw)/1000))*10</f>
        <v>6051.0442000000003</v>
      </c>
      <c r="K323" s="20">
        <f>(Geraetedaten!$B$165+(Geraetedaten!$B$166*(Geraetedaten!$B$18+d_y_Sw)/1000))*10</f>
        <v>10816.164000000001</v>
      </c>
      <c r="L323" s="20">
        <f>(Geraetedaten!$B$158+(Geraetedaten!$B$159*(Geraetedaten!$B$18+d_y_Sw)/1000)-(Geraetedaten!$B$160*I323/1000))*10</f>
        <v>515.94297167961929</v>
      </c>
      <c r="M323" s="20">
        <f>(Geraetedaten!$B$171+(Geraetedaten!$B$172*(Geraetedaten!$B$18+d_y_Sw)/1000)-(Geraetedaten!$B$173*I323/1000))*10</f>
        <v>977.97773650389945</v>
      </c>
      <c r="N323" s="20">
        <f>IF((H323-J323)/(K323-J323)*(Geraetedaten!$B$174-Geraetedaten!$B$161)&lt;Geraetedaten!$B$174,(H323-J323)/(K323-J323)*(Geraetedaten!$B$174-Geraetedaten!$B$161),Geraetedaten!$B$174)</f>
        <v>-270.74402869663345</v>
      </c>
      <c r="O323" s="20">
        <f>N323/Geraetedaten!$B$174*(M323-L323)+L323+C323</f>
        <v>271.59580729879218</v>
      </c>
      <c r="P323" s="20">
        <f t="shared" si="314"/>
        <v>138.57959912050731</v>
      </c>
      <c r="Q323" s="21">
        <f>(N323-Geraetedaten!$B$161)/(Geraetedaten!$B$174-Geraetedaten!$B$161)*(Geraetedaten!$B$175-Geraetedaten!$B$162)+Geraetedaten!$B$162</f>
        <v>21.145365146275154</v>
      </c>
      <c r="R323" s="21">
        <f t="shared" si="315"/>
        <v>21.145365146275154</v>
      </c>
      <c r="S323" s="21">
        <f t="shared" si="316"/>
        <v>-20.683288184469276</v>
      </c>
      <c r="T323" s="88">
        <f t="shared" si="317"/>
        <v>4.3963686205209864</v>
      </c>
      <c r="U323" s="86">
        <f t="shared" si="318"/>
        <v>2894.1105899999998</v>
      </c>
      <c r="V323" s="85">
        <f t="shared" si="319"/>
        <v>-1141.3067828769733</v>
      </c>
      <c r="W323" s="85">
        <f t="shared" si="320"/>
        <v>1167.2388970459629</v>
      </c>
      <c r="X323" s="90">
        <f t="shared" si="321"/>
        <v>1141.3067828769733</v>
      </c>
      <c r="Y323" s="86">
        <f t="shared" si="322"/>
        <v>-40339.352460000002</v>
      </c>
      <c r="Z323" s="85">
        <f t="shared" si="323"/>
        <v>-750</v>
      </c>
      <c r="AA323" s="85">
        <f t="shared" si="324"/>
        <v>-3607.3007585580949</v>
      </c>
      <c r="AB323" s="90">
        <f t="shared" si="325"/>
        <v>750</v>
      </c>
      <c r="AC323" s="86">
        <f t="shared" si="326"/>
        <v>-2771.4150800000002</v>
      </c>
      <c r="AD323" s="85">
        <f t="shared" si="327"/>
        <v>1055.7627565116984</v>
      </c>
      <c r="AE323" s="85">
        <f t="shared" si="328"/>
        <v>-1079.1162417229316</v>
      </c>
      <c r="AF323" s="90">
        <f t="shared" si="329"/>
        <v>1055.7627565116984</v>
      </c>
      <c r="AG323" s="86">
        <f t="shared" si="330"/>
        <v>42825.03413</v>
      </c>
      <c r="AH323" s="85">
        <f t="shared" si="331"/>
        <v>6128</v>
      </c>
      <c r="AI323" s="85">
        <f t="shared" si="332"/>
        <v>29474.052064592008</v>
      </c>
      <c r="AJ323" s="90">
        <f t="shared" si="333"/>
        <v>6128</v>
      </c>
      <c r="AL323" s="95">
        <f t="shared" si="334"/>
        <v>0</v>
      </c>
      <c r="AM323" s="95">
        <f t="shared" si="335"/>
        <v>0</v>
      </c>
      <c r="AN323" s="95">
        <f t="shared" si="336"/>
        <v>0</v>
      </c>
      <c r="AO323" s="95">
        <f t="shared" si="337"/>
        <v>0</v>
      </c>
      <c r="AP323"/>
      <c r="AQ323" s="95">
        <f t="shared" si="338"/>
        <v>0</v>
      </c>
      <c r="AR323" s="95">
        <f t="shared" si="339"/>
        <v>0</v>
      </c>
      <c r="AS323" s="95">
        <f>Geraetedaten!$B$94*ABS(SIN(RADIANS($A323)))</f>
        <v>150.63473051300605</v>
      </c>
      <c r="AT323" s="95">
        <f>Geraetedaten!$B$94*ABS(COS(RADIANS($A323)))</f>
        <v>32.018400385934953</v>
      </c>
      <c r="AU323" s="95">
        <f>((h_Aw_Sw+Geraetedaten!$B$18)/1000)*(AQ323*AS323+AR323*AT323)/100</f>
        <v>0</v>
      </c>
    </row>
    <row r="324" spans="1:47" ht="13.5" x14ac:dyDescent="0.25">
      <c r="A324" s="16">
        <v>283</v>
      </c>
      <c r="B324" s="16">
        <f t="shared" si="306"/>
        <v>167</v>
      </c>
      <c r="C324" s="19">
        <f t="shared" si="307"/>
        <v>68.655939546245634</v>
      </c>
      <c r="D324" s="17">
        <f t="shared" si="308"/>
        <v>2836.7676804537546</v>
      </c>
      <c r="E324" s="17">
        <f t="shared" si="309"/>
        <v>-37352.424179546244</v>
      </c>
      <c r="F324" s="17">
        <f t="shared" si="310"/>
        <v>-2850.7636795462454</v>
      </c>
      <c r="G324" s="17">
        <f t="shared" si="311"/>
        <v>39512.511090453751</v>
      </c>
      <c r="H324" s="17">
        <f t="shared" si="312"/>
        <v>2836.7676804537546</v>
      </c>
      <c r="I324" s="17">
        <f t="shared" si="313"/>
        <v>1171.8016171104832</v>
      </c>
      <c r="J324" s="20">
        <f>(Geraetedaten!$B$152+(Geraetedaten!$B$153*(Geraetedaten!$B$18+d_y_Sw)/1000))*10</f>
        <v>6051.0442000000003</v>
      </c>
      <c r="K324" s="20">
        <f>(Geraetedaten!$B$165+(Geraetedaten!$B$166*(Geraetedaten!$B$18+d_y_Sw)/1000))*10</f>
        <v>10816.164000000001</v>
      </c>
      <c r="L324" s="20">
        <f>(Geraetedaten!$B$158+(Geraetedaten!$B$159*(Geraetedaten!$B$18+d_y_Sw)/1000)-(Geraetedaten!$B$160*I324/1000))*10</f>
        <v>515.60838741728799</v>
      </c>
      <c r="M324" s="20">
        <f>(Geraetedaten!$B$171+(Geraetedaten!$B$172*(Geraetedaten!$B$18+d_y_Sw)/1000)-(Geraetedaten!$B$173*I324/1000))*10</f>
        <v>977.63808762229655</v>
      </c>
      <c r="N324" s="20">
        <f>IF((H324-J324)/(K324-J324)*(Geraetedaten!$B$174-Geraetedaten!$B$161)&lt;Geraetedaten!$B$174,(H324-J324)/(K324-J324)*(Geraetedaten!$B$174-Geraetedaten!$B$161),Geraetedaten!$B$174)</f>
        <v>-269.81705849630436</v>
      </c>
      <c r="O324" s="20">
        <f>N324/Geraetedaten!$B$174*(M324-L324)+L324+C324</f>
        <v>272.60559034542172</v>
      </c>
      <c r="P324" s="20">
        <f t="shared" si="314"/>
        <v>138.93478111472152</v>
      </c>
      <c r="Q324" s="21">
        <f>(N324-Geraetedaten!$B$161)/(Geraetedaten!$B$174-Geraetedaten!$B$161)*(Geraetedaten!$B$175-Geraetedaten!$B$162)+Geraetedaten!$B$162</f>
        <v>21.172942509734945</v>
      </c>
      <c r="R324" s="21">
        <f t="shared" si="315"/>
        <v>21.172942509734945</v>
      </c>
      <c r="S324" s="21">
        <f t="shared" si="316"/>
        <v>-20.630281364904498</v>
      </c>
      <c r="T324" s="88">
        <f t="shared" si="317"/>
        <v>4.7628757411269129</v>
      </c>
      <c r="U324" s="86">
        <f t="shared" si="318"/>
        <v>2905.42362</v>
      </c>
      <c r="V324" s="85">
        <f t="shared" si="319"/>
        <v>-1141.3067828769733</v>
      </c>
      <c r="W324" s="85">
        <f t="shared" si="320"/>
        <v>1171.8016171104832</v>
      </c>
      <c r="X324" s="90">
        <f t="shared" si="321"/>
        <v>1141.3067828769733</v>
      </c>
      <c r="Y324" s="86">
        <f t="shared" si="322"/>
        <v>-37283.768239999998</v>
      </c>
      <c r="Z324" s="85">
        <f t="shared" si="323"/>
        <v>-750</v>
      </c>
      <c r="AA324" s="85">
        <f t="shared" si="324"/>
        <v>-3334.0586119393511</v>
      </c>
      <c r="AB324" s="90">
        <f t="shared" si="325"/>
        <v>750</v>
      </c>
      <c r="AC324" s="86">
        <f t="shared" si="326"/>
        <v>-2782.1077399999999</v>
      </c>
      <c r="AD324" s="85">
        <f t="shared" si="327"/>
        <v>1055.7627565116984</v>
      </c>
      <c r="AE324" s="85">
        <f t="shared" si="328"/>
        <v>-1083.2796840881047</v>
      </c>
      <c r="AF324" s="90">
        <f t="shared" si="329"/>
        <v>1055.7627565116984</v>
      </c>
      <c r="AG324" s="86">
        <f t="shared" si="330"/>
        <v>39581.167029999997</v>
      </c>
      <c r="AH324" s="85">
        <f t="shared" si="331"/>
        <v>6128</v>
      </c>
      <c r="AI324" s="85">
        <f t="shared" si="332"/>
        <v>27241.481565285791</v>
      </c>
      <c r="AJ324" s="90">
        <f t="shared" si="333"/>
        <v>6128</v>
      </c>
      <c r="AL324" s="95">
        <f t="shared" si="334"/>
        <v>0</v>
      </c>
      <c r="AM324" s="95">
        <f t="shared" si="335"/>
        <v>0</v>
      </c>
      <c r="AN324" s="95">
        <f t="shared" si="336"/>
        <v>0</v>
      </c>
      <c r="AO324" s="95">
        <f t="shared" si="337"/>
        <v>0</v>
      </c>
      <c r="AP324"/>
      <c r="AQ324" s="95">
        <f t="shared" si="338"/>
        <v>0</v>
      </c>
      <c r="AR324" s="95">
        <f t="shared" si="339"/>
        <v>0</v>
      </c>
      <c r="AS324" s="95">
        <f>Geraetedaten!$B$94*ABS(SIN(RADIANS($A324)))</f>
        <v>150.05298997692623</v>
      </c>
      <c r="AT324" s="95">
        <f>Geraetedaten!$B$94*ABS(COS(RADIANS($A324)))</f>
        <v>34.642462368955201</v>
      </c>
      <c r="AU324" s="95">
        <f>((h_Aw_Sw+Geraetedaten!$B$18)/1000)*(AQ324*AS324+AR324*AT324)/100</f>
        <v>0</v>
      </c>
    </row>
    <row r="325" spans="1:47" ht="13.5" x14ac:dyDescent="0.25">
      <c r="A325" s="16">
        <v>284</v>
      </c>
      <c r="B325" s="16">
        <f t="shared" si="306"/>
        <v>166</v>
      </c>
      <c r="C325" s="19">
        <f t="shared" si="307"/>
        <v>68.905246142979607</v>
      </c>
      <c r="D325" s="17">
        <f t="shared" si="308"/>
        <v>2848.8124538570205</v>
      </c>
      <c r="E325" s="17">
        <f t="shared" si="309"/>
        <v>-34737.214026142981</v>
      </c>
      <c r="F325" s="17">
        <f t="shared" si="310"/>
        <v>-2862.6427761429795</v>
      </c>
      <c r="G325" s="17">
        <f t="shared" si="311"/>
        <v>36735.63959385702</v>
      </c>
      <c r="H325" s="17">
        <f t="shared" si="312"/>
        <v>2848.8124538570205</v>
      </c>
      <c r="I325" s="17">
        <f t="shared" si="313"/>
        <v>1176.7600075569162</v>
      </c>
      <c r="J325" s="20">
        <f>(Geraetedaten!$B$152+(Geraetedaten!$B$153*(Geraetedaten!$B$18+d_y_Sw)/1000))*10</f>
        <v>6051.0442000000003</v>
      </c>
      <c r="K325" s="20">
        <f>(Geraetedaten!$B$165+(Geraetedaten!$B$166*(Geraetedaten!$B$18+d_y_Sw)/1000))*10</f>
        <v>10816.164000000001</v>
      </c>
      <c r="L325" s="20">
        <f>(Geraetedaten!$B$158+(Geraetedaten!$B$159*(Geraetedaten!$B$18+d_y_Sw)/1000)-(Geraetedaten!$B$160*I325/1000))*10</f>
        <v>515.24478864585103</v>
      </c>
      <c r="M325" s="20">
        <f>(Geraetedaten!$B$171+(Geraetedaten!$B$172*(Geraetedaten!$B$18+d_y_Sw)/1000)-(Geraetedaten!$B$173*I325/1000))*10</f>
        <v>977.26898503746406</v>
      </c>
      <c r="N325" s="20">
        <f>IF((H325-J325)/(K325-J325)*(Geraetedaten!$B$174-Geraetedaten!$B$161)&lt;Geraetedaten!$B$174,(H325-J325)/(K325-J325)*(Geraetedaten!$B$174-Geraetedaten!$B$161),Geraetedaten!$B$174)</f>
        <v>-268.80598016805197</v>
      </c>
      <c r="O325" s="20">
        <f>N325/Geraetedaten!$B$174*(M325-L325)+L325+C325</f>
        <v>273.6628673578204</v>
      </c>
      <c r="P325" s="20">
        <f t="shared" si="314"/>
        <v>139.29867011261203</v>
      </c>
      <c r="Q325" s="21">
        <f>(N325-Geraetedaten!$B$161)/(Geraetedaten!$B$174-Geraetedaten!$B$161)*(Geraetedaten!$B$175-Geraetedaten!$B$162)+Geraetedaten!$B$162</f>
        <v>21.203022090000452</v>
      </c>
      <c r="R325" s="21">
        <f t="shared" si="315"/>
        <v>21.203022090000452</v>
      </c>
      <c r="S325" s="21">
        <f t="shared" si="316"/>
        <v>-20.57320171806299</v>
      </c>
      <c r="T325" s="88">
        <f t="shared" si="317"/>
        <v>5.1294752964545323</v>
      </c>
      <c r="U325" s="86">
        <f t="shared" si="318"/>
        <v>2917.7177000000001</v>
      </c>
      <c r="V325" s="85">
        <f t="shared" si="319"/>
        <v>-1141.3067828769733</v>
      </c>
      <c r="W325" s="85">
        <f t="shared" si="320"/>
        <v>1176.7600075569162</v>
      </c>
      <c r="X325" s="90">
        <f t="shared" si="321"/>
        <v>1141.3067828769733</v>
      </c>
      <c r="Y325" s="86">
        <f t="shared" si="322"/>
        <v>-34668.308779999999</v>
      </c>
      <c r="Z325" s="85">
        <f t="shared" si="323"/>
        <v>-750</v>
      </c>
      <c r="AA325" s="85">
        <f t="shared" si="324"/>
        <v>-3100.1741208290646</v>
      </c>
      <c r="AB325" s="90">
        <f t="shared" si="325"/>
        <v>750</v>
      </c>
      <c r="AC325" s="86">
        <f t="shared" si="326"/>
        <v>-2793.7375299999999</v>
      </c>
      <c r="AD325" s="85">
        <f t="shared" si="327"/>
        <v>1055.7627565116984</v>
      </c>
      <c r="AE325" s="85">
        <f t="shared" si="328"/>
        <v>-1087.8080178926161</v>
      </c>
      <c r="AF325" s="90">
        <f t="shared" si="329"/>
        <v>1055.7627565116984</v>
      </c>
      <c r="AG325" s="86">
        <f t="shared" si="330"/>
        <v>36804.544840000002</v>
      </c>
      <c r="AH325" s="85">
        <f t="shared" si="331"/>
        <v>6128</v>
      </c>
      <c r="AI325" s="85">
        <f t="shared" si="332"/>
        <v>25330.489349920677</v>
      </c>
      <c r="AJ325" s="90">
        <f t="shared" si="333"/>
        <v>6128</v>
      </c>
      <c r="AL325" s="95">
        <f t="shared" si="334"/>
        <v>0</v>
      </c>
      <c r="AM325" s="95">
        <f t="shared" si="335"/>
        <v>0</v>
      </c>
      <c r="AN325" s="95">
        <f t="shared" si="336"/>
        <v>0</v>
      </c>
      <c r="AO325" s="95">
        <f t="shared" si="337"/>
        <v>0</v>
      </c>
      <c r="AP325"/>
      <c r="AQ325" s="95">
        <f t="shared" si="338"/>
        <v>0</v>
      </c>
      <c r="AR325" s="95">
        <f t="shared" si="339"/>
        <v>0</v>
      </c>
      <c r="AS325" s="95">
        <f>Geraetedaten!$B$94*ABS(SIN(RADIANS($A325)))</f>
        <v>149.42554184650348</v>
      </c>
      <c r="AT325" s="95">
        <f>Geraetedaten!$B$94*ABS(COS(RADIANS($A325)))</f>
        <v>37.255971922348785</v>
      </c>
      <c r="AU325" s="95">
        <f>((h_Aw_Sw+Geraetedaten!$B$18)/1000)*(AQ325*AS325+AR325*AT325)/100</f>
        <v>0</v>
      </c>
    </row>
    <row r="326" spans="1:47" ht="13.5" x14ac:dyDescent="0.25">
      <c r="A326" s="16">
        <v>285</v>
      </c>
      <c r="B326" s="16">
        <f t="shared" si="306"/>
        <v>165</v>
      </c>
      <c r="C326" s="19">
        <f t="shared" si="307"/>
        <v>69.133563534238306</v>
      </c>
      <c r="D326" s="17">
        <f t="shared" si="308"/>
        <v>2861.8793164657618</v>
      </c>
      <c r="E326" s="17">
        <f t="shared" si="309"/>
        <v>-32474.101953534238</v>
      </c>
      <c r="F326" s="17">
        <f t="shared" si="310"/>
        <v>-2875.4569435342382</v>
      </c>
      <c r="G326" s="17">
        <f t="shared" si="311"/>
        <v>34332.605506465763</v>
      </c>
      <c r="H326" s="17">
        <f t="shared" si="312"/>
        <v>2861.8793164657618</v>
      </c>
      <c r="I326" s="17">
        <f t="shared" si="313"/>
        <v>1182.1221544408791</v>
      </c>
      <c r="J326" s="20">
        <f>(Geraetedaten!$B$152+(Geraetedaten!$B$153*(Geraetedaten!$B$18+d_y_Sw)/1000))*10</f>
        <v>6051.0442000000003</v>
      </c>
      <c r="K326" s="20">
        <f>(Geraetedaten!$B$165+(Geraetedaten!$B$166*(Geraetedaten!$B$18+d_y_Sw)/1000))*10</f>
        <v>10816.164000000001</v>
      </c>
      <c r="L326" s="20">
        <f>(Geraetedaten!$B$158+(Geraetedaten!$B$159*(Geraetedaten!$B$18+d_y_Sw)/1000)-(Geraetedaten!$B$160*I326/1000))*10</f>
        <v>514.8515824148501</v>
      </c>
      <c r="M326" s="20">
        <f>(Geraetedaten!$B$171+(Geraetedaten!$B$172*(Geraetedaten!$B$18+d_y_Sw)/1000)-(Geraetedaten!$B$173*I326/1000))*10</f>
        <v>976.86982682342193</v>
      </c>
      <c r="N326" s="20">
        <f>IF((H326-J326)/(K326-J326)*(Geraetedaten!$B$174-Geraetedaten!$B$161)&lt;Geraetedaten!$B$174,(H326-J326)/(K326-J326)*(Geraetedaten!$B$174-Geraetedaten!$B$161),Geraetedaten!$B$174)</f>
        <v>-267.70910427345297</v>
      </c>
      <c r="O326" s="20">
        <f>N326/Geraetedaten!$B$174*(M326-L326)+L326+C326</f>
        <v>274.76892002755835</v>
      </c>
      <c r="P326" s="20">
        <f t="shared" si="314"/>
        <v>139.6714764869233</v>
      </c>
      <c r="Q326" s="21">
        <f>(N326-Geraetedaten!$B$161)/(Geraetedaten!$B$174-Geraetedaten!$B$161)*(Geraetedaten!$B$175-Geraetedaten!$B$162)+Geraetedaten!$B$162</f>
        <v>21.235654147864771</v>
      </c>
      <c r="R326" s="21">
        <f t="shared" si="315"/>
        <v>21.235654147864771</v>
      </c>
      <c r="S326" s="21">
        <f t="shared" si="316"/>
        <v>-20.512066779565163</v>
      </c>
      <c r="T326" s="88">
        <f t="shared" si="317"/>
        <v>5.4961917286777346</v>
      </c>
      <c r="U326" s="86">
        <f t="shared" si="318"/>
        <v>2931.0128800000002</v>
      </c>
      <c r="V326" s="85">
        <f t="shared" si="319"/>
        <v>-1141.3067828769733</v>
      </c>
      <c r="W326" s="85">
        <f t="shared" si="320"/>
        <v>1182.1221544408791</v>
      </c>
      <c r="X326" s="90">
        <f t="shared" si="321"/>
        <v>1141.3067828769733</v>
      </c>
      <c r="Y326" s="86">
        <f t="shared" si="322"/>
        <v>-32404.968390000002</v>
      </c>
      <c r="Z326" s="85">
        <f t="shared" si="323"/>
        <v>-750</v>
      </c>
      <c r="AA326" s="85">
        <f t="shared" si="324"/>
        <v>-2897.7774788672045</v>
      </c>
      <c r="AB326" s="90">
        <f t="shared" si="325"/>
        <v>750</v>
      </c>
      <c r="AC326" s="86">
        <f t="shared" si="326"/>
        <v>-2806.3233799999998</v>
      </c>
      <c r="AD326" s="85">
        <f t="shared" si="327"/>
        <v>1055.7627565116984</v>
      </c>
      <c r="AE326" s="85">
        <f t="shared" si="328"/>
        <v>-1092.708616219262</v>
      </c>
      <c r="AF326" s="90">
        <f t="shared" si="329"/>
        <v>1055.7627565116984</v>
      </c>
      <c r="AG326" s="86">
        <f t="shared" si="330"/>
        <v>34401.739070000003</v>
      </c>
      <c r="AH326" s="85">
        <f t="shared" si="331"/>
        <v>6128</v>
      </c>
      <c r="AI326" s="85">
        <f t="shared" si="332"/>
        <v>23676.773853997638</v>
      </c>
      <c r="AJ326" s="90">
        <f t="shared" si="333"/>
        <v>6128</v>
      </c>
      <c r="AL326" s="95">
        <f t="shared" si="334"/>
        <v>0</v>
      </c>
      <c r="AM326" s="95">
        <f t="shared" si="335"/>
        <v>0</v>
      </c>
      <c r="AN326" s="95">
        <f t="shared" si="336"/>
        <v>0</v>
      </c>
      <c r="AO326" s="95">
        <f t="shared" si="337"/>
        <v>0</v>
      </c>
      <c r="AP326"/>
      <c r="AQ326" s="95">
        <f t="shared" si="338"/>
        <v>0</v>
      </c>
      <c r="AR326" s="95">
        <f t="shared" si="339"/>
        <v>0</v>
      </c>
      <c r="AS326" s="95">
        <f>Geraetedaten!$B$94*ABS(SIN(RADIANS($A326)))</f>
        <v>148.75257724851653</v>
      </c>
      <c r="AT326" s="95">
        <f>Geraetedaten!$B$94*ABS(COS(RADIANS($A326)))</f>
        <v>39.858132945788128</v>
      </c>
      <c r="AU326" s="95">
        <f>((h_Aw_Sw+Geraetedaten!$B$18)/1000)*(AQ326*AS326+AR326*AT326)/100</f>
        <v>0</v>
      </c>
    </row>
    <row r="327" spans="1:47" ht="13.5" x14ac:dyDescent="0.25">
      <c r="A327" s="16">
        <v>286</v>
      </c>
      <c r="B327" s="16">
        <f t="shared" si="306"/>
        <v>164</v>
      </c>
      <c r="C327" s="19">
        <f t="shared" si="307"/>
        <v>69.340822172332622</v>
      </c>
      <c r="D327" s="17">
        <f t="shared" si="308"/>
        <v>2875.9902378276674</v>
      </c>
      <c r="E327" s="17">
        <f t="shared" si="309"/>
        <v>-30497.085102172332</v>
      </c>
      <c r="F327" s="17">
        <f t="shared" si="310"/>
        <v>-2889.2268121723328</v>
      </c>
      <c r="G327" s="17">
        <f t="shared" si="311"/>
        <v>32233.339007827668</v>
      </c>
      <c r="H327" s="17">
        <f t="shared" si="312"/>
        <v>2875.9902378276674</v>
      </c>
      <c r="I327" s="17">
        <f t="shared" si="313"/>
        <v>1187.8968937183888</v>
      </c>
      <c r="J327" s="20">
        <f>(Geraetedaten!$B$152+(Geraetedaten!$B$153*(Geraetedaten!$B$18+d_y_Sw)/1000))*10</f>
        <v>6051.0442000000003</v>
      </c>
      <c r="K327" s="20">
        <f>(Geraetedaten!$B$165+(Geraetedaten!$B$166*(Geraetedaten!$B$18+d_y_Sw)/1000))*10</f>
        <v>10816.164000000001</v>
      </c>
      <c r="L327" s="20">
        <f>(Geraetedaten!$B$158+(Geraetedaten!$B$159*(Geraetedaten!$B$18+d_y_Sw)/1000)-(Geraetedaten!$B$160*I327/1000))*10</f>
        <v>514.42812078363033</v>
      </c>
      <c r="M327" s="20">
        <f>(Geraetedaten!$B$171+(Geraetedaten!$B$172*(Geraetedaten!$B$18+d_y_Sw)/1000)-(Geraetedaten!$B$173*I327/1000))*10</f>
        <v>976.43995523160413</v>
      </c>
      <c r="N327" s="20">
        <f>IF((H327-J327)/(K327-J327)*(Geraetedaten!$B$174-Geraetedaten!$B$161)&lt;Geraetedaten!$B$174,(H327-J327)/(K327-J327)*(Geraetedaten!$B$174-Geraetedaten!$B$161),Geraetedaten!$B$174)</f>
        <v>-266.52458661562571</v>
      </c>
      <c r="O327" s="20">
        <f>N327/Geraetedaten!$B$174*(M327-L327)+L327+C327</f>
        <v>275.92515998653016</v>
      </c>
      <c r="P327" s="20">
        <f t="shared" si="314"/>
        <v>140.05343977012353</v>
      </c>
      <c r="Q327" s="21">
        <f>(N327-Geraetedaten!$B$161)/(Geraetedaten!$B$174-Geraetedaten!$B$161)*(Geraetedaten!$B$175-Geraetedaten!$B$162)+Geraetedaten!$B$162</f>
        <v>21.270893548185132</v>
      </c>
      <c r="R327" s="21">
        <f t="shared" si="315"/>
        <v>21.270893548185132</v>
      </c>
      <c r="S327" s="21">
        <f t="shared" si="316"/>
        <v>-20.446895206251885</v>
      </c>
      <c r="T327" s="88">
        <f t="shared" si="317"/>
        <v>5.8630528534866215</v>
      </c>
      <c r="U327" s="86">
        <f t="shared" si="318"/>
        <v>2945.33106</v>
      </c>
      <c r="V327" s="85">
        <f t="shared" si="319"/>
        <v>-1141.3067828769733</v>
      </c>
      <c r="W327" s="85">
        <f t="shared" si="320"/>
        <v>1187.8968937183888</v>
      </c>
      <c r="X327" s="90">
        <f t="shared" si="321"/>
        <v>1141.3067828769733</v>
      </c>
      <c r="Y327" s="86">
        <f t="shared" si="322"/>
        <v>-30427.744279999999</v>
      </c>
      <c r="Z327" s="85">
        <f t="shared" si="323"/>
        <v>-750</v>
      </c>
      <c r="AA327" s="85">
        <f t="shared" si="324"/>
        <v>-2720.9664589074769</v>
      </c>
      <c r="AB327" s="90">
        <f t="shared" si="325"/>
        <v>750</v>
      </c>
      <c r="AC327" s="86">
        <f t="shared" si="326"/>
        <v>-2819.8859900000002</v>
      </c>
      <c r="AD327" s="85">
        <f t="shared" si="327"/>
        <v>1055.7627565116984</v>
      </c>
      <c r="AE327" s="85">
        <f t="shared" si="328"/>
        <v>-1097.9895407742742</v>
      </c>
      <c r="AF327" s="90">
        <f t="shared" si="329"/>
        <v>1055.7627565116984</v>
      </c>
      <c r="AG327" s="86">
        <f t="shared" si="330"/>
        <v>32302.679830000001</v>
      </c>
      <c r="AH327" s="85">
        <f t="shared" si="331"/>
        <v>6128</v>
      </c>
      <c r="AI327" s="85">
        <f t="shared" si="332"/>
        <v>22232.109946913359</v>
      </c>
      <c r="AJ327" s="90">
        <f t="shared" si="333"/>
        <v>6128</v>
      </c>
      <c r="AL327" s="95">
        <f t="shared" si="334"/>
        <v>0</v>
      </c>
      <c r="AM327" s="95">
        <f t="shared" si="335"/>
        <v>0</v>
      </c>
      <c r="AN327" s="95">
        <f t="shared" si="336"/>
        <v>0</v>
      </c>
      <c r="AO327" s="95">
        <f t="shared" si="337"/>
        <v>0</v>
      </c>
      <c r="AP327"/>
      <c r="AQ327" s="95">
        <f t="shared" si="338"/>
        <v>0</v>
      </c>
      <c r="AR327" s="95">
        <f t="shared" si="339"/>
        <v>0</v>
      </c>
      <c r="AS327" s="95">
        <f>Geraetedaten!$B$94*ABS(SIN(RADIANS($A327)))</f>
        <v>148.03430117450108</v>
      </c>
      <c r="AT327" s="95">
        <f>Geraetedaten!$B$94*ABS(COS(RADIANS($A327)))</f>
        <v>42.448152795817904</v>
      </c>
      <c r="AU327" s="95">
        <f>((h_Aw_Sw+Geraetedaten!$B$18)/1000)*(AQ327*AS327+AR327*AT327)/100</f>
        <v>0</v>
      </c>
    </row>
    <row r="328" spans="1:47" ht="13.5" x14ac:dyDescent="0.25">
      <c r="A328" s="16">
        <v>287</v>
      </c>
      <c r="B328" s="16">
        <f t="shared" si="306"/>
        <v>163</v>
      </c>
      <c r="C328" s="19">
        <f t="shared" si="307"/>
        <v>69.526958924273615</v>
      </c>
      <c r="D328" s="17">
        <f t="shared" si="308"/>
        <v>2891.1691410757267</v>
      </c>
      <c r="E328" s="17">
        <f t="shared" si="309"/>
        <v>-28755.692008924274</v>
      </c>
      <c r="F328" s="17">
        <f t="shared" si="310"/>
        <v>-2903.9748789242735</v>
      </c>
      <c r="G328" s="17">
        <f t="shared" si="311"/>
        <v>30384.258791075725</v>
      </c>
      <c r="H328" s="17">
        <f t="shared" si="312"/>
        <v>2891.1691410757267</v>
      </c>
      <c r="I328" s="17">
        <f t="shared" si="313"/>
        <v>1194.0938480072862</v>
      </c>
      <c r="J328" s="20">
        <f>(Geraetedaten!$B$152+(Geraetedaten!$B$153*(Geraetedaten!$B$18+d_y_Sw)/1000))*10</f>
        <v>6051.0442000000003</v>
      </c>
      <c r="K328" s="20">
        <f>(Geraetedaten!$B$165+(Geraetedaten!$B$166*(Geraetedaten!$B$18+d_y_Sw)/1000))*10</f>
        <v>10816.164000000001</v>
      </c>
      <c r="L328" s="20">
        <f>(Geraetedaten!$B$158+(Geraetedaten!$B$159*(Geraetedaten!$B$18+d_y_Sw)/1000)-(Geraetedaten!$B$160*I328/1000))*10</f>
        <v>513.97369812562545</v>
      </c>
      <c r="M328" s="20">
        <f>(Geraetedaten!$B$171+(Geraetedaten!$B$172*(Geraetedaten!$B$18+d_y_Sw)/1000)-(Geraetedaten!$B$173*I328/1000))*10</f>
        <v>975.9786539543386</v>
      </c>
      <c r="N328" s="20">
        <f>IF((H328-J328)/(K328-J328)*(Geraetedaten!$B$174-Geraetedaten!$B$161)&lt;Geraetedaten!$B$174,(H328-J328)/(K328-J328)*(Geraetedaten!$B$174-Geraetedaten!$B$161),Geraetedaten!$B$174)</f>
        <v>-265.2504190072429</v>
      </c>
      <c r="O328" s="20">
        <f>N328/Geraetedaten!$B$174*(M328-L328)+L328+C328</f>
        <v>277.13313675742683</v>
      </c>
      <c r="P328" s="20">
        <f t="shared" si="314"/>
        <v>140.44483000172158</v>
      </c>
      <c r="Q328" s="21">
        <f>(N328-Geraetedaten!$B$161)/(Geraetedaten!$B$174-Geraetedaten!$B$161)*(Geraetedaten!$B$175-Geraetedaten!$B$162)+Geraetedaten!$B$162</f>
        <v>21.308800034534521</v>
      </c>
      <c r="R328" s="21">
        <f t="shared" si="315"/>
        <v>21.308800034534521</v>
      </c>
      <c r="S328" s="21">
        <f t="shared" si="316"/>
        <v>-20.377706816890655</v>
      </c>
      <c r="T328" s="88">
        <f t="shared" si="317"/>
        <v>6.2300901916927689</v>
      </c>
      <c r="U328" s="86">
        <f t="shared" si="318"/>
        <v>2960.6961000000001</v>
      </c>
      <c r="V328" s="85">
        <f t="shared" si="319"/>
        <v>-1141.3067828769733</v>
      </c>
      <c r="W328" s="85">
        <f t="shared" si="320"/>
        <v>1194.0938480072862</v>
      </c>
      <c r="X328" s="90">
        <f t="shared" si="321"/>
        <v>1141.3067828769733</v>
      </c>
      <c r="Y328" s="86">
        <f t="shared" si="322"/>
        <v>-28686.16505</v>
      </c>
      <c r="Z328" s="85">
        <f t="shared" si="323"/>
        <v>-750</v>
      </c>
      <c r="AA328" s="85">
        <f t="shared" si="324"/>
        <v>-2565.2277148749513</v>
      </c>
      <c r="AB328" s="90">
        <f t="shared" si="325"/>
        <v>750</v>
      </c>
      <c r="AC328" s="86">
        <f t="shared" si="326"/>
        <v>-2834.4479200000001</v>
      </c>
      <c r="AD328" s="85">
        <f t="shared" si="327"/>
        <v>1055.7627565116984</v>
      </c>
      <c r="AE328" s="85">
        <f t="shared" si="328"/>
        <v>-1103.6595753479496</v>
      </c>
      <c r="AF328" s="90">
        <f t="shared" si="329"/>
        <v>1055.7627565116984</v>
      </c>
      <c r="AG328" s="86">
        <f t="shared" si="330"/>
        <v>30453.785749999999</v>
      </c>
      <c r="AH328" s="85">
        <f t="shared" si="331"/>
        <v>6128</v>
      </c>
      <c r="AI328" s="85">
        <f t="shared" si="332"/>
        <v>20959.620582338266</v>
      </c>
      <c r="AJ328" s="90">
        <f t="shared" si="333"/>
        <v>6128</v>
      </c>
      <c r="AL328" s="95">
        <f t="shared" si="334"/>
        <v>0</v>
      </c>
      <c r="AM328" s="95">
        <f t="shared" si="335"/>
        <v>0</v>
      </c>
      <c r="AN328" s="95">
        <f t="shared" si="336"/>
        <v>0</v>
      </c>
      <c r="AO328" s="95">
        <f t="shared" si="337"/>
        <v>0</v>
      </c>
      <c r="AP328"/>
      <c r="AQ328" s="95">
        <f t="shared" si="338"/>
        <v>0</v>
      </c>
      <c r="AR328" s="95">
        <f t="shared" si="339"/>
        <v>0</v>
      </c>
      <c r="AS328" s="95">
        <f>Geraetedaten!$B$94*ABS(SIN(RADIANS($A328)))</f>
        <v>147.27093241830747</v>
      </c>
      <c r="AT328" s="95">
        <f>Geraetedaten!$B$94*ABS(COS(RADIANS($A328)))</f>
        <v>45.025242527301451</v>
      </c>
      <c r="AU328" s="95">
        <f>((h_Aw_Sw+Geraetedaten!$B$18)/1000)*(AQ328*AS328+AR328*AT328)/100</f>
        <v>0</v>
      </c>
    </row>
    <row r="329" spans="1:47" ht="13.5" x14ac:dyDescent="0.25">
      <c r="A329" s="16">
        <v>288</v>
      </c>
      <c r="B329" s="16">
        <f t="shared" si="306"/>
        <v>162</v>
      </c>
      <c r="C329" s="19">
        <f t="shared" si="307"/>
        <v>69.691917091003489</v>
      </c>
      <c r="D329" s="17">
        <f t="shared" si="308"/>
        <v>2907.4419929089963</v>
      </c>
      <c r="E329" s="17">
        <f t="shared" si="309"/>
        <v>-27210.668397091005</v>
      </c>
      <c r="F329" s="17">
        <f t="shared" si="310"/>
        <v>-2919.7256070910039</v>
      </c>
      <c r="G329" s="17">
        <f t="shared" si="311"/>
        <v>28743.691862908996</v>
      </c>
      <c r="H329" s="17">
        <f t="shared" si="312"/>
        <v>2907.4419929089963</v>
      </c>
      <c r="I329" s="17">
        <f t="shared" si="313"/>
        <v>1200.7234672496832</v>
      </c>
      <c r="J329" s="20">
        <f>(Geraetedaten!$B$152+(Geraetedaten!$B$153*(Geraetedaten!$B$18+d_y_Sw)/1000))*10</f>
        <v>6051.0442000000003</v>
      </c>
      <c r="K329" s="20">
        <f>(Geraetedaten!$B$165+(Geraetedaten!$B$166*(Geraetedaten!$B$18+d_y_Sw)/1000))*10</f>
        <v>10816.164000000001</v>
      </c>
      <c r="L329" s="20">
        <f>(Geraetedaten!$B$158+(Geraetedaten!$B$159*(Geraetedaten!$B$18+d_y_Sw)/1000)-(Geraetedaten!$B$160*I329/1000))*10</f>
        <v>513.48754814658048</v>
      </c>
      <c r="M329" s="20">
        <f>(Geraetedaten!$B$171+(Geraetedaten!$B$172*(Geraetedaten!$B$18+d_y_Sw)/1000)-(Geraetedaten!$B$173*I329/1000))*10</f>
        <v>975.48514509793449</v>
      </c>
      <c r="N329" s="20">
        <f>IF((H329-J329)/(K329-J329)*(Geraetedaten!$B$174-Geraetedaten!$B$161)&lt;Geraetedaten!$B$174,(H329-J329)/(K329-J329)*(Geraetedaten!$B$174-Geraetedaten!$B$161),Geraetedaten!$B$174)</f>
        <v>-263.88442171724654</v>
      </c>
      <c r="O329" s="20">
        <f>N329/Geraetedaten!$B$174*(M329-L329)+L329+C329</f>
        <v>278.39454347191997</v>
      </c>
      <c r="P329" s="20">
        <f t="shared" si="314"/>
        <v>140.84594819443788</v>
      </c>
      <c r="Q329" s="21">
        <f>(N329-Geraetedaten!$B$161)/(Geraetedaten!$B$174-Geraetedaten!$B$161)*(Geraetedaten!$B$175-Geraetedaten!$B$162)+Geraetedaten!$B$162</f>
        <v>21.349438453911912</v>
      </c>
      <c r="R329" s="21">
        <f t="shared" si="315"/>
        <v>21.349438453911912</v>
      </c>
      <c r="S329" s="21">
        <f t="shared" si="316"/>
        <v>-20.304522560835252</v>
      </c>
      <c r="T329" s="88">
        <f t="shared" si="317"/>
        <v>6.5973393026207789</v>
      </c>
      <c r="U329" s="86">
        <f t="shared" si="318"/>
        <v>2977.13391</v>
      </c>
      <c r="V329" s="85">
        <f t="shared" si="319"/>
        <v>-1141.3067828769733</v>
      </c>
      <c r="W329" s="85">
        <f t="shared" si="320"/>
        <v>1200.7234672496832</v>
      </c>
      <c r="X329" s="90">
        <f t="shared" si="321"/>
        <v>1141.3067828769733</v>
      </c>
      <c r="Y329" s="86">
        <f t="shared" si="322"/>
        <v>-27140.976480000001</v>
      </c>
      <c r="Z329" s="85">
        <f t="shared" si="323"/>
        <v>-750</v>
      </c>
      <c r="AA329" s="85">
        <f t="shared" si="324"/>
        <v>-2427.0509831248432</v>
      </c>
      <c r="AB329" s="90">
        <f t="shared" si="325"/>
        <v>750</v>
      </c>
      <c r="AC329" s="86">
        <f t="shared" si="326"/>
        <v>-2850.0336900000002</v>
      </c>
      <c r="AD329" s="85">
        <f t="shared" si="327"/>
        <v>1055.7627565116984</v>
      </c>
      <c r="AE329" s="85">
        <f t="shared" si="328"/>
        <v>-1109.728262838719</v>
      </c>
      <c r="AF329" s="90">
        <f t="shared" si="329"/>
        <v>1055.7627565116984</v>
      </c>
      <c r="AG329" s="86">
        <f t="shared" si="330"/>
        <v>28813.38378</v>
      </c>
      <c r="AH329" s="85">
        <f t="shared" si="331"/>
        <v>6128</v>
      </c>
      <c r="AI329" s="85">
        <f t="shared" si="332"/>
        <v>19830.62456611872</v>
      </c>
      <c r="AJ329" s="90">
        <f t="shared" si="333"/>
        <v>6128</v>
      </c>
      <c r="AL329" s="95">
        <f t="shared" si="334"/>
        <v>0</v>
      </c>
      <c r="AM329" s="95">
        <f t="shared" si="335"/>
        <v>0</v>
      </c>
      <c r="AN329" s="95">
        <f t="shared" si="336"/>
        <v>0</v>
      </c>
      <c r="AO329" s="95">
        <f t="shared" si="337"/>
        <v>0</v>
      </c>
      <c r="AP329"/>
      <c r="AQ329" s="95">
        <f t="shared" si="338"/>
        <v>0</v>
      </c>
      <c r="AR329" s="95">
        <f t="shared" si="339"/>
        <v>0</v>
      </c>
      <c r="AS329" s="95">
        <f>Geraetedaten!$B$94*ABS(SIN(RADIANS($A329)))</f>
        <v>146.46270350945366</v>
      </c>
      <c r="AT329" s="95">
        <f>Geraetedaten!$B$94*ABS(COS(RADIANS($A329)))</f>
        <v>47.58861713374187</v>
      </c>
      <c r="AU329" s="95">
        <f>((h_Aw_Sw+Geraetedaten!$B$18)/1000)*(AQ329*AS329+AR329*AT329)/100</f>
        <v>0</v>
      </c>
    </row>
    <row r="330" spans="1:47" ht="13.5" x14ac:dyDescent="0.25">
      <c r="A330" s="16">
        <v>289</v>
      </c>
      <c r="B330" s="16">
        <f t="shared" si="306"/>
        <v>161</v>
      </c>
      <c r="C330" s="19">
        <f t="shared" si="307"/>
        <v>69.835646424666706</v>
      </c>
      <c r="D330" s="17">
        <f t="shared" si="308"/>
        <v>2924.8369135753333</v>
      </c>
      <c r="E330" s="17">
        <f t="shared" si="309"/>
        <v>-25831.025316424668</v>
      </c>
      <c r="F330" s="17">
        <f t="shared" si="310"/>
        <v>-2936.5054964246669</v>
      </c>
      <c r="G330" s="17">
        <f t="shared" si="311"/>
        <v>27278.739863575331</v>
      </c>
      <c r="H330" s="17">
        <f t="shared" si="312"/>
        <v>2924.8369135753333</v>
      </c>
      <c r="I330" s="17">
        <f t="shared" si="313"/>
        <v>1207.7970736064533</v>
      </c>
      <c r="J330" s="20">
        <f>(Geraetedaten!$B$152+(Geraetedaten!$B$153*(Geraetedaten!$B$18+d_y_Sw)/1000))*10</f>
        <v>6051.0442000000003</v>
      </c>
      <c r="K330" s="20">
        <f>(Geraetedaten!$B$165+(Geraetedaten!$B$166*(Geraetedaten!$B$18+d_y_Sw)/1000))*10</f>
        <v>10816.164000000001</v>
      </c>
      <c r="L330" s="20">
        <f>(Geraetedaten!$B$158+(Geraetedaten!$B$159*(Geraetedaten!$B$18+d_y_Sw)/1000)-(Geraetedaten!$B$160*I330/1000))*10</f>
        <v>512.96884059243848</v>
      </c>
      <c r="M330" s="20">
        <f>(Geraetedaten!$B$171+(Geraetedaten!$B$172*(Geraetedaten!$B$18+d_y_Sw)/1000)-(Geraetedaten!$B$173*I330/1000))*10</f>
        <v>974.95858584073653</v>
      </c>
      <c r="N330" s="20">
        <f>IF((H330-J330)/(K330-J330)*(Geraetedaten!$B$174-Geraetedaten!$B$161)&lt;Geraetedaten!$B$174,(H330-J330)/(K330-J330)*(Geraetedaten!$B$174-Geraetedaten!$B$161),Geraetedaten!$B$174)</f>
        <v>-262.42423423853199</v>
      </c>
      <c r="O330" s="20">
        <f>N330/Geraetedaten!$B$174*(M330-L330)+L330+C330</f>
        <v>279.71122421000752</v>
      </c>
      <c r="P330" s="20">
        <f t="shared" si="314"/>
        <v>141.25712717720046</v>
      </c>
      <c r="Q330" s="21">
        <f>(N330-Geraetedaten!$B$161)/(Geraetedaten!$B$174-Geraetedaten!$B$161)*(Geraetedaten!$B$175-Geraetedaten!$B$162)+Geraetedaten!$B$162</f>
        <v>21.392879031403673</v>
      </c>
      <c r="R330" s="21">
        <f t="shared" si="315"/>
        <v>21.392879031403673</v>
      </c>
      <c r="S330" s="21">
        <f t="shared" si="316"/>
        <v>-20.227364509741296</v>
      </c>
      <c r="T330" s="88">
        <f t="shared" si="317"/>
        <v>6.9648401447792914</v>
      </c>
      <c r="U330" s="86">
        <f t="shared" si="318"/>
        <v>2994.67256</v>
      </c>
      <c r="V330" s="85">
        <f t="shared" si="319"/>
        <v>-1141.3067828769733</v>
      </c>
      <c r="W330" s="85">
        <f t="shared" si="320"/>
        <v>1207.7970736064533</v>
      </c>
      <c r="X330" s="90">
        <f t="shared" si="321"/>
        <v>1141.3067828769733</v>
      </c>
      <c r="Y330" s="86">
        <f t="shared" si="322"/>
        <v>-25761.18967</v>
      </c>
      <c r="Z330" s="85">
        <f t="shared" si="323"/>
        <v>-750</v>
      </c>
      <c r="AA330" s="85">
        <f t="shared" si="324"/>
        <v>-2303.6651150679313</v>
      </c>
      <c r="AB330" s="90">
        <f t="shared" si="325"/>
        <v>750</v>
      </c>
      <c r="AC330" s="86">
        <f t="shared" si="326"/>
        <v>-2866.6698500000002</v>
      </c>
      <c r="AD330" s="85">
        <f t="shared" si="327"/>
        <v>1055.7627565116984</v>
      </c>
      <c r="AE330" s="85">
        <f t="shared" si="328"/>
        <v>-1116.2059461411218</v>
      </c>
      <c r="AF330" s="90">
        <f t="shared" si="329"/>
        <v>1055.7627565116984</v>
      </c>
      <c r="AG330" s="86">
        <f t="shared" si="330"/>
        <v>27348.575509999999</v>
      </c>
      <c r="AH330" s="85">
        <f t="shared" si="331"/>
        <v>6128</v>
      </c>
      <c r="AI330" s="85">
        <f t="shared" si="332"/>
        <v>18822.479766848377</v>
      </c>
      <c r="AJ330" s="90">
        <f t="shared" si="333"/>
        <v>6128</v>
      </c>
      <c r="AL330" s="95">
        <f t="shared" si="334"/>
        <v>0</v>
      </c>
      <c r="AM330" s="95">
        <f t="shared" si="335"/>
        <v>0</v>
      </c>
      <c r="AN330" s="95">
        <f t="shared" si="336"/>
        <v>0</v>
      </c>
      <c r="AO330" s="95">
        <f t="shared" si="337"/>
        <v>0</v>
      </c>
      <c r="AP330"/>
      <c r="AQ330" s="95">
        <f t="shared" si="338"/>
        <v>0</v>
      </c>
      <c r="AR330" s="95">
        <f t="shared" si="339"/>
        <v>0</v>
      </c>
      <c r="AS330" s="95">
        <f>Geraetedaten!$B$94*ABS(SIN(RADIANS($A330)))</f>
        <v>145.60986064229482</v>
      </c>
      <c r="AT330" s="95">
        <f>Geraetedaten!$B$94*ABS(COS(RADIANS($A330)))</f>
        <v>50.13749578640207</v>
      </c>
      <c r="AU330" s="95">
        <f>((h_Aw_Sw+Geraetedaten!$B$18)/1000)*(AQ330*AS330+AR330*AT330)/100</f>
        <v>0</v>
      </c>
    </row>
    <row r="331" spans="1:47" ht="13.5" x14ac:dyDescent="0.25">
      <c r="A331" s="16">
        <v>290</v>
      </c>
      <c r="B331" s="16">
        <f t="shared" si="306"/>
        <v>160</v>
      </c>
      <c r="C331" s="19">
        <f t="shared" si="307"/>
        <v>69.958103143915849</v>
      </c>
      <c r="D331" s="17">
        <f t="shared" si="308"/>
        <v>2943.3843168560843</v>
      </c>
      <c r="E331" s="17">
        <f t="shared" si="309"/>
        <v>-24591.972783143916</v>
      </c>
      <c r="F331" s="17">
        <f t="shared" si="310"/>
        <v>-2954.3432331439158</v>
      </c>
      <c r="G331" s="17">
        <f t="shared" si="311"/>
        <v>25963.085356856085</v>
      </c>
      <c r="H331" s="17">
        <f t="shared" si="312"/>
        <v>2943.3843168560843</v>
      </c>
      <c r="I331" s="17">
        <f t="shared" si="313"/>
        <v>1215.3269109566736</v>
      </c>
      <c r="J331" s="20">
        <f>(Geraetedaten!$B$152+(Geraetedaten!$B$153*(Geraetedaten!$B$18+d_y_Sw)/1000))*10</f>
        <v>6051.0442000000003</v>
      </c>
      <c r="K331" s="20">
        <f>(Geraetedaten!$B$165+(Geraetedaten!$B$166*(Geraetedaten!$B$18+d_y_Sw)/1000))*10</f>
        <v>10816.164000000001</v>
      </c>
      <c r="L331" s="20">
        <f>(Geraetedaten!$B$158+(Geraetedaten!$B$159*(Geraetedaten!$B$18+d_y_Sw)/1000)-(Geraetedaten!$B$160*I331/1000))*10</f>
        <v>512.41667761954682</v>
      </c>
      <c r="M331" s="20">
        <f>(Geraetedaten!$B$171+(Geraetedaten!$B$172*(Geraetedaten!$B$18+d_y_Sw)/1000)-(Geraetedaten!$B$173*I331/1000))*10</f>
        <v>974.39806474838622</v>
      </c>
      <c r="N331" s="20">
        <f>IF((H331-J331)/(K331-J331)*(Geraetedaten!$B$174-Geraetedaten!$B$161)&lt;Geraetedaten!$B$174,(H331-J331)/(K331-J331)*(Geraetedaten!$B$174-Geraetedaten!$B$161),Geraetedaten!$B$174)</f>
        <v>-260.86730353716734</v>
      </c>
      <c r="O331" s="20">
        <f>N331/Geraetedaten!$B$174*(M331-L331)+L331+C331</f>
        <v>281.08518390181121</v>
      </c>
      <c r="P331" s="20">
        <f t="shared" si="314"/>
        <v>141.67873309719315</v>
      </c>
      <c r="Q331" s="21">
        <f>(N331-Geraetedaten!$B$161)/(Geraetedaten!$B$174-Geraetedaten!$B$161)*(Geraetedaten!$B$175-Geraetedaten!$B$162)+Geraetedaten!$B$162</f>
        <v>21.439197719769268</v>
      </c>
      <c r="R331" s="21">
        <f t="shared" si="315"/>
        <v>21.439197719769268</v>
      </c>
      <c r="S331" s="21">
        <f t="shared" si="316"/>
        <v>-20.146255892837253</v>
      </c>
      <c r="T331" s="88">
        <f t="shared" si="317"/>
        <v>7.3326374769028408</v>
      </c>
      <c r="U331" s="86">
        <f t="shared" si="318"/>
        <v>3013.3424199999999</v>
      </c>
      <c r="V331" s="85">
        <f t="shared" si="319"/>
        <v>-1141.3067828769733</v>
      </c>
      <c r="W331" s="85">
        <f t="shared" si="320"/>
        <v>1215.3269109566736</v>
      </c>
      <c r="X331" s="90">
        <f t="shared" si="321"/>
        <v>1141.3067828769733</v>
      </c>
      <c r="Y331" s="86">
        <f t="shared" si="322"/>
        <v>-24522.01468</v>
      </c>
      <c r="Z331" s="85">
        <f t="shared" si="323"/>
        <v>-750</v>
      </c>
      <c r="AA331" s="85">
        <f t="shared" si="324"/>
        <v>-2192.8533001223159</v>
      </c>
      <c r="AB331" s="90">
        <f t="shared" si="325"/>
        <v>750</v>
      </c>
      <c r="AC331" s="86">
        <f t="shared" si="326"/>
        <v>-2884.3851300000001</v>
      </c>
      <c r="AD331" s="85">
        <f t="shared" si="327"/>
        <v>1055.7627565116984</v>
      </c>
      <c r="AE331" s="85">
        <f t="shared" si="328"/>
        <v>-1123.103813236213</v>
      </c>
      <c r="AF331" s="90">
        <f t="shared" si="329"/>
        <v>1055.7627565116984</v>
      </c>
      <c r="AG331" s="86">
        <f t="shared" si="330"/>
        <v>26033.043460000001</v>
      </c>
      <c r="AH331" s="85">
        <f t="shared" si="331"/>
        <v>6128</v>
      </c>
      <c r="AI331" s="85">
        <f t="shared" si="332"/>
        <v>17917.073364199401</v>
      </c>
      <c r="AJ331" s="90">
        <f t="shared" si="333"/>
        <v>6128</v>
      </c>
      <c r="AL331" s="95">
        <f t="shared" si="334"/>
        <v>0</v>
      </c>
      <c r="AM331" s="95">
        <f t="shared" si="335"/>
        <v>0</v>
      </c>
      <c r="AN331" s="95">
        <f t="shared" si="336"/>
        <v>0</v>
      </c>
      <c r="AO331" s="95">
        <f t="shared" si="337"/>
        <v>0</v>
      </c>
      <c r="AP331"/>
      <c r="AQ331" s="95">
        <f t="shared" si="338"/>
        <v>0</v>
      </c>
      <c r="AR331" s="95">
        <f t="shared" si="339"/>
        <v>0</v>
      </c>
      <c r="AS331" s="95">
        <f>Geraetedaten!$B$94*ABS(SIN(RADIANS($A331)))</f>
        <v>144.71266360102987</v>
      </c>
      <c r="AT331" s="95">
        <f>Geraetedaten!$B$94*ABS(COS(RADIANS($A331)))</f>
        <v>52.671102072153026</v>
      </c>
      <c r="AU331" s="95">
        <f>((h_Aw_Sw+Geraetedaten!$B$18)/1000)*(AQ331*AS331+AR331*AT331)/100</f>
        <v>0</v>
      </c>
    </row>
    <row r="332" spans="1:47" ht="13.5" x14ac:dyDescent="0.25">
      <c r="A332" s="16">
        <v>291</v>
      </c>
      <c r="B332" s="16">
        <f t="shared" si="306"/>
        <v>159</v>
      </c>
      <c r="C332" s="19">
        <f t="shared" si="307"/>
        <v>70.059249947248006</v>
      </c>
      <c r="D332" s="17">
        <f t="shared" si="308"/>
        <v>2963.1170000527518</v>
      </c>
      <c r="E332" s="17">
        <f t="shared" si="309"/>
        <v>-23473.443919947247</v>
      </c>
      <c r="F332" s="17">
        <f t="shared" si="310"/>
        <v>-2973.2698299472481</v>
      </c>
      <c r="G332" s="17">
        <f t="shared" si="311"/>
        <v>24775.425020052753</v>
      </c>
      <c r="H332" s="17">
        <f t="shared" si="312"/>
        <v>2963.1170000527518</v>
      </c>
      <c r="I332" s="17">
        <f t="shared" si="313"/>
        <v>1223.3261994219365</v>
      </c>
      <c r="J332" s="20">
        <f>(Geraetedaten!$B$152+(Geraetedaten!$B$153*(Geraetedaten!$B$18+d_y_Sw)/1000))*10</f>
        <v>6051.0442000000003</v>
      </c>
      <c r="K332" s="20">
        <f>(Geraetedaten!$B$165+(Geraetedaten!$B$166*(Geraetedaten!$B$18+d_y_Sw)/1000))*10</f>
        <v>10816.164000000001</v>
      </c>
      <c r="L332" s="20">
        <f>(Geraetedaten!$B$158+(Geraetedaten!$B$159*(Geraetedaten!$B$18+d_y_Sw)/1000)-(Geraetedaten!$B$160*I332/1000))*10</f>
        <v>511.83008979638913</v>
      </c>
      <c r="M332" s="20">
        <f>(Geraetedaten!$B$171+(Geraetedaten!$B$172*(Geraetedaten!$B$18+d_y_Sw)/1000)-(Geraetedaten!$B$173*I332/1000))*10</f>
        <v>973.80259771503211</v>
      </c>
      <c r="N332" s="20">
        <f>IF((H332-J332)/(K332-J332)*(Geraetedaten!$B$174-Geraetedaten!$B$161)&lt;Geraetedaten!$B$174,(H332-J332)/(K332-J332)*(Geraetedaten!$B$174-Geraetedaten!$B$161),Geraetedaten!$B$174)</f>
        <v>-259.2108764986138</v>
      </c>
      <c r="O332" s="20">
        <f>N332/Geraetedaten!$B$174*(M332-L332)+L332+C332</f>
        <v>282.5185930040015</v>
      </c>
      <c r="P332" s="20">
        <f t="shared" si="314"/>
        <v>142.11116503727447</v>
      </c>
      <c r="Q332" s="21">
        <f>(N332-Geraetedaten!$B$161)/(Geraetedaten!$B$174-Geraetedaten!$B$161)*(Geraetedaten!$B$175-Geraetedaten!$B$162)+Geraetedaten!$B$162</f>
        <v>21.488476424166237</v>
      </c>
      <c r="R332" s="21">
        <f t="shared" si="315"/>
        <v>21.488476424166237</v>
      </c>
      <c r="S332" s="21">
        <f t="shared" si="316"/>
        <v>-20.06122098484818</v>
      </c>
      <c r="T332" s="88">
        <f t="shared" si="317"/>
        <v>7.7007812349809823</v>
      </c>
      <c r="U332" s="86">
        <f t="shared" si="318"/>
        <v>3033.17625</v>
      </c>
      <c r="V332" s="85">
        <f t="shared" si="319"/>
        <v>-1141.3067828769733</v>
      </c>
      <c r="W332" s="85">
        <f t="shared" si="320"/>
        <v>1223.3261994219365</v>
      </c>
      <c r="X332" s="90">
        <f t="shared" si="321"/>
        <v>1141.3067828769733</v>
      </c>
      <c r="Y332" s="86">
        <f t="shared" si="322"/>
        <v>-23403.384669999999</v>
      </c>
      <c r="Z332" s="85">
        <f t="shared" si="323"/>
        <v>-750</v>
      </c>
      <c r="AA332" s="85">
        <f t="shared" si="324"/>
        <v>-2092.8210822190008</v>
      </c>
      <c r="AB332" s="90">
        <f t="shared" si="325"/>
        <v>750</v>
      </c>
      <c r="AC332" s="86">
        <f t="shared" si="326"/>
        <v>-2903.2105799999999</v>
      </c>
      <c r="AD332" s="85">
        <f t="shared" si="327"/>
        <v>1055.7627565116984</v>
      </c>
      <c r="AE332" s="85">
        <f t="shared" si="328"/>
        <v>-1130.4339468656203</v>
      </c>
      <c r="AF332" s="90">
        <f t="shared" si="329"/>
        <v>1055.7627565116984</v>
      </c>
      <c r="AG332" s="86">
        <f t="shared" si="330"/>
        <v>24845.484270000001</v>
      </c>
      <c r="AH332" s="85">
        <f t="shared" si="331"/>
        <v>6128</v>
      </c>
      <c r="AI332" s="85">
        <f t="shared" si="332"/>
        <v>17099.74345578405</v>
      </c>
      <c r="AJ332" s="90">
        <f t="shared" si="333"/>
        <v>6128</v>
      </c>
      <c r="AL332" s="95">
        <f t="shared" si="334"/>
        <v>0</v>
      </c>
      <c r="AM332" s="95">
        <f t="shared" si="335"/>
        <v>0</v>
      </c>
      <c r="AN332" s="95">
        <f t="shared" si="336"/>
        <v>0</v>
      </c>
      <c r="AO332" s="95">
        <f t="shared" si="337"/>
        <v>0</v>
      </c>
      <c r="AP332"/>
      <c r="AQ332" s="95">
        <f t="shared" si="338"/>
        <v>0</v>
      </c>
      <c r="AR332" s="95">
        <f t="shared" si="339"/>
        <v>0</v>
      </c>
      <c r="AS332" s="95">
        <f>Geraetedaten!$B$94*ABS(SIN(RADIANS($A332)))</f>
        <v>143.77138568056907</v>
      </c>
      <c r="AT332" s="95">
        <f>Geraetedaten!$B$94*ABS(COS(RADIANS($A332)))</f>
        <v>55.188664229976261</v>
      </c>
      <c r="AU332" s="95">
        <f>((h_Aw_Sw+Geraetedaten!$B$18)/1000)*(AQ332*AS332+AR332*AT332)/100</f>
        <v>0</v>
      </c>
    </row>
    <row r="333" spans="1:47" ht="13.5" x14ac:dyDescent="0.25">
      <c r="A333" s="16">
        <v>292</v>
      </c>
      <c r="B333" s="16">
        <f t="shared" si="306"/>
        <v>158</v>
      </c>
      <c r="C333" s="19">
        <f t="shared" si="307"/>
        <v>70.139056024367036</v>
      </c>
      <c r="D333" s="17">
        <f t="shared" si="308"/>
        <v>2984.070363975633</v>
      </c>
      <c r="E333" s="17">
        <f t="shared" si="309"/>
        <v>-22459.021486024369</v>
      </c>
      <c r="F333" s="17">
        <f t="shared" si="310"/>
        <v>-2993.3187060243672</v>
      </c>
      <c r="G333" s="17">
        <f t="shared" si="311"/>
        <v>23698.330083975634</v>
      </c>
      <c r="H333" s="17">
        <f t="shared" si="312"/>
        <v>2984.070363975633</v>
      </c>
      <c r="I333" s="17">
        <f t="shared" si="313"/>
        <v>1231.8091953884207</v>
      </c>
      <c r="J333" s="20">
        <f>(Geraetedaten!$B$152+(Geraetedaten!$B$153*(Geraetedaten!$B$18+d_y_Sw)/1000))*10</f>
        <v>6051.0442000000003</v>
      </c>
      <c r="K333" s="20">
        <f>(Geraetedaten!$B$165+(Geraetedaten!$B$166*(Geraetedaten!$B$18+d_y_Sw)/1000))*10</f>
        <v>10816.164000000001</v>
      </c>
      <c r="L333" s="20">
        <f>(Geraetedaten!$B$158+(Geraetedaten!$B$159*(Geraetedaten!$B$18+d_y_Sw)/1000)-(Geraetedaten!$B$160*I333/1000))*10</f>
        <v>511.20803170216686</v>
      </c>
      <c r="M333" s="20">
        <f>(Geraetedaten!$B$171+(Geraetedaten!$B$172*(Geraetedaten!$B$18+d_y_Sw)/1000)-(Geraetedaten!$B$173*I333/1000))*10</f>
        <v>973.17112349528679</v>
      </c>
      <c r="N333" s="20">
        <f>IF((H333-J333)/(K333-J333)*(Geraetedaten!$B$174-Geraetedaten!$B$161)&lt;Geraetedaten!$B$174,(H333-J333)/(K333-J333)*(Geraetedaten!$B$174-Geraetedaten!$B$161),Geraetedaten!$B$174)</f>
        <v>-257.45198146114745</v>
      </c>
      <c r="O333" s="20">
        <f>N333/Geraetedaten!$B$174*(M333-L333)+L333+C333</f>
        <v>284.01380436639221</v>
      </c>
      <c r="P333" s="20">
        <f t="shared" si="314"/>
        <v>142.55485837272903</v>
      </c>
      <c r="Q333" s="21">
        <f>(N333-Geraetedaten!$B$161)/(Geraetedaten!$B$174-Geraetedaten!$B$161)*(Geraetedaten!$B$175-Geraetedaten!$B$162)+Geraetedaten!$B$162</f>
        <v>21.54080355153086</v>
      </c>
      <c r="R333" s="21">
        <f t="shared" si="315"/>
        <v>21.54080355153086</v>
      </c>
      <c r="S333" s="21">
        <f t="shared" si="316"/>
        <v>-19.972285267374328</v>
      </c>
      <c r="T333" s="88">
        <f t="shared" si="317"/>
        <v>8.0693270378803525</v>
      </c>
      <c r="U333" s="86">
        <f t="shared" si="318"/>
        <v>3054.2094200000001</v>
      </c>
      <c r="V333" s="85">
        <f t="shared" si="319"/>
        <v>-1141.3067828769733</v>
      </c>
      <c r="W333" s="85">
        <f t="shared" si="320"/>
        <v>1231.8091953884207</v>
      </c>
      <c r="X333" s="90">
        <f t="shared" si="321"/>
        <v>1141.3067828769733</v>
      </c>
      <c r="Y333" s="86">
        <f t="shared" si="322"/>
        <v>-22388.882430000001</v>
      </c>
      <c r="Z333" s="85">
        <f t="shared" si="323"/>
        <v>-750</v>
      </c>
      <c r="AA333" s="85">
        <f t="shared" si="324"/>
        <v>-2002.1003719155108</v>
      </c>
      <c r="AB333" s="90">
        <f t="shared" si="325"/>
        <v>750</v>
      </c>
      <c r="AC333" s="86">
        <f t="shared" si="326"/>
        <v>-2923.17965</v>
      </c>
      <c r="AD333" s="85">
        <f t="shared" si="327"/>
        <v>1055.7627565116984</v>
      </c>
      <c r="AE333" s="85">
        <f t="shared" si="328"/>
        <v>-1138.2093792185383</v>
      </c>
      <c r="AF333" s="90">
        <f t="shared" si="329"/>
        <v>1055.7627565116984</v>
      </c>
      <c r="AG333" s="86">
        <f t="shared" si="330"/>
        <v>23768.469140000001</v>
      </c>
      <c r="AH333" s="85">
        <f t="shared" si="331"/>
        <v>6128</v>
      </c>
      <c r="AI333" s="85">
        <f t="shared" si="332"/>
        <v>16358.494772131</v>
      </c>
      <c r="AJ333" s="90">
        <f t="shared" si="333"/>
        <v>6128</v>
      </c>
      <c r="AL333" s="95">
        <f t="shared" si="334"/>
        <v>0</v>
      </c>
      <c r="AM333" s="95">
        <f t="shared" si="335"/>
        <v>0</v>
      </c>
      <c r="AN333" s="95">
        <f t="shared" si="336"/>
        <v>0</v>
      </c>
      <c r="AO333" s="95">
        <f t="shared" si="337"/>
        <v>0</v>
      </c>
      <c r="AP333"/>
      <c r="AQ333" s="95">
        <f t="shared" si="338"/>
        <v>0</v>
      </c>
      <c r="AR333" s="95">
        <f t="shared" si="339"/>
        <v>0</v>
      </c>
      <c r="AS333" s="95">
        <f>Geraetedaten!$B$94*ABS(SIN(RADIANS($A333)))</f>
        <v>142.78631360328527</v>
      </c>
      <c r="AT333" s="95">
        <f>Geraetedaten!$B$94*ABS(COS(RADIANS($A333)))</f>
        <v>57.689415386050442</v>
      </c>
      <c r="AU333" s="95">
        <f>((h_Aw_Sw+Geraetedaten!$B$18)/1000)*(AQ333*AS333+AR333*AT333)/100</f>
        <v>0</v>
      </c>
    </row>
    <row r="334" spans="1:47" ht="13.5" x14ac:dyDescent="0.25">
      <c r="A334" s="16">
        <v>293</v>
      </c>
      <c r="B334" s="16">
        <f t="shared" si="306"/>
        <v>157</v>
      </c>
      <c r="C334" s="19">
        <f t="shared" si="307"/>
        <v>70.19749706556874</v>
      </c>
      <c r="D334" s="17">
        <f t="shared" si="308"/>
        <v>3006.282492934431</v>
      </c>
      <c r="E334" s="17">
        <f t="shared" si="309"/>
        <v>-21535.144527065568</v>
      </c>
      <c r="F334" s="17">
        <f t="shared" si="310"/>
        <v>-3014.5259070655688</v>
      </c>
      <c r="G334" s="17">
        <f t="shared" si="311"/>
        <v>22717.404012934432</v>
      </c>
      <c r="H334" s="17">
        <f t="shared" si="312"/>
        <v>3006.282492934431</v>
      </c>
      <c r="I334" s="17">
        <f t="shared" si="313"/>
        <v>1240.7912575593875</v>
      </c>
      <c r="J334" s="20">
        <f>(Geraetedaten!$B$152+(Geraetedaten!$B$153*(Geraetedaten!$B$18+d_y_Sw)/1000))*10</f>
        <v>6051.0442000000003</v>
      </c>
      <c r="K334" s="20">
        <f>(Geraetedaten!$B$165+(Geraetedaten!$B$166*(Geraetedaten!$B$18+d_y_Sw)/1000))*10</f>
        <v>10816.164000000001</v>
      </c>
      <c r="L334" s="20">
        <f>(Geraetedaten!$B$158+(Geraetedaten!$B$159*(Geraetedaten!$B$18+d_y_Sw)/1000)-(Geraetedaten!$B$160*I334/1000))*10</f>
        <v>510.54937708316982</v>
      </c>
      <c r="M334" s="20">
        <f>(Geraetedaten!$B$171+(Geraetedaten!$B$172*(Geraetedaten!$B$18+d_y_Sw)/1000)-(Geraetedaten!$B$173*I334/1000))*10</f>
        <v>972.50249878728016</v>
      </c>
      <c r="N334" s="20">
        <f>IF((H334-J334)/(K334-J334)*(Geraetedaten!$B$174-Geraetedaten!$B$161)&lt;Geraetedaten!$B$174,(H334-J334)/(K334-J334)*(Geraetedaten!$B$174-Geraetedaten!$B$161),Geraetedaten!$B$174)</f>
        <v>-255.58742150118186</v>
      </c>
      <c r="O334" s="20">
        <f>N334/Geraetedaten!$B$174*(M334-L334)+L334+C334</f>
        <v>285.5733560718005</v>
      </c>
      <c r="P334" s="20">
        <f t="shared" si="314"/>
        <v>143.01028336131969</v>
      </c>
      <c r="Q334" s="21">
        <f>(N334-Geraetedaten!$B$161)/(Geraetedaten!$B$174-Geraetedaten!$B$161)*(Geraetedaten!$B$175-Geraetedaten!$B$162)+Geraetedaten!$B$162</f>
        <v>21.596274210339836</v>
      </c>
      <c r="R334" s="21">
        <f t="shared" si="315"/>
        <v>21.596274210339836</v>
      </c>
      <c r="S334" s="21">
        <f t="shared" si="316"/>
        <v>-19.879475227107591</v>
      </c>
      <c r="T334" s="88">
        <f t="shared" si="317"/>
        <v>8.4383365933698773</v>
      </c>
      <c r="U334" s="86">
        <f t="shared" si="318"/>
        <v>3076.4799899999998</v>
      </c>
      <c r="V334" s="85">
        <f t="shared" si="319"/>
        <v>-1141.3067828769733</v>
      </c>
      <c r="W334" s="85">
        <f t="shared" si="320"/>
        <v>1240.7912575593875</v>
      </c>
      <c r="X334" s="90">
        <f t="shared" si="321"/>
        <v>1141.3067828769733</v>
      </c>
      <c r="Y334" s="86">
        <f t="shared" si="322"/>
        <v>-21464.947029999999</v>
      </c>
      <c r="Z334" s="85">
        <f t="shared" si="323"/>
        <v>-750</v>
      </c>
      <c r="AA334" s="85">
        <f t="shared" si="324"/>
        <v>-1919.4784989355901</v>
      </c>
      <c r="AB334" s="90">
        <f t="shared" si="325"/>
        <v>750</v>
      </c>
      <c r="AC334" s="86">
        <f t="shared" si="326"/>
        <v>-2944.3284100000001</v>
      </c>
      <c r="AD334" s="85">
        <f t="shared" si="327"/>
        <v>1055.7627565116984</v>
      </c>
      <c r="AE334" s="85">
        <f t="shared" si="328"/>
        <v>-1146.4441521151948</v>
      </c>
      <c r="AF334" s="90">
        <f t="shared" si="329"/>
        <v>1055.7627565116984</v>
      </c>
      <c r="AG334" s="86">
        <f t="shared" si="330"/>
        <v>22787.60151</v>
      </c>
      <c r="AH334" s="85">
        <f t="shared" si="331"/>
        <v>6128</v>
      </c>
      <c r="AI334" s="85">
        <f t="shared" si="332"/>
        <v>15683.418988636395</v>
      </c>
      <c r="AJ334" s="90">
        <f t="shared" si="333"/>
        <v>6128</v>
      </c>
      <c r="AL334" s="95">
        <f t="shared" si="334"/>
        <v>0</v>
      </c>
      <c r="AM334" s="95">
        <f t="shared" si="335"/>
        <v>0</v>
      </c>
      <c r="AN334" s="95">
        <f t="shared" si="336"/>
        <v>0</v>
      </c>
      <c r="AO334" s="95">
        <f t="shared" si="337"/>
        <v>0</v>
      </c>
      <c r="AP334"/>
      <c r="AQ334" s="95">
        <f t="shared" si="338"/>
        <v>0</v>
      </c>
      <c r="AR334" s="95">
        <f t="shared" si="339"/>
        <v>0</v>
      </c>
      <c r="AS334" s="95">
        <f>Geraetedaten!$B$94*ABS(SIN(RADIANS($A334)))</f>
        <v>141.75774743167582</v>
      </c>
      <c r="AT334" s="95">
        <f>Geraetedaten!$B$94*ABS(COS(RADIANS($A334)))</f>
        <v>60.17259378734812</v>
      </c>
      <c r="AU334" s="95">
        <f>((h_Aw_Sw+Geraetedaten!$B$18)/1000)*(AQ334*AS334+AR334*AT334)/100</f>
        <v>0</v>
      </c>
    </row>
    <row r="335" spans="1:47" ht="13.5" x14ac:dyDescent="0.25">
      <c r="A335" s="16">
        <v>294</v>
      </c>
      <c r="B335" s="16">
        <f t="shared" si="306"/>
        <v>156</v>
      </c>
      <c r="C335" s="19">
        <f t="shared" si="307"/>
        <v>70.234555269145858</v>
      </c>
      <c r="D335" s="17">
        <f t="shared" si="308"/>
        <v>3029.794414730854</v>
      </c>
      <c r="E335" s="17">
        <f t="shared" si="309"/>
        <v>-20690.513355269148</v>
      </c>
      <c r="F335" s="17">
        <f t="shared" si="310"/>
        <v>-3036.9302452691459</v>
      </c>
      <c r="G335" s="17">
        <f t="shared" si="311"/>
        <v>21820.650874730854</v>
      </c>
      <c r="H335" s="17">
        <f t="shared" si="312"/>
        <v>3029.794414730854</v>
      </c>
      <c r="I335" s="17">
        <f t="shared" si="313"/>
        <v>1250.2889196384913</v>
      </c>
      <c r="J335" s="20">
        <f>(Geraetedaten!$B$152+(Geraetedaten!$B$153*(Geraetedaten!$B$18+d_y_Sw)/1000))*10</f>
        <v>6051.0442000000003</v>
      </c>
      <c r="K335" s="20">
        <f>(Geraetedaten!$B$165+(Geraetedaten!$B$166*(Geraetedaten!$B$18+d_y_Sw)/1000))*10</f>
        <v>10816.164000000001</v>
      </c>
      <c r="L335" s="20">
        <f>(Geraetedaten!$B$158+(Geraetedaten!$B$159*(Geraetedaten!$B$18+d_y_Sw)/1000)-(Geraetedaten!$B$160*I335/1000))*10</f>
        <v>509.8529135229092</v>
      </c>
      <c r="M335" s="20">
        <f>(Geraetedaten!$B$171+(Geraetedaten!$B$172*(Geraetedaten!$B$18+d_y_Sw)/1000)-(Geraetedaten!$B$173*I335/1000))*10</f>
        <v>971.79549282211167</v>
      </c>
      <c r="N335" s="20">
        <f>IF((H335-J335)/(K335-J335)*(Geraetedaten!$B$174-Geraetedaten!$B$161)&lt;Geraetedaten!$B$174,(H335-J335)/(K335-J335)*(Geraetedaten!$B$174-Geraetedaten!$B$161),Geraetedaten!$B$174)</f>
        <v>-253.61375260862454</v>
      </c>
      <c r="O335" s="20">
        <f>N335/Geraetedaten!$B$174*(M335-L335)+L335+C335</f>
        <v>287.19999122761044</v>
      </c>
      <c r="P335" s="20">
        <f t="shared" si="314"/>
        <v>143.47794894177679</v>
      </c>
      <c r="Q335" s="21">
        <f>(N335-Geraetedaten!$B$161)/(Geraetedaten!$B$174-Geraetedaten!$B$161)*(Geraetedaten!$B$175-Geraetedaten!$B$162)+Geraetedaten!$B$162</f>
        <v>21.654990859893417</v>
      </c>
      <c r="R335" s="21">
        <f t="shared" si="315"/>
        <v>21.654990859893417</v>
      </c>
      <c r="S335" s="21">
        <f t="shared" si="316"/>
        <v>-19.782818535347676</v>
      </c>
      <c r="T335" s="88">
        <f t="shared" si="317"/>
        <v>8.8078782881901745</v>
      </c>
      <c r="U335" s="86">
        <f t="shared" si="318"/>
        <v>3100.0289699999998</v>
      </c>
      <c r="V335" s="85">
        <f t="shared" si="319"/>
        <v>-1141.3067828769733</v>
      </c>
      <c r="W335" s="85">
        <f t="shared" si="320"/>
        <v>1250.2889196384913</v>
      </c>
      <c r="X335" s="90">
        <f t="shared" si="321"/>
        <v>1141.3067828769733</v>
      </c>
      <c r="Y335" s="86">
        <f t="shared" si="322"/>
        <v>-20620.2788</v>
      </c>
      <c r="Z335" s="85">
        <f t="shared" si="323"/>
        <v>-750</v>
      </c>
      <c r="AA335" s="85">
        <f t="shared" si="324"/>
        <v>-1843.9450016806786</v>
      </c>
      <c r="AB335" s="90">
        <f t="shared" si="325"/>
        <v>750</v>
      </c>
      <c r="AC335" s="86">
        <f t="shared" si="326"/>
        <v>-2966.69569</v>
      </c>
      <c r="AD335" s="85">
        <f t="shared" si="327"/>
        <v>1055.7627565116984</v>
      </c>
      <c r="AE335" s="85">
        <f t="shared" si="328"/>
        <v>-1155.1533832317209</v>
      </c>
      <c r="AF335" s="90">
        <f t="shared" si="329"/>
        <v>1055.7627565116984</v>
      </c>
      <c r="AG335" s="86">
        <f t="shared" si="330"/>
        <v>21890.885429999998</v>
      </c>
      <c r="AH335" s="85">
        <f t="shared" si="331"/>
        <v>6128</v>
      </c>
      <c r="AI335" s="85">
        <f t="shared" si="332"/>
        <v>15066.259960398931</v>
      </c>
      <c r="AJ335" s="90">
        <f t="shared" si="333"/>
        <v>6128</v>
      </c>
      <c r="AL335" s="95">
        <f t="shared" si="334"/>
        <v>0</v>
      </c>
      <c r="AM335" s="95">
        <f t="shared" si="335"/>
        <v>0</v>
      </c>
      <c r="AN335" s="95">
        <f t="shared" si="336"/>
        <v>0</v>
      </c>
      <c r="AO335" s="95">
        <f t="shared" si="337"/>
        <v>0</v>
      </c>
      <c r="AP335"/>
      <c r="AQ335" s="95">
        <f t="shared" si="338"/>
        <v>0</v>
      </c>
      <c r="AR335" s="95">
        <f t="shared" si="339"/>
        <v>0</v>
      </c>
      <c r="AS335" s="95">
        <f>Geraetedaten!$B$94*ABS(SIN(RADIANS($A335)))</f>
        <v>140.68600047696057</v>
      </c>
      <c r="AT335" s="95">
        <f>Geraetedaten!$B$94*ABS(COS(RADIANS($A335)))</f>
        <v>62.637443033673165</v>
      </c>
      <c r="AU335" s="95">
        <f>((h_Aw_Sw+Geraetedaten!$B$18)/1000)*(AQ335*AS335+AR335*AT335)/100</f>
        <v>0</v>
      </c>
    </row>
    <row r="336" spans="1:47" ht="13.5" x14ac:dyDescent="0.25">
      <c r="A336" s="16">
        <v>295</v>
      </c>
      <c r="B336" s="16">
        <f t="shared" si="306"/>
        <v>155</v>
      </c>
      <c r="C336" s="19">
        <f t="shared" si="307"/>
        <v>70.250219346810582</v>
      </c>
      <c r="D336" s="17">
        <f t="shared" si="308"/>
        <v>3054.650240653189</v>
      </c>
      <c r="E336" s="17">
        <f t="shared" si="309"/>
        <v>-19915.637269346811</v>
      </c>
      <c r="F336" s="17">
        <f t="shared" si="310"/>
        <v>-3060.5734793468109</v>
      </c>
      <c r="G336" s="17">
        <f t="shared" si="311"/>
        <v>20997.99519065319</v>
      </c>
      <c r="H336" s="17">
        <f t="shared" si="312"/>
        <v>3054.650240653189</v>
      </c>
      <c r="I336" s="17">
        <f t="shared" si="313"/>
        <v>1260.3199703211221</v>
      </c>
      <c r="J336" s="20">
        <f>(Geraetedaten!$B$152+(Geraetedaten!$B$153*(Geraetedaten!$B$18+d_y_Sw)/1000))*10</f>
        <v>6051.0442000000003</v>
      </c>
      <c r="K336" s="20">
        <f>(Geraetedaten!$B$165+(Geraetedaten!$B$166*(Geraetedaten!$B$18+d_y_Sw)/1000))*10</f>
        <v>10816.164000000001</v>
      </c>
      <c r="L336" s="20">
        <f>(Geraetedaten!$B$158+(Geraetedaten!$B$159*(Geraetedaten!$B$18+d_y_Sw)/1000)-(Geraetedaten!$B$160*I336/1000))*10</f>
        <v>509.11733657635187</v>
      </c>
      <c r="M336" s="20">
        <f>(Geraetedaten!$B$171+(Geraetedaten!$B$172*(Geraetedaten!$B$18+d_y_Sw)/1000)-(Geraetedaten!$B$173*I336/1000))*10</f>
        <v>971.04878140929657</v>
      </c>
      <c r="N336" s="20">
        <f>IF((H336-J336)/(K336-J336)*(Geraetedaten!$B$174-Geraetedaten!$B$161)&lt;Geraetedaten!$B$174,(H336-J336)/(K336-J336)*(Geraetedaten!$B$174-Geraetedaten!$B$161),Geraetedaten!$B$174)</f>
        <v>-251.52727193526684</v>
      </c>
      <c r="O336" s="20">
        <f>N336/Geraetedaten!$B$174*(M336-L336)+L336+C336</f>
        <v>288.89666557329548</v>
      </c>
      <c r="P336" s="20">
        <f t="shared" si="314"/>
        <v>143.95840232667734</v>
      </c>
      <c r="Q336" s="21">
        <f>(N336-Geraetedaten!$B$161)/(Geraetedaten!$B$174-Geraetedaten!$B$161)*(Geraetedaten!$B$175-Geraetedaten!$B$162)+Geraetedaten!$B$162</f>
        <v>21.71706365992581</v>
      </c>
      <c r="R336" s="21">
        <f t="shared" si="315"/>
        <v>21.71706365992581</v>
      </c>
      <c r="S336" s="21">
        <f t="shared" si="316"/>
        <v>-19.68234390656141</v>
      </c>
      <c r="T336" s="88">
        <f t="shared" si="317"/>
        <v>9.1780276940699608</v>
      </c>
      <c r="U336" s="86">
        <f t="shared" si="318"/>
        <v>3124.9004599999998</v>
      </c>
      <c r="V336" s="85">
        <f t="shared" si="319"/>
        <v>-1141.3067828769733</v>
      </c>
      <c r="W336" s="85">
        <f t="shared" si="320"/>
        <v>1260.3199703211221</v>
      </c>
      <c r="X336" s="90">
        <f t="shared" si="321"/>
        <v>1141.3067828769733</v>
      </c>
      <c r="Y336" s="86">
        <f t="shared" si="322"/>
        <v>-19845.387050000001</v>
      </c>
      <c r="Z336" s="85">
        <f t="shared" si="323"/>
        <v>-750</v>
      </c>
      <c r="AA336" s="85">
        <f t="shared" si="324"/>
        <v>-1774.6511873643747</v>
      </c>
      <c r="AB336" s="90">
        <f t="shared" si="325"/>
        <v>750</v>
      </c>
      <c r="AC336" s="86">
        <f t="shared" si="326"/>
        <v>-2990.3232600000001</v>
      </c>
      <c r="AD336" s="85">
        <f t="shared" si="327"/>
        <v>1055.7627565116984</v>
      </c>
      <c r="AE336" s="85">
        <f t="shared" si="328"/>
        <v>-1164.3533389810316</v>
      </c>
      <c r="AF336" s="90">
        <f t="shared" si="329"/>
        <v>1055.7627565116984</v>
      </c>
      <c r="AG336" s="86">
        <f t="shared" si="330"/>
        <v>21068.24541</v>
      </c>
      <c r="AH336" s="85">
        <f t="shared" si="331"/>
        <v>6128</v>
      </c>
      <c r="AI336" s="85">
        <f t="shared" si="332"/>
        <v>14500.083301558516</v>
      </c>
      <c r="AJ336" s="90">
        <f t="shared" si="333"/>
        <v>6128</v>
      </c>
      <c r="AL336" s="95">
        <f t="shared" si="334"/>
        <v>0</v>
      </c>
      <c r="AM336" s="95">
        <f t="shared" si="335"/>
        <v>0</v>
      </c>
      <c r="AN336" s="95">
        <f t="shared" si="336"/>
        <v>0</v>
      </c>
      <c r="AO336" s="95">
        <f t="shared" si="337"/>
        <v>0</v>
      </c>
      <c r="AP336"/>
      <c r="AQ336" s="95">
        <f t="shared" si="338"/>
        <v>0</v>
      </c>
      <c r="AR336" s="95">
        <f t="shared" si="339"/>
        <v>0</v>
      </c>
      <c r="AS336" s="95">
        <f>Geraetedaten!$B$94*ABS(SIN(RADIANS($A336)))</f>
        <v>139.57139920364409</v>
      </c>
      <c r="AT336" s="95">
        <f>Geraetedaten!$B$94*ABS(COS(RADIANS($A336)))</f>
        <v>65.083212308067743</v>
      </c>
      <c r="AU336" s="95">
        <f>((h_Aw_Sw+Geraetedaten!$B$18)/1000)*(AQ336*AS336+AR336*AT336)/100</f>
        <v>0</v>
      </c>
    </row>
    <row r="337" spans="1:47" ht="13.5" x14ac:dyDescent="0.25">
      <c r="A337" s="16">
        <v>296</v>
      </c>
      <c r="B337" s="16">
        <f t="shared" si="306"/>
        <v>154</v>
      </c>
      <c r="C337" s="19">
        <f t="shared" si="307"/>
        <v>70.24448452713311</v>
      </c>
      <c r="D337" s="17">
        <f t="shared" si="308"/>
        <v>3080.8974154728671</v>
      </c>
      <c r="E337" s="17">
        <f t="shared" si="309"/>
        <v>-19202.486734527134</v>
      </c>
      <c r="F337" s="17">
        <f t="shared" si="310"/>
        <v>-3085.5005445271331</v>
      </c>
      <c r="G337" s="17">
        <f t="shared" si="311"/>
        <v>20240.912675472864</v>
      </c>
      <c r="H337" s="17">
        <f t="shared" si="312"/>
        <v>3080.8974154728671</v>
      </c>
      <c r="I337" s="17">
        <f t="shared" si="313"/>
        <v>1270.9035413584656</v>
      </c>
      <c r="J337" s="20">
        <f>(Geraetedaten!$B$152+(Geraetedaten!$B$153*(Geraetedaten!$B$18+d_y_Sw)/1000))*10</f>
        <v>6051.0442000000003</v>
      </c>
      <c r="K337" s="20">
        <f>(Geraetedaten!$B$165+(Geraetedaten!$B$166*(Geraetedaten!$B$18+d_y_Sw)/1000))*10</f>
        <v>10816.164000000001</v>
      </c>
      <c r="L337" s="20">
        <f>(Geraetedaten!$B$158+(Geraetedaten!$B$159*(Geraetedaten!$B$18+d_y_Sw)/1000)-(Geraetedaten!$B$160*I337/1000))*10</f>
        <v>508.34124331218345</v>
      </c>
      <c r="M337" s="20">
        <f>(Geraetedaten!$B$171+(Geraetedaten!$B$172*(Geraetedaten!$B$18+d_y_Sw)/1000)-(Geraetedaten!$B$173*I337/1000))*10</f>
        <v>970.26094038127678</v>
      </c>
      <c r="N337" s="20">
        <f>IF((H337-J337)/(K337-J337)*(Geraetedaten!$B$174-Geraetedaten!$B$161)&lt;Geraetedaten!$B$174,(H337-J337)/(K337-J337)*(Geraetedaten!$B$174-Geraetedaten!$B$161),Geraetedaten!$B$174)</f>
        <v>-249.32399680924141</v>
      </c>
      <c r="O337" s="20">
        <f>N337/Geraetedaten!$B$174*(M337-L337)+L337+C337</f>
        <v>290.66656514386563</v>
      </c>
      <c r="P337" s="20">
        <f t="shared" si="314"/>
        <v>144.45223150409146</v>
      </c>
      <c r="Q337" s="21">
        <f>(N337-Geraetedaten!$B$161)/(Geraetedaten!$B$174-Geraetedaten!$B$161)*(Geraetedaten!$B$175-Geraetedaten!$B$162)+Geraetedaten!$B$162</f>
        <v>21.782611094925066</v>
      </c>
      <c r="R337" s="21">
        <f t="shared" si="315"/>
        <v>21.782611094925066</v>
      </c>
      <c r="S337" s="21">
        <f t="shared" si="316"/>
        <v>-19.578081164968829</v>
      </c>
      <c r="T337" s="88">
        <f t="shared" si="317"/>
        <v>9.5488682057427816</v>
      </c>
      <c r="U337" s="86">
        <f t="shared" si="318"/>
        <v>3151.1419000000001</v>
      </c>
      <c r="V337" s="85">
        <f t="shared" si="319"/>
        <v>-1141.3067828769733</v>
      </c>
      <c r="W337" s="85">
        <f t="shared" si="320"/>
        <v>1270.9035413584656</v>
      </c>
      <c r="X337" s="90">
        <f t="shared" si="321"/>
        <v>1141.3067828769733</v>
      </c>
      <c r="Y337" s="86">
        <f t="shared" si="322"/>
        <v>-19132.242249999999</v>
      </c>
      <c r="Z337" s="85">
        <f t="shared" si="323"/>
        <v>-750</v>
      </c>
      <c r="AA337" s="85">
        <f t="shared" si="324"/>
        <v>-1710.8790245286443</v>
      </c>
      <c r="AB337" s="90">
        <f t="shared" si="325"/>
        <v>750</v>
      </c>
      <c r="AC337" s="86">
        <f t="shared" si="326"/>
        <v>-3015.2560600000002</v>
      </c>
      <c r="AD337" s="85">
        <f t="shared" si="327"/>
        <v>1055.7627565116984</v>
      </c>
      <c r="AE337" s="85">
        <f t="shared" si="328"/>
        <v>-1174.0615147435522</v>
      </c>
      <c r="AF337" s="90">
        <f t="shared" si="329"/>
        <v>1055.7627565116984</v>
      </c>
      <c r="AG337" s="86">
        <f t="shared" si="330"/>
        <v>20311.157159999999</v>
      </c>
      <c r="AH337" s="85">
        <f t="shared" si="331"/>
        <v>6128</v>
      </c>
      <c r="AI337" s="85">
        <f t="shared" si="332"/>
        <v>13979.022216415377</v>
      </c>
      <c r="AJ337" s="90">
        <f t="shared" si="333"/>
        <v>6128</v>
      </c>
      <c r="AL337" s="95">
        <f t="shared" si="334"/>
        <v>0</v>
      </c>
      <c r="AM337" s="95">
        <f t="shared" si="335"/>
        <v>0</v>
      </c>
      <c r="AN337" s="95">
        <f t="shared" si="336"/>
        <v>0</v>
      </c>
      <c r="AO337" s="95">
        <f t="shared" si="337"/>
        <v>0</v>
      </c>
      <c r="AP337"/>
      <c r="AQ337" s="95">
        <f t="shared" si="338"/>
        <v>0</v>
      </c>
      <c r="AR337" s="95">
        <f t="shared" si="339"/>
        <v>0</v>
      </c>
      <c r="AS337" s="95">
        <f>Geraetedaten!$B$94*ABS(SIN(RADIANS($A337)))</f>
        <v>138.41428313007174</v>
      </c>
      <c r="AT337" s="95">
        <f>Geraetedaten!$B$94*ABS(COS(RADIANS($A337)))</f>
        <v>67.509156605517916</v>
      </c>
      <c r="AU337" s="95">
        <f>((h_Aw_Sw+Geraetedaten!$B$18)/1000)*(AQ337*AS337+AR337*AT337)/100</f>
        <v>0</v>
      </c>
    </row>
    <row r="338" spans="1:47" ht="13.5" x14ac:dyDescent="0.25">
      <c r="A338" s="16">
        <v>297</v>
      </c>
      <c r="B338" s="16">
        <f t="shared" si="306"/>
        <v>153</v>
      </c>
      <c r="C338" s="19">
        <f t="shared" si="307"/>
        <v>70.217352556995067</v>
      </c>
      <c r="D338" s="17">
        <f t="shared" si="308"/>
        <v>3108.5869374430049</v>
      </c>
      <c r="E338" s="17">
        <f t="shared" si="309"/>
        <v>-18544.222822556996</v>
      </c>
      <c r="F338" s="17">
        <f t="shared" si="310"/>
        <v>-3111.7597425569952</v>
      </c>
      <c r="G338" s="17">
        <f t="shared" si="311"/>
        <v>19542.142947443004</v>
      </c>
      <c r="H338" s="17">
        <f t="shared" si="312"/>
        <v>3108.5869374430049</v>
      </c>
      <c r="I338" s="17">
        <f t="shared" si="313"/>
        <v>1282.0602045587091</v>
      </c>
      <c r="J338" s="20">
        <f>(Geraetedaten!$B$152+(Geraetedaten!$B$153*(Geraetedaten!$B$18+d_y_Sw)/1000))*10</f>
        <v>6051.0442000000003</v>
      </c>
      <c r="K338" s="20">
        <f>(Geraetedaten!$B$165+(Geraetedaten!$B$166*(Geraetedaten!$B$18+d_y_Sw)/1000))*10</f>
        <v>10816.164000000001</v>
      </c>
      <c r="L338" s="20">
        <f>(Geraetedaten!$B$158+(Geraetedaten!$B$159*(Geraetedaten!$B$18+d_y_Sw)/1000)-(Geraetedaten!$B$160*I338/1000))*10</f>
        <v>507.52312519970963</v>
      </c>
      <c r="M338" s="20">
        <f>(Geraetedaten!$B$171+(Geraetedaten!$B$172*(Geraetedaten!$B$18+d_y_Sw)/1000)-(Geraetedaten!$B$173*I338/1000))*10</f>
        <v>969.43043837265066</v>
      </c>
      <c r="N338" s="20">
        <f>IF((H338-J338)/(K338-J338)*(Geraetedaten!$B$174-Geraetedaten!$B$161)&lt;Geraetedaten!$B$174,(H338-J338)/(K338-J338)*(Geraetedaten!$B$174-Geraetedaten!$B$161),Geraetedaten!$B$174)</f>
        <v>-246.99964626761286</v>
      </c>
      <c r="O338" s="20">
        <f>N338/Geraetedaten!$B$174*(M338-L338)+L338+C338</f>
        <v>292.51312035135493</v>
      </c>
      <c r="P338" s="20">
        <f t="shared" si="314"/>
        <v>144.96006624158761</v>
      </c>
      <c r="Q338" s="21">
        <f>(N338-Geraetedaten!$B$161)/(Geraetedaten!$B$174-Geraetedaten!$B$161)*(Geraetedaten!$B$175-Geraetedaten!$B$162)+Geraetedaten!$B$162</f>
        <v>21.851760523538516</v>
      </c>
      <c r="R338" s="21">
        <f t="shared" si="315"/>
        <v>21.851760523538516</v>
      </c>
      <c r="S338" s="21">
        <f t="shared" si="316"/>
        <v>-19.470061191474645</v>
      </c>
      <c r="T338" s="88">
        <f t="shared" si="317"/>
        <v>9.9204916802701479</v>
      </c>
      <c r="U338" s="86">
        <f t="shared" si="318"/>
        <v>3178.80429</v>
      </c>
      <c r="V338" s="85">
        <f t="shared" si="319"/>
        <v>-1141.3067828769733</v>
      </c>
      <c r="W338" s="85">
        <f t="shared" si="320"/>
        <v>1282.0602045587091</v>
      </c>
      <c r="X338" s="90">
        <f t="shared" si="321"/>
        <v>1141.3067828769733</v>
      </c>
      <c r="Y338" s="86">
        <f t="shared" si="322"/>
        <v>-18474.00547</v>
      </c>
      <c r="Z338" s="85">
        <f t="shared" si="323"/>
        <v>-750</v>
      </c>
      <c r="AA338" s="85">
        <f t="shared" si="324"/>
        <v>-1652.0169484389503</v>
      </c>
      <c r="AB338" s="90">
        <f t="shared" si="325"/>
        <v>750</v>
      </c>
      <c r="AC338" s="86">
        <f t="shared" si="326"/>
        <v>-3041.5423900000001</v>
      </c>
      <c r="AD338" s="85">
        <f t="shared" si="327"/>
        <v>1055.7627565116984</v>
      </c>
      <c r="AE338" s="85">
        <f t="shared" si="328"/>
        <v>-1184.2967232320066</v>
      </c>
      <c r="AF338" s="90">
        <f t="shared" si="329"/>
        <v>1055.7627565116984</v>
      </c>
      <c r="AG338" s="86">
        <f t="shared" si="330"/>
        <v>19612.3603</v>
      </c>
      <c r="AH338" s="85">
        <f t="shared" si="331"/>
        <v>6128</v>
      </c>
      <c r="AI338" s="85">
        <f t="shared" si="332"/>
        <v>13498.079813378517</v>
      </c>
      <c r="AJ338" s="90">
        <f t="shared" si="333"/>
        <v>6128</v>
      </c>
      <c r="AL338" s="95">
        <f t="shared" si="334"/>
        <v>0</v>
      </c>
      <c r="AM338" s="95">
        <f t="shared" si="335"/>
        <v>0</v>
      </c>
      <c r="AN338" s="95">
        <f t="shared" si="336"/>
        <v>0</v>
      </c>
      <c r="AO338" s="95">
        <f t="shared" si="337"/>
        <v>0</v>
      </c>
      <c r="AP338"/>
      <c r="AQ338" s="95">
        <f t="shared" si="338"/>
        <v>0</v>
      </c>
      <c r="AR338" s="95">
        <f t="shared" si="339"/>
        <v>0</v>
      </c>
      <c r="AS338" s="95">
        <f>Geraetedaten!$B$94*ABS(SIN(RADIANS($A338)))</f>
        <v>137.21500472500867</v>
      </c>
      <c r="AT338" s="95">
        <f>Geraetedaten!$B$94*ABS(COS(RADIANS($A338)))</f>
        <v>69.914536959890185</v>
      </c>
      <c r="AU338" s="95">
        <f>((h_Aw_Sw+Geraetedaten!$B$18)/1000)*(AQ338*AS338+AR338*AT338)/100</f>
        <v>0</v>
      </c>
    </row>
    <row r="339" spans="1:47" ht="13.5" x14ac:dyDescent="0.25">
      <c r="A339" s="16">
        <v>298</v>
      </c>
      <c r="B339" s="16">
        <f t="shared" si="306"/>
        <v>152</v>
      </c>
      <c r="C339" s="19">
        <f t="shared" si="307"/>
        <v>70.1688317010574</v>
      </c>
      <c r="D339" s="17">
        <f t="shared" si="308"/>
        <v>3137.7736382989424</v>
      </c>
      <c r="E339" s="17">
        <f t="shared" si="309"/>
        <v>-17934.984601701057</v>
      </c>
      <c r="F339" s="17">
        <f t="shared" si="310"/>
        <v>-3139.4030517010574</v>
      </c>
      <c r="G339" s="17">
        <f t="shared" si="311"/>
        <v>18895.463938298944</v>
      </c>
      <c r="H339" s="17">
        <f t="shared" si="312"/>
        <v>3137.7736382989424</v>
      </c>
      <c r="I339" s="17">
        <f t="shared" si="313"/>
        <v>1293.8120787039013</v>
      </c>
      <c r="J339" s="20">
        <f>(Geraetedaten!$B$152+(Geraetedaten!$B$153*(Geraetedaten!$B$18+d_y_Sw)/1000))*10</f>
        <v>6051.0442000000003</v>
      </c>
      <c r="K339" s="20">
        <f>(Geraetedaten!$B$165+(Geraetedaten!$B$166*(Geraetedaten!$B$18+d_y_Sw)/1000))*10</f>
        <v>10816.164000000001</v>
      </c>
      <c r="L339" s="20">
        <f>(Geraetedaten!$B$158+(Geraetedaten!$B$159*(Geraetedaten!$B$18+d_y_Sw)/1000)-(Geraetedaten!$B$160*I339/1000))*10</f>
        <v>506.66136026864262</v>
      </c>
      <c r="M339" s="20">
        <f>(Geraetedaten!$B$171+(Geraetedaten!$B$172*(Geraetedaten!$B$18+d_y_Sw)/1000)-(Geraetedaten!$B$173*I339/1000))*10</f>
        <v>968.55562886128257</v>
      </c>
      <c r="N339" s="20">
        <f>IF((H339-J339)/(K339-J339)*(Geraetedaten!$B$174-Geraetedaten!$B$161)&lt;Geraetedaten!$B$174,(H339-J339)/(K339-J339)*(Geraetedaten!$B$174-Geraetedaten!$B$161),Geraetedaten!$B$174)</f>
        <v>-244.54961755220154</v>
      </c>
      <c r="O339" s="20">
        <f>N339/Geraetedaten!$B$174*(M339-L339)+L339+C339</f>
        <v>294.44002513499015</v>
      </c>
      <c r="P339" s="20">
        <f t="shared" si="314"/>
        <v>145.48258030594903</v>
      </c>
      <c r="Q339" s="21">
        <f>(N339-Geraetedaten!$B$161)/(Geraetedaten!$B$174-Geraetedaten!$B$161)*(Geraetedaten!$B$175-Geraetedaten!$B$162)+Geraetedaten!$B$162</f>
        <v>21.924648877822001</v>
      </c>
      <c r="R339" s="21">
        <f t="shared" si="315"/>
        <v>21.924648877822001</v>
      </c>
      <c r="S339" s="21">
        <f t="shared" si="316"/>
        <v>-19.358315950950114</v>
      </c>
      <c r="T339" s="88">
        <f t="shared" si="317"/>
        <v>10.292999172203013</v>
      </c>
      <c r="U339" s="86">
        <f t="shared" si="318"/>
        <v>3207.94247</v>
      </c>
      <c r="V339" s="85">
        <f t="shared" si="319"/>
        <v>-1141.3067828769733</v>
      </c>
      <c r="W339" s="85">
        <f t="shared" si="320"/>
        <v>1293.8120787039013</v>
      </c>
      <c r="X339" s="90">
        <f t="shared" si="321"/>
        <v>1141.3067828769733</v>
      </c>
      <c r="Y339" s="86">
        <f t="shared" si="322"/>
        <v>-17864.815770000001</v>
      </c>
      <c r="Z339" s="85">
        <f t="shared" si="323"/>
        <v>-750</v>
      </c>
      <c r="AA339" s="85">
        <f t="shared" si="324"/>
        <v>-1597.5408511421342</v>
      </c>
      <c r="AB339" s="90">
        <f t="shared" si="325"/>
        <v>750</v>
      </c>
      <c r="AC339" s="86">
        <f t="shared" si="326"/>
        <v>-3069.2342199999998</v>
      </c>
      <c r="AD339" s="85">
        <f t="shared" si="327"/>
        <v>1055.7627565116984</v>
      </c>
      <c r="AE339" s="85">
        <f t="shared" si="328"/>
        <v>-1195.0791918777493</v>
      </c>
      <c r="AF339" s="90">
        <f t="shared" si="329"/>
        <v>1055.7627565116984</v>
      </c>
      <c r="AG339" s="86">
        <f t="shared" si="330"/>
        <v>18965.63277</v>
      </c>
      <c r="AH339" s="85">
        <f t="shared" si="331"/>
        <v>6128</v>
      </c>
      <c r="AI339" s="85">
        <f t="shared" si="332"/>
        <v>13052.973781065331</v>
      </c>
      <c r="AJ339" s="90">
        <f t="shared" si="333"/>
        <v>6128</v>
      </c>
      <c r="AL339" s="95">
        <f t="shared" si="334"/>
        <v>0</v>
      </c>
      <c r="AM339" s="95">
        <f t="shared" si="335"/>
        <v>0</v>
      </c>
      <c r="AN339" s="95">
        <f t="shared" si="336"/>
        <v>0</v>
      </c>
      <c r="AO339" s="95">
        <f t="shared" si="337"/>
        <v>0</v>
      </c>
      <c r="AP339"/>
      <c r="AQ339" s="95">
        <f t="shared" si="338"/>
        <v>0</v>
      </c>
      <c r="AR339" s="95">
        <f t="shared" si="339"/>
        <v>0</v>
      </c>
      <c r="AS339" s="95">
        <f>Geraetedaten!$B$94*ABS(SIN(RADIANS($A339)))</f>
        <v>135.97392930027476</v>
      </c>
      <c r="AT339" s="95">
        <f>Geraetedaten!$B$94*ABS(COS(RADIANS($A339)))</f>
        <v>72.29862066902713</v>
      </c>
      <c r="AU339" s="95">
        <f>((h_Aw_Sw+Geraetedaten!$B$18)/1000)*(AQ339*AS339+AR339*AT339)/100</f>
        <v>0</v>
      </c>
    </row>
    <row r="340" spans="1:47" ht="13.5" x14ac:dyDescent="0.25">
      <c r="A340" s="16">
        <v>299</v>
      </c>
      <c r="B340" s="16">
        <f t="shared" si="306"/>
        <v>151</v>
      </c>
      <c r="C340" s="19">
        <f t="shared" si="307"/>
        <v>70.098936739242845</v>
      </c>
      <c r="D340" s="17">
        <f t="shared" si="308"/>
        <v>3168.516483260757</v>
      </c>
      <c r="E340" s="17">
        <f t="shared" si="309"/>
        <v>-17369.720536739242</v>
      </c>
      <c r="F340" s="17">
        <f t="shared" si="310"/>
        <v>-3168.4863267392429</v>
      </c>
      <c r="G340" s="17">
        <f t="shared" si="311"/>
        <v>18295.512803260757</v>
      </c>
      <c r="H340" s="17">
        <f t="shared" si="312"/>
        <v>3168.516483260757</v>
      </c>
      <c r="I340" s="17">
        <f t="shared" si="313"/>
        <v>1306.1829474916988</v>
      </c>
      <c r="J340" s="20">
        <f>(Geraetedaten!$B$152+(Geraetedaten!$B$153*(Geraetedaten!$B$18+d_y_Sw)/1000))*10</f>
        <v>6051.0442000000003</v>
      </c>
      <c r="K340" s="20">
        <f>(Geraetedaten!$B$165+(Geraetedaten!$B$166*(Geraetedaten!$B$18+d_y_Sw)/1000))*10</f>
        <v>10816.164000000001</v>
      </c>
      <c r="L340" s="20">
        <f>(Geraetedaten!$B$158+(Geraetedaten!$B$159*(Geraetedaten!$B$18+d_y_Sw)/1000)-(Geraetedaten!$B$160*I340/1000))*10</f>
        <v>505.75420446043353</v>
      </c>
      <c r="M340" s="20">
        <f>(Geraetedaten!$B$171+(Geraetedaten!$B$172*(Geraetedaten!$B$18+d_y_Sw)/1000)-(Geraetedaten!$B$173*I340/1000))*10</f>
        <v>967.63474138871879</v>
      </c>
      <c r="N340" s="20">
        <f>IF((H340-J340)/(K340-J340)*(Geraetedaten!$B$174-Geraetedaten!$B$161)&lt;Geraetedaten!$B$174,(H340-J340)/(K340-J340)*(Geraetedaten!$B$174-Geraetedaten!$B$161),Geraetedaten!$B$174)</f>
        <v>-241.96896092637527</v>
      </c>
      <c r="O340" s="20">
        <f>N340/Geraetedaten!$B$174*(M340-L340)+L340+C340</f>
        <v>296.45125721804266</v>
      </c>
      <c r="P340" s="20">
        <f t="shared" si="314"/>
        <v>146.0204935826284</v>
      </c>
      <c r="Q340" s="21">
        <f>(N340-Geraetedaten!$B$161)/(Geraetedaten!$B$174-Geraetedaten!$B$161)*(Geraetedaten!$B$175-Geraetedaten!$B$162)+Geraetedaten!$B$162</f>
        <v>22.001423412440332</v>
      </c>
      <c r="R340" s="21">
        <f t="shared" si="315"/>
        <v>22.001423412440332</v>
      </c>
      <c r="S340" s="21">
        <f t="shared" si="316"/>
        <v>-19.242878501638405</v>
      </c>
      <c r="T340" s="88">
        <f t="shared" si="317"/>
        <v>10.666501729464072</v>
      </c>
      <c r="U340" s="86">
        <f t="shared" si="318"/>
        <v>3238.6154200000001</v>
      </c>
      <c r="V340" s="85">
        <f t="shared" si="319"/>
        <v>-1141.3067828769733</v>
      </c>
      <c r="W340" s="85">
        <f t="shared" si="320"/>
        <v>1306.1829474916988</v>
      </c>
      <c r="X340" s="90">
        <f t="shared" si="321"/>
        <v>1141.3067828769733</v>
      </c>
      <c r="Y340" s="86">
        <f t="shared" si="322"/>
        <v>-17299.621599999999</v>
      </c>
      <c r="Z340" s="85">
        <f t="shared" si="323"/>
        <v>-750</v>
      </c>
      <c r="AA340" s="85">
        <f t="shared" si="324"/>
        <v>-1546.999004720486</v>
      </c>
      <c r="AB340" s="90">
        <f t="shared" si="325"/>
        <v>750</v>
      </c>
      <c r="AC340" s="86">
        <f t="shared" si="326"/>
        <v>-3098.3873899999999</v>
      </c>
      <c r="AD340" s="85">
        <f t="shared" si="327"/>
        <v>1055.7627565116984</v>
      </c>
      <c r="AE340" s="85">
        <f t="shared" si="328"/>
        <v>-1206.430670244484</v>
      </c>
      <c r="AF340" s="90">
        <f t="shared" si="329"/>
        <v>1055.7627565116984</v>
      </c>
      <c r="AG340" s="86">
        <f t="shared" si="330"/>
        <v>18365.61174</v>
      </c>
      <c r="AH340" s="85">
        <f t="shared" si="331"/>
        <v>6128</v>
      </c>
      <c r="AI340" s="85">
        <f t="shared" si="332"/>
        <v>12640.013201236183</v>
      </c>
      <c r="AJ340" s="90">
        <f t="shared" si="333"/>
        <v>6128</v>
      </c>
      <c r="AL340" s="95">
        <f t="shared" si="334"/>
        <v>0</v>
      </c>
      <c r="AM340" s="95">
        <f t="shared" si="335"/>
        <v>0</v>
      </c>
      <c r="AN340" s="95">
        <f t="shared" si="336"/>
        <v>0</v>
      </c>
      <c r="AO340" s="95">
        <f t="shared" si="337"/>
        <v>0</v>
      </c>
      <c r="AP340"/>
      <c r="AQ340" s="95">
        <f t="shared" si="338"/>
        <v>0</v>
      </c>
      <c r="AR340" s="95">
        <f t="shared" si="339"/>
        <v>0</v>
      </c>
      <c r="AS340" s="95">
        <f>Geraetedaten!$B$94*ABS(SIN(RADIANS($A340)))</f>
        <v>134.69143489946694</v>
      </c>
      <c r="AT340" s="95">
        <f>Geraetedaten!$B$94*ABS(COS(RADIANS($A340)))</f>
        <v>74.660681517935942</v>
      </c>
      <c r="AU340" s="95">
        <f>((h_Aw_Sw+Geraetedaten!$B$18)/1000)*(AQ340*AS340+AR340*AT340)/100</f>
        <v>0</v>
      </c>
    </row>
    <row r="341" spans="1:47" ht="13.5" x14ac:dyDescent="0.25">
      <c r="A341" s="16">
        <v>300</v>
      </c>
      <c r="B341" s="16">
        <f t="shared" si="306"/>
        <v>150</v>
      </c>
      <c r="C341" s="19">
        <f t="shared" si="307"/>
        <v>70.007688962233885</v>
      </c>
      <c r="D341" s="17">
        <f t="shared" si="308"/>
        <v>3200.8788710377662</v>
      </c>
      <c r="E341" s="17">
        <f t="shared" si="309"/>
        <v>-16844.053638962232</v>
      </c>
      <c r="F341" s="17">
        <f t="shared" si="310"/>
        <v>-3199.0696589622339</v>
      </c>
      <c r="G341" s="17">
        <f t="shared" si="311"/>
        <v>17737.642821037767</v>
      </c>
      <c r="H341" s="17">
        <f t="shared" si="312"/>
        <v>3200.8788710377662</v>
      </c>
      <c r="I341" s="17">
        <f t="shared" si="313"/>
        <v>1319.1983897614671</v>
      </c>
      <c r="J341" s="20">
        <f>(Geraetedaten!$B$152+(Geraetedaten!$B$153*(Geraetedaten!$B$18+d_y_Sw)/1000))*10</f>
        <v>6051.0442000000003</v>
      </c>
      <c r="K341" s="20">
        <f>(Geraetedaten!$B$165+(Geraetedaten!$B$166*(Geraetedaten!$B$18+d_y_Sw)/1000))*10</f>
        <v>10816.164000000001</v>
      </c>
      <c r="L341" s="20">
        <f>(Geraetedaten!$B$158+(Geraetedaten!$B$159*(Geraetedaten!$B$18+d_y_Sw)/1000)-(Geraetedaten!$B$160*I341/1000))*10</f>
        <v>504.79978207879134</v>
      </c>
      <c r="M341" s="20">
        <f>(Geraetedaten!$B$171+(Geraetedaten!$B$172*(Geraetedaten!$B$18+d_y_Sw)/1000)-(Geraetedaten!$B$173*I341/1000))*10</f>
        <v>966.66587186615732</v>
      </c>
      <c r="N341" s="20">
        <f>IF((H341-J341)/(K341-J341)*(Geraetedaten!$B$174-Geraetedaten!$B$161)&lt;Geraetedaten!$B$174,(H341-J341)/(K341-J341)*(Geraetedaten!$B$174-Geraetedaten!$B$161),Geraetedaten!$B$174)</f>
        <v>-239.25235449167377</v>
      </c>
      <c r="O341" s="20">
        <f>N341/Geraetedaten!$B$174*(M341-L341)+L341+C341</f>
        <v>298.55109743729997</v>
      </c>
      <c r="P341" s="20">
        <f t="shared" si="314"/>
        <v>146.57457341904706</v>
      </c>
      <c r="Q341" s="21">
        <f>(N341-Geraetedaten!$B$161)/(Geraetedaten!$B$174-Geraetedaten!$B$161)*(Geraetedaten!$B$175-Geraetedaten!$B$162)+Geraetedaten!$B$162</f>
        <v>22.082242453872702</v>
      </c>
      <c r="R341" s="21">
        <f t="shared" si="315"/>
        <v>22.082242453872702</v>
      </c>
      <c r="S341" s="21">
        <f t="shared" si="316"/>
        <v>-19.12378293758098</v>
      </c>
      <c r="T341" s="88">
        <f t="shared" si="317"/>
        <v>11.041121226936353</v>
      </c>
      <c r="U341" s="86">
        <f t="shared" si="318"/>
        <v>3270.8865599999999</v>
      </c>
      <c r="V341" s="85">
        <f t="shared" si="319"/>
        <v>-1141.3067828769733</v>
      </c>
      <c r="W341" s="85">
        <f t="shared" si="320"/>
        <v>1319.1983897614671</v>
      </c>
      <c r="X341" s="90">
        <f t="shared" si="321"/>
        <v>1141.3067828769733</v>
      </c>
      <c r="Y341" s="86">
        <f t="shared" si="322"/>
        <v>-16774.04595</v>
      </c>
      <c r="Z341" s="85">
        <f t="shared" si="323"/>
        <v>-750</v>
      </c>
      <c r="AA341" s="85">
        <f t="shared" si="324"/>
        <v>-1499.9999999999998</v>
      </c>
      <c r="AB341" s="90">
        <f t="shared" si="325"/>
        <v>750</v>
      </c>
      <c r="AC341" s="86">
        <f t="shared" si="326"/>
        <v>-3129.0619700000002</v>
      </c>
      <c r="AD341" s="85">
        <f t="shared" si="327"/>
        <v>1055.7627565116984</v>
      </c>
      <c r="AE341" s="85">
        <f t="shared" si="328"/>
        <v>-1218.3745486111031</v>
      </c>
      <c r="AF341" s="90">
        <f t="shared" si="329"/>
        <v>1055.7627565116984</v>
      </c>
      <c r="AG341" s="86">
        <f t="shared" si="330"/>
        <v>17807.650509999999</v>
      </c>
      <c r="AH341" s="85">
        <f t="shared" si="331"/>
        <v>6128</v>
      </c>
      <c r="AI341" s="85">
        <f t="shared" si="332"/>
        <v>12255.999999999998</v>
      </c>
      <c r="AJ341" s="90">
        <f t="shared" si="333"/>
        <v>6128</v>
      </c>
      <c r="AL341" s="95">
        <f t="shared" si="334"/>
        <v>0</v>
      </c>
      <c r="AM341" s="95">
        <f t="shared" si="335"/>
        <v>0</v>
      </c>
      <c r="AN341" s="95">
        <f t="shared" si="336"/>
        <v>0</v>
      </c>
      <c r="AO341" s="95">
        <f t="shared" si="337"/>
        <v>0</v>
      </c>
      <c r="AP341"/>
      <c r="AQ341" s="95">
        <f t="shared" si="338"/>
        <v>0</v>
      </c>
      <c r="AR341" s="95">
        <f t="shared" si="339"/>
        <v>0</v>
      </c>
      <c r="AS341" s="95">
        <f>Geraetedaten!$B$94*ABS(SIN(RADIANS($A341)))</f>
        <v>133.36791218280354</v>
      </c>
      <c r="AT341" s="95">
        <f>Geraetedaten!$B$94*ABS(COS(RADIANS($A341)))</f>
        <v>77.000000000000014</v>
      </c>
      <c r="AU341" s="95">
        <f>((h_Aw_Sw+Geraetedaten!$B$18)/1000)*(AQ341*AS341+AR341*AT341)/100</f>
        <v>0</v>
      </c>
    </row>
    <row r="342" spans="1:47" ht="13.5" x14ac:dyDescent="0.25">
      <c r="A342" s="16">
        <v>301</v>
      </c>
      <c r="B342" s="16">
        <f t="shared" si="306"/>
        <v>149</v>
      </c>
      <c r="C342" s="19">
        <f t="shared" si="307"/>
        <v>69.895116164987314</v>
      </c>
      <c r="D342" s="17">
        <f t="shared" si="308"/>
        <v>3234.9290038350127</v>
      </c>
      <c r="E342" s="17">
        <f t="shared" si="309"/>
        <v>-16354.172696164987</v>
      </c>
      <c r="F342" s="17">
        <f t="shared" si="310"/>
        <v>-3231.2177161649875</v>
      </c>
      <c r="G342" s="17">
        <f t="shared" si="311"/>
        <v>17217.807853835013</v>
      </c>
      <c r="H342" s="17">
        <f t="shared" si="312"/>
        <v>3234.9290038350127</v>
      </c>
      <c r="I342" s="17">
        <f t="shared" si="313"/>
        <v>1332.8859234372146</v>
      </c>
      <c r="J342" s="20">
        <f>(Geraetedaten!$B$152+(Geraetedaten!$B$153*(Geraetedaten!$B$18+d_y_Sw)/1000))*10</f>
        <v>6051.0442000000003</v>
      </c>
      <c r="K342" s="20">
        <f>(Geraetedaten!$B$165+(Geraetedaten!$B$166*(Geraetedaten!$B$18+d_y_Sw)/1000))*10</f>
        <v>10816.164000000001</v>
      </c>
      <c r="L342" s="20">
        <f>(Geraetedaten!$B$158+(Geraetedaten!$B$159*(Geraetedaten!$B$18+d_y_Sw)/1000)-(Geraetedaten!$B$160*I342/1000))*10</f>
        <v>503.79607523434879</v>
      </c>
      <c r="M342" s="20">
        <f>(Geraetedaten!$B$171+(Geraetedaten!$B$172*(Geraetedaten!$B$18+d_y_Sw)/1000)-(Geraetedaten!$B$173*I342/1000))*10</f>
        <v>965.64697185933471</v>
      </c>
      <c r="N342" s="20">
        <f>IF((H342-J342)/(K342-J342)*(Geraetedaten!$B$174-Geraetedaten!$B$161)&lt;Geraetedaten!$B$174,(H342-J342)/(K342-J342)*(Geraetedaten!$B$174-Geraetedaten!$B$161),Geraetedaten!$B$174)</f>
        <v>-236.39407312823383</v>
      </c>
      <c r="O342" s="20">
        <f>N342/Geraetedaten!$B$174*(M342-L342)+L342+C342</f>
        <v>300.74415482156792</v>
      </c>
      <c r="P342" s="20">
        <f t="shared" si="314"/>
        <v>147.14563721764458</v>
      </c>
      <c r="Q342" s="21">
        <f>(N342-Geraetedaten!$B$161)/(Geraetedaten!$B$174-Geraetedaten!$B$161)*(Geraetedaten!$B$175-Geraetedaten!$B$162)+Geraetedaten!$B$162</f>
        <v>22.167276324435043</v>
      </c>
      <c r="R342" s="21">
        <f t="shared" si="315"/>
        <v>22.167276324435043</v>
      </c>
      <c r="S342" s="21">
        <f t="shared" si="316"/>
        <v>-19.001064410933829</v>
      </c>
      <c r="T342" s="88">
        <f t="shared" si="317"/>
        <v>11.416991324136246</v>
      </c>
      <c r="U342" s="86">
        <f t="shared" si="318"/>
        <v>3304.8241200000002</v>
      </c>
      <c r="V342" s="85">
        <f t="shared" si="319"/>
        <v>-1141.3067828769733</v>
      </c>
      <c r="W342" s="85">
        <f t="shared" si="320"/>
        <v>1332.8859234372146</v>
      </c>
      <c r="X342" s="90">
        <f t="shared" si="321"/>
        <v>1141.3067828769733</v>
      </c>
      <c r="Y342" s="86">
        <f t="shared" si="322"/>
        <v>-16284.27758</v>
      </c>
      <c r="Z342" s="85">
        <f t="shared" si="323"/>
        <v>-750</v>
      </c>
      <c r="AA342" s="85">
        <f t="shared" si="324"/>
        <v>-1456.2030198077675</v>
      </c>
      <c r="AB342" s="90">
        <f t="shared" si="325"/>
        <v>750</v>
      </c>
      <c r="AC342" s="86">
        <f t="shared" si="326"/>
        <v>-3161.3226</v>
      </c>
      <c r="AD342" s="85">
        <f t="shared" si="327"/>
        <v>1055.7627565116984</v>
      </c>
      <c r="AE342" s="85">
        <f t="shared" si="328"/>
        <v>-1230.935989021893</v>
      </c>
      <c r="AF342" s="90">
        <f t="shared" si="329"/>
        <v>1055.7627565116984</v>
      </c>
      <c r="AG342" s="86">
        <f t="shared" si="330"/>
        <v>17287.702969999998</v>
      </c>
      <c r="AH342" s="85">
        <f t="shared" si="331"/>
        <v>6128</v>
      </c>
      <c r="AI342" s="85">
        <f t="shared" si="332"/>
        <v>11898.149473842665</v>
      </c>
      <c r="AJ342" s="90">
        <f t="shared" si="333"/>
        <v>6128</v>
      </c>
      <c r="AL342" s="95">
        <f t="shared" si="334"/>
        <v>0</v>
      </c>
      <c r="AM342" s="95">
        <f t="shared" si="335"/>
        <v>0</v>
      </c>
      <c r="AN342" s="95">
        <f t="shared" si="336"/>
        <v>0</v>
      </c>
      <c r="AO342" s="95">
        <f t="shared" si="337"/>
        <v>0</v>
      </c>
      <c r="AP342"/>
      <c r="AQ342" s="95">
        <f t="shared" si="338"/>
        <v>0</v>
      </c>
      <c r="AR342" s="95">
        <f t="shared" si="339"/>
        <v>0</v>
      </c>
      <c r="AS342" s="95">
        <f>Geraetedaten!$B$94*ABS(SIN(RADIANS($A342)))</f>
        <v>132.00376430812531</v>
      </c>
      <c r="AT342" s="95">
        <f>Geraetedaten!$B$94*ABS(COS(RADIANS($A342)))</f>
        <v>79.315863536148342</v>
      </c>
      <c r="AU342" s="95">
        <f>((h_Aw_Sw+Geraetedaten!$B$18)/1000)*(AQ342*AS342+AR342*AT342)/100</f>
        <v>0</v>
      </c>
    </row>
    <row r="343" spans="1:47" ht="13.5" x14ac:dyDescent="0.25">
      <c r="A343" s="16">
        <v>302</v>
      </c>
      <c r="B343" s="16">
        <f t="shared" si="306"/>
        <v>148</v>
      </c>
      <c r="C343" s="19">
        <f t="shared" si="307"/>
        <v>69.761252638267678</v>
      </c>
      <c r="D343" s="17">
        <f t="shared" si="308"/>
        <v>3270.7402773617323</v>
      </c>
      <c r="E343" s="17">
        <f t="shared" si="309"/>
        <v>-15896.743852638267</v>
      </c>
      <c r="F343" s="17">
        <f t="shared" si="310"/>
        <v>-3265.0000626382675</v>
      </c>
      <c r="G343" s="17">
        <f t="shared" si="311"/>
        <v>16732.468547361732</v>
      </c>
      <c r="H343" s="17">
        <f t="shared" si="312"/>
        <v>3270.7402773617323</v>
      </c>
      <c r="I343" s="17">
        <f t="shared" si="313"/>
        <v>1347.2751648195988</v>
      </c>
      <c r="J343" s="20">
        <f>(Geraetedaten!$B$152+(Geraetedaten!$B$153*(Geraetedaten!$B$18+d_y_Sw)/1000))*10</f>
        <v>6051.0442000000003</v>
      </c>
      <c r="K343" s="20">
        <f>(Geraetedaten!$B$165+(Geraetedaten!$B$166*(Geraetedaten!$B$18+d_y_Sw)/1000))*10</f>
        <v>10816.164000000001</v>
      </c>
      <c r="L343" s="20">
        <f>(Geraetedaten!$B$158+(Geraetedaten!$B$159*(Geraetedaten!$B$18+d_y_Sw)/1000)-(Geraetedaten!$B$160*I343/1000))*10</f>
        <v>502.74091216377855</v>
      </c>
      <c r="M343" s="20">
        <f>(Geraetedaten!$B$171+(Geraetedaten!$B$172*(Geraetedaten!$B$18+d_y_Sw)/1000)-(Geraetedaten!$B$173*I343/1000))*10</f>
        <v>964.57583673083013</v>
      </c>
      <c r="N343" s="20">
        <f>IF((H343-J343)/(K343-J343)*(Geraetedaten!$B$174-Geraetedaten!$B$161)&lt;Geraetedaten!$B$174,(H343-J343)/(K343-J343)*(Geraetedaten!$B$174-Geraetedaten!$B$161),Geraetedaten!$B$174)</f>
        <v>-233.38795575618207</v>
      </c>
      <c r="O343" s="20">
        <f>N343/Geraetedaten!$B$174*(M343-L343)+L343+C343</f>
        <v>303.03539244825947</v>
      </c>
      <c r="P343" s="20">
        <f t="shared" si="314"/>
        <v>147.73455464849647</v>
      </c>
      <c r="Q343" s="21">
        <f>(N343-Geraetedaten!$B$161)/(Geraetedaten!$B$174-Geraetedaten!$B$161)*(Geraetedaten!$B$175-Geraetedaten!$B$162)+Geraetedaten!$B$162</f>
        <v>22.256708316253579</v>
      </c>
      <c r="R343" s="21">
        <f t="shared" si="315"/>
        <v>22.256708316253579</v>
      </c>
      <c r="S343" s="21">
        <f t="shared" si="316"/>
        <v>-18.874759114307746</v>
      </c>
      <c r="T343" s="88">
        <f t="shared" si="317"/>
        <v>11.794258495202145</v>
      </c>
      <c r="U343" s="86">
        <f t="shared" si="318"/>
        <v>3340.50153</v>
      </c>
      <c r="V343" s="85">
        <f t="shared" si="319"/>
        <v>-1141.3067828769733</v>
      </c>
      <c r="W343" s="85">
        <f t="shared" si="320"/>
        <v>1347.2751648195988</v>
      </c>
      <c r="X343" s="90">
        <f t="shared" si="321"/>
        <v>1141.3067828769733</v>
      </c>
      <c r="Y343" s="86">
        <f t="shared" si="322"/>
        <v>-15826.982599999999</v>
      </c>
      <c r="Z343" s="85">
        <f t="shared" si="323"/>
        <v>-750</v>
      </c>
      <c r="AA343" s="85">
        <f t="shared" si="324"/>
        <v>-1415.3099360998942</v>
      </c>
      <c r="AB343" s="90">
        <f t="shared" si="325"/>
        <v>750</v>
      </c>
      <c r="AC343" s="86">
        <f t="shared" si="326"/>
        <v>-3195.2388099999998</v>
      </c>
      <c r="AD343" s="85">
        <f t="shared" si="327"/>
        <v>1055.7627565116984</v>
      </c>
      <c r="AE343" s="85">
        <f t="shared" si="328"/>
        <v>-1244.142070282933</v>
      </c>
      <c r="AF343" s="90">
        <f t="shared" si="329"/>
        <v>1055.7627565116984</v>
      </c>
      <c r="AG343" s="86">
        <f t="shared" si="330"/>
        <v>16802.229800000001</v>
      </c>
      <c r="AH343" s="85">
        <f t="shared" si="331"/>
        <v>6128</v>
      </c>
      <c r="AI343" s="85">
        <f t="shared" si="332"/>
        <v>11564.025717893535</v>
      </c>
      <c r="AJ343" s="90">
        <f t="shared" si="333"/>
        <v>6128</v>
      </c>
      <c r="AL343" s="95">
        <f t="shared" si="334"/>
        <v>0</v>
      </c>
      <c r="AM343" s="95">
        <f t="shared" si="335"/>
        <v>0</v>
      </c>
      <c r="AN343" s="95">
        <f t="shared" si="336"/>
        <v>0</v>
      </c>
      <c r="AO343" s="95">
        <f t="shared" si="337"/>
        <v>0</v>
      </c>
      <c r="AP343"/>
      <c r="AQ343" s="95">
        <f t="shared" si="338"/>
        <v>0</v>
      </c>
      <c r="AR343" s="95">
        <f t="shared" si="339"/>
        <v>0</v>
      </c>
      <c r="AS343" s="95">
        <f>Geraetedaten!$B$94*ABS(SIN(RADIANS($A343)))</f>
        <v>130.59940680808964</v>
      </c>
      <c r="AT343" s="95">
        <f>Geraetedaten!$B$94*ABS(COS(RADIANS($A343)))</f>
        <v>81.607566691913519</v>
      </c>
      <c r="AU343" s="95">
        <f>((h_Aw_Sw+Geraetedaten!$B$18)/1000)*(AQ343*AS343+AR343*AT343)/100</f>
        <v>0</v>
      </c>
    </row>
    <row r="344" spans="1:47" ht="13.5" x14ac:dyDescent="0.25">
      <c r="A344" s="16">
        <v>303</v>
      </c>
      <c r="B344" s="16">
        <f t="shared" si="306"/>
        <v>147</v>
      </c>
      <c r="C344" s="19">
        <f t="shared" si="307"/>
        <v>69.606139158202012</v>
      </c>
      <c r="D344" s="17">
        <f t="shared" si="308"/>
        <v>3308.3917108417982</v>
      </c>
      <c r="E344" s="17">
        <f t="shared" si="309"/>
        <v>-15468.838359158202</v>
      </c>
      <c r="F344" s="17">
        <f t="shared" si="310"/>
        <v>-3300.491619158202</v>
      </c>
      <c r="G344" s="17">
        <f t="shared" si="311"/>
        <v>16278.515610841798</v>
      </c>
      <c r="H344" s="17">
        <f t="shared" si="312"/>
        <v>3308.3917108417982</v>
      </c>
      <c r="I344" s="17">
        <f t="shared" si="313"/>
        <v>1362.3980050904788</v>
      </c>
      <c r="J344" s="20">
        <f>(Geraetedaten!$B$152+(Geraetedaten!$B$153*(Geraetedaten!$B$18+d_y_Sw)/1000))*10</f>
        <v>6051.0442000000003</v>
      </c>
      <c r="K344" s="20">
        <f>(Geraetedaten!$B$165+(Geraetedaten!$B$166*(Geraetedaten!$B$18+d_y_Sw)/1000))*10</f>
        <v>10816.164000000001</v>
      </c>
      <c r="L344" s="20">
        <f>(Geraetedaten!$B$158+(Geraetedaten!$B$159*(Geraetedaten!$B$18+d_y_Sw)/1000)-(Geraetedaten!$B$160*I344/1000))*10</f>
        <v>501.63195428671492</v>
      </c>
      <c r="M344" s="20">
        <f>(Geraetedaten!$B$171+(Geraetedaten!$B$172*(Geraetedaten!$B$18+d_y_Sw)/1000)-(Geraetedaten!$B$173*I344/1000))*10</f>
        <v>963.45009250106568</v>
      </c>
      <c r="N344" s="20">
        <f>IF((H344-J344)/(K344-J344)*(Geraetedaten!$B$174-Geraetedaten!$B$161)&lt;Geraetedaten!$B$174,(H344-J344)/(K344-J344)*(Geraetedaten!$B$174-Geraetedaten!$B$161),Geraetedaten!$B$174)</f>
        <v>-230.22736923912822</v>
      </c>
      <c r="O344" s="20">
        <f>N344/Geraetedaten!$B$174*(M344-L344)+L344+C344</f>
        <v>305.43015587491175</v>
      </c>
      <c r="P344" s="20">
        <f t="shared" si="314"/>
        <v>148.34224996884981</v>
      </c>
      <c r="Q344" s="21">
        <f>(N344-Geraetedaten!$B$161)/(Geraetedaten!$B$174-Geraetedaten!$B$161)*(Geraetedaten!$B$175-Geraetedaten!$B$162)+Geraetedaten!$B$162</f>
        <v>22.350735765135934</v>
      </c>
      <c r="R344" s="21">
        <f t="shared" si="315"/>
        <v>22.350735765135934</v>
      </c>
      <c r="S344" s="21">
        <f t="shared" si="316"/>
        <v>-18.744904258144661</v>
      </c>
      <c r="T344" s="88">
        <f t="shared" si="317"/>
        <v>12.173083158999479</v>
      </c>
      <c r="U344" s="86">
        <f t="shared" si="318"/>
        <v>3377.9978500000002</v>
      </c>
      <c r="V344" s="85">
        <f t="shared" si="319"/>
        <v>-1141.3067828769733</v>
      </c>
      <c r="W344" s="85">
        <f t="shared" si="320"/>
        <v>1362.3980050904788</v>
      </c>
      <c r="X344" s="90">
        <f t="shared" si="321"/>
        <v>1141.3067828769733</v>
      </c>
      <c r="Y344" s="86">
        <f t="shared" si="322"/>
        <v>-15399.23222</v>
      </c>
      <c r="Z344" s="85">
        <f t="shared" si="323"/>
        <v>-750</v>
      </c>
      <c r="AA344" s="85">
        <f t="shared" si="324"/>
        <v>-1377.0588440824974</v>
      </c>
      <c r="AB344" s="90">
        <f t="shared" si="325"/>
        <v>750</v>
      </c>
      <c r="AC344" s="86">
        <f t="shared" si="326"/>
        <v>-3230.8854799999999</v>
      </c>
      <c r="AD344" s="85">
        <f t="shared" si="327"/>
        <v>1055.7627565116984</v>
      </c>
      <c r="AE344" s="85">
        <f t="shared" si="328"/>
        <v>-1258.0219485924933</v>
      </c>
      <c r="AF344" s="90">
        <f t="shared" si="329"/>
        <v>1055.7627565116984</v>
      </c>
      <c r="AG344" s="86">
        <f t="shared" si="330"/>
        <v>16348.12175</v>
      </c>
      <c r="AH344" s="85">
        <f t="shared" si="331"/>
        <v>6128</v>
      </c>
      <c r="AI344" s="85">
        <f t="shared" si="332"/>
        <v>11251.488795383391</v>
      </c>
      <c r="AJ344" s="90">
        <f t="shared" si="333"/>
        <v>6128</v>
      </c>
      <c r="AL344" s="95">
        <f t="shared" si="334"/>
        <v>0</v>
      </c>
      <c r="AM344" s="95">
        <f t="shared" si="335"/>
        <v>0</v>
      </c>
      <c r="AN344" s="95">
        <f t="shared" si="336"/>
        <v>0</v>
      </c>
      <c r="AO344" s="95">
        <f t="shared" si="337"/>
        <v>0</v>
      </c>
      <c r="AP344"/>
      <c r="AQ344" s="95">
        <f t="shared" si="338"/>
        <v>0</v>
      </c>
      <c r="AR344" s="95">
        <f t="shared" si="339"/>
        <v>0</v>
      </c>
      <c r="AS344" s="95">
        <f>Geraetedaten!$B$94*ABS(SIN(RADIANS($A344)))</f>
        <v>129.15526746359535</v>
      </c>
      <c r="AT344" s="95">
        <f>Geraetedaten!$B$94*ABS(COS(RADIANS($A344)))</f>
        <v>83.874411392314101</v>
      </c>
      <c r="AU344" s="95">
        <f>((h_Aw_Sw+Geraetedaten!$B$18)/1000)*(AQ344*AS344+AR344*AT344)/100</f>
        <v>0</v>
      </c>
    </row>
    <row r="345" spans="1:47" ht="13.5" x14ac:dyDescent="0.25">
      <c r="A345" s="16">
        <v>304</v>
      </c>
      <c r="B345" s="16">
        <f t="shared" si="306"/>
        <v>146</v>
      </c>
      <c r="C345" s="19">
        <f t="shared" si="307"/>
        <v>69.429822973858947</v>
      </c>
      <c r="D345" s="17">
        <f t="shared" si="308"/>
        <v>3347.968477026141</v>
      </c>
      <c r="E345" s="17">
        <f t="shared" si="309"/>
        <v>-15067.87298297386</v>
      </c>
      <c r="F345" s="17">
        <f t="shared" si="310"/>
        <v>-3337.7731129738586</v>
      </c>
      <c r="G345" s="17">
        <f t="shared" si="311"/>
        <v>15853.206537026141</v>
      </c>
      <c r="H345" s="17">
        <f t="shared" si="312"/>
        <v>3347.968477026141</v>
      </c>
      <c r="I345" s="17">
        <f t="shared" si="313"/>
        <v>1378.2888061618014</v>
      </c>
      <c r="J345" s="20">
        <f>(Geraetedaten!$B$152+(Geraetedaten!$B$153*(Geraetedaten!$B$18+d_y_Sw)/1000))*10</f>
        <v>6051.0442000000003</v>
      </c>
      <c r="K345" s="20">
        <f>(Geraetedaten!$B$165+(Geraetedaten!$B$166*(Geraetedaten!$B$18+d_y_Sw)/1000))*10</f>
        <v>10816.164000000001</v>
      </c>
      <c r="L345" s="20">
        <f>(Geraetedaten!$B$158+(Geraetedaten!$B$159*(Geraetedaten!$B$18+d_y_Sw)/1000)-(Geraetedaten!$B$160*I345/1000))*10</f>
        <v>500.46668184415489</v>
      </c>
      <c r="M345" s="20">
        <f>(Geraetedaten!$B$171+(Geraetedaten!$B$172*(Geraetedaten!$B$18+d_y_Sw)/1000)-(Geraetedaten!$B$173*I345/1000))*10</f>
        <v>962.26718126931644</v>
      </c>
      <c r="N345" s="20">
        <f>IF((H345-J345)/(K345-J345)*(Geraetedaten!$B$174-Geraetedaten!$B$161)&lt;Geraetedaten!$B$174,(H345-J345)/(K345-J345)*(Geraetedaten!$B$174-Geraetedaten!$B$161),Geraetedaten!$B$174)</f>
        <v>-226.90516389316036</v>
      </c>
      <c r="O345" s="20">
        <f>N345/Geraetedaten!$B$174*(M345-L345)+L345+C345</f>
        <v>307.93420979798987</v>
      </c>
      <c r="P345" s="20">
        <f t="shared" si="314"/>
        <v>148.96970606745398</v>
      </c>
      <c r="Q345" s="21">
        <f>(N345-Geraetedaten!$B$161)/(Geraetedaten!$B$174-Geraetedaten!$B$161)*(Geraetedaten!$B$175-Geraetedaten!$B$162)+Geraetedaten!$B$162</f>
        <v>22.449571374178475</v>
      </c>
      <c r="R345" s="21">
        <f t="shared" si="315"/>
        <v>22.449571374178475</v>
      </c>
      <c r="S345" s="21">
        <f t="shared" si="316"/>
        <v>-18.611538156950072</v>
      </c>
      <c r="T345" s="88">
        <f t="shared" si="317"/>
        <v>12.553640998400629</v>
      </c>
      <c r="U345" s="86">
        <f t="shared" si="318"/>
        <v>3417.3982999999998</v>
      </c>
      <c r="V345" s="85">
        <f t="shared" si="319"/>
        <v>-1141.3067828769733</v>
      </c>
      <c r="W345" s="85">
        <f t="shared" si="320"/>
        <v>1378.2888061618014</v>
      </c>
      <c r="X345" s="90">
        <f t="shared" si="321"/>
        <v>1141.3067828769733</v>
      </c>
      <c r="Y345" s="86">
        <f t="shared" si="322"/>
        <v>-14998.443160000001</v>
      </c>
      <c r="Z345" s="85">
        <f t="shared" si="323"/>
        <v>-750</v>
      </c>
      <c r="AA345" s="85">
        <f t="shared" si="324"/>
        <v>-1341.2187374785508</v>
      </c>
      <c r="AB345" s="90">
        <f t="shared" si="325"/>
        <v>750</v>
      </c>
      <c r="AC345" s="86">
        <f t="shared" si="326"/>
        <v>-3268.3432899999998</v>
      </c>
      <c r="AD345" s="85">
        <f t="shared" si="327"/>
        <v>1055.7627565116984</v>
      </c>
      <c r="AE345" s="85">
        <f t="shared" si="328"/>
        <v>-1272.6070357356305</v>
      </c>
      <c r="AF345" s="90">
        <f t="shared" si="329"/>
        <v>1055.7627565116984</v>
      </c>
      <c r="AG345" s="86">
        <f t="shared" si="330"/>
        <v>15922.63636</v>
      </c>
      <c r="AH345" s="85">
        <f t="shared" si="331"/>
        <v>6128</v>
      </c>
      <c r="AI345" s="85">
        <f t="shared" si="332"/>
        <v>10958.651231024745</v>
      </c>
      <c r="AJ345" s="90">
        <f t="shared" si="333"/>
        <v>6128</v>
      </c>
      <c r="AL345" s="95">
        <f t="shared" si="334"/>
        <v>0</v>
      </c>
      <c r="AM345" s="95">
        <f t="shared" si="335"/>
        <v>0</v>
      </c>
      <c r="AN345" s="95">
        <f t="shared" si="336"/>
        <v>0</v>
      </c>
      <c r="AO345" s="95">
        <f t="shared" si="337"/>
        <v>0</v>
      </c>
      <c r="AP345"/>
      <c r="AQ345" s="95">
        <f t="shared" si="338"/>
        <v>0</v>
      </c>
      <c r="AR345" s="95">
        <f t="shared" si="339"/>
        <v>0</v>
      </c>
      <c r="AS345" s="95">
        <f>Geraetedaten!$B$94*ABS(SIN(RADIANS($A345)))</f>
        <v>127.67178617347641</v>
      </c>
      <c r="AT345" s="95">
        <f>Geraetedaten!$B$94*ABS(COS(RADIANS($A345)))</f>
        <v>86.11570713449504</v>
      </c>
      <c r="AU345" s="95">
        <f>((h_Aw_Sw+Geraetedaten!$B$18)/1000)*(AQ345*AS345+AR345*AT345)/100</f>
        <v>0</v>
      </c>
    </row>
    <row r="346" spans="1:47" ht="13.5" x14ac:dyDescent="0.25">
      <c r="A346" s="16">
        <v>305</v>
      </c>
      <c r="B346" s="16">
        <f t="shared" si="306"/>
        <v>145</v>
      </c>
      <c r="C346" s="19">
        <f t="shared" si="307"/>
        <v>69.232357792856234</v>
      </c>
      <c r="D346" s="17">
        <f t="shared" si="308"/>
        <v>3389.5623722071437</v>
      </c>
      <c r="E346" s="17">
        <f t="shared" si="309"/>
        <v>-14691.560687792857</v>
      </c>
      <c r="F346" s="17">
        <f t="shared" si="310"/>
        <v>-3376.9315677928566</v>
      </c>
      <c r="G346" s="17">
        <f t="shared" si="311"/>
        <v>15454.113252207144</v>
      </c>
      <c r="H346" s="17">
        <f t="shared" si="312"/>
        <v>3389.5623722071437</v>
      </c>
      <c r="I346" s="17">
        <f t="shared" si="313"/>
        <v>1394.9846183128061</v>
      </c>
      <c r="J346" s="20">
        <f>(Geraetedaten!$B$152+(Geraetedaten!$B$153*(Geraetedaten!$B$18+d_y_Sw)/1000))*10</f>
        <v>6051.0442000000003</v>
      </c>
      <c r="K346" s="20">
        <f>(Geraetedaten!$B$165+(Geraetedaten!$B$166*(Geraetedaten!$B$18+d_y_Sw)/1000))*10</f>
        <v>10816.164000000001</v>
      </c>
      <c r="L346" s="20">
        <f>(Geraetedaten!$B$158+(Geraetedaten!$B$159*(Geraetedaten!$B$18+d_y_Sw)/1000)-(Geraetedaten!$B$160*I346/1000))*10</f>
        <v>499.2423779391217</v>
      </c>
      <c r="M346" s="20">
        <f>(Geraetedaten!$B$171+(Geraetedaten!$B$172*(Geraetedaten!$B$18+d_y_Sw)/1000)-(Geraetedaten!$B$173*I346/1000))*10</f>
        <v>961.02434501279561</v>
      </c>
      <c r="N346" s="20">
        <f>IF((H346-J346)/(K346-J346)*(Geraetedaten!$B$174-Geraetedaten!$B$161)&lt;Geraetedaten!$B$174,(H346-J346)/(K346-J346)*(Geraetedaten!$B$174-Geraetedaten!$B$161),Geraetedaten!$B$174)</f>
        <v>-223.41363403227396</v>
      </c>
      <c r="O346" s="20">
        <f>N346/Geraetedaten!$B$174*(M346-L346)+L346+C346</f>
        <v>310.55376724572454</v>
      </c>
      <c r="P346" s="20">
        <f t="shared" si="314"/>
        <v>149.61796535757762</v>
      </c>
      <c r="Q346" s="21">
        <f>(N346-Geraetedaten!$B$161)/(Geraetedaten!$B$174-Geraetedaten!$B$161)*(Geraetedaten!$B$175-Geraetedaten!$B$162)+Geraetedaten!$B$162</f>
        <v>22.553444387539848</v>
      </c>
      <c r="R346" s="21">
        <f t="shared" si="315"/>
        <v>22.553444387539848</v>
      </c>
      <c r="S346" s="21">
        <f t="shared" si="316"/>
        <v>-18.474700075811356</v>
      </c>
      <c r="T346" s="88">
        <f t="shared" si="317"/>
        <v>12.936124259246606</v>
      </c>
      <c r="U346" s="86">
        <f t="shared" si="318"/>
        <v>3458.7947300000001</v>
      </c>
      <c r="V346" s="85">
        <f t="shared" si="319"/>
        <v>-1141.3067828769733</v>
      </c>
      <c r="W346" s="85">
        <f t="shared" si="320"/>
        <v>1394.9846183128061</v>
      </c>
      <c r="X346" s="90">
        <f t="shared" si="321"/>
        <v>1141.3067828769733</v>
      </c>
      <c r="Y346" s="86">
        <f t="shared" si="322"/>
        <v>-14622.32833</v>
      </c>
      <c r="Z346" s="85">
        <f t="shared" si="323"/>
        <v>-750</v>
      </c>
      <c r="AA346" s="85">
        <f t="shared" si="324"/>
        <v>-1307.5850967158233</v>
      </c>
      <c r="AB346" s="90">
        <f t="shared" si="325"/>
        <v>750</v>
      </c>
      <c r="AC346" s="86">
        <f t="shared" si="326"/>
        <v>-3307.6992100000002</v>
      </c>
      <c r="AD346" s="85">
        <f t="shared" si="327"/>
        <v>1055.7627565116984</v>
      </c>
      <c r="AE346" s="85">
        <f t="shared" si="328"/>
        <v>-1287.9311970550664</v>
      </c>
      <c r="AF346" s="90">
        <f t="shared" si="329"/>
        <v>1055.7627565116984</v>
      </c>
      <c r="AG346" s="86">
        <f t="shared" si="330"/>
        <v>15523.34561</v>
      </c>
      <c r="AH346" s="85">
        <f t="shared" si="331"/>
        <v>6128</v>
      </c>
      <c r="AI346" s="85">
        <f t="shared" si="332"/>
        <v>10683.841963566087</v>
      </c>
      <c r="AJ346" s="90">
        <f t="shared" si="333"/>
        <v>6128</v>
      </c>
      <c r="AL346" s="95">
        <f t="shared" si="334"/>
        <v>0</v>
      </c>
      <c r="AM346" s="95">
        <f t="shared" si="335"/>
        <v>0</v>
      </c>
      <c r="AN346" s="95">
        <f t="shared" si="336"/>
        <v>0</v>
      </c>
      <c r="AO346" s="95">
        <f t="shared" si="337"/>
        <v>0</v>
      </c>
      <c r="AP346"/>
      <c r="AQ346" s="95">
        <f t="shared" si="338"/>
        <v>0</v>
      </c>
      <c r="AR346" s="95">
        <f t="shared" si="339"/>
        <v>0</v>
      </c>
      <c r="AS346" s="95">
        <f>Geraetedaten!$B$94*ABS(SIN(RADIANS($A346)))</f>
        <v>126.14941482050473</v>
      </c>
      <c r="AT346" s="95">
        <f>Geraetedaten!$B$94*ABS(COS(RADIANS($A346)))</f>
        <v>88.330771198061086</v>
      </c>
      <c r="AU346" s="95">
        <f>((h_Aw_Sw+Geraetedaten!$B$18)/1000)*(AQ346*AS346+AR346*AT346)/100</f>
        <v>0</v>
      </c>
    </row>
    <row r="347" spans="1:47" ht="13.5" x14ac:dyDescent="0.25">
      <c r="A347" s="16">
        <v>306</v>
      </c>
      <c r="B347" s="16">
        <f t="shared" si="306"/>
        <v>144</v>
      </c>
      <c r="C347" s="19">
        <f t="shared" si="307"/>
        <v>69.013803765000915</v>
      </c>
      <c r="D347" s="17">
        <f t="shared" si="308"/>
        <v>3433.272476234999</v>
      </c>
      <c r="E347" s="17">
        <f t="shared" si="309"/>
        <v>-14337.869553765002</v>
      </c>
      <c r="F347" s="17">
        <f t="shared" si="310"/>
        <v>-3418.0608837650007</v>
      </c>
      <c r="G347" s="17">
        <f t="shared" si="311"/>
        <v>15079.078496234999</v>
      </c>
      <c r="H347" s="17">
        <f t="shared" si="312"/>
        <v>3433.272476234999</v>
      </c>
      <c r="I347" s="17">
        <f t="shared" si="313"/>
        <v>1412.5254224237428</v>
      </c>
      <c r="J347" s="20">
        <f>(Geraetedaten!$B$152+(Geraetedaten!$B$153*(Geraetedaten!$B$18+d_y_Sw)/1000))*10</f>
        <v>6051.0442000000003</v>
      </c>
      <c r="K347" s="20">
        <f>(Geraetedaten!$B$165+(Geraetedaten!$B$166*(Geraetedaten!$B$18+d_y_Sw)/1000))*10</f>
        <v>10816.164000000001</v>
      </c>
      <c r="L347" s="20">
        <f>(Geraetedaten!$B$158+(Geraetedaten!$B$159*(Geraetedaten!$B$18+d_y_Sw)/1000)-(Geraetedaten!$B$160*I347/1000))*10</f>
        <v>497.95611077366675</v>
      </c>
      <c r="M347" s="20">
        <f>(Geraetedaten!$B$171+(Geraetedaten!$B$172*(Geraetedaten!$B$18+d_y_Sw)/1000)-(Geraetedaten!$B$173*I347/1000))*10</f>
        <v>959.71860755477746</v>
      </c>
      <c r="N347" s="20">
        <f>IF((H347-J347)/(K347-J347)*(Geraetedaten!$B$174-Geraetedaten!$B$161)&lt;Geraetedaten!$B$174,(H347-J347)/(K347-J347)*(Geraetedaten!$B$174-Geraetedaten!$B$161),Geraetedaten!$B$174)</f>
        <v>-219.74446256440405</v>
      </c>
      <c r="O347" s="20">
        <f>N347/Geraetedaten!$B$174*(M347-L347)+L347+C347</f>
        <v>313.29553531976137</v>
      </c>
      <c r="P347" s="20">
        <f t="shared" si="314"/>
        <v>150.28813469896693</v>
      </c>
      <c r="Q347" s="21">
        <f>(N347-Geraetedaten!$B$161)/(Geraetedaten!$B$174-Geraetedaten!$B$161)*(Geraetedaten!$B$175-Geraetedaten!$B$162)+Geraetedaten!$B$162</f>
        <v>22.662602238708978</v>
      </c>
      <c r="R347" s="21">
        <f t="shared" si="315"/>
        <v>22.662602238708978</v>
      </c>
      <c r="S347" s="21">
        <f t="shared" si="316"/>
        <v>-18.334430347875294</v>
      </c>
      <c r="T347" s="88">
        <f t="shared" si="317"/>
        <v>13.320743374483518</v>
      </c>
      <c r="U347" s="86">
        <f t="shared" si="318"/>
        <v>3502.2862799999998</v>
      </c>
      <c r="V347" s="85">
        <f t="shared" si="319"/>
        <v>-1141.3067828769733</v>
      </c>
      <c r="W347" s="85">
        <f t="shared" si="320"/>
        <v>1412.5254224237428</v>
      </c>
      <c r="X347" s="90">
        <f t="shared" si="321"/>
        <v>1141.3067828769733</v>
      </c>
      <c r="Y347" s="86">
        <f t="shared" si="322"/>
        <v>-14268.855750000001</v>
      </c>
      <c r="Z347" s="85">
        <f t="shared" si="323"/>
        <v>-750</v>
      </c>
      <c r="AA347" s="85">
        <f t="shared" si="324"/>
        <v>-1275.9762125280602</v>
      </c>
      <c r="AB347" s="90">
        <f t="shared" si="325"/>
        <v>750</v>
      </c>
      <c r="AC347" s="86">
        <f t="shared" si="326"/>
        <v>-3349.0470799999998</v>
      </c>
      <c r="AD347" s="85">
        <f t="shared" si="327"/>
        <v>1055.7627565116984</v>
      </c>
      <c r="AE347" s="85">
        <f t="shared" si="328"/>
        <v>-1304.0309717391963</v>
      </c>
      <c r="AF347" s="90">
        <f t="shared" si="329"/>
        <v>1055.7627565116984</v>
      </c>
      <c r="AG347" s="86">
        <f t="shared" si="330"/>
        <v>15148.0923</v>
      </c>
      <c r="AH347" s="85">
        <f t="shared" si="331"/>
        <v>6128</v>
      </c>
      <c r="AI347" s="85">
        <f t="shared" si="332"/>
        <v>10425.576307162602</v>
      </c>
      <c r="AJ347" s="90">
        <f t="shared" si="333"/>
        <v>6128</v>
      </c>
      <c r="AL347" s="95">
        <f t="shared" si="334"/>
        <v>0</v>
      </c>
      <c r="AM347" s="95">
        <f t="shared" si="335"/>
        <v>0</v>
      </c>
      <c r="AN347" s="95">
        <f t="shared" si="336"/>
        <v>0</v>
      </c>
      <c r="AO347" s="95">
        <f t="shared" si="337"/>
        <v>0</v>
      </c>
      <c r="AP347"/>
      <c r="AQ347" s="95">
        <f t="shared" si="338"/>
        <v>0</v>
      </c>
      <c r="AR347" s="95">
        <f t="shared" si="339"/>
        <v>0</v>
      </c>
      <c r="AS347" s="95">
        <f>Geraetedaten!$B$94*ABS(SIN(RADIANS($A347)))</f>
        <v>124.58861713374192</v>
      </c>
      <c r="AT347" s="95">
        <f>Geraetedaten!$B$94*ABS(COS(RADIANS($A347)))</f>
        <v>90.518928853040833</v>
      </c>
      <c r="AU347" s="95">
        <f>((h_Aw_Sw+Geraetedaten!$B$18)/1000)*(AQ347*AS347+AR347*AT347)/100</f>
        <v>0</v>
      </c>
    </row>
    <row r="348" spans="1:47" ht="13.5" x14ac:dyDescent="0.25">
      <c r="A348" s="16">
        <v>307</v>
      </c>
      <c r="B348" s="16">
        <f t="shared" si="306"/>
        <v>143</v>
      </c>
      <c r="C348" s="19">
        <f t="shared" si="307"/>
        <v>68.774227463967065</v>
      </c>
      <c r="D348" s="17">
        <f t="shared" si="308"/>
        <v>3479.205782536033</v>
      </c>
      <c r="E348" s="17">
        <f t="shared" si="309"/>
        <v>-14004.988267463968</v>
      </c>
      <c r="F348" s="17">
        <f t="shared" si="310"/>
        <v>-3461.2624674639674</v>
      </c>
      <c r="G348" s="17">
        <f t="shared" si="311"/>
        <v>14726.179222536033</v>
      </c>
      <c r="H348" s="17">
        <f t="shared" si="312"/>
        <v>3479.205782536033</v>
      </c>
      <c r="I348" s="17">
        <f t="shared" si="313"/>
        <v>1430.9544000403707</v>
      </c>
      <c r="J348" s="20">
        <f>(Geraetedaten!$B$152+(Geraetedaten!$B$153*(Geraetedaten!$B$18+d_y_Sw)/1000))*10</f>
        <v>6051.0442000000003</v>
      </c>
      <c r="K348" s="20">
        <f>(Geraetedaten!$B$165+(Geraetedaten!$B$166*(Geraetedaten!$B$18+d_y_Sw)/1000))*10</f>
        <v>10816.164000000001</v>
      </c>
      <c r="L348" s="20">
        <f>(Geraetedaten!$B$158+(Geraetedaten!$B$159*(Geraetedaten!$B$18+d_y_Sw)/1000)-(Geraetedaten!$B$160*I348/1000))*10</f>
        <v>496.60471384503933</v>
      </c>
      <c r="M348" s="20">
        <f>(Geraetedaten!$B$171+(Geraetedaten!$B$172*(Geraetedaten!$B$18+d_y_Sw)/1000)-(Geraetedaten!$B$173*I348/1000))*10</f>
        <v>958.34675446099584</v>
      </c>
      <c r="N348" s="20">
        <f>IF((H348-J348)/(K348-J348)*(Geraetedaten!$B$174-Geraetedaten!$B$161)&lt;Geraetedaten!$B$174,(H348-J348)/(K348-J348)*(Geraetedaten!$B$174-Geraetedaten!$B$161),Geraetedaten!$B$174)</f>
        <v>-215.88866810559239</v>
      </c>
      <c r="O348" s="20">
        <f>N348/Geraetedaten!$B$174*(M348-L348)+L348+C348</f>
        <v>316.16675591666342</v>
      </c>
      <c r="P348" s="20">
        <f t="shared" si="314"/>
        <v>150.98138766189786</v>
      </c>
      <c r="Q348" s="21">
        <f>(N348-Geraetedaten!$B$161)/(Geraetedaten!$B$174-Geraetedaten!$B$161)*(Geraetedaten!$B$175-Geraetedaten!$B$162)+Geraetedaten!$B$162</f>
        <v>22.777312123858625</v>
      </c>
      <c r="R348" s="21">
        <f t="shared" si="315"/>
        <v>22.777312123858625</v>
      </c>
      <c r="S348" s="21">
        <f t="shared" si="316"/>
        <v>-18.190770285544225</v>
      </c>
      <c r="T348" s="88">
        <f t="shared" si="317"/>
        <v>13.707728623161401</v>
      </c>
      <c r="U348" s="86">
        <f t="shared" si="318"/>
        <v>3547.9800100000002</v>
      </c>
      <c r="V348" s="85">
        <f t="shared" si="319"/>
        <v>-1141.3067828769733</v>
      </c>
      <c r="W348" s="85">
        <f t="shared" si="320"/>
        <v>1430.9544000403707</v>
      </c>
      <c r="X348" s="90">
        <f t="shared" si="321"/>
        <v>1141.3067828769733</v>
      </c>
      <c r="Y348" s="86">
        <f t="shared" si="322"/>
        <v>-13936.214040000001</v>
      </c>
      <c r="Z348" s="85">
        <f t="shared" si="323"/>
        <v>-750</v>
      </c>
      <c r="AA348" s="85">
        <f t="shared" si="324"/>
        <v>-1246.2301058418623</v>
      </c>
      <c r="AB348" s="90">
        <f t="shared" si="325"/>
        <v>750</v>
      </c>
      <c r="AC348" s="86">
        <f t="shared" si="326"/>
        <v>-3392.4882400000001</v>
      </c>
      <c r="AD348" s="85">
        <f t="shared" si="327"/>
        <v>1055.7627565116984</v>
      </c>
      <c r="AE348" s="85">
        <f t="shared" si="328"/>
        <v>-1320.9458183524366</v>
      </c>
      <c r="AF348" s="90">
        <f t="shared" si="329"/>
        <v>1055.7627565116984</v>
      </c>
      <c r="AG348" s="86">
        <f t="shared" si="330"/>
        <v>14794.953450000001</v>
      </c>
      <c r="AH348" s="85">
        <f t="shared" si="331"/>
        <v>6128</v>
      </c>
      <c r="AI348" s="85">
        <f t="shared" si="332"/>
        <v>10182.530784798575</v>
      </c>
      <c r="AJ348" s="90">
        <f t="shared" si="333"/>
        <v>6128</v>
      </c>
      <c r="AL348" s="95">
        <f t="shared" si="334"/>
        <v>0</v>
      </c>
      <c r="AM348" s="95">
        <f t="shared" si="335"/>
        <v>0</v>
      </c>
      <c r="AN348" s="95">
        <f t="shared" si="336"/>
        <v>0</v>
      </c>
      <c r="AO348" s="95">
        <f t="shared" si="337"/>
        <v>0</v>
      </c>
      <c r="AP348"/>
      <c r="AQ348" s="95">
        <f t="shared" si="338"/>
        <v>0</v>
      </c>
      <c r="AR348" s="95">
        <f t="shared" si="339"/>
        <v>0</v>
      </c>
      <c r="AS348" s="95">
        <f>Geraetedaten!$B$94*ABS(SIN(RADIANS($A348)))</f>
        <v>122.98986854728312</v>
      </c>
      <c r="AT348" s="95">
        <f>Geraetedaten!$B$94*ABS(COS(RADIANS($A348)))</f>
        <v>92.679513565415377</v>
      </c>
      <c r="AU348" s="95">
        <f>((h_Aw_Sw+Geraetedaten!$B$18)/1000)*(AQ348*AS348+AR348*AT348)/100</f>
        <v>0</v>
      </c>
    </row>
    <row r="349" spans="1:47" ht="13.5" x14ac:dyDescent="0.25">
      <c r="A349" s="16">
        <v>308</v>
      </c>
      <c r="B349" s="16">
        <f t="shared" ref="B349:B380" si="340">360-A349+90</f>
        <v>142</v>
      </c>
      <c r="C349" s="19">
        <f t="shared" ref="C349:C380" si="341">$AE$16*ABS(COS(RADIANS(A349)))+$AE$17*ABS(SIN(RADIANS(A349)))+AU349</f>
        <v>68.513701867016763</v>
      </c>
      <c r="D349" s="17">
        <f t="shared" ref="D349:D380" si="342">IF(ISNUMBER(U349),U349-C349,"unendlich")</f>
        <v>3527.4779681329833</v>
      </c>
      <c r="E349" s="17">
        <f t="shared" ref="E349:E380" si="343">IF(ISNUMBER(Y349),Y349-C349,"unendlich")</f>
        <v>-13691.297181867018</v>
      </c>
      <c r="F349" s="17">
        <f t="shared" ref="F349:F380" si="344">IF(ISNUMBER(AC349),AC349-C349,"unendlich")</f>
        <v>-3506.6459318670168</v>
      </c>
      <c r="G349" s="17">
        <f t="shared" ref="G349:G380" si="345">IF(ISNUMBER(AG349),AG349-C349,"unendlich")</f>
        <v>14393.695828132983</v>
      </c>
      <c r="H349" s="17">
        <f t="shared" ref="H349:H380" si="346">SMALL(D349:G349,COUNTIF(D349:G349,"&lt;0")+1)</f>
        <v>3527.4779681329833</v>
      </c>
      <c r="I349" s="17">
        <f t="shared" ref="I349:I380" si="347">IF(H349+C349=U349,W349,IF(H349+C349=Y349,AA349,IF(H349+C349=AC349,AE349,IF(H349+C349=AG349,AI349,"???"))))</f>
        <v>1450.318235003338</v>
      </c>
      <c r="J349" s="20">
        <f>(Geraetedaten!$B$152+(Geraetedaten!$B$153*(Geraetedaten!$B$18+d_y_Sw)/1000))*10</f>
        <v>6051.0442000000003</v>
      </c>
      <c r="K349" s="20">
        <f>(Geraetedaten!$B$165+(Geraetedaten!$B$166*(Geraetedaten!$B$18+d_y_Sw)/1000))*10</f>
        <v>10816.164000000001</v>
      </c>
      <c r="L349" s="20">
        <f>(Geraetedaten!$B$158+(Geraetedaten!$B$159*(Geraetedaten!$B$18+d_y_Sw)/1000)-(Geraetedaten!$B$160*I349/1000))*10</f>
        <v>495.18476382720502</v>
      </c>
      <c r="M349" s="20">
        <f>(Geraetedaten!$B$171+(Geraetedaten!$B$172*(Geraetedaten!$B$18+d_y_Sw)/1000)-(Geraetedaten!$B$173*I349/1000))*10</f>
        <v>956.90531058635247</v>
      </c>
      <c r="N349" s="20">
        <f>IF((H349-J349)/(K349-J349)*(Geraetedaten!$B$174-Geraetedaten!$B$161)&lt;Geraetedaten!$B$174,(H349-J349)/(K349-J349)*(Geraetedaten!$B$174-Geraetedaten!$B$161),Geraetedaten!$B$174)</f>
        <v>-211.83654034192526</v>
      </c>
      <c r="O349" s="20">
        <f>N349/Geraetedaten!$B$174*(M349-L349)+L349+C349</f>
        <v>319.17525761862197</v>
      </c>
      <c r="P349" s="20">
        <f t="shared" ref="P349:P380" si="348">O349*100/9.81/(Q349-(I349/1000))</f>
        <v>151.69896886131033</v>
      </c>
      <c r="Q349" s="21">
        <f>(N349-Geraetedaten!$B$161)/(Geraetedaten!$B$174-Geraetedaten!$B$161)*(Geraetedaten!$B$175-Geraetedaten!$B$162)+Geraetedaten!$B$162</f>
        <v>22.89786292482772</v>
      </c>
      <c r="R349" s="21">
        <f t="shared" ref="R349:R380" si="349">SQRT((r_K_D/1000)^2+Q349^2-(2*(r_K_D/1000)*Q349*COS(RADIANS(2*A349))))</f>
        <v>22.89786292482772</v>
      </c>
      <c r="S349" s="21">
        <f t="shared" ref="S349:S380" si="350">R349*SIN(A349*Const_2)</f>
        <v>-18.043762219376905</v>
      </c>
      <c r="T349" s="88">
        <f t="shared" ref="T349:T380" si="351">R349*COS(A349*Const_2)</f>
        <v>14.097332070104132</v>
      </c>
      <c r="U349" s="86">
        <f t="shared" ref="U349:U380" si="352">ROUND((F_S*r_Su_L-F_G*V349+F_SSw*X349)/(SIN(RADIANS(270+g_L-A349)))/1000,5)</f>
        <v>3595.9916699999999</v>
      </c>
      <c r="V349" s="85">
        <f t="shared" ref="V349:V380" si="353">(SIN(RADIANS(g_L)))*(((VL_Z-HL_Z)/(VL_X-HL_X))*(-HL_X+AM349)+HL_Z-AL349)</f>
        <v>-1141.3067828769733</v>
      </c>
      <c r="W349" s="85">
        <f t="shared" ref="W349:W380" si="354">V349/(SIN(RADIANS(180-g_L-(90-$A349))))</f>
        <v>1450.318235003338</v>
      </c>
      <c r="X349" s="90">
        <f t="shared" ref="X349:X380" si="355">SIN(RADIANS(g_L))*(((VL_Z-HL_Z)/(VL_X-HL_X))*(-AO349+HL_X)-HL_Z+AN349)</f>
        <v>1141.3067828769733</v>
      </c>
      <c r="Y349" s="86">
        <f t="shared" ref="Y349:Y380" si="356">ROUND((F_S*r_Su_H-F_G*Z349+F_SSw*AB349)/(SIN(RADIANS(180+g_H-A349)))/1000,5)</f>
        <v>-13622.78348</v>
      </c>
      <c r="Z349" s="85">
        <f t="shared" ref="Z349:Z380" si="357">(SIN(RADIANS(g_H)))*(((HL_X-HR_X)/(HL_Z-HR_Z))*(-HR_Z+AL349)+HR_X-AM349)</f>
        <v>-750</v>
      </c>
      <c r="AA349" s="85">
        <f t="shared" ref="AA349:AA380" si="358">Z349/(SIN(RADIANS(g_H-$A349)))</f>
        <v>-1218.2019341120583</v>
      </c>
      <c r="AB349" s="90">
        <f t="shared" ref="AB349:AB380" si="359">SIN(RADIANS(g_H))*(((HL_X-HR_X)/(HL_Z-HR_Z))*(-AN349+HR_Z)-HR_X+AO349)</f>
        <v>750</v>
      </c>
      <c r="AC349" s="86">
        <f t="shared" ref="AC349:AC380" si="360">ROUND((F_S*r_Su_R+F_G*AD349+F_SSw*AF349)/(SIN(RADIANS(90+g_R-A349)))/1000,5)</f>
        <v>-3438.1322300000002</v>
      </c>
      <c r="AD349" s="85">
        <f t="shared" ref="AD349:AD380" si="361">(SIN(RADIANS(g_R)))*(((HR_Z-VR_Z)/(HR_X-VR_X))*(-VR_X+AM349)+VR_Z-AL349)</f>
        <v>1055.7627565116984</v>
      </c>
      <c r="AE349" s="85">
        <f t="shared" ref="AE349:AE380" si="362">AD349/(SIN(RADIANS(180-g_R-(90-$A349))))</f>
        <v>-1338.7183889839139</v>
      </c>
      <c r="AF349" s="90">
        <f t="shared" ref="AF349:AF380" si="363">(SIN(RADIANS(g_R)))*(((HR_Z-VR_Z)/(HR_X-VR_X))*(-VR_X+AO349)+VR_Z-AN349)</f>
        <v>1055.7627565116984</v>
      </c>
      <c r="AG349" s="86">
        <f t="shared" ref="AG349:AG380" si="364">ROUND((F_S*r_Su_V+F_G*AH349+F_SSw*AJ349)/(SIN(RADIANS(g_V-A349)))/1000,5)</f>
        <v>14462.20953</v>
      </c>
      <c r="AH349" s="85">
        <f t="shared" ref="AH349:AH380" si="365">(SIN(RADIANS(g_V)))*(((VR_X-VL_X)/(VR_Z-VL_Z))*(AL349-VL_Z)+VL_X-AM349)</f>
        <v>6128</v>
      </c>
      <c r="AI349" s="85">
        <f t="shared" ref="AI349:AI380" si="366">AH349/(SIN(RADIANS(g_V-$A349)))</f>
        <v>9953.5219363182568</v>
      </c>
      <c r="AJ349" s="90">
        <f t="shared" ref="AJ349:AJ380" si="367">(SIN(RADIANS(g_V)))*(((VR_X-VL_X)/(VR_Z-VL_Z))*(-VL_Z+AN349)+VL_X-AO349)</f>
        <v>6128</v>
      </c>
      <c r="AL349" s="95">
        <f t="shared" ref="AL349:AL380" si="368">SIN(RADIANS(A349))*r_K_D</f>
        <v>0</v>
      </c>
      <c r="AM349" s="95">
        <f t="shared" ref="AM349:AM380" si="369">COS(RADIANS(A349-180))*r_K_D</f>
        <v>0</v>
      </c>
      <c r="AN349" s="95">
        <f t="shared" ref="AN349:AN380" si="370">SIN(RADIANS(A349))*r_K_SSw</f>
        <v>0</v>
      </c>
      <c r="AO349" s="95">
        <f t="shared" ref="AO349:AO380" si="371">-COS(RADIANS(A349))*r_K_SSw</f>
        <v>0</v>
      </c>
      <c r="AP349"/>
      <c r="AQ349" s="95">
        <f t="shared" ref="AQ349:AQ380" si="372">MAX(d_y_Sw*(r_K_D*ABS(COS(RADIANS($A349)))+_r1_Sw+_r2_Sw), 2*_r1_Sw*d_y_Sw)/1000000</f>
        <v>0</v>
      </c>
      <c r="AR349" s="95">
        <f t="shared" ref="AR349:AR380" si="373">MAX(d_y_Sw*(r_K_D*ABS(SIN(RADIANS($A349)))+_r1_Sw+_r2_Sw), 2*_r1_Sw*d_y_Sw)/1000000</f>
        <v>0</v>
      </c>
      <c r="AS349" s="95">
        <f>Geraetedaten!$B$94*ABS(SIN(RADIANS($A349)))</f>
        <v>121.35365605543515</v>
      </c>
      <c r="AT349" s="95">
        <f>Geraetedaten!$B$94*ABS(COS(RADIANS($A349)))</f>
        <v>94.811867200151411</v>
      </c>
      <c r="AU349" s="95">
        <f>((h_Aw_Sw+Geraetedaten!$B$18)/1000)*(AQ349*AS349+AR349*AT349)/100</f>
        <v>0</v>
      </c>
    </row>
    <row r="350" spans="1:47" ht="13.5" x14ac:dyDescent="0.25">
      <c r="A350" s="16">
        <v>309</v>
      </c>
      <c r="B350" s="16">
        <f t="shared" si="340"/>
        <v>141</v>
      </c>
      <c r="C350" s="19">
        <f t="shared" si="341"/>
        <v>68.232306332770648</v>
      </c>
      <c r="D350" s="17">
        <f t="shared" si="342"/>
        <v>3578.2142336672291</v>
      </c>
      <c r="E350" s="17">
        <f t="shared" si="343"/>
        <v>-13395.343736332772</v>
      </c>
      <c r="F350" s="17">
        <f t="shared" si="344"/>
        <v>-3554.3298863327709</v>
      </c>
      <c r="G350" s="17">
        <f t="shared" si="345"/>
        <v>14080.086073667229</v>
      </c>
      <c r="H350" s="17">
        <f t="shared" si="346"/>
        <v>3578.2142336672291</v>
      </c>
      <c r="I350" s="17">
        <f t="shared" si="347"/>
        <v>1470.6674509647073</v>
      </c>
      <c r="J350" s="20">
        <f>(Geraetedaten!$B$152+(Geraetedaten!$B$153*(Geraetedaten!$B$18+d_y_Sw)/1000))*10</f>
        <v>6051.0442000000003</v>
      </c>
      <c r="K350" s="20">
        <f>(Geraetedaten!$B$165+(Geraetedaten!$B$166*(Geraetedaten!$B$18+d_y_Sw)/1000))*10</f>
        <v>10816.164000000001</v>
      </c>
      <c r="L350" s="20">
        <f>(Geraetedaten!$B$158+(Geraetedaten!$B$159*(Geraetedaten!$B$18+d_y_Sw)/1000)-(Geraetedaten!$B$160*I350/1000))*10</f>
        <v>493.69255582075778</v>
      </c>
      <c r="M350" s="20">
        <f>(Geraetedaten!$B$171+(Geraetedaten!$B$172*(Geraetedaten!$B$18+d_y_Sw)/1000)-(Geraetedaten!$B$173*I350/1000))*10</f>
        <v>955.39051495018816</v>
      </c>
      <c r="N350" s="20">
        <f>IF((H350-J350)/(K350-J350)*(Geraetedaten!$B$174-Geraetedaten!$B$161)&lt;Geraetedaten!$B$174,(H350-J350)/(K350-J350)*(Geraetedaten!$B$174-Geraetedaten!$B$161),Geraetedaten!$B$174)</f>
        <v>-207.57756951527395</v>
      </c>
      <c r="O350" s="20">
        <f>N350/Geraetedaten!$B$174*(M350-L350)+L350+C350</f>
        <v>322.32951163790483</v>
      </c>
      <c r="P350" s="20">
        <f t="shared" si="348"/>
        <v>152.44219801825597</v>
      </c>
      <c r="Q350" s="21">
        <f>(N350-Geraetedaten!$B$161)/(Geraetedaten!$B$174-Geraetedaten!$B$161)*(Geraetedaten!$B$175-Geraetedaten!$B$162)+Geraetedaten!$B$162</f>
        <v>23.024567306920598</v>
      </c>
      <c r="R350" s="21">
        <f t="shared" si="349"/>
        <v>23.024567306920598</v>
      </c>
      <c r="S350" s="21">
        <f t="shared" si="350"/>
        <v>-17.893449496867547</v>
      </c>
      <c r="T350" s="88">
        <f t="shared" si="351"/>
        <v>14.489829701344576</v>
      </c>
      <c r="U350" s="86">
        <f t="shared" si="352"/>
        <v>3646.4465399999999</v>
      </c>
      <c r="V350" s="85">
        <f t="shared" si="353"/>
        <v>-1141.3067828769733</v>
      </c>
      <c r="W350" s="85">
        <f t="shared" si="354"/>
        <v>1470.6674509647073</v>
      </c>
      <c r="X350" s="90">
        <f t="shared" si="355"/>
        <v>1141.3067828769733</v>
      </c>
      <c r="Y350" s="86">
        <f t="shared" si="356"/>
        <v>-13327.111430000001</v>
      </c>
      <c r="Z350" s="85">
        <f t="shared" si="357"/>
        <v>-750</v>
      </c>
      <c r="AA350" s="85">
        <f t="shared" si="358"/>
        <v>-1191.7617967993117</v>
      </c>
      <c r="AB350" s="90">
        <f t="shared" si="359"/>
        <v>750</v>
      </c>
      <c r="AC350" s="86">
        <f t="shared" si="360"/>
        <v>-3486.0975800000001</v>
      </c>
      <c r="AD350" s="85">
        <f t="shared" si="361"/>
        <v>1055.7627565116984</v>
      </c>
      <c r="AE350" s="85">
        <f t="shared" si="362"/>
        <v>-1357.3948359205842</v>
      </c>
      <c r="AF350" s="90">
        <f t="shared" si="363"/>
        <v>1055.7627565116984</v>
      </c>
      <c r="AG350" s="86">
        <f t="shared" si="364"/>
        <v>14148.318380000001</v>
      </c>
      <c r="AH350" s="85">
        <f t="shared" si="365"/>
        <v>6128</v>
      </c>
      <c r="AI350" s="85">
        <f t="shared" si="366"/>
        <v>9737.4883877149095</v>
      </c>
      <c r="AJ350" s="90">
        <f t="shared" si="367"/>
        <v>6128</v>
      </c>
      <c r="AL350" s="95">
        <f t="shared" si="368"/>
        <v>0</v>
      </c>
      <c r="AM350" s="95">
        <f t="shared" si="369"/>
        <v>0</v>
      </c>
      <c r="AN350" s="95">
        <f t="shared" si="370"/>
        <v>0</v>
      </c>
      <c r="AO350" s="95">
        <f t="shared" si="371"/>
        <v>0</v>
      </c>
      <c r="AP350"/>
      <c r="AQ350" s="95">
        <f t="shared" si="372"/>
        <v>0</v>
      </c>
      <c r="AR350" s="95">
        <f t="shared" si="373"/>
        <v>0</v>
      </c>
      <c r="AS350" s="95">
        <f>Geraetedaten!$B$94*ABS(SIN(RADIANS($A350)))</f>
        <v>119.6804780643735</v>
      </c>
      <c r="AT350" s="95">
        <f>Geraetedaten!$B$94*ABS(COS(RADIANS($A350)))</f>
        <v>96.915340221674981</v>
      </c>
      <c r="AU350" s="95">
        <f>((h_Aw_Sw+Geraetedaten!$B$18)/1000)*(AQ350*AS350+AR350*AT350)/100</f>
        <v>0</v>
      </c>
    </row>
    <row r="351" spans="1:47" ht="13.5" x14ac:dyDescent="0.25">
      <c r="A351" s="16">
        <v>310</v>
      </c>
      <c r="B351" s="16">
        <f t="shared" si="340"/>
        <v>140</v>
      </c>
      <c r="C351" s="19">
        <f t="shared" si="341"/>
        <v>67.930126577034372</v>
      </c>
      <c r="D351" s="17">
        <f t="shared" si="342"/>
        <v>3631.5502134229655</v>
      </c>
      <c r="E351" s="17">
        <f t="shared" si="343"/>
        <v>-13115.821606577034</v>
      </c>
      <c r="F351" s="17">
        <f t="shared" si="344"/>
        <v>-3604.4428165770346</v>
      </c>
      <c r="G351" s="17">
        <f t="shared" si="345"/>
        <v>13783.962973422966</v>
      </c>
      <c r="H351" s="17">
        <f t="shared" si="346"/>
        <v>3631.5502134229655</v>
      </c>
      <c r="I351" s="17">
        <f t="shared" si="347"/>
        <v>1492.0567898080144</v>
      </c>
      <c r="J351" s="20">
        <f>(Geraetedaten!$B$152+(Geraetedaten!$B$153*(Geraetedaten!$B$18+d_y_Sw)/1000))*10</f>
        <v>6051.0442000000003</v>
      </c>
      <c r="K351" s="20">
        <f>(Geraetedaten!$B$165+(Geraetedaten!$B$166*(Geraetedaten!$B$18+d_y_Sw)/1000))*10</f>
        <v>10816.164000000001</v>
      </c>
      <c r="L351" s="20">
        <f>(Geraetedaten!$B$158+(Geraetedaten!$B$159*(Geraetedaten!$B$18+d_y_Sw)/1000)-(Geraetedaten!$B$160*I351/1000))*10</f>
        <v>492.12407560337806</v>
      </c>
      <c r="M351" s="20">
        <f>(Geraetedaten!$B$171+(Geraetedaten!$B$172*(Geraetedaten!$B$18+d_y_Sw)/1000)-(Geraetedaten!$B$173*I351/1000))*10</f>
        <v>953.79829256669245</v>
      </c>
      <c r="N351" s="20">
        <f>IF((H351-J351)/(K351-J351)*(Geraetedaten!$B$174-Geraetedaten!$B$161)&lt;Geraetedaten!$B$174,(H351-J351)/(K351-J351)*(Geraetedaten!$B$174-Geraetedaten!$B$161),Geraetedaten!$B$174)</f>
        <v>-203.10037003284029</v>
      </c>
      <c r="O351" s="20">
        <f>N351/Geraetedaten!$B$174*(M351-L351)+L351+C351</f>
        <v>325.63869143073509</v>
      </c>
      <c r="P351" s="20">
        <f t="shared" si="348"/>
        <v>153.21247345414349</v>
      </c>
      <c r="Q351" s="21">
        <f>(N351-Geraetedaten!$B$161)/(Geraetedaten!$B$174-Geraetedaten!$B$161)*(Geraetedaten!$B$175-Geraetedaten!$B$162)+Geraetedaten!$B$162</f>
        <v>23.157763991522998</v>
      </c>
      <c r="R351" s="21">
        <f t="shared" si="349"/>
        <v>23.157763991522998</v>
      </c>
      <c r="S351" s="21">
        <f t="shared" si="350"/>
        <v>-17.739876420766958</v>
      </c>
      <c r="T351" s="88">
        <f t="shared" si="351"/>
        <v>14.885523761796078</v>
      </c>
      <c r="U351" s="86">
        <f t="shared" si="352"/>
        <v>3699.4803400000001</v>
      </c>
      <c r="V351" s="85">
        <f t="shared" si="353"/>
        <v>-1141.3067828769733</v>
      </c>
      <c r="W351" s="85">
        <f t="shared" si="354"/>
        <v>1492.0567898080144</v>
      </c>
      <c r="X351" s="90">
        <f t="shared" si="355"/>
        <v>1141.3067828769733</v>
      </c>
      <c r="Y351" s="86">
        <f t="shared" si="356"/>
        <v>-13047.89148</v>
      </c>
      <c r="Z351" s="85">
        <f t="shared" si="357"/>
        <v>-750</v>
      </c>
      <c r="AA351" s="85">
        <f t="shared" si="358"/>
        <v>-1166.7928701453093</v>
      </c>
      <c r="AB351" s="90">
        <f t="shared" si="359"/>
        <v>750</v>
      </c>
      <c r="AC351" s="86">
        <f t="shared" si="360"/>
        <v>-3536.51269</v>
      </c>
      <c r="AD351" s="85">
        <f t="shared" si="361"/>
        <v>1055.7627565116984</v>
      </c>
      <c r="AE351" s="85">
        <f t="shared" si="362"/>
        <v>-1377.0251553762612</v>
      </c>
      <c r="AF351" s="90">
        <f t="shared" si="363"/>
        <v>1055.7627565116984</v>
      </c>
      <c r="AG351" s="86">
        <f t="shared" si="364"/>
        <v>13851.893099999999</v>
      </c>
      <c r="AH351" s="85">
        <f t="shared" si="365"/>
        <v>6128</v>
      </c>
      <c r="AI351" s="85">
        <f t="shared" si="366"/>
        <v>9533.4756110006074</v>
      </c>
      <c r="AJ351" s="90">
        <f t="shared" si="367"/>
        <v>6128</v>
      </c>
      <c r="AL351" s="95">
        <f t="shared" si="368"/>
        <v>0</v>
      </c>
      <c r="AM351" s="95">
        <f t="shared" si="369"/>
        <v>0</v>
      </c>
      <c r="AN351" s="95">
        <f t="shared" si="370"/>
        <v>0</v>
      </c>
      <c r="AO351" s="95">
        <f t="shared" si="371"/>
        <v>0</v>
      </c>
      <c r="AP351"/>
      <c r="AQ351" s="95">
        <f t="shared" si="372"/>
        <v>0</v>
      </c>
      <c r="AR351" s="95">
        <f t="shared" si="373"/>
        <v>0</v>
      </c>
      <c r="AS351" s="95">
        <f>Geraetedaten!$B$94*ABS(SIN(RADIANS($A351)))</f>
        <v>117.97084424032263</v>
      </c>
      <c r="AT351" s="95">
        <f>Geraetedaten!$B$94*ABS(COS(RADIANS($A351)))</f>
        <v>98.989291891727049</v>
      </c>
      <c r="AU351" s="95">
        <f>((h_Aw_Sw+Geraetedaten!$B$18)/1000)*(AQ351*AS351+AR351*AT351)/100</f>
        <v>0</v>
      </c>
    </row>
    <row r="352" spans="1:47" ht="13.5" x14ac:dyDescent="0.25">
      <c r="A352" s="16">
        <v>311</v>
      </c>
      <c r="B352" s="16">
        <f t="shared" si="340"/>
        <v>139</v>
      </c>
      <c r="C352" s="19">
        <f t="shared" si="341"/>
        <v>67.60725464668883</v>
      </c>
      <c r="D352" s="17">
        <f t="shared" si="342"/>
        <v>3687.6330553533112</v>
      </c>
      <c r="E352" s="17">
        <f t="shared" si="343"/>
        <v>-12851.552914646689</v>
      </c>
      <c r="F352" s="17">
        <f t="shared" si="344"/>
        <v>-3657.1240746466888</v>
      </c>
      <c r="G352" s="17">
        <f t="shared" si="345"/>
        <v>13504.07587535331</v>
      </c>
      <c r="H352" s="17">
        <f t="shared" si="346"/>
        <v>3687.6330553533112</v>
      </c>
      <c r="I352" s="17">
        <f t="shared" si="347"/>
        <v>1514.5456368100402</v>
      </c>
      <c r="J352" s="20">
        <f>(Geraetedaten!$B$152+(Geraetedaten!$B$153*(Geraetedaten!$B$18+d_y_Sw)/1000))*10</f>
        <v>6051.0442000000003</v>
      </c>
      <c r="K352" s="20">
        <f>(Geraetedaten!$B$165+(Geraetedaten!$B$166*(Geraetedaten!$B$18+d_y_Sw)/1000))*10</f>
        <v>10816.164000000001</v>
      </c>
      <c r="L352" s="20">
        <f>(Geraetedaten!$B$158+(Geraetedaten!$B$159*(Geraetedaten!$B$18+d_y_Sw)/1000)-(Geraetedaten!$B$160*I352/1000))*10</f>
        <v>490.47496845271951</v>
      </c>
      <c r="M352" s="20">
        <f>(Geraetedaten!$B$171+(Geraetedaten!$B$172*(Geraetedaten!$B$18+d_y_Sw)/1000)-(Geraetedaten!$B$173*I352/1000))*10</f>
        <v>952.12422279586144</v>
      </c>
      <c r="N352" s="20">
        <f>IF((H352-J352)/(K352-J352)*(Geraetedaten!$B$174-Geraetedaten!$B$161)&lt;Geraetedaten!$B$174,(H352-J352)/(K352-J352)*(Geraetedaten!$B$174-Geraetedaten!$B$161),Geraetedaten!$B$174)</f>
        <v>-198.3925898061735</v>
      </c>
      <c r="O352" s="20">
        <f>N352/Geraetedaten!$B$174*(M352-L352)+L352+C352</f>
        <v>329.11274522134624</v>
      </c>
      <c r="P352" s="20">
        <f t="shared" si="348"/>
        <v>154.01127746570583</v>
      </c>
      <c r="Q352" s="21">
        <f>(N352-Geraetedaten!$B$161)/(Geraetedaten!$B$174-Geraetedaten!$B$161)*(Geraetedaten!$B$175-Geraetedaten!$B$162)+Geraetedaten!$B$162</f>
        <v>23.297820453266336</v>
      </c>
      <c r="R352" s="21">
        <f t="shared" si="349"/>
        <v>23.297820453266336</v>
      </c>
      <c r="S352" s="21">
        <f t="shared" si="350"/>
        <v>-17.583088294390155</v>
      </c>
      <c r="T352" s="88">
        <f t="shared" si="351"/>
        <v>15.284745464165088</v>
      </c>
      <c r="U352" s="86">
        <f t="shared" si="352"/>
        <v>3755.2403100000001</v>
      </c>
      <c r="V352" s="85">
        <f t="shared" si="353"/>
        <v>-1141.3067828769733</v>
      </c>
      <c r="W352" s="85">
        <f t="shared" si="354"/>
        <v>1514.5456368100402</v>
      </c>
      <c r="X352" s="90">
        <f t="shared" si="355"/>
        <v>1141.3067828769733</v>
      </c>
      <c r="Y352" s="86">
        <f t="shared" si="356"/>
        <v>-12783.945659999999</v>
      </c>
      <c r="Z352" s="85">
        <f t="shared" si="357"/>
        <v>-750</v>
      </c>
      <c r="AA352" s="85">
        <f t="shared" si="358"/>
        <v>-1143.1898150293612</v>
      </c>
      <c r="AB352" s="90">
        <f t="shared" si="359"/>
        <v>750</v>
      </c>
      <c r="AC352" s="86">
        <f t="shared" si="360"/>
        <v>-3589.5168199999998</v>
      </c>
      <c r="AD352" s="85">
        <f t="shared" si="361"/>
        <v>1055.7627565116984</v>
      </c>
      <c r="AE352" s="85">
        <f t="shared" si="362"/>
        <v>-1397.6635735480127</v>
      </c>
      <c r="AF352" s="90">
        <f t="shared" si="363"/>
        <v>1055.7627565116984</v>
      </c>
      <c r="AG352" s="86">
        <f t="shared" si="364"/>
        <v>13571.683129999999</v>
      </c>
      <c r="AH352" s="85">
        <f t="shared" si="365"/>
        <v>6128</v>
      </c>
      <c r="AI352" s="85">
        <f t="shared" si="366"/>
        <v>9340.6229153332333</v>
      </c>
      <c r="AJ352" s="90">
        <f t="shared" si="367"/>
        <v>6128</v>
      </c>
      <c r="AL352" s="95">
        <f t="shared" si="368"/>
        <v>0</v>
      </c>
      <c r="AM352" s="95">
        <f t="shared" si="369"/>
        <v>0</v>
      </c>
      <c r="AN352" s="95">
        <f t="shared" si="370"/>
        <v>0</v>
      </c>
      <c r="AO352" s="95">
        <f t="shared" si="371"/>
        <v>0</v>
      </c>
      <c r="AP352"/>
      <c r="AQ352" s="95">
        <f t="shared" si="372"/>
        <v>0</v>
      </c>
      <c r="AR352" s="95">
        <f t="shared" si="373"/>
        <v>0</v>
      </c>
      <c r="AS352" s="95">
        <f>Geraetedaten!$B$94*ABS(SIN(RADIANS($A352)))</f>
        <v>116.22527535430693</v>
      </c>
      <c r="AT352" s="95">
        <f>Geraetedaten!$B$94*ABS(COS(RADIANS($A352)))</f>
        <v>101.03309046453809</v>
      </c>
      <c r="AU352" s="95">
        <f>((h_Aw_Sw+Geraetedaten!$B$18)/1000)*(AQ352*AS352+AR352*AT352)/100</f>
        <v>0</v>
      </c>
    </row>
    <row r="353" spans="1:47" ht="13.5" x14ac:dyDescent="0.25">
      <c r="A353" s="16">
        <v>312</v>
      </c>
      <c r="B353" s="16">
        <f t="shared" si="340"/>
        <v>138</v>
      </c>
      <c r="C353" s="19">
        <f t="shared" si="341"/>
        <v>67.263788891651714</v>
      </c>
      <c r="D353" s="17">
        <f t="shared" si="342"/>
        <v>3746.6226111083483</v>
      </c>
      <c r="E353" s="17">
        <f t="shared" si="343"/>
        <v>-12601.472948891653</v>
      </c>
      <c r="F353" s="17">
        <f t="shared" si="344"/>
        <v>-3712.5250188916516</v>
      </c>
      <c r="G353" s="17">
        <f t="shared" si="345"/>
        <v>13239.294261108347</v>
      </c>
      <c r="H353" s="17">
        <f t="shared" si="346"/>
        <v>3746.6226111083483</v>
      </c>
      <c r="I353" s="17">
        <f t="shared" si="347"/>
        <v>1538.1984993586429</v>
      </c>
      <c r="J353" s="20">
        <f>(Geraetedaten!$B$152+(Geraetedaten!$B$153*(Geraetedaten!$B$18+d_y_Sw)/1000))*10</f>
        <v>6051.0442000000003</v>
      </c>
      <c r="K353" s="20">
        <f>(Geraetedaten!$B$165+(Geraetedaten!$B$166*(Geraetedaten!$B$18+d_y_Sw)/1000))*10</f>
        <v>10816.164000000001</v>
      </c>
      <c r="L353" s="20">
        <f>(Geraetedaten!$B$158+(Geraetedaten!$B$159*(Geraetedaten!$B$18+d_y_Sw)/1000)-(Geraetedaten!$B$160*I353/1000))*10</f>
        <v>488.74050404203047</v>
      </c>
      <c r="M353" s="20">
        <f>(Geraetedaten!$B$171+(Geraetedaten!$B$172*(Geraetedaten!$B$18+d_y_Sw)/1000)-(Geraetedaten!$B$173*I353/1000))*10</f>
        <v>950.36350370774358</v>
      </c>
      <c r="N353" s="20">
        <f>IF((H353-J353)/(K353-J353)*(Geraetedaten!$B$174-Geraetedaten!$B$161)&lt;Geraetedaten!$B$174,(H353-J353)/(K353-J353)*(Geraetedaten!$B$174-Geraetedaten!$B$161),Geraetedaten!$B$174)</f>
        <v>-193.44081035626024</v>
      </c>
      <c r="O353" s="20">
        <f>N353/Geraetedaten!$B$174*(M353-L353)+L353+C353</f>
        <v>332.76247509762419</v>
      </c>
      <c r="P353" s="20">
        <f t="shared" si="348"/>
        <v>154.84018141081003</v>
      </c>
      <c r="Q353" s="21">
        <f>(N353-Geraetedaten!$B$161)/(Geraetedaten!$B$174-Geraetedaten!$B$161)*(Geraetedaten!$B$175-Geraetedaten!$B$162)+Geraetedaten!$B$162</f>
        <v>23.445135891901256</v>
      </c>
      <c r="R353" s="21">
        <f t="shared" si="349"/>
        <v>23.445135891901256</v>
      </c>
      <c r="S353" s="21">
        <f t="shared" si="350"/>
        <v>-17.423131420680757</v>
      </c>
      <c r="T353" s="88">
        <f t="shared" si="351"/>
        <v>15.687857995513708</v>
      </c>
      <c r="U353" s="86">
        <f t="shared" si="352"/>
        <v>3813.8863999999999</v>
      </c>
      <c r="V353" s="85">
        <f t="shared" si="353"/>
        <v>-1141.3067828769733</v>
      </c>
      <c r="W353" s="85">
        <f t="shared" si="354"/>
        <v>1538.1984993586429</v>
      </c>
      <c r="X353" s="90">
        <f t="shared" si="355"/>
        <v>1141.3067828769733</v>
      </c>
      <c r="Y353" s="86">
        <f t="shared" si="356"/>
        <v>-12534.20916</v>
      </c>
      <c r="Z353" s="85">
        <f t="shared" si="357"/>
        <v>-750</v>
      </c>
      <c r="AA353" s="85">
        <f t="shared" si="358"/>
        <v>-1120.8574123984565</v>
      </c>
      <c r="AB353" s="90">
        <f t="shared" si="359"/>
        <v>750</v>
      </c>
      <c r="AC353" s="86">
        <f t="shared" si="360"/>
        <v>-3645.2612300000001</v>
      </c>
      <c r="AD353" s="85">
        <f t="shared" si="361"/>
        <v>1055.7627565116984</v>
      </c>
      <c r="AE353" s="85">
        <f t="shared" si="362"/>
        <v>-1419.3689811499037</v>
      </c>
      <c r="AF353" s="90">
        <f t="shared" si="363"/>
        <v>1055.7627565116984</v>
      </c>
      <c r="AG353" s="86">
        <f t="shared" si="364"/>
        <v>13306.55805</v>
      </c>
      <c r="AH353" s="85">
        <f t="shared" si="365"/>
        <v>6128</v>
      </c>
      <c r="AI353" s="85">
        <f t="shared" si="366"/>
        <v>9158.152297570321</v>
      </c>
      <c r="AJ353" s="90">
        <f t="shared" si="367"/>
        <v>6128</v>
      </c>
      <c r="AL353" s="95">
        <f t="shared" si="368"/>
        <v>0</v>
      </c>
      <c r="AM353" s="95">
        <f t="shared" si="369"/>
        <v>0</v>
      </c>
      <c r="AN353" s="95">
        <f t="shared" si="370"/>
        <v>0</v>
      </c>
      <c r="AO353" s="95">
        <f t="shared" si="371"/>
        <v>0</v>
      </c>
      <c r="AP353"/>
      <c r="AQ353" s="95">
        <f t="shared" si="372"/>
        <v>0</v>
      </c>
      <c r="AR353" s="95">
        <f t="shared" si="373"/>
        <v>0</v>
      </c>
      <c r="AS353" s="95">
        <f>Geraetedaten!$B$94*ABS(SIN(RADIANS($A353)))</f>
        <v>114.44430312351876</v>
      </c>
      <c r="AT353" s="95">
        <f>Geraetedaten!$B$94*ABS(COS(RADIANS($A353)))</f>
        <v>103.0461133792641</v>
      </c>
      <c r="AU353" s="95">
        <f>((h_Aw_Sw+Geraetedaten!$B$18)/1000)*(AQ353*AS353+AR353*AT353)/100</f>
        <v>0</v>
      </c>
    </row>
    <row r="354" spans="1:47" ht="13.5" x14ac:dyDescent="0.25">
      <c r="A354" s="16">
        <v>313</v>
      </c>
      <c r="B354" s="16">
        <f t="shared" si="340"/>
        <v>137</v>
      </c>
      <c r="C354" s="19">
        <f t="shared" si="341"/>
        <v>66.899833934919229</v>
      </c>
      <c r="D354" s="17">
        <f t="shared" si="342"/>
        <v>3808.6927660650808</v>
      </c>
      <c r="E354" s="17">
        <f t="shared" si="343"/>
        <v>-12364.61705393492</v>
      </c>
      <c r="F354" s="17">
        <f t="shared" si="344"/>
        <v>-3770.8102239349191</v>
      </c>
      <c r="G354" s="17">
        <f t="shared" si="345"/>
        <v>12988.593806065081</v>
      </c>
      <c r="H354" s="17">
        <f t="shared" si="346"/>
        <v>3808.6927660650808</v>
      </c>
      <c r="I354" s="17">
        <f t="shared" si="347"/>
        <v>1563.0855472043299</v>
      </c>
      <c r="J354" s="20">
        <f>(Geraetedaten!$B$152+(Geraetedaten!$B$153*(Geraetedaten!$B$18+d_y_Sw)/1000))*10</f>
        <v>6051.0442000000003</v>
      </c>
      <c r="K354" s="20">
        <f>(Geraetedaten!$B$165+(Geraetedaten!$B$166*(Geraetedaten!$B$18+d_y_Sw)/1000))*10</f>
        <v>10816.164000000001</v>
      </c>
      <c r="L354" s="20">
        <f>(Geraetedaten!$B$158+(Geraetedaten!$B$159*(Geraetedaten!$B$18+d_y_Sw)/1000)-(Geraetedaten!$B$160*I354/1000))*10</f>
        <v>486.91553682350622</v>
      </c>
      <c r="M354" s="20">
        <f>(Geraetedaten!$B$171+(Geraetedaten!$B$172*(Geraetedaten!$B$18+d_y_Sw)/1000)-(Geraetedaten!$B$173*I354/1000))*10</f>
        <v>948.51091186611052</v>
      </c>
      <c r="N354" s="20">
        <f>IF((H354-J354)/(K354-J354)*(Geraetedaten!$B$174-Geraetedaten!$B$161)&lt;Geraetedaten!$B$174,(H354-J354)/(K354-J354)*(Geraetedaten!$B$174-Geraetedaten!$B$161),Geraetedaten!$B$174)</f>
        <v>-188.23043516638717</v>
      </c>
      <c r="O354" s="20">
        <f>N354/Geraetedaten!$B$174*(M354-L354)+L354+C354</f>
        <v>336.59962497077265</v>
      </c>
      <c r="P354" s="20">
        <f t="shared" si="348"/>
        <v>155.70085085290222</v>
      </c>
      <c r="Q354" s="21">
        <f>(N354-Geraetedaten!$B$161)/(Geraetedaten!$B$174-Geraetedaten!$B$161)*(Geraetedaten!$B$175-Geraetedaten!$B$162)+Geraetedaten!$B$162</f>
        <v>23.600144553799979</v>
      </c>
      <c r="R354" s="21">
        <f t="shared" si="349"/>
        <v>23.600144553799979</v>
      </c>
      <c r="S354" s="21">
        <f t="shared" si="350"/>
        <v>-17.260053078169118</v>
      </c>
      <c r="T354" s="88">
        <f t="shared" si="351"/>
        <v>16.095259882929494</v>
      </c>
      <c r="U354" s="86">
        <f t="shared" si="352"/>
        <v>3875.5925999999999</v>
      </c>
      <c r="V354" s="85">
        <f t="shared" si="353"/>
        <v>-1141.3067828769733</v>
      </c>
      <c r="W354" s="85">
        <f t="shared" si="354"/>
        <v>1563.0855472043299</v>
      </c>
      <c r="X354" s="90">
        <f t="shared" si="355"/>
        <v>1141.3067828769733</v>
      </c>
      <c r="Y354" s="86">
        <f t="shared" si="356"/>
        <v>-12297.71722</v>
      </c>
      <c r="Z354" s="85">
        <f t="shared" si="357"/>
        <v>-750</v>
      </c>
      <c r="AA354" s="85">
        <f t="shared" si="358"/>
        <v>-1099.7093892297189</v>
      </c>
      <c r="AB354" s="90">
        <f t="shared" si="359"/>
        <v>750</v>
      </c>
      <c r="AC354" s="86">
        <f t="shared" si="360"/>
        <v>-3703.91039</v>
      </c>
      <c r="AD354" s="85">
        <f t="shared" si="361"/>
        <v>1055.7627565116984</v>
      </c>
      <c r="AE354" s="85">
        <f t="shared" si="362"/>
        <v>-1442.2054236205354</v>
      </c>
      <c r="AF354" s="90">
        <f t="shared" si="363"/>
        <v>1055.7627565116984</v>
      </c>
      <c r="AG354" s="86">
        <f t="shared" si="364"/>
        <v>13055.493640000001</v>
      </c>
      <c r="AH354" s="85">
        <f t="shared" si="365"/>
        <v>6128</v>
      </c>
      <c r="AI354" s="85">
        <f t="shared" si="366"/>
        <v>8985.3588495996228</v>
      </c>
      <c r="AJ354" s="90">
        <f t="shared" si="367"/>
        <v>6128</v>
      </c>
      <c r="AL354" s="95">
        <f t="shared" si="368"/>
        <v>0</v>
      </c>
      <c r="AM354" s="95">
        <f t="shared" si="369"/>
        <v>0</v>
      </c>
      <c r="AN354" s="95">
        <f t="shared" si="370"/>
        <v>0</v>
      </c>
      <c r="AO354" s="95">
        <f t="shared" si="371"/>
        <v>0</v>
      </c>
      <c r="AP354"/>
      <c r="AQ354" s="95">
        <f t="shared" si="372"/>
        <v>0</v>
      </c>
      <c r="AR354" s="95">
        <f t="shared" si="373"/>
        <v>0</v>
      </c>
      <c r="AS354" s="95">
        <f>Geraetedaten!$B$94*ABS(SIN(RADIANS($A354)))</f>
        <v>112.62847004935223</v>
      </c>
      <c r="AT354" s="95">
        <f>Geraetedaten!$B$94*ABS(COS(RADIANS($A354)))</f>
        <v>105.02774744962478</v>
      </c>
      <c r="AU354" s="95">
        <f>((h_Aw_Sw+Geraetedaten!$B$18)/1000)*(AQ354*AS354+AR354*AT354)/100</f>
        <v>0</v>
      </c>
    </row>
    <row r="355" spans="1:47" ht="13.5" x14ac:dyDescent="0.25">
      <c r="A355" s="16">
        <v>314</v>
      </c>
      <c r="B355" s="16">
        <f t="shared" si="340"/>
        <v>136</v>
      </c>
      <c r="C355" s="19">
        <f t="shared" si="341"/>
        <v>66.515500640696956</v>
      </c>
      <c r="D355" s="17">
        <f t="shared" si="342"/>
        <v>3874.0329293593027</v>
      </c>
      <c r="E355" s="17">
        <f t="shared" si="343"/>
        <v>-12140.109270640696</v>
      </c>
      <c r="F355" s="17">
        <f t="shared" si="344"/>
        <v>-3832.1589506406972</v>
      </c>
      <c r="G355" s="17">
        <f t="shared" si="345"/>
        <v>12751.044369359302</v>
      </c>
      <c r="H355" s="17">
        <f t="shared" si="346"/>
        <v>3874.0329293593027</v>
      </c>
      <c r="I355" s="17">
        <f t="shared" si="347"/>
        <v>1589.2832236147217</v>
      </c>
      <c r="J355" s="20">
        <f>(Geraetedaten!$B$152+(Geraetedaten!$B$153*(Geraetedaten!$B$18+d_y_Sw)/1000))*10</f>
        <v>6051.0442000000003</v>
      </c>
      <c r="K355" s="20">
        <f>(Geraetedaten!$B$165+(Geraetedaten!$B$166*(Geraetedaten!$B$18+d_y_Sw)/1000))*10</f>
        <v>10816.164000000001</v>
      </c>
      <c r="L355" s="20">
        <f>(Geraetedaten!$B$158+(Geraetedaten!$B$159*(Geraetedaten!$B$18+d_y_Sw)/1000)-(Geraetedaten!$B$160*I355/1000))*10</f>
        <v>484.99446121233223</v>
      </c>
      <c r="M355" s="20">
        <f>(Geraetedaten!$B$171+(Geraetedaten!$B$172*(Geraetedaten!$B$18+d_y_Sw)/1000)-(Geraetedaten!$B$173*I355/1000))*10</f>
        <v>946.56075683412098</v>
      </c>
      <c r="N355" s="20">
        <f>IF((H355-J355)/(K355-J355)*(Geraetedaten!$B$174-Geraetedaten!$B$161)&lt;Geraetedaten!$B$174,(H355-J355)/(K355-J355)*(Geraetedaten!$B$174-Geraetedaten!$B$161),Geraetedaten!$B$174)</f>
        <v>-182.74556460391173</v>
      </c>
      <c r="O355" s="20">
        <f>N355/Geraetedaten!$B$174*(M355-L355)+L355+C355</f>
        <v>340.63697861417961</v>
      </c>
      <c r="P355" s="20">
        <f t="shared" si="348"/>
        <v>156.59505073659892</v>
      </c>
      <c r="Q355" s="21">
        <f>(N355-Geraetedaten!$B$161)/(Geraetedaten!$B$174-Geraetedaten!$B$161)*(Geraetedaten!$B$175-Geraetedaten!$B$162)+Geraetedaten!$B$162</f>
        <v>23.763319453033624</v>
      </c>
      <c r="R355" s="21">
        <f t="shared" si="349"/>
        <v>23.763319453033624</v>
      </c>
      <c r="S355" s="21">
        <f t="shared" si="350"/>
        <v>-17.093901470728792</v>
      </c>
      <c r="T355" s="88">
        <f t="shared" si="351"/>
        <v>16.507388767940927</v>
      </c>
      <c r="U355" s="86">
        <f t="shared" si="352"/>
        <v>3940.5484299999998</v>
      </c>
      <c r="V355" s="85">
        <f t="shared" si="353"/>
        <v>-1141.3067828769733</v>
      </c>
      <c r="W355" s="85">
        <f t="shared" si="354"/>
        <v>1589.2832236147217</v>
      </c>
      <c r="X355" s="90">
        <f t="shared" si="355"/>
        <v>1141.3067828769733</v>
      </c>
      <c r="Y355" s="86">
        <f t="shared" si="356"/>
        <v>-12073.593769999999</v>
      </c>
      <c r="Z355" s="85">
        <f t="shared" si="357"/>
        <v>-750</v>
      </c>
      <c r="AA355" s="85">
        <f t="shared" si="358"/>
        <v>-1079.6674047192946</v>
      </c>
      <c r="AB355" s="90">
        <f t="shared" si="359"/>
        <v>750</v>
      </c>
      <c r="AC355" s="86">
        <f t="shared" si="360"/>
        <v>-3765.64345</v>
      </c>
      <c r="AD355" s="85">
        <f t="shared" si="361"/>
        <v>1055.7627565116984</v>
      </c>
      <c r="AE355" s="85">
        <f t="shared" si="362"/>
        <v>-1466.2426554516805</v>
      </c>
      <c r="AF355" s="90">
        <f t="shared" si="363"/>
        <v>1055.7627565116984</v>
      </c>
      <c r="AG355" s="86">
        <f t="shared" si="364"/>
        <v>12817.559869999999</v>
      </c>
      <c r="AH355" s="85">
        <f t="shared" si="365"/>
        <v>6128</v>
      </c>
      <c r="AI355" s="85">
        <f t="shared" si="366"/>
        <v>8821.6024748264499</v>
      </c>
      <c r="AJ355" s="90">
        <f t="shared" si="367"/>
        <v>6128</v>
      </c>
      <c r="AL355" s="95">
        <f t="shared" si="368"/>
        <v>0</v>
      </c>
      <c r="AM355" s="95">
        <f t="shared" si="369"/>
        <v>0</v>
      </c>
      <c r="AN355" s="95">
        <f t="shared" si="370"/>
        <v>0</v>
      </c>
      <c r="AO355" s="95">
        <f t="shared" si="371"/>
        <v>0</v>
      </c>
      <c r="AP355"/>
      <c r="AQ355" s="95">
        <f t="shared" si="372"/>
        <v>0</v>
      </c>
      <c r="AR355" s="95">
        <f t="shared" si="373"/>
        <v>0</v>
      </c>
      <c r="AS355" s="95">
        <f>Geraetedaten!$B$94*ABS(SIN(RADIANS($A355)))</f>
        <v>110.77832925215229</v>
      </c>
      <c r="AT355" s="95">
        <f>Geraetedaten!$B$94*ABS(COS(RADIANS($A355)))</f>
        <v>106.97738905068557</v>
      </c>
      <c r="AU355" s="95">
        <f>((h_Aw_Sw+Geraetedaten!$B$18)/1000)*(AQ355*AS355+AR355*AT355)/100</f>
        <v>0</v>
      </c>
    </row>
    <row r="356" spans="1:47" ht="13.5" x14ac:dyDescent="0.25">
      <c r="A356" s="16">
        <v>315</v>
      </c>
      <c r="B356" s="16">
        <f t="shared" si="340"/>
        <v>135</v>
      </c>
      <c r="C356" s="19">
        <f t="shared" si="341"/>
        <v>66.110906080629391</v>
      </c>
      <c r="D356" s="17">
        <f t="shared" si="342"/>
        <v>3942.8498039193705</v>
      </c>
      <c r="E356" s="17">
        <f t="shared" si="343"/>
        <v>-11927.15254608063</v>
      </c>
      <c r="F356" s="17">
        <f t="shared" si="344"/>
        <v>-3896.7667360806295</v>
      </c>
      <c r="G356" s="17">
        <f t="shared" si="345"/>
        <v>12525.79952391937</v>
      </c>
      <c r="H356" s="17">
        <f t="shared" si="346"/>
        <v>3942.8498039193705</v>
      </c>
      <c r="I356" s="17">
        <f t="shared" si="347"/>
        <v>1616.8749384712794</v>
      </c>
      <c r="J356" s="20">
        <f>(Geraetedaten!$B$152+(Geraetedaten!$B$153*(Geraetedaten!$B$18+d_y_Sw)/1000))*10</f>
        <v>6051.0442000000003</v>
      </c>
      <c r="K356" s="20">
        <f>(Geraetedaten!$B$165+(Geraetedaten!$B$166*(Geraetedaten!$B$18+d_y_Sw)/1000))*10</f>
        <v>10816.164000000001</v>
      </c>
      <c r="L356" s="20">
        <f>(Geraetedaten!$B$158+(Geraetedaten!$B$159*(Geraetedaten!$B$18+d_y_Sw)/1000)-(Geraetedaten!$B$160*I356/1000))*10</f>
        <v>482.97116076190088</v>
      </c>
      <c r="M356" s="20">
        <f>(Geraetedaten!$B$171+(Geraetedaten!$B$172*(Geraetedaten!$B$18+d_y_Sw)/1000)-(Geraetedaten!$B$173*I356/1000))*10</f>
        <v>944.50682958019888</v>
      </c>
      <c r="N356" s="20">
        <f>IF((H356-J356)/(K356-J356)*(Geraetedaten!$B$174-Geraetedaten!$B$161)&lt;Geraetedaten!$B$174,(H356-J356)/(K356-J356)*(Geraetedaten!$B$174-Geraetedaten!$B$161),Geraetedaten!$B$174)</f>
        <v>-176.96884733774203</v>
      </c>
      <c r="O356" s="20">
        <f>N356/Geraetedaten!$B$174*(M356-L356)+L356+C356</f>
        <v>344.88847855246013</v>
      </c>
      <c r="P356" s="20">
        <f t="shared" si="348"/>
        <v>157.52465313198704</v>
      </c>
      <c r="Q356" s="21">
        <f>(N356-Geraetedaten!$B$161)/(Geraetedaten!$B$174-Geraetedaten!$B$161)*(Geraetedaten!$B$175-Geraetedaten!$B$162)+Geraetedaten!$B$162</f>
        <v>23.935176791702172</v>
      </c>
      <c r="R356" s="21">
        <f t="shared" si="349"/>
        <v>23.935176791702172</v>
      </c>
      <c r="S356" s="21">
        <f t="shared" si="350"/>
        <v>-16.924725818311483</v>
      </c>
      <c r="T356" s="88">
        <f t="shared" si="351"/>
        <v>16.924725818311476</v>
      </c>
      <c r="U356" s="86">
        <f t="shared" si="352"/>
        <v>4008.9607099999998</v>
      </c>
      <c r="V356" s="85">
        <f t="shared" si="353"/>
        <v>-1141.3067828769733</v>
      </c>
      <c r="W356" s="85">
        <f t="shared" si="354"/>
        <v>1616.8749384712794</v>
      </c>
      <c r="X356" s="90">
        <f t="shared" si="355"/>
        <v>1141.3067828769733</v>
      </c>
      <c r="Y356" s="86">
        <f t="shared" si="356"/>
        <v>-11861.041639999999</v>
      </c>
      <c r="Z356" s="85">
        <f t="shared" si="357"/>
        <v>-750</v>
      </c>
      <c r="AA356" s="85">
        <f t="shared" si="358"/>
        <v>-1060.6601717798214</v>
      </c>
      <c r="AB356" s="90">
        <f t="shared" si="359"/>
        <v>750</v>
      </c>
      <c r="AC356" s="86">
        <f t="shared" si="360"/>
        <v>-3830.6558300000002</v>
      </c>
      <c r="AD356" s="85">
        <f t="shared" si="361"/>
        <v>1055.7627565116984</v>
      </c>
      <c r="AE356" s="85">
        <f t="shared" si="362"/>
        <v>-1491.5567685860171</v>
      </c>
      <c r="AF356" s="90">
        <f t="shared" si="363"/>
        <v>1055.7627565116984</v>
      </c>
      <c r="AG356" s="86">
        <f t="shared" si="364"/>
        <v>12591.91043</v>
      </c>
      <c r="AH356" s="85">
        <f t="shared" si="365"/>
        <v>6128</v>
      </c>
      <c r="AI356" s="85">
        <f t="shared" si="366"/>
        <v>8666.3007102223273</v>
      </c>
      <c r="AJ356" s="90">
        <f t="shared" si="367"/>
        <v>6128</v>
      </c>
      <c r="AL356" s="95">
        <f t="shared" si="368"/>
        <v>0</v>
      </c>
      <c r="AM356" s="95">
        <f t="shared" si="369"/>
        <v>0</v>
      </c>
      <c r="AN356" s="95">
        <f t="shared" si="370"/>
        <v>0</v>
      </c>
      <c r="AO356" s="95">
        <f t="shared" si="371"/>
        <v>0</v>
      </c>
      <c r="AP356"/>
      <c r="AQ356" s="95">
        <f t="shared" si="372"/>
        <v>0</v>
      </c>
      <c r="AR356" s="95">
        <f t="shared" si="373"/>
        <v>0</v>
      </c>
      <c r="AS356" s="95">
        <f>Geraetedaten!$B$94*ABS(SIN(RADIANS($A356)))</f>
        <v>108.89444430272835</v>
      </c>
      <c r="AT356" s="95">
        <f>Geraetedaten!$B$94*ABS(COS(RADIANS($A356)))</f>
        <v>108.89444430272829</v>
      </c>
      <c r="AU356" s="95">
        <f>((h_Aw_Sw+Geraetedaten!$B$18)/1000)*(AQ356*AS356+AR356*AT356)/100</f>
        <v>0</v>
      </c>
    </row>
    <row r="357" spans="1:47" ht="13.5" x14ac:dyDescent="0.25">
      <c r="A357" s="16">
        <v>316</v>
      </c>
      <c r="B357" s="16">
        <f t="shared" si="340"/>
        <v>134</v>
      </c>
      <c r="C357" s="19">
        <f t="shared" si="341"/>
        <v>65.686173498138942</v>
      </c>
      <c r="D357" s="17">
        <f t="shared" si="342"/>
        <v>4015.3692965018608</v>
      </c>
      <c r="E357" s="17">
        <f t="shared" si="343"/>
        <v>-11725.020153498139</v>
      </c>
      <c r="F357" s="17">
        <f t="shared" si="344"/>
        <v>-3964.8472334981388</v>
      </c>
      <c r="G357" s="17">
        <f t="shared" si="345"/>
        <v>12312.087516501861</v>
      </c>
      <c r="H357" s="17">
        <f t="shared" si="346"/>
        <v>4015.3692965018608</v>
      </c>
      <c r="I357" s="17">
        <f t="shared" si="347"/>
        <v>1645.9518563603358</v>
      </c>
      <c r="J357" s="20">
        <f>(Geraetedaten!$B$152+(Geraetedaten!$B$153*(Geraetedaten!$B$18+d_y_Sw)/1000))*10</f>
        <v>6051.0442000000003</v>
      </c>
      <c r="K357" s="20">
        <f>(Geraetedaten!$B$165+(Geraetedaten!$B$166*(Geraetedaten!$B$18+d_y_Sw)/1000))*10</f>
        <v>10816.164000000001</v>
      </c>
      <c r="L357" s="20">
        <f>(Geraetedaten!$B$158+(Geraetedaten!$B$159*(Geraetedaten!$B$18+d_y_Sw)/1000)-(Geraetedaten!$B$160*I357/1000))*10</f>
        <v>480.83895037309628</v>
      </c>
      <c r="M357" s="20">
        <f>(Geraetedaten!$B$171+(Geraetedaten!$B$172*(Geraetedaten!$B$18+d_y_Sw)/1000)-(Geraetedaten!$B$173*I357/1000))*10</f>
        <v>942.34234381253759</v>
      </c>
      <c r="N357" s="20">
        <f>IF((H357-J357)/(K357-J357)*(Geraetedaten!$B$174-Geraetedaten!$B$161)&lt;Geraetedaten!$B$174,(H357-J357)/(K357-J357)*(Geraetedaten!$B$174-Geraetedaten!$B$161),Geraetedaten!$B$174)</f>
        <v>-170.88132000359272</v>
      </c>
      <c r="O357" s="20">
        <f>N357/Geraetedaten!$B$174*(M357-L357)+L357+C357</f>
        <v>349.36935122856244</v>
      </c>
      <c r="P357" s="20">
        <f t="shared" si="348"/>
        <v>158.49164290316779</v>
      </c>
      <c r="Q357" s="21">
        <f>(N357-Geraetedaten!$B$161)/(Geraetedaten!$B$174-Geraetedaten!$B$161)*(Geraetedaten!$B$175-Geraetedaten!$B$162)+Geraetedaten!$B$162</f>
        <v>24.116280729893113</v>
      </c>
      <c r="R357" s="21">
        <f t="shared" si="349"/>
        <v>24.116280729893113</v>
      </c>
      <c r="S357" s="21">
        <f t="shared" si="350"/>
        <v>-16.752576273359274</v>
      </c>
      <c r="T357" s="88">
        <f t="shared" si="351"/>
        <v>17.347800565152166</v>
      </c>
      <c r="U357" s="86">
        <f t="shared" si="352"/>
        <v>4081.0554699999998</v>
      </c>
      <c r="V357" s="85">
        <f t="shared" si="353"/>
        <v>-1141.3067828769733</v>
      </c>
      <c r="W357" s="85">
        <f t="shared" si="354"/>
        <v>1645.9518563603358</v>
      </c>
      <c r="X357" s="90">
        <f t="shared" si="355"/>
        <v>1141.3067828769733</v>
      </c>
      <c r="Y357" s="86">
        <f t="shared" si="356"/>
        <v>-11659.333979999999</v>
      </c>
      <c r="Z357" s="85">
        <f t="shared" si="357"/>
        <v>-750</v>
      </c>
      <c r="AA357" s="85">
        <f t="shared" si="358"/>
        <v>-1042.6226932625091</v>
      </c>
      <c r="AB357" s="90">
        <f t="shared" si="359"/>
        <v>750</v>
      </c>
      <c r="AC357" s="86">
        <f t="shared" si="360"/>
        <v>-3899.1610599999999</v>
      </c>
      <c r="AD357" s="85">
        <f t="shared" si="361"/>
        <v>1055.7627565116984</v>
      </c>
      <c r="AE357" s="85">
        <f t="shared" si="362"/>
        <v>-1518.2309066390937</v>
      </c>
      <c r="AF357" s="90">
        <f t="shared" si="363"/>
        <v>1055.7627565116984</v>
      </c>
      <c r="AG357" s="86">
        <f t="shared" si="364"/>
        <v>12377.77369</v>
      </c>
      <c r="AH357" s="85">
        <f t="shared" si="365"/>
        <v>6128</v>
      </c>
      <c r="AI357" s="85">
        <f t="shared" si="366"/>
        <v>8518.9224857502068</v>
      </c>
      <c r="AJ357" s="90">
        <f t="shared" si="367"/>
        <v>6128</v>
      </c>
      <c r="AL357" s="95">
        <f t="shared" si="368"/>
        <v>0</v>
      </c>
      <c r="AM357" s="95">
        <f t="shared" si="369"/>
        <v>0</v>
      </c>
      <c r="AN357" s="95">
        <f t="shared" si="370"/>
        <v>0</v>
      </c>
      <c r="AO357" s="95">
        <f t="shared" si="371"/>
        <v>0</v>
      </c>
      <c r="AP357"/>
      <c r="AQ357" s="95">
        <f t="shared" si="372"/>
        <v>0</v>
      </c>
      <c r="AR357" s="95">
        <f t="shared" si="373"/>
        <v>0</v>
      </c>
      <c r="AS357" s="95">
        <f>Geraetedaten!$B$94*ABS(SIN(RADIANS($A357)))</f>
        <v>106.97738905068563</v>
      </c>
      <c r="AT357" s="95">
        <f>Geraetedaten!$B$94*ABS(COS(RADIANS($A357)))</f>
        <v>110.77832925215223</v>
      </c>
      <c r="AU357" s="95">
        <f>((h_Aw_Sw+Geraetedaten!$B$18)/1000)*(AQ357*AS357+AR357*AT357)/100</f>
        <v>0</v>
      </c>
    </row>
    <row r="358" spans="1:47" ht="13.5" x14ac:dyDescent="0.25">
      <c r="A358" s="16">
        <v>317</v>
      </c>
      <c r="B358" s="16">
        <f t="shared" si="340"/>
        <v>133</v>
      </c>
      <c r="C358" s="19">
        <f t="shared" si="341"/>
        <v>65.241432270884687</v>
      </c>
      <c r="D358" s="17">
        <f t="shared" si="342"/>
        <v>4091.8387877291152</v>
      </c>
      <c r="E358" s="17">
        <f t="shared" si="343"/>
        <v>-11533.048262270884</v>
      </c>
      <c r="F358" s="17">
        <f t="shared" si="344"/>
        <v>-4036.6343122708845</v>
      </c>
      <c r="G358" s="17">
        <f t="shared" si="345"/>
        <v>12109.203347729115</v>
      </c>
      <c r="H358" s="17">
        <f t="shared" si="346"/>
        <v>4091.8387877291152</v>
      </c>
      <c r="I358" s="17">
        <f t="shared" si="347"/>
        <v>1676.613795145204</v>
      </c>
      <c r="J358" s="20">
        <f>(Geraetedaten!$B$152+(Geraetedaten!$B$153*(Geraetedaten!$B$18+d_y_Sw)/1000))*10</f>
        <v>6051.0442000000003</v>
      </c>
      <c r="K358" s="20">
        <f>(Geraetedaten!$B$165+(Geraetedaten!$B$166*(Geraetedaten!$B$18+d_y_Sw)/1000))*10</f>
        <v>10816.164000000001</v>
      </c>
      <c r="L358" s="20">
        <f>(Geraetedaten!$B$158+(Geraetedaten!$B$159*(Geraetedaten!$B$18+d_y_Sw)/1000)-(Geraetedaten!$B$160*I358/1000))*10</f>
        <v>478.590510402002</v>
      </c>
      <c r="M358" s="20">
        <f>(Geraetedaten!$B$171+(Geraetedaten!$B$172*(Geraetedaten!$B$18+d_y_Sw)/1000)-(Geraetedaten!$B$173*I358/1000))*10</f>
        <v>940.0598690893919</v>
      </c>
      <c r="N358" s="20">
        <f>IF((H358-J358)/(K358-J358)*(Geraetedaten!$B$174-Geraetedaten!$B$161)&lt;Geraetedaten!$B$174,(H358-J358)/(K358-J358)*(Geraetedaten!$B$174-Geraetedaten!$B$161),Geraetedaten!$B$174)</f>
        <v>-164.4622166494857</v>
      </c>
      <c r="O358" s="20">
        <f>N358/Geraetedaten!$B$174*(M358-L358)+L358+C358</f>
        <v>354.09625855902482</v>
      </c>
      <c r="P358" s="20">
        <f t="shared" si="348"/>
        <v>159.49812626453681</v>
      </c>
      <c r="Q358" s="21">
        <f>(N358-Geraetedaten!$B$161)/(Geraetedaten!$B$174-Geraetedaten!$B$161)*(Geraetedaten!$B$175-Geraetedaten!$B$162)+Geraetedaten!$B$162</f>
        <v>24.307249054677797</v>
      </c>
      <c r="R358" s="21">
        <f t="shared" si="349"/>
        <v>24.307249054677797</v>
      </c>
      <c r="S358" s="21">
        <f t="shared" si="350"/>
        <v>-16.577503992920967</v>
      </c>
      <c r="T358" s="88">
        <f t="shared" si="351"/>
        <v>17.777196572317695</v>
      </c>
      <c r="U358" s="86">
        <f t="shared" si="352"/>
        <v>4157.0802199999998</v>
      </c>
      <c r="V358" s="85">
        <f t="shared" si="353"/>
        <v>-1141.3067828769733</v>
      </c>
      <c r="W358" s="85">
        <f t="shared" si="354"/>
        <v>1676.613795145204</v>
      </c>
      <c r="X358" s="90">
        <f t="shared" si="355"/>
        <v>1141.3067828769733</v>
      </c>
      <c r="Y358" s="86">
        <f t="shared" si="356"/>
        <v>-11467.80683</v>
      </c>
      <c r="Z358" s="85">
        <f t="shared" si="357"/>
        <v>-750</v>
      </c>
      <c r="AA358" s="85">
        <f t="shared" si="358"/>
        <v>-1025.4955958239466</v>
      </c>
      <c r="AB358" s="90">
        <f t="shared" si="359"/>
        <v>750</v>
      </c>
      <c r="AC358" s="86">
        <f t="shared" si="360"/>
        <v>-3971.3928799999999</v>
      </c>
      <c r="AD358" s="85">
        <f t="shared" si="361"/>
        <v>1055.7627565116984</v>
      </c>
      <c r="AE358" s="85">
        <f t="shared" si="362"/>
        <v>-1546.3560788855318</v>
      </c>
      <c r="AF358" s="90">
        <f t="shared" si="363"/>
        <v>1055.7627565116984</v>
      </c>
      <c r="AG358" s="86">
        <f t="shared" si="364"/>
        <v>12174.44478</v>
      </c>
      <c r="AH358" s="85">
        <f t="shared" si="365"/>
        <v>6128</v>
      </c>
      <c r="AI358" s="85">
        <f t="shared" si="366"/>
        <v>8378.9826816121931</v>
      </c>
      <c r="AJ358" s="90">
        <f t="shared" si="367"/>
        <v>6128</v>
      </c>
      <c r="AL358" s="95">
        <f t="shared" si="368"/>
        <v>0</v>
      </c>
      <c r="AM358" s="95">
        <f t="shared" si="369"/>
        <v>0</v>
      </c>
      <c r="AN358" s="95">
        <f t="shared" si="370"/>
        <v>0</v>
      </c>
      <c r="AO358" s="95">
        <f t="shared" si="371"/>
        <v>0</v>
      </c>
      <c r="AP358"/>
      <c r="AQ358" s="95">
        <f t="shared" si="372"/>
        <v>0</v>
      </c>
      <c r="AR358" s="95">
        <f t="shared" si="373"/>
        <v>0</v>
      </c>
      <c r="AS358" s="95">
        <f>Geraetedaten!$B$94*ABS(SIN(RADIANS($A358)))</f>
        <v>105.02774744962473</v>
      </c>
      <c r="AT358" s="95">
        <f>Geraetedaten!$B$94*ABS(COS(RADIANS($A358)))</f>
        <v>112.62847004935229</v>
      </c>
      <c r="AU358" s="95">
        <f>((h_Aw_Sw+Geraetedaten!$B$18)/1000)*(AQ358*AS358+AR358*AT358)/100</f>
        <v>0</v>
      </c>
    </row>
    <row r="359" spans="1:47" ht="13.5" x14ac:dyDescent="0.25">
      <c r="A359" s="16">
        <v>318</v>
      </c>
      <c r="B359" s="16">
        <f t="shared" si="340"/>
        <v>132</v>
      </c>
      <c r="C359" s="19">
        <f t="shared" si="341"/>
        <v>64.776817871352804</v>
      </c>
      <c r="D359" s="17">
        <f t="shared" si="342"/>
        <v>4172.5296221286471</v>
      </c>
      <c r="E359" s="17">
        <f t="shared" si="343"/>
        <v>-11350.629437871352</v>
      </c>
      <c r="F359" s="17">
        <f t="shared" si="344"/>
        <v>-4112.3844178713525</v>
      </c>
      <c r="G359" s="17">
        <f t="shared" si="345"/>
        <v>11916.501862128647</v>
      </c>
      <c r="H359" s="17">
        <f t="shared" si="346"/>
        <v>4172.5296221286471</v>
      </c>
      <c r="I359" s="17">
        <f t="shared" si="347"/>
        <v>1708.970253463913</v>
      </c>
      <c r="J359" s="20">
        <f>(Geraetedaten!$B$152+(Geraetedaten!$B$153*(Geraetedaten!$B$18+d_y_Sw)/1000))*10</f>
        <v>6051.0442000000003</v>
      </c>
      <c r="K359" s="20">
        <f>(Geraetedaten!$B$165+(Geraetedaten!$B$166*(Geraetedaten!$B$18+d_y_Sw)/1000))*10</f>
        <v>10816.164000000001</v>
      </c>
      <c r="L359" s="20">
        <f>(Geraetedaten!$B$158+(Geraetedaten!$B$159*(Geraetedaten!$B$18+d_y_Sw)/1000)-(Geraetedaten!$B$160*I359/1000))*10</f>
        <v>476.21781131349104</v>
      </c>
      <c r="M359" s="20">
        <f>(Geraetedaten!$B$171+(Geraetedaten!$B$172*(Geraetedaten!$B$18+d_y_Sw)/1000)-(Geraetedaten!$B$173*I359/1000))*10</f>
        <v>937.65125433214723</v>
      </c>
      <c r="N359" s="20">
        <f>IF((H359-J359)/(K359-J359)*(Geraetedaten!$B$174-Geraetedaten!$B$161)&lt;Geraetedaten!$B$174,(H359-J359)/(K359-J359)*(Geraetedaten!$B$174-Geraetedaten!$B$161),Geraetedaten!$B$174)</f>
        <v>-157.68875971356294</v>
      </c>
      <c r="O359" s="20">
        <f>N359/Geraetedaten!$B$174*(M359-L359)+L359+C359</f>
        <v>359.0874608849166</v>
      </c>
      <c r="P359" s="20">
        <f t="shared" si="348"/>
        <v>160.54633732362657</v>
      </c>
      <c r="Q359" s="21">
        <f>(N359-Geraetedaten!$B$161)/(Geraetedaten!$B$174-Geraetedaten!$B$161)*(Geraetedaten!$B$175-Geraetedaten!$B$162)+Geraetedaten!$B$162</f>
        <v>24.508759398521502</v>
      </c>
      <c r="R359" s="21">
        <f t="shared" si="349"/>
        <v>24.508759398521502</v>
      </c>
      <c r="S359" s="21">
        <f t="shared" si="350"/>
        <v>-16.399561037436055</v>
      </c>
      <c r="T359" s="88">
        <f t="shared" si="351"/>
        <v>18.213557725881707</v>
      </c>
      <c r="U359" s="86">
        <f t="shared" si="352"/>
        <v>4237.3064400000003</v>
      </c>
      <c r="V359" s="85">
        <f t="shared" si="353"/>
        <v>-1141.3067828769733</v>
      </c>
      <c r="W359" s="85">
        <f t="shared" si="354"/>
        <v>1708.970253463913</v>
      </c>
      <c r="X359" s="90">
        <f t="shared" si="355"/>
        <v>1141.3067828769733</v>
      </c>
      <c r="Y359" s="86">
        <f t="shared" si="356"/>
        <v>-11285.85262</v>
      </c>
      <c r="Z359" s="85">
        <f t="shared" si="357"/>
        <v>-750</v>
      </c>
      <c r="AA359" s="85">
        <f t="shared" si="358"/>
        <v>-1009.224547204782</v>
      </c>
      <c r="AB359" s="90">
        <f t="shared" si="359"/>
        <v>750</v>
      </c>
      <c r="AC359" s="86">
        <f t="shared" si="360"/>
        <v>-4047.6075999999998</v>
      </c>
      <c r="AD359" s="85">
        <f t="shared" si="361"/>
        <v>1055.7627565116984</v>
      </c>
      <c r="AE359" s="85">
        <f t="shared" si="362"/>
        <v>-1576.0320906017278</v>
      </c>
      <c r="AF359" s="90">
        <f t="shared" si="363"/>
        <v>1055.7627565116984</v>
      </c>
      <c r="AG359" s="86">
        <f t="shared" si="364"/>
        <v>11981.278679999999</v>
      </c>
      <c r="AH359" s="85">
        <f t="shared" si="365"/>
        <v>6128</v>
      </c>
      <c r="AI359" s="85">
        <f t="shared" si="366"/>
        <v>8246.0373670278714</v>
      </c>
      <c r="AJ359" s="90">
        <f t="shared" si="367"/>
        <v>6128</v>
      </c>
      <c r="AL359" s="95">
        <f t="shared" si="368"/>
        <v>0</v>
      </c>
      <c r="AM359" s="95">
        <f t="shared" si="369"/>
        <v>0</v>
      </c>
      <c r="AN359" s="95">
        <f t="shared" si="370"/>
        <v>0</v>
      </c>
      <c r="AO359" s="95">
        <f t="shared" si="371"/>
        <v>0</v>
      </c>
      <c r="AP359"/>
      <c r="AQ359" s="95">
        <f t="shared" si="372"/>
        <v>0</v>
      </c>
      <c r="AR359" s="95">
        <f t="shared" si="373"/>
        <v>0</v>
      </c>
      <c r="AS359" s="95">
        <f>Geraetedaten!$B$94*ABS(SIN(RADIANS($A359)))</f>
        <v>103.04611337926416</v>
      </c>
      <c r="AT359" s="95">
        <f>Geraetedaten!$B$94*ABS(COS(RADIANS($A359)))</f>
        <v>114.44430312351871</v>
      </c>
      <c r="AU359" s="95">
        <f>((h_Aw_Sw+Geraetedaten!$B$18)/1000)*(AQ359*AS359+AR359*AT359)/100</f>
        <v>0</v>
      </c>
    </row>
    <row r="360" spans="1:47" ht="13.5" x14ac:dyDescent="0.25">
      <c r="A360" s="16">
        <v>319</v>
      </c>
      <c r="B360" s="16">
        <f t="shared" si="340"/>
        <v>131</v>
      </c>
      <c r="C360" s="19">
        <f t="shared" si="341"/>
        <v>64.292471825590169</v>
      </c>
      <c r="D360" s="17">
        <f t="shared" si="342"/>
        <v>4257.7400981744104</v>
      </c>
      <c r="E360" s="17">
        <f t="shared" si="343"/>
        <v>-11177.20689182559</v>
      </c>
      <c r="F360" s="17">
        <f t="shared" si="344"/>
        <v>-4192.3793518255898</v>
      </c>
      <c r="G360" s="17">
        <f t="shared" si="345"/>
        <v>11733.391678174408</v>
      </c>
      <c r="H360" s="17">
        <f t="shared" si="346"/>
        <v>4257.7400981744104</v>
      </c>
      <c r="I360" s="17">
        <f t="shared" si="347"/>
        <v>1743.1415892056016</v>
      </c>
      <c r="J360" s="20">
        <f>(Geraetedaten!$B$152+(Geraetedaten!$B$153*(Geraetedaten!$B$18+d_y_Sw)/1000))*10</f>
        <v>6051.0442000000003</v>
      </c>
      <c r="K360" s="20">
        <f>(Geraetedaten!$B$165+(Geraetedaten!$B$166*(Geraetedaten!$B$18+d_y_Sw)/1000))*10</f>
        <v>10816.164000000001</v>
      </c>
      <c r="L360" s="20">
        <f>(Geraetedaten!$B$158+(Geraetedaten!$B$159*(Geraetedaten!$B$18+d_y_Sw)/1000)-(Geraetedaten!$B$160*I360/1000))*10</f>
        <v>473.71202726355301</v>
      </c>
      <c r="M360" s="20">
        <f>(Geraetedaten!$B$171+(Geraetedaten!$B$172*(Geraetedaten!$B$18+d_y_Sw)/1000)-(Geraetedaten!$B$173*I360/1000))*10</f>
        <v>935.10754009953598</v>
      </c>
      <c r="N360" s="20">
        <f>IF((H360-J360)/(K360-J360)*(Geraetedaten!$B$174-Geraetedaten!$B$161)&lt;Geraetedaten!$B$174,(H360-J360)/(K360-J360)*(Geraetedaten!$B$174-Geraetedaten!$B$161),Geraetedaten!$B$174)</f>
        <v>-150.5359090300806</v>
      </c>
      <c r="O360" s="20">
        <f>N360/Geraetedaten!$B$174*(M360-L360)+L360+C360</f>
        <v>364.36301672123091</v>
      </c>
      <c r="P360" s="20">
        <f t="shared" si="348"/>
        <v>161.63864860310818</v>
      </c>
      <c r="Q360" s="21">
        <f>(N360-Geraetedaten!$B$161)/(Geraetedaten!$B$174-Geraetedaten!$B$161)*(Geraetedaten!$B$175-Geraetedaten!$B$162)+Geraetedaten!$B$162</f>
        <v>24.721556706355102</v>
      </c>
      <c r="R360" s="21">
        <f t="shared" si="349"/>
        <v>24.721556706355102</v>
      </c>
      <c r="S360" s="21">
        <f t="shared" si="350"/>
        <v>-16.218800487905096</v>
      </c>
      <c r="T360" s="88">
        <f t="shared" si="351"/>
        <v>18.65759568430671</v>
      </c>
      <c r="U360" s="86">
        <f t="shared" si="352"/>
        <v>4322.0325700000003</v>
      </c>
      <c r="V360" s="85">
        <f t="shared" si="353"/>
        <v>-1141.3067828769733</v>
      </c>
      <c r="W360" s="85">
        <f t="shared" si="354"/>
        <v>1743.1415892056016</v>
      </c>
      <c r="X360" s="90">
        <f t="shared" si="355"/>
        <v>1141.3067828769733</v>
      </c>
      <c r="Y360" s="86">
        <f t="shared" si="356"/>
        <v>-11112.914419999999</v>
      </c>
      <c r="Z360" s="85">
        <f t="shared" si="357"/>
        <v>-750</v>
      </c>
      <c r="AA360" s="85">
        <f t="shared" si="358"/>
        <v>-993.75974501160852</v>
      </c>
      <c r="AB360" s="90">
        <f t="shared" si="359"/>
        <v>750</v>
      </c>
      <c r="AC360" s="86">
        <f t="shared" si="360"/>
        <v>-4128.0868799999998</v>
      </c>
      <c r="AD360" s="85">
        <f t="shared" si="361"/>
        <v>1055.7627565116984</v>
      </c>
      <c r="AE360" s="85">
        <f t="shared" si="362"/>
        <v>-1607.3686095910305</v>
      </c>
      <c r="AF360" s="90">
        <f t="shared" si="363"/>
        <v>1055.7627565116984</v>
      </c>
      <c r="AG360" s="86">
        <f t="shared" si="364"/>
        <v>11797.684149999999</v>
      </c>
      <c r="AH360" s="85">
        <f t="shared" si="365"/>
        <v>6128</v>
      </c>
      <c r="AI360" s="85">
        <f t="shared" si="366"/>
        <v>8119.6796232415154</v>
      </c>
      <c r="AJ360" s="90">
        <f t="shared" si="367"/>
        <v>6128</v>
      </c>
      <c r="AL360" s="95">
        <f t="shared" si="368"/>
        <v>0</v>
      </c>
      <c r="AM360" s="95">
        <f t="shared" si="369"/>
        <v>0</v>
      </c>
      <c r="AN360" s="95">
        <f t="shared" si="370"/>
        <v>0</v>
      </c>
      <c r="AO360" s="95">
        <f t="shared" si="371"/>
        <v>0</v>
      </c>
      <c r="AP360"/>
      <c r="AQ360" s="95">
        <f t="shared" si="372"/>
        <v>0</v>
      </c>
      <c r="AR360" s="95">
        <f t="shared" si="373"/>
        <v>0</v>
      </c>
      <c r="AS360" s="95">
        <f>Geraetedaten!$B$94*ABS(SIN(RADIANS($A360)))</f>
        <v>101.03309046453813</v>
      </c>
      <c r="AT360" s="95">
        <f>Geraetedaten!$B$94*ABS(COS(RADIANS($A360)))</f>
        <v>116.22527535430687</v>
      </c>
      <c r="AU360" s="95">
        <f>((h_Aw_Sw+Geraetedaten!$B$18)/1000)*(AQ360*AS360+AR360*AT360)/100</f>
        <v>0</v>
      </c>
    </row>
    <row r="361" spans="1:47" ht="13.5" x14ac:dyDescent="0.25">
      <c r="A361" s="16">
        <v>320</v>
      </c>
      <c r="B361" s="16">
        <f t="shared" si="340"/>
        <v>130</v>
      </c>
      <c r="C361" s="19">
        <f t="shared" si="341"/>
        <v>63.788541670094318</v>
      </c>
      <c r="D361" s="17">
        <f t="shared" si="342"/>
        <v>4347.7987483299057</v>
      </c>
      <c r="E361" s="17">
        <f t="shared" si="343"/>
        <v>-11012.269471670093</v>
      </c>
      <c r="F361" s="17">
        <f t="shared" si="344"/>
        <v>-4276.9294016700951</v>
      </c>
      <c r="G361" s="17">
        <f t="shared" si="345"/>
        <v>11559.329848329906</v>
      </c>
      <c r="H361" s="17">
        <f t="shared" si="346"/>
        <v>4347.7987483299057</v>
      </c>
      <c r="I361" s="17">
        <f t="shared" si="347"/>
        <v>1779.2603754409993</v>
      </c>
      <c r="J361" s="20">
        <f>(Geraetedaten!$B$152+(Geraetedaten!$B$153*(Geraetedaten!$B$18+d_y_Sw)/1000))*10</f>
        <v>6051.0442000000003</v>
      </c>
      <c r="K361" s="20">
        <f>(Geraetedaten!$B$165+(Geraetedaten!$B$166*(Geraetedaten!$B$18+d_y_Sw)/1000))*10</f>
        <v>10816.164000000001</v>
      </c>
      <c r="L361" s="20">
        <f>(Geraetedaten!$B$158+(Geraetedaten!$B$159*(Geraetedaten!$B$18+d_y_Sw)/1000)-(Geraetedaten!$B$160*I361/1000))*10</f>
        <v>471.06343666891127</v>
      </c>
      <c r="M361" s="20">
        <f>(Geraetedaten!$B$171+(Geraetedaten!$B$172*(Geraetedaten!$B$18+d_y_Sw)/1000)-(Geraetedaten!$B$173*I361/1000))*10</f>
        <v>932.41885765217285</v>
      </c>
      <c r="N361" s="20">
        <f>IF((H361-J361)/(K361-J361)*(Geraetedaten!$B$174-Geraetedaten!$B$161)&lt;Geraetedaten!$B$174,(H361-J361)/(K361-J361)*(Geraetedaten!$B$174-Geraetedaten!$B$161),Geraetedaten!$B$174)</f>
        <v>-142.97608649168438</v>
      </c>
      <c r="O361" s="20">
        <f>N361/Geraetedaten!$B$174*(M361-L361)+L361+C361</f>
        <v>369.94499690422992</v>
      </c>
      <c r="P361" s="20">
        <f t="shared" si="348"/>
        <v>162.77757841795503</v>
      </c>
      <c r="Q361" s="21">
        <f>(N361-Geraetedaten!$B$161)/(Geraetedaten!$B$174-Geraetedaten!$B$161)*(Geraetedaten!$B$175-Geraetedaten!$B$162)+Geraetedaten!$B$162</f>
        <v>24.946461426872389</v>
      </c>
      <c r="R361" s="21">
        <f t="shared" si="349"/>
        <v>24.946461426872389</v>
      </c>
      <c r="S361" s="21">
        <f t="shared" si="350"/>
        <v>-16.035276310716764</v>
      </c>
      <c r="T361" s="88">
        <f t="shared" si="351"/>
        <v>19.110098151537521</v>
      </c>
      <c r="U361" s="86">
        <f t="shared" si="352"/>
        <v>4411.5872900000004</v>
      </c>
      <c r="V361" s="85">
        <f t="shared" si="353"/>
        <v>-1141.3067828769733</v>
      </c>
      <c r="W361" s="85">
        <f t="shared" si="354"/>
        <v>1779.2603754409993</v>
      </c>
      <c r="X361" s="90">
        <f t="shared" si="355"/>
        <v>1141.3067828769733</v>
      </c>
      <c r="Y361" s="86">
        <f t="shared" si="356"/>
        <v>-10948.48093</v>
      </c>
      <c r="Z361" s="85">
        <f t="shared" si="357"/>
        <v>-750</v>
      </c>
      <c r="AA361" s="85">
        <f t="shared" si="358"/>
        <v>-979.0554669992091</v>
      </c>
      <c r="AB361" s="90">
        <f t="shared" si="359"/>
        <v>750</v>
      </c>
      <c r="AC361" s="86">
        <f t="shared" si="360"/>
        <v>-4213.1408600000004</v>
      </c>
      <c r="AD361" s="85">
        <f t="shared" si="361"/>
        <v>1055.7627565116984</v>
      </c>
      <c r="AE361" s="85">
        <f t="shared" si="362"/>
        <v>-1640.4863926774403</v>
      </c>
      <c r="AF361" s="90">
        <f t="shared" si="363"/>
        <v>1055.7627565116984</v>
      </c>
      <c r="AG361" s="86">
        <f t="shared" si="364"/>
        <v>11623.11839</v>
      </c>
      <c r="AH361" s="85">
        <f t="shared" si="365"/>
        <v>6128</v>
      </c>
      <c r="AI361" s="85">
        <f t="shared" si="366"/>
        <v>7999.5358690282046</v>
      </c>
      <c r="AJ361" s="90">
        <f t="shared" si="367"/>
        <v>6128</v>
      </c>
      <c r="AL361" s="95">
        <f t="shared" si="368"/>
        <v>0</v>
      </c>
      <c r="AM361" s="95">
        <f t="shared" si="369"/>
        <v>0</v>
      </c>
      <c r="AN361" s="95">
        <f t="shared" si="370"/>
        <v>0</v>
      </c>
      <c r="AO361" s="95">
        <f t="shared" si="371"/>
        <v>0</v>
      </c>
      <c r="AP361"/>
      <c r="AQ361" s="95">
        <f t="shared" si="372"/>
        <v>0</v>
      </c>
      <c r="AR361" s="95">
        <f t="shared" si="373"/>
        <v>0</v>
      </c>
      <c r="AS361" s="95">
        <f>Geraetedaten!$B$94*ABS(SIN(RADIANS($A361)))</f>
        <v>98.989291891727092</v>
      </c>
      <c r="AT361" s="95">
        <f>Geraetedaten!$B$94*ABS(COS(RADIANS($A361)))</f>
        <v>117.97084424032258</v>
      </c>
      <c r="AU361" s="95">
        <f>((h_Aw_Sw+Geraetedaten!$B$18)/1000)*(AQ361*AS361+AR361*AT361)/100</f>
        <v>0</v>
      </c>
    </row>
    <row r="362" spans="1:47" ht="13.5" x14ac:dyDescent="0.25">
      <c r="A362" s="16">
        <v>321</v>
      </c>
      <c r="B362" s="16">
        <f t="shared" si="340"/>
        <v>129</v>
      </c>
      <c r="C362" s="19">
        <f t="shared" si="341"/>
        <v>63.26518090687226</v>
      </c>
      <c r="D362" s="17">
        <f t="shared" si="342"/>
        <v>4443.0683190931277</v>
      </c>
      <c r="E362" s="17">
        <f t="shared" si="343"/>
        <v>-10855.347220906871</v>
      </c>
      <c r="F362" s="17">
        <f t="shared" si="344"/>
        <v>-4366.3769409068718</v>
      </c>
      <c r="G362" s="17">
        <f t="shared" si="345"/>
        <v>11393.817139093127</v>
      </c>
      <c r="H362" s="17">
        <f t="shared" si="346"/>
        <v>4443.0683190931277</v>
      </c>
      <c r="I362" s="17">
        <f t="shared" si="347"/>
        <v>1817.4729657280147</v>
      </c>
      <c r="J362" s="20">
        <f>(Geraetedaten!$B$152+(Geraetedaten!$B$153*(Geraetedaten!$B$18+d_y_Sw)/1000))*10</f>
        <v>6051.0442000000003</v>
      </c>
      <c r="K362" s="20">
        <f>(Geraetedaten!$B$165+(Geraetedaten!$B$166*(Geraetedaten!$B$18+d_y_Sw)/1000))*10</f>
        <v>10816.164000000001</v>
      </c>
      <c r="L362" s="20">
        <f>(Geraetedaten!$B$158+(Geraetedaten!$B$159*(Geraetedaten!$B$18+d_y_Sw)/1000)-(Geraetedaten!$B$160*I362/1000))*10</f>
        <v>468.26130742316445</v>
      </c>
      <c r="M362" s="20">
        <f>(Geraetedaten!$B$171+(Geraetedaten!$B$172*(Geraetedaten!$B$18+d_y_Sw)/1000)-(Geraetedaten!$B$173*I362/1000))*10</f>
        <v>929.57431243120755</v>
      </c>
      <c r="N362" s="20">
        <f>IF((H362-J362)/(K362-J362)*(Geraetedaten!$B$174-Geraetedaten!$B$161)&lt;Geraetedaten!$B$174,(H362-J362)/(K362-J362)*(Geraetedaten!$B$174-Geraetedaten!$B$161),Geraetedaten!$B$174)</f>
        <v>-134.97884195120321</v>
      </c>
      <c r="O362" s="20">
        <f>N362/Geraetedaten!$B$174*(M362-L362)+L362+C362</f>
        <v>375.85775034749861</v>
      </c>
      <c r="P362" s="20">
        <f t="shared" si="348"/>
        <v>163.96580369635768</v>
      </c>
      <c r="Q362" s="21">
        <f>(N362-Geraetedaten!$B$161)/(Geraetedaten!$B$174-Geraetedaten!$B$161)*(Geraetedaten!$B$175-Geraetedaten!$B$162)+Geraetedaten!$B$162</f>
        <v>25.184379451951703</v>
      </c>
      <c r="R362" s="21">
        <f t="shared" si="349"/>
        <v>25.184379451951703</v>
      </c>
      <c r="S362" s="21">
        <f t="shared" si="350"/>
        <v>-15.849043525049746</v>
      </c>
      <c r="T362" s="88">
        <f t="shared" si="351"/>
        <v>19.571938782884178</v>
      </c>
      <c r="U362" s="86">
        <f t="shared" si="352"/>
        <v>4506.3334999999997</v>
      </c>
      <c r="V362" s="85">
        <f t="shared" si="353"/>
        <v>-1141.3067828769733</v>
      </c>
      <c r="W362" s="85">
        <f t="shared" si="354"/>
        <v>1817.4729657280147</v>
      </c>
      <c r="X362" s="90">
        <f t="shared" si="355"/>
        <v>1141.3067828769733</v>
      </c>
      <c r="Y362" s="86">
        <f t="shared" si="356"/>
        <v>-10792.082039999999</v>
      </c>
      <c r="Z362" s="85">
        <f t="shared" si="357"/>
        <v>-750</v>
      </c>
      <c r="AA362" s="85">
        <f t="shared" si="358"/>
        <v>-965.06967441987592</v>
      </c>
      <c r="AB362" s="90">
        <f t="shared" si="359"/>
        <v>750</v>
      </c>
      <c r="AC362" s="86">
        <f t="shared" si="360"/>
        <v>-4303.1117599999998</v>
      </c>
      <c r="AD362" s="85">
        <f t="shared" si="361"/>
        <v>1055.7627565116984</v>
      </c>
      <c r="AE362" s="85">
        <f t="shared" si="362"/>
        <v>-1675.5187008264757</v>
      </c>
      <c r="AF362" s="90">
        <f t="shared" si="363"/>
        <v>1055.7627565116984</v>
      </c>
      <c r="AG362" s="86">
        <f t="shared" si="364"/>
        <v>11457.08232</v>
      </c>
      <c r="AH362" s="85">
        <f t="shared" si="365"/>
        <v>6128</v>
      </c>
      <c r="AI362" s="85">
        <f t="shared" si="366"/>
        <v>7885.2626197933323</v>
      </c>
      <c r="AJ362" s="90">
        <f t="shared" si="367"/>
        <v>6128</v>
      </c>
      <c r="AL362" s="95">
        <f t="shared" si="368"/>
        <v>0</v>
      </c>
      <c r="AM362" s="95">
        <f t="shared" si="369"/>
        <v>0</v>
      </c>
      <c r="AN362" s="95">
        <f t="shared" si="370"/>
        <v>0</v>
      </c>
      <c r="AO362" s="95">
        <f t="shared" si="371"/>
        <v>0</v>
      </c>
      <c r="AP362"/>
      <c r="AQ362" s="95">
        <f t="shared" si="372"/>
        <v>0</v>
      </c>
      <c r="AR362" s="95">
        <f t="shared" si="373"/>
        <v>0</v>
      </c>
      <c r="AS362" s="95">
        <f>Geraetedaten!$B$94*ABS(SIN(RADIANS($A362)))</f>
        <v>96.915340221675024</v>
      </c>
      <c r="AT362" s="95">
        <f>Geraetedaten!$B$94*ABS(COS(RADIANS($A362)))</f>
        <v>119.68047806437347</v>
      </c>
      <c r="AU362" s="95">
        <f>((h_Aw_Sw+Geraetedaten!$B$18)/1000)*(AQ362*AS362+AR362*AT362)/100</f>
        <v>0</v>
      </c>
    </row>
    <row r="363" spans="1:47" ht="13.5" x14ac:dyDescent="0.25">
      <c r="A363" s="16">
        <v>322</v>
      </c>
      <c r="B363" s="16">
        <f t="shared" si="340"/>
        <v>128</v>
      </c>
      <c r="C363" s="19">
        <f t="shared" si="341"/>
        <v>62.722548956682388</v>
      </c>
      <c r="D363" s="17">
        <f t="shared" si="342"/>
        <v>4543.9501910433173</v>
      </c>
      <c r="E363" s="17">
        <f t="shared" si="343"/>
        <v>-10706.007478956682</v>
      </c>
      <c r="F363" s="17">
        <f t="shared" si="344"/>
        <v>-4461.1007189566826</v>
      </c>
      <c r="G363" s="17">
        <f t="shared" si="345"/>
        <v>11236.393881043317</v>
      </c>
      <c r="H363" s="17">
        <f t="shared" si="346"/>
        <v>4543.9501910433173</v>
      </c>
      <c r="I363" s="17">
        <f t="shared" si="347"/>
        <v>1857.941307451998</v>
      </c>
      <c r="J363" s="20">
        <f>(Geraetedaten!$B$152+(Geraetedaten!$B$153*(Geraetedaten!$B$18+d_y_Sw)/1000))*10</f>
        <v>6051.0442000000003</v>
      </c>
      <c r="K363" s="20">
        <f>(Geraetedaten!$B$165+(Geraetedaten!$B$166*(Geraetedaten!$B$18+d_y_Sw)/1000))*10</f>
        <v>10816.164000000001</v>
      </c>
      <c r="L363" s="20">
        <f>(Geraetedaten!$B$158+(Geraetedaten!$B$159*(Geraetedaten!$B$18+d_y_Sw)/1000)-(Geraetedaten!$B$160*I363/1000))*10</f>
        <v>465.29376392454475</v>
      </c>
      <c r="M363" s="20">
        <f>(Geraetedaten!$B$171+(Geraetedaten!$B$172*(Geraetedaten!$B$18+d_y_Sw)/1000)-(Geraetedaten!$B$173*I363/1000))*10</f>
        <v>926.56184907327417</v>
      </c>
      <c r="N363" s="20">
        <f>IF((H363-J363)/(K363-J363)*(Geraetedaten!$B$174-Geraetedaten!$B$161)&lt;Geraetedaten!$B$174,(H363-J363)/(K363-J363)*(Geraetedaten!$B$174-Geraetedaten!$B$161),Geraetedaten!$B$174)</f>
        <v>-126.51048218822811</v>
      </c>
      <c r="O363" s="20">
        <f>N363/Geraetedaten!$B$174*(M363-L363)+L363+C363</f>
        <v>382.12819320571106</v>
      </c>
      <c r="P363" s="20">
        <f t="shared" si="348"/>
        <v>165.20616921971325</v>
      </c>
      <c r="Q363" s="21">
        <f>(N363-Geraetedaten!$B$161)/(Geraetedaten!$B$174-Geraetedaten!$B$161)*(Geraetedaten!$B$175-Geraetedaten!$B$162)+Geraetedaten!$B$162</f>
        <v>25.436313154900212</v>
      </c>
      <c r="R363" s="21">
        <f t="shared" si="349"/>
        <v>25.436313154900212</v>
      </c>
      <c r="S363" s="21">
        <f t="shared" si="350"/>
        <v>-15.660158083791311</v>
      </c>
      <c r="T363" s="88">
        <f t="shared" si="351"/>
        <v>20.044088298169491</v>
      </c>
      <c r="U363" s="86">
        <f t="shared" si="352"/>
        <v>4606.67274</v>
      </c>
      <c r="V363" s="85">
        <f t="shared" si="353"/>
        <v>-1141.3067828769733</v>
      </c>
      <c r="W363" s="85">
        <f t="shared" si="354"/>
        <v>1857.941307451998</v>
      </c>
      <c r="X363" s="90">
        <f t="shared" si="355"/>
        <v>1141.3067828769733</v>
      </c>
      <c r="Y363" s="86">
        <f t="shared" si="356"/>
        <v>-10643.28493</v>
      </c>
      <c r="Z363" s="85">
        <f t="shared" si="357"/>
        <v>-750</v>
      </c>
      <c r="AA363" s="85">
        <f t="shared" si="358"/>
        <v>-951.76366130443387</v>
      </c>
      <c r="AB363" s="90">
        <f t="shared" si="359"/>
        <v>750</v>
      </c>
      <c r="AC363" s="86">
        <f t="shared" si="360"/>
        <v>-4398.37817</v>
      </c>
      <c r="AD363" s="85">
        <f t="shared" si="361"/>
        <v>1055.7627565116984</v>
      </c>
      <c r="AE363" s="85">
        <f t="shared" si="362"/>
        <v>-1712.6129375766654</v>
      </c>
      <c r="AF363" s="90">
        <f t="shared" si="363"/>
        <v>1055.7627565116984</v>
      </c>
      <c r="AG363" s="86">
        <f t="shared" si="364"/>
        <v>11299.11643</v>
      </c>
      <c r="AH363" s="85">
        <f t="shared" si="365"/>
        <v>6128</v>
      </c>
      <c r="AI363" s="85">
        <f t="shared" si="366"/>
        <v>7776.5436219647618</v>
      </c>
      <c r="AJ363" s="90">
        <f t="shared" si="367"/>
        <v>6128</v>
      </c>
      <c r="AL363" s="95">
        <f t="shared" si="368"/>
        <v>0</v>
      </c>
      <c r="AM363" s="95">
        <f t="shared" si="369"/>
        <v>0</v>
      </c>
      <c r="AN363" s="95">
        <f t="shared" si="370"/>
        <v>0</v>
      </c>
      <c r="AO363" s="95">
        <f t="shared" si="371"/>
        <v>0</v>
      </c>
      <c r="AP363"/>
      <c r="AQ363" s="95">
        <f t="shared" si="372"/>
        <v>0</v>
      </c>
      <c r="AR363" s="95">
        <f t="shared" si="373"/>
        <v>0</v>
      </c>
      <c r="AS363" s="95">
        <f>Geraetedaten!$B$94*ABS(SIN(RADIANS($A363)))</f>
        <v>94.811867200151354</v>
      </c>
      <c r="AT363" s="95">
        <f>Geraetedaten!$B$94*ABS(COS(RADIANS($A363)))</f>
        <v>121.3536560554352</v>
      </c>
      <c r="AU363" s="95">
        <f>((h_Aw_Sw+Geraetedaten!$B$18)/1000)*(AQ363*AS363+AR363*AT363)/100</f>
        <v>0</v>
      </c>
    </row>
    <row r="364" spans="1:47" ht="13.5" x14ac:dyDescent="0.25">
      <c r="A364" s="16">
        <v>323</v>
      </c>
      <c r="B364" s="16">
        <f t="shared" si="340"/>
        <v>127</v>
      </c>
      <c r="C364" s="19">
        <f t="shared" si="341"/>
        <v>62.160811110473347</v>
      </c>
      <c r="D364" s="17">
        <f t="shared" si="342"/>
        <v>4650.8896188895269</v>
      </c>
      <c r="E364" s="17">
        <f t="shared" si="343"/>
        <v>-10563.851341110474</v>
      </c>
      <c r="F364" s="17">
        <f t="shared" si="344"/>
        <v>-4561.5206611104732</v>
      </c>
      <c r="G364" s="17">
        <f t="shared" si="345"/>
        <v>11086.636288889526</v>
      </c>
      <c r="H364" s="17">
        <f t="shared" si="346"/>
        <v>4650.8896188895269</v>
      </c>
      <c r="I364" s="17">
        <f t="shared" si="347"/>
        <v>1900.845050242473</v>
      </c>
      <c r="J364" s="20">
        <f>(Geraetedaten!$B$152+(Geraetedaten!$B$153*(Geraetedaten!$B$18+d_y_Sw)/1000))*10</f>
        <v>6051.0442000000003</v>
      </c>
      <c r="K364" s="20">
        <f>(Geraetedaten!$B$165+(Geraetedaten!$B$166*(Geraetedaten!$B$18+d_y_Sw)/1000))*10</f>
        <v>10816.164000000001</v>
      </c>
      <c r="L364" s="20">
        <f>(Geraetedaten!$B$158+(Geraetedaten!$B$159*(Geraetedaten!$B$18+d_y_Sw)/1000)-(Geraetedaten!$B$160*I364/1000))*10</f>
        <v>462.1476324657192</v>
      </c>
      <c r="M364" s="20">
        <f>(Geraetedaten!$B$171+(Geraetedaten!$B$172*(Geraetedaten!$B$18+d_y_Sw)/1000)-(Geraetedaten!$B$173*I364/1000))*10</f>
        <v>923.36809445995129</v>
      </c>
      <c r="N364" s="20">
        <f>IF((H364-J364)/(K364-J364)*(Geraetedaten!$B$174-Geraetedaten!$B$161)&lt;Geraetedaten!$B$174,(H364-J364)/(K364-J364)*(Geraetedaten!$B$174-Geraetedaten!$B$161),Geraetedaten!$B$174)</f>
        <v>-117.53363104201269</v>
      </c>
      <c r="O364" s="20">
        <f>N364/Geraetedaten!$B$174*(M364-L364)+L364+C364</f>
        <v>388.78615455355077</v>
      </c>
      <c r="P364" s="20">
        <f t="shared" si="348"/>
        <v>166.5017001038639</v>
      </c>
      <c r="Q364" s="21">
        <f>(N364-Geraetedaten!$B$161)/(Geraetedaten!$B$174-Geraetedaten!$B$161)*(Geraetedaten!$B$175-Geraetedaten!$B$162)+Geraetedaten!$B$162</f>
        <v>25.703374476500123</v>
      </c>
      <c r="R364" s="21">
        <f t="shared" si="349"/>
        <v>25.703374476500123</v>
      </c>
      <c r="S364" s="21">
        <f t="shared" si="350"/>
        <v>-15.468676905660688</v>
      </c>
      <c r="T364" s="88">
        <f t="shared" si="351"/>
        <v>20.527627584976244</v>
      </c>
      <c r="U364" s="86">
        <f t="shared" si="352"/>
        <v>4713.0504300000002</v>
      </c>
      <c r="V364" s="85">
        <f t="shared" si="353"/>
        <v>-1141.3067828769733</v>
      </c>
      <c r="W364" s="85">
        <f t="shared" si="354"/>
        <v>1900.845050242473</v>
      </c>
      <c r="X364" s="90">
        <f t="shared" si="355"/>
        <v>1141.3067828769733</v>
      </c>
      <c r="Y364" s="86">
        <f t="shared" si="356"/>
        <v>-10501.69053</v>
      </c>
      <c r="Z364" s="85">
        <f t="shared" si="357"/>
        <v>-750</v>
      </c>
      <c r="AA364" s="85">
        <f t="shared" si="358"/>
        <v>-939.10174361716929</v>
      </c>
      <c r="AB364" s="90">
        <f t="shared" si="359"/>
        <v>750</v>
      </c>
      <c r="AC364" s="86">
        <f t="shared" si="360"/>
        <v>-4499.3598499999998</v>
      </c>
      <c r="AD364" s="85">
        <f t="shared" si="361"/>
        <v>1055.7627565116984</v>
      </c>
      <c r="AE364" s="85">
        <f t="shared" si="362"/>
        <v>-1751.9325529530356</v>
      </c>
      <c r="AF364" s="90">
        <f t="shared" si="363"/>
        <v>1055.7627565116984</v>
      </c>
      <c r="AG364" s="86">
        <f t="shared" si="364"/>
        <v>11148.7971</v>
      </c>
      <c r="AH364" s="85">
        <f t="shared" si="365"/>
        <v>6128</v>
      </c>
      <c r="AI364" s="85">
        <f t="shared" si="366"/>
        <v>7673.0873131813514</v>
      </c>
      <c r="AJ364" s="90">
        <f t="shared" si="367"/>
        <v>6128</v>
      </c>
      <c r="AL364" s="95">
        <f t="shared" si="368"/>
        <v>0</v>
      </c>
      <c r="AM364" s="95">
        <f t="shared" si="369"/>
        <v>0</v>
      </c>
      <c r="AN364" s="95">
        <f t="shared" si="370"/>
        <v>0</v>
      </c>
      <c r="AO364" s="95">
        <f t="shared" si="371"/>
        <v>0</v>
      </c>
      <c r="AP364"/>
      <c r="AQ364" s="95">
        <f t="shared" si="372"/>
        <v>0</v>
      </c>
      <c r="AR364" s="95">
        <f t="shared" si="373"/>
        <v>0</v>
      </c>
      <c r="AS364" s="95">
        <f>Geraetedaten!$B$94*ABS(SIN(RADIANS($A364)))</f>
        <v>92.679513565415434</v>
      </c>
      <c r="AT364" s="95">
        <f>Geraetedaten!$B$94*ABS(COS(RADIANS($A364)))</f>
        <v>122.98986854728309</v>
      </c>
      <c r="AU364" s="95">
        <f>((h_Aw_Sw+Geraetedaten!$B$18)/1000)*(AQ364*AS364+AR364*AT364)/100</f>
        <v>0</v>
      </c>
    </row>
    <row r="365" spans="1:47" ht="13.5" x14ac:dyDescent="0.25">
      <c r="A365" s="16">
        <v>324</v>
      </c>
      <c r="B365" s="16">
        <f t="shared" si="340"/>
        <v>126</v>
      </c>
      <c r="C365" s="19">
        <f t="shared" si="341"/>
        <v>61.580138479034773</v>
      </c>
      <c r="D365" s="17">
        <f t="shared" si="342"/>
        <v>4764.3818615209657</v>
      </c>
      <c r="E365" s="17">
        <f t="shared" si="343"/>
        <v>-10428.510668479035</v>
      </c>
      <c r="F365" s="17">
        <f t="shared" si="344"/>
        <v>-4668.1036484790347</v>
      </c>
      <c r="G365" s="17">
        <f t="shared" si="345"/>
        <v>10944.153131520965</v>
      </c>
      <c r="H365" s="17">
        <f t="shared" si="346"/>
        <v>4764.3818615209657</v>
      </c>
      <c r="I365" s="17">
        <f t="shared" si="347"/>
        <v>1946.3840069915525</v>
      </c>
      <c r="J365" s="20">
        <f>(Geraetedaten!$B$152+(Geraetedaten!$B$153*(Geraetedaten!$B$18+d_y_Sw)/1000))*10</f>
        <v>6051.0442000000003</v>
      </c>
      <c r="K365" s="20">
        <f>(Geraetedaten!$B$165+(Geraetedaten!$B$166*(Geraetedaten!$B$18+d_y_Sw)/1000))*10</f>
        <v>10816.164000000001</v>
      </c>
      <c r="L365" s="20">
        <f>(Geraetedaten!$B$158+(Geraetedaten!$B$159*(Geraetedaten!$B$18+d_y_Sw)/1000)-(Geraetedaten!$B$160*I365/1000))*10</f>
        <v>458.80826076730926</v>
      </c>
      <c r="M365" s="20">
        <f>(Geraetedaten!$B$171+(Geraetedaten!$B$172*(Geraetedaten!$B$18+d_y_Sw)/1000)-(Geraetedaten!$B$173*I365/1000))*10</f>
        <v>919.97817451954973</v>
      </c>
      <c r="N365" s="20">
        <f>IF((H365-J365)/(K365-J365)*(Geraetedaten!$B$174-Geraetedaten!$B$161)&lt;Geraetedaten!$B$174,(H365-J365)/(K365-J365)*(Geraetedaten!$B$174-Geraetedaten!$B$161),Geraetedaten!$B$174)</f>
        <v>-108.00671483466455</v>
      </c>
      <c r="O365" s="20">
        <f>N365/Geraetedaten!$B$174*(M365-L365)+L365+C365</f>
        <v>395.86478083393132</v>
      </c>
      <c r="P365" s="20">
        <f t="shared" si="348"/>
        <v>167.85561567485527</v>
      </c>
      <c r="Q365" s="21">
        <f>(N365-Geraetedaten!$B$161)/(Geraetedaten!$B$174-Geraetedaten!$B$161)*(Geraetedaten!$B$175-Geraetedaten!$B$162)+Geraetedaten!$B$162</f>
        <v>25.986800233668728</v>
      </c>
      <c r="R365" s="21">
        <f t="shared" si="349"/>
        <v>25.986800233668728</v>
      </c>
      <c r="S365" s="21">
        <f t="shared" si="350"/>
        <v>-15.274657931621078</v>
      </c>
      <c r="T365" s="88">
        <f t="shared" si="351"/>
        <v>21.023763018464852</v>
      </c>
      <c r="U365" s="86">
        <f t="shared" si="352"/>
        <v>4825.9620000000004</v>
      </c>
      <c r="V365" s="85">
        <f t="shared" si="353"/>
        <v>-1141.3067828769733</v>
      </c>
      <c r="W365" s="85">
        <f t="shared" si="354"/>
        <v>1946.3840069915525</v>
      </c>
      <c r="X365" s="90">
        <f t="shared" si="355"/>
        <v>1141.3067828769733</v>
      </c>
      <c r="Y365" s="86">
        <f t="shared" si="356"/>
        <v>-10366.93053</v>
      </c>
      <c r="Z365" s="85">
        <f t="shared" si="357"/>
        <v>-750</v>
      </c>
      <c r="AA365" s="85">
        <f t="shared" si="358"/>
        <v>-927.05098312484233</v>
      </c>
      <c r="AB365" s="90">
        <f t="shared" si="359"/>
        <v>750</v>
      </c>
      <c r="AC365" s="86">
        <f t="shared" si="360"/>
        <v>-4606.52351</v>
      </c>
      <c r="AD365" s="85">
        <f t="shared" si="361"/>
        <v>1055.7627565116984</v>
      </c>
      <c r="AE365" s="85">
        <f t="shared" si="362"/>
        <v>-1793.6592643908689</v>
      </c>
      <c r="AF365" s="90">
        <f t="shared" si="363"/>
        <v>1055.7627565116984</v>
      </c>
      <c r="AG365" s="86">
        <f t="shared" si="364"/>
        <v>11005.733270000001</v>
      </c>
      <c r="AH365" s="85">
        <f t="shared" si="365"/>
        <v>6128</v>
      </c>
      <c r="AI365" s="85">
        <f t="shared" si="366"/>
        <v>7574.6245661187122</v>
      </c>
      <c r="AJ365" s="90">
        <f t="shared" si="367"/>
        <v>6128</v>
      </c>
      <c r="AL365" s="95">
        <f t="shared" si="368"/>
        <v>0</v>
      </c>
      <c r="AM365" s="95">
        <f t="shared" si="369"/>
        <v>0</v>
      </c>
      <c r="AN365" s="95">
        <f t="shared" si="370"/>
        <v>0</v>
      </c>
      <c r="AO365" s="95">
        <f t="shared" si="371"/>
        <v>0</v>
      </c>
      <c r="AP365"/>
      <c r="AQ365" s="95">
        <f t="shared" si="372"/>
        <v>0</v>
      </c>
      <c r="AR365" s="95">
        <f t="shared" si="373"/>
        <v>0</v>
      </c>
      <c r="AS365" s="95">
        <f>Geraetedaten!$B$94*ABS(SIN(RADIANS($A365)))</f>
        <v>90.518928853040904</v>
      </c>
      <c r="AT365" s="95">
        <f>Geraetedaten!$B$94*ABS(COS(RADIANS($A365)))</f>
        <v>124.58861713374189</v>
      </c>
      <c r="AU365" s="95">
        <f>((h_Aw_Sw+Geraetedaten!$B$18)/1000)*(AQ365*AS365+AR365*AT365)/100</f>
        <v>0</v>
      </c>
    </row>
    <row r="366" spans="1:47" ht="13.5" x14ac:dyDescent="0.25">
      <c r="A366" s="16">
        <v>325</v>
      </c>
      <c r="B366" s="16">
        <f t="shared" si="340"/>
        <v>125</v>
      </c>
      <c r="C366" s="19">
        <f t="shared" si="341"/>
        <v>60.980707940875284</v>
      </c>
      <c r="D366" s="17">
        <f t="shared" si="342"/>
        <v>4884.9793120591248</v>
      </c>
      <c r="E366" s="17">
        <f t="shared" si="343"/>
        <v>-10299.645237940875</v>
      </c>
      <c r="F366" s="17">
        <f t="shared" si="344"/>
        <v>-4781.3701179408754</v>
      </c>
      <c r="G366" s="17">
        <f t="shared" si="345"/>
        <v>10808.582902059125</v>
      </c>
      <c r="H366" s="17">
        <f t="shared" si="346"/>
        <v>4884.9793120591248</v>
      </c>
      <c r="I366" s="17">
        <f t="shared" si="347"/>
        <v>1994.7810381862223</v>
      </c>
      <c r="J366" s="20">
        <f>(Geraetedaten!$B$152+(Geraetedaten!$B$153*(Geraetedaten!$B$18+d_y_Sw)/1000))*10</f>
        <v>6051.0442000000003</v>
      </c>
      <c r="K366" s="20">
        <f>(Geraetedaten!$B$165+(Geraetedaten!$B$166*(Geraetedaten!$B$18+d_y_Sw)/1000))*10</f>
        <v>10816.164000000001</v>
      </c>
      <c r="L366" s="20">
        <f>(Geraetedaten!$B$158+(Geraetedaten!$B$159*(Geraetedaten!$B$18+d_y_Sw)/1000)-(Geraetedaten!$B$160*I366/1000))*10</f>
        <v>455.25930646980407</v>
      </c>
      <c r="M366" s="20">
        <f>(Geraetedaten!$B$171+(Geraetedaten!$B$172*(Geraetedaten!$B$18+d_y_Sw)/1000)-(Geraetedaten!$B$173*I366/1000))*10</f>
        <v>916.37549951741858</v>
      </c>
      <c r="N366" s="20">
        <f>IF((H366-J366)/(K366-J366)*(Geraetedaten!$B$174-Geraetedaten!$B$161)&lt;Geraetedaten!$B$174,(H366-J366)/(K366-J366)*(Geraetedaten!$B$174-Geraetedaten!$B$161),Geraetedaten!$B$174)</f>
        <v>-97.883363850862708</v>
      </c>
      <c r="O366" s="20">
        <f>N366/Geraetedaten!$B$174*(M366-L366)+L366+C366</f>
        <v>403.40100415666859</v>
      </c>
      <c r="P366" s="20">
        <f t="shared" si="348"/>
        <v>169.27134326579619</v>
      </c>
      <c r="Q366" s="21">
        <f>(N366-Geraetedaten!$B$161)/(Geraetedaten!$B$174-Geraetedaten!$B$161)*(Geraetedaten!$B$175-Geraetedaten!$B$162)+Geraetedaten!$B$162</f>
        <v>26.287969925436833</v>
      </c>
      <c r="R366" s="21">
        <f t="shared" si="349"/>
        <v>26.287969925436833</v>
      </c>
      <c r="S366" s="21">
        <f t="shared" si="350"/>
        <v>-15.078160108735544</v>
      </c>
      <c r="T366" s="88">
        <f t="shared" si="351"/>
        <v>21.53384430462911</v>
      </c>
      <c r="U366" s="86">
        <f t="shared" si="352"/>
        <v>4945.9600200000004</v>
      </c>
      <c r="V366" s="85">
        <f t="shared" si="353"/>
        <v>-1141.3067828769733</v>
      </c>
      <c r="W366" s="85">
        <f t="shared" si="354"/>
        <v>1994.7810381862223</v>
      </c>
      <c r="X366" s="90">
        <f t="shared" si="355"/>
        <v>1141.3067828769733</v>
      </c>
      <c r="Y366" s="86">
        <f t="shared" si="356"/>
        <v>-10238.66453</v>
      </c>
      <c r="Z366" s="85">
        <f t="shared" si="357"/>
        <v>-750</v>
      </c>
      <c r="AA366" s="85">
        <f t="shared" si="358"/>
        <v>-915.58094157109224</v>
      </c>
      <c r="AB366" s="90">
        <f t="shared" si="359"/>
        <v>750</v>
      </c>
      <c r="AC366" s="86">
        <f t="shared" si="360"/>
        <v>-4720.3894099999998</v>
      </c>
      <c r="AD366" s="85">
        <f t="shared" si="361"/>
        <v>1055.7627565116984</v>
      </c>
      <c r="AE366" s="85">
        <f t="shared" si="362"/>
        <v>-1837.995657956855</v>
      </c>
      <c r="AF366" s="90">
        <f t="shared" si="363"/>
        <v>1055.7627565116984</v>
      </c>
      <c r="AG366" s="86">
        <f t="shared" si="364"/>
        <v>10869.563609999999</v>
      </c>
      <c r="AH366" s="85">
        <f t="shared" si="365"/>
        <v>6128</v>
      </c>
      <c r="AI366" s="85">
        <f t="shared" si="366"/>
        <v>7480.9066799302045</v>
      </c>
      <c r="AJ366" s="90">
        <f t="shared" si="367"/>
        <v>6128</v>
      </c>
      <c r="AL366" s="95">
        <f t="shared" si="368"/>
        <v>0</v>
      </c>
      <c r="AM366" s="95">
        <f t="shared" si="369"/>
        <v>0</v>
      </c>
      <c r="AN366" s="95">
        <f t="shared" si="370"/>
        <v>0</v>
      </c>
      <c r="AO366" s="95">
        <f t="shared" si="371"/>
        <v>0</v>
      </c>
      <c r="AP366"/>
      <c r="AQ366" s="95">
        <f t="shared" si="372"/>
        <v>0</v>
      </c>
      <c r="AR366" s="95">
        <f t="shared" si="373"/>
        <v>0</v>
      </c>
      <c r="AS366" s="95">
        <f>Geraetedaten!$B$94*ABS(SIN(RADIANS($A366)))</f>
        <v>88.330771198061157</v>
      </c>
      <c r="AT366" s="95">
        <f>Geraetedaten!$B$94*ABS(COS(RADIANS($A366)))</f>
        <v>126.1494148205047</v>
      </c>
      <c r="AU366" s="95">
        <f>((h_Aw_Sw+Geraetedaten!$B$18)/1000)*(AQ366*AS366+AR366*AT366)/100</f>
        <v>0</v>
      </c>
    </row>
    <row r="367" spans="1:47" ht="13.5" x14ac:dyDescent="0.25">
      <c r="A367" s="16">
        <v>326</v>
      </c>
      <c r="B367" s="16">
        <f t="shared" si="340"/>
        <v>124</v>
      </c>
      <c r="C367" s="19">
        <f t="shared" si="341"/>
        <v>60.362702088343582</v>
      </c>
      <c r="D367" s="17">
        <f t="shared" si="342"/>
        <v>5013.2999279116566</v>
      </c>
      <c r="E367" s="17">
        <f t="shared" si="343"/>
        <v>-10176.940352088342</v>
      </c>
      <c r="F367" s="17">
        <f t="shared" si="344"/>
        <v>-4901.9020220883431</v>
      </c>
      <c r="G367" s="17">
        <f t="shared" si="345"/>
        <v>10679.591127911657</v>
      </c>
      <c r="H367" s="17">
        <f t="shared" si="346"/>
        <v>5013.2999279116566</v>
      </c>
      <c r="I367" s="17">
        <f t="shared" si="347"/>
        <v>2046.2854469544302</v>
      </c>
      <c r="J367" s="20">
        <f>(Geraetedaten!$B$152+(Geraetedaten!$B$153*(Geraetedaten!$B$18+d_y_Sw)/1000))*10</f>
        <v>6051.0442000000003</v>
      </c>
      <c r="K367" s="20">
        <f>(Geraetedaten!$B$165+(Geraetedaten!$B$166*(Geraetedaten!$B$18+d_y_Sw)/1000))*10</f>
        <v>10816.164000000001</v>
      </c>
      <c r="L367" s="20">
        <f>(Geraetedaten!$B$158+(Geraetedaten!$B$159*(Geraetedaten!$B$18+d_y_Sw)/1000)-(Geraetedaten!$B$160*I367/1000))*10</f>
        <v>451.48248817483142</v>
      </c>
      <c r="M367" s="20">
        <f>(Geraetedaten!$B$171+(Geraetedaten!$B$172*(Geraetedaten!$B$18+d_y_Sw)/1000)-(Geraetedaten!$B$173*I367/1000))*10</f>
        <v>912.54151132871311</v>
      </c>
      <c r="N367" s="20">
        <f>IF((H367-J367)/(K367-J367)*(Geraetedaten!$B$174-Geraetedaten!$B$161)&lt;Geraetedaten!$B$174,(H367-J367)/(K367-J367)*(Geraetedaten!$B$174-Geraetedaten!$B$161),Geraetedaten!$B$174)</f>
        <v>-87.111704691105032</v>
      </c>
      <c r="O367" s="20">
        <f>N367/Geraetedaten!$B$174*(M367-L367)+L367+C367</f>
        <v>411.43609658779928</v>
      </c>
      <c r="P367" s="20">
        <f t="shared" si="348"/>
        <v>170.75253406107916</v>
      </c>
      <c r="Q367" s="21">
        <f>(N367-Geraetedaten!$B$161)/(Geraetedaten!$B$174-Geraetedaten!$B$161)*(Geraetedaten!$B$175-Geraetedaten!$B$162)+Geraetedaten!$B$162</f>
        <v>26.608426785439626</v>
      </c>
      <c r="R367" s="21">
        <f t="shared" si="349"/>
        <v>26.608426785439626</v>
      </c>
      <c r="S367" s="21">
        <f t="shared" si="350"/>
        <v>-14.879243430938768</v>
      </c>
      <c r="T367" s="88">
        <f t="shared" si="351"/>
        <v>22.059385551709422</v>
      </c>
      <c r="U367" s="86">
        <f t="shared" si="352"/>
        <v>5073.6626299999998</v>
      </c>
      <c r="V367" s="85">
        <f t="shared" si="353"/>
        <v>-1141.3067828769733</v>
      </c>
      <c r="W367" s="85">
        <f t="shared" si="354"/>
        <v>2046.2854469544302</v>
      </c>
      <c r="X367" s="90">
        <f t="shared" si="355"/>
        <v>1141.3067828769733</v>
      </c>
      <c r="Y367" s="86">
        <f t="shared" si="356"/>
        <v>-10116.577649999999</v>
      </c>
      <c r="Z367" s="85">
        <f t="shared" si="357"/>
        <v>-750</v>
      </c>
      <c r="AA367" s="85">
        <f t="shared" si="358"/>
        <v>-904.66346137792891</v>
      </c>
      <c r="AB367" s="90">
        <f t="shared" si="359"/>
        <v>750</v>
      </c>
      <c r="AC367" s="86">
        <f t="shared" si="360"/>
        <v>-4841.5393199999999</v>
      </c>
      <c r="AD367" s="85">
        <f t="shared" si="361"/>
        <v>1055.7627565116984</v>
      </c>
      <c r="AE367" s="85">
        <f t="shared" si="362"/>
        <v>-1885.1682480209588</v>
      </c>
      <c r="AF367" s="90">
        <f t="shared" si="363"/>
        <v>1055.7627565116984</v>
      </c>
      <c r="AG367" s="86">
        <f t="shared" si="364"/>
        <v>10739.95383</v>
      </c>
      <c r="AH367" s="85">
        <f t="shared" si="365"/>
        <v>6128</v>
      </c>
      <c r="AI367" s="85">
        <f t="shared" si="366"/>
        <v>7391.7035884319312</v>
      </c>
      <c r="AJ367" s="90">
        <f t="shared" si="367"/>
        <v>6128</v>
      </c>
      <c r="AL367" s="95">
        <f t="shared" si="368"/>
        <v>0</v>
      </c>
      <c r="AM367" s="95">
        <f t="shared" si="369"/>
        <v>0</v>
      </c>
      <c r="AN367" s="95">
        <f t="shared" si="370"/>
        <v>0</v>
      </c>
      <c r="AO367" s="95">
        <f t="shared" si="371"/>
        <v>0</v>
      </c>
      <c r="AP367"/>
      <c r="AQ367" s="95">
        <f t="shared" si="372"/>
        <v>0</v>
      </c>
      <c r="AR367" s="95">
        <f t="shared" si="373"/>
        <v>0</v>
      </c>
      <c r="AS367" s="95">
        <f>Geraetedaten!$B$94*ABS(SIN(RADIANS($A367)))</f>
        <v>86.115707134494968</v>
      </c>
      <c r="AT367" s="95">
        <f>Geraetedaten!$B$94*ABS(COS(RADIANS($A367)))</f>
        <v>127.67178617347645</v>
      </c>
      <c r="AU367" s="95">
        <f>((h_Aw_Sw+Geraetedaten!$B$18)/1000)*(AQ367*AS367+AR367*AT367)/100</f>
        <v>0</v>
      </c>
    </row>
    <row r="368" spans="1:47" ht="13.5" x14ac:dyDescent="0.25">
      <c r="A368" s="16">
        <v>327</v>
      </c>
      <c r="B368" s="16">
        <f t="shared" si="340"/>
        <v>123</v>
      </c>
      <c r="C368" s="19">
        <f t="shared" si="341"/>
        <v>59.726309172009181</v>
      </c>
      <c r="D368" s="17">
        <f t="shared" si="342"/>
        <v>5150.0371708279908</v>
      </c>
      <c r="E368" s="17">
        <f t="shared" si="343"/>
        <v>-10060.104639172008</v>
      </c>
      <c r="F368" s="17">
        <f t="shared" si="344"/>
        <v>-5030.3519991720086</v>
      </c>
      <c r="G368" s="17">
        <f t="shared" si="345"/>
        <v>10556.868090827991</v>
      </c>
      <c r="H368" s="17">
        <f t="shared" si="346"/>
        <v>5150.0371708279908</v>
      </c>
      <c r="I368" s="17">
        <f t="shared" si="347"/>
        <v>2101.1769934778199</v>
      </c>
      <c r="J368" s="20">
        <f>(Geraetedaten!$B$152+(Geraetedaten!$B$153*(Geraetedaten!$B$18+d_y_Sw)/1000))*10</f>
        <v>6051.0442000000003</v>
      </c>
      <c r="K368" s="20">
        <f>(Geraetedaten!$B$165+(Geraetedaten!$B$166*(Geraetedaten!$B$18+d_y_Sw)/1000))*10</f>
        <v>10816.164000000001</v>
      </c>
      <c r="L368" s="20">
        <f>(Geraetedaten!$B$158+(Geraetedaten!$B$159*(Geraetedaten!$B$18+d_y_Sw)/1000)-(Geraetedaten!$B$160*I368/1000))*10</f>
        <v>447.45729106827127</v>
      </c>
      <c r="M368" s="20">
        <f>(Geraetedaten!$B$171+(Geraetedaten!$B$172*(Geraetedaten!$B$18+d_y_Sw)/1000)-(Geraetedaten!$B$173*I368/1000))*10</f>
        <v>908.45538460551199</v>
      </c>
      <c r="N368" s="20">
        <f>IF((H368-J368)/(K368-J368)*(Geraetedaten!$B$174-Geraetedaten!$B$161)&lt;Geraetedaten!$B$174,(H368-J368)/(K368-J368)*(Geraetedaten!$B$174-Geraetedaten!$B$161),Geraetedaten!$B$174)</f>
        <v>-75.633525870389178</v>
      </c>
      <c r="O368" s="20">
        <f>N368/Geraetedaten!$B$174*(M368-L368)+L368+C368</f>
        <v>420.01632215590797</v>
      </c>
      <c r="P368" s="20">
        <f t="shared" si="348"/>
        <v>172.30307966117616</v>
      </c>
      <c r="Q368" s="21">
        <f>(N368-Geraetedaten!$B$161)/(Geraetedaten!$B$174-Geraetedaten!$B$161)*(Geraetedaten!$B$175-Geraetedaten!$B$162)+Geraetedaten!$B$162</f>
        <v>26.94990260535592</v>
      </c>
      <c r="R368" s="21">
        <f t="shared" si="349"/>
        <v>26.94990260535592</v>
      </c>
      <c r="S368" s="21">
        <f t="shared" si="350"/>
        <v>-14.67796894873001</v>
      </c>
      <c r="T368" s="88">
        <f t="shared" si="351"/>
        <v>22.602090124107711</v>
      </c>
      <c r="U368" s="86">
        <f t="shared" si="352"/>
        <v>5209.7634799999996</v>
      </c>
      <c r="V368" s="85">
        <f t="shared" si="353"/>
        <v>-1141.3067828769733</v>
      </c>
      <c r="W368" s="85">
        <f t="shared" si="354"/>
        <v>2101.1769934778199</v>
      </c>
      <c r="X368" s="90">
        <f t="shared" si="355"/>
        <v>1141.3067828769733</v>
      </c>
      <c r="Y368" s="86">
        <f t="shared" si="356"/>
        <v>-10000.37833</v>
      </c>
      <c r="Z368" s="85">
        <f t="shared" si="357"/>
        <v>-750</v>
      </c>
      <c r="AA368" s="85">
        <f t="shared" si="358"/>
        <v>-894.27246962696051</v>
      </c>
      <c r="AB368" s="90">
        <f t="shared" si="359"/>
        <v>750</v>
      </c>
      <c r="AC368" s="86">
        <f t="shared" si="360"/>
        <v>-4970.6256899999998</v>
      </c>
      <c r="AD368" s="85">
        <f t="shared" si="361"/>
        <v>1055.7627565116984</v>
      </c>
      <c r="AE368" s="85">
        <f t="shared" si="362"/>
        <v>-1935.4310924456447</v>
      </c>
      <c r="AF368" s="90">
        <f t="shared" si="363"/>
        <v>1055.7627565116984</v>
      </c>
      <c r="AG368" s="86">
        <f t="shared" si="364"/>
        <v>10616.5944</v>
      </c>
      <c r="AH368" s="85">
        <f t="shared" si="365"/>
        <v>6128</v>
      </c>
      <c r="AI368" s="85">
        <f t="shared" si="366"/>
        <v>7306.8022584986857</v>
      </c>
      <c r="AJ368" s="90">
        <f t="shared" si="367"/>
        <v>6128</v>
      </c>
      <c r="AL368" s="95">
        <f t="shared" si="368"/>
        <v>0</v>
      </c>
      <c r="AM368" s="95">
        <f t="shared" si="369"/>
        <v>0</v>
      </c>
      <c r="AN368" s="95">
        <f t="shared" si="370"/>
        <v>0</v>
      </c>
      <c r="AO368" s="95">
        <f t="shared" si="371"/>
        <v>0</v>
      </c>
      <c r="AP368"/>
      <c r="AQ368" s="95">
        <f t="shared" si="372"/>
        <v>0</v>
      </c>
      <c r="AR368" s="95">
        <f t="shared" si="373"/>
        <v>0</v>
      </c>
      <c r="AS368" s="95">
        <f>Geraetedaten!$B$94*ABS(SIN(RADIANS($A368)))</f>
        <v>83.874411392314158</v>
      </c>
      <c r="AT368" s="95">
        <f>Geraetedaten!$B$94*ABS(COS(RADIANS($A368)))</f>
        <v>129.15526746359529</v>
      </c>
      <c r="AU368" s="95">
        <f>((h_Aw_Sw+Geraetedaten!$B$18)/1000)*(AQ368*AS368+AR368*AT368)/100</f>
        <v>0</v>
      </c>
    </row>
    <row r="369" spans="1:47" ht="13.5" x14ac:dyDescent="0.25">
      <c r="A369" s="16">
        <v>328</v>
      </c>
      <c r="B369" s="16">
        <f t="shared" si="340"/>
        <v>122</v>
      </c>
      <c r="C369" s="19">
        <f t="shared" si="341"/>
        <v>59.071723043319238</v>
      </c>
      <c r="D369" s="17">
        <f t="shared" si="342"/>
        <v>5295.9718369566808</v>
      </c>
      <c r="E369" s="17">
        <f t="shared" si="343"/>
        <v>-9948.8680830433186</v>
      </c>
      <c r="F369" s="17">
        <f t="shared" si="344"/>
        <v>-5167.4545030433192</v>
      </c>
      <c r="G369" s="17">
        <f t="shared" si="345"/>
        <v>10440.126726956682</v>
      </c>
      <c r="H369" s="17">
        <f t="shared" si="346"/>
        <v>5295.9718369566808</v>
      </c>
      <c r="I369" s="17">
        <f t="shared" si="347"/>
        <v>2159.7706646728025</v>
      </c>
      <c r="J369" s="20">
        <f>(Geraetedaten!$B$152+(Geraetedaten!$B$153*(Geraetedaten!$B$18+d_y_Sw)/1000))*10</f>
        <v>6051.0442000000003</v>
      </c>
      <c r="K369" s="20">
        <f>(Geraetedaten!$B$165+(Geraetedaten!$B$166*(Geraetedaten!$B$18+d_y_Sw)/1000))*10</f>
        <v>10816.164000000001</v>
      </c>
      <c r="L369" s="20">
        <f>(Geraetedaten!$B$158+(Geraetedaten!$B$159*(Geraetedaten!$B$18+d_y_Sw)/1000)-(Geraetedaten!$B$160*I369/1000))*10</f>
        <v>443.16061715954322</v>
      </c>
      <c r="M369" s="20">
        <f>(Geraetedaten!$B$171+(Geraetedaten!$B$172*(Geraetedaten!$B$18+d_y_Sw)/1000)-(Geraetedaten!$B$173*I369/1000))*10</f>
        <v>904.09367172175746</v>
      </c>
      <c r="N369" s="20">
        <f>IF((H369-J369)/(K369-J369)*(Geraetedaten!$B$174-Geraetedaten!$B$161)&lt;Geraetedaten!$B$174,(H369-J369)/(K369-J369)*(Geraetedaten!$B$174-Geraetedaten!$B$161),Geraetedaten!$B$174)</f>
        <v>-63.383284763864225</v>
      </c>
      <c r="O369" s="20">
        <f>N369/Geraetedaten!$B$174*(M369-L369)+L369+C369</f>
        <v>429.193712566876</v>
      </c>
      <c r="P369" s="20">
        <f t="shared" si="348"/>
        <v>173.92713048298367</v>
      </c>
      <c r="Q369" s="21">
        <f>(N369-Geraetedaten!$B$161)/(Geraetedaten!$B$174-Geraetedaten!$B$161)*(Geraetedaten!$B$175-Geraetedaten!$B$162)+Geraetedaten!$B$162</f>
        <v>27.314347278275037</v>
      </c>
      <c r="R369" s="21">
        <f t="shared" si="349"/>
        <v>27.314347278275037</v>
      </c>
      <c r="S369" s="21">
        <f t="shared" si="350"/>
        <v>-14.474398812713753</v>
      </c>
      <c r="T369" s="88">
        <f t="shared" si="351"/>
        <v>23.1638802070966</v>
      </c>
      <c r="U369" s="86">
        <f t="shared" si="352"/>
        <v>5355.0435600000001</v>
      </c>
      <c r="V369" s="85">
        <f t="shared" si="353"/>
        <v>-1141.3067828769733</v>
      </c>
      <c r="W369" s="85">
        <f t="shared" si="354"/>
        <v>2159.7706646728025</v>
      </c>
      <c r="X369" s="90">
        <f t="shared" si="355"/>
        <v>1141.3067828769733</v>
      </c>
      <c r="Y369" s="86">
        <f t="shared" si="356"/>
        <v>-9889.7963600000003</v>
      </c>
      <c r="Z369" s="85">
        <f t="shared" si="357"/>
        <v>-750</v>
      </c>
      <c r="AA369" s="85">
        <f t="shared" si="358"/>
        <v>-884.38380252157231</v>
      </c>
      <c r="AB369" s="90">
        <f t="shared" si="359"/>
        <v>750</v>
      </c>
      <c r="AC369" s="86">
        <f t="shared" si="360"/>
        <v>-5108.3827799999999</v>
      </c>
      <c r="AD369" s="85">
        <f t="shared" si="361"/>
        <v>1055.7627565116984</v>
      </c>
      <c r="AE369" s="85">
        <f t="shared" si="362"/>
        <v>-1989.0700845822153</v>
      </c>
      <c r="AF369" s="90">
        <f t="shared" si="363"/>
        <v>1055.7627565116984</v>
      </c>
      <c r="AG369" s="86">
        <f t="shared" si="364"/>
        <v>10499.19845</v>
      </c>
      <c r="AH369" s="85">
        <f t="shared" si="365"/>
        <v>6128</v>
      </c>
      <c r="AI369" s="85">
        <f t="shared" si="366"/>
        <v>7226.0052558029274</v>
      </c>
      <c r="AJ369" s="90">
        <f t="shared" si="367"/>
        <v>6128</v>
      </c>
      <c r="AL369" s="95">
        <f t="shared" si="368"/>
        <v>0</v>
      </c>
      <c r="AM369" s="95">
        <f t="shared" si="369"/>
        <v>0</v>
      </c>
      <c r="AN369" s="95">
        <f t="shared" si="370"/>
        <v>0</v>
      </c>
      <c r="AO369" s="95">
        <f t="shared" si="371"/>
        <v>0</v>
      </c>
      <c r="AP369"/>
      <c r="AQ369" s="95">
        <f t="shared" si="372"/>
        <v>0</v>
      </c>
      <c r="AR369" s="95">
        <f t="shared" si="373"/>
        <v>0</v>
      </c>
      <c r="AS369" s="95">
        <f>Geraetedaten!$B$94*ABS(SIN(RADIANS($A369)))</f>
        <v>81.607566691913576</v>
      </c>
      <c r="AT369" s="95">
        <f>Geraetedaten!$B$94*ABS(COS(RADIANS($A369)))</f>
        <v>130.59940680808961</v>
      </c>
      <c r="AU369" s="95">
        <f>((h_Aw_Sw+Geraetedaten!$B$18)/1000)*(AQ369*AS369+AR369*AT369)/100</f>
        <v>0</v>
      </c>
    </row>
    <row r="370" spans="1:47" ht="13.5" x14ac:dyDescent="0.25">
      <c r="A370" s="16">
        <v>329</v>
      </c>
      <c r="B370" s="16">
        <f t="shared" si="340"/>
        <v>121</v>
      </c>
      <c r="C370" s="19">
        <f t="shared" si="341"/>
        <v>58.399143095549675</v>
      </c>
      <c r="D370" s="17">
        <f t="shared" si="342"/>
        <v>5451.9861969044505</v>
      </c>
      <c r="E370" s="17">
        <f t="shared" si="343"/>
        <v>-9842.9802530955494</v>
      </c>
      <c r="F370" s="17">
        <f t="shared" si="344"/>
        <v>-5314.0388730955492</v>
      </c>
      <c r="G370" s="17">
        <f t="shared" si="345"/>
        <v>10329.10076690445</v>
      </c>
      <c r="H370" s="17">
        <f t="shared" si="346"/>
        <v>5451.9861969044505</v>
      </c>
      <c r="I370" s="17">
        <f t="shared" si="347"/>
        <v>2222.4223702270733</v>
      </c>
      <c r="J370" s="20">
        <f>(Geraetedaten!$B$152+(Geraetedaten!$B$153*(Geraetedaten!$B$18+d_y_Sw)/1000))*10</f>
        <v>6051.0442000000003</v>
      </c>
      <c r="K370" s="20">
        <f>(Geraetedaten!$B$165+(Geraetedaten!$B$166*(Geraetedaten!$B$18+d_y_Sw)/1000))*10</f>
        <v>10816.164000000001</v>
      </c>
      <c r="L370" s="20">
        <f>(Geraetedaten!$B$158+(Geraetedaten!$B$159*(Geraetedaten!$B$18+d_y_Sw)/1000)-(Geraetedaten!$B$160*I370/1000))*10</f>
        <v>438.56636759124854</v>
      </c>
      <c r="M370" s="20">
        <f>(Geraetedaten!$B$171+(Geraetedaten!$B$172*(Geraetedaten!$B$18+d_y_Sw)/1000)-(Geraetedaten!$B$173*I370/1000))*10</f>
        <v>899.42987876029758</v>
      </c>
      <c r="N370" s="20">
        <f>IF((H370-J370)/(K370-J370)*(Geraetedaten!$B$174-Geraetedaten!$B$161)&lt;Geraetedaten!$B$174,(H370-J370)/(K370-J370)*(Geraetedaten!$B$174-Geraetedaten!$B$161),Geraetedaten!$B$174)</f>
        <v>-50.286920643258512</v>
      </c>
      <c r="O370" s="20">
        <f>N370/Geraetedaten!$B$174*(M370-L370)+L370+C370</f>
        <v>439.02699365296957</v>
      </c>
      <c r="P370" s="20">
        <f t="shared" si="348"/>
        <v>175.62911594635321</v>
      </c>
      <c r="Q370" s="21">
        <f>(N370-Geraetedaten!$B$161)/(Geraetedaten!$B$174-Geraetedaten!$B$161)*(Geraetedaten!$B$175-Geraetedaten!$B$162)+Geraetedaten!$B$162</f>
        <v>27.703964110863058</v>
      </c>
      <c r="R370" s="21">
        <f t="shared" si="349"/>
        <v>27.703964110863058</v>
      </c>
      <c r="S370" s="21">
        <f t="shared" si="350"/>
        <v>-14.268596343036149</v>
      </c>
      <c r="T370" s="88">
        <f t="shared" si="351"/>
        <v>23.746932135656678</v>
      </c>
      <c r="U370" s="86">
        <f t="shared" si="352"/>
        <v>5510.3853399999998</v>
      </c>
      <c r="V370" s="85">
        <f t="shared" si="353"/>
        <v>-1141.3067828769733</v>
      </c>
      <c r="W370" s="85">
        <f t="shared" si="354"/>
        <v>2222.4223702270733</v>
      </c>
      <c r="X370" s="90">
        <f t="shared" si="355"/>
        <v>1141.3067828769733</v>
      </c>
      <c r="Y370" s="86">
        <f t="shared" si="356"/>
        <v>-9784.5811099999992</v>
      </c>
      <c r="Z370" s="85">
        <f t="shared" si="357"/>
        <v>-750</v>
      </c>
      <c r="AA370" s="85">
        <f t="shared" si="358"/>
        <v>-874.975047911498</v>
      </c>
      <c r="AB370" s="90">
        <f t="shared" si="359"/>
        <v>750</v>
      </c>
      <c r="AC370" s="86">
        <f t="shared" si="360"/>
        <v>-5255.6397299999999</v>
      </c>
      <c r="AD370" s="85">
        <f t="shared" si="361"/>
        <v>1055.7627565116984</v>
      </c>
      <c r="AE370" s="85">
        <f t="shared" si="362"/>
        <v>-2046.4080746063214</v>
      </c>
      <c r="AF370" s="90">
        <f t="shared" si="363"/>
        <v>1055.7627565116984</v>
      </c>
      <c r="AG370" s="86">
        <f t="shared" si="364"/>
        <v>10387.49991</v>
      </c>
      <c r="AH370" s="85">
        <f t="shared" si="365"/>
        <v>6128</v>
      </c>
      <c r="AI370" s="85">
        <f t="shared" si="366"/>
        <v>7149.1294581355469</v>
      </c>
      <c r="AJ370" s="90">
        <f t="shared" si="367"/>
        <v>6128</v>
      </c>
      <c r="AL370" s="95">
        <f t="shared" si="368"/>
        <v>0</v>
      </c>
      <c r="AM370" s="95">
        <f t="shared" si="369"/>
        <v>0</v>
      </c>
      <c r="AN370" s="95">
        <f t="shared" si="370"/>
        <v>0</v>
      </c>
      <c r="AO370" s="95">
        <f t="shared" si="371"/>
        <v>0</v>
      </c>
      <c r="AP370"/>
      <c r="AQ370" s="95">
        <f t="shared" si="372"/>
        <v>0</v>
      </c>
      <c r="AR370" s="95">
        <f t="shared" si="373"/>
        <v>0</v>
      </c>
      <c r="AS370" s="95">
        <f>Geraetedaten!$B$94*ABS(SIN(RADIANS($A370)))</f>
        <v>79.315863536148385</v>
      </c>
      <c r="AT370" s="95">
        <f>Geraetedaten!$B$94*ABS(COS(RADIANS($A370)))</f>
        <v>132.00376430812526</v>
      </c>
      <c r="AU370" s="95">
        <f>((h_Aw_Sw+Geraetedaten!$B$18)/1000)*(AQ370*AS370+AR370*AT370)/100</f>
        <v>0</v>
      </c>
    </row>
    <row r="371" spans="1:47" ht="13.5" x14ac:dyDescent="0.25">
      <c r="A371" s="16">
        <v>330</v>
      </c>
      <c r="B371" s="16">
        <f t="shared" si="340"/>
        <v>120</v>
      </c>
      <c r="C371" s="19">
        <f t="shared" si="341"/>
        <v>57.708774203068003</v>
      </c>
      <c r="D371" s="17">
        <f t="shared" si="342"/>
        <v>5619.0809157969315</v>
      </c>
      <c r="E371" s="17">
        <f t="shared" si="343"/>
        <v>-9742.2087242030666</v>
      </c>
      <c r="F371" s="17">
        <f t="shared" si="344"/>
        <v>-5471.0451742030682</v>
      </c>
      <c r="G371" s="17">
        <f t="shared" si="345"/>
        <v>10223.543045796932</v>
      </c>
      <c r="H371" s="17">
        <f t="shared" si="346"/>
        <v>5619.0809157969315</v>
      </c>
      <c r="I371" s="17">
        <f t="shared" si="347"/>
        <v>2289.5357818550492</v>
      </c>
      <c r="J371" s="20">
        <f>(Geraetedaten!$B$152+(Geraetedaten!$B$153*(Geraetedaten!$B$18+d_y_Sw)/1000))*10</f>
        <v>6051.0442000000003</v>
      </c>
      <c r="K371" s="20">
        <f>(Geraetedaten!$B$165+(Geraetedaten!$B$166*(Geraetedaten!$B$18+d_y_Sw)/1000))*10</f>
        <v>10816.164000000001</v>
      </c>
      <c r="L371" s="20">
        <f>(Geraetedaten!$B$158+(Geraetedaten!$B$159*(Geraetedaten!$B$18+d_y_Sw)/1000)-(Geraetedaten!$B$160*I371/1000))*10</f>
        <v>433.64494111656904</v>
      </c>
      <c r="M371" s="20">
        <f>(Geraetedaten!$B$171+(Geraetedaten!$B$172*(Geraetedaten!$B$18+d_y_Sw)/1000)-(Geraetedaten!$B$173*I371/1000))*10</f>
        <v>894.43395639871119</v>
      </c>
      <c r="N371" s="20">
        <f>IF((H371-J371)/(K371-J371)*(Geraetedaten!$B$174-Geraetedaten!$B$161)&lt;Geraetedaten!$B$174,(H371-J371)/(K371-J371)*(Geraetedaten!$B$174-Geraetedaten!$B$161),Geraetedaten!$B$174)</f>
        <v>-36.260434350722406</v>
      </c>
      <c r="O371" s="20">
        <f>N371/Geraetedaten!$B$174*(M371-L371)+L371+C371</f>
        <v>449.58269072420671</v>
      </c>
      <c r="P371" s="20">
        <f t="shared" si="348"/>
        <v>177.41376506177187</v>
      </c>
      <c r="Q371" s="21">
        <f>(N371-Geraetedaten!$B$161)/(Geraetedaten!$B$174-Geraetedaten!$B$161)*(Geraetedaten!$B$175-Geraetedaten!$B$162)+Geraetedaten!$B$162</f>
        <v>28.121252078066007</v>
      </c>
      <c r="R371" s="21">
        <f t="shared" si="349"/>
        <v>28.121252078066007</v>
      </c>
      <c r="S371" s="21">
        <f t="shared" si="350"/>
        <v>-14.060626039033016</v>
      </c>
      <c r="T371" s="88">
        <f t="shared" si="351"/>
        <v>24.35371868583109</v>
      </c>
      <c r="U371" s="86">
        <f t="shared" si="352"/>
        <v>5676.7896899999996</v>
      </c>
      <c r="V371" s="85">
        <f t="shared" si="353"/>
        <v>-1141.3067828769733</v>
      </c>
      <c r="W371" s="85">
        <f t="shared" si="354"/>
        <v>2289.5357818550492</v>
      </c>
      <c r="X371" s="90">
        <f t="shared" si="355"/>
        <v>1141.3067828769733</v>
      </c>
      <c r="Y371" s="86">
        <f t="shared" si="356"/>
        <v>-9684.4999499999994</v>
      </c>
      <c r="Z371" s="85">
        <f t="shared" si="357"/>
        <v>-750</v>
      </c>
      <c r="AA371" s="85">
        <f t="shared" si="358"/>
        <v>-866.02540378443894</v>
      </c>
      <c r="AB371" s="90">
        <f t="shared" si="359"/>
        <v>750</v>
      </c>
      <c r="AC371" s="86">
        <f t="shared" si="360"/>
        <v>-5413.3364000000001</v>
      </c>
      <c r="AD371" s="85">
        <f t="shared" si="361"/>
        <v>1055.7627565116984</v>
      </c>
      <c r="AE371" s="85">
        <f t="shared" si="362"/>
        <v>-2107.8110133214918</v>
      </c>
      <c r="AF371" s="90">
        <f t="shared" si="363"/>
        <v>1055.7627565116984</v>
      </c>
      <c r="AG371" s="86">
        <f t="shared" si="364"/>
        <v>10281.251819999999</v>
      </c>
      <c r="AH371" s="85">
        <f t="shared" si="365"/>
        <v>6128</v>
      </c>
      <c r="AI371" s="85">
        <f t="shared" si="366"/>
        <v>7076.0048991880558</v>
      </c>
      <c r="AJ371" s="90">
        <f t="shared" si="367"/>
        <v>6128</v>
      </c>
      <c r="AL371" s="95">
        <f t="shared" si="368"/>
        <v>0</v>
      </c>
      <c r="AM371" s="95">
        <f t="shared" si="369"/>
        <v>0</v>
      </c>
      <c r="AN371" s="95">
        <f t="shared" si="370"/>
        <v>0</v>
      </c>
      <c r="AO371" s="95">
        <f t="shared" si="371"/>
        <v>0</v>
      </c>
      <c r="AP371"/>
      <c r="AQ371" s="95">
        <f t="shared" si="372"/>
        <v>0</v>
      </c>
      <c r="AR371" s="95">
        <f t="shared" si="373"/>
        <v>0</v>
      </c>
      <c r="AS371" s="95">
        <f>Geraetedaten!$B$94*ABS(SIN(RADIANS($A371)))</f>
        <v>77.000000000000071</v>
      </c>
      <c r="AT371" s="95">
        <f>Geraetedaten!$B$94*ABS(COS(RADIANS($A371)))</f>
        <v>133.36791218280351</v>
      </c>
      <c r="AU371" s="95">
        <f>((h_Aw_Sw+Geraetedaten!$B$18)/1000)*(AQ371*AS371+AR371*AT371)/100</f>
        <v>0</v>
      </c>
    </row>
    <row r="372" spans="1:47" ht="13.5" x14ac:dyDescent="0.25">
      <c r="A372" s="16">
        <v>331</v>
      </c>
      <c r="B372" s="16">
        <f t="shared" si="340"/>
        <v>119</v>
      </c>
      <c r="C372" s="19">
        <f t="shared" si="341"/>
        <v>57.000826658926584</v>
      </c>
      <c r="D372" s="17">
        <f t="shared" si="342"/>
        <v>5798.3955833410737</v>
      </c>
      <c r="E372" s="17">
        <f t="shared" si="343"/>
        <v>-9646.3376666589265</v>
      </c>
      <c r="F372" s="17">
        <f t="shared" si="344"/>
        <v>-5639.5431666589266</v>
      </c>
      <c r="G372" s="17">
        <f t="shared" si="345"/>
        <v>10123.223993341073</v>
      </c>
      <c r="H372" s="17">
        <f t="shared" si="346"/>
        <v>5798.3955833410737</v>
      </c>
      <c r="I372" s="17">
        <f t="shared" si="347"/>
        <v>2361.5705926674368</v>
      </c>
      <c r="J372" s="20">
        <f>(Geraetedaten!$B$152+(Geraetedaten!$B$153*(Geraetedaten!$B$18+d_y_Sw)/1000))*10</f>
        <v>6051.0442000000003</v>
      </c>
      <c r="K372" s="20">
        <f>(Geraetedaten!$B$165+(Geraetedaten!$B$166*(Geraetedaten!$B$18+d_y_Sw)/1000))*10</f>
        <v>10816.164000000001</v>
      </c>
      <c r="L372" s="20">
        <f>(Geraetedaten!$B$158+(Geraetedaten!$B$159*(Geraetedaten!$B$18+d_y_Sw)/1000)-(Geraetedaten!$B$160*I372/1000))*10</f>
        <v>428.36262843969666</v>
      </c>
      <c r="M372" s="20">
        <f>(Geraetedaten!$B$171+(Geraetedaten!$B$172*(Geraetedaten!$B$18+d_y_Sw)/1000)-(Geraetedaten!$B$173*I372/1000))*10</f>
        <v>889.07168508183702</v>
      </c>
      <c r="N372" s="20">
        <f>IF((H372-J372)/(K372-J372)*(Geraetedaten!$B$174-Geraetedaten!$B$161)&lt;Geraetedaten!$B$174,(H372-J372)/(K372-J372)*(Geraetedaten!$B$174-Geraetedaten!$B$161),Geraetedaten!$B$174)</f>
        <v>-21.208164937127211</v>
      </c>
      <c r="O372" s="20">
        <f>N372/Geraetedaten!$B$174*(M372-L372)+L372+C372</f>
        <v>460.9364709453863</v>
      </c>
      <c r="P372" s="20">
        <f t="shared" si="348"/>
        <v>179.2861306053228</v>
      </c>
      <c r="Q372" s="21">
        <f>(N372-Geraetedaten!$B$161)/(Geraetedaten!$B$174-Geraetedaten!$B$161)*(Geraetedaten!$B$175-Geraetedaten!$B$162)+Geraetedaten!$B$162</f>
        <v>28.569057093120463</v>
      </c>
      <c r="R372" s="21">
        <f t="shared" si="349"/>
        <v>28.569057093120463</v>
      </c>
      <c r="S372" s="21">
        <f t="shared" si="350"/>
        <v>-13.85055372011165</v>
      </c>
      <c r="T372" s="88">
        <f t="shared" si="351"/>
        <v>24.987060348033701</v>
      </c>
      <c r="U372" s="86">
        <f t="shared" si="352"/>
        <v>5855.3964100000003</v>
      </c>
      <c r="V372" s="85">
        <f t="shared" si="353"/>
        <v>-1141.3067828769733</v>
      </c>
      <c r="W372" s="85">
        <f t="shared" si="354"/>
        <v>2361.5705926674368</v>
      </c>
      <c r="X372" s="90">
        <f t="shared" si="355"/>
        <v>1141.3067828769733</v>
      </c>
      <c r="Y372" s="86">
        <f t="shared" si="356"/>
        <v>-9589.3368399999999</v>
      </c>
      <c r="Z372" s="85">
        <f t="shared" si="357"/>
        <v>-750</v>
      </c>
      <c r="AA372" s="85">
        <f t="shared" si="358"/>
        <v>-857.51555090498982</v>
      </c>
      <c r="AB372" s="90">
        <f t="shared" si="359"/>
        <v>750</v>
      </c>
      <c r="AC372" s="86">
        <f t="shared" si="360"/>
        <v>-5582.54234</v>
      </c>
      <c r="AD372" s="85">
        <f t="shared" si="361"/>
        <v>1055.7627565116984</v>
      </c>
      <c r="AE372" s="85">
        <f t="shared" si="362"/>
        <v>-2173.6953647300998</v>
      </c>
      <c r="AF372" s="90">
        <f t="shared" si="363"/>
        <v>1055.7627565116984</v>
      </c>
      <c r="AG372" s="86">
        <f t="shared" si="364"/>
        <v>10180.224819999999</v>
      </c>
      <c r="AH372" s="85">
        <f t="shared" si="365"/>
        <v>6128</v>
      </c>
      <c r="AI372" s="85">
        <f t="shared" si="366"/>
        <v>7006.4737279277033</v>
      </c>
      <c r="AJ372" s="90">
        <f t="shared" si="367"/>
        <v>6128</v>
      </c>
      <c r="AL372" s="95">
        <f t="shared" si="368"/>
        <v>0</v>
      </c>
      <c r="AM372" s="95">
        <f t="shared" si="369"/>
        <v>0</v>
      </c>
      <c r="AN372" s="95">
        <f t="shared" si="370"/>
        <v>0</v>
      </c>
      <c r="AO372" s="95">
        <f t="shared" si="371"/>
        <v>0</v>
      </c>
      <c r="AP372"/>
      <c r="AQ372" s="95">
        <f t="shared" si="372"/>
        <v>0</v>
      </c>
      <c r="AR372" s="95">
        <f t="shared" si="373"/>
        <v>0</v>
      </c>
      <c r="AS372" s="95">
        <f>Geraetedaten!$B$94*ABS(SIN(RADIANS($A372)))</f>
        <v>74.660681517935885</v>
      </c>
      <c r="AT372" s="95">
        <f>Geraetedaten!$B$94*ABS(COS(RADIANS($A372)))</f>
        <v>134.69143489946697</v>
      </c>
      <c r="AU372" s="95">
        <f>((h_Aw_Sw+Geraetedaten!$B$18)/1000)*(AQ372*AS372+AR372*AT372)/100</f>
        <v>0</v>
      </c>
    </row>
    <row r="373" spans="1:47" ht="13.5" x14ac:dyDescent="0.25">
      <c r="A373" s="16">
        <v>332</v>
      </c>
      <c r="B373" s="16">
        <f t="shared" si="340"/>
        <v>118</v>
      </c>
      <c r="C373" s="19">
        <f t="shared" si="341"/>
        <v>56.275516110805498</v>
      </c>
      <c r="D373" s="17">
        <f t="shared" si="342"/>
        <v>5991.2335538891948</v>
      </c>
      <c r="E373" s="17">
        <f t="shared" si="343"/>
        <v>-9555.1665561108057</v>
      </c>
      <c r="F373" s="17">
        <f t="shared" si="344"/>
        <v>-5820.7554961108053</v>
      </c>
      <c r="G373" s="17">
        <f t="shared" si="345"/>
        <v>10027.930303889194</v>
      </c>
      <c r="H373" s="17">
        <f t="shared" si="346"/>
        <v>5991.2335538891948</v>
      </c>
      <c r="I373" s="17">
        <f t="shared" si="347"/>
        <v>2439.0525529471652</v>
      </c>
      <c r="J373" s="20">
        <f>(Geraetedaten!$B$152+(Geraetedaten!$B$153*(Geraetedaten!$B$18+d_y_Sw)/1000))*10</f>
        <v>6051.0442000000003</v>
      </c>
      <c r="K373" s="20">
        <f>(Geraetedaten!$B$165+(Geraetedaten!$B$166*(Geraetedaten!$B$18+d_y_Sw)/1000))*10</f>
        <v>10816.164000000001</v>
      </c>
      <c r="L373" s="20">
        <f>(Geraetedaten!$B$158+(Geraetedaten!$B$159*(Geraetedaten!$B$18+d_y_Sw)/1000)-(Geraetedaten!$B$160*I373/1000))*10</f>
        <v>422.68087629238414</v>
      </c>
      <c r="M373" s="20">
        <f>(Geraetedaten!$B$171+(Geraetedaten!$B$172*(Geraetedaten!$B$18+d_y_Sw)/1000)-(Geraetedaten!$B$173*I373/1000))*10</f>
        <v>883.30392795861394</v>
      </c>
      <c r="N373" s="20">
        <f>IF((H373-J373)/(K373-J373)*(Geraetedaten!$B$174-Geraetedaten!$B$161)&lt;Geraetedaten!$B$174,(H373-J373)/(K373-J373)*(Geraetedaten!$B$174-Geraetedaten!$B$161),Geraetedaten!$B$174)</f>
        <v>-5.0207045044958116</v>
      </c>
      <c r="O373" s="20">
        <f>N373/Geraetedaten!$B$174*(M373-L373)+L373+C373</f>
        <v>473.17476182725153</v>
      </c>
      <c r="P373" s="20">
        <f t="shared" si="348"/>
        <v>181.25161293864136</v>
      </c>
      <c r="Q373" s="21">
        <f>(N373-Geraetedaten!$B$161)/(Geraetedaten!$B$174-Geraetedaten!$B$161)*(Geraetedaten!$B$175-Geraetedaten!$B$162)+Geraetedaten!$B$162</f>
        <v>29.050634040991248</v>
      </c>
      <c r="R373" s="21">
        <f t="shared" si="349"/>
        <v>29.050634040991248</v>
      </c>
      <c r="S373" s="21">
        <f t="shared" si="350"/>
        <v>-13.638446563145159</v>
      </c>
      <c r="T373" s="88">
        <f t="shared" si="351"/>
        <v>25.650187397518824</v>
      </c>
      <c r="U373" s="86">
        <f t="shared" si="352"/>
        <v>6047.5090700000001</v>
      </c>
      <c r="V373" s="85">
        <f t="shared" si="353"/>
        <v>-1141.3067828769733</v>
      </c>
      <c r="W373" s="85">
        <f t="shared" si="354"/>
        <v>2439.0525529471652</v>
      </c>
      <c r="X373" s="90">
        <f t="shared" si="355"/>
        <v>1141.3067828769733</v>
      </c>
      <c r="Y373" s="86">
        <f t="shared" si="356"/>
        <v>-9498.8910400000004</v>
      </c>
      <c r="Z373" s="85">
        <f t="shared" si="357"/>
        <v>-750</v>
      </c>
      <c r="AA373" s="85">
        <f t="shared" si="358"/>
        <v>-849.42753801677929</v>
      </c>
      <c r="AB373" s="90">
        <f t="shared" si="359"/>
        <v>750</v>
      </c>
      <c r="AC373" s="86">
        <f t="shared" si="360"/>
        <v>-5764.4799800000001</v>
      </c>
      <c r="AD373" s="85">
        <f t="shared" si="361"/>
        <v>1055.7627565116984</v>
      </c>
      <c r="AE373" s="85">
        <f t="shared" si="362"/>
        <v>-2244.5371038965704</v>
      </c>
      <c r="AF373" s="90">
        <f t="shared" si="363"/>
        <v>1055.7627565116984</v>
      </c>
      <c r="AG373" s="86">
        <f t="shared" si="364"/>
        <v>10084.205819999999</v>
      </c>
      <c r="AH373" s="85">
        <f t="shared" si="365"/>
        <v>6128</v>
      </c>
      <c r="AI373" s="85">
        <f t="shared" si="366"/>
        <v>6940.3892706224315</v>
      </c>
      <c r="AJ373" s="90">
        <f t="shared" si="367"/>
        <v>6128</v>
      </c>
      <c r="AL373" s="95">
        <f t="shared" si="368"/>
        <v>0</v>
      </c>
      <c r="AM373" s="95">
        <f t="shared" si="369"/>
        <v>0</v>
      </c>
      <c r="AN373" s="95">
        <f t="shared" si="370"/>
        <v>0</v>
      </c>
      <c r="AO373" s="95">
        <f t="shared" si="371"/>
        <v>0</v>
      </c>
      <c r="AP373"/>
      <c r="AQ373" s="95">
        <f t="shared" si="372"/>
        <v>0</v>
      </c>
      <c r="AR373" s="95">
        <f t="shared" si="373"/>
        <v>0</v>
      </c>
      <c r="AS373" s="95">
        <f>Geraetedaten!$B$94*ABS(SIN(RADIANS($A373)))</f>
        <v>72.298620669027187</v>
      </c>
      <c r="AT373" s="95">
        <f>Geraetedaten!$B$94*ABS(COS(RADIANS($A373)))</f>
        <v>135.97392930027473</v>
      </c>
      <c r="AU373" s="95">
        <f>((h_Aw_Sw+Geraetedaten!$B$18)/1000)*(AQ373*AS373+AR373*AT373)/100</f>
        <v>0</v>
      </c>
    </row>
    <row r="374" spans="1:47" ht="13.5" x14ac:dyDescent="0.25">
      <c r="A374" s="16">
        <v>333</v>
      </c>
      <c r="B374" s="16">
        <f t="shared" si="340"/>
        <v>117</v>
      </c>
      <c r="C374" s="19">
        <f t="shared" si="341"/>
        <v>55.533063495323887</v>
      </c>
      <c r="D374" s="17">
        <f t="shared" si="342"/>
        <v>6199.0923765046755</v>
      </c>
      <c r="E374" s="17">
        <f t="shared" si="343"/>
        <v>-9468.5090034953246</v>
      </c>
      <c r="F374" s="17">
        <f t="shared" si="344"/>
        <v>-6016.0858634953247</v>
      </c>
      <c r="G374" s="17">
        <f t="shared" si="345"/>
        <v>9937.4636365046754</v>
      </c>
      <c r="H374" s="17">
        <f t="shared" si="346"/>
        <v>6199.0923765046755</v>
      </c>
      <c r="I374" s="17">
        <f t="shared" si="347"/>
        <v>2522.5857445846882</v>
      </c>
      <c r="J374" s="20">
        <f>(Geraetedaten!$B$152+(Geraetedaten!$B$153*(Geraetedaten!$B$18+d_y_Sw)/1000))*10</f>
        <v>6051.0442000000003</v>
      </c>
      <c r="K374" s="20">
        <f>(Geraetedaten!$B$165+(Geraetedaten!$B$166*(Geraetedaten!$B$18+d_y_Sw)/1000))*10</f>
        <v>10816.164000000001</v>
      </c>
      <c r="L374" s="20">
        <f>(Geraetedaten!$B$158+(Geraetedaten!$B$159*(Geraetedaten!$B$18+d_y_Sw)/1000)-(Geraetedaten!$B$160*I374/1000))*10</f>
        <v>416.55538734960459</v>
      </c>
      <c r="M374" s="20">
        <f>(Geraetedaten!$B$171+(Geraetedaten!$B$172*(Geraetedaten!$B$18+d_y_Sw)/1000)-(Geraetedaten!$B$173*I374/1000))*10</f>
        <v>877.08571717311668</v>
      </c>
      <c r="N374" s="20">
        <f>IF((H374-J374)/(K374-J374)*(Geraetedaten!$B$174-Geraetedaten!$B$161)&lt;Geraetedaten!$B$174,(H374-J374)/(K374-J374)*(Geraetedaten!$B$174-Geraetedaten!$B$161),Geraetedaten!$B$174)</f>
        <v>12.427656194891485</v>
      </c>
      <c r="O374" s="20">
        <f>N374/Geraetedaten!$B$174*(M374-L374)+L374+C374</f>
        <v>486.39673236084491</v>
      </c>
      <c r="P374" s="20">
        <f t="shared" si="348"/>
        <v>183.31598638621449</v>
      </c>
      <c r="Q374" s="21">
        <f>(N374-Geraetedaten!$B$161)/(Geraetedaten!$B$174-Geraetedaten!$B$161)*(Geraetedaten!$B$175-Geraetedaten!$B$162)+Geraetedaten!$B$162</f>
        <v>29.56972277179802</v>
      </c>
      <c r="R374" s="21">
        <f t="shared" si="349"/>
        <v>29.56972277179802</v>
      </c>
      <c r="S374" s="21">
        <f t="shared" si="350"/>
        <v>-13.424373218328444</v>
      </c>
      <c r="T374" s="88">
        <f t="shared" si="351"/>
        <v>26.346815908113381</v>
      </c>
      <c r="U374" s="86">
        <f t="shared" si="352"/>
        <v>6254.6254399999998</v>
      </c>
      <c r="V374" s="85">
        <f t="shared" si="353"/>
        <v>-1141.3067828769733</v>
      </c>
      <c r="W374" s="85">
        <f t="shared" si="354"/>
        <v>2522.5857445846882</v>
      </c>
      <c r="X374" s="90">
        <f t="shared" si="355"/>
        <v>1141.3067828769733</v>
      </c>
      <c r="Y374" s="86">
        <f t="shared" si="356"/>
        <v>-9412.9759400000003</v>
      </c>
      <c r="Z374" s="85">
        <f t="shared" si="357"/>
        <v>-750</v>
      </c>
      <c r="AA374" s="85">
        <f t="shared" si="358"/>
        <v>-841.74467822577071</v>
      </c>
      <c r="AB374" s="90">
        <f t="shared" si="359"/>
        <v>750</v>
      </c>
      <c r="AC374" s="86">
        <f t="shared" si="360"/>
        <v>-5960.5528000000004</v>
      </c>
      <c r="AD374" s="85">
        <f t="shared" si="361"/>
        <v>1055.7627565116984</v>
      </c>
      <c r="AE374" s="85">
        <f t="shared" si="362"/>
        <v>-2320.8827102112191</v>
      </c>
      <c r="AF374" s="90">
        <f t="shared" si="363"/>
        <v>1055.7627565116984</v>
      </c>
      <c r="AG374" s="86">
        <f t="shared" si="364"/>
        <v>9992.9966999999997</v>
      </c>
      <c r="AH374" s="85">
        <f t="shared" si="365"/>
        <v>6128</v>
      </c>
      <c r="AI374" s="85">
        <f t="shared" si="366"/>
        <v>6877.6151842233639</v>
      </c>
      <c r="AJ374" s="90">
        <f t="shared" si="367"/>
        <v>6128</v>
      </c>
      <c r="AL374" s="95">
        <f t="shared" si="368"/>
        <v>0</v>
      </c>
      <c r="AM374" s="95">
        <f t="shared" si="369"/>
        <v>0</v>
      </c>
      <c r="AN374" s="95">
        <f t="shared" si="370"/>
        <v>0</v>
      </c>
      <c r="AO374" s="95">
        <f t="shared" si="371"/>
        <v>0</v>
      </c>
      <c r="AP374"/>
      <c r="AQ374" s="95">
        <f t="shared" si="372"/>
        <v>0</v>
      </c>
      <c r="AR374" s="95">
        <f t="shared" si="373"/>
        <v>0</v>
      </c>
      <c r="AS374" s="95">
        <f>Geraetedaten!$B$94*ABS(SIN(RADIANS($A374)))</f>
        <v>69.914536959890228</v>
      </c>
      <c r="AT374" s="95">
        <f>Geraetedaten!$B$94*ABS(COS(RADIANS($A374)))</f>
        <v>137.21500472500864</v>
      </c>
      <c r="AU374" s="95">
        <f>((h_Aw_Sw+Geraetedaten!$B$18)/1000)*(AQ374*AS374+AR374*AT374)/100</f>
        <v>0</v>
      </c>
    </row>
    <row r="375" spans="1:47" ht="13.5" x14ac:dyDescent="0.25">
      <c r="A375" s="16">
        <v>334</v>
      </c>
      <c r="B375" s="16">
        <f t="shared" si="340"/>
        <v>116</v>
      </c>
      <c r="C375" s="19">
        <f t="shared" si="341"/>
        <v>54.773694970740735</v>
      </c>
      <c r="D375" s="17">
        <f t="shared" si="342"/>
        <v>6423.7013450292598</v>
      </c>
      <c r="E375" s="17">
        <f t="shared" si="343"/>
        <v>-9386.1917349707419</v>
      </c>
      <c r="F375" s="17">
        <f t="shared" si="344"/>
        <v>-6227.1537849707402</v>
      </c>
      <c r="G375" s="17">
        <f t="shared" si="345"/>
        <v>9851.6395650292579</v>
      </c>
      <c r="H375" s="17">
        <f t="shared" si="346"/>
        <v>6423.7013450292598</v>
      </c>
      <c r="I375" s="17">
        <f t="shared" si="347"/>
        <v>2612.867699206919</v>
      </c>
      <c r="J375" s="20">
        <f>(Geraetedaten!$B$152+(Geraetedaten!$B$153*(Geraetedaten!$B$18+d_y_Sw)/1000))*10</f>
        <v>6051.0442000000003</v>
      </c>
      <c r="K375" s="20">
        <f>(Geraetedaten!$B$165+(Geraetedaten!$B$166*(Geraetedaten!$B$18+d_y_Sw)/1000))*10</f>
        <v>10816.164000000001</v>
      </c>
      <c r="L375" s="20">
        <f>(Geraetedaten!$B$158+(Geraetedaten!$B$159*(Geraetedaten!$B$18+d_y_Sw)/1000)-(Geraetedaten!$B$160*I375/1000))*10</f>
        <v>409.93501161715642</v>
      </c>
      <c r="M375" s="20">
        <f>(Geraetedaten!$B$171+(Geraetedaten!$B$172*(Geraetedaten!$B$18+d_y_Sw)/1000)-(Geraetedaten!$B$173*I375/1000))*10</f>
        <v>870.36512847103779</v>
      </c>
      <c r="N375" s="20">
        <f>IF((H375-J375)/(K375-J375)*(Geraetedaten!$B$174-Geraetedaten!$B$161)&lt;Geraetedaten!$B$174,(H375-J375)/(K375-J375)*(Geraetedaten!$B$174-Geraetedaten!$B$161),Geraetedaten!$B$174)</f>
        <v>31.28207983599988</v>
      </c>
      <c r="O375" s="20">
        <f>N375/Geraetedaten!$B$174*(M375-L375)+L375+C375</f>
        <v>500.71673577370183</v>
      </c>
      <c r="P375" s="20">
        <f t="shared" si="348"/>
        <v>185.4854284964693</v>
      </c>
      <c r="Q375" s="21">
        <f>(N375-Geraetedaten!$B$161)/(Geraetedaten!$B$174-Geraetedaten!$B$161)*(Geraetedaten!$B$175-Geraetedaten!$B$162)+Geraetedaten!$B$162</f>
        <v>30.130641875120997</v>
      </c>
      <c r="R375" s="21">
        <f t="shared" si="349"/>
        <v>30.130641875120997</v>
      </c>
      <c r="S375" s="21">
        <f t="shared" si="350"/>
        <v>-13.208404032287801</v>
      </c>
      <c r="T375" s="88">
        <f t="shared" si="351"/>
        <v>27.081241528531116</v>
      </c>
      <c r="U375" s="86">
        <f t="shared" si="352"/>
        <v>6478.4750400000003</v>
      </c>
      <c r="V375" s="85">
        <f t="shared" si="353"/>
        <v>-1141.3067828769733</v>
      </c>
      <c r="W375" s="85">
        <f t="shared" si="354"/>
        <v>2612.867699206919</v>
      </c>
      <c r="X375" s="90">
        <f t="shared" si="355"/>
        <v>1141.3067828769733</v>
      </c>
      <c r="Y375" s="86">
        <f t="shared" si="356"/>
        <v>-9331.4180400000005</v>
      </c>
      <c r="Z375" s="85">
        <f t="shared" si="357"/>
        <v>-750</v>
      </c>
      <c r="AA375" s="85">
        <f t="shared" si="358"/>
        <v>-834.45145535639188</v>
      </c>
      <c r="AB375" s="90">
        <f t="shared" si="359"/>
        <v>750</v>
      </c>
      <c r="AC375" s="86">
        <f t="shared" si="360"/>
        <v>-6172.3800899999997</v>
      </c>
      <c r="AD375" s="85">
        <f t="shared" si="361"/>
        <v>1055.7627565116984</v>
      </c>
      <c r="AE375" s="85">
        <f t="shared" si="362"/>
        <v>-2403.3626920683128</v>
      </c>
      <c r="AF375" s="90">
        <f t="shared" si="363"/>
        <v>1055.7627565116984</v>
      </c>
      <c r="AG375" s="86">
        <f t="shared" si="364"/>
        <v>9906.4132599999994</v>
      </c>
      <c r="AH375" s="85">
        <f t="shared" si="365"/>
        <v>6128</v>
      </c>
      <c r="AI375" s="85">
        <f t="shared" si="366"/>
        <v>6818.024691231959</v>
      </c>
      <c r="AJ375" s="90">
        <f t="shared" si="367"/>
        <v>6128</v>
      </c>
      <c r="AL375" s="95">
        <f t="shared" si="368"/>
        <v>0</v>
      </c>
      <c r="AM375" s="95">
        <f t="shared" si="369"/>
        <v>0</v>
      </c>
      <c r="AN375" s="95">
        <f t="shared" si="370"/>
        <v>0</v>
      </c>
      <c r="AO375" s="95">
        <f t="shared" si="371"/>
        <v>0</v>
      </c>
      <c r="AP375"/>
      <c r="AQ375" s="95">
        <f t="shared" si="372"/>
        <v>0</v>
      </c>
      <c r="AR375" s="95">
        <f t="shared" si="373"/>
        <v>0</v>
      </c>
      <c r="AS375" s="95">
        <f>Geraetedaten!$B$94*ABS(SIN(RADIANS($A375)))</f>
        <v>67.509156605517987</v>
      </c>
      <c r="AT375" s="95">
        <f>Geraetedaten!$B$94*ABS(COS(RADIANS($A375)))</f>
        <v>138.41428313007168</v>
      </c>
      <c r="AU375" s="95">
        <f>((h_Aw_Sw+Geraetedaten!$B$18)/1000)*(AQ375*AS375+AR375*AT375)/100</f>
        <v>0</v>
      </c>
    </row>
    <row r="376" spans="1:47" ht="13.5" x14ac:dyDescent="0.25">
      <c r="A376" s="16">
        <v>335</v>
      </c>
      <c r="B376" s="16">
        <f t="shared" si="340"/>
        <v>115</v>
      </c>
      <c r="C376" s="19">
        <f t="shared" si="341"/>
        <v>53.99764184806476</v>
      </c>
      <c r="D376" s="17">
        <f t="shared" si="342"/>
        <v>6667.0679381519358</v>
      </c>
      <c r="E376" s="17">
        <f t="shared" si="343"/>
        <v>-9308.0536018480652</v>
      </c>
      <c r="F376" s="17">
        <f t="shared" si="344"/>
        <v>-6455.837631848065</v>
      </c>
      <c r="G376" s="17">
        <f t="shared" si="345"/>
        <v>9770.286538151935</v>
      </c>
      <c r="H376" s="17">
        <f t="shared" si="346"/>
        <v>6667.0679381519358</v>
      </c>
      <c r="I376" s="17">
        <f t="shared" si="347"/>
        <v>2710.7081594226238</v>
      </c>
      <c r="J376" s="20">
        <f>(Geraetedaten!$B$152+(Geraetedaten!$B$153*(Geraetedaten!$B$18+d_y_Sw)/1000))*10</f>
        <v>6051.0442000000003</v>
      </c>
      <c r="K376" s="20">
        <f>(Geraetedaten!$B$165+(Geraetedaten!$B$166*(Geraetedaten!$B$18+d_y_Sw)/1000))*10</f>
        <v>10816.164000000001</v>
      </c>
      <c r="L376" s="20">
        <f>(Geraetedaten!$B$158+(Geraetedaten!$B$159*(Geraetedaten!$B$18+d_y_Sw)/1000)-(Geraetedaten!$B$160*I376/1000))*10</f>
        <v>402.76037066953876</v>
      </c>
      <c r="M376" s="20">
        <f>(Geraetedaten!$B$171+(Geraetedaten!$B$172*(Geraetedaten!$B$18+d_y_Sw)/1000)-(Geraetedaten!$B$173*I376/1000))*10</f>
        <v>863.08188461258078</v>
      </c>
      <c r="N376" s="20">
        <f>IF((H376-J376)/(K376-J376)*(Geraetedaten!$B$174-Geraetedaten!$B$161)&lt;Geraetedaten!$B$174,(H376-J376)/(K376-J376)*(Geraetedaten!$B$174-Geraetedaten!$B$161),Geraetedaten!$B$174)</f>
        <v>51.71108085483479</v>
      </c>
      <c r="O376" s="20">
        <f>N376/Geraetedaten!$B$174*(M376-L376)+L376+C376</f>
        <v>516.26732008442502</v>
      </c>
      <c r="P376" s="20">
        <f t="shared" si="348"/>
        <v>187.76654778056132</v>
      </c>
      <c r="Q376" s="21">
        <f>(N376-Geraetedaten!$B$161)/(Geraetedaten!$B$174-Geraetedaten!$B$161)*(Geraetedaten!$B$175-Geraetedaten!$B$162)+Geraetedaten!$B$162</f>
        <v>30.738404655431335</v>
      </c>
      <c r="R376" s="21">
        <f t="shared" si="349"/>
        <v>30.738404655431335</v>
      </c>
      <c r="S376" s="21">
        <f t="shared" si="350"/>
        <v>-12.990611144160606</v>
      </c>
      <c r="T376" s="88">
        <f t="shared" si="351"/>
        <v>27.858455500301034</v>
      </c>
      <c r="U376" s="86">
        <f t="shared" si="352"/>
        <v>6721.0655800000004</v>
      </c>
      <c r="V376" s="85">
        <f t="shared" si="353"/>
        <v>-1141.3067828769733</v>
      </c>
      <c r="W376" s="85">
        <f t="shared" si="354"/>
        <v>2710.7081594226238</v>
      </c>
      <c r="X376" s="90">
        <f t="shared" si="355"/>
        <v>1141.3067828769733</v>
      </c>
      <c r="Y376" s="86">
        <f t="shared" si="356"/>
        <v>-9254.0559599999997</v>
      </c>
      <c r="Z376" s="85">
        <f t="shared" si="357"/>
        <v>-750</v>
      </c>
      <c r="AA376" s="85">
        <f t="shared" si="358"/>
        <v>-827.53343922186878</v>
      </c>
      <c r="AB376" s="90">
        <f t="shared" si="359"/>
        <v>750</v>
      </c>
      <c r="AC376" s="86">
        <f t="shared" si="360"/>
        <v>-6401.8399900000004</v>
      </c>
      <c r="AD376" s="85">
        <f t="shared" si="361"/>
        <v>1055.7627565116984</v>
      </c>
      <c r="AE376" s="85">
        <f t="shared" si="362"/>
        <v>-2492.7083500977051</v>
      </c>
      <c r="AF376" s="90">
        <f t="shared" si="363"/>
        <v>1055.7627565116984</v>
      </c>
      <c r="AG376" s="86">
        <f t="shared" si="364"/>
        <v>9824.2841800000006</v>
      </c>
      <c r="AH376" s="85">
        <f t="shared" si="365"/>
        <v>6128</v>
      </c>
      <c r="AI376" s="85">
        <f t="shared" si="366"/>
        <v>6761.4998874021485</v>
      </c>
      <c r="AJ376" s="90">
        <f t="shared" si="367"/>
        <v>6128</v>
      </c>
      <c r="AL376" s="95">
        <f t="shared" si="368"/>
        <v>0</v>
      </c>
      <c r="AM376" s="95">
        <f t="shared" si="369"/>
        <v>0</v>
      </c>
      <c r="AN376" s="95">
        <f t="shared" si="370"/>
        <v>0</v>
      </c>
      <c r="AO376" s="95">
        <f t="shared" si="371"/>
        <v>0</v>
      </c>
      <c r="AP376"/>
      <c r="AQ376" s="95">
        <f t="shared" si="372"/>
        <v>0</v>
      </c>
      <c r="AR376" s="95">
        <f t="shared" si="373"/>
        <v>0</v>
      </c>
      <c r="AS376" s="95">
        <f>Geraetedaten!$B$94*ABS(SIN(RADIANS($A376)))</f>
        <v>65.083212308067687</v>
      </c>
      <c r="AT376" s="95">
        <f>Geraetedaten!$B$94*ABS(COS(RADIANS($A376)))</f>
        <v>139.57139920364412</v>
      </c>
      <c r="AU376" s="95">
        <f>((h_Aw_Sw+Geraetedaten!$B$18)/1000)*(AQ376*AS376+AR376*AT376)/100</f>
        <v>0</v>
      </c>
    </row>
    <row r="377" spans="1:47" ht="13.5" x14ac:dyDescent="0.25">
      <c r="A377" s="16">
        <v>336</v>
      </c>
      <c r="B377" s="16">
        <f t="shared" si="340"/>
        <v>114</v>
      </c>
      <c r="C377" s="19">
        <f t="shared" si="341"/>
        <v>53.205140520595009</v>
      </c>
      <c r="D377" s="17">
        <f t="shared" si="342"/>
        <v>6931.5360494794049</v>
      </c>
      <c r="E377" s="17">
        <f t="shared" si="343"/>
        <v>-9233.9447605205951</v>
      </c>
      <c r="F377" s="17">
        <f t="shared" si="344"/>
        <v>-6704.3284305205952</v>
      </c>
      <c r="G377" s="17">
        <f t="shared" si="345"/>
        <v>9693.244999479406</v>
      </c>
      <c r="H377" s="17">
        <f t="shared" si="346"/>
        <v>6931.5360494794049</v>
      </c>
      <c r="I377" s="17">
        <f t="shared" si="347"/>
        <v>2817.0525501965749</v>
      </c>
      <c r="J377" s="20">
        <f>(Geraetedaten!$B$152+(Geraetedaten!$B$153*(Geraetedaten!$B$18+d_y_Sw)/1000))*10</f>
        <v>6051.0442000000003</v>
      </c>
      <c r="K377" s="20">
        <f>(Geraetedaten!$B$165+(Geraetedaten!$B$166*(Geraetedaten!$B$18+d_y_Sw)/1000))*10</f>
        <v>10816.164000000001</v>
      </c>
      <c r="L377" s="20">
        <f>(Geraetedaten!$B$158+(Geraetedaten!$B$159*(Geraetedaten!$B$18+d_y_Sw)/1000)-(Geraetedaten!$B$160*I377/1000))*10</f>
        <v>394.96213649408497</v>
      </c>
      <c r="M377" s="20">
        <f>(Geraetedaten!$B$171+(Geraetedaten!$B$172*(Geraetedaten!$B$18+d_y_Sw)/1000)-(Geraetedaten!$B$173*I377/1000))*10</f>
        <v>855.16560816336778</v>
      </c>
      <c r="N377" s="20">
        <f>IF((H377-J377)/(K377-J377)*(Geraetedaten!$B$174-Geraetedaten!$B$161)&lt;Geraetedaten!$B$174,(H377-J377)/(K377-J377)*(Geraetedaten!$B$174-Geraetedaten!$B$161),Geraetedaten!$B$174)</f>
        <v>73.911413474171596</v>
      </c>
      <c r="O377" s="20">
        <f>N377/Geraetedaten!$B$174*(M377-L377)+L377+C377</f>
        <v>533.20299970667395</v>
      </c>
      <c r="P377" s="20">
        <f t="shared" si="348"/>
        <v>190.16641458708099</v>
      </c>
      <c r="Q377" s="21">
        <f>(N377-Geraetedaten!$B$161)/(Geraetedaten!$B$174-Geraetedaten!$B$161)*(Geraetedaten!$B$175-Geraetedaten!$B$162)+Geraetedaten!$B$162</f>
        <v>31.398864550856604</v>
      </c>
      <c r="R377" s="21">
        <f t="shared" si="349"/>
        <v>31.398864550856604</v>
      </c>
      <c r="S377" s="21">
        <f t="shared" si="350"/>
        <v>-12.771068763807158</v>
      </c>
      <c r="T377" s="88">
        <f t="shared" si="351"/>
        <v>28.684290085570339</v>
      </c>
      <c r="U377" s="86">
        <f t="shared" si="352"/>
        <v>6984.7411899999997</v>
      </c>
      <c r="V377" s="85">
        <f t="shared" si="353"/>
        <v>-1141.3067828769733</v>
      </c>
      <c r="W377" s="85">
        <f t="shared" si="354"/>
        <v>2817.0525501965749</v>
      </c>
      <c r="X377" s="90">
        <f t="shared" si="355"/>
        <v>1141.3067828769733</v>
      </c>
      <c r="Y377" s="86">
        <f t="shared" si="356"/>
        <v>-9180.7396200000003</v>
      </c>
      <c r="Z377" s="85">
        <f t="shared" si="357"/>
        <v>-750</v>
      </c>
      <c r="AA377" s="85">
        <f t="shared" si="358"/>
        <v>-820.97720887953494</v>
      </c>
      <c r="AB377" s="90">
        <f t="shared" si="359"/>
        <v>750</v>
      </c>
      <c r="AC377" s="86">
        <f t="shared" si="360"/>
        <v>-6651.1232900000005</v>
      </c>
      <c r="AD377" s="85">
        <f t="shared" si="361"/>
        <v>1055.7627565116984</v>
      </c>
      <c r="AE377" s="85">
        <f t="shared" si="362"/>
        <v>-2589.7727212314867</v>
      </c>
      <c r="AF377" s="90">
        <f t="shared" si="363"/>
        <v>1055.7627565116984</v>
      </c>
      <c r="AG377" s="86">
        <f t="shared" si="364"/>
        <v>9746.4501400000008</v>
      </c>
      <c r="AH377" s="85">
        <f t="shared" si="365"/>
        <v>6128</v>
      </c>
      <c r="AI377" s="85">
        <f t="shared" si="366"/>
        <v>6707.9311146850541</v>
      </c>
      <c r="AJ377" s="90">
        <f t="shared" si="367"/>
        <v>6128</v>
      </c>
      <c r="AL377" s="95">
        <f t="shared" si="368"/>
        <v>0</v>
      </c>
      <c r="AM377" s="95">
        <f t="shared" si="369"/>
        <v>0</v>
      </c>
      <c r="AN377" s="95">
        <f t="shared" si="370"/>
        <v>0</v>
      </c>
      <c r="AO377" s="95">
        <f t="shared" si="371"/>
        <v>0</v>
      </c>
      <c r="AP377"/>
      <c r="AQ377" s="95">
        <f t="shared" si="372"/>
        <v>0</v>
      </c>
      <c r="AR377" s="95">
        <f t="shared" si="373"/>
        <v>0</v>
      </c>
      <c r="AS377" s="95">
        <f>Geraetedaten!$B$94*ABS(SIN(RADIANS($A377)))</f>
        <v>62.637443033673222</v>
      </c>
      <c r="AT377" s="95">
        <f>Geraetedaten!$B$94*ABS(COS(RADIANS($A377)))</f>
        <v>140.68600047696054</v>
      </c>
      <c r="AU377" s="95">
        <f>((h_Aw_Sw+Geraetedaten!$B$18)/1000)*(AQ377*AS377+AR377*AT377)/100</f>
        <v>0</v>
      </c>
    </row>
    <row r="378" spans="1:47" ht="13.5" x14ac:dyDescent="0.25">
      <c r="A378" s="16">
        <v>337</v>
      </c>
      <c r="B378" s="16">
        <f t="shared" si="340"/>
        <v>113</v>
      </c>
      <c r="C378" s="19">
        <f t="shared" si="341"/>
        <v>52.396432391912903</v>
      </c>
      <c r="D378" s="17">
        <f t="shared" si="342"/>
        <v>7219.8594376080873</v>
      </c>
      <c r="E378" s="17">
        <f t="shared" si="343"/>
        <v>-9163.7258823919128</v>
      </c>
      <c r="F378" s="17">
        <f t="shared" si="344"/>
        <v>-6975.1976623919127</v>
      </c>
      <c r="G378" s="17">
        <f t="shared" si="345"/>
        <v>9620.3665276080865</v>
      </c>
      <c r="H378" s="17">
        <f t="shared" si="346"/>
        <v>7219.8594376080873</v>
      </c>
      <c r="I378" s="17">
        <f t="shared" si="347"/>
        <v>2933.0116001199262</v>
      </c>
      <c r="J378" s="20">
        <f>(Geraetedaten!$B$152+(Geraetedaten!$B$153*(Geraetedaten!$B$18+d_y_Sw)/1000))*10</f>
        <v>6051.0442000000003</v>
      </c>
      <c r="K378" s="20">
        <f>(Geraetedaten!$B$165+(Geraetedaten!$B$166*(Geraetedaten!$B$18+d_y_Sw)/1000))*10</f>
        <v>10816.164000000001</v>
      </c>
      <c r="L378" s="20">
        <f>(Geraetedaten!$B$158+(Geraetedaten!$B$159*(Geraetedaten!$B$18+d_y_Sw)/1000)-(Geraetedaten!$B$160*I378/1000))*10</f>
        <v>386.45885936320553</v>
      </c>
      <c r="M378" s="20">
        <f>(Geraetedaten!$B$171+(Geraetedaten!$B$172*(Geraetedaten!$B$18+d_y_Sw)/1000)-(Geraetedaten!$B$173*I378/1000))*10</f>
        <v>846.53361648707357</v>
      </c>
      <c r="N378" s="20">
        <f>IF((H378-J378)/(K378-J378)*(Geraetedaten!$B$174-Geraetedaten!$B$161)&lt;Geraetedaten!$B$174,(H378-J378)/(K378-J378)*(Geraetedaten!$B$174-Geraetedaten!$B$161),Geraetedaten!$B$174)</f>
        <v>98.114237346820701</v>
      </c>
      <c r="O378" s="20">
        <f>N378/Geraetedaten!$B$174*(M378-L378)+L378+C378</f>
        <v>551.70500154944864</v>
      </c>
      <c r="P378" s="20">
        <f t="shared" si="348"/>
        <v>192.69259155044296</v>
      </c>
      <c r="Q378" s="21">
        <f>(N378-Geraetedaten!$B$161)/(Geraetedaten!$B$174-Geraetedaten!$B$161)*(Geraetedaten!$B$175-Geraetedaten!$B$162)+Geraetedaten!$B$162</f>
        <v>32.118898561067915</v>
      </c>
      <c r="R378" s="21">
        <f t="shared" si="349"/>
        <v>32.118898561067915</v>
      </c>
      <c r="S378" s="21">
        <f t="shared" si="350"/>
        <v>-12.549853480598582</v>
      </c>
      <c r="T378" s="88">
        <f t="shared" si="351"/>
        <v>29.565602013009617</v>
      </c>
      <c r="U378" s="86">
        <f t="shared" si="352"/>
        <v>7272.25587</v>
      </c>
      <c r="V378" s="85">
        <f t="shared" si="353"/>
        <v>-1141.3067828769733</v>
      </c>
      <c r="W378" s="85">
        <f t="shared" si="354"/>
        <v>2933.0116001199262</v>
      </c>
      <c r="X378" s="90">
        <f t="shared" si="355"/>
        <v>1141.3067828769733</v>
      </c>
      <c r="Y378" s="86">
        <f t="shared" si="356"/>
        <v>-9111.3294499999993</v>
      </c>
      <c r="Z378" s="85">
        <f t="shared" si="357"/>
        <v>-750</v>
      </c>
      <c r="AA378" s="85">
        <f t="shared" si="358"/>
        <v>-814.77028305397221</v>
      </c>
      <c r="AB378" s="90">
        <f t="shared" si="359"/>
        <v>750</v>
      </c>
      <c r="AC378" s="86">
        <f t="shared" si="360"/>
        <v>-6922.80123</v>
      </c>
      <c r="AD378" s="85">
        <f t="shared" si="361"/>
        <v>1055.7627565116984</v>
      </c>
      <c r="AE378" s="85">
        <f t="shared" si="362"/>
        <v>-2695.5569728089172</v>
      </c>
      <c r="AF378" s="90">
        <f t="shared" si="363"/>
        <v>1055.7627565116984</v>
      </c>
      <c r="AG378" s="86">
        <f t="shared" si="364"/>
        <v>9672.76296</v>
      </c>
      <c r="AH378" s="85">
        <f t="shared" si="365"/>
        <v>6128</v>
      </c>
      <c r="AI378" s="85">
        <f t="shared" si="366"/>
        <v>6657.2163927396559</v>
      </c>
      <c r="AJ378" s="90">
        <f t="shared" si="367"/>
        <v>6128</v>
      </c>
      <c r="AL378" s="95">
        <f t="shared" si="368"/>
        <v>0</v>
      </c>
      <c r="AM378" s="95">
        <f t="shared" si="369"/>
        <v>0</v>
      </c>
      <c r="AN378" s="95">
        <f t="shared" si="370"/>
        <v>0</v>
      </c>
      <c r="AO378" s="95">
        <f t="shared" si="371"/>
        <v>0</v>
      </c>
      <c r="AP378"/>
      <c r="AQ378" s="95">
        <f t="shared" si="372"/>
        <v>0</v>
      </c>
      <c r="AR378" s="95">
        <f t="shared" si="373"/>
        <v>0</v>
      </c>
      <c r="AS378" s="95">
        <f>Geraetedaten!$B$94*ABS(SIN(RADIANS($A378)))</f>
        <v>60.172593787348177</v>
      </c>
      <c r="AT378" s="95">
        <f>Geraetedaten!$B$94*ABS(COS(RADIANS($A378)))</f>
        <v>141.7577474316758</v>
      </c>
      <c r="AU378" s="95">
        <f>((h_Aw_Sw+Geraetedaten!$B$18)/1000)*(AQ378*AS378+AR378*AT378)/100</f>
        <v>0</v>
      </c>
    </row>
    <row r="379" spans="1:47" ht="13.5" x14ac:dyDescent="0.25">
      <c r="A379" s="16">
        <v>338</v>
      </c>
      <c r="B379" s="16">
        <f t="shared" si="340"/>
        <v>112</v>
      </c>
      <c r="C379" s="19">
        <f t="shared" si="341"/>
        <v>51.571763802348592</v>
      </c>
      <c r="D379" s="17">
        <f t="shared" si="342"/>
        <v>7535.2952761976512</v>
      </c>
      <c r="E379" s="17">
        <f t="shared" si="343"/>
        <v>-9097.267433802348</v>
      </c>
      <c r="F379" s="17">
        <f t="shared" si="344"/>
        <v>-7271.4834338023493</v>
      </c>
      <c r="G379" s="17">
        <f t="shared" si="345"/>
        <v>9551.5131161976515</v>
      </c>
      <c r="H379" s="17">
        <f t="shared" si="346"/>
        <v>7535.2952761976512</v>
      </c>
      <c r="I379" s="17">
        <f t="shared" si="347"/>
        <v>3059.8990782863279</v>
      </c>
      <c r="J379" s="20">
        <f>(Geraetedaten!$B$152+(Geraetedaten!$B$153*(Geraetedaten!$B$18+d_y_Sw)/1000))*10</f>
        <v>6051.0442000000003</v>
      </c>
      <c r="K379" s="20">
        <f>(Geraetedaten!$B$165+(Geraetedaten!$B$166*(Geraetedaten!$B$18+d_y_Sw)/1000))*10</f>
        <v>10816.164000000001</v>
      </c>
      <c r="L379" s="20">
        <f>(Geraetedaten!$B$158+(Geraetedaten!$B$159*(Geraetedaten!$B$18+d_y_Sw)/1000)-(Geraetedaten!$B$160*I379/1000))*10</f>
        <v>377.15420058926333</v>
      </c>
      <c r="M379" s="20">
        <f>(Geraetedaten!$B$171+(Geraetedaten!$B$172*(Geraetedaten!$B$18+d_y_Sw)/1000)-(Geraetedaten!$B$173*I379/1000))*10</f>
        <v>837.08811261236656</v>
      </c>
      <c r="N379" s="20">
        <f>IF((H379-J379)/(K379-J379)*(Geraetedaten!$B$174-Geraetedaten!$B$161)&lt;Geraetedaten!$B$174,(H379-J379)/(K379-J379)*(Geraetedaten!$B$174-Geraetedaten!$B$161),Geraetedaten!$B$174)</f>
        <v>124.59297045985294</v>
      </c>
      <c r="O379" s="20">
        <f>N379/Geraetedaten!$B$174*(M379-L379)+L379+C379</f>
        <v>571.98729517705965</v>
      </c>
      <c r="P379" s="20">
        <f t="shared" si="348"/>
        <v>195.3531626639182</v>
      </c>
      <c r="Q379" s="21">
        <f>(N379-Geraetedaten!$B$161)/(Geraetedaten!$B$174-Geraetedaten!$B$161)*(Geraetedaten!$B$175-Geraetedaten!$B$162)+Geraetedaten!$B$162</f>
        <v>32.906640871180628</v>
      </c>
      <c r="R379" s="21">
        <f t="shared" si="349"/>
        <v>32.906640871180628</v>
      </c>
      <c r="S379" s="21">
        <f t="shared" si="350"/>
        <v>-12.327044637513804</v>
      </c>
      <c r="T379" s="88">
        <f t="shared" si="351"/>
        <v>30.510506123786239</v>
      </c>
      <c r="U379" s="86">
        <f t="shared" si="352"/>
        <v>7586.8670400000001</v>
      </c>
      <c r="V379" s="85">
        <f t="shared" si="353"/>
        <v>-1141.3067828769733</v>
      </c>
      <c r="W379" s="85">
        <f t="shared" si="354"/>
        <v>3059.8990782863279</v>
      </c>
      <c r="X379" s="90">
        <f t="shared" si="355"/>
        <v>1141.3067828769733</v>
      </c>
      <c r="Y379" s="86">
        <f t="shared" si="356"/>
        <v>-9045.6956699999992</v>
      </c>
      <c r="Z379" s="85">
        <f t="shared" si="357"/>
        <v>-750</v>
      </c>
      <c r="AA379" s="85">
        <f t="shared" si="358"/>
        <v>-808.90105700818765</v>
      </c>
      <c r="AB379" s="90">
        <f t="shared" si="359"/>
        <v>750</v>
      </c>
      <c r="AC379" s="86">
        <f t="shared" si="360"/>
        <v>-7219.9116700000004</v>
      </c>
      <c r="AD379" s="85">
        <f t="shared" si="361"/>
        <v>1055.7627565116984</v>
      </c>
      <c r="AE379" s="85">
        <f t="shared" si="362"/>
        <v>-2811.2439762316471</v>
      </c>
      <c r="AF379" s="90">
        <f t="shared" si="363"/>
        <v>1055.7627565116984</v>
      </c>
      <c r="AG379" s="86">
        <f t="shared" si="364"/>
        <v>9603.0848800000003</v>
      </c>
      <c r="AH379" s="85">
        <f t="shared" si="365"/>
        <v>6128</v>
      </c>
      <c r="AI379" s="85">
        <f t="shared" si="366"/>
        <v>6609.2609031282318</v>
      </c>
      <c r="AJ379" s="90">
        <f t="shared" si="367"/>
        <v>6128</v>
      </c>
      <c r="AL379" s="95">
        <f t="shared" si="368"/>
        <v>0</v>
      </c>
      <c r="AM379" s="95">
        <f t="shared" si="369"/>
        <v>0</v>
      </c>
      <c r="AN379" s="95">
        <f t="shared" si="370"/>
        <v>0</v>
      </c>
      <c r="AO379" s="95">
        <f t="shared" si="371"/>
        <v>0</v>
      </c>
      <c r="AP379"/>
      <c r="AQ379" s="95">
        <f t="shared" si="372"/>
        <v>0</v>
      </c>
      <c r="AR379" s="95">
        <f t="shared" si="373"/>
        <v>0</v>
      </c>
      <c r="AS379" s="95">
        <f>Geraetedaten!$B$94*ABS(SIN(RADIANS($A379)))</f>
        <v>57.689415386050499</v>
      </c>
      <c r="AT379" s="95">
        <f>Geraetedaten!$B$94*ABS(COS(RADIANS($A379)))</f>
        <v>142.78631360328524</v>
      </c>
      <c r="AU379" s="95">
        <f>((h_Aw_Sw+Geraetedaten!$B$18)/1000)*(AQ379*AS379+AR379*AT379)/100</f>
        <v>0</v>
      </c>
    </row>
    <row r="380" spans="1:47" ht="13.5" x14ac:dyDescent="0.25">
      <c r="A380" s="16">
        <v>339</v>
      </c>
      <c r="B380" s="16">
        <f t="shared" si="340"/>
        <v>111</v>
      </c>
      <c r="C380" s="19">
        <f t="shared" si="341"/>
        <v>50.731385953943189</v>
      </c>
      <c r="D380" s="17">
        <f t="shared" si="342"/>
        <v>7881.7245940460562</v>
      </c>
      <c r="E380" s="17">
        <f t="shared" si="343"/>
        <v>-9034.4490559539427</v>
      </c>
      <c r="F380" s="17">
        <f t="shared" si="344"/>
        <v>-7596.8013459539434</v>
      </c>
      <c r="G380" s="17">
        <f t="shared" si="345"/>
        <v>9486.556464046058</v>
      </c>
      <c r="H380" s="17">
        <f t="shared" si="346"/>
        <v>7881.7245940460562</v>
      </c>
      <c r="I380" s="17">
        <f t="shared" si="347"/>
        <v>3199.2803649072712</v>
      </c>
      <c r="J380" s="20">
        <f>(Geraetedaten!$B$152+(Geraetedaten!$B$153*(Geraetedaten!$B$18+d_y_Sw)/1000))*10</f>
        <v>6051.0442000000003</v>
      </c>
      <c r="K380" s="20">
        <f>(Geraetedaten!$B$165+(Geraetedaten!$B$166*(Geraetedaten!$B$18+d_y_Sw)/1000))*10</f>
        <v>10816.164000000001</v>
      </c>
      <c r="L380" s="20">
        <f>(Geraetedaten!$B$158+(Geraetedaten!$B$159*(Geraetedaten!$B$18+d_y_Sw)/1000)-(Geraetedaten!$B$160*I380/1000))*10</f>
        <v>366.93337084134959</v>
      </c>
      <c r="M380" s="20">
        <f>(Geraetedaten!$B$171+(Geraetedaten!$B$172*(Geraetedaten!$B$18+d_y_Sw)/1000)-(Geraetedaten!$B$173*I380/1000))*10</f>
        <v>826.71256963630356</v>
      </c>
      <c r="N380" s="20">
        <f>IF((H380-J380)/(K380-J380)*(Geraetedaten!$B$174-Geraetedaten!$B$161)&lt;Geraetedaten!$B$174,(H380-J380)/(K380-J380)*(Geraetedaten!$B$174-Geraetedaten!$B$161),Geraetedaten!$B$174)</f>
        <v>153.67339927496099</v>
      </c>
      <c r="O380" s="20">
        <f>N380/Geraetedaten!$B$174*(M380-L380)+L380+C380</f>
        <v>594.30433778213933</v>
      </c>
      <c r="P380" s="20">
        <f t="shared" si="348"/>
        <v>198.15676005589154</v>
      </c>
      <c r="Q380" s="21">
        <f>(N380-Geraetedaten!$B$161)/(Geraetedaten!$B$174-Geraetedaten!$B$161)*(Geraetedaten!$B$175-Geraetedaten!$B$162)+Geraetedaten!$B$162</f>
        <v>33.771783628430086</v>
      </c>
      <c r="R380" s="21">
        <f t="shared" si="349"/>
        <v>33.771783628430086</v>
      </c>
      <c r="S380" s="21">
        <f t="shared" si="350"/>
        <v>-12.102724851408048</v>
      </c>
      <c r="T380" s="88">
        <f t="shared" si="351"/>
        <v>31.528676163400966</v>
      </c>
      <c r="U380" s="86">
        <f t="shared" si="352"/>
        <v>7932.4559799999997</v>
      </c>
      <c r="V380" s="85">
        <f t="shared" si="353"/>
        <v>-1141.3067828769733</v>
      </c>
      <c r="W380" s="85">
        <f t="shared" si="354"/>
        <v>3199.2803649072712</v>
      </c>
      <c r="X380" s="90">
        <f t="shared" si="355"/>
        <v>1141.3067828769733</v>
      </c>
      <c r="Y380" s="86">
        <f t="shared" si="356"/>
        <v>-8983.71767</v>
      </c>
      <c r="Z380" s="85">
        <f t="shared" si="357"/>
        <v>-750</v>
      </c>
      <c r="AA380" s="85">
        <f t="shared" si="358"/>
        <v>-803.35874522777181</v>
      </c>
      <c r="AB380" s="90">
        <f t="shared" si="359"/>
        <v>750</v>
      </c>
      <c r="AC380" s="86">
        <f t="shared" si="360"/>
        <v>-7546.0699599999998</v>
      </c>
      <c r="AD380" s="85">
        <f t="shared" si="361"/>
        <v>1055.7627565116984</v>
      </c>
      <c r="AE380" s="85">
        <f t="shared" si="362"/>
        <v>-2938.2414467189328</v>
      </c>
      <c r="AF380" s="90">
        <f t="shared" si="363"/>
        <v>1055.7627565116984</v>
      </c>
      <c r="AG380" s="86">
        <f t="shared" si="364"/>
        <v>9537.2878500000006</v>
      </c>
      <c r="AH380" s="85">
        <f t="shared" si="365"/>
        <v>6128</v>
      </c>
      <c r="AI380" s="85">
        <f t="shared" si="366"/>
        <v>6563.9765210077148</v>
      </c>
      <c r="AJ380" s="90">
        <f t="shared" si="367"/>
        <v>6128</v>
      </c>
      <c r="AL380" s="95">
        <f t="shared" si="368"/>
        <v>0</v>
      </c>
      <c r="AM380" s="95">
        <f t="shared" si="369"/>
        <v>0</v>
      </c>
      <c r="AN380" s="95">
        <f t="shared" si="370"/>
        <v>0</v>
      </c>
      <c r="AO380" s="95">
        <f t="shared" si="371"/>
        <v>0</v>
      </c>
      <c r="AP380"/>
      <c r="AQ380" s="95">
        <f t="shared" si="372"/>
        <v>0</v>
      </c>
      <c r="AR380" s="95">
        <f t="shared" si="373"/>
        <v>0</v>
      </c>
      <c r="AS380" s="95">
        <f>Geraetedaten!$B$94*ABS(SIN(RADIANS($A380)))</f>
        <v>55.188664229976318</v>
      </c>
      <c r="AT380" s="95">
        <f>Geraetedaten!$B$94*ABS(COS(RADIANS($A380)))</f>
        <v>143.77138568056904</v>
      </c>
      <c r="AU380" s="95">
        <f>((h_Aw_Sw+Geraetedaten!$B$18)/1000)*(AQ380*AS380+AR380*AT380)/100</f>
        <v>0</v>
      </c>
    </row>
    <row r="381" spans="1:47" ht="13.5" x14ac:dyDescent="0.25">
      <c r="A381" s="16">
        <v>340</v>
      </c>
      <c r="B381" s="16">
        <f t="shared" ref="B381:B400" si="374">360-A381+90</f>
        <v>110</v>
      </c>
      <c r="C381" s="19">
        <f t="shared" ref="C381:C400" si="375">$AE$16*ABS(COS(RADIANS(A381)))+$AE$17*ABS(SIN(RADIANS(A381)))+AU381</f>
        <v>49.875554833930195</v>
      </c>
      <c r="D381" s="17">
        <f t="shared" ref="D381:D400" si="376">IF(ISNUMBER(U381),U381-C381,"unendlich")</f>
        <v>8263.8090251660687</v>
      </c>
      <c r="E381" s="17">
        <f t="shared" ref="E381:E400" si="377">IF(ISNUMBER(Y381),Y381-C381,"unendlich")</f>
        <v>-8975.1589848339299</v>
      </c>
      <c r="F381" s="17">
        <f t="shared" ref="F381:F400" si="378">IF(ISNUMBER(AC381),AC381-C381,"unendlich")</f>
        <v>-7955.4883548339303</v>
      </c>
      <c r="G381" s="17">
        <f t="shared" ref="G381:G400" si="379">IF(ISNUMBER(AG381),AG381-C381,"unendlich")</f>
        <v>9425.3773751660701</v>
      </c>
      <c r="H381" s="17">
        <f t="shared" ref="H381:H400" si="380">SMALL(D381:G381,COUNTIF(D381:G381,"&lt;0")+1)</f>
        <v>8263.8090251660687</v>
      </c>
      <c r="I381" s="17">
        <f t="shared" ref="I381:I400" si="381">IF(H381+C381=U381,W381,IF(H381+C381=Y381,AA381,IF(H381+C381=AC381,AE381,IF(H381+C381=AG381,AI381,"???"))))</f>
        <v>3353.0356665153695</v>
      </c>
      <c r="J381" s="20">
        <f>(Geraetedaten!$B$152+(Geraetedaten!$B$153*(Geraetedaten!$B$18+d_y_Sw)/1000))*10</f>
        <v>6051.0442000000003</v>
      </c>
      <c r="K381" s="20">
        <f>(Geraetedaten!$B$165+(Geraetedaten!$B$166*(Geraetedaten!$B$18+d_y_Sw)/1000))*10</f>
        <v>10816.164000000001</v>
      </c>
      <c r="L381" s="20">
        <f>(Geraetedaten!$B$158+(Geraetedaten!$B$159*(Geraetedaten!$B$18+d_y_Sw)/1000)-(Geraetedaten!$B$160*I381/1000))*10</f>
        <v>355.65849457442772</v>
      </c>
      <c r="M381" s="20">
        <f>(Geraetedaten!$B$171+(Geraetedaten!$B$172*(Geraetedaten!$B$18+d_y_Sw)/1000)-(Geraetedaten!$B$173*I381/1000))*10</f>
        <v>815.2670249845969</v>
      </c>
      <c r="N381" s="20">
        <f>IF((H381-J381)/(K381-J381)*(Geraetedaten!$B$174-Geraetedaten!$B$161)&lt;Geraetedaten!$B$174,(H381-J381)/(K381-J381)*(Geraetedaten!$B$174-Geraetedaten!$B$161),Geraetedaten!$B$174)</f>
        <v>185.74683685107505</v>
      </c>
      <c r="O381" s="20">
        <f>N381/Geraetedaten!$B$174*(M381-L381)+L381+C381</f>
        <v>618.96112619200812</v>
      </c>
      <c r="P381" s="20">
        <f t="shared" ref="P381:P400" si="382">O381*100/9.81/(Q381-(I381/1000))</f>
        <v>201.11258506511996</v>
      </c>
      <c r="Q381" s="21">
        <f>(N381-Geraetedaten!$B$161)/(Geraetedaten!$B$174-Geraetedaten!$B$161)*(Geraetedaten!$B$175-Geraetedaten!$B$162)+Geraetedaten!$B$162</f>
        <v>34.72596839631948</v>
      </c>
      <c r="R381" s="21">
        <f t="shared" ref="R381:R400" si="383">SQRT((r_K_D/1000)^2+Q381^2-(2*(r_K_D/1000)*Q381*COS(RADIANS(2*A381))))</f>
        <v>34.72596839631948</v>
      </c>
      <c r="S381" s="21">
        <f t="shared" ref="S381:S400" si="384">R381*SIN(A381*Const_2)</f>
        <v>-11.876980688031827</v>
      </c>
      <c r="T381" s="88">
        <f t="shared" ref="T381:T400" si="385">R381*COS(A381*Const_2)</f>
        <v>32.631736251666084</v>
      </c>
      <c r="U381" s="86">
        <f t="shared" ref="U381:U400" si="386">ROUND((F_S*r_Su_L-F_G*V381+F_SSw*X381)/(SIN(RADIANS(270+g_L-A381)))/1000,5)</f>
        <v>8313.6845799999992</v>
      </c>
      <c r="V381" s="85">
        <f t="shared" ref="V381:V400" si="387">(SIN(RADIANS(g_L)))*(((VL_Z-HL_Z)/(VL_X-HL_X))*(-HL_X+AM381)+HL_Z-AL381)</f>
        <v>-1141.3067828769733</v>
      </c>
      <c r="W381" s="85">
        <f t="shared" ref="W381:W400" si="388">V381/(SIN(RADIANS(180-g_L-(90-$A381))))</f>
        <v>3353.0356665153695</v>
      </c>
      <c r="X381" s="90">
        <f t="shared" ref="X381:X400" si="389">SIN(RADIANS(g_L))*(((VL_Z-HL_Z)/(VL_X-HL_X))*(-AO381+HL_X)-HL_Z+AN381)</f>
        <v>1141.3067828769733</v>
      </c>
      <c r="Y381" s="86">
        <f t="shared" ref="Y381:Y400" si="390">ROUND((F_S*r_Su_H-F_G*Z381+F_SSw*AB381)/(SIN(RADIANS(180+g_H-A381)))/1000,5)</f>
        <v>-8925.2834299999995</v>
      </c>
      <c r="Z381" s="85">
        <f t="shared" ref="Z381:Z400" si="391">(SIN(RADIANS(g_H)))*(((HL_X-HR_X)/(HL_Z-HR_Z))*(-HR_Z+AL381)+HR_X-AM381)</f>
        <v>-750</v>
      </c>
      <c r="AA381" s="85">
        <f t="shared" ref="AA381:AA400" si="392">Z381/(SIN(RADIANS(g_H-$A381)))</f>
        <v>-798.13332935693404</v>
      </c>
      <c r="AB381" s="90">
        <f t="shared" ref="AB381:AB400" si="393">SIN(RADIANS(g_H))*(((HL_X-HR_X)/(HL_Z-HR_Z))*(-AN381+HR_Z)-HR_X+AO381)</f>
        <v>750</v>
      </c>
      <c r="AC381" s="86">
        <f t="shared" ref="AC381:AC400" si="394">ROUND((F_S*r_Su_R+F_G*AD381+F_SSw*AF381)/(SIN(RADIANS(90+g_R-A381)))/1000,5)</f>
        <v>-7905.6127999999999</v>
      </c>
      <c r="AD381" s="85">
        <f t="shared" ref="AD381:AD400" si="395">(SIN(RADIANS(g_R)))*(((HR_Z-VR_Z)/(HR_X-VR_X))*(-VR_X+AM381)+VR_Z-AL381)</f>
        <v>1055.7627565116984</v>
      </c>
      <c r="AE381" s="85">
        <f t="shared" ref="AE381:AE400" si="396">AD381/(SIN(RADIANS(180-g_R-(90-$A381))))</f>
        <v>-3078.2379875578072</v>
      </c>
      <c r="AF381" s="90">
        <f t="shared" ref="AF381:AF400" si="397">(SIN(RADIANS(g_R)))*(((HR_Z-VR_Z)/(HR_X-VR_X))*(-VR_X+AO381)+VR_Z-AN381)</f>
        <v>1055.7627565116984</v>
      </c>
      <c r="AG381" s="86">
        <f t="shared" ref="AG381:AG400" si="398">ROUND((F_S*r_Su_V+F_G*AH381+F_SSw*AJ381)/(SIN(RADIANS(g_V-A381)))/1000,5)</f>
        <v>9475.2529300000006</v>
      </c>
      <c r="AH381" s="85">
        <f t="shared" ref="AH381:AH400" si="399">(SIN(RADIANS(g_V)))*(((VR_X-VL_X)/(VR_Z-VL_Z))*(AL381-VL_Z)+VL_X-AM381)</f>
        <v>6128</v>
      </c>
      <c r="AI381" s="85">
        <f t="shared" ref="AI381:AI400" si="400">AH381/(SIN(RADIANS(g_V-$A381)))</f>
        <v>6521.2813897323895</v>
      </c>
      <c r="AJ381" s="90">
        <f t="shared" ref="AJ381:AJ400" si="401">(SIN(RADIANS(g_V)))*(((VR_X-VL_X)/(VR_Z-VL_Z))*(-VL_Z+AN381)+VL_X-AO381)</f>
        <v>6128</v>
      </c>
      <c r="AL381" s="95">
        <f t="shared" ref="AL381:AL400" si="402">SIN(RADIANS(A381))*r_K_D</f>
        <v>0</v>
      </c>
      <c r="AM381" s="95">
        <f t="shared" ref="AM381:AM400" si="403">COS(RADIANS(A381-180))*r_K_D</f>
        <v>0</v>
      </c>
      <c r="AN381" s="95">
        <f t="shared" ref="AN381:AN400" si="404">SIN(RADIANS(A381))*r_K_SSw</f>
        <v>0</v>
      </c>
      <c r="AO381" s="95">
        <f t="shared" ref="AO381:AO400" si="405">-COS(RADIANS(A381))*r_K_SSw</f>
        <v>0</v>
      </c>
      <c r="AP381"/>
      <c r="AQ381" s="95">
        <f t="shared" ref="AQ381:AQ400" si="406">MAX(d_y_Sw*(r_K_D*ABS(COS(RADIANS($A381)))+_r1_Sw+_r2_Sw), 2*_r1_Sw*d_y_Sw)/1000000</f>
        <v>0</v>
      </c>
      <c r="AR381" s="95">
        <f t="shared" ref="AR381:AR400" si="407">MAX(d_y_Sw*(r_K_D*ABS(SIN(RADIANS($A381)))+_r1_Sw+_r2_Sw), 2*_r1_Sw*d_y_Sw)/1000000</f>
        <v>0</v>
      </c>
      <c r="AS381" s="95">
        <f>Geraetedaten!$B$94*ABS(SIN(RADIANS($A381)))</f>
        <v>52.671102072152962</v>
      </c>
      <c r="AT381" s="95">
        <f>Geraetedaten!$B$94*ABS(COS(RADIANS($A381)))</f>
        <v>144.7126636010299</v>
      </c>
      <c r="AU381" s="95">
        <f>((h_Aw_Sw+Geraetedaten!$B$18)/1000)*(AQ381*AS381+AR381*AT381)/100</f>
        <v>0</v>
      </c>
    </row>
    <row r="382" spans="1:47" ht="13.5" x14ac:dyDescent="0.25">
      <c r="A382" s="16">
        <v>341</v>
      </c>
      <c r="B382" s="16">
        <f t="shared" si="374"/>
        <v>109</v>
      </c>
      <c r="C382" s="19">
        <f t="shared" si="375"/>
        <v>49.004531136759482</v>
      </c>
      <c r="D382" s="17">
        <f t="shared" si="376"/>
        <v>8687.1972688632413</v>
      </c>
      <c r="E382" s="17">
        <f t="shared" si="377"/>
        <v>-8919.2934811367595</v>
      </c>
      <c r="F382" s="17">
        <f t="shared" si="378"/>
        <v>-8352.7920911367601</v>
      </c>
      <c r="G382" s="17">
        <f t="shared" si="379"/>
        <v>9367.8651988632409</v>
      </c>
      <c r="H382" s="17">
        <f t="shared" si="380"/>
        <v>8687.1972688632413</v>
      </c>
      <c r="I382" s="17">
        <f t="shared" si="381"/>
        <v>3523.4432996595469</v>
      </c>
      <c r="J382" s="20">
        <f>(Geraetedaten!$B$152+(Geraetedaten!$B$153*(Geraetedaten!$B$18+d_y_Sw)/1000))*10</f>
        <v>6051.0442000000003</v>
      </c>
      <c r="K382" s="20">
        <f>(Geraetedaten!$B$165+(Geraetedaten!$B$166*(Geraetedaten!$B$18+d_y_Sw)/1000))*10</f>
        <v>10816.164000000001</v>
      </c>
      <c r="L382" s="20">
        <f>(Geraetedaten!$B$158+(Geraetedaten!$B$159*(Geraetedaten!$B$18+d_y_Sw)/1000)-(Geraetedaten!$B$160*I382/1000))*10</f>
        <v>343.16250283596514</v>
      </c>
      <c r="M382" s="20">
        <f>(Geraetedaten!$B$171+(Geraetedaten!$B$172*(Geraetedaten!$B$18+d_y_Sw)/1000)-(Geraetedaten!$B$173*I382/1000))*10</f>
        <v>802.58188077334421</v>
      </c>
      <c r="N382" s="20">
        <f>IF((H382-J382)/(K382-J382)*(Geraetedaten!$B$174-Geraetedaten!$B$161)&lt;Geraetedaten!$B$174,(H382-J382)/(K382-J382)*(Geraetedaten!$B$174-Geraetedaten!$B$161),Geraetedaten!$B$174)</f>
        <v>221.28745378978641</v>
      </c>
      <c r="O382" s="20">
        <f>N382/Geraetedaten!$B$174*(M382-L382)+L382+C382</f>
        <v>646.32639488635016</v>
      </c>
      <c r="P382" s="20">
        <f t="shared" si="382"/>
        <v>204.2304185063073</v>
      </c>
      <c r="Q382" s="21">
        <f>(N382-Geraetedaten!$B$161)/(Geraetedaten!$B$174-Geraetedaten!$B$161)*(Geraetedaten!$B$175-Geraetedaten!$B$162)+Geraetedaten!$B$162</f>
        <v>35.783301750246146</v>
      </c>
      <c r="R382" s="21">
        <f t="shared" si="383"/>
        <v>35.783301750246146</v>
      </c>
      <c r="S382" s="21">
        <f t="shared" si="384"/>
        <v>-11.649903511211184</v>
      </c>
      <c r="T382" s="88">
        <f t="shared" si="385"/>
        <v>33.833776501133279</v>
      </c>
      <c r="U382" s="86">
        <f t="shared" si="386"/>
        <v>8736.2018000000007</v>
      </c>
      <c r="V382" s="85">
        <f t="shared" si="387"/>
        <v>-1141.3067828769733</v>
      </c>
      <c r="W382" s="85">
        <f t="shared" si="388"/>
        <v>3523.4432996595469</v>
      </c>
      <c r="X382" s="90">
        <f t="shared" si="389"/>
        <v>1141.3067828769733</v>
      </c>
      <c r="Y382" s="86">
        <f t="shared" si="390"/>
        <v>-8870.2889500000001</v>
      </c>
      <c r="Z382" s="85">
        <f t="shared" si="391"/>
        <v>-750</v>
      </c>
      <c r="AA382" s="85">
        <f t="shared" si="392"/>
        <v>-793.21551089000297</v>
      </c>
      <c r="AB382" s="90">
        <f t="shared" si="393"/>
        <v>750</v>
      </c>
      <c r="AC382" s="86">
        <f t="shared" si="394"/>
        <v>-8303.7875600000007</v>
      </c>
      <c r="AD382" s="85">
        <f t="shared" si="395"/>
        <v>1055.7627565116984</v>
      </c>
      <c r="AE382" s="85">
        <f t="shared" si="396"/>
        <v>-3233.2767785825658</v>
      </c>
      <c r="AF382" s="90">
        <f t="shared" si="397"/>
        <v>1055.7627565116984</v>
      </c>
      <c r="AG382" s="86">
        <f t="shared" si="398"/>
        <v>9416.8697300000003</v>
      </c>
      <c r="AH382" s="85">
        <f t="shared" si="399"/>
        <v>6128</v>
      </c>
      <c r="AI382" s="85">
        <f t="shared" si="400"/>
        <v>6481.0995343119175</v>
      </c>
      <c r="AJ382" s="90">
        <f t="shared" si="401"/>
        <v>6128</v>
      </c>
      <c r="AL382" s="95">
        <f t="shared" si="402"/>
        <v>0</v>
      </c>
      <c r="AM382" s="95">
        <f t="shared" si="403"/>
        <v>0</v>
      </c>
      <c r="AN382" s="95">
        <f t="shared" si="404"/>
        <v>0</v>
      </c>
      <c r="AO382" s="95">
        <f t="shared" si="405"/>
        <v>0</v>
      </c>
      <c r="AP382"/>
      <c r="AQ382" s="95">
        <f t="shared" si="406"/>
        <v>0</v>
      </c>
      <c r="AR382" s="95">
        <f t="shared" si="407"/>
        <v>0</v>
      </c>
      <c r="AS382" s="95">
        <f>Geraetedaten!$B$94*ABS(SIN(RADIANS($A382)))</f>
        <v>50.137495786402134</v>
      </c>
      <c r="AT382" s="95">
        <f>Geraetedaten!$B$94*ABS(COS(RADIANS($A382)))</f>
        <v>145.60986064229479</v>
      </c>
      <c r="AU382" s="95">
        <f>((h_Aw_Sw+Geraetedaten!$B$18)/1000)*(AQ382*AS382+AR382*AT382)/100</f>
        <v>0</v>
      </c>
    </row>
    <row r="383" spans="1:47" ht="13.5" x14ac:dyDescent="0.25">
      <c r="A383" s="16">
        <v>342</v>
      </c>
      <c r="B383" s="16">
        <f t="shared" si="374"/>
        <v>108</v>
      </c>
      <c r="C383" s="19">
        <f t="shared" si="375"/>
        <v>48.118580184686962</v>
      </c>
      <c r="D383" s="17">
        <f t="shared" si="376"/>
        <v>9158.8008398153124</v>
      </c>
      <c r="E383" s="17">
        <f t="shared" si="377"/>
        <v>-8866.7564101846874</v>
      </c>
      <c r="F383" s="17">
        <f t="shared" si="378"/>
        <v>-8795.1229101846875</v>
      </c>
      <c r="G383" s="17">
        <f t="shared" si="379"/>
        <v>9313.9173298153128</v>
      </c>
      <c r="H383" s="17">
        <f t="shared" si="380"/>
        <v>9158.8008398153124</v>
      </c>
      <c r="I383" s="17">
        <f t="shared" si="381"/>
        <v>3713.2908910825645</v>
      </c>
      <c r="J383" s="20">
        <f>(Geraetedaten!$B$152+(Geraetedaten!$B$153*(Geraetedaten!$B$18+d_y_Sw)/1000))*10</f>
        <v>6051.0442000000003</v>
      </c>
      <c r="K383" s="20">
        <f>(Geraetedaten!$B$165+(Geraetedaten!$B$166*(Geraetedaten!$B$18+d_y_Sw)/1000))*10</f>
        <v>10816.164000000001</v>
      </c>
      <c r="L383" s="20">
        <f>(Geraetedaten!$B$158+(Geraetedaten!$B$159*(Geraetedaten!$B$18+d_y_Sw)/1000)-(Geraetedaten!$B$160*I383/1000))*10</f>
        <v>329.24097895691534</v>
      </c>
      <c r="M383" s="20">
        <f>(Geraetedaten!$B$171+(Geraetedaten!$B$172*(Geraetedaten!$B$18+d_y_Sw)/1000)-(Geraetedaten!$B$173*I383/1000))*10</f>
        <v>788.44962606781473</v>
      </c>
      <c r="N383" s="20">
        <f>IF((H383-J383)/(K383-J383)*(Geraetedaten!$B$174-Geraetedaten!$B$161)&lt;Geraetedaten!$B$174,(H383-J383)/(K383-J383)*(Geraetedaten!$B$174-Geraetedaten!$B$161),Geraetedaten!$B$174)</f>
        <v>260.8754256138796</v>
      </c>
      <c r="O383" s="20">
        <f>N383/Geraetedaten!$B$174*(M383-L383)+L383+C383</f>
        <v>676.85018729317665</v>
      </c>
      <c r="P383" s="20">
        <f t="shared" si="382"/>
        <v>207.52061523274898</v>
      </c>
      <c r="Q383" s="21">
        <f>(N383-Geraetedaten!$B$161)/(Geraetedaten!$B$174-Geraetedaten!$B$161)*(Geraetedaten!$B$175-Geraetedaten!$B$162)+Geraetedaten!$B$162</f>
        <v>36.961043912012919</v>
      </c>
      <c r="R383" s="21">
        <f t="shared" si="383"/>
        <v>36.961043912012919</v>
      </c>
      <c r="S383" s="21">
        <f t="shared" si="384"/>
        <v>-11.421590698650688</v>
      </c>
      <c r="T383" s="88">
        <f t="shared" si="385"/>
        <v>35.152041661591198</v>
      </c>
      <c r="U383" s="86">
        <f t="shared" si="386"/>
        <v>9206.9194200000002</v>
      </c>
      <c r="V383" s="85">
        <f t="shared" si="387"/>
        <v>-1141.3067828769733</v>
      </c>
      <c r="W383" s="85">
        <f t="shared" si="388"/>
        <v>3713.2908910825645</v>
      </c>
      <c r="X383" s="90">
        <f t="shared" si="389"/>
        <v>1141.3067828769733</v>
      </c>
      <c r="Y383" s="86">
        <f t="shared" si="390"/>
        <v>-8818.6378299999997</v>
      </c>
      <c r="Z383" s="85">
        <f t="shared" si="391"/>
        <v>-750</v>
      </c>
      <c r="AA383" s="85">
        <f t="shared" si="392"/>
        <v>-788.5966681787005</v>
      </c>
      <c r="AB383" s="90">
        <f t="shared" si="393"/>
        <v>750</v>
      </c>
      <c r="AC383" s="86">
        <f t="shared" si="394"/>
        <v>-8747.0043299999998</v>
      </c>
      <c r="AD383" s="85">
        <f t="shared" si="395"/>
        <v>1055.7627565116984</v>
      </c>
      <c r="AE383" s="85">
        <f t="shared" si="396"/>
        <v>-3405.8537483649698</v>
      </c>
      <c r="AF383" s="90">
        <f t="shared" si="397"/>
        <v>1055.7627565116984</v>
      </c>
      <c r="AG383" s="86">
        <f t="shared" si="398"/>
        <v>9362.0359100000005</v>
      </c>
      <c r="AH383" s="85">
        <f t="shared" si="399"/>
        <v>6128</v>
      </c>
      <c r="AI383" s="85">
        <f t="shared" si="400"/>
        <v>6443.3605101321018</v>
      </c>
      <c r="AJ383" s="90">
        <f t="shared" si="401"/>
        <v>6128</v>
      </c>
      <c r="AL383" s="95">
        <f t="shared" si="402"/>
        <v>0</v>
      </c>
      <c r="AM383" s="95">
        <f t="shared" si="403"/>
        <v>0</v>
      </c>
      <c r="AN383" s="95">
        <f t="shared" si="404"/>
        <v>0</v>
      </c>
      <c r="AO383" s="95">
        <f t="shared" si="405"/>
        <v>0</v>
      </c>
      <c r="AP383"/>
      <c r="AQ383" s="95">
        <f t="shared" si="406"/>
        <v>0</v>
      </c>
      <c r="AR383" s="95">
        <f t="shared" si="407"/>
        <v>0</v>
      </c>
      <c r="AS383" s="95">
        <f>Geraetedaten!$B$94*ABS(SIN(RADIANS($A383)))</f>
        <v>47.588617133741934</v>
      </c>
      <c r="AT383" s="95">
        <f>Geraetedaten!$B$94*ABS(COS(RADIANS($A383)))</f>
        <v>146.46270350945363</v>
      </c>
      <c r="AU383" s="95">
        <f>((h_Aw_Sw+Geraetedaten!$B$18)/1000)*(AQ383*AS383+AR383*AT383)/100</f>
        <v>0</v>
      </c>
    </row>
    <row r="384" spans="1:47" ht="13.5" x14ac:dyDescent="0.25">
      <c r="A384" s="16">
        <v>343</v>
      </c>
      <c r="B384" s="16">
        <f t="shared" si="374"/>
        <v>107</v>
      </c>
      <c r="C384" s="19">
        <f t="shared" si="375"/>
        <v>47.217971846955038</v>
      </c>
      <c r="D384" s="17">
        <f t="shared" si="376"/>
        <v>9687.1676781530459</v>
      </c>
      <c r="E384" s="17">
        <f t="shared" si="377"/>
        <v>-8817.4587618469541</v>
      </c>
      <c r="F384" s="17">
        <f t="shared" si="378"/>
        <v>-9290.3947718469535</v>
      </c>
      <c r="G384" s="17">
        <f t="shared" si="379"/>
        <v>9263.4386981530461</v>
      </c>
      <c r="H384" s="17">
        <f t="shared" si="380"/>
        <v>9263.4386981530461</v>
      </c>
      <c r="I384" s="17">
        <f t="shared" si="381"/>
        <v>6407.9990837532441</v>
      </c>
      <c r="J384" s="20">
        <f>(Geraetedaten!$B$152+(Geraetedaten!$B$153*(Geraetedaten!$B$18+d_y_Sw)/1000))*10</f>
        <v>6051.0442000000003</v>
      </c>
      <c r="K384" s="20">
        <f>(Geraetedaten!$B$165+(Geraetedaten!$B$166*(Geraetedaten!$B$18+d_y_Sw)/1000))*10</f>
        <v>10816.164000000001</v>
      </c>
      <c r="L384" s="20">
        <f>(Geraetedaten!$B$158+(Geraetedaten!$B$159*(Geraetedaten!$B$18+d_y_Sw)/1000)-(Geraetedaten!$B$160*I384/1000))*10</f>
        <v>131.63802718837445</v>
      </c>
      <c r="M384" s="20">
        <f>(Geraetedaten!$B$171+(Geraetedaten!$B$172*(Geraetedaten!$B$18+d_y_Sw)/1000)-(Geraetedaten!$B$173*I384/1000))*10</f>
        <v>587.85554820540938</v>
      </c>
      <c r="N384" s="20">
        <f>IF((H384-J384)/(K384-J384)*(Geraetedaten!$B$174-Geraetedaten!$B$161)&lt;Geraetedaten!$B$174,(H384-J384)/(K384-J384)*(Geraetedaten!$B$174-Geraetedaten!$B$161),Geraetedaten!$B$174)</f>
        <v>269.65907536285204</v>
      </c>
      <c r="O384" s="20">
        <f>N384/Geraetedaten!$B$174*(M384-L384)+L384+C384</f>
        <v>486.41398623979489</v>
      </c>
      <c r="P384" s="20">
        <f t="shared" si="382"/>
        <v>160.91032686411151</v>
      </c>
      <c r="Q384" s="21">
        <f>(N384-Geraetedaten!$B$161)/(Geraetedaten!$B$174-Geraetedaten!$B$161)*(Geraetedaten!$B$175-Geraetedaten!$B$162)+Geraetedaten!$B$162</f>
        <v>37.22235749204485</v>
      </c>
      <c r="R384" s="21">
        <f t="shared" si="383"/>
        <v>37.22235749204485</v>
      </c>
      <c r="S384" s="21">
        <f t="shared" si="384"/>
        <v>-10.8827641137483</v>
      </c>
      <c r="T384" s="88">
        <f t="shared" si="385"/>
        <v>35.595917497798808</v>
      </c>
      <c r="U384" s="86">
        <f t="shared" si="386"/>
        <v>9734.3856500000002</v>
      </c>
      <c r="V384" s="85">
        <f t="shared" si="387"/>
        <v>-1141.3067828769733</v>
      </c>
      <c r="W384" s="85">
        <f t="shared" si="388"/>
        <v>3926.0260573890851</v>
      </c>
      <c r="X384" s="90">
        <f t="shared" si="389"/>
        <v>1141.3067828769733</v>
      </c>
      <c r="Y384" s="86">
        <f t="shared" si="390"/>
        <v>-8770.2407899999998</v>
      </c>
      <c r="Z384" s="85">
        <f t="shared" si="391"/>
        <v>-750</v>
      </c>
      <c r="AA384" s="85">
        <f t="shared" si="392"/>
        <v>-784.26881736536109</v>
      </c>
      <c r="AB384" s="90">
        <f t="shared" si="393"/>
        <v>750</v>
      </c>
      <c r="AC384" s="86">
        <f t="shared" si="394"/>
        <v>-9243.1767999999993</v>
      </c>
      <c r="AD384" s="85">
        <f t="shared" si="395"/>
        <v>1055.7627565116984</v>
      </c>
      <c r="AE384" s="85">
        <f t="shared" si="396"/>
        <v>-3599.050277173892</v>
      </c>
      <c r="AF384" s="90">
        <f t="shared" si="397"/>
        <v>1055.7627565116984</v>
      </c>
      <c r="AG384" s="86">
        <f t="shared" si="398"/>
        <v>9310.6566700000003</v>
      </c>
      <c r="AH384" s="85">
        <f t="shared" si="399"/>
        <v>6128</v>
      </c>
      <c r="AI384" s="85">
        <f t="shared" si="400"/>
        <v>6407.9990837532441</v>
      </c>
      <c r="AJ384" s="90">
        <f t="shared" si="401"/>
        <v>6128</v>
      </c>
      <c r="AL384" s="95">
        <f t="shared" si="402"/>
        <v>0</v>
      </c>
      <c r="AM384" s="95">
        <f t="shared" si="403"/>
        <v>0</v>
      </c>
      <c r="AN384" s="95">
        <f t="shared" si="404"/>
        <v>0</v>
      </c>
      <c r="AO384" s="95">
        <f t="shared" si="405"/>
        <v>0</v>
      </c>
      <c r="AP384"/>
      <c r="AQ384" s="95">
        <f t="shared" si="406"/>
        <v>0</v>
      </c>
      <c r="AR384" s="95">
        <f t="shared" si="407"/>
        <v>0</v>
      </c>
      <c r="AS384" s="95">
        <f>Geraetedaten!$B$94*ABS(SIN(RADIANS($A384)))</f>
        <v>45.025242527301522</v>
      </c>
      <c r="AT384" s="95">
        <f>Geraetedaten!$B$94*ABS(COS(RADIANS($A384)))</f>
        <v>147.27093241830744</v>
      </c>
      <c r="AU384" s="95">
        <f>((h_Aw_Sw+Geraetedaten!$B$18)/1000)*(AQ384*AS384+AR384*AT384)/100</f>
        <v>0</v>
      </c>
    </row>
    <row r="385" spans="1:47" ht="13.5" x14ac:dyDescent="0.25">
      <c r="A385" s="16">
        <v>344</v>
      </c>
      <c r="B385" s="16">
        <f t="shared" si="374"/>
        <v>106</v>
      </c>
      <c r="C385" s="19">
        <f t="shared" si="375"/>
        <v>46.302980457587722</v>
      </c>
      <c r="D385" s="17">
        <f t="shared" si="376"/>
        <v>10282.996689542413</v>
      </c>
      <c r="E385" s="17">
        <f t="shared" si="377"/>
        <v>-8771.3182504575871</v>
      </c>
      <c r="F385" s="17">
        <f t="shared" si="378"/>
        <v>-9848.4933604575872</v>
      </c>
      <c r="G385" s="17">
        <f t="shared" si="379"/>
        <v>9216.3414095424123</v>
      </c>
      <c r="H385" s="17">
        <f t="shared" si="380"/>
        <v>9216.3414095424123</v>
      </c>
      <c r="I385" s="17">
        <f t="shared" si="381"/>
        <v>6374.9549429598965</v>
      </c>
      <c r="J385" s="20">
        <f>(Geraetedaten!$B$152+(Geraetedaten!$B$153*(Geraetedaten!$B$18+d_y_Sw)/1000))*10</f>
        <v>6051.0442000000003</v>
      </c>
      <c r="K385" s="20">
        <f>(Geraetedaten!$B$165+(Geraetedaten!$B$166*(Geraetedaten!$B$18+d_y_Sw)/1000))*10</f>
        <v>10816.164000000001</v>
      </c>
      <c r="L385" s="20">
        <f>(Geraetedaten!$B$158+(Geraetedaten!$B$159*(Geraetedaten!$B$18+d_y_Sw)/1000)-(Geraetedaten!$B$160*I385/1000))*10</f>
        <v>134.06115403275066</v>
      </c>
      <c r="M385" s="20">
        <f>(Geraetedaten!$B$171+(Geraetedaten!$B$172*(Geraetedaten!$B$18+d_y_Sw)/1000)-(Geraetedaten!$B$173*I385/1000))*10</f>
        <v>590.3153540460662</v>
      </c>
      <c r="N385" s="20">
        <f>IF((H385-J385)/(K385-J385)*(Geraetedaten!$B$174-Geraetedaten!$B$161)&lt;Geraetedaten!$B$174,(H385-J385)/(K385-J385)*(Geraetedaten!$B$174-Geraetedaten!$B$161),Geraetedaten!$B$174)</f>
        <v>265.70557235873997</v>
      </c>
      <c r="O385" s="20">
        <f>N385/Geraetedaten!$B$174*(M385-L385)+L385+C385</f>
        <v>483.43734287938094</v>
      </c>
      <c r="P385" s="20">
        <f t="shared" si="382"/>
        <v>160.36576240540953</v>
      </c>
      <c r="Q385" s="21">
        <f>(N385-Geraetedaten!$B$161)/(Geraetedaten!$B$174-Geraetedaten!$B$161)*(Geraetedaten!$B$175-Geraetedaten!$B$162)+Geraetedaten!$B$162</f>
        <v>37.104740777672518</v>
      </c>
      <c r="R385" s="21">
        <f t="shared" si="383"/>
        <v>37.104740777672518</v>
      </c>
      <c r="S385" s="21">
        <f t="shared" si="384"/>
        <v>-10.22745263623283</v>
      </c>
      <c r="T385" s="88">
        <f t="shared" si="385"/>
        <v>35.667366047297179</v>
      </c>
      <c r="U385" s="86">
        <f t="shared" si="386"/>
        <v>10329.29967</v>
      </c>
      <c r="V385" s="85">
        <f t="shared" si="387"/>
        <v>-1141.3067828769733</v>
      </c>
      <c r="W385" s="85">
        <f t="shared" si="388"/>
        <v>4165.9639450649984</v>
      </c>
      <c r="X385" s="90">
        <f t="shared" si="389"/>
        <v>1141.3067828769733</v>
      </c>
      <c r="Y385" s="86">
        <f t="shared" si="390"/>
        <v>-8725.0152699999999</v>
      </c>
      <c r="Z385" s="85">
        <f t="shared" si="391"/>
        <v>-750</v>
      </c>
      <c r="AA385" s="85">
        <f t="shared" si="392"/>
        <v>-780.22457689620148</v>
      </c>
      <c r="AB385" s="90">
        <f t="shared" si="393"/>
        <v>750</v>
      </c>
      <c r="AC385" s="86">
        <f t="shared" si="394"/>
        <v>-9802.19038</v>
      </c>
      <c r="AD385" s="85">
        <f t="shared" si="395"/>
        <v>1055.7627565116984</v>
      </c>
      <c r="AE385" s="85">
        <f t="shared" si="396"/>
        <v>-3816.7154830514592</v>
      </c>
      <c r="AF385" s="90">
        <f t="shared" si="397"/>
        <v>1055.7627565116984</v>
      </c>
      <c r="AG385" s="86">
        <f t="shared" si="398"/>
        <v>9262.6443899999995</v>
      </c>
      <c r="AH385" s="85">
        <f t="shared" si="399"/>
        <v>6128</v>
      </c>
      <c r="AI385" s="85">
        <f t="shared" si="400"/>
        <v>6374.9549429598965</v>
      </c>
      <c r="AJ385" s="90">
        <f t="shared" si="401"/>
        <v>6128</v>
      </c>
      <c r="AL385" s="95">
        <f t="shared" si="402"/>
        <v>0</v>
      </c>
      <c r="AM385" s="95">
        <f t="shared" si="403"/>
        <v>0</v>
      </c>
      <c r="AN385" s="95">
        <f t="shared" si="404"/>
        <v>0</v>
      </c>
      <c r="AO385" s="95">
        <f t="shared" si="405"/>
        <v>0</v>
      </c>
      <c r="AP385"/>
      <c r="AQ385" s="95">
        <f t="shared" si="406"/>
        <v>0</v>
      </c>
      <c r="AR385" s="95">
        <f t="shared" si="407"/>
        <v>0</v>
      </c>
      <c r="AS385" s="95">
        <f>Geraetedaten!$B$94*ABS(SIN(RADIANS($A385)))</f>
        <v>42.44815279581784</v>
      </c>
      <c r="AT385" s="95">
        <f>Geraetedaten!$B$94*ABS(COS(RADIANS($A385)))</f>
        <v>148.03430117450111</v>
      </c>
      <c r="AU385" s="95">
        <f>((h_Aw_Sw+Geraetedaten!$B$18)/1000)*(AQ385*AS385+AR385*AT385)/100</f>
        <v>0</v>
      </c>
    </row>
    <row r="386" spans="1:47" ht="13.5" x14ac:dyDescent="0.25">
      <c r="A386" s="16">
        <v>345</v>
      </c>
      <c r="B386" s="16">
        <f t="shared" si="374"/>
        <v>105</v>
      </c>
      <c r="C386" s="19">
        <f t="shared" si="375"/>
        <v>45.373884731826017</v>
      </c>
      <c r="D386" s="17">
        <f t="shared" si="376"/>
        <v>10959.859575268174</v>
      </c>
      <c r="E386" s="17">
        <f t="shared" si="377"/>
        <v>-8728.2589947318247</v>
      </c>
      <c r="F386" s="17">
        <f t="shared" si="378"/>
        <v>-10481.930774731825</v>
      </c>
      <c r="G386" s="17">
        <f t="shared" si="379"/>
        <v>9172.5443152681746</v>
      </c>
      <c r="H386" s="17">
        <f t="shared" si="380"/>
        <v>9172.5443152681746</v>
      </c>
      <c r="I386" s="17">
        <f t="shared" si="381"/>
        <v>6344.1724335529889</v>
      </c>
      <c r="J386" s="20">
        <f>(Geraetedaten!$B$152+(Geraetedaten!$B$153*(Geraetedaten!$B$18+d_y_Sw)/1000))*10</f>
        <v>6051.0442000000003</v>
      </c>
      <c r="K386" s="20">
        <f>(Geraetedaten!$B$165+(Geraetedaten!$B$166*(Geraetedaten!$B$18+d_y_Sw)/1000))*10</f>
        <v>10816.164000000001</v>
      </c>
      <c r="L386" s="20">
        <f>(Geraetedaten!$B$158+(Geraetedaten!$B$159*(Geraetedaten!$B$18+d_y_Sw)/1000)-(Geraetedaten!$B$160*I386/1000))*10</f>
        <v>136.31843544755918</v>
      </c>
      <c r="M386" s="20">
        <f>(Geraetedaten!$B$171+(Geraetedaten!$B$172*(Geraetedaten!$B$18+d_y_Sw)/1000)-(Geraetedaten!$B$173*I386/1000))*10</f>
        <v>592.60680404631626</v>
      </c>
      <c r="N386" s="20">
        <f>IF((H386-J386)/(K386-J386)*(Geraetedaten!$B$174-Geraetedaten!$B$161)&lt;Geraetedaten!$B$174,(H386-J386)/(K386-J386)*(Geraetedaten!$B$174-Geraetedaten!$B$161),Geraetedaten!$B$174)</f>
        <v>262.02909864034677</v>
      </c>
      <c r="O386" s="20">
        <f>N386/Geraetedaten!$B$174*(M386-L386)+L386+C386</f>
        <v>480.59439503940177</v>
      </c>
      <c r="P386" s="20">
        <f t="shared" si="382"/>
        <v>159.8314751897511</v>
      </c>
      <c r="Q386" s="21">
        <f>(N386-Geraetedaten!$B$161)/(Geraetedaten!$B$174-Geraetedaten!$B$161)*(Geraetedaten!$B$175-Geraetedaten!$B$162)+Geraetedaten!$B$162</f>
        <v>36.995365684550315</v>
      </c>
      <c r="R386" s="21">
        <f t="shared" si="383"/>
        <v>36.995365684550315</v>
      </c>
      <c r="S386" s="21">
        <f t="shared" si="384"/>
        <v>-9.5751052196938744</v>
      </c>
      <c r="T386" s="88">
        <f t="shared" si="385"/>
        <v>35.734779167715509</v>
      </c>
      <c r="U386" s="86">
        <f t="shared" si="386"/>
        <v>11005.233459999999</v>
      </c>
      <c r="V386" s="85">
        <f t="shared" si="387"/>
        <v>-1141.3067828769733</v>
      </c>
      <c r="W386" s="85">
        <f t="shared" si="388"/>
        <v>4438.5783436924512</v>
      </c>
      <c r="X386" s="90">
        <f t="shared" si="389"/>
        <v>1141.3067828769733</v>
      </c>
      <c r="Y386" s="86">
        <f t="shared" si="390"/>
        <v>-8682.8851099999993</v>
      </c>
      <c r="Z386" s="85">
        <f t="shared" si="391"/>
        <v>-750</v>
      </c>
      <c r="AA386" s="85">
        <f t="shared" si="392"/>
        <v>-776.45713530756223</v>
      </c>
      <c r="AB386" s="90">
        <f t="shared" si="393"/>
        <v>750</v>
      </c>
      <c r="AC386" s="86">
        <f t="shared" si="394"/>
        <v>-10436.55689</v>
      </c>
      <c r="AD386" s="85">
        <f t="shared" si="395"/>
        <v>1055.7627565116984</v>
      </c>
      <c r="AE386" s="85">
        <f t="shared" si="396"/>
        <v>-4063.7211401837385</v>
      </c>
      <c r="AF386" s="90">
        <f t="shared" si="397"/>
        <v>1055.7627565116984</v>
      </c>
      <c r="AG386" s="86">
        <f t="shared" si="398"/>
        <v>9217.9182000000001</v>
      </c>
      <c r="AH386" s="85">
        <f t="shared" si="399"/>
        <v>6128</v>
      </c>
      <c r="AI386" s="85">
        <f t="shared" si="400"/>
        <v>6344.1724335529889</v>
      </c>
      <c r="AJ386" s="90">
        <f t="shared" si="401"/>
        <v>6128</v>
      </c>
      <c r="AL386" s="95">
        <f t="shared" si="402"/>
        <v>0</v>
      </c>
      <c r="AM386" s="95">
        <f t="shared" si="403"/>
        <v>0</v>
      </c>
      <c r="AN386" s="95">
        <f t="shared" si="404"/>
        <v>0</v>
      </c>
      <c r="AO386" s="95">
        <f t="shared" si="405"/>
        <v>0</v>
      </c>
      <c r="AP386"/>
      <c r="AQ386" s="95">
        <f t="shared" si="406"/>
        <v>0</v>
      </c>
      <c r="AR386" s="95">
        <f t="shared" si="407"/>
        <v>0</v>
      </c>
      <c r="AS386" s="95">
        <f>Geraetedaten!$B$94*ABS(SIN(RADIANS($A386)))</f>
        <v>39.858132945788185</v>
      </c>
      <c r="AT386" s="95">
        <f>Geraetedaten!$B$94*ABS(COS(RADIANS($A386)))</f>
        <v>148.75257724851653</v>
      </c>
      <c r="AU386" s="95">
        <f>((h_Aw_Sw+Geraetedaten!$B$18)/1000)*(AQ386*AS386+AR386*AT386)/100</f>
        <v>0</v>
      </c>
    </row>
    <row r="387" spans="1:47" ht="13.5" x14ac:dyDescent="0.25">
      <c r="A387" s="16">
        <v>346</v>
      </c>
      <c r="B387" s="16">
        <f t="shared" si="374"/>
        <v>104</v>
      </c>
      <c r="C387" s="19">
        <f t="shared" si="375"/>
        <v>44.430967681228317</v>
      </c>
      <c r="D387" s="17">
        <f t="shared" si="376"/>
        <v>11735.234222318772</v>
      </c>
      <c r="E387" s="17">
        <f t="shared" si="377"/>
        <v>-8688.2111576812276</v>
      </c>
      <c r="F387" s="17">
        <f t="shared" si="378"/>
        <v>-11206.779637681228</v>
      </c>
      <c r="G387" s="17">
        <f t="shared" si="379"/>
        <v>9131.9726923187718</v>
      </c>
      <c r="H387" s="17">
        <f t="shared" si="380"/>
        <v>9131.9726923187718</v>
      </c>
      <c r="I387" s="17">
        <f t="shared" si="381"/>
        <v>6315.6003206561754</v>
      </c>
      <c r="J387" s="20">
        <f>(Geraetedaten!$B$152+(Geraetedaten!$B$153*(Geraetedaten!$B$18+d_y_Sw)/1000))*10</f>
        <v>6051.0442000000003</v>
      </c>
      <c r="K387" s="20">
        <f>(Geraetedaten!$B$165+(Geraetedaten!$B$166*(Geraetedaten!$B$18+d_y_Sw)/1000))*10</f>
        <v>10816.164000000001</v>
      </c>
      <c r="L387" s="20">
        <f>(Geraetedaten!$B$158+(Geraetedaten!$B$159*(Geraetedaten!$B$18+d_y_Sw)/1000)-(Geraetedaten!$B$160*I387/1000))*10</f>
        <v>138.41362848628245</v>
      </c>
      <c r="M387" s="20">
        <f>(Geraetedaten!$B$171+(Geraetedaten!$B$172*(Geraetedaten!$B$18+d_y_Sw)/1000)-(Geraetedaten!$B$173*I387/1000))*10</f>
        <v>594.73371213035512</v>
      </c>
      <c r="N387" s="20">
        <f>IF((H387-J387)/(K387-J387)*(Geraetedaten!$B$174-Geraetedaten!$B$161)&lt;Geraetedaten!$B$174,(H387-J387)/(K387-J387)*(Geraetedaten!$B$174-Geraetedaten!$B$161),Geraetedaten!$B$174)</f>
        <v>258.62338170962846</v>
      </c>
      <c r="O387" s="20">
        <f>N387/Geraetedaten!$B$174*(M387-L387)+L387+C387</f>
        <v>477.88220410263722</v>
      </c>
      <c r="P387" s="20">
        <f t="shared" si="382"/>
        <v>159.30758355797951</v>
      </c>
      <c r="Q387" s="21">
        <f>(N387-Geraetedaten!$B$161)/(Geraetedaten!$B$174-Geraetedaten!$B$161)*(Geraetedaten!$B$175-Geraetedaten!$B$162)+Geraetedaten!$B$162</f>
        <v>36.89404560586145</v>
      </c>
      <c r="R387" s="21">
        <f t="shared" si="383"/>
        <v>36.89404560586145</v>
      </c>
      <c r="S387" s="21">
        <f t="shared" si="384"/>
        <v>-8.9254774493105984</v>
      </c>
      <c r="T387" s="88">
        <f t="shared" si="385"/>
        <v>35.798134776399074</v>
      </c>
      <c r="U387" s="86">
        <f t="shared" si="386"/>
        <v>11779.66519</v>
      </c>
      <c r="V387" s="85">
        <f t="shared" si="387"/>
        <v>-1141.3067828769733</v>
      </c>
      <c r="W387" s="85">
        <f t="shared" si="388"/>
        <v>4750.9184594638918</v>
      </c>
      <c r="X387" s="90">
        <f t="shared" si="389"/>
        <v>1141.3067828769733</v>
      </c>
      <c r="Y387" s="86">
        <f t="shared" si="390"/>
        <v>-8643.7801899999995</v>
      </c>
      <c r="Z387" s="85">
        <f t="shared" si="391"/>
        <v>-750</v>
      </c>
      <c r="AA387" s="85">
        <f t="shared" si="392"/>
        <v>-772.96022201242351</v>
      </c>
      <c r="AB387" s="90">
        <f t="shared" si="393"/>
        <v>750</v>
      </c>
      <c r="AC387" s="86">
        <f t="shared" si="394"/>
        <v>-11162.348669999999</v>
      </c>
      <c r="AD387" s="85">
        <f t="shared" si="395"/>
        <v>1055.7627565116984</v>
      </c>
      <c r="AE387" s="85">
        <f t="shared" si="396"/>
        <v>-4346.3253950724347</v>
      </c>
      <c r="AF387" s="90">
        <f t="shared" si="397"/>
        <v>1055.7627565116984</v>
      </c>
      <c r="AG387" s="86">
        <f t="shared" si="398"/>
        <v>9176.4036599999999</v>
      </c>
      <c r="AH387" s="85">
        <f t="shared" si="399"/>
        <v>6128</v>
      </c>
      <c r="AI387" s="85">
        <f t="shared" si="400"/>
        <v>6315.6003206561754</v>
      </c>
      <c r="AJ387" s="90">
        <f t="shared" si="401"/>
        <v>6128</v>
      </c>
      <c r="AL387" s="95">
        <f t="shared" si="402"/>
        <v>0</v>
      </c>
      <c r="AM387" s="95">
        <f t="shared" si="403"/>
        <v>0</v>
      </c>
      <c r="AN387" s="95">
        <f t="shared" si="404"/>
        <v>0</v>
      </c>
      <c r="AO387" s="95">
        <f t="shared" si="405"/>
        <v>0</v>
      </c>
      <c r="AP387"/>
      <c r="AQ387" s="95">
        <f t="shared" si="406"/>
        <v>0</v>
      </c>
      <c r="AR387" s="95">
        <f t="shared" si="407"/>
        <v>0</v>
      </c>
      <c r="AS387" s="95">
        <f>Geraetedaten!$B$94*ABS(SIN(RADIANS($A387)))</f>
        <v>37.255971922348849</v>
      </c>
      <c r="AT387" s="95">
        <f>Geraetedaten!$B$94*ABS(COS(RADIANS($A387)))</f>
        <v>149.42554184650345</v>
      </c>
      <c r="AU387" s="95">
        <f>((h_Aw_Sw+Geraetedaten!$B$18)/1000)*(AQ387*AS387+AR387*AT387)/100</f>
        <v>0</v>
      </c>
    </row>
    <row r="388" spans="1:47" ht="13.5" x14ac:dyDescent="0.25">
      <c r="A388" s="16">
        <v>347</v>
      </c>
      <c r="B388" s="16">
        <f t="shared" si="374"/>
        <v>103</v>
      </c>
      <c r="C388" s="19">
        <f t="shared" si="375"/>
        <v>43.474516527462463</v>
      </c>
      <c r="D388" s="17">
        <f t="shared" si="376"/>
        <v>12632.018663472538</v>
      </c>
      <c r="E388" s="17">
        <f t="shared" si="377"/>
        <v>-8651.1106465274624</v>
      </c>
      <c r="F388" s="17">
        <f t="shared" si="378"/>
        <v>-12044.036386527461</v>
      </c>
      <c r="G388" s="17">
        <f t="shared" si="379"/>
        <v>9094.5579134725376</v>
      </c>
      <c r="H388" s="17">
        <f t="shared" si="380"/>
        <v>9094.5579134725376</v>
      </c>
      <c r="I388" s="17">
        <f t="shared" si="381"/>
        <v>6289.1915725579047</v>
      </c>
      <c r="J388" s="20">
        <f>(Geraetedaten!$B$152+(Geraetedaten!$B$153*(Geraetedaten!$B$18+d_y_Sw)/1000))*10</f>
        <v>6051.0442000000003</v>
      </c>
      <c r="K388" s="20">
        <f>(Geraetedaten!$B$165+(Geraetedaten!$B$166*(Geraetedaten!$B$18+d_y_Sw)/1000))*10</f>
        <v>10816.164000000001</v>
      </c>
      <c r="L388" s="20">
        <f>(Geraetedaten!$B$158+(Geraetedaten!$B$159*(Geraetedaten!$B$18+d_y_Sw)/1000)-(Geraetedaten!$B$160*I388/1000))*10</f>
        <v>140.35018198432866</v>
      </c>
      <c r="M388" s="20">
        <f>(Geraetedaten!$B$171+(Geraetedaten!$B$172*(Geraetedaten!$B$18+d_y_Sw)/1000)-(Geraetedaten!$B$173*I388/1000))*10</f>
        <v>596.69957933879039</v>
      </c>
      <c r="N388" s="20">
        <f>IF((H388-J388)/(K388-J388)*(Geraetedaten!$B$174-Geraetedaten!$B$161)&lt;Geraetedaten!$B$174,(H388-J388)/(K388-J388)*(Geraetedaten!$B$174-Geraetedaten!$B$161),Geraetedaten!$B$174)</f>
        <v>255.48266076941334</v>
      </c>
      <c r="O388" s="20">
        <f>N388/Geraetedaten!$B$174*(M388-L388)+L388+C388</f>
        <v>475.29809420338154</v>
      </c>
      <c r="P388" s="20">
        <f t="shared" si="382"/>
        <v>158.79421611954217</v>
      </c>
      <c r="Q388" s="21">
        <f>(N388-Geraetedaten!$B$161)/(Geraetedaten!$B$174-Geraetedaten!$B$161)*(Geraetedaten!$B$175-Geraetedaten!$B$162)+Geraetedaten!$B$162</f>
        <v>36.800609157890051</v>
      </c>
      <c r="R388" s="21">
        <f t="shared" si="383"/>
        <v>36.800609157890051</v>
      </c>
      <c r="S388" s="21">
        <f t="shared" si="384"/>
        <v>-8.2783358305638739</v>
      </c>
      <c r="T388" s="88">
        <f t="shared" si="385"/>
        <v>35.85741192930945</v>
      </c>
      <c r="U388" s="86">
        <f t="shared" si="386"/>
        <v>12675.493179999999</v>
      </c>
      <c r="V388" s="85">
        <f t="shared" si="387"/>
        <v>-1141.3067828769733</v>
      </c>
      <c r="W388" s="85">
        <f t="shared" si="388"/>
        <v>5112.2195365541511</v>
      </c>
      <c r="X388" s="90">
        <f t="shared" si="389"/>
        <v>1141.3067828769733</v>
      </c>
      <c r="Y388" s="86">
        <f t="shared" si="390"/>
        <v>-8607.6361300000008</v>
      </c>
      <c r="Z388" s="85">
        <f t="shared" si="391"/>
        <v>-750</v>
      </c>
      <c r="AA388" s="85">
        <f t="shared" si="392"/>
        <v>-769.72808084504379</v>
      </c>
      <c r="AB388" s="90">
        <f t="shared" si="393"/>
        <v>750</v>
      </c>
      <c r="AC388" s="86">
        <f t="shared" si="394"/>
        <v>-12000.56187</v>
      </c>
      <c r="AD388" s="85">
        <f t="shared" si="395"/>
        <v>1055.7627565116984</v>
      </c>
      <c r="AE388" s="85">
        <f t="shared" si="396"/>
        <v>-4672.7036023274204</v>
      </c>
      <c r="AF388" s="90">
        <f t="shared" si="397"/>
        <v>1055.7627565116984</v>
      </c>
      <c r="AG388" s="86">
        <f t="shared" si="398"/>
        <v>9138.0324299999993</v>
      </c>
      <c r="AH388" s="85">
        <f t="shared" si="399"/>
        <v>6128</v>
      </c>
      <c r="AI388" s="85">
        <f t="shared" si="400"/>
        <v>6289.1915725579047</v>
      </c>
      <c r="AJ388" s="90">
        <f t="shared" si="401"/>
        <v>6128</v>
      </c>
      <c r="AL388" s="95">
        <f t="shared" si="402"/>
        <v>0</v>
      </c>
      <c r="AM388" s="95">
        <f t="shared" si="403"/>
        <v>0</v>
      </c>
      <c r="AN388" s="95">
        <f t="shared" si="404"/>
        <v>0</v>
      </c>
      <c r="AO388" s="95">
        <f t="shared" si="405"/>
        <v>0</v>
      </c>
      <c r="AP388"/>
      <c r="AQ388" s="95">
        <f t="shared" si="406"/>
        <v>0</v>
      </c>
      <c r="AR388" s="95">
        <f t="shared" si="407"/>
        <v>0</v>
      </c>
      <c r="AS388" s="95">
        <f>Geraetedaten!$B$94*ABS(SIN(RADIANS($A388)))</f>
        <v>34.642462368955265</v>
      </c>
      <c r="AT388" s="95">
        <f>Geraetedaten!$B$94*ABS(COS(RADIANS($A388)))</f>
        <v>150.0529899769262</v>
      </c>
      <c r="AU388" s="95">
        <f>((h_Aw_Sw+Geraetedaten!$B$18)/1000)*(AQ388*AS388+AR388*AT388)/100</f>
        <v>0</v>
      </c>
    </row>
    <row r="389" spans="1:47" ht="13.5" x14ac:dyDescent="0.25">
      <c r="A389" s="16">
        <v>348</v>
      </c>
      <c r="B389" s="16">
        <f t="shared" si="374"/>
        <v>102</v>
      </c>
      <c r="C389" s="19">
        <f t="shared" si="375"/>
        <v>42.504822614815247</v>
      </c>
      <c r="D389" s="17">
        <f t="shared" si="376"/>
        <v>13680.808467385184</v>
      </c>
      <c r="E389" s="17">
        <f t="shared" si="377"/>
        <v>-8616.8988826148161</v>
      </c>
      <c r="F389" s="17">
        <f t="shared" si="378"/>
        <v>-13021.662982614816</v>
      </c>
      <c r="G389" s="17">
        <f t="shared" si="379"/>
        <v>9060.2371873851844</v>
      </c>
      <c r="H389" s="17">
        <f t="shared" si="380"/>
        <v>9060.2371873851844</v>
      </c>
      <c r="I389" s="17">
        <f t="shared" si="381"/>
        <v>6264.9031653328993</v>
      </c>
      <c r="J389" s="20">
        <f>(Geraetedaten!$B$152+(Geraetedaten!$B$153*(Geraetedaten!$B$18+d_y_Sw)/1000))*10</f>
        <v>6051.0442000000003</v>
      </c>
      <c r="K389" s="20">
        <f>(Geraetedaten!$B$165+(Geraetedaten!$B$166*(Geraetedaten!$B$18+d_y_Sw)/1000))*10</f>
        <v>10816.164000000001</v>
      </c>
      <c r="L389" s="20">
        <f>(Geraetedaten!$B$158+(Geraetedaten!$B$159*(Geraetedaten!$B$18+d_y_Sw)/1000)-(Geraetedaten!$B$160*I389/1000))*10</f>
        <v>142.13125088613836</v>
      </c>
      <c r="M389" s="20">
        <f>(Geraetedaten!$B$171+(Geraetedaten!$B$172*(Geraetedaten!$B$18+d_y_Sw)/1000)-(Geraetedaten!$B$173*I389/1000))*10</f>
        <v>598.50760837261976</v>
      </c>
      <c r="N389" s="20">
        <f>IF((H389-J389)/(K389-J389)*(Geraetedaten!$B$174-Geraetedaten!$B$161)&lt;Geraetedaten!$B$174,(H389-J389)/(K389-J389)*(Geraetedaten!$B$174-Geraetedaten!$B$161),Geraetedaten!$B$174)</f>
        <v>252.60166490548119</v>
      </c>
      <c r="O389" s="20">
        <f>N389/Geraetedaten!$B$174*(M389-L389)+L389+C389</f>
        <v>472.83964281241424</v>
      </c>
      <c r="P389" s="20">
        <f t="shared" si="382"/>
        <v>158.29151221274537</v>
      </c>
      <c r="Q389" s="21">
        <f>(N389-Geraetedaten!$B$161)/(Geraetedaten!$B$174-Geraetedaten!$B$161)*(Geraetedaten!$B$175-Geraetedaten!$B$162)+Geraetedaten!$B$162</f>
        <v>36.714899530938069</v>
      </c>
      <c r="R389" s="21">
        <f t="shared" si="383"/>
        <v>36.714899530938069</v>
      </c>
      <c r="S389" s="21">
        <f t="shared" si="384"/>
        <v>-7.6334568396815126</v>
      </c>
      <c r="T389" s="88">
        <f t="shared" si="385"/>
        <v>35.912590887369795</v>
      </c>
      <c r="U389" s="86">
        <f t="shared" si="386"/>
        <v>13723.31329</v>
      </c>
      <c r="V389" s="85">
        <f t="shared" si="387"/>
        <v>-1141.3067828769733</v>
      </c>
      <c r="W389" s="85">
        <f t="shared" si="388"/>
        <v>5534.821354145588</v>
      </c>
      <c r="X389" s="90">
        <f t="shared" si="389"/>
        <v>1141.3067828769733</v>
      </c>
      <c r="Y389" s="86">
        <f t="shared" si="390"/>
        <v>-8574.3940600000005</v>
      </c>
      <c r="Z389" s="85">
        <f t="shared" si="391"/>
        <v>-750</v>
      </c>
      <c r="AA389" s="85">
        <f t="shared" si="392"/>
        <v>-766.75544614877197</v>
      </c>
      <c r="AB389" s="90">
        <f t="shared" si="393"/>
        <v>750</v>
      </c>
      <c r="AC389" s="86">
        <f t="shared" si="394"/>
        <v>-12979.158160000001</v>
      </c>
      <c r="AD389" s="85">
        <f t="shared" si="395"/>
        <v>1055.7627565116984</v>
      </c>
      <c r="AE389" s="85">
        <f t="shared" si="396"/>
        <v>-5053.7432950903894</v>
      </c>
      <c r="AF389" s="90">
        <f t="shared" si="397"/>
        <v>1055.7627565116984</v>
      </c>
      <c r="AG389" s="86">
        <f t="shared" si="398"/>
        <v>9102.7420099999999</v>
      </c>
      <c r="AH389" s="85">
        <f t="shared" si="399"/>
        <v>6128</v>
      </c>
      <c r="AI389" s="85">
        <f t="shared" si="400"/>
        <v>6264.9031653328993</v>
      </c>
      <c r="AJ389" s="90">
        <f t="shared" si="401"/>
        <v>6128</v>
      </c>
      <c r="AL389" s="95">
        <f t="shared" si="402"/>
        <v>0</v>
      </c>
      <c r="AM389" s="95">
        <f t="shared" si="403"/>
        <v>0</v>
      </c>
      <c r="AN389" s="95">
        <f t="shared" si="404"/>
        <v>0</v>
      </c>
      <c r="AO389" s="95">
        <f t="shared" si="405"/>
        <v>0</v>
      </c>
      <c r="AP389"/>
      <c r="AQ389" s="95">
        <f t="shared" si="406"/>
        <v>0</v>
      </c>
      <c r="AR389" s="95">
        <f t="shared" si="407"/>
        <v>0</v>
      </c>
      <c r="AS389" s="95">
        <f>Geraetedaten!$B$94*ABS(SIN(RADIANS($A389)))</f>
        <v>32.018400385935017</v>
      </c>
      <c r="AT389" s="95">
        <f>Geraetedaten!$B$94*ABS(COS(RADIANS($A389)))</f>
        <v>150.63473051300605</v>
      </c>
      <c r="AU389" s="95">
        <f>((h_Aw_Sw+Geraetedaten!$B$18)/1000)*(AQ389*AS389+AR389*AT389)/100</f>
        <v>0</v>
      </c>
    </row>
    <row r="390" spans="1:47" ht="13.5" x14ac:dyDescent="0.25">
      <c r="A390" s="16">
        <v>349</v>
      </c>
      <c r="B390" s="16">
        <f t="shared" si="374"/>
        <v>101</v>
      </c>
      <c r="C390" s="19">
        <f t="shared" si="375"/>
        <v>41.522181321446041</v>
      </c>
      <c r="D390" s="17">
        <f t="shared" si="376"/>
        <v>14923.427718678553</v>
      </c>
      <c r="E390" s="17">
        <f t="shared" si="377"/>
        <v>-8585.5225113214474</v>
      </c>
      <c r="F390" s="17">
        <f t="shared" si="378"/>
        <v>-14177.736281321446</v>
      </c>
      <c r="G390" s="17">
        <f t="shared" si="379"/>
        <v>9028.9532586785535</v>
      </c>
      <c r="H390" s="17">
        <f t="shared" si="380"/>
        <v>9028.9532586785535</v>
      </c>
      <c r="I390" s="17">
        <f t="shared" si="381"/>
        <v>6242.6959066855525</v>
      </c>
      <c r="J390" s="20">
        <f>(Geraetedaten!$B$152+(Geraetedaten!$B$153*(Geraetedaten!$B$18+d_y_Sw)/1000))*10</f>
        <v>6051.0442000000003</v>
      </c>
      <c r="K390" s="20">
        <f>(Geraetedaten!$B$165+(Geraetedaten!$B$166*(Geraetedaten!$B$18+d_y_Sw)/1000))*10</f>
        <v>10816.164000000001</v>
      </c>
      <c r="L390" s="20">
        <f>(Geraetedaten!$B$158+(Geraetedaten!$B$159*(Geraetedaten!$B$18+d_y_Sw)/1000)-(Geraetedaten!$B$160*I390/1000))*10</f>
        <v>143.75970916274824</v>
      </c>
      <c r="M390" s="20">
        <f>(Geraetedaten!$B$171+(Geraetedaten!$B$172*(Geraetedaten!$B$18+d_y_Sw)/1000)-(Geraetedaten!$B$173*I390/1000))*10</f>
        <v>600.16071670632834</v>
      </c>
      <c r="N390" s="20">
        <f>IF((H390-J390)/(K390-J390)*(Geraetedaten!$B$174-Geraetedaten!$B$161)&lt;Geraetedaten!$B$174,(H390-J390)/(K390-J390)*(Geraetedaten!$B$174-Geraetedaten!$B$161),Geraetedaten!$B$174)</f>
        <v>249.97558791101562</v>
      </c>
      <c r="O390" s="20">
        <f>N390/Geraetedaten!$B$174*(M390-L390)+L390+C390</f>
        <v>470.50466594391014</v>
      </c>
      <c r="P390" s="20">
        <f t="shared" si="382"/>
        <v>157.79962106489904</v>
      </c>
      <c r="Q390" s="21">
        <f>(N390-Geraetedaten!$B$161)/(Geraetedaten!$B$174-Geraetedaten!$B$161)*(Geraetedaten!$B$175-Geraetedaten!$B$162)+Geraetedaten!$B$162</f>
        <v>36.636773740352716</v>
      </c>
      <c r="R390" s="21">
        <f t="shared" si="383"/>
        <v>36.636773740352716</v>
      </c>
      <c r="S390" s="21">
        <f t="shared" si="384"/>
        <v>-6.9906259912344746</v>
      </c>
      <c r="T390" s="88">
        <f t="shared" si="385"/>
        <v>35.963653017351774</v>
      </c>
      <c r="U390" s="86">
        <f t="shared" si="386"/>
        <v>14964.9499</v>
      </c>
      <c r="V390" s="85">
        <f t="shared" si="387"/>
        <v>-1141.3067828769733</v>
      </c>
      <c r="W390" s="85">
        <f t="shared" si="388"/>
        <v>6035.5923167453948</v>
      </c>
      <c r="X390" s="90">
        <f t="shared" si="389"/>
        <v>1141.3067828769733</v>
      </c>
      <c r="Y390" s="86">
        <f t="shared" si="390"/>
        <v>-8544.0003300000008</v>
      </c>
      <c r="Z390" s="85">
        <f t="shared" si="391"/>
        <v>-750</v>
      </c>
      <c r="AA390" s="85">
        <f t="shared" si="392"/>
        <v>-764.03752121641071</v>
      </c>
      <c r="AB390" s="90">
        <f t="shared" si="393"/>
        <v>750</v>
      </c>
      <c r="AC390" s="86">
        <f t="shared" si="394"/>
        <v>-14136.214099999999</v>
      </c>
      <c r="AD390" s="85">
        <f t="shared" si="395"/>
        <v>1055.7627565116984</v>
      </c>
      <c r="AE390" s="85">
        <f t="shared" si="396"/>
        <v>-5504.2704894181607</v>
      </c>
      <c r="AF390" s="90">
        <f t="shared" si="397"/>
        <v>1055.7627565116984</v>
      </c>
      <c r="AG390" s="86">
        <f t="shared" si="398"/>
        <v>9070.4754400000002</v>
      </c>
      <c r="AH390" s="85">
        <f t="shared" si="399"/>
        <v>6128</v>
      </c>
      <c r="AI390" s="85">
        <f t="shared" si="400"/>
        <v>6242.6959066855525</v>
      </c>
      <c r="AJ390" s="90">
        <f t="shared" si="401"/>
        <v>6128</v>
      </c>
      <c r="AL390" s="95">
        <f t="shared" si="402"/>
        <v>0</v>
      </c>
      <c r="AM390" s="95">
        <f t="shared" si="403"/>
        <v>0</v>
      </c>
      <c r="AN390" s="95">
        <f t="shared" si="404"/>
        <v>0</v>
      </c>
      <c r="AO390" s="95">
        <f t="shared" si="405"/>
        <v>0</v>
      </c>
      <c r="AP390"/>
      <c r="AQ390" s="95">
        <f t="shared" si="406"/>
        <v>0</v>
      </c>
      <c r="AR390" s="95">
        <f t="shared" si="407"/>
        <v>0</v>
      </c>
      <c r="AS390" s="95">
        <f>Geraetedaten!$B$94*ABS(SIN(RADIANS($A390)))</f>
        <v>29.384585287987878</v>
      </c>
      <c r="AT390" s="95">
        <f>Geraetedaten!$B$94*ABS(COS(RADIANS($A390)))</f>
        <v>151.17058625094026</v>
      </c>
      <c r="AU390" s="95">
        <f>((h_Aw_Sw+Geraetedaten!$B$18)/1000)*(AQ390*AS390+AR390*AT390)/100</f>
        <v>0</v>
      </c>
    </row>
    <row r="391" spans="1:47" ht="13.5" x14ac:dyDescent="0.25">
      <c r="A391" s="16">
        <v>350</v>
      </c>
      <c r="B391" s="16">
        <f t="shared" si="374"/>
        <v>100</v>
      </c>
      <c r="C391" s="19">
        <f t="shared" si="375"/>
        <v>40.52689196941197</v>
      </c>
      <c r="D391" s="17">
        <f t="shared" si="376"/>
        <v>16418.599898030585</v>
      </c>
      <c r="E391" s="17">
        <f t="shared" si="377"/>
        <v>-8556.9332119694118</v>
      </c>
      <c r="F391" s="17">
        <f t="shared" si="378"/>
        <v>-15565.476211969411</v>
      </c>
      <c r="G391" s="17">
        <f t="shared" si="379"/>
        <v>9000.6542180305878</v>
      </c>
      <c r="H391" s="17">
        <f t="shared" si="380"/>
        <v>9000.6542180305878</v>
      </c>
      <c r="I391" s="17">
        <f t="shared" si="381"/>
        <v>6222.5342776358457</v>
      </c>
      <c r="J391" s="20">
        <f>(Geraetedaten!$B$152+(Geraetedaten!$B$153*(Geraetedaten!$B$18+d_y_Sw)/1000))*10</f>
        <v>6051.0442000000003</v>
      </c>
      <c r="K391" s="20">
        <f>(Geraetedaten!$B$165+(Geraetedaten!$B$166*(Geraetedaten!$B$18+d_y_Sw)/1000))*10</f>
        <v>10816.164000000001</v>
      </c>
      <c r="L391" s="20">
        <f>(Geraetedaten!$B$158+(Geraetedaten!$B$159*(Geraetedaten!$B$18+d_y_Sw)/1000)-(Geraetedaten!$B$160*I391/1000))*10</f>
        <v>145.23816142096331</v>
      </c>
      <c r="M391" s="20">
        <f>(Geraetedaten!$B$171+(Geraetedaten!$B$172*(Geraetedaten!$B$18+d_y_Sw)/1000)-(Geraetedaten!$B$173*I391/1000))*10</f>
        <v>601.6615483727885</v>
      </c>
      <c r="N391" s="20">
        <f>IF((H391-J391)/(K391-J391)*(Geraetedaten!$B$174-Geraetedaten!$B$161)&lt;Geraetedaten!$B$174,(H391-J391)/(K391-J391)*(Geraetedaten!$B$174-Geraetedaten!$B$161),Geraetedaten!$B$174)</f>
        <v>247.60007234492508</v>
      </c>
      <c r="O391" s="20">
        <f>N391/Geraetedaten!$B$174*(M391-L391)+L391+C391</f>
        <v>468.29121246334438</v>
      </c>
      <c r="P391" s="20">
        <f t="shared" si="382"/>
        <v>157.31870254012921</v>
      </c>
      <c r="Q391" s="21">
        <f>(N391-Geraetedaten!$B$161)/(Geraetedaten!$B$174-Geraetedaten!$B$161)*(Geraetedaten!$B$175-Geraetedaten!$B$162)+Geraetedaten!$B$162</f>
        <v>36.566102152261521</v>
      </c>
      <c r="R391" s="21">
        <f t="shared" si="383"/>
        <v>36.566102152261521</v>
      </c>
      <c r="S391" s="21">
        <f t="shared" si="384"/>
        <v>-6.3496370031230347</v>
      </c>
      <c r="T391" s="88">
        <f t="shared" si="385"/>
        <v>36.010580896983534</v>
      </c>
      <c r="U391" s="86">
        <f t="shared" si="386"/>
        <v>16459.126789999998</v>
      </c>
      <c r="V391" s="85">
        <f t="shared" si="387"/>
        <v>-1141.3067828769733</v>
      </c>
      <c r="W391" s="85">
        <f t="shared" si="388"/>
        <v>6638.216626675413</v>
      </c>
      <c r="X391" s="90">
        <f t="shared" si="389"/>
        <v>1141.3067828769733</v>
      </c>
      <c r="Y391" s="86">
        <f t="shared" si="390"/>
        <v>-8516.4063200000001</v>
      </c>
      <c r="Z391" s="85">
        <f t="shared" si="391"/>
        <v>-750</v>
      </c>
      <c r="AA391" s="85">
        <f t="shared" si="392"/>
        <v>-761.56995891430881</v>
      </c>
      <c r="AB391" s="90">
        <f t="shared" si="393"/>
        <v>750</v>
      </c>
      <c r="AC391" s="86">
        <f t="shared" si="394"/>
        <v>-15524.94932</v>
      </c>
      <c r="AD391" s="85">
        <f t="shared" si="395"/>
        <v>1055.7627565116984</v>
      </c>
      <c r="AE391" s="85">
        <f t="shared" si="396"/>
        <v>-6045.0075059596866</v>
      </c>
      <c r="AF391" s="90">
        <f t="shared" si="397"/>
        <v>1055.7627565116984</v>
      </c>
      <c r="AG391" s="86">
        <f t="shared" si="398"/>
        <v>9041.1811099999995</v>
      </c>
      <c r="AH391" s="85">
        <f t="shared" si="399"/>
        <v>6128</v>
      </c>
      <c r="AI391" s="85">
        <f t="shared" si="400"/>
        <v>6222.5342776358457</v>
      </c>
      <c r="AJ391" s="90">
        <f t="shared" si="401"/>
        <v>6128</v>
      </c>
      <c r="AL391" s="95">
        <f t="shared" si="402"/>
        <v>0</v>
      </c>
      <c r="AM391" s="95">
        <f t="shared" si="403"/>
        <v>0</v>
      </c>
      <c r="AN391" s="95">
        <f t="shared" si="404"/>
        <v>0</v>
      </c>
      <c r="AO391" s="95">
        <f t="shared" si="405"/>
        <v>0</v>
      </c>
      <c r="AP391"/>
      <c r="AQ391" s="95">
        <f t="shared" si="406"/>
        <v>0</v>
      </c>
      <c r="AR391" s="95">
        <f t="shared" si="407"/>
        <v>0</v>
      </c>
      <c r="AS391" s="95">
        <f>Geraetedaten!$B$94*ABS(SIN(RADIANS($A391)))</f>
        <v>26.741819360707279</v>
      </c>
      <c r="AT391" s="95">
        <f>Geraetedaten!$B$94*ABS(COS(RADIANS($A391)))</f>
        <v>151.66039396388004</v>
      </c>
      <c r="AU391" s="95">
        <f>((h_Aw_Sw+Geraetedaten!$B$18)/1000)*(AQ391*AS391+AR391*AT391)/100</f>
        <v>0</v>
      </c>
    </row>
    <row r="392" spans="1:47" ht="13.5" x14ac:dyDescent="0.25">
      <c r="A392" s="16">
        <v>351</v>
      </c>
      <c r="B392" s="16">
        <f t="shared" si="374"/>
        <v>99</v>
      </c>
      <c r="C392" s="19">
        <f t="shared" si="375"/>
        <v>39.519257733491202</v>
      </c>
      <c r="D392" s="17">
        <f t="shared" si="376"/>
        <v>18251.441972266508</v>
      </c>
      <c r="E392" s="17">
        <f t="shared" si="377"/>
        <v>-8531.0875277334908</v>
      </c>
      <c r="F392" s="17">
        <f t="shared" si="378"/>
        <v>-17261.604357733493</v>
      </c>
      <c r="G392" s="17">
        <f t="shared" si="379"/>
        <v>8975.2933022665093</v>
      </c>
      <c r="H392" s="17">
        <f t="shared" si="380"/>
        <v>8975.2933022665093</v>
      </c>
      <c r="I392" s="17">
        <f t="shared" si="381"/>
        <v>6204.386290828882</v>
      </c>
      <c r="J392" s="20">
        <f>(Geraetedaten!$B$152+(Geraetedaten!$B$153*(Geraetedaten!$B$18+d_y_Sw)/1000))*10</f>
        <v>6051.0442000000003</v>
      </c>
      <c r="K392" s="20">
        <f>(Geraetedaten!$B$165+(Geraetedaten!$B$166*(Geraetedaten!$B$18+d_y_Sw)/1000))*10</f>
        <v>10816.164000000001</v>
      </c>
      <c r="L392" s="20">
        <f>(Geraetedaten!$B$158+(Geraetedaten!$B$159*(Geraetedaten!$B$18+d_y_Sw)/1000)-(Geraetedaten!$B$160*I392/1000))*10</f>
        <v>146.56895329351789</v>
      </c>
      <c r="M392" s="20">
        <f>(Geraetedaten!$B$171+(Geraetedaten!$B$172*(Geraetedaten!$B$18+d_y_Sw)/1000)-(Geraetedaten!$B$173*I392/1000))*10</f>
        <v>603.01248451069887</v>
      </c>
      <c r="N392" s="20">
        <f>IF((H392-J392)/(K392-J392)*(Geraetedaten!$B$174-Geraetedaten!$B$161)&lt;Geraetedaten!$B$174,(H392-J392)/(K392-J392)*(Geraetedaten!$B$174-Geraetedaten!$B$161),Geraetedaten!$B$174)</f>
        <v>245.47119275083148</v>
      </c>
      <c r="O392" s="20">
        <f>N392/Geraetedaten!$B$174*(M392-L392)+L392+C392</f>
        <v>466.19755610521605</v>
      </c>
      <c r="P392" s="20">
        <f t="shared" si="382"/>
        <v>156.8489272388656</v>
      </c>
      <c r="Q392" s="21">
        <f>(N392-Geraetedaten!$B$161)/(Geraetedaten!$B$174-Geraetedaten!$B$161)*(Geraetedaten!$B$175-Geraetedaten!$B$162)+Geraetedaten!$B$162</f>
        <v>36.50276798433724</v>
      </c>
      <c r="R392" s="21">
        <f t="shared" si="383"/>
        <v>36.50276798433724</v>
      </c>
      <c r="S392" s="21">
        <f t="shared" si="384"/>
        <v>-5.7102909821174714</v>
      </c>
      <c r="T392" s="88">
        <f t="shared" si="385"/>
        <v>36.053358337579368</v>
      </c>
      <c r="U392" s="86">
        <f t="shared" si="386"/>
        <v>18290.961230000001</v>
      </c>
      <c r="V392" s="85">
        <f t="shared" si="387"/>
        <v>-1141.3067828769733</v>
      </c>
      <c r="W392" s="85">
        <f t="shared" si="388"/>
        <v>7377.0233646147371</v>
      </c>
      <c r="X392" s="90">
        <f t="shared" si="389"/>
        <v>1141.3067828769733</v>
      </c>
      <c r="Y392" s="86">
        <f t="shared" si="390"/>
        <v>-8491.5682699999998</v>
      </c>
      <c r="Z392" s="85">
        <f t="shared" si="391"/>
        <v>-750</v>
      </c>
      <c r="AA392" s="85">
        <f t="shared" si="392"/>
        <v>-759.34884434100229</v>
      </c>
      <c r="AB392" s="90">
        <f t="shared" si="393"/>
        <v>750</v>
      </c>
      <c r="AC392" s="86">
        <f t="shared" si="394"/>
        <v>-17222.0851</v>
      </c>
      <c r="AD392" s="85">
        <f t="shared" si="395"/>
        <v>1055.7627565116984</v>
      </c>
      <c r="AE392" s="85">
        <f t="shared" si="396"/>
        <v>-6705.8276042012958</v>
      </c>
      <c r="AF392" s="90">
        <f t="shared" si="397"/>
        <v>1055.7627565116984</v>
      </c>
      <c r="AG392" s="86">
        <f t="shared" si="398"/>
        <v>9014.8125600000003</v>
      </c>
      <c r="AH392" s="85">
        <f t="shared" si="399"/>
        <v>6128</v>
      </c>
      <c r="AI392" s="85">
        <f t="shared" si="400"/>
        <v>6204.386290828882</v>
      </c>
      <c r="AJ392" s="90">
        <f t="shared" si="401"/>
        <v>6128</v>
      </c>
      <c r="AL392" s="95">
        <f t="shared" si="402"/>
        <v>0</v>
      </c>
      <c r="AM392" s="95">
        <f t="shared" si="403"/>
        <v>0</v>
      </c>
      <c r="AN392" s="95">
        <f t="shared" si="404"/>
        <v>0</v>
      </c>
      <c r="AO392" s="95">
        <f t="shared" si="405"/>
        <v>0</v>
      </c>
      <c r="AP392"/>
      <c r="AQ392" s="95">
        <f t="shared" si="406"/>
        <v>0</v>
      </c>
      <c r="AR392" s="95">
        <f t="shared" si="407"/>
        <v>0</v>
      </c>
      <c r="AS392" s="95">
        <f>Geraetedaten!$B$94*ABS(SIN(RADIANS($A392)))</f>
        <v>24.090907616195594</v>
      </c>
      <c r="AT392" s="95">
        <f>Geraetedaten!$B$94*ABS(COS(RADIANS($A392)))</f>
        <v>152.10400445165121</v>
      </c>
      <c r="AU392" s="95">
        <f>((h_Aw_Sw+Geraetedaten!$B$18)/1000)*(AQ392*AS392+AR392*AT392)/100</f>
        <v>0</v>
      </c>
    </row>
    <row r="393" spans="1:47" ht="13.5" x14ac:dyDescent="0.25">
      <c r="A393" s="16">
        <v>352</v>
      </c>
      <c r="B393" s="16">
        <f t="shared" si="374"/>
        <v>98</v>
      </c>
      <c r="C393" s="19">
        <f t="shared" si="375"/>
        <v>38.499585548833167</v>
      </c>
      <c r="D393" s="17">
        <f t="shared" si="376"/>
        <v>20550.168914451166</v>
      </c>
      <c r="E393" s="17">
        <f t="shared" si="377"/>
        <v>-8507.946635548833</v>
      </c>
      <c r="F393" s="17">
        <f t="shared" si="378"/>
        <v>-19380.926275548834</v>
      </c>
      <c r="G393" s="17">
        <f t="shared" si="379"/>
        <v>8952.8286544511684</v>
      </c>
      <c r="H393" s="17">
        <f t="shared" si="380"/>
        <v>8952.8286544511684</v>
      </c>
      <c r="I393" s="17">
        <f t="shared" si="381"/>
        <v>6188.2233643940917</v>
      </c>
      <c r="J393" s="20">
        <f>(Geraetedaten!$B$152+(Geraetedaten!$B$153*(Geraetedaten!$B$18+d_y_Sw)/1000))*10</f>
        <v>6051.0442000000003</v>
      </c>
      <c r="K393" s="20">
        <f>(Geraetedaten!$B$165+(Geraetedaten!$B$166*(Geraetedaten!$B$18+d_y_Sw)/1000))*10</f>
        <v>10816.164000000001</v>
      </c>
      <c r="L393" s="20">
        <f>(Geraetedaten!$B$158+(Geraetedaten!$B$159*(Geraetedaten!$B$18+d_y_Sw)/1000)-(Geraetedaten!$B$160*I393/1000))*10</f>
        <v>147.75418068898105</v>
      </c>
      <c r="M393" s="20">
        <f>(Geraetedaten!$B$171+(Geraetedaten!$B$172*(Geraetedaten!$B$18+d_y_Sw)/1000)-(Geraetedaten!$B$173*I393/1000))*10</f>
        <v>604.21565275450462</v>
      </c>
      <c r="N393" s="20">
        <f>IF((H393-J393)/(K393-J393)*(Geraetedaten!$B$174-Geraetedaten!$B$161)&lt;Geraetedaten!$B$174,(H393-J393)/(K393-J393)*(Geraetedaten!$B$174-Geraetedaten!$B$161),Geraetedaten!$B$174)</f>
        <v>243.58543551842439</v>
      </c>
      <c r="O393" s="20">
        <f>N393/Geraetedaten!$B$174*(M393-L393)+L393+C393</f>
        <v>464.22218241396837</v>
      </c>
      <c r="P393" s="20">
        <f t="shared" si="382"/>
        <v>156.3904753804874</v>
      </c>
      <c r="Q393" s="21">
        <f>(N393-Geraetedaten!$B$161)/(Geraetedaten!$B$174-Geraetedaten!$B$161)*(Geraetedaten!$B$175-Geraetedaten!$B$162)+Geraetedaten!$B$162</f>
        <v>36.446666706673128</v>
      </c>
      <c r="R393" s="21">
        <f t="shared" si="383"/>
        <v>36.446666706673128</v>
      </c>
      <c r="S393" s="21">
        <f t="shared" si="384"/>
        <v>-5.072395625225691</v>
      </c>
      <c r="T393" s="88">
        <f t="shared" si="385"/>
        <v>36.091970251684884</v>
      </c>
      <c r="U393" s="86">
        <f t="shared" si="386"/>
        <v>20588.6685</v>
      </c>
      <c r="V393" s="85">
        <f t="shared" si="387"/>
        <v>-1141.3067828769733</v>
      </c>
      <c r="W393" s="85">
        <f t="shared" si="388"/>
        <v>8303.7237195103098</v>
      </c>
      <c r="X393" s="90">
        <f t="shared" si="389"/>
        <v>1141.3067828769733</v>
      </c>
      <c r="Y393" s="86">
        <f t="shared" si="390"/>
        <v>-8469.4470500000007</v>
      </c>
      <c r="Z393" s="85">
        <f t="shared" si="391"/>
        <v>-750</v>
      </c>
      <c r="AA393" s="85">
        <f t="shared" si="392"/>
        <v>-757.37067938896359</v>
      </c>
      <c r="AB393" s="90">
        <f t="shared" si="393"/>
        <v>750</v>
      </c>
      <c r="AC393" s="86">
        <f t="shared" si="394"/>
        <v>-19342.42669</v>
      </c>
      <c r="AD393" s="85">
        <f t="shared" si="395"/>
        <v>1055.7627565116984</v>
      </c>
      <c r="AE393" s="85">
        <f t="shared" si="396"/>
        <v>-7531.432929204384</v>
      </c>
      <c r="AF393" s="90">
        <f t="shared" si="397"/>
        <v>1055.7627565116984</v>
      </c>
      <c r="AG393" s="86">
        <f t="shared" si="398"/>
        <v>8991.3282400000007</v>
      </c>
      <c r="AH393" s="85">
        <f t="shared" si="399"/>
        <v>6128</v>
      </c>
      <c r="AI393" s="85">
        <f t="shared" si="400"/>
        <v>6188.2233643940917</v>
      </c>
      <c r="AJ393" s="90">
        <f t="shared" si="401"/>
        <v>6128</v>
      </c>
      <c r="AL393" s="95">
        <f t="shared" si="402"/>
        <v>0</v>
      </c>
      <c r="AM393" s="95">
        <f t="shared" si="403"/>
        <v>0</v>
      </c>
      <c r="AN393" s="95">
        <f t="shared" si="404"/>
        <v>0</v>
      </c>
      <c r="AO393" s="95">
        <f t="shared" si="405"/>
        <v>0</v>
      </c>
      <c r="AP393"/>
      <c r="AQ393" s="95">
        <f t="shared" si="406"/>
        <v>0</v>
      </c>
      <c r="AR393" s="95">
        <f t="shared" si="407"/>
        <v>0</v>
      </c>
      <c r="AS393" s="95">
        <f>Geraetedaten!$B$94*ABS(SIN(RADIANS($A393)))</f>
        <v>21.432657547850145</v>
      </c>
      <c r="AT393" s="95">
        <f>Geraetedaten!$B$94*ABS(COS(RADIANS($A393)))</f>
        <v>152.50128258620182</v>
      </c>
      <c r="AU393" s="95">
        <f>((h_Aw_Sw+Geraetedaten!$B$18)/1000)*(AQ393*AS393+AR393*AT393)/100</f>
        <v>0</v>
      </c>
    </row>
    <row r="394" spans="1:47" ht="13.5" x14ac:dyDescent="0.25">
      <c r="A394" s="16">
        <v>353</v>
      </c>
      <c r="B394" s="16">
        <f t="shared" si="374"/>
        <v>97</v>
      </c>
      <c r="C394" s="19">
        <f t="shared" si="375"/>
        <v>37.468186017463047</v>
      </c>
      <c r="D394" s="17">
        <f t="shared" si="376"/>
        <v>23517.324123982537</v>
      </c>
      <c r="E394" s="17">
        <f t="shared" si="377"/>
        <v>-8487.4762460174625</v>
      </c>
      <c r="F394" s="17">
        <f t="shared" si="378"/>
        <v>-22103.309516017463</v>
      </c>
      <c r="G394" s="17">
        <f t="shared" si="379"/>
        <v>8933.2232439825384</v>
      </c>
      <c r="H394" s="17">
        <f t="shared" si="380"/>
        <v>8933.2232439825384</v>
      </c>
      <c r="I394" s="17">
        <f t="shared" si="381"/>
        <v>6174.0202104118225</v>
      </c>
      <c r="J394" s="20">
        <f>(Geraetedaten!$B$152+(Geraetedaten!$B$153*(Geraetedaten!$B$18+d_y_Sw)/1000))*10</f>
        <v>6051.0442000000003</v>
      </c>
      <c r="K394" s="20">
        <f>(Geraetedaten!$B$165+(Geraetedaten!$B$166*(Geraetedaten!$B$18+d_y_Sw)/1000))*10</f>
        <v>10816.164000000001</v>
      </c>
      <c r="L394" s="20">
        <f>(Geraetedaten!$B$158+(Geraetedaten!$B$159*(Geraetedaten!$B$18+d_y_Sw)/1000)-(Geraetedaten!$B$160*I394/1000))*10</f>
        <v>148.7956979705009</v>
      </c>
      <c r="M394" s="20">
        <f>(Geraetedaten!$B$171+(Geraetedaten!$B$172*(Geraetedaten!$B$18+d_y_Sw)/1000)-(Geraetedaten!$B$173*I394/1000))*10</f>
        <v>605.27293553694471</v>
      </c>
      <c r="N394" s="20">
        <f>IF((H394-J394)/(K394-J394)*(Geraetedaten!$B$174-Geraetedaten!$B$161)&lt;Geraetedaten!$B$174,(H394-J394)/(K394-J394)*(Geraetedaten!$B$174-Geraetedaten!$B$161),Geraetedaten!$B$174)</f>
        <v>241.93969217584313</v>
      </c>
      <c r="O394" s="20">
        <f>N394/Geraetedaten!$B$174*(M394-L394)+L394+C394</f>
        <v>462.3637898432255</v>
      </c>
      <c r="P394" s="20">
        <f t="shared" si="382"/>
        <v>155.94353835461868</v>
      </c>
      <c r="Q394" s="21">
        <f>(N394-Geraetedaten!$B$161)/(Geraetedaten!$B$174-Geraetedaten!$B$161)*(Geraetedaten!$B$175-Geraetedaten!$B$162)+Geraetedaten!$B$162</f>
        <v>36.397705842231332</v>
      </c>
      <c r="R394" s="21">
        <f t="shared" si="383"/>
        <v>36.397705842231332</v>
      </c>
      <c r="S394" s="21">
        <f t="shared" si="384"/>
        <v>-4.4357645124464238</v>
      </c>
      <c r="T394" s="88">
        <f t="shared" si="385"/>
        <v>36.126402862279576</v>
      </c>
      <c r="U394" s="86">
        <f t="shared" si="386"/>
        <v>23554.792310000001</v>
      </c>
      <c r="V394" s="85">
        <f t="shared" si="387"/>
        <v>-1141.3067828769733</v>
      </c>
      <c r="W394" s="85">
        <f t="shared" si="388"/>
        <v>9500.0066486823125</v>
      </c>
      <c r="X394" s="90">
        <f t="shared" si="389"/>
        <v>1141.3067828769733</v>
      </c>
      <c r="Y394" s="86">
        <f t="shared" si="390"/>
        <v>-8450.0080600000001</v>
      </c>
      <c r="Z394" s="85">
        <f t="shared" si="391"/>
        <v>-750</v>
      </c>
      <c r="AA394" s="85">
        <f t="shared" si="392"/>
        <v>-755.63236909413627</v>
      </c>
      <c r="AB394" s="90">
        <f t="shared" si="393"/>
        <v>750</v>
      </c>
      <c r="AC394" s="86">
        <f t="shared" si="394"/>
        <v>-22065.841329999999</v>
      </c>
      <c r="AD394" s="85">
        <f t="shared" si="395"/>
        <v>1055.7627565116984</v>
      </c>
      <c r="AE394" s="85">
        <f t="shared" si="396"/>
        <v>-8591.8590631906718</v>
      </c>
      <c r="AF394" s="90">
        <f t="shared" si="397"/>
        <v>1055.7627565116984</v>
      </c>
      <c r="AG394" s="86">
        <f t="shared" si="398"/>
        <v>8970.6914300000008</v>
      </c>
      <c r="AH394" s="85">
        <f t="shared" si="399"/>
        <v>6128</v>
      </c>
      <c r="AI394" s="85">
        <f t="shared" si="400"/>
        <v>6174.0202104118225</v>
      </c>
      <c r="AJ394" s="90">
        <f t="shared" si="401"/>
        <v>6128</v>
      </c>
      <c r="AL394" s="95">
        <f t="shared" si="402"/>
        <v>0</v>
      </c>
      <c r="AM394" s="95">
        <f t="shared" si="403"/>
        <v>0</v>
      </c>
      <c r="AN394" s="95">
        <f t="shared" si="404"/>
        <v>0</v>
      </c>
      <c r="AO394" s="95">
        <f t="shared" si="405"/>
        <v>0</v>
      </c>
      <c r="AP394"/>
      <c r="AQ394" s="95">
        <f t="shared" si="406"/>
        <v>0</v>
      </c>
      <c r="AR394" s="95">
        <f t="shared" si="407"/>
        <v>0</v>
      </c>
      <c r="AS394" s="95">
        <f>Geraetedaten!$B$94*ABS(SIN(RADIANS($A394)))</f>
        <v>18.767878884392672</v>
      </c>
      <c r="AT394" s="95">
        <f>Geraetedaten!$B$94*ABS(COS(RADIANS($A394)))</f>
        <v>152.8521073527636</v>
      </c>
      <c r="AU394" s="95">
        <f>((h_Aw_Sw+Geraetedaten!$B$18)/1000)*(AQ394*AS394+AR394*AT394)/100</f>
        <v>0</v>
      </c>
    </row>
    <row r="395" spans="1:47" ht="13.5" x14ac:dyDescent="0.25">
      <c r="A395" s="16">
        <v>354</v>
      </c>
      <c r="B395" s="16">
        <f t="shared" si="374"/>
        <v>96</v>
      </c>
      <c r="C395" s="19">
        <f t="shared" si="375"/>
        <v>36.425373313669589</v>
      </c>
      <c r="D395" s="17">
        <f t="shared" si="376"/>
        <v>27492.769116686333</v>
      </c>
      <c r="E395" s="17">
        <f t="shared" si="377"/>
        <v>-8469.6464133136706</v>
      </c>
      <c r="F395" s="17">
        <f t="shared" si="378"/>
        <v>-25727.380143313669</v>
      </c>
      <c r="G395" s="17">
        <f t="shared" si="379"/>
        <v>8916.4446366863303</v>
      </c>
      <c r="H395" s="17">
        <f t="shared" si="380"/>
        <v>8916.4446366863303</v>
      </c>
      <c r="I395" s="17">
        <f t="shared" si="381"/>
        <v>6161.7547371652281</v>
      </c>
      <c r="J395" s="20">
        <f>(Geraetedaten!$B$152+(Geraetedaten!$B$153*(Geraetedaten!$B$18+d_y_Sw)/1000))*10</f>
        <v>6051.0442000000003</v>
      </c>
      <c r="K395" s="20">
        <f>(Geraetedaten!$B$165+(Geraetedaten!$B$166*(Geraetedaten!$B$18+d_y_Sw)/1000))*10</f>
        <v>10816.164000000001</v>
      </c>
      <c r="L395" s="20">
        <f>(Geraetedaten!$B$158+(Geraetedaten!$B$159*(Geraetedaten!$B$18+d_y_Sw)/1000)-(Geraetedaten!$B$160*I395/1000))*10</f>
        <v>149.69512512367368</v>
      </c>
      <c r="M395" s="20">
        <f>(Geraetedaten!$B$171+(Geraetedaten!$B$172*(Geraetedaten!$B$18+d_y_Sw)/1000)-(Geraetedaten!$B$173*I395/1000))*10</f>
        <v>606.18597736542131</v>
      </c>
      <c r="N395" s="20">
        <f>IF((H395-J395)/(K395-J395)*(Geraetedaten!$B$174-Geraetedaten!$B$161)&lt;Geraetedaten!$B$174,(H395-J395)/(K395-J395)*(Geraetedaten!$B$174-Geraetedaten!$B$161),Geraetedaten!$B$174)</f>
        <v>240.53124009065456</v>
      </c>
      <c r="O395" s="20">
        <f>N395/Geraetedaten!$B$174*(M395-L395)+L395+C395</f>
        <v>460.62127538671155</v>
      </c>
      <c r="P395" s="20">
        <f t="shared" si="382"/>
        <v>155.50831698590568</v>
      </c>
      <c r="Q395" s="21">
        <f>(N395-Geraetedaten!$B$161)/(Geraetedaten!$B$174-Geraetedaten!$B$161)*(Geraetedaten!$B$175-Geraetedaten!$B$162)+Geraetedaten!$B$162</f>
        <v>36.355804392696975</v>
      </c>
      <c r="R395" s="21">
        <f t="shared" si="383"/>
        <v>36.355804392696975</v>
      </c>
      <c r="S395" s="21">
        <f t="shared" si="384"/>
        <v>-3.8002163640280182</v>
      </c>
      <c r="T395" s="88">
        <f t="shared" si="385"/>
        <v>36.156643492263193</v>
      </c>
      <c r="U395" s="86">
        <f t="shared" si="386"/>
        <v>27529.194490000002</v>
      </c>
      <c r="V395" s="85">
        <f t="shared" si="387"/>
        <v>-1141.3067828769733</v>
      </c>
      <c r="W395" s="85">
        <f t="shared" si="388"/>
        <v>11102.943604958871</v>
      </c>
      <c r="X395" s="90">
        <f t="shared" si="389"/>
        <v>1141.3067828769733</v>
      </c>
      <c r="Y395" s="86">
        <f t="shared" si="390"/>
        <v>-8433.2210400000004</v>
      </c>
      <c r="Z395" s="85">
        <f t="shared" si="391"/>
        <v>-750</v>
      </c>
      <c r="AA395" s="85">
        <f t="shared" si="392"/>
        <v>-754.13120967263728</v>
      </c>
      <c r="AB395" s="90">
        <f t="shared" si="393"/>
        <v>750</v>
      </c>
      <c r="AC395" s="86">
        <f t="shared" si="394"/>
        <v>-25690.95477</v>
      </c>
      <c r="AD395" s="85">
        <f t="shared" si="395"/>
        <v>1055.7627565116984</v>
      </c>
      <c r="AE395" s="85">
        <f t="shared" si="396"/>
        <v>-10003.383021459846</v>
      </c>
      <c r="AF395" s="90">
        <f t="shared" si="397"/>
        <v>1055.7627565116984</v>
      </c>
      <c r="AG395" s="86">
        <f t="shared" si="398"/>
        <v>8952.8700100000005</v>
      </c>
      <c r="AH395" s="85">
        <f t="shared" si="399"/>
        <v>6128</v>
      </c>
      <c r="AI395" s="85">
        <f t="shared" si="400"/>
        <v>6161.7547371652281</v>
      </c>
      <c r="AJ395" s="90">
        <f t="shared" si="401"/>
        <v>6128</v>
      </c>
      <c r="AL395" s="95">
        <f t="shared" si="402"/>
        <v>0</v>
      </c>
      <c r="AM395" s="95">
        <f t="shared" si="403"/>
        <v>0</v>
      </c>
      <c r="AN395" s="95">
        <f t="shared" si="404"/>
        <v>0</v>
      </c>
      <c r="AO395" s="95">
        <f t="shared" si="405"/>
        <v>0</v>
      </c>
      <c r="AP395"/>
      <c r="AQ395" s="95">
        <f t="shared" si="406"/>
        <v>0</v>
      </c>
      <c r="AR395" s="95">
        <f t="shared" si="407"/>
        <v>0</v>
      </c>
      <c r="AS395" s="95">
        <f>Geraetedaten!$B$94*ABS(SIN(RADIANS($A395)))</f>
        <v>16.097383343218628</v>
      </c>
      <c r="AT395" s="95">
        <f>Geraetedaten!$B$94*ABS(COS(RADIANS($A395)))</f>
        <v>153.15637188671408</v>
      </c>
      <c r="AU395" s="95">
        <f>((h_Aw_Sw+Geraetedaten!$B$18)/1000)*(AQ395*AS395+AR395*AT395)/100</f>
        <v>0</v>
      </c>
    </row>
    <row r="396" spans="1:47" ht="13.5" x14ac:dyDescent="0.25">
      <c r="A396" s="16">
        <v>355</v>
      </c>
      <c r="B396" s="16">
        <f t="shared" si="374"/>
        <v>95</v>
      </c>
      <c r="C396" s="19">
        <f t="shared" si="375"/>
        <v>35.371465088304276</v>
      </c>
      <c r="D396" s="17">
        <f t="shared" si="376"/>
        <v>33093.803014911697</v>
      </c>
      <c r="E396" s="17">
        <f t="shared" si="377"/>
        <v>-8454.4315050883051</v>
      </c>
      <c r="F396" s="17">
        <f t="shared" si="378"/>
        <v>-30787.912085088305</v>
      </c>
      <c r="G396" s="17">
        <f t="shared" si="379"/>
        <v>8902.4649549116948</v>
      </c>
      <c r="H396" s="17">
        <f t="shared" si="380"/>
        <v>8902.4649549116948</v>
      </c>
      <c r="I396" s="17">
        <f t="shared" si="381"/>
        <v>6151.4079644656331</v>
      </c>
      <c r="J396" s="20">
        <f>(Geraetedaten!$B$152+(Geraetedaten!$B$153*(Geraetedaten!$B$18+d_y_Sw)/1000))*10</f>
        <v>6051.0442000000003</v>
      </c>
      <c r="K396" s="20">
        <f>(Geraetedaten!$B$165+(Geraetedaten!$B$166*(Geraetedaten!$B$18+d_y_Sw)/1000))*10</f>
        <v>10816.164000000001</v>
      </c>
      <c r="L396" s="20">
        <f>(Geraetedaten!$B$158+(Geraetedaten!$B$159*(Geraetedaten!$B$18+d_y_Sw)/1000)-(Geraetedaten!$B$160*I396/1000))*10</f>
        <v>150.45385396573494</v>
      </c>
      <c r="M396" s="20">
        <f>(Geraetedaten!$B$171+(Geraetedaten!$B$172*(Geraetedaten!$B$18+d_y_Sw)/1000)-(Geraetedaten!$B$173*I396/1000))*10</f>
        <v>606.95619112517909</v>
      </c>
      <c r="N396" s="20">
        <f>IF((H396-J396)/(K396-J396)*(Geraetedaten!$B$174-Geraetedaten!$B$161)&lt;Geraetedaten!$B$174,(H396-J396)/(K396-J396)*(Geraetedaten!$B$174-Geraetedaten!$B$161),Geraetedaten!$B$174)</f>
        <v>239.35773912015344</v>
      </c>
      <c r="O396" s="20">
        <f>N396/Geraetedaten!$B$174*(M396-L396)+L396+C396</f>
        <v>458.99373736791557</v>
      </c>
      <c r="P396" s="20">
        <f t="shared" si="382"/>
        <v>155.08502310514885</v>
      </c>
      <c r="Q396" s="21">
        <f>(N396-Geraetedaten!$B$161)/(Geraetedaten!$B$174-Geraetedaten!$B$161)*(Geraetedaten!$B$175-Geraetedaten!$B$162)+Geraetedaten!$B$162</f>
        <v>36.320892738824568</v>
      </c>
      <c r="R396" s="21">
        <f t="shared" si="383"/>
        <v>36.320892738824568</v>
      </c>
      <c r="S396" s="21">
        <f t="shared" si="384"/>
        <v>-3.1655743839102852</v>
      </c>
      <c r="T396" s="88">
        <f t="shared" si="385"/>
        <v>36.182680776376017</v>
      </c>
      <c r="U396" s="86">
        <f t="shared" si="386"/>
        <v>33129.174480000001</v>
      </c>
      <c r="V396" s="85">
        <f t="shared" si="387"/>
        <v>-1141.3067828769733</v>
      </c>
      <c r="W396" s="85">
        <f t="shared" si="388"/>
        <v>13361.500861549814</v>
      </c>
      <c r="X396" s="90">
        <f t="shared" si="389"/>
        <v>1141.3067828769733</v>
      </c>
      <c r="Y396" s="86">
        <f t="shared" si="390"/>
        <v>-8419.0600400000003</v>
      </c>
      <c r="Z396" s="85">
        <f t="shared" si="391"/>
        <v>-750</v>
      </c>
      <c r="AA396" s="85">
        <f t="shared" si="392"/>
        <v>-752.86487815751059</v>
      </c>
      <c r="AB396" s="90">
        <f t="shared" si="393"/>
        <v>750</v>
      </c>
      <c r="AC396" s="86">
        <f t="shared" si="394"/>
        <v>-30752.54062</v>
      </c>
      <c r="AD396" s="85">
        <f t="shared" si="395"/>
        <v>1055.7627565116984</v>
      </c>
      <c r="AE396" s="85">
        <f t="shared" si="396"/>
        <v>-11974.231611906765</v>
      </c>
      <c r="AF396" s="90">
        <f t="shared" si="397"/>
        <v>1055.7627565116984</v>
      </c>
      <c r="AG396" s="86">
        <f t="shared" si="398"/>
        <v>8937.8364199999996</v>
      </c>
      <c r="AH396" s="85">
        <f t="shared" si="399"/>
        <v>6128</v>
      </c>
      <c r="AI396" s="85">
        <f t="shared" si="400"/>
        <v>6151.4079644656331</v>
      </c>
      <c r="AJ396" s="90">
        <f t="shared" si="401"/>
        <v>6128</v>
      </c>
      <c r="AL396" s="95">
        <f t="shared" si="402"/>
        <v>0</v>
      </c>
      <c r="AM396" s="95">
        <f t="shared" si="403"/>
        <v>0</v>
      </c>
      <c r="AN396" s="95">
        <f t="shared" si="404"/>
        <v>0</v>
      </c>
      <c r="AO396" s="95">
        <f t="shared" si="405"/>
        <v>0</v>
      </c>
      <c r="AP396"/>
      <c r="AQ396" s="95">
        <f t="shared" si="406"/>
        <v>0</v>
      </c>
      <c r="AR396" s="95">
        <f t="shared" si="407"/>
        <v>0</v>
      </c>
      <c r="AS396" s="95">
        <f>Geraetedaten!$B$94*ABS(SIN(RADIANS($A396)))</f>
        <v>13.421984383139382</v>
      </c>
      <c r="AT396" s="95">
        <f>Geraetedaten!$B$94*ABS(COS(RADIANS($A396)))</f>
        <v>153.4139835061288</v>
      </c>
      <c r="AU396" s="95">
        <f>((h_Aw_Sw+Geraetedaten!$B$18)/1000)*(AQ396*AS396+AR396*AT396)/100</f>
        <v>0</v>
      </c>
    </row>
    <row r="397" spans="1:47" ht="13.5" x14ac:dyDescent="0.25">
      <c r="A397" s="16">
        <v>356</v>
      </c>
      <c r="B397" s="16">
        <f t="shared" si="374"/>
        <v>94</v>
      </c>
      <c r="C397" s="19">
        <f t="shared" si="375"/>
        <v>34.306782372021985</v>
      </c>
      <c r="D397" s="17">
        <f t="shared" si="376"/>
        <v>41570.84847762798</v>
      </c>
      <c r="E397" s="17">
        <f t="shared" si="377"/>
        <v>-8441.8100123720214</v>
      </c>
      <c r="F397" s="17">
        <f t="shared" si="378"/>
        <v>-38346.770712372017</v>
      </c>
      <c r="G397" s="17">
        <f t="shared" si="379"/>
        <v>8891.2607076279783</v>
      </c>
      <c r="H397" s="17">
        <f t="shared" si="380"/>
        <v>8891.2607076279783</v>
      </c>
      <c r="I397" s="17">
        <f t="shared" si="381"/>
        <v>6142.963951441423</v>
      </c>
      <c r="J397" s="20">
        <f>(Geraetedaten!$B$152+(Geraetedaten!$B$153*(Geraetedaten!$B$18+d_y_Sw)/1000))*10</f>
        <v>6051.0442000000003</v>
      </c>
      <c r="K397" s="20">
        <f>(Geraetedaten!$B$165+(Geraetedaten!$B$166*(Geraetedaten!$B$18+d_y_Sw)/1000))*10</f>
        <v>10816.164000000001</v>
      </c>
      <c r="L397" s="20">
        <f>(Geraetedaten!$B$158+(Geraetedaten!$B$159*(Geraetedaten!$B$18+d_y_Sw)/1000)-(Geraetedaten!$B$160*I397/1000))*10</f>
        <v>151.07305344080027</v>
      </c>
      <c r="M397" s="20">
        <f>(Geraetedaten!$B$171+(Geraetedaten!$B$172*(Geraetedaten!$B$18+d_y_Sw)/1000)-(Geraetedaten!$B$173*I397/1000))*10</f>
        <v>607.58476345470126</v>
      </c>
      <c r="N397" s="20">
        <f>IF((H397-J397)/(K397-J397)*(Geraetedaten!$B$174-Geraetedaten!$B$161)&lt;Geraetedaten!$B$174,(H397-J397)/(K397-J397)*(Geraetedaten!$B$174-Geraetedaten!$B$161),Geraetedaten!$B$174)</f>
        <v>238.41721734911911</v>
      </c>
      <c r="O397" s="20">
        <f>N397/Geraetedaten!$B$174*(M397-L397)+L397+C397</f>
        <v>457.48046478482792</v>
      </c>
      <c r="P397" s="20">
        <f t="shared" si="382"/>
        <v>154.67387824413984</v>
      </c>
      <c r="Q397" s="21">
        <f>(N397-Geraetedaten!$B$161)/(Geraetedaten!$B$174-Geraetedaten!$B$161)*(Geraetedaten!$B$175-Geraetedaten!$B$162)+Geraetedaten!$B$162</f>
        <v>36.292912216136294</v>
      </c>
      <c r="R397" s="21">
        <f t="shared" si="383"/>
        <v>36.292912216136294</v>
      </c>
      <c r="S397" s="21">
        <f t="shared" si="384"/>
        <v>-2.5316655781027677</v>
      </c>
      <c r="T397" s="88">
        <f t="shared" si="385"/>
        <v>36.204504506053176</v>
      </c>
      <c r="U397" s="86">
        <f t="shared" si="386"/>
        <v>41605.15526</v>
      </c>
      <c r="V397" s="85">
        <f t="shared" si="387"/>
        <v>-1141.3067828769733</v>
      </c>
      <c r="W397" s="85">
        <f t="shared" si="388"/>
        <v>16779.993061274683</v>
      </c>
      <c r="X397" s="90">
        <f t="shared" si="389"/>
        <v>1141.3067828769733</v>
      </c>
      <c r="Y397" s="86">
        <f t="shared" si="390"/>
        <v>-8407.5032300000003</v>
      </c>
      <c r="Z397" s="85">
        <f t="shared" si="391"/>
        <v>-750</v>
      </c>
      <c r="AA397" s="85">
        <f t="shared" si="392"/>
        <v>-751.8314235608791</v>
      </c>
      <c r="AB397" s="90">
        <f t="shared" si="393"/>
        <v>750</v>
      </c>
      <c r="AC397" s="86">
        <f t="shared" si="394"/>
        <v>-38312.463929999998</v>
      </c>
      <c r="AD397" s="85">
        <f t="shared" si="395"/>
        <v>1055.7627565116984</v>
      </c>
      <c r="AE397" s="85">
        <f t="shared" si="396"/>
        <v>-14917.867190260296</v>
      </c>
      <c r="AF397" s="90">
        <f t="shared" si="397"/>
        <v>1055.7627565116984</v>
      </c>
      <c r="AG397" s="86">
        <f t="shared" si="398"/>
        <v>8925.5674899999995</v>
      </c>
      <c r="AH397" s="85">
        <f t="shared" si="399"/>
        <v>6128</v>
      </c>
      <c r="AI397" s="85">
        <f t="shared" si="400"/>
        <v>6142.963951441423</v>
      </c>
      <c r="AJ397" s="90">
        <f t="shared" si="401"/>
        <v>6128</v>
      </c>
      <c r="AL397" s="95">
        <f t="shared" si="402"/>
        <v>0</v>
      </c>
      <c r="AM397" s="95">
        <f t="shared" si="403"/>
        <v>0</v>
      </c>
      <c r="AN397" s="95">
        <f t="shared" si="404"/>
        <v>0</v>
      </c>
      <c r="AO397" s="95">
        <f t="shared" si="405"/>
        <v>0</v>
      </c>
      <c r="AP397"/>
      <c r="AQ397" s="95">
        <f t="shared" si="406"/>
        <v>0</v>
      </c>
      <c r="AR397" s="95">
        <f t="shared" si="407"/>
        <v>0</v>
      </c>
      <c r="AS397" s="95">
        <f>Geraetedaten!$B$94*ABS(SIN(RADIANS($A397)))</f>
        <v>10.742496956595348</v>
      </c>
      <c r="AT397" s="95">
        <f>Geraetedaten!$B$94*ABS(COS(RADIANS($A397)))</f>
        <v>153.62486374001293</v>
      </c>
      <c r="AU397" s="95">
        <f>((h_Aw_Sw+Geraetedaten!$B$18)/1000)*(AQ397*AS397+AR397*AT397)/100</f>
        <v>0</v>
      </c>
    </row>
    <row r="398" spans="1:47" ht="13.5" x14ac:dyDescent="0.25">
      <c r="A398" s="16">
        <v>357</v>
      </c>
      <c r="B398" s="16">
        <f t="shared" si="374"/>
        <v>93</v>
      </c>
      <c r="C398" s="19">
        <f t="shared" si="375"/>
        <v>33.231649477491914</v>
      </c>
      <c r="D398" s="17">
        <f t="shared" si="376"/>
        <v>55899.030250522505</v>
      </c>
      <c r="E398" s="17">
        <f t="shared" si="377"/>
        <v>-8431.7645194774905</v>
      </c>
      <c r="F398" s="17">
        <f t="shared" si="378"/>
        <v>-50854.648579477493</v>
      </c>
      <c r="G398" s="17">
        <f t="shared" si="379"/>
        <v>8882.812730522508</v>
      </c>
      <c r="H398" s="17">
        <f t="shared" si="380"/>
        <v>8882.812730522508</v>
      </c>
      <c r="I398" s="17">
        <f t="shared" si="381"/>
        <v>6136.40973627526</v>
      </c>
      <c r="J398" s="20">
        <f>(Geraetedaten!$B$152+(Geraetedaten!$B$153*(Geraetedaten!$B$18+d_y_Sw)/1000))*10</f>
        <v>6051.0442000000003</v>
      </c>
      <c r="K398" s="20">
        <f>(Geraetedaten!$B$165+(Geraetedaten!$B$166*(Geraetedaten!$B$18+d_y_Sw)/1000))*10</f>
        <v>10816.164000000001</v>
      </c>
      <c r="L398" s="20">
        <f>(Geraetedaten!$B$158+(Geraetedaten!$B$159*(Geraetedaten!$B$18+d_y_Sw)/1000)-(Geraetedaten!$B$160*I398/1000))*10</f>
        <v>151.55367403893507</v>
      </c>
      <c r="M398" s="20">
        <f>(Geraetedaten!$B$171+(Geraetedaten!$B$172*(Geraetedaten!$B$18+d_y_Sw)/1000)-(Geraetedaten!$B$173*I398/1000))*10</f>
        <v>608.0726592316704</v>
      </c>
      <c r="N398" s="20">
        <f>IF((H398-J398)/(K398-J398)*(Geraetedaten!$B$174-Geraetedaten!$B$161)&lt;Geraetedaten!$B$174,(H398-J398)/(K398-J398)*(Geraetedaten!$B$174-Geraetedaten!$B$161),Geraetedaten!$B$174)</f>
        <v>237.70806606142472</v>
      </c>
      <c r="O398" s="20">
        <f>N398/Geraetedaten!$B$174*(M398-L398)+L398+C398</f>
        <v>456.08093624265018</v>
      </c>
      <c r="P398" s="20">
        <f t="shared" si="382"/>
        <v>154.27511412664907</v>
      </c>
      <c r="Q398" s="21">
        <f>(N398-Geraetedaten!$B$161)/(Geraetedaten!$B$174-Geraetedaten!$B$161)*(Geraetedaten!$B$175-Geraetedaten!$B$162)+Geraetedaten!$B$162</f>
        <v>36.271814965327387</v>
      </c>
      <c r="R398" s="21">
        <f t="shared" si="383"/>
        <v>36.271814965327387</v>
      </c>
      <c r="S398" s="21">
        <f t="shared" si="384"/>
        <v>-1.8983201208775489</v>
      </c>
      <c r="T398" s="88">
        <f t="shared" si="385"/>
        <v>36.222105703528875</v>
      </c>
      <c r="U398" s="86">
        <f t="shared" si="386"/>
        <v>55932.261899999998</v>
      </c>
      <c r="V398" s="85">
        <f t="shared" si="387"/>
        <v>-1141.3067828769733</v>
      </c>
      <c r="W398" s="85">
        <f t="shared" si="388"/>
        <v>22558.333473485603</v>
      </c>
      <c r="X398" s="90">
        <f t="shared" si="389"/>
        <v>1141.3067828769733</v>
      </c>
      <c r="Y398" s="86">
        <f t="shared" si="390"/>
        <v>-8398.5328699999991</v>
      </c>
      <c r="Z398" s="85">
        <f t="shared" si="391"/>
        <v>-750</v>
      </c>
      <c r="AA398" s="85">
        <f t="shared" si="392"/>
        <v>-751.02925949844075</v>
      </c>
      <c r="AB398" s="90">
        <f t="shared" si="393"/>
        <v>750</v>
      </c>
      <c r="AC398" s="86">
        <f t="shared" si="394"/>
        <v>-50821.416929999999</v>
      </c>
      <c r="AD398" s="85">
        <f t="shared" si="395"/>
        <v>1055.7627565116984</v>
      </c>
      <c r="AE398" s="85">
        <f t="shared" si="396"/>
        <v>-19788.52494547622</v>
      </c>
      <c r="AF398" s="90">
        <f t="shared" si="397"/>
        <v>1055.7627565116984</v>
      </c>
      <c r="AG398" s="86">
        <f t="shared" si="398"/>
        <v>8916.0443799999994</v>
      </c>
      <c r="AH398" s="85">
        <f t="shared" si="399"/>
        <v>6128</v>
      </c>
      <c r="AI398" s="85">
        <f t="shared" si="400"/>
        <v>6136.40973627526</v>
      </c>
      <c r="AJ398" s="90">
        <f t="shared" si="401"/>
        <v>6128</v>
      </c>
      <c r="AL398" s="95">
        <f t="shared" si="402"/>
        <v>0</v>
      </c>
      <c r="AM398" s="95">
        <f t="shared" si="403"/>
        <v>0</v>
      </c>
      <c r="AN398" s="95">
        <f t="shared" si="404"/>
        <v>0</v>
      </c>
      <c r="AO398" s="95">
        <f t="shared" si="405"/>
        <v>0</v>
      </c>
      <c r="AP398"/>
      <c r="AQ398" s="95">
        <f t="shared" si="406"/>
        <v>0</v>
      </c>
      <c r="AR398" s="95">
        <f t="shared" si="407"/>
        <v>0</v>
      </c>
      <c r="AS398" s="95">
        <f>Geraetedaten!$B$94*ABS(SIN(RADIANS($A398)))</f>
        <v>8.0597372614134333</v>
      </c>
      <c r="AT398" s="95">
        <f>Geraetedaten!$B$94*ABS(COS(RADIANS($A398)))</f>
        <v>153.78894835220436</v>
      </c>
      <c r="AU398" s="95">
        <f>((h_Aw_Sw+Geraetedaten!$B$18)/1000)*(AQ398*AS398+AR398*AT398)/100</f>
        <v>0</v>
      </c>
    </row>
    <row r="399" spans="1:47" ht="13.5" x14ac:dyDescent="0.25">
      <c r="A399" s="16">
        <v>358</v>
      </c>
      <c r="B399" s="16">
        <f t="shared" si="374"/>
        <v>92</v>
      </c>
      <c r="C399" s="19">
        <f t="shared" si="375"/>
        <v>32.146393900608729</v>
      </c>
      <c r="D399" s="17">
        <f t="shared" si="376"/>
        <v>85316.777506099388</v>
      </c>
      <c r="E399" s="17">
        <f t="shared" si="377"/>
        <v>-8424.2816339006076</v>
      </c>
      <c r="F399" s="17">
        <f t="shared" si="378"/>
        <v>-75524.7696139006</v>
      </c>
      <c r="G399" s="17">
        <f t="shared" si="379"/>
        <v>8877.1061360993917</v>
      </c>
      <c r="H399" s="17">
        <f t="shared" si="380"/>
        <v>8877.1061360993917</v>
      </c>
      <c r="I399" s="17">
        <f t="shared" si="381"/>
        <v>6131.7352874631797</v>
      </c>
      <c r="J399" s="20">
        <f>(Geraetedaten!$B$152+(Geraetedaten!$B$153*(Geraetedaten!$B$18+d_y_Sw)/1000))*10</f>
        <v>6051.0442000000003</v>
      </c>
      <c r="K399" s="20">
        <f>(Geraetedaten!$B$165+(Geraetedaten!$B$166*(Geraetedaten!$B$18+d_y_Sw)/1000))*10</f>
        <v>10816.164000000001</v>
      </c>
      <c r="L399" s="20">
        <f>(Geraetedaten!$B$158+(Geraetedaten!$B$159*(Geraetedaten!$B$18+d_y_Sw)/1000)-(Geraetedaten!$B$160*I399/1000))*10</f>
        <v>151.89645137032485</v>
      </c>
      <c r="M399" s="20">
        <f>(Geraetedaten!$B$171+(Geraetedaten!$B$172*(Geraetedaten!$B$18+d_y_Sw)/1000)-(Geraetedaten!$B$173*I399/1000))*10</f>
        <v>608.42062520124171</v>
      </c>
      <c r="N399" s="20">
        <f>IF((H399-J399)/(K399-J399)*(Geraetedaten!$B$174-Geraetedaten!$B$161)&lt;Geraetedaten!$B$174,(H399-J399)/(K399-J399)*(Geraetedaten!$B$174-Geraetedaten!$B$161),Geraetedaten!$B$174)</f>
        <v>237.2290355511642</v>
      </c>
      <c r="O399" s="20">
        <f>N399/Geraetedaten!$B$174*(M399-L399)+L399+C399</f>
        <v>454.79481893018465</v>
      </c>
      <c r="P399" s="20">
        <f t="shared" si="382"/>
        <v>153.88897303315304</v>
      </c>
      <c r="Q399" s="21">
        <f>(N399-Geraetedaten!$B$161)/(Geraetedaten!$B$174-Geraetedaten!$B$161)*(Geraetedaten!$B$175-Geraetedaten!$B$162)+Geraetedaten!$B$162</f>
        <v>36.257563807647138</v>
      </c>
      <c r="R399" s="21">
        <f t="shared" si="383"/>
        <v>36.257563807647138</v>
      </c>
      <c r="S399" s="21">
        <f t="shared" si="384"/>
        <v>-1.2653707285456945</v>
      </c>
      <c r="T399" s="88">
        <f t="shared" si="385"/>
        <v>36.235476679422106</v>
      </c>
      <c r="U399" s="86">
        <f t="shared" si="386"/>
        <v>85348.923899999994</v>
      </c>
      <c r="V399" s="85">
        <f t="shared" si="387"/>
        <v>-1141.3067828769733</v>
      </c>
      <c r="W399" s="85">
        <f t="shared" si="388"/>
        <v>34422.521482956217</v>
      </c>
      <c r="X399" s="90">
        <f t="shared" si="389"/>
        <v>1141.3067828769733</v>
      </c>
      <c r="Y399" s="86">
        <f t="shared" si="390"/>
        <v>-8392.1352399999996</v>
      </c>
      <c r="Z399" s="85">
        <f t="shared" si="391"/>
        <v>-750</v>
      </c>
      <c r="AA399" s="85">
        <f t="shared" si="392"/>
        <v>-750.45715822411626</v>
      </c>
      <c r="AB399" s="90">
        <f t="shared" si="393"/>
        <v>750</v>
      </c>
      <c r="AC399" s="86">
        <f t="shared" si="394"/>
        <v>-75492.623219999994</v>
      </c>
      <c r="AD399" s="85">
        <f t="shared" si="395"/>
        <v>1055.7627565116984</v>
      </c>
      <c r="AE399" s="85">
        <f t="shared" si="396"/>
        <v>-29394.844691991566</v>
      </c>
      <c r="AF399" s="90">
        <f t="shared" si="397"/>
        <v>1055.7627565116984</v>
      </c>
      <c r="AG399" s="86">
        <f t="shared" si="398"/>
        <v>8909.2525299999998</v>
      </c>
      <c r="AH399" s="85">
        <f t="shared" si="399"/>
        <v>6128</v>
      </c>
      <c r="AI399" s="85">
        <f t="shared" si="400"/>
        <v>6131.7352874631797</v>
      </c>
      <c r="AJ399" s="90">
        <f t="shared" si="401"/>
        <v>6128</v>
      </c>
      <c r="AL399" s="95">
        <f t="shared" si="402"/>
        <v>0</v>
      </c>
      <c r="AM399" s="95">
        <f t="shared" si="403"/>
        <v>0</v>
      </c>
      <c r="AN399" s="95">
        <f t="shared" si="404"/>
        <v>0</v>
      </c>
      <c r="AO399" s="95">
        <f t="shared" si="405"/>
        <v>0</v>
      </c>
      <c r="AP399"/>
      <c r="AQ399" s="95">
        <f t="shared" si="406"/>
        <v>0</v>
      </c>
      <c r="AR399" s="95">
        <f t="shared" si="407"/>
        <v>0</v>
      </c>
      <c r="AS399" s="95">
        <f>Geraetedaten!$B$94*ABS(SIN(RADIANS($A399)))</f>
        <v>5.3745224921851271</v>
      </c>
      <c r="AT399" s="95">
        <f>Geraetedaten!$B$94*ABS(COS(RADIANS($A399)))</f>
        <v>153.90618736094075</v>
      </c>
      <c r="AU399" s="95">
        <f>((h_Aw_Sw+Geraetedaten!$B$18)/1000)*(AQ399*AS399+AR399*AT399)/100</f>
        <v>0</v>
      </c>
    </row>
    <row r="400" spans="1:47" ht="13.5" x14ac:dyDescent="0.25">
      <c r="A400" s="16">
        <v>359</v>
      </c>
      <c r="B400" s="16">
        <f t="shared" si="374"/>
        <v>91</v>
      </c>
      <c r="C400" s="19">
        <f t="shared" si="375"/>
        <v>31.051346220734366</v>
      </c>
      <c r="D400" s="17">
        <f t="shared" si="376"/>
        <v>180120.54680377926</v>
      </c>
      <c r="E400" s="17">
        <f t="shared" si="377"/>
        <v>-8419.3519062207342</v>
      </c>
      <c r="F400" s="17">
        <f t="shared" si="378"/>
        <v>-146833.48959622075</v>
      </c>
      <c r="G400" s="17">
        <f t="shared" si="379"/>
        <v>8874.1302137792663</v>
      </c>
      <c r="H400" s="17">
        <f t="shared" si="380"/>
        <v>8874.1302137792663</v>
      </c>
      <c r="I400" s="17">
        <f t="shared" si="381"/>
        <v>6128.9334662530664</v>
      </c>
      <c r="J400" s="20">
        <f>(Geraetedaten!$B$152+(Geraetedaten!$B$153*(Geraetedaten!$B$18+d_y_Sw)/1000))*10</f>
        <v>6051.0442000000003</v>
      </c>
      <c r="K400" s="20">
        <f>(Geraetedaten!$B$165+(Geraetedaten!$B$166*(Geraetedaten!$B$18+d_y_Sw)/1000))*10</f>
        <v>10816.164000000001</v>
      </c>
      <c r="L400" s="20">
        <f>(Geraetedaten!$B$158+(Geraetedaten!$B$159*(Geraetedaten!$B$18+d_y_Sw)/1000)-(Geraetedaten!$B$160*I400/1000))*10</f>
        <v>152.10190891966243</v>
      </c>
      <c r="M400" s="20">
        <f>(Geraetedaten!$B$171+(Geraetedaten!$B$172*(Geraetedaten!$B$18+d_y_Sw)/1000)-(Geraetedaten!$B$173*I400/1000))*10</f>
        <v>608.62919277212256</v>
      </c>
      <c r="N400" s="20">
        <f>IF((H400-J400)/(K400-J400)*(Geraetedaten!$B$174-Geraetedaten!$B$161)&lt;Geraetedaten!$B$174,(H400-J400)/(K400-J400)*(Geraetedaten!$B$174-Geraetedaten!$B$161),Geraetedaten!$B$174)</f>
        <v>236.97922673669325</v>
      </c>
      <c r="O400" s="20">
        <f>N400/Geraetedaten!$B$174*(M400-L400)+L400+C400</f>
        <v>453.62196191929399</v>
      </c>
      <c r="P400" s="20">
        <f t="shared" si="382"/>
        <v>153.51570686364911</v>
      </c>
      <c r="Q400" s="21">
        <f>(N400-Geraetedaten!$B$161)/(Geraetedaten!$B$174-Geraetedaten!$B$161)*(Geraetedaten!$B$175-Geraetedaten!$B$162)+Geraetedaten!$B$162</f>
        <v>36.250131995416623</v>
      </c>
      <c r="R400" s="21">
        <f t="shared" si="383"/>
        <v>36.250131995416623</v>
      </c>
      <c r="S400" s="21">
        <f t="shared" si="384"/>
        <v>-0.63265203698918782</v>
      </c>
      <c r="T400" s="88">
        <f t="shared" si="385"/>
        <v>36.244610924732264</v>
      </c>
      <c r="U400" s="86">
        <f t="shared" si="386"/>
        <v>180151.59815000001</v>
      </c>
      <c r="V400" s="85">
        <f t="shared" si="387"/>
        <v>-1141.3067828769733</v>
      </c>
      <c r="W400" s="85">
        <f t="shared" si="388"/>
        <v>72657.884533869335</v>
      </c>
      <c r="X400" s="90">
        <f t="shared" si="389"/>
        <v>1141.3067828769733</v>
      </c>
      <c r="Y400" s="86">
        <f t="shared" si="390"/>
        <v>-8388.3005599999997</v>
      </c>
      <c r="Z400" s="85">
        <f t="shared" si="391"/>
        <v>-750</v>
      </c>
      <c r="AA400" s="85">
        <f t="shared" si="392"/>
        <v>-750.11424603293074</v>
      </c>
      <c r="AB400" s="90">
        <f t="shared" si="393"/>
        <v>750</v>
      </c>
      <c r="AC400" s="86">
        <f t="shared" si="394"/>
        <v>-146802.43825000001</v>
      </c>
      <c r="AD400" s="85">
        <f t="shared" si="395"/>
        <v>1055.7627565116984</v>
      </c>
      <c r="AE400" s="85">
        <f t="shared" si="396"/>
        <v>-57161.013738413865</v>
      </c>
      <c r="AF400" s="90">
        <f t="shared" si="397"/>
        <v>1055.7627565116984</v>
      </c>
      <c r="AG400" s="86">
        <f t="shared" si="398"/>
        <v>8905.1815600000009</v>
      </c>
      <c r="AH400" s="85">
        <f t="shared" si="399"/>
        <v>6128</v>
      </c>
      <c r="AI400" s="85">
        <f t="shared" si="400"/>
        <v>6128.9334662530664</v>
      </c>
      <c r="AJ400" s="90">
        <f t="shared" si="401"/>
        <v>6128</v>
      </c>
      <c r="AL400" s="95">
        <f t="shared" si="402"/>
        <v>0</v>
      </c>
      <c r="AM400" s="95">
        <f t="shared" si="403"/>
        <v>0</v>
      </c>
      <c r="AN400" s="95">
        <f t="shared" si="404"/>
        <v>0</v>
      </c>
      <c r="AO400" s="95">
        <f t="shared" si="405"/>
        <v>0</v>
      </c>
      <c r="AP400"/>
      <c r="AQ400" s="95">
        <f t="shared" si="406"/>
        <v>0</v>
      </c>
      <c r="AR400" s="95">
        <f t="shared" si="407"/>
        <v>0</v>
      </c>
      <c r="AS400" s="95">
        <f>Geraetedaten!$B$94*ABS(SIN(RADIANS($A400)))</f>
        <v>2.6876705913416683</v>
      </c>
      <c r="AT400" s="95">
        <f>Geraetedaten!$B$94*ABS(COS(RADIANS($A400)))</f>
        <v>153.97654505408426</v>
      </c>
      <c r="AU400" s="95">
        <f>((h_Aw_Sw+Geraetedaten!$B$18)/1000)*(AQ400*AS400+AR400*AT400)/100</f>
        <v>0</v>
      </c>
    </row>
    <row r="401" spans="3:48" x14ac:dyDescent="0.2">
      <c r="C401"/>
      <c r="E401" s="1"/>
      <c r="F401" s="1"/>
      <c r="G401" s="1"/>
      <c r="H401" s="1"/>
      <c r="I401" s="1"/>
      <c r="AQ401"/>
      <c r="AR401" s="18"/>
      <c r="AS401" s="18"/>
    </row>
    <row r="402" spans="3:48" x14ac:dyDescent="0.2">
      <c r="C402"/>
      <c r="E402" s="1"/>
      <c r="F402" s="1"/>
      <c r="G402" s="1"/>
      <c r="H402" s="1"/>
      <c r="I402" s="1"/>
      <c r="AQ402"/>
      <c r="AR402" s="18"/>
      <c r="AS402" s="18"/>
    </row>
    <row r="403" spans="3:48" x14ac:dyDescent="0.2">
      <c r="C403"/>
      <c r="E403" s="1"/>
      <c r="F403" s="1"/>
      <c r="G403" s="1"/>
      <c r="H403" s="1"/>
      <c r="I403" s="1"/>
      <c r="J403" s="1"/>
      <c r="K403" s="1"/>
      <c r="L403" s="1"/>
      <c r="M403" s="1"/>
      <c r="N403" s="1"/>
      <c r="O403" s="1"/>
      <c r="P403" s="1"/>
      <c r="Q403" s="1"/>
      <c r="AQ403"/>
      <c r="AR403" s="18"/>
      <c r="AS403" s="18"/>
    </row>
    <row r="404" spans="3:48" x14ac:dyDescent="0.2">
      <c r="C404"/>
      <c r="E404" s="1"/>
      <c r="F404" s="1"/>
      <c r="G404" s="1"/>
      <c r="H404" s="1"/>
      <c r="I404" s="1"/>
      <c r="J404" s="1"/>
      <c r="K404" s="1"/>
      <c r="L404" s="1"/>
      <c r="M404" s="1"/>
      <c r="N404" s="1"/>
      <c r="O404" s="1"/>
      <c r="P404" s="1"/>
      <c r="Q404" s="1"/>
      <c r="AR404"/>
      <c r="AS404" s="18"/>
      <c r="AT404" s="18"/>
    </row>
    <row r="405" spans="3:48" x14ac:dyDescent="0.2">
      <c r="C405"/>
      <c r="E405" s="1"/>
      <c r="F405" s="1"/>
      <c r="G405" s="1"/>
      <c r="H405" s="1"/>
      <c r="I405" s="1"/>
      <c r="J405" s="1"/>
      <c r="K405" s="1"/>
      <c r="L405" s="1"/>
      <c r="M405" s="1"/>
      <c r="N405" s="1"/>
      <c r="O405" s="1"/>
      <c r="P405" s="1"/>
      <c r="Q405" s="1"/>
      <c r="AR405"/>
      <c r="AS405" s="18"/>
      <c r="AT405" s="18"/>
    </row>
    <row r="406" spans="3:48" x14ac:dyDescent="0.2">
      <c r="C406"/>
      <c r="E406" s="1"/>
      <c r="F406" s="1"/>
      <c r="G406" s="1"/>
      <c r="H406" s="1"/>
      <c r="I406" s="1"/>
      <c r="J406" s="1"/>
      <c r="K406" s="1"/>
      <c r="L406" s="1"/>
      <c r="M406" s="1"/>
      <c r="N406" s="1"/>
      <c r="O406" s="1"/>
      <c r="P406" s="1"/>
      <c r="Q406" s="1"/>
      <c r="AU406" s="18"/>
      <c r="AV406" s="18"/>
    </row>
    <row r="407" spans="3:48" x14ac:dyDescent="0.2">
      <c r="C407"/>
      <c r="E407" s="1"/>
      <c r="F407" s="1"/>
      <c r="G407" s="1"/>
      <c r="H407" s="1"/>
      <c r="I407" s="1"/>
      <c r="J407" s="1"/>
      <c r="K407" s="1"/>
      <c r="L407" s="1"/>
      <c r="M407" s="1"/>
      <c r="N407" s="1"/>
      <c r="O407" s="1"/>
      <c r="P407" s="1"/>
      <c r="Q407" s="1"/>
      <c r="AU407" s="18"/>
      <c r="AV407" s="18"/>
    </row>
    <row r="408" spans="3:48" x14ac:dyDescent="0.2">
      <c r="E408" s="1"/>
      <c r="F408" s="1"/>
      <c r="G408" s="1"/>
      <c r="H408" s="1"/>
      <c r="I408" s="1"/>
      <c r="J408" s="1"/>
      <c r="K408" s="1"/>
      <c r="L408" s="1"/>
      <c r="M408" s="1"/>
      <c r="AU408" s="18"/>
      <c r="AV408" s="18"/>
    </row>
    <row r="409" spans="3:48" x14ac:dyDescent="0.2">
      <c r="E409" s="1"/>
      <c r="F409" s="1"/>
      <c r="G409" s="1"/>
      <c r="H409" s="1"/>
      <c r="I409" s="1"/>
      <c r="J409" s="1"/>
      <c r="K409" s="1"/>
      <c r="L409" s="1"/>
      <c r="M409" s="1"/>
      <c r="AU409" s="18"/>
      <c r="AV409" s="18"/>
    </row>
    <row r="410" spans="3:48" x14ac:dyDescent="0.2">
      <c r="E410" s="1"/>
      <c r="F410" s="1"/>
      <c r="G410" s="1"/>
      <c r="H410" s="1"/>
      <c r="I410" s="1"/>
      <c r="J410" s="1"/>
      <c r="K410" s="1"/>
      <c r="L410" s="1"/>
      <c r="M410" s="1"/>
      <c r="AU410" s="18"/>
      <c r="AV410" s="18"/>
    </row>
    <row r="411" spans="3:48" x14ac:dyDescent="0.2">
      <c r="E411" s="1"/>
      <c r="F411" s="1"/>
      <c r="G411" s="1"/>
      <c r="H411" s="1"/>
      <c r="I411" s="1"/>
      <c r="J411" s="1"/>
      <c r="K411" s="1"/>
      <c r="L411" s="1"/>
      <c r="M411" s="1"/>
      <c r="AU411" s="18"/>
      <c r="AV411" s="18"/>
    </row>
    <row r="412" spans="3:48" x14ac:dyDescent="0.2">
      <c r="E412" s="1"/>
      <c r="F412" s="1"/>
      <c r="G412" s="1"/>
      <c r="H412" s="1"/>
      <c r="I412" s="1"/>
      <c r="J412" s="1"/>
      <c r="K412" s="1"/>
      <c r="L412" s="1"/>
      <c r="M412" s="1"/>
      <c r="AU412" s="18"/>
      <c r="AV412" s="18"/>
    </row>
    <row r="413" spans="3:48" x14ac:dyDescent="0.2">
      <c r="E413" s="1"/>
      <c r="F413" s="1"/>
      <c r="G413" s="1"/>
      <c r="H413" s="1"/>
      <c r="I413" s="1"/>
      <c r="J413" s="1"/>
      <c r="K413" s="1"/>
      <c r="L413" s="1"/>
      <c r="M413" s="1"/>
      <c r="AU413" s="18"/>
      <c r="AV413" s="18"/>
    </row>
    <row r="414" spans="3:48" x14ac:dyDescent="0.2">
      <c r="E414" s="1"/>
      <c r="F414" s="1"/>
      <c r="G414" s="1"/>
      <c r="H414" s="1"/>
      <c r="I414" s="1"/>
      <c r="J414" s="1"/>
      <c r="K414" s="1"/>
      <c r="L414" s="1"/>
      <c r="M414" s="1"/>
      <c r="AU414" s="18"/>
      <c r="AV414" s="18"/>
    </row>
    <row r="415" spans="3:48" x14ac:dyDescent="0.2">
      <c r="E415" s="1"/>
      <c r="F415" s="1"/>
      <c r="G415" s="1"/>
      <c r="H415" s="1"/>
      <c r="I415" s="1"/>
      <c r="J415" s="1"/>
      <c r="K415" s="1"/>
      <c r="L415" s="1"/>
      <c r="M415" s="1"/>
      <c r="AU415" s="18"/>
      <c r="AV415" s="18"/>
    </row>
    <row r="416" spans="3:48" x14ac:dyDescent="0.2">
      <c r="E416" s="1"/>
      <c r="F416" s="1"/>
      <c r="G416" s="1"/>
      <c r="H416" s="1"/>
      <c r="I416" s="1"/>
      <c r="J416" s="1"/>
      <c r="K416" s="1"/>
      <c r="L416" s="1"/>
      <c r="M416" s="1"/>
      <c r="AU416" s="18"/>
      <c r="AV416" s="18"/>
    </row>
    <row r="417" spans="5:48" x14ac:dyDescent="0.2">
      <c r="E417" s="1"/>
      <c r="F417" s="1"/>
      <c r="G417" s="1"/>
      <c r="H417" s="1"/>
      <c r="I417" s="1"/>
      <c r="J417" s="1"/>
      <c r="K417" s="1"/>
      <c r="L417" s="1"/>
      <c r="M417" s="1"/>
      <c r="AA417" s="76"/>
      <c r="AU417" s="18"/>
      <c r="AV417" s="18"/>
    </row>
    <row r="418" spans="5:48" x14ac:dyDescent="0.2">
      <c r="E418" s="1"/>
      <c r="F418" s="1"/>
      <c r="G418" s="1"/>
      <c r="H418" s="1"/>
      <c r="I418" s="1"/>
      <c r="J418" s="1"/>
      <c r="K418" s="1"/>
      <c r="L418" s="1"/>
      <c r="M418" s="1"/>
      <c r="AA418" s="76"/>
      <c r="AU418" s="18"/>
      <c r="AV418" s="18"/>
    </row>
    <row r="419" spans="5:48" x14ac:dyDescent="0.2">
      <c r="E419" s="1"/>
      <c r="F419" s="1"/>
      <c r="G419" s="1"/>
      <c r="H419" s="1"/>
      <c r="I419" s="1"/>
      <c r="J419" s="1"/>
      <c r="K419" s="1"/>
      <c r="L419" s="1"/>
      <c r="M419" s="1"/>
      <c r="AA419" s="76"/>
      <c r="AU419" s="18"/>
      <c r="AV419" s="18"/>
    </row>
    <row r="420" spans="5:48" x14ac:dyDescent="0.2">
      <c r="E420" s="1"/>
      <c r="F420" s="1"/>
      <c r="G420" s="1"/>
      <c r="H420" s="1"/>
      <c r="I420" s="1"/>
      <c r="J420" s="1"/>
      <c r="K420" s="1"/>
      <c r="L420" s="1"/>
      <c r="M420" s="1"/>
      <c r="AA420" s="76"/>
      <c r="AU420" s="18"/>
      <c r="AV420" s="18"/>
    </row>
    <row r="421" spans="5:48" x14ac:dyDescent="0.2">
      <c r="E421" s="1"/>
      <c r="F421" s="1"/>
      <c r="G421" s="1"/>
      <c r="H421" s="1"/>
      <c r="I421" s="1"/>
      <c r="J421" s="1"/>
      <c r="K421" s="1"/>
      <c r="L421" s="1"/>
      <c r="M421" s="1"/>
      <c r="AA421" s="76"/>
      <c r="AU421" s="18"/>
      <c r="AV421" s="18"/>
    </row>
    <row r="422" spans="5:48" x14ac:dyDescent="0.2">
      <c r="E422" s="1"/>
      <c r="F422" s="1"/>
      <c r="G422" s="1"/>
      <c r="H422" s="1"/>
      <c r="I422" s="1"/>
      <c r="J422" s="1"/>
      <c r="K422" s="1"/>
      <c r="L422" s="1"/>
      <c r="M422" s="1"/>
      <c r="AA422" s="76"/>
      <c r="AU422" s="18"/>
      <c r="AV422" s="18"/>
    </row>
    <row r="423" spans="5:48" x14ac:dyDescent="0.2">
      <c r="E423" s="1"/>
      <c r="F423" s="1"/>
      <c r="G423" s="1"/>
      <c r="H423" s="1"/>
      <c r="I423" s="1"/>
      <c r="J423" s="1"/>
      <c r="K423" s="1"/>
      <c r="L423" s="1"/>
      <c r="M423" s="1"/>
      <c r="AA423" s="76"/>
      <c r="AU423" s="18"/>
      <c r="AV423" s="18"/>
    </row>
    <row r="424" spans="5:48" x14ac:dyDescent="0.2">
      <c r="E424" s="1"/>
      <c r="F424" s="1"/>
      <c r="G424" s="1"/>
      <c r="H424" s="1"/>
      <c r="I424" s="1"/>
      <c r="J424" s="1"/>
      <c r="K424" s="1"/>
      <c r="L424" s="1"/>
      <c r="M424" s="1"/>
      <c r="AA424" s="76"/>
      <c r="AU424" s="18"/>
      <c r="AV424" s="18"/>
    </row>
    <row r="425" spans="5:48" x14ac:dyDescent="0.2">
      <c r="E425" s="1"/>
      <c r="F425" s="1"/>
      <c r="G425" s="1"/>
      <c r="H425" s="1"/>
      <c r="I425" s="1"/>
      <c r="J425" s="1"/>
      <c r="K425" s="1"/>
      <c r="L425" s="1"/>
      <c r="M425" s="1"/>
      <c r="AA425" s="76"/>
      <c r="AU425" s="18"/>
      <c r="AV425" s="18"/>
    </row>
    <row r="426" spans="5:48" x14ac:dyDescent="0.2">
      <c r="E426" s="1"/>
      <c r="F426" s="1"/>
      <c r="G426" s="1"/>
      <c r="H426" s="1"/>
      <c r="I426" s="1"/>
      <c r="J426" s="1"/>
      <c r="K426" s="1"/>
      <c r="L426" s="1"/>
      <c r="M426" s="1"/>
      <c r="AA426" s="76"/>
      <c r="AU426" s="18"/>
      <c r="AV426" s="18"/>
    </row>
    <row r="427" spans="5:48" x14ac:dyDescent="0.2">
      <c r="E427" s="1"/>
      <c r="F427" s="1"/>
      <c r="G427" s="1"/>
      <c r="H427" s="1"/>
      <c r="I427" s="1"/>
      <c r="J427" s="1"/>
      <c r="K427" s="1"/>
      <c r="L427" s="1"/>
      <c r="M427" s="1"/>
      <c r="AA427" s="76"/>
      <c r="AU427" s="18"/>
      <c r="AV427" s="18"/>
    </row>
    <row r="428" spans="5:48" x14ac:dyDescent="0.2">
      <c r="E428" s="1"/>
      <c r="F428" s="1"/>
      <c r="G428" s="1"/>
      <c r="H428" s="1"/>
      <c r="I428" s="1"/>
      <c r="J428" s="1"/>
      <c r="K428" s="1"/>
      <c r="L428" s="1"/>
      <c r="M428" s="1"/>
      <c r="AA428" s="76"/>
      <c r="AU428" s="18"/>
      <c r="AV428" s="18"/>
    </row>
    <row r="429" spans="5:48" x14ac:dyDescent="0.2">
      <c r="E429" s="1"/>
      <c r="F429" s="1"/>
      <c r="G429" s="1"/>
      <c r="H429" s="1"/>
      <c r="I429" s="1"/>
      <c r="J429" s="1"/>
      <c r="K429" s="1"/>
      <c r="L429" s="1"/>
      <c r="M429" s="1"/>
      <c r="AA429" s="76"/>
      <c r="AU429" s="18"/>
      <c r="AV429" s="18"/>
    </row>
    <row r="430" spans="5:48" x14ac:dyDescent="0.2">
      <c r="E430" s="1"/>
      <c r="F430" s="1"/>
      <c r="G430" s="1"/>
      <c r="H430" s="1"/>
      <c r="I430" s="1"/>
      <c r="J430" s="1"/>
      <c r="K430" s="1"/>
      <c r="L430" s="1"/>
      <c r="M430" s="1"/>
      <c r="AA430" s="76"/>
      <c r="AU430" s="18"/>
      <c r="AV430" s="18"/>
    </row>
    <row r="431" spans="5:48" x14ac:dyDescent="0.2">
      <c r="E431" s="1"/>
      <c r="F431" s="1"/>
      <c r="G431" s="1"/>
      <c r="H431" s="1"/>
      <c r="I431" s="1"/>
      <c r="J431" s="1"/>
      <c r="K431" s="1"/>
      <c r="L431" s="1"/>
      <c r="M431" s="1"/>
      <c r="AA431" s="76"/>
      <c r="AU431" s="18"/>
      <c r="AV431" s="18"/>
    </row>
    <row r="432" spans="5:48" x14ac:dyDescent="0.2">
      <c r="E432" s="1"/>
      <c r="F432" s="1"/>
      <c r="G432" s="1"/>
      <c r="H432" s="1"/>
      <c r="I432" s="1"/>
      <c r="J432" s="1"/>
      <c r="K432" s="1"/>
      <c r="L432" s="1"/>
      <c r="M432" s="1"/>
      <c r="AA432" s="76"/>
      <c r="AU432" s="18"/>
      <c r="AV432" s="18"/>
    </row>
    <row r="433" spans="5:48" x14ac:dyDescent="0.2">
      <c r="E433" s="1"/>
      <c r="F433" s="1"/>
      <c r="G433" s="1"/>
      <c r="H433" s="1"/>
      <c r="I433" s="1"/>
      <c r="J433" s="1"/>
      <c r="K433" s="1"/>
      <c r="L433" s="1"/>
      <c r="M433" s="1"/>
      <c r="AA433" s="76"/>
      <c r="AU433" s="18"/>
      <c r="AV433" s="18"/>
    </row>
    <row r="434" spans="5:48" x14ac:dyDescent="0.2">
      <c r="E434" s="1"/>
      <c r="F434" s="1"/>
      <c r="G434" s="1"/>
      <c r="H434" s="1"/>
      <c r="I434" s="1"/>
      <c r="J434" s="1"/>
      <c r="K434" s="1"/>
      <c r="L434" s="1"/>
      <c r="M434" s="1"/>
      <c r="AA434" s="76"/>
      <c r="AU434" s="18"/>
      <c r="AV434" s="18"/>
    </row>
    <row r="435" spans="5:48" x14ac:dyDescent="0.2">
      <c r="E435" s="1"/>
      <c r="F435" s="1"/>
      <c r="G435" s="1"/>
      <c r="H435" s="1"/>
      <c r="I435" s="1"/>
      <c r="J435" s="1"/>
      <c r="K435" s="1"/>
      <c r="L435" s="1"/>
      <c r="M435" s="1"/>
      <c r="AA435" s="76"/>
      <c r="AU435" s="18"/>
      <c r="AV435" s="18"/>
    </row>
    <row r="436" spans="5:48" x14ac:dyDescent="0.2">
      <c r="E436" s="1"/>
      <c r="F436" s="1"/>
      <c r="G436" s="1"/>
      <c r="H436" s="1"/>
      <c r="I436" s="1"/>
      <c r="J436" s="1"/>
      <c r="K436" s="1"/>
      <c r="L436" s="1"/>
      <c r="M436" s="1"/>
      <c r="AA436" s="76"/>
      <c r="AU436" s="18"/>
      <c r="AV436" s="18"/>
    </row>
    <row r="437" spans="5:48" x14ac:dyDescent="0.2">
      <c r="E437" s="1"/>
      <c r="F437" s="1"/>
      <c r="G437" s="1"/>
      <c r="H437" s="1"/>
      <c r="I437" s="1"/>
      <c r="J437" s="1"/>
      <c r="K437" s="1"/>
      <c r="L437" s="1"/>
      <c r="M437" s="1"/>
      <c r="AA437" s="76"/>
      <c r="AU437" s="18"/>
      <c r="AV437" s="18"/>
    </row>
    <row r="438" spans="5:48" x14ac:dyDescent="0.2">
      <c r="E438" s="1"/>
      <c r="F438" s="1"/>
      <c r="G438" s="1"/>
      <c r="H438" s="1"/>
      <c r="I438" s="1"/>
      <c r="J438" s="1"/>
      <c r="K438" s="1"/>
      <c r="L438" s="1"/>
      <c r="M438" s="1"/>
      <c r="AA438" s="76"/>
      <c r="AU438" s="18"/>
      <c r="AV438" s="18"/>
    </row>
    <row r="439" spans="5:48" x14ac:dyDescent="0.2">
      <c r="E439" s="1"/>
      <c r="F439" s="1"/>
      <c r="G439" s="1"/>
      <c r="H439" s="1"/>
      <c r="I439" s="1"/>
      <c r="J439" s="1"/>
      <c r="K439" s="1"/>
      <c r="L439" s="1"/>
      <c r="M439" s="1"/>
      <c r="AA439" s="76"/>
      <c r="AU439" s="18"/>
      <c r="AV439" s="18"/>
    </row>
    <row r="440" spans="5:48" x14ac:dyDescent="0.2">
      <c r="E440" s="1"/>
      <c r="F440" s="1"/>
      <c r="G440" s="1"/>
      <c r="H440" s="1"/>
      <c r="I440" s="1"/>
      <c r="J440" s="1"/>
      <c r="K440" s="1"/>
      <c r="L440" s="1"/>
      <c r="M440" s="1"/>
      <c r="AA440" s="76"/>
      <c r="AU440" s="18"/>
      <c r="AV440" s="18"/>
    </row>
    <row r="441" spans="5:48" x14ac:dyDescent="0.2">
      <c r="E441" s="1"/>
      <c r="F441" s="1"/>
      <c r="G441" s="1"/>
      <c r="H441" s="1"/>
      <c r="I441" s="1"/>
      <c r="J441" s="1"/>
      <c r="K441" s="1"/>
      <c r="L441" s="1"/>
      <c r="M441" s="1"/>
      <c r="AA441" s="76"/>
      <c r="AU441" s="18"/>
      <c r="AV441" s="18"/>
    </row>
    <row r="442" spans="5:48" x14ac:dyDescent="0.2">
      <c r="E442" s="1"/>
      <c r="F442" s="1"/>
      <c r="G442" s="1"/>
      <c r="H442" s="1"/>
      <c r="I442" s="1"/>
      <c r="J442" s="1"/>
      <c r="K442" s="1"/>
      <c r="L442" s="1"/>
      <c r="M442" s="1"/>
      <c r="AA442" s="76"/>
      <c r="AU442" s="18"/>
      <c r="AV442" s="18"/>
    </row>
    <row r="443" spans="5:48" x14ac:dyDescent="0.2">
      <c r="E443" s="1"/>
      <c r="F443" s="1"/>
      <c r="G443" s="1"/>
      <c r="H443" s="1"/>
      <c r="I443" s="1"/>
      <c r="J443" s="1"/>
      <c r="K443" s="1"/>
      <c r="L443" s="1"/>
      <c r="M443" s="1"/>
      <c r="AA443" s="76"/>
      <c r="AU443" s="18"/>
      <c r="AV443" s="18"/>
    </row>
    <row r="444" spans="5:48" x14ac:dyDescent="0.2">
      <c r="E444" s="1"/>
      <c r="F444" s="1"/>
      <c r="G444" s="1"/>
      <c r="H444" s="1"/>
      <c r="I444" s="1"/>
      <c r="J444" s="1"/>
      <c r="K444" s="1"/>
      <c r="L444" s="1"/>
      <c r="M444" s="1"/>
      <c r="AA444" s="76"/>
      <c r="AU444" s="18"/>
      <c r="AV444" s="18"/>
    </row>
    <row r="445" spans="5:48" x14ac:dyDescent="0.2">
      <c r="E445" s="1"/>
      <c r="F445" s="1"/>
      <c r="G445" s="1"/>
      <c r="H445" s="1"/>
      <c r="I445" s="1"/>
      <c r="J445" s="1"/>
      <c r="K445" s="1"/>
      <c r="L445" s="1"/>
      <c r="M445" s="1"/>
      <c r="AA445" s="76"/>
      <c r="AU445" s="18"/>
      <c r="AV445" s="18"/>
    </row>
    <row r="446" spans="5:48" x14ac:dyDescent="0.2">
      <c r="E446" s="1"/>
      <c r="F446" s="1"/>
      <c r="G446" s="1"/>
      <c r="H446" s="1"/>
      <c r="I446" s="1"/>
      <c r="J446" s="1"/>
      <c r="K446" s="1"/>
      <c r="L446" s="1"/>
      <c r="M446" s="1"/>
      <c r="AA446" s="76"/>
      <c r="AU446" s="18"/>
      <c r="AV446" s="18"/>
    </row>
    <row r="447" spans="5:48" x14ac:dyDescent="0.2">
      <c r="E447" s="1"/>
      <c r="F447" s="1"/>
      <c r="G447" s="1"/>
      <c r="H447" s="1"/>
      <c r="I447" s="1"/>
      <c r="J447" s="1"/>
      <c r="K447" s="1"/>
      <c r="L447" s="1"/>
      <c r="M447" s="1"/>
      <c r="AA447" s="76"/>
      <c r="AU447" s="18"/>
      <c r="AV447" s="18"/>
    </row>
    <row r="448" spans="5:48" x14ac:dyDescent="0.2">
      <c r="E448" s="1"/>
      <c r="F448" s="1"/>
      <c r="G448" s="1"/>
      <c r="H448" s="1"/>
      <c r="I448" s="1"/>
      <c r="J448" s="1"/>
      <c r="K448" s="1"/>
      <c r="L448" s="1"/>
      <c r="M448" s="1"/>
      <c r="AA448" s="76"/>
      <c r="AU448" s="18"/>
      <c r="AV448" s="18"/>
    </row>
    <row r="449" spans="5:48" x14ac:dyDescent="0.2">
      <c r="E449" s="1"/>
      <c r="F449" s="1"/>
      <c r="G449" s="1"/>
      <c r="H449" s="1"/>
      <c r="I449" s="1"/>
      <c r="J449" s="1"/>
      <c r="K449" s="1"/>
      <c r="L449" s="1"/>
      <c r="M449" s="1"/>
      <c r="AA449" s="76"/>
      <c r="AU449" s="18"/>
      <c r="AV449" s="18"/>
    </row>
    <row r="450" spans="5:48" x14ac:dyDescent="0.2">
      <c r="E450" s="1"/>
      <c r="F450" s="1"/>
      <c r="G450" s="1"/>
      <c r="H450" s="1"/>
      <c r="I450" s="1"/>
      <c r="J450" s="1"/>
      <c r="K450" s="1"/>
      <c r="L450" s="1"/>
      <c r="M450" s="1"/>
      <c r="AA450" s="76"/>
      <c r="AU450" s="18"/>
      <c r="AV450" s="18"/>
    </row>
    <row r="451" spans="5:48" x14ac:dyDescent="0.2">
      <c r="E451" s="1"/>
      <c r="F451" s="1"/>
      <c r="G451" s="1"/>
      <c r="H451" s="1"/>
      <c r="I451" s="1"/>
      <c r="J451" s="1"/>
      <c r="K451" s="1"/>
      <c r="L451" s="1"/>
      <c r="M451" s="1"/>
      <c r="AA451" s="76"/>
      <c r="AU451" s="18"/>
      <c r="AV451" s="18"/>
    </row>
    <row r="452" spans="5:48" x14ac:dyDescent="0.2">
      <c r="E452" s="1"/>
      <c r="F452" s="1"/>
      <c r="G452" s="1"/>
      <c r="H452" s="1"/>
      <c r="I452" s="1"/>
      <c r="J452" s="1"/>
      <c r="K452" s="1"/>
      <c r="L452" s="1"/>
      <c r="M452" s="1"/>
      <c r="AA452" s="76"/>
      <c r="AU452" s="18"/>
      <c r="AV452" s="18"/>
    </row>
    <row r="453" spans="5:48" x14ac:dyDescent="0.2">
      <c r="E453" s="1"/>
      <c r="F453" s="1"/>
      <c r="G453" s="1"/>
      <c r="H453" s="1"/>
      <c r="I453" s="1"/>
      <c r="J453" s="1"/>
      <c r="K453" s="1"/>
      <c r="L453" s="1"/>
      <c r="M453" s="1"/>
      <c r="AA453" s="76"/>
      <c r="AU453" s="18"/>
      <c r="AV453" s="18"/>
    </row>
    <row r="454" spans="5:48" x14ac:dyDescent="0.2">
      <c r="E454" s="1"/>
      <c r="F454" s="1"/>
      <c r="G454" s="1"/>
      <c r="H454" s="1"/>
      <c r="I454" s="1"/>
      <c r="J454" s="1"/>
      <c r="K454" s="1"/>
      <c r="L454" s="1"/>
      <c r="M454" s="1"/>
      <c r="AA454" s="76"/>
      <c r="AU454" s="18"/>
      <c r="AV454" s="18"/>
    </row>
    <row r="455" spans="5:48" x14ac:dyDescent="0.2">
      <c r="E455" s="1"/>
      <c r="F455" s="1"/>
      <c r="G455" s="1"/>
      <c r="H455" s="1"/>
      <c r="I455" s="1"/>
      <c r="J455" s="1"/>
      <c r="K455" s="1"/>
      <c r="L455" s="1"/>
      <c r="M455" s="1"/>
      <c r="AA455" s="76"/>
      <c r="AU455" s="18"/>
      <c r="AV455" s="18"/>
    </row>
    <row r="456" spans="5:48" x14ac:dyDescent="0.2">
      <c r="E456" s="1"/>
      <c r="F456" s="1"/>
      <c r="G456" s="1"/>
      <c r="H456" s="1"/>
      <c r="I456" s="1"/>
      <c r="J456" s="1"/>
      <c r="K456" s="1"/>
      <c r="L456" s="1"/>
      <c r="M456" s="1"/>
      <c r="AA456" s="76"/>
      <c r="AU456" s="18"/>
      <c r="AV456" s="18"/>
    </row>
    <row r="457" spans="5:48" x14ac:dyDescent="0.2">
      <c r="E457" s="1"/>
      <c r="F457" s="1"/>
      <c r="G457" s="1"/>
      <c r="H457" s="1"/>
      <c r="I457" s="1"/>
      <c r="J457" s="1"/>
      <c r="K457" s="1"/>
      <c r="L457" s="1"/>
      <c r="M457" s="1"/>
      <c r="AA457" s="76"/>
      <c r="AU457" s="18"/>
      <c r="AV457" s="18"/>
    </row>
    <row r="458" spans="5:48" x14ac:dyDescent="0.2">
      <c r="E458" s="1"/>
      <c r="F458" s="1"/>
      <c r="G458" s="1"/>
      <c r="H458" s="1"/>
      <c r="I458" s="1"/>
      <c r="J458" s="1"/>
      <c r="K458" s="1"/>
      <c r="L458" s="1"/>
      <c r="M458" s="1"/>
      <c r="AA458" s="76"/>
      <c r="AU458" s="18"/>
      <c r="AV458" s="18"/>
    </row>
    <row r="459" spans="5:48" x14ac:dyDescent="0.2">
      <c r="E459" s="1"/>
      <c r="F459" s="1"/>
      <c r="G459" s="1"/>
      <c r="H459" s="1"/>
      <c r="I459" s="1"/>
      <c r="J459" s="1"/>
      <c r="K459" s="1"/>
      <c r="L459" s="1"/>
      <c r="M459" s="1"/>
      <c r="AA459" s="76"/>
      <c r="AU459" s="18"/>
      <c r="AV459" s="18"/>
    </row>
    <row r="460" spans="5:48" x14ac:dyDescent="0.2">
      <c r="E460" s="1"/>
      <c r="F460" s="1"/>
      <c r="G460" s="1"/>
      <c r="H460" s="1"/>
      <c r="I460" s="1"/>
      <c r="J460" s="1"/>
      <c r="K460" s="1"/>
      <c r="L460" s="1"/>
      <c r="M460" s="1"/>
      <c r="AA460" s="76"/>
      <c r="AU460" s="18"/>
      <c r="AV460" s="18"/>
    </row>
    <row r="461" spans="5:48" x14ac:dyDescent="0.2">
      <c r="E461" s="1"/>
      <c r="F461" s="1"/>
      <c r="G461" s="1"/>
      <c r="H461" s="1"/>
      <c r="I461" s="1"/>
      <c r="J461" s="1"/>
      <c r="K461" s="1"/>
      <c r="L461" s="1"/>
      <c r="M461" s="1"/>
      <c r="AA461" s="76"/>
      <c r="AU461" s="18"/>
      <c r="AV461" s="18"/>
    </row>
    <row r="462" spans="5:48" x14ac:dyDescent="0.2">
      <c r="E462" s="1"/>
      <c r="F462" s="1"/>
      <c r="G462" s="1"/>
      <c r="H462" s="1"/>
      <c r="I462" s="1"/>
      <c r="J462" s="1"/>
      <c r="K462" s="1"/>
      <c r="L462" s="1"/>
      <c r="M462" s="1"/>
      <c r="AA462" s="76"/>
      <c r="AU462" s="18"/>
      <c r="AV462" s="18"/>
    </row>
    <row r="463" spans="5:48" x14ac:dyDescent="0.2">
      <c r="E463" s="1"/>
      <c r="F463" s="1"/>
      <c r="G463" s="1"/>
      <c r="H463" s="1"/>
      <c r="I463" s="1"/>
      <c r="J463" s="1"/>
      <c r="K463" s="1"/>
      <c r="L463" s="1"/>
      <c r="M463" s="1"/>
      <c r="AA463" s="76"/>
      <c r="AU463" s="18"/>
      <c r="AV463" s="18"/>
    </row>
    <row r="464" spans="5:48" x14ac:dyDescent="0.2">
      <c r="E464" s="1"/>
      <c r="F464" s="1"/>
      <c r="G464" s="1"/>
      <c r="H464" s="1"/>
      <c r="I464" s="1"/>
      <c r="J464" s="1"/>
      <c r="K464" s="1"/>
      <c r="L464" s="1"/>
      <c r="M464" s="1"/>
      <c r="AA464" s="76"/>
      <c r="AU464" s="18"/>
      <c r="AV464" s="18"/>
    </row>
    <row r="465" spans="5:48" x14ac:dyDescent="0.2">
      <c r="E465" s="1"/>
      <c r="F465" s="1"/>
      <c r="G465" s="1"/>
      <c r="H465" s="1"/>
      <c r="I465" s="1"/>
      <c r="J465" s="1"/>
      <c r="K465" s="1"/>
      <c r="L465" s="1"/>
      <c r="M465" s="1"/>
      <c r="AA465" s="76"/>
      <c r="AU465" s="18"/>
      <c r="AV465" s="18"/>
    </row>
    <row r="466" spans="5:48" x14ac:dyDescent="0.2">
      <c r="E466" s="1"/>
      <c r="F466" s="1"/>
      <c r="G466" s="1"/>
      <c r="H466" s="1"/>
      <c r="I466" s="1"/>
      <c r="J466" s="1"/>
      <c r="K466" s="1"/>
      <c r="L466" s="1"/>
      <c r="M466" s="1"/>
      <c r="AA466" s="76"/>
      <c r="AU466" s="18"/>
      <c r="AV466" s="18"/>
    </row>
    <row r="467" spans="5:48" x14ac:dyDescent="0.2">
      <c r="E467" s="1"/>
      <c r="F467" s="1"/>
      <c r="G467" s="1"/>
      <c r="H467" s="1"/>
      <c r="I467" s="1"/>
      <c r="J467" s="1"/>
      <c r="K467" s="1"/>
      <c r="L467" s="1"/>
      <c r="M467" s="1"/>
      <c r="AA467" s="76"/>
      <c r="AU467" s="18"/>
      <c r="AV467" s="18"/>
    </row>
    <row r="468" spans="5:48" x14ac:dyDescent="0.2">
      <c r="E468" s="1"/>
      <c r="F468" s="1"/>
      <c r="G468" s="1"/>
      <c r="H468" s="1"/>
      <c r="I468" s="1"/>
      <c r="J468" s="1"/>
      <c r="K468" s="1"/>
      <c r="L468" s="1"/>
      <c r="M468" s="1"/>
      <c r="AA468" s="76"/>
      <c r="AU468" s="18"/>
      <c r="AV468" s="18"/>
    </row>
    <row r="469" spans="5:48" x14ac:dyDescent="0.2">
      <c r="E469" s="1"/>
      <c r="F469" s="1"/>
      <c r="G469" s="1"/>
      <c r="H469" s="1"/>
      <c r="I469" s="1"/>
      <c r="J469" s="1"/>
      <c r="K469" s="1"/>
      <c r="L469" s="1"/>
      <c r="M469" s="1"/>
      <c r="AA469" s="76"/>
      <c r="AU469" s="18"/>
      <c r="AV469" s="18"/>
    </row>
    <row r="470" spans="5:48" x14ac:dyDescent="0.2">
      <c r="E470" s="1"/>
      <c r="F470" s="1"/>
      <c r="G470" s="1"/>
      <c r="H470" s="1"/>
      <c r="I470" s="1"/>
      <c r="J470" s="1"/>
      <c r="K470" s="1"/>
      <c r="L470" s="1"/>
      <c r="M470" s="1"/>
      <c r="AA470" s="76"/>
      <c r="AU470" s="18"/>
      <c r="AV470" s="18"/>
    </row>
    <row r="471" spans="5:48" x14ac:dyDescent="0.2">
      <c r="E471" s="1"/>
      <c r="F471" s="1"/>
      <c r="G471" s="1"/>
      <c r="H471" s="1"/>
      <c r="I471" s="1"/>
      <c r="J471" s="1"/>
      <c r="K471" s="1"/>
      <c r="L471" s="1"/>
      <c r="M471" s="1"/>
      <c r="AA471" s="76"/>
      <c r="AU471" s="18"/>
      <c r="AV471" s="18"/>
    </row>
    <row r="472" spans="5:48" x14ac:dyDescent="0.2">
      <c r="E472" s="1"/>
      <c r="F472" s="1"/>
      <c r="G472" s="1"/>
      <c r="H472" s="1"/>
      <c r="I472" s="1"/>
      <c r="J472" s="1"/>
      <c r="K472" s="1"/>
      <c r="L472" s="1"/>
      <c r="M472" s="1"/>
      <c r="AA472" s="76"/>
      <c r="AU472" s="18"/>
      <c r="AV472" s="18"/>
    </row>
    <row r="473" spans="5:48" x14ac:dyDescent="0.2">
      <c r="E473" s="1"/>
      <c r="F473" s="1"/>
      <c r="G473" s="1"/>
      <c r="H473" s="1"/>
      <c r="I473" s="1"/>
      <c r="J473" s="1"/>
      <c r="K473" s="1"/>
      <c r="L473" s="1"/>
      <c r="M473" s="1"/>
      <c r="AA473" s="76"/>
      <c r="AU473" s="18"/>
      <c r="AV473" s="18"/>
    </row>
    <row r="474" spans="5:48" x14ac:dyDescent="0.2">
      <c r="E474" s="1"/>
      <c r="F474" s="1"/>
      <c r="G474" s="1"/>
      <c r="H474" s="1"/>
      <c r="I474" s="1"/>
      <c r="J474" s="1"/>
      <c r="K474" s="1"/>
      <c r="L474" s="1"/>
      <c r="M474" s="1"/>
      <c r="AA474" s="76"/>
      <c r="AU474" s="18"/>
      <c r="AV474" s="18"/>
    </row>
    <row r="475" spans="5:48" x14ac:dyDescent="0.2">
      <c r="E475" s="1"/>
      <c r="F475" s="1"/>
      <c r="G475" s="1"/>
      <c r="H475" s="1"/>
      <c r="I475" s="1"/>
      <c r="J475" s="1"/>
      <c r="K475" s="1"/>
      <c r="L475" s="1"/>
      <c r="M475" s="1"/>
      <c r="AA475" s="76"/>
      <c r="AU475" s="18"/>
      <c r="AV475" s="18"/>
    </row>
    <row r="476" spans="5:48" x14ac:dyDescent="0.2">
      <c r="E476" s="1"/>
      <c r="F476" s="1"/>
      <c r="G476" s="1"/>
      <c r="H476" s="1"/>
      <c r="I476" s="1"/>
      <c r="J476" s="1"/>
      <c r="K476" s="1"/>
      <c r="L476" s="1"/>
      <c r="M476" s="1"/>
      <c r="AA476" s="76"/>
      <c r="AU476" s="18"/>
      <c r="AV476" s="18"/>
    </row>
    <row r="477" spans="5:48" x14ac:dyDescent="0.2">
      <c r="E477" s="1"/>
      <c r="F477" s="1"/>
      <c r="G477" s="1"/>
      <c r="H477" s="1"/>
      <c r="I477" s="1"/>
      <c r="J477" s="1"/>
      <c r="K477" s="1"/>
      <c r="L477" s="1"/>
      <c r="M477" s="1"/>
      <c r="AA477" s="76"/>
      <c r="AU477" s="18"/>
      <c r="AV477" s="18"/>
    </row>
    <row r="478" spans="5:48" x14ac:dyDescent="0.2">
      <c r="E478" s="1"/>
      <c r="F478" s="1"/>
      <c r="G478" s="1"/>
      <c r="H478" s="1"/>
      <c r="I478" s="1"/>
      <c r="J478" s="1"/>
      <c r="K478" s="1"/>
      <c r="L478" s="1"/>
      <c r="M478" s="1"/>
      <c r="AA478" s="76"/>
      <c r="AU478" s="18"/>
      <c r="AV478" s="18"/>
    </row>
    <row r="479" spans="5:48" x14ac:dyDescent="0.2">
      <c r="E479" s="1"/>
      <c r="F479" s="1"/>
      <c r="G479" s="1"/>
      <c r="H479" s="1"/>
      <c r="I479" s="1"/>
      <c r="J479" s="1"/>
      <c r="K479" s="1"/>
      <c r="L479" s="1"/>
      <c r="M479" s="1"/>
      <c r="AA479" s="76"/>
      <c r="AU479" s="18"/>
      <c r="AV479" s="18"/>
    </row>
    <row r="480" spans="5:48" x14ac:dyDescent="0.2">
      <c r="E480" s="1"/>
      <c r="F480" s="1"/>
      <c r="G480" s="1"/>
      <c r="H480" s="1"/>
      <c r="I480" s="1"/>
      <c r="J480" s="1"/>
      <c r="K480" s="1"/>
      <c r="L480" s="1"/>
      <c r="M480" s="1"/>
      <c r="AA480" s="76"/>
      <c r="AU480" s="18"/>
      <c r="AV480" s="18"/>
    </row>
    <row r="481" spans="5:48" x14ac:dyDescent="0.2">
      <c r="E481" s="1"/>
      <c r="F481" s="1"/>
      <c r="G481" s="1"/>
      <c r="H481" s="1"/>
      <c r="I481" s="1"/>
      <c r="J481" s="1"/>
      <c r="K481" s="1"/>
      <c r="L481" s="1"/>
      <c r="M481" s="1"/>
      <c r="AA481" s="76"/>
      <c r="AU481" s="18"/>
      <c r="AV481" s="18"/>
    </row>
    <row r="482" spans="5:48" x14ac:dyDescent="0.2">
      <c r="E482" s="1"/>
      <c r="F482" s="1"/>
      <c r="G482" s="1"/>
      <c r="H482" s="1"/>
      <c r="I482" s="1"/>
      <c r="J482" s="1"/>
      <c r="K482" s="1"/>
      <c r="L482" s="1"/>
      <c r="M482" s="1"/>
      <c r="AA482" s="76"/>
      <c r="AU482" s="18"/>
      <c r="AV482" s="18"/>
    </row>
    <row r="483" spans="5:48" x14ac:dyDescent="0.2">
      <c r="E483" s="1"/>
      <c r="F483" s="1"/>
      <c r="G483" s="1"/>
      <c r="H483" s="1"/>
      <c r="I483" s="1"/>
      <c r="J483" s="1"/>
      <c r="K483" s="1"/>
      <c r="L483" s="1"/>
      <c r="M483" s="1"/>
      <c r="AA483" s="76"/>
      <c r="AU483" s="18"/>
      <c r="AV483" s="18"/>
    </row>
    <row r="484" spans="5:48" x14ac:dyDescent="0.2">
      <c r="E484" s="1"/>
      <c r="F484" s="1"/>
      <c r="G484" s="1"/>
      <c r="H484" s="1"/>
      <c r="I484" s="1"/>
      <c r="J484" s="1"/>
      <c r="K484" s="1"/>
      <c r="L484" s="1"/>
      <c r="M484" s="1"/>
      <c r="AA484" s="76"/>
      <c r="AU484" s="18"/>
      <c r="AV484" s="18"/>
    </row>
    <row r="485" spans="5:48" x14ac:dyDescent="0.2">
      <c r="E485" s="1"/>
      <c r="F485" s="1"/>
      <c r="G485" s="1"/>
      <c r="H485" s="1"/>
      <c r="I485" s="1"/>
      <c r="J485" s="1"/>
      <c r="K485" s="1"/>
      <c r="L485" s="1"/>
      <c r="M485" s="1"/>
      <c r="AA485" s="76"/>
      <c r="AU485" s="18"/>
      <c r="AV485" s="18"/>
    </row>
    <row r="486" spans="5:48" x14ac:dyDescent="0.2">
      <c r="E486" s="1"/>
      <c r="F486" s="1"/>
      <c r="G486" s="1"/>
      <c r="H486" s="1"/>
      <c r="I486" s="1"/>
      <c r="J486" s="1"/>
      <c r="K486" s="1"/>
      <c r="L486" s="1"/>
      <c r="M486" s="1"/>
      <c r="AA486" s="76"/>
      <c r="AU486" s="18"/>
      <c r="AV486" s="18"/>
    </row>
    <row r="487" spans="5:48" x14ac:dyDescent="0.2">
      <c r="E487" s="1"/>
      <c r="F487" s="1"/>
      <c r="G487" s="1"/>
      <c r="H487" s="1"/>
      <c r="I487" s="1"/>
      <c r="J487" s="1"/>
      <c r="K487" s="1"/>
      <c r="L487" s="1"/>
      <c r="M487" s="1"/>
      <c r="AA487" s="76"/>
      <c r="AU487" s="18"/>
      <c r="AV487" s="18"/>
    </row>
    <row r="488" spans="5:48" x14ac:dyDescent="0.2">
      <c r="E488" s="1"/>
      <c r="F488" s="1"/>
      <c r="G488" s="1"/>
      <c r="H488" s="1"/>
      <c r="I488" s="1"/>
      <c r="J488" s="1"/>
      <c r="K488" s="1"/>
      <c r="L488" s="1"/>
      <c r="M488" s="1"/>
      <c r="AA488" s="76"/>
      <c r="AU488" s="18"/>
      <c r="AV488" s="18"/>
    </row>
    <row r="489" spans="5:48" x14ac:dyDescent="0.2">
      <c r="E489" s="1"/>
      <c r="F489" s="1"/>
      <c r="G489" s="1"/>
      <c r="H489" s="1"/>
      <c r="I489" s="1"/>
      <c r="J489" s="1"/>
      <c r="K489" s="1"/>
      <c r="L489" s="1"/>
      <c r="M489" s="1"/>
      <c r="AA489" s="76"/>
      <c r="AU489" s="18"/>
      <c r="AV489" s="18"/>
    </row>
    <row r="490" spans="5:48" x14ac:dyDescent="0.2">
      <c r="E490" s="1"/>
      <c r="F490" s="1"/>
      <c r="G490" s="1"/>
      <c r="H490" s="1"/>
      <c r="I490" s="1"/>
      <c r="J490" s="1"/>
      <c r="K490" s="1"/>
      <c r="L490" s="1"/>
      <c r="M490" s="1"/>
      <c r="AA490" s="76"/>
      <c r="AU490" s="18"/>
      <c r="AV490" s="18"/>
    </row>
    <row r="491" spans="5:48" x14ac:dyDescent="0.2">
      <c r="E491" s="1"/>
      <c r="F491" s="1"/>
      <c r="G491" s="1"/>
      <c r="H491" s="1"/>
      <c r="I491" s="1"/>
      <c r="J491" s="1"/>
      <c r="K491" s="1"/>
      <c r="L491" s="1"/>
      <c r="M491" s="1"/>
      <c r="AA491" s="76"/>
      <c r="AU491" s="18"/>
      <c r="AV491" s="18"/>
    </row>
    <row r="492" spans="5:48" x14ac:dyDescent="0.2">
      <c r="E492" s="1"/>
      <c r="F492" s="1"/>
      <c r="G492" s="1"/>
      <c r="H492" s="1"/>
      <c r="I492" s="1"/>
      <c r="J492" s="1"/>
      <c r="K492" s="1"/>
      <c r="L492" s="1"/>
      <c r="M492" s="1"/>
      <c r="AA492" s="76"/>
      <c r="AU492" s="18"/>
      <c r="AV492" s="18"/>
    </row>
    <row r="493" spans="5:48" x14ac:dyDescent="0.2">
      <c r="E493" s="1"/>
      <c r="F493" s="1"/>
      <c r="G493" s="1"/>
      <c r="H493" s="1"/>
      <c r="I493" s="1"/>
      <c r="J493" s="1"/>
      <c r="K493" s="1"/>
      <c r="L493" s="1"/>
      <c r="M493" s="1"/>
      <c r="AA493" s="76"/>
      <c r="AU493" s="18"/>
      <c r="AV493" s="18"/>
    </row>
    <row r="494" spans="5:48" x14ac:dyDescent="0.2">
      <c r="E494" s="1"/>
      <c r="F494" s="1"/>
      <c r="G494" s="1"/>
      <c r="H494" s="1"/>
      <c r="I494" s="1"/>
      <c r="J494" s="1"/>
      <c r="K494" s="1"/>
      <c r="L494" s="1"/>
      <c r="M494" s="1"/>
      <c r="AA494" s="76"/>
      <c r="AU494" s="18"/>
      <c r="AV494" s="18"/>
    </row>
    <row r="495" spans="5:48" x14ac:dyDescent="0.2">
      <c r="E495" s="1"/>
      <c r="F495" s="1"/>
      <c r="G495" s="1"/>
      <c r="H495" s="1"/>
      <c r="I495" s="1"/>
      <c r="J495" s="1"/>
      <c r="K495" s="1"/>
      <c r="L495" s="1"/>
      <c r="M495" s="1"/>
      <c r="AA495" s="76"/>
      <c r="AU495" s="18"/>
      <c r="AV495" s="18"/>
    </row>
    <row r="496" spans="5:48" x14ac:dyDescent="0.2">
      <c r="E496" s="1"/>
      <c r="F496" s="1"/>
      <c r="G496" s="1"/>
      <c r="H496" s="1"/>
      <c r="I496" s="1"/>
      <c r="J496" s="1"/>
      <c r="K496" s="1"/>
      <c r="L496" s="1"/>
      <c r="M496" s="1"/>
      <c r="AA496" s="76"/>
      <c r="AU496" s="18"/>
      <c r="AV496" s="18"/>
    </row>
    <row r="497" spans="5:48" x14ac:dyDescent="0.2">
      <c r="E497" s="1"/>
      <c r="F497" s="1"/>
      <c r="G497" s="1"/>
      <c r="H497" s="1"/>
      <c r="I497" s="1"/>
      <c r="J497" s="1"/>
      <c r="K497" s="1"/>
      <c r="L497" s="1"/>
      <c r="M497" s="1"/>
      <c r="AA497" s="76"/>
      <c r="AU497" s="18"/>
      <c r="AV497" s="18"/>
    </row>
    <row r="498" spans="5:48" x14ac:dyDescent="0.2">
      <c r="E498" s="1"/>
      <c r="F498" s="1"/>
      <c r="G498" s="1"/>
      <c r="H498" s="1"/>
      <c r="I498" s="1"/>
      <c r="J498" s="1"/>
      <c r="K498" s="1"/>
      <c r="L498" s="1"/>
      <c r="M498" s="1"/>
      <c r="AA498" s="76"/>
      <c r="AU498" s="18"/>
      <c r="AV498" s="18"/>
    </row>
    <row r="499" spans="5:48" x14ac:dyDescent="0.2">
      <c r="E499" s="1"/>
      <c r="F499" s="1"/>
      <c r="G499" s="1"/>
      <c r="H499" s="1"/>
      <c r="I499" s="1"/>
      <c r="J499" s="1"/>
      <c r="K499" s="1"/>
      <c r="L499" s="1"/>
      <c r="M499" s="1"/>
      <c r="AA499" s="76"/>
      <c r="AU499" s="18"/>
      <c r="AV499" s="18"/>
    </row>
    <row r="500" spans="5:48" x14ac:dyDescent="0.2">
      <c r="E500" s="1"/>
      <c r="F500" s="1"/>
      <c r="G500" s="1"/>
      <c r="H500" s="1"/>
      <c r="I500" s="1"/>
      <c r="J500" s="1"/>
      <c r="K500" s="1"/>
      <c r="L500" s="1"/>
      <c r="M500" s="1"/>
      <c r="AA500" s="76"/>
      <c r="AU500" s="18"/>
      <c r="AV500" s="18"/>
    </row>
    <row r="501" spans="5:48" x14ac:dyDescent="0.2">
      <c r="E501" s="1"/>
      <c r="F501" s="1"/>
      <c r="G501" s="1"/>
      <c r="H501" s="1"/>
      <c r="I501" s="1"/>
      <c r="J501" s="1"/>
      <c r="K501" s="1"/>
      <c r="L501" s="1"/>
      <c r="M501" s="1"/>
      <c r="AA501" s="76"/>
      <c r="AU501" s="18"/>
      <c r="AV501" s="18"/>
    </row>
    <row r="502" spans="5:48" x14ac:dyDescent="0.2">
      <c r="E502" s="1"/>
      <c r="F502" s="1"/>
      <c r="G502" s="1"/>
      <c r="H502" s="1"/>
      <c r="I502" s="1"/>
      <c r="J502" s="1"/>
      <c r="K502" s="1"/>
      <c r="L502" s="1"/>
      <c r="M502" s="1"/>
      <c r="AA502" s="76"/>
      <c r="AU502" s="18"/>
      <c r="AV502" s="18"/>
    </row>
    <row r="503" spans="5:48" x14ac:dyDescent="0.2">
      <c r="E503" s="1"/>
      <c r="F503" s="1"/>
      <c r="G503" s="1"/>
      <c r="H503" s="1"/>
      <c r="I503" s="1"/>
      <c r="J503" s="1"/>
      <c r="K503" s="1"/>
      <c r="L503" s="1"/>
      <c r="M503" s="1"/>
      <c r="AA503" s="76"/>
      <c r="AU503" s="18"/>
      <c r="AV503" s="18"/>
    </row>
    <row r="504" spans="5:48" x14ac:dyDescent="0.2">
      <c r="E504" s="1"/>
      <c r="F504" s="1"/>
      <c r="G504" s="1"/>
      <c r="H504" s="1"/>
      <c r="I504" s="1"/>
      <c r="J504" s="1"/>
      <c r="K504" s="1"/>
      <c r="L504" s="1"/>
      <c r="M504" s="1"/>
      <c r="AA504" s="76"/>
      <c r="AU504" s="18"/>
      <c r="AV504" s="18"/>
    </row>
    <row r="505" spans="5:48" x14ac:dyDescent="0.2">
      <c r="E505" s="1"/>
      <c r="F505" s="1"/>
      <c r="G505" s="1"/>
      <c r="H505" s="1"/>
      <c r="I505" s="1"/>
      <c r="J505" s="1"/>
      <c r="K505" s="1"/>
      <c r="L505" s="1"/>
      <c r="M505" s="1"/>
      <c r="AA505" s="76"/>
      <c r="AU505" s="18"/>
      <c r="AV505" s="18"/>
    </row>
    <row r="506" spans="5:48" x14ac:dyDescent="0.2">
      <c r="E506" s="1"/>
      <c r="F506" s="1"/>
      <c r="G506" s="1"/>
      <c r="H506" s="1"/>
      <c r="I506" s="1"/>
      <c r="J506" s="1"/>
      <c r="K506" s="1"/>
      <c r="L506" s="1"/>
      <c r="M506" s="1"/>
      <c r="AA506" s="76"/>
      <c r="AU506" s="18"/>
      <c r="AV506" s="18"/>
    </row>
    <row r="507" spans="5:48" x14ac:dyDescent="0.2">
      <c r="E507" s="1"/>
      <c r="F507" s="1"/>
      <c r="G507" s="1"/>
      <c r="H507" s="1"/>
      <c r="I507" s="1"/>
      <c r="J507" s="1"/>
      <c r="K507" s="1"/>
      <c r="L507" s="1"/>
      <c r="M507" s="1"/>
      <c r="AA507" s="76"/>
      <c r="AU507" s="18"/>
      <c r="AV507" s="18"/>
    </row>
    <row r="508" spans="5:48" x14ac:dyDescent="0.2">
      <c r="E508" s="1"/>
      <c r="F508" s="1"/>
      <c r="G508" s="1"/>
      <c r="H508" s="1"/>
      <c r="I508" s="1"/>
      <c r="J508" s="1"/>
      <c r="K508" s="1"/>
      <c r="L508" s="1"/>
      <c r="M508" s="1"/>
      <c r="AA508" s="76"/>
      <c r="AU508" s="18"/>
      <c r="AV508" s="18"/>
    </row>
    <row r="509" spans="5:48" x14ac:dyDescent="0.2">
      <c r="E509" s="1"/>
      <c r="F509" s="1"/>
      <c r="G509" s="1"/>
      <c r="H509" s="1"/>
      <c r="I509" s="1"/>
      <c r="J509" s="1"/>
      <c r="K509" s="1"/>
      <c r="L509" s="1"/>
      <c r="M509" s="1"/>
      <c r="AA509" s="76"/>
      <c r="AU509" s="18"/>
      <c r="AV509" s="18"/>
    </row>
    <row r="510" spans="5:48" x14ac:dyDescent="0.2">
      <c r="E510" s="1"/>
      <c r="F510" s="1"/>
      <c r="G510" s="1"/>
      <c r="H510" s="1"/>
      <c r="I510" s="1"/>
      <c r="J510" s="1"/>
      <c r="K510" s="1"/>
      <c r="L510" s="1"/>
      <c r="M510" s="1"/>
      <c r="AA510" s="76"/>
      <c r="AU510" s="18"/>
      <c r="AV510" s="18"/>
    </row>
    <row r="511" spans="5:48" x14ac:dyDescent="0.2">
      <c r="E511" s="1"/>
      <c r="F511" s="1"/>
      <c r="G511" s="1"/>
      <c r="H511" s="1"/>
      <c r="I511" s="1"/>
      <c r="J511" s="1"/>
      <c r="K511" s="1"/>
      <c r="L511" s="1"/>
      <c r="M511" s="1"/>
      <c r="AA511" s="76"/>
      <c r="AU511" s="18"/>
      <c r="AV511" s="18"/>
    </row>
    <row r="512" spans="5:48" x14ac:dyDescent="0.2">
      <c r="E512" s="1"/>
      <c r="F512" s="1"/>
      <c r="G512" s="1"/>
      <c r="H512" s="1"/>
      <c r="I512" s="1"/>
      <c r="J512" s="1"/>
      <c r="K512" s="1"/>
      <c r="L512" s="1"/>
      <c r="M512" s="1"/>
      <c r="AA512" s="76"/>
      <c r="AU512" s="18"/>
      <c r="AV512" s="18"/>
    </row>
    <row r="513" spans="5:48" x14ac:dyDescent="0.2">
      <c r="E513" s="1"/>
      <c r="F513" s="1"/>
      <c r="G513" s="1"/>
      <c r="H513" s="1"/>
      <c r="I513" s="1"/>
      <c r="J513" s="1"/>
      <c r="K513" s="1"/>
      <c r="L513" s="1"/>
      <c r="M513" s="1"/>
      <c r="AA513" s="76"/>
      <c r="AU513" s="18"/>
      <c r="AV513" s="18"/>
    </row>
    <row r="514" spans="5:48" x14ac:dyDescent="0.2">
      <c r="E514" s="1"/>
      <c r="F514" s="1"/>
      <c r="G514" s="1"/>
      <c r="H514" s="1"/>
      <c r="I514" s="1"/>
      <c r="J514" s="1"/>
      <c r="K514" s="1"/>
      <c r="L514" s="1"/>
      <c r="M514" s="1"/>
      <c r="AA514" s="76"/>
      <c r="AU514" s="18"/>
      <c r="AV514" s="18"/>
    </row>
    <row r="515" spans="5:48" x14ac:dyDescent="0.2">
      <c r="E515" s="1"/>
      <c r="F515" s="1"/>
      <c r="G515" s="1"/>
      <c r="H515" s="1"/>
      <c r="I515" s="1"/>
      <c r="J515" s="1"/>
      <c r="K515" s="1"/>
      <c r="L515" s="1"/>
      <c r="M515" s="1"/>
      <c r="AA515" s="76"/>
      <c r="AU515" s="18"/>
      <c r="AV515" s="18"/>
    </row>
    <row r="516" spans="5:48" x14ac:dyDescent="0.2">
      <c r="E516" s="1"/>
      <c r="F516" s="1"/>
      <c r="G516" s="1"/>
      <c r="H516" s="1"/>
      <c r="I516" s="1"/>
      <c r="J516" s="1"/>
      <c r="K516" s="1"/>
      <c r="L516" s="1"/>
      <c r="M516" s="1"/>
      <c r="AA516" s="76"/>
      <c r="AU516" s="18"/>
      <c r="AV516" s="18"/>
    </row>
    <row r="517" spans="5:48" x14ac:dyDescent="0.2">
      <c r="E517" s="1"/>
      <c r="F517" s="1"/>
      <c r="G517" s="1"/>
      <c r="H517" s="1"/>
      <c r="I517" s="1"/>
      <c r="J517" s="1"/>
      <c r="K517" s="1"/>
      <c r="L517" s="1"/>
      <c r="M517" s="1"/>
      <c r="AA517" s="76"/>
      <c r="AU517" s="18"/>
      <c r="AV517" s="18"/>
    </row>
    <row r="518" spans="5:48" x14ac:dyDescent="0.2">
      <c r="E518" s="1"/>
      <c r="F518" s="1"/>
      <c r="G518" s="1"/>
      <c r="H518" s="1"/>
      <c r="I518" s="1"/>
      <c r="J518" s="1"/>
      <c r="K518" s="1"/>
      <c r="L518" s="1"/>
      <c r="M518" s="1"/>
      <c r="AA518" s="76"/>
      <c r="AU518" s="18"/>
      <c r="AV518" s="18"/>
    </row>
    <row r="519" spans="5:48" x14ac:dyDescent="0.2">
      <c r="E519" s="1"/>
      <c r="F519" s="1"/>
      <c r="G519" s="1"/>
      <c r="H519" s="1"/>
      <c r="I519" s="1"/>
      <c r="J519" s="1"/>
      <c r="K519" s="1"/>
      <c r="L519" s="1"/>
      <c r="M519" s="1"/>
      <c r="AA519" s="76"/>
      <c r="AU519" s="18"/>
      <c r="AV519" s="18"/>
    </row>
    <row r="520" spans="5:48" x14ac:dyDescent="0.2">
      <c r="E520" s="1"/>
      <c r="F520" s="1"/>
      <c r="G520" s="1"/>
      <c r="H520" s="1"/>
      <c r="I520" s="1"/>
      <c r="J520" s="1"/>
      <c r="K520" s="1"/>
      <c r="L520" s="1"/>
      <c r="M520" s="1"/>
      <c r="AA520" s="76"/>
      <c r="AU520" s="18"/>
      <c r="AV520" s="18"/>
    </row>
    <row r="521" spans="5:48" x14ac:dyDescent="0.2">
      <c r="E521" s="1"/>
      <c r="F521" s="1"/>
      <c r="G521" s="1"/>
      <c r="H521" s="1"/>
      <c r="I521" s="1"/>
      <c r="J521" s="1"/>
      <c r="K521" s="1"/>
      <c r="L521" s="1"/>
      <c r="M521" s="1"/>
      <c r="AA521" s="76"/>
      <c r="AU521" s="18"/>
      <c r="AV521" s="18"/>
    </row>
    <row r="522" spans="5:48" x14ac:dyDescent="0.2">
      <c r="E522" s="1"/>
      <c r="F522" s="1"/>
      <c r="G522" s="1"/>
      <c r="H522" s="1"/>
      <c r="I522" s="1"/>
      <c r="J522" s="1"/>
      <c r="K522" s="1"/>
      <c r="L522" s="1"/>
      <c r="M522" s="1"/>
      <c r="AA522" s="76"/>
      <c r="AU522" s="18"/>
      <c r="AV522" s="18"/>
    </row>
    <row r="523" spans="5:48" x14ac:dyDescent="0.2">
      <c r="E523" s="1"/>
      <c r="F523" s="1"/>
      <c r="G523" s="1"/>
      <c r="H523" s="1"/>
      <c r="I523" s="1"/>
      <c r="J523" s="1"/>
      <c r="K523" s="1"/>
      <c r="L523" s="1"/>
      <c r="M523" s="1"/>
      <c r="AA523" s="76"/>
      <c r="AU523" s="18"/>
      <c r="AV523" s="18"/>
    </row>
    <row r="524" spans="5:48" x14ac:dyDescent="0.2">
      <c r="E524" s="1"/>
      <c r="F524" s="1"/>
      <c r="G524" s="1"/>
      <c r="H524" s="1"/>
      <c r="I524" s="1"/>
      <c r="J524" s="1"/>
      <c r="K524" s="1"/>
      <c r="L524" s="1"/>
      <c r="M524" s="1"/>
      <c r="AA524" s="76"/>
      <c r="AU524" s="18"/>
      <c r="AV524" s="18"/>
    </row>
    <row r="525" spans="5:48" x14ac:dyDescent="0.2">
      <c r="E525" s="1"/>
      <c r="F525" s="1"/>
      <c r="G525" s="1"/>
      <c r="H525" s="1"/>
      <c r="I525" s="1"/>
      <c r="J525" s="1"/>
      <c r="K525" s="1"/>
      <c r="L525" s="1"/>
      <c r="M525" s="1"/>
      <c r="AA525" s="76"/>
      <c r="AU525" s="18"/>
      <c r="AV525" s="18"/>
    </row>
    <row r="526" spans="5:48" x14ac:dyDescent="0.2">
      <c r="E526" s="1"/>
      <c r="F526" s="1"/>
      <c r="G526" s="1"/>
      <c r="H526" s="1"/>
      <c r="I526" s="1"/>
      <c r="J526" s="1"/>
      <c r="K526" s="1"/>
      <c r="L526" s="1"/>
      <c r="M526" s="1"/>
      <c r="AA526" s="76"/>
      <c r="AU526" s="18"/>
      <c r="AV526" s="18"/>
    </row>
    <row r="527" spans="5:48" x14ac:dyDescent="0.2">
      <c r="E527" s="1"/>
      <c r="F527" s="1"/>
      <c r="G527" s="1"/>
      <c r="H527" s="1"/>
      <c r="I527" s="1"/>
      <c r="J527" s="1"/>
      <c r="K527" s="1"/>
      <c r="L527" s="1"/>
      <c r="M527" s="1"/>
      <c r="AA527" s="76"/>
      <c r="AU527" s="18"/>
      <c r="AV527" s="18"/>
    </row>
    <row r="528" spans="5:48" x14ac:dyDescent="0.2">
      <c r="E528" s="1"/>
      <c r="F528" s="1"/>
      <c r="G528" s="1"/>
      <c r="H528" s="1"/>
      <c r="I528" s="1"/>
      <c r="J528" s="1"/>
      <c r="K528" s="1"/>
      <c r="L528" s="1"/>
      <c r="M528" s="1"/>
      <c r="AA528" s="76"/>
      <c r="AU528" s="18"/>
      <c r="AV528" s="18"/>
    </row>
    <row r="529" spans="5:48" x14ac:dyDescent="0.2">
      <c r="E529" s="1"/>
      <c r="F529" s="1"/>
      <c r="G529" s="1"/>
      <c r="H529" s="1"/>
      <c r="I529" s="1"/>
      <c r="J529" s="1"/>
      <c r="K529" s="1"/>
      <c r="L529" s="1"/>
      <c r="M529" s="1"/>
      <c r="AA529" s="76"/>
      <c r="AU529" s="18"/>
      <c r="AV529" s="18"/>
    </row>
    <row r="530" spans="5:48" x14ac:dyDescent="0.2">
      <c r="E530" s="1"/>
      <c r="F530" s="1"/>
      <c r="G530" s="1"/>
      <c r="H530" s="1"/>
      <c r="I530" s="1"/>
      <c r="J530" s="1"/>
      <c r="K530" s="1"/>
      <c r="L530" s="1"/>
      <c r="M530" s="1"/>
      <c r="AA530" s="76"/>
      <c r="AU530" s="18"/>
      <c r="AV530" s="18"/>
    </row>
    <row r="531" spans="5:48" x14ac:dyDescent="0.2">
      <c r="E531" s="1"/>
      <c r="F531" s="1"/>
      <c r="G531" s="1"/>
      <c r="H531" s="1"/>
      <c r="I531" s="1"/>
      <c r="J531" s="1"/>
      <c r="K531" s="1"/>
      <c r="L531" s="1"/>
      <c r="M531" s="1"/>
      <c r="AA531" s="76"/>
      <c r="AU531" s="18"/>
      <c r="AV531" s="18"/>
    </row>
    <row r="532" spans="5:48" x14ac:dyDescent="0.2">
      <c r="E532" s="1"/>
      <c r="F532" s="1"/>
      <c r="G532" s="1"/>
      <c r="H532" s="1"/>
      <c r="I532" s="1"/>
      <c r="J532" s="1"/>
      <c r="K532" s="1"/>
      <c r="L532" s="1"/>
      <c r="M532" s="1"/>
      <c r="AA532" s="76"/>
      <c r="AU532" s="18"/>
      <c r="AV532" s="18"/>
    </row>
    <row r="533" spans="5:48" x14ac:dyDescent="0.2">
      <c r="E533" s="1"/>
      <c r="F533" s="1"/>
      <c r="G533" s="1"/>
      <c r="H533" s="1"/>
      <c r="I533" s="1"/>
      <c r="J533" s="1"/>
      <c r="K533" s="1"/>
      <c r="L533" s="1"/>
      <c r="M533" s="1"/>
      <c r="AA533" s="76"/>
      <c r="AU533" s="18"/>
      <c r="AV533" s="18"/>
    </row>
    <row r="534" spans="5:48" x14ac:dyDescent="0.2">
      <c r="E534" s="1"/>
      <c r="F534" s="1"/>
      <c r="G534" s="1"/>
      <c r="H534" s="1"/>
      <c r="I534" s="1"/>
      <c r="J534" s="1"/>
      <c r="K534" s="1"/>
      <c r="L534" s="1"/>
      <c r="M534" s="1"/>
      <c r="AA534" s="76"/>
      <c r="AU534" s="18"/>
      <c r="AV534" s="18"/>
    </row>
    <row r="535" spans="5:48" x14ac:dyDescent="0.2">
      <c r="E535" s="1"/>
      <c r="F535" s="1"/>
      <c r="G535" s="1"/>
      <c r="H535" s="1"/>
      <c r="I535" s="1"/>
      <c r="J535" s="1"/>
      <c r="K535" s="1"/>
      <c r="L535" s="1"/>
      <c r="M535" s="1"/>
      <c r="AA535" s="76"/>
      <c r="AU535" s="18"/>
      <c r="AV535" s="18"/>
    </row>
    <row r="536" spans="5:48" x14ac:dyDescent="0.2">
      <c r="E536" s="1"/>
      <c r="F536" s="1"/>
      <c r="G536" s="1"/>
      <c r="H536" s="1"/>
      <c r="I536" s="1"/>
      <c r="J536" s="1"/>
      <c r="K536" s="1"/>
      <c r="L536" s="1"/>
      <c r="M536" s="1"/>
      <c r="AA536" s="76"/>
      <c r="AU536" s="18"/>
      <c r="AV536" s="18"/>
    </row>
    <row r="537" spans="5:48" x14ac:dyDescent="0.2">
      <c r="E537" s="1"/>
      <c r="F537" s="1"/>
      <c r="G537" s="1"/>
      <c r="H537" s="1"/>
      <c r="I537" s="1"/>
      <c r="J537" s="1"/>
      <c r="K537" s="1"/>
      <c r="L537" s="1"/>
      <c r="M537" s="1"/>
      <c r="AA537" s="76"/>
      <c r="AU537" s="18"/>
      <c r="AV537" s="18"/>
    </row>
    <row r="538" spans="5:48" x14ac:dyDescent="0.2">
      <c r="E538" s="1"/>
      <c r="F538" s="1"/>
      <c r="G538" s="1"/>
      <c r="H538" s="1"/>
      <c r="I538" s="1"/>
      <c r="J538" s="1"/>
      <c r="K538" s="1"/>
      <c r="L538" s="1"/>
      <c r="M538" s="1"/>
      <c r="AA538" s="76"/>
      <c r="AU538" s="18"/>
      <c r="AV538" s="18"/>
    </row>
    <row r="539" spans="5:48" x14ac:dyDescent="0.2">
      <c r="E539" s="1"/>
      <c r="F539" s="1"/>
      <c r="G539" s="1"/>
      <c r="H539" s="1"/>
      <c r="I539" s="1"/>
      <c r="J539" s="1"/>
      <c r="K539" s="1"/>
      <c r="L539" s="1"/>
      <c r="M539" s="1"/>
      <c r="AA539" s="76"/>
      <c r="AU539" s="18"/>
      <c r="AV539" s="18"/>
    </row>
    <row r="540" spans="5:48" x14ac:dyDescent="0.2">
      <c r="E540" s="1"/>
      <c r="F540" s="1"/>
      <c r="G540" s="1"/>
      <c r="H540" s="1"/>
      <c r="I540" s="1"/>
      <c r="J540" s="1"/>
      <c r="K540" s="1"/>
      <c r="L540" s="1"/>
      <c r="M540" s="1"/>
      <c r="AA540" s="76"/>
      <c r="AU540" s="18"/>
      <c r="AV540" s="18"/>
    </row>
    <row r="541" spans="5:48" x14ac:dyDescent="0.2">
      <c r="E541" s="1"/>
      <c r="F541" s="1"/>
      <c r="G541" s="1"/>
      <c r="H541" s="1"/>
      <c r="I541" s="1"/>
      <c r="J541" s="1"/>
      <c r="K541" s="1"/>
      <c r="L541" s="1"/>
      <c r="M541" s="1"/>
      <c r="AA541" s="76"/>
      <c r="AU541" s="18"/>
      <c r="AV541" s="18"/>
    </row>
    <row r="542" spans="5:48" x14ac:dyDescent="0.2">
      <c r="E542" s="1"/>
      <c r="F542" s="1"/>
      <c r="G542" s="1"/>
      <c r="H542" s="1"/>
      <c r="I542" s="1"/>
      <c r="J542" s="1"/>
      <c r="K542" s="1"/>
      <c r="L542" s="1"/>
      <c r="M542" s="1"/>
      <c r="AA542" s="76"/>
      <c r="AU542" s="18"/>
      <c r="AV542" s="18"/>
    </row>
    <row r="543" spans="5:48" x14ac:dyDescent="0.2">
      <c r="E543" s="1"/>
      <c r="F543" s="1"/>
      <c r="G543" s="1"/>
      <c r="H543" s="1"/>
      <c r="I543" s="1"/>
      <c r="J543" s="1"/>
      <c r="K543" s="1"/>
      <c r="L543" s="1"/>
      <c r="M543" s="1"/>
      <c r="AA543" s="76"/>
      <c r="AU543" s="18"/>
      <c r="AV543" s="18"/>
    </row>
    <row r="544" spans="5:48" x14ac:dyDescent="0.2">
      <c r="E544" s="1"/>
      <c r="F544" s="1"/>
      <c r="G544" s="1"/>
      <c r="H544" s="1"/>
      <c r="I544" s="1"/>
      <c r="J544" s="1"/>
      <c r="K544" s="1"/>
      <c r="L544" s="1"/>
      <c r="M544" s="1"/>
      <c r="AA544" s="76"/>
      <c r="AU544" s="18"/>
      <c r="AV544" s="18"/>
    </row>
    <row r="545" spans="5:48" x14ac:dyDescent="0.2">
      <c r="E545" s="1"/>
      <c r="F545" s="1"/>
      <c r="G545" s="1"/>
      <c r="H545" s="1"/>
      <c r="I545" s="1"/>
      <c r="J545" s="1"/>
      <c r="K545" s="1"/>
      <c r="L545" s="1"/>
      <c r="M545" s="1"/>
      <c r="AA545" s="76"/>
      <c r="AU545" s="18"/>
      <c r="AV545" s="18"/>
    </row>
    <row r="546" spans="5:48" x14ac:dyDescent="0.2">
      <c r="E546" s="1"/>
      <c r="F546" s="1"/>
      <c r="G546" s="1"/>
      <c r="H546" s="1"/>
      <c r="I546" s="1"/>
      <c r="J546" s="1"/>
      <c r="K546" s="1"/>
      <c r="L546" s="1"/>
      <c r="M546" s="1"/>
      <c r="AA546" s="76"/>
      <c r="AU546" s="18"/>
      <c r="AV546" s="18"/>
    </row>
    <row r="547" spans="5:48" x14ac:dyDescent="0.2">
      <c r="E547" s="1"/>
      <c r="F547" s="1"/>
      <c r="G547" s="1"/>
      <c r="H547" s="1"/>
      <c r="I547" s="1"/>
      <c r="J547" s="1"/>
      <c r="K547" s="1"/>
      <c r="L547" s="1"/>
      <c r="M547" s="1"/>
      <c r="AA547" s="76"/>
      <c r="AU547" s="18"/>
      <c r="AV547" s="18"/>
    </row>
    <row r="548" spans="5:48" x14ac:dyDescent="0.2">
      <c r="E548" s="1"/>
      <c r="F548" s="1"/>
      <c r="G548" s="1"/>
      <c r="H548" s="1"/>
      <c r="I548" s="1"/>
      <c r="J548" s="1"/>
      <c r="K548" s="1"/>
      <c r="L548" s="1"/>
      <c r="M548" s="1"/>
      <c r="AA548" s="76"/>
      <c r="AU548" s="18"/>
      <c r="AV548" s="18"/>
    </row>
    <row r="549" spans="5:48" x14ac:dyDescent="0.2">
      <c r="E549" s="1"/>
      <c r="F549" s="1"/>
      <c r="G549" s="1"/>
      <c r="H549" s="1"/>
      <c r="I549" s="1"/>
      <c r="J549" s="1"/>
      <c r="K549" s="1"/>
      <c r="L549" s="1"/>
      <c r="M549" s="1"/>
      <c r="AA549" s="76"/>
      <c r="AU549" s="18"/>
      <c r="AV549" s="18"/>
    </row>
    <row r="550" spans="5:48" x14ac:dyDescent="0.2">
      <c r="E550" s="1"/>
      <c r="F550" s="1"/>
      <c r="G550" s="1"/>
      <c r="H550" s="1"/>
      <c r="I550" s="1"/>
      <c r="J550" s="1"/>
      <c r="K550" s="1"/>
      <c r="L550" s="1"/>
      <c r="M550" s="1"/>
      <c r="AA550" s="76"/>
      <c r="AU550" s="18"/>
      <c r="AV550" s="18"/>
    </row>
    <row r="551" spans="5:48" x14ac:dyDescent="0.2">
      <c r="E551" s="1"/>
      <c r="F551" s="1"/>
      <c r="G551" s="1"/>
      <c r="H551" s="1"/>
      <c r="I551" s="1"/>
      <c r="J551" s="1"/>
      <c r="K551" s="1"/>
      <c r="L551" s="1"/>
      <c r="M551" s="1"/>
      <c r="AA551" s="76"/>
      <c r="AU551" s="18"/>
      <c r="AV551" s="18"/>
    </row>
    <row r="552" spans="5:48" x14ac:dyDescent="0.2">
      <c r="E552" s="1"/>
      <c r="F552" s="1"/>
      <c r="G552" s="1"/>
      <c r="H552" s="1"/>
      <c r="I552" s="1"/>
      <c r="J552" s="1"/>
      <c r="K552" s="1"/>
      <c r="L552" s="1"/>
      <c r="M552" s="1"/>
      <c r="AA552" s="76"/>
      <c r="AU552" s="18"/>
      <c r="AV552" s="18"/>
    </row>
    <row r="553" spans="5:48" x14ac:dyDescent="0.2">
      <c r="E553" s="1"/>
      <c r="F553" s="1"/>
      <c r="G553" s="1"/>
      <c r="H553" s="1"/>
      <c r="I553" s="1"/>
      <c r="J553" s="1"/>
      <c r="K553" s="1"/>
      <c r="L553" s="1"/>
      <c r="M553" s="1"/>
      <c r="AA553" s="76"/>
      <c r="AU553" s="18"/>
      <c r="AV553" s="18"/>
    </row>
    <row r="554" spans="5:48" x14ac:dyDescent="0.2">
      <c r="E554" s="1"/>
      <c r="F554" s="1"/>
      <c r="G554" s="1"/>
      <c r="H554" s="1"/>
      <c r="I554" s="1"/>
      <c r="J554" s="1"/>
      <c r="K554" s="1"/>
      <c r="L554" s="1"/>
      <c r="M554" s="1"/>
      <c r="AA554" s="76"/>
      <c r="AU554" s="18"/>
      <c r="AV554" s="18"/>
    </row>
    <row r="555" spans="5:48" x14ac:dyDescent="0.2">
      <c r="E555" s="1"/>
      <c r="F555" s="1"/>
      <c r="G555" s="1"/>
      <c r="H555" s="1"/>
      <c r="I555" s="1"/>
      <c r="J555" s="1"/>
      <c r="K555" s="1"/>
      <c r="L555" s="1"/>
      <c r="M555" s="1"/>
      <c r="AA555" s="76"/>
      <c r="AU555" s="18"/>
      <c r="AV555" s="18"/>
    </row>
    <row r="556" spans="5:48" x14ac:dyDescent="0.2">
      <c r="E556" s="1"/>
      <c r="F556" s="1"/>
      <c r="G556" s="1"/>
      <c r="H556" s="1"/>
      <c r="I556" s="1"/>
      <c r="J556" s="1"/>
      <c r="K556" s="1"/>
      <c r="L556" s="1"/>
      <c r="M556" s="1"/>
      <c r="AA556" s="76"/>
      <c r="AU556" s="18"/>
      <c r="AV556" s="18"/>
    </row>
    <row r="557" spans="5:48" x14ac:dyDescent="0.2">
      <c r="E557" s="1"/>
      <c r="F557" s="1"/>
      <c r="G557" s="1"/>
      <c r="H557" s="1"/>
      <c r="I557" s="1"/>
      <c r="J557" s="1"/>
      <c r="K557" s="1"/>
      <c r="L557" s="1"/>
      <c r="M557" s="1"/>
      <c r="AA557" s="76"/>
      <c r="AU557" s="18"/>
      <c r="AV557" s="18"/>
    </row>
    <row r="558" spans="5:48" x14ac:dyDescent="0.2">
      <c r="E558" s="1"/>
      <c r="F558" s="1"/>
      <c r="G558" s="1"/>
      <c r="H558" s="1"/>
      <c r="I558" s="1"/>
      <c r="J558" s="1"/>
      <c r="K558" s="1"/>
      <c r="L558" s="1"/>
      <c r="M558" s="1"/>
      <c r="AA558" s="76"/>
      <c r="AU558" s="18"/>
      <c r="AV558" s="18"/>
    </row>
    <row r="559" spans="5:48" x14ac:dyDescent="0.2">
      <c r="E559" s="1"/>
      <c r="F559" s="1"/>
      <c r="G559" s="1"/>
      <c r="H559" s="1"/>
      <c r="I559" s="1"/>
      <c r="J559" s="1"/>
      <c r="K559" s="1"/>
      <c r="L559" s="1"/>
      <c r="M559" s="1"/>
      <c r="AA559" s="76"/>
      <c r="AU559" s="18"/>
      <c r="AV559" s="18"/>
    </row>
    <row r="560" spans="5:48" x14ac:dyDescent="0.2">
      <c r="E560" s="1"/>
      <c r="F560" s="1"/>
      <c r="G560" s="1"/>
      <c r="H560" s="1"/>
      <c r="I560" s="1"/>
      <c r="J560" s="1"/>
      <c r="K560" s="1"/>
      <c r="L560" s="1"/>
      <c r="M560" s="1"/>
      <c r="AA560" s="76"/>
      <c r="AU560" s="18"/>
      <c r="AV560" s="18"/>
    </row>
    <row r="561" spans="5:48" x14ac:dyDescent="0.2">
      <c r="E561" s="1"/>
      <c r="F561" s="1"/>
      <c r="G561" s="1"/>
      <c r="H561" s="1"/>
      <c r="I561" s="1"/>
      <c r="J561" s="1"/>
      <c r="K561" s="1"/>
      <c r="L561" s="1"/>
      <c r="M561" s="1"/>
      <c r="AA561" s="76"/>
      <c r="AU561" s="18"/>
      <c r="AV561" s="18"/>
    </row>
    <row r="562" spans="5:48" x14ac:dyDescent="0.2">
      <c r="E562" s="1"/>
      <c r="F562" s="1"/>
      <c r="G562" s="1"/>
      <c r="H562" s="1"/>
      <c r="I562" s="1"/>
      <c r="J562" s="1"/>
      <c r="K562" s="1"/>
      <c r="L562" s="1"/>
      <c r="M562" s="1"/>
      <c r="AA562" s="76"/>
      <c r="AU562" s="18"/>
      <c r="AV562" s="18"/>
    </row>
    <row r="563" spans="5:48" x14ac:dyDescent="0.2">
      <c r="E563" s="1"/>
      <c r="F563" s="1"/>
      <c r="G563" s="1"/>
      <c r="H563" s="1"/>
      <c r="I563" s="1"/>
      <c r="J563" s="1"/>
      <c r="K563" s="1"/>
      <c r="L563" s="1"/>
      <c r="M563" s="1"/>
      <c r="AA563" s="76"/>
      <c r="AU563" s="18"/>
      <c r="AV563" s="18"/>
    </row>
    <row r="564" spans="5:48" x14ac:dyDescent="0.2">
      <c r="E564" s="1"/>
      <c r="F564" s="1"/>
      <c r="G564" s="1"/>
      <c r="H564" s="1"/>
      <c r="I564" s="1"/>
      <c r="J564" s="1"/>
      <c r="K564" s="1"/>
      <c r="L564" s="1"/>
      <c r="M564" s="1"/>
      <c r="AA564" s="76"/>
      <c r="AU564" s="18"/>
      <c r="AV564" s="18"/>
    </row>
    <row r="565" spans="5:48" x14ac:dyDescent="0.2">
      <c r="E565" s="1"/>
      <c r="F565" s="1"/>
      <c r="G565" s="1"/>
      <c r="H565" s="1"/>
      <c r="I565" s="1"/>
      <c r="J565" s="1"/>
      <c r="K565" s="1"/>
      <c r="L565" s="1"/>
      <c r="M565" s="1"/>
      <c r="AA565" s="76"/>
      <c r="AU565" s="18"/>
      <c r="AV565" s="18"/>
    </row>
    <row r="566" spans="5:48" x14ac:dyDescent="0.2">
      <c r="E566" s="1"/>
      <c r="F566" s="1"/>
      <c r="G566" s="1"/>
      <c r="H566" s="1"/>
      <c r="I566" s="1"/>
      <c r="J566" s="1"/>
      <c r="K566" s="1"/>
      <c r="L566" s="1"/>
      <c r="M566" s="1"/>
      <c r="AA566" s="76"/>
      <c r="AU566" s="18"/>
      <c r="AV566" s="18"/>
    </row>
    <row r="567" spans="5:48" x14ac:dyDescent="0.2">
      <c r="E567" s="1"/>
      <c r="F567" s="1"/>
      <c r="G567" s="1"/>
      <c r="H567" s="1"/>
      <c r="I567" s="1"/>
      <c r="J567" s="1"/>
      <c r="K567" s="1"/>
      <c r="L567" s="1"/>
      <c r="M567" s="1"/>
      <c r="AA567" s="76"/>
      <c r="AU567" s="18"/>
      <c r="AV567" s="18"/>
    </row>
    <row r="568" spans="5:48" x14ac:dyDescent="0.2">
      <c r="E568" s="1"/>
      <c r="F568" s="1"/>
      <c r="G568" s="1"/>
      <c r="H568" s="1"/>
      <c r="I568" s="1"/>
      <c r="J568" s="1"/>
      <c r="K568" s="1"/>
      <c r="L568" s="1"/>
      <c r="M568" s="1"/>
      <c r="AA568" s="76"/>
      <c r="AU568" s="18"/>
      <c r="AV568" s="18"/>
    </row>
    <row r="569" spans="5:48" x14ac:dyDescent="0.2">
      <c r="E569" s="1"/>
      <c r="F569" s="1"/>
      <c r="G569" s="1"/>
      <c r="H569" s="1"/>
      <c r="I569" s="1"/>
      <c r="J569" s="1"/>
      <c r="K569" s="1"/>
      <c r="L569" s="1"/>
      <c r="M569" s="1"/>
      <c r="AA569" s="76"/>
      <c r="AU569" s="18"/>
      <c r="AV569" s="18"/>
    </row>
    <row r="570" spans="5:48" x14ac:dyDescent="0.2">
      <c r="E570" s="1"/>
      <c r="F570" s="1"/>
      <c r="G570" s="1"/>
      <c r="H570" s="1"/>
      <c r="I570" s="1"/>
      <c r="J570" s="1"/>
      <c r="K570" s="1"/>
      <c r="L570" s="1"/>
      <c r="M570" s="1"/>
      <c r="AA570" s="76"/>
      <c r="AU570" s="18"/>
      <c r="AV570" s="18"/>
    </row>
    <row r="571" spans="5:48" x14ac:dyDescent="0.2">
      <c r="E571" s="1"/>
      <c r="F571" s="1"/>
      <c r="G571" s="1"/>
      <c r="H571" s="1"/>
      <c r="I571" s="1"/>
      <c r="J571" s="1"/>
      <c r="K571" s="1"/>
      <c r="L571" s="1"/>
      <c r="M571" s="1"/>
      <c r="AA571" s="76"/>
      <c r="AU571" s="18"/>
      <c r="AV571" s="18"/>
    </row>
    <row r="572" spans="5:48" x14ac:dyDescent="0.2">
      <c r="E572" s="1"/>
      <c r="F572" s="1"/>
      <c r="G572" s="1"/>
      <c r="H572" s="1"/>
      <c r="I572" s="1"/>
      <c r="J572" s="1"/>
      <c r="K572" s="1"/>
      <c r="L572" s="1"/>
      <c r="M572" s="1"/>
      <c r="AA572" s="76"/>
      <c r="AU572" s="18"/>
      <c r="AV572" s="18"/>
    </row>
    <row r="573" spans="5:48" x14ac:dyDescent="0.2">
      <c r="E573" s="1"/>
      <c r="F573" s="1"/>
      <c r="G573" s="1"/>
      <c r="H573" s="1"/>
      <c r="I573" s="1"/>
      <c r="J573" s="1"/>
      <c r="K573" s="1"/>
      <c r="L573" s="1"/>
      <c r="M573" s="1"/>
      <c r="AA573" s="76"/>
      <c r="AU573" s="18"/>
      <c r="AV573" s="18"/>
    </row>
    <row r="574" spans="5:48" x14ac:dyDescent="0.2">
      <c r="E574" s="1"/>
      <c r="F574" s="1"/>
      <c r="G574" s="1"/>
      <c r="H574" s="1"/>
      <c r="I574" s="1"/>
      <c r="J574" s="1"/>
      <c r="K574" s="1"/>
      <c r="L574" s="1"/>
      <c r="M574" s="1"/>
      <c r="AA574" s="76"/>
      <c r="AU574" s="18"/>
      <c r="AV574" s="18"/>
    </row>
    <row r="575" spans="5:48" x14ac:dyDescent="0.2">
      <c r="E575" s="1"/>
      <c r="F575" s="1"/>
      <c r="G575" s="1"/>
      <c r="H575" s="1"/>
      <c r="I575" s="1"/>
      <c r="J575" s="1"/>
      <c r="K575" s="1"/>
      <c r="L575" s="1"/>
      <c r="M575" s="1"/>
      <c r="AA575" s="76"/>
      <c r="AU575" s="18"/>
      <c r="AV575" s="18"/>
    </row>
    <row r="576" spans="5:48" x14ac:dyDescent="0.2">
      <c r="E576" s="1"/>
      <c r="F576" s="1"/>
      <c r="G576" s="1"/>
      <c r="H576" s="1"/>
      <c r="I576" s="1"/>
      <c r="J576" s="1"/>
      <c r="K576" s="1"/>
      <c r="L576" s="1"/>
      <c r="M576" s="1"/>
      <c r="AA576" s="76"/>
      <c r="AU576" s="18"/>
      <c r="AV576" s="18"/>
    </row>
    <row r="577" spans="5:48" x14ac:dyDescent="0.2">
      <c r="E577" s="1"/>
      <c r="F577" s="1"/>
      <c r="G577" s="1"/>
      <c r="H577" s="1"/>
      <c r="I577" s="1"/>
      <c r="J577" s="1"/>
      <c r="K577" s="1"/>
      <c r="L577" s="1"/>
      <c r="M577" s="1"/>
      <c r="AA577" s="76"/>
      <c r="AU577" s="18"/>
      <c r="AV577" s="18"/>
    </row>
    <row r="578" spans="5:48" x14ac:dyDescent="0.2">
      <c r="E578" s="1"/>
      <c r="F578" s="1"/>
      <c r="G578" s="1"/>
      <c r="H578" s="1"/>
      <c r="I578" s="1"/>
      <c r="J578" s="1"/>
      <c r="K578" s="1"/>
      <c r="L578" s="1"/>
      <c r="M578" s="1"/>
      <c r="AA578" s="76"/>
      <c r="AU578" s="18"/>
      <c r="AV578" s="18"/>
    </row>
    <row r="579" spans="5:48" x14ac:dyDescent="0.2">
      <c r="E579" s="1"/>
      <c r="F579" s="1"/>
      <c r="G579" s="1"/>
      <c r="H579" s="1"/>
      <c r="I579" s="1"/>
      <c r="J579" s="1"/>
      <c r="K579" s="1"/>
      <c r="L579" s="1"/>
      <c r="M579" s="1"/>
      <c r="AA579" s="76"/>
      <c r="AU579" s="18"/>
      <c r="AV579" s="18"/>
    </row>
    <row r="580" spans="5:48" x14ac:dyDescent="0.2">
      <c r="E580" s="1"/>
      <c r="F580" s="1"/>
      <c r="G580" s="1"/>
      <c r="H580" s="1"/>
      <c r="I580" s="1"/>
      <c r="J580" s="1"/>
      <c r="K580" s="1"/>
      <c r="L580" s="1"/>
      <c r="M580" s="1"/>
      <c r="AA580" s="76"/>
      <c r="AU580" s="18"/>
      <c r="AV580" s="18"/>
    </row>
    <row r="581" spans="5:48" x14ac:dyDescent="0.2">
      <c r="E581" s="1"/>
      <c r="F581" s="1"/>
      <c r="G581" s="1"/>
      <c r="H581" s="1"/>
      <c r="I581" s="1"/>
      <c r="J581" s="1"/>
      <c r="K581" s="1"/>
      <c r="L581" s="1"/>
      <c r="M581" s="1"/>
      <c r="AA581" s="76"/>
      <c r="AU581" s="18"/>
      <c r="AV581" s="18"/>
    </row>
    <row r="582" spans="5:48" x14ac:dyDescent="0.2">
      <c r="E582" s="1"/>
      <c r="F582" s="1"/>
      <c r="G582" s="1"/>
      <c r="H582" s="1"/>
      <c r="I582" s="1"/>
      <c r="J582" s="1"/>
      <c r="K582" s="1"/>
      <c r="L582" s="1"/>
      <c r="M582" s="1"/>
      <c r="AA582" s="76"/>
      <c r="AU582" s="18"/>
      <c r="AV582" s="18"/>
    </row>
    <row r="583" spans="5:48" x14ac:dyDescent="0.2">
      <c r="E583" s="1"/>
      <c r="F583" s="1"/>
      <c r="G583" s="1"/>
      <c r="H583" s="1"/>
      <c r="I583" s="1"/>
      <c r="J583" s="1"/>
      <c r="K583" s="1"/>
      <c r="L583" s="1"/>
      <c r="M583" s="1"/>
      <c r="AA583" s="76"/>
      <c r="AU583" s="18"/>
      <c r="AV583" s="18"/>
    </row>
    <row r="584" spans="5:48" x14ac:dyDescent="0.2">
      <c r="E584" s="1"/>
      <c r="F584" s="1"/>
      <c r="G584" s="1"/>
      <c r="H584" s="1"/>
      <c r="I584" s="1"/>
      <c r="J584" s="1"/>
      <c r="K584" s="1"/>
      <c r="L584" s="1"/>
      <c r="M584" s="1"/>
      <c r="AA584" s="76"/>
      <c r="AU584" s="18"/>
      <c r="AV584" s="18"/>
    </row>
    <row r="585" spans="5:48" x14ac:dyDescent="0.2">
      <c r="E585" s="1"/>
      <c r="F585" s="1"/>
      <c r="G585" s="1"/>
      <c r="H585" s="1"/>
      <c r="I585" s="1"/>
      <c r="J585" s="1"/>
      <c r="K585" s="1"/>
      <c r="L585" s="1"/>
      <c r="M585" s="1"/>
      <c r="AA585" s="76"/>
      <c r="AU585" s="18"/>
      <c r="AV585" s="18"/>
    </row>
    <row r="586" spans="5:48" x14ac:dyDescent="0.2">
      <c r="E586" s="1"/>
      <c r="F586" s="1"/>
      <c r="G586" s="1"/>
      <c r="H586" s="1"/>
      <c r="I586" s="1"/>
      <c r="J586" s="1"/>
      <c r="K586" s="1"/>
      <c r="L586" s="1"/>
      <c r="M586" s="1"/>
      <c r="AA586" s="76"/>
      <c r="AU586" s="18"/>
      <c r="AV586" s="18"/>
    </row>
    <row r="587" spans="5:48" x14ac:dyDescent="0.2">
      <c r="E587" s="1"/>
      <c r="F587" s="1"/>
      <c r="G587" s="1"/>
      <c r="H587" s="1"/>
      <c r="I587" s="1"/>
      <c r="J587" s="1"/>
      <c r="K587" s="1"/>
      <c r="L587" s="1"/>
      <c r="M587" s="1"/>
      <c r="AA587" s="76"/>
      <c r="AU587" s="18"/>
      <c r="AV587" s="18"/>
    </row>
    <row r="588" spans="5:48" x14ac:dyDescent="0.2">
      <c r="E588" s="1"/>
      <c r="F588" s="1"/>
      <c r="G588" s="1"/>
      <c r="H588" s="1"/>
      <c r="I588" s="1"/>
      <c r="J588" s="1"/>
      <c r="K588" s="1"/>
      <c r="L588" s="1"/>
      <c r="M588" s="1"/>
      <c r="AA588" s="76"/>
      <c r="AU588" s="18"/>
      <c r="AV588" s="18"/>
    </row>
    <row r="589" spans="5:48" x14ac:dyDescent="0.2">
      <c r="E589" s="1"/>
      <c r="F589" s="1"/>
      <c r="G589" s="1"/>
      <c r="H589" s="1"/>
      <c r="I589" s="1"/>
      <c r="J589" s="1"/>
      <c r="K589" s="1"/>
      <c r="L589" s="1"/>
      <c r="M589" s="1"/>
      <c r="AA589" s="76"/>
      <c r="AU589" s="18"/>
      <c r="AV589" s="18"/>
    </row>
    <row r="590" spans="5:48" x14ac:dyDescent="0.2">
      <c r="E590" s="1"/>
      <c r="F590" s="1"/>
      <c r="G590" s="1"/>
      <c r="H590" s="1"/>
      <c r="I590" s="1"/>
      <c r="J590" s="1"/>
      <c r="K590" s="1"/>
      <c r="L590" s="1"/>
      <c r="M590" s="1"/>
      <c r="AA590" s="76"/>
      <c r="AU590" s="18"/>
      <c r="AV590" s="18"/>
    </row>
    <row r="591" spans="5:48" x14ac:dyDescent="0.2">
      <c r="E591" s="1"/>
      <c r="F591" s="1"/>
      <c r="G591" s="1"/>
      <c r="H591" s="1"/>
      <c r="I591" s="1"/>
      <c r="J591" s="1"/>
      <c r="K591" s="1"/>
      <c r="L591" s="1"/>
      <c r="M591" s="1"/>
      <c r="AU591" s="18"/>
      <c r="AV591" s="18"/>
    </row>
    <row r="592" spans="5:48" x14ac:dyDescent="0.2">
      <c r="E592" s="1"/>
      <c r="F592" s="1"/>
      <c r="G592" s="1"/>
      <c r="H592" s="1"/>
      <c r="I592" s="1"/>
      <c r="J592" s="1"/>
      <c r="K592" s="1"/>
      <c r="L592" s="1"/>
      <c r="M592" s="1"/>
      <c r="AU592" s="18"/>
      <c r="AV592" s="18"/>
    </row>
    <row r="593" spans="5:48" x14ac:dyDescent="0.2">
      <c r="E593" s="1"/>
      <c r="F593" s="1"/>
      <c r="G593" s="1"/>
      <c r="H593" s="1"/>
      <c r="I593" s="1"/>
      <c r="J593" s="1"/>
      <c r="K593" s="1"/>
      <c r="L593" s="1"/>
      <c r="M593" s="1"/>
      <c r="AU593" s="18"/>
      <c r="AV593" s="18"/>
    </row>
    <row r="594" spans="5:48" x14ac:dyDescent="0.2">
      <c r="E594" s="1"/>
      <c r="F594" s="1"/>
      <c r="G594" s="1"/>
      <c r="H594" s="1"/>
      <c r="I594" s="1"/>
      <c r="J594" s="1"/>
      <c r="K594" s="1"/>
      <c r="L594" s="1"/>
      <c r="M594" s="1"/>
      <c r="AU594" s="18"/>
      <c r="AV594" s="18"/>
    </row>
    <row r="595" spans="5:48" x14ac:dyDescent="0.2">
      <c r="E595" s="1"/>
      <c r="F595" s="1"/>
      <c r="G595" s="1"/>
      <c r="H595" s="1"/>
      <c r="I595" s="1"/>
      <c r="J595" s="1"/>
      <c r="K595" s="1"/>
      <c r="L595" s="1"/>
      <c r="M595" s="1"/>
      <c r="AU595" s="18"/>
      <c r="AV595" s="18"/>
    </row>
    <row r="596" spans="5:48" x14ac:dyDescent="0.2">
      <c r="E596" s="1"/>
      <c r="F596" s="1"/>
      <c r="G596" s="1"/>
      <c r="H596" s="1"/>
      <c r="I596" s="1"/>
      <c r="J596" s="1"/>
      <c r="K596" s="1"/>
      <c r="L596" s="1"/>
      <c r="M596" s="1"/>
      <c r="AU596" s="18"/>
      <c r="AV596" s="18"/>
    </row>
    <row r="597" spans="5:48" x14ac:dyDescent="0.2">
      <c r="E597" s="1"/>
      <c r="F597" s="1"/>
      <c r="G597" s="1"/>
      <c r="H597" s="1"/>
      <c r="I597" s="1"/>
      <c r="J597" s="1"/>
      <c r="K597" s="1"/>
      <c r="L597" s="1"/>
      <c r="M597" s="1"/>
      <c r="AU597" s="18"/>
      <c r="AV597" s="18"/>
    </row>
    <row r="598" spans="5:48" x14ac:dyDescent="0.2">
      <c r="E598" s="1"/>
      <c r="F598" s="1"/>
      <c r="G598" s="1"/>
      <c r="H598" s="1"/>
      <c r="I598" s="1"/>
      <c r="J598" s="1"/>
      <c r="K598" s="1"/>
      <c r="L598" s="1"/>
      <c r="M598" s="1"/>
      <c r="AU598" s="18"/>
      <c r="AV598" s="18"/>
    </row>
    <row r="599" spans="5:48" x14ac:dyDescent="0.2">
      <c r="E599" s="1"/>
      <c r="F599" s="1"/>
      <c r="G599" s="1"/>
      <c r="H599" s="1"/>
      <c r="I599" s="1"/>
      <c r="J599" s="1"/>
      <c r="K599" s="1"/>
      <c r="L599" s="1"/>
      <c r="M599" s="1"/>
      <c r="AU599" s="18"/>
      <c r="AV599" s="18"/>
    </row>
    <row r="600" spans="5:48" x14ac:dyDescent="0.2">
      <c r="E600" s="1"/>
      <c r="F600" s="1"/>
      <c r="G600" s="1"/>
      <c r="H600" s="1"/>
      <c r="I600" s="1"/>
      <c r="J600" s="1"/>
      <c r="K600" s="1"/>
      <c r="L600" s="1"/>
      <c r="M600" s="1"/>
      <c r="AU600" s="18"/>
      <c r="AV600" s="18"/>
    </row>
    <row r="601" spans="5:48" x14ac:dyDescent="0.2">
      <c r="E601" s="1"/>
      <c r="F601" s="1"/>
      <c r="G601" s="1"/>
      <c r="H601" s="1"/>
      <c r="I601" s="1"/>
      <c r="J601" s="1"/>
      <c r="K601" s="1"/>
      <c r="L601" s="1"/>
      <c r="M601" s="1"/>
      <c r="AU601" s="18"/>
      <c r="AV601" s="18"/>
    </row>
    <row r="602" spans="5:48" x14ac:dyDescent="0.2">
      <c r="E602" s="1"/>
      <c r="F602" s="1"/>
      <c r="G602" s="1"/>
      <c r="H602" s="1"/>
      <c r="I602" s="1"/>
      <c r="J602" s="1"/>
      <c r="K602" s="1"/>
      <c r="L602" s="1"/>
      <c r="M602" s="1"/>
      <c r="AU602" s="18"/>
      <c r="AV602" s="18"/>
    </row>
    <row r="603" spans="5:48" x14ac:dyDescent="0.2">
      <c r="E603" s="1"/>
      <c r="F603" s="1"/>
      <c r="G603" s="1"/>
      <c r="H603" s="1"/>
      <c r="I603" s="1"/>
      <c r="J603" s="1"/>
      <c r="K603" s="1"/>
      <c r="L603" s="1"/>
      <c r="M603" s="1"/>
      <c r="AU603" s="18"/>
      <c r="AV603" s="18"/>
    </row>
    <row r="604" spans="5:48" x14ac:dyDescent="0.2">
      <c r="E604" s="1"/>
      <c r="F604" s="1"/>
      <c r="G604" s="1"/>
      <c r="H604" s="1"/>
      <c r="I604" s="1"/>
      <c r="J604" s="1"/>
      <c r="K604" s="1"/>
      <c r="L604" s="1"/>
      <c r="M604" s="1"/>
      <c r="AU604" s="18"/>
      <c r="AV604" s="18"/>
    </row>
    <row r="605" spans="5:48" x14ac:dyDescent="0.2">
      <c r="E605" s="1"/>
      <c r="F605" s="1"/>
      <c r="G605" s="1"/>
      <c r="H605" s="1"/>
      <c r="I605" s="1"/>
      <c r="J605" s="1"/>
      <c r="K605" s="1"/>
      <c r="L605" s="1"/>
      <c r="M605" s="1"/>
      <c r="AU605" s="18"/>
      <c r="AV605" s="18"/>
    </row>
    <row r="606" spans="5:48" x14ac:dyDescent="0.2">
      <c r="E606" s="1"/>
      <c r="F606" s="1"/>
      <c r="G606" s="1"/>
      <c r="H606" s="1"/>
      <c r="I606" s="1"/>
      <c r="J606" s="1"/>
      <c r="K606" s="1"/>
      <c r="L606" s="1"/>
      <c r="M606" s="1"/>
      <c r="AU606" s="18"/>
      <c r="AV606" s="18"/>
    </row>
    <row r="607" spans="5:48" x14ac:dyDescent="0.2">
      <c r="E607" s="1"/>
      <c r="F607" s="1"/>
      <c r="G607" s="1"/>
      <c r="H607" s="1"/>
      <c r="I607" s="1"/>
      <c r="J607" s="1"/>
      <c r="K607" s="1"/>
      <c r="L607" s="1"/>
      <c r="M607" s="1"/>
      <c r="AU607" s="18"/>
      <c r="AV607" s="18"/>
    </row>
    <row r="608" spans="5:48" x14ac:dyDescent="0.2">
      <c r="E608" s="1"/>
      <c r="F608" s="1"/>
      <c r="G608" s="1"/>
      <c r="H608" s="1"/>
      <c r="I608" s="1"/>
      <c r="J608" s="1"/>
      <c r="K608" s="1"/>
      <c r="L608" s="1"/>
      <c r="M608" s="1"/>
      <c r="AU608" s="18"/>
      <c r="AV608" s="18"/>
    </row>
    <row r="609" spans="5:48" x14ac:dyDescent="0.2">
      <c r="E609" s="1"/>
      <c r="F609" s="1"/>
      <c r="G609" s="1"/>
      <c r="H609" s="1"/>
      <c r="I609" s="1"/>
      <c r="J609" s="1"/>
      <c r="K609" s="1"/>
      <c r="L609" s="1"/>
      <c r="M609" s="1"/>
      <c r="AU609" s="18"/>
      <c r="AV609" s="18"/>
    </row>
    <row r="610" spans="5:48" x14ac:dyDescent="0.2">
      <c r="E610" s="1"/>
      <c r="F610" s="1"/>
      <c r="G610" s="1"/>
      <c r="H610" s="1"/>
      <c r="I610" s="1"/>
      <c r="J610" s="1"/>
      <c r="K610" s="1"/>
      <c r="L610" s="1"/>
      <c r="M610" s="1"/>
      <c r="AU610" s="18"/>
      <c r="AV610" s="18"/>
    </row>
    <row r="611" spans="5:48" x14ac:dyDescent="0.2">
      <c r="E611" s="1"/>
      <c r="F611" s="1"/>
      <c r="G611" s="1"/>
      <c r="H611" s="1"/>
      <c r="I611" s="1"/>
      <c r="J611" s="1"/>
      <c r="K611" s="1"/>
      <c r="L611" s="1"/>
      <c r="M611" s="1"/>
      <c r="AU611" s="18"/>
      <c r="AV611" s="18"/>
    </row>
    <row r="612" spans="5:48" x14ac:dyDescent="0.2">
      <c r="E612" s="1"/>
      <c r="F612" s="1"/>
      <c r="G612" s="1"/>
      <c r="H612" s="1"/>
      <c r="I612" s="1"/>
      <c r="J612" s="1"/>
      <c r="K612" s="1"/>
      <c r="L612" s="1"/>
      <c r="M612" s="1"/>
      <c r="AU612" s="18"/>
      <c r="AV612" s="18"/>
    </row>
    <row r="613" spans="5:48" x14ac:dyDescent="0.2">
      <c r="E613" s="1"/>
      <c r="F613" s="1"/>
      <c r="G613" s="1"/>
      <c r="H613" s="1"/>
      <c r="I613" s="1"/>
      <c r="J613" s="1"/>
      <c r="K613" s="1"/>
      <c r="L613" s="1"/>
      <c r="M613" s="1"/>
      <c r="AU613" s="18"/>
      <c r="AV613" s="18"/>
    </row>
    <row r="614" spans="5:48" x14ac:dyDescent="0.2">
      <c r="E614" s="1"/>
      <c r="F614" s="1"/>
      <c r="G614" s="1"/>
      <c r="H614" s="1"/>
      <c r="I614" s="1"/>
      <c r="J614" s="1"/>
      <c r="K614" s="1"/>
      <c r="L614" s="1"/>
      <c r="M614" s="1"/>
      <c r="AU614" s="18"/>
      <c r="AV614" s="18"/>
    </row>
    <row r="615" spans="5:48" x14ac:dyDescent="0.2">
      <c r="E615" s="1"/>
      <c r="F615" s="1"/>
      <c r="G615" s="1"/>
      <c r="H615" s="1"/>
      <c r="I615" s="1"/>
      <c r="J615" s="1"/>
      <c r="K615" s="1"/>
      <c r="L615" s="1"/>
      <c r="M615" s="1"/>
      <c r="AU615" s="18"/>
      <c r="AV615" s="18"/>
    </row>
    <row r="616" spans="5:48" x14ac:dyDescent="0.2">
      <c r="E616" s="1"/>
      <c r="F616" s="1"/>
      <c r="G616" s="1"/>
      <c r="H616" s="1"/>
      <c r="I616" s="1"/>
      <c r="J616" s="1"/>
      <c r="K616" s="1"/>
      <c r="L616" s="1"/>
      <c r="M616" s="1"/>
      <c r="AU616" s="18"/>
      <c r="AV616" s="18"/>
    </row>
    <row r="617" spans="5:48" x14ac:dyDescent="0.2">
      <c r="E617" s="1"/>
      <c r="F617" s="1"/>
      <c r="G617" s="1"/>
      <c r="H617" s="1"/>
      <c r="I617" s="1"/>
      <c r="J617" s="1"/>
      <c r="K617" s="1"/>
      <c r="L617" s="1"/>
      <c r="M617" s="1"/>
      <c r="AU617" s="18"/>
      <c r="AV617" s="18"/>
    </row>
    <row r="618" spans="5:48" x14ac:dyDescent="0.2">
      <c r="E618" s="1"/>
      <c r="F618" s="1"/>
      <c r="G618" s="1"/>
      <c r="H618" s="1"/>
      <c r="I618" s="1"/>
      <c r="J618" s="1"/>
      <c r="K618" s="1"/>
      <c r="L618" s="1"/>
      <c r="M618" s="1"/>
      <c r="AU618" s="18"/>
      <c r="AV618" s="18"/>
    </row>
    <row r="619" spans="5:48" x14ac:dyDescent="0.2">
      <c r="E619" s="1"/>
      <c r="F619" s="1"/>
      <c r="G619" s="1"/>
      <c r="H619" s="1"/>
      <c r="I619" s="1"/>
      <c r="J619" s="1"/>
      <c r="K619" s="1"/>
      <c r="L619" s="1"/>
      <c r="M619" s="1"/>
      <c r="AU619" s="18"/>
      <c r="AV619" s="18"/>
    </row>
    <row r="620" spans="5:48" x14ac:dyDescent="0.2">
      <c r="E620" s="1"/>
      <c r="F620" s="1"/>
      <c r="G620" s="1"/>
      <c r="H620" s="1"/>
      <c r="I620" s="1"/>
      <c r="J620" s="1"/>
      <c r="K620" s="1"/>
      <c r="L620" s="1"/>
      <c r="M620" s="1"/>
      <c r="AU620" s="18"/>
      <c r="AV620" s="18"/>
    </row>
    <row r="621" spans="5:48" x14ac:dyDescent="0.2">
      <c r="E621" s="1"/>
      <c r="F621" s="1"/>
      <c r="G621" s="1"/>
      <c r="H621" s="1"/>
      <c r="I621" s="1"/>
      <c r="J621" s="1"/>
      <c r="K621" s="1"/>
      <c r="L621" s="1"/>
      <c r="M621" s="1"/>
      <c r="AU621" s="18"/>
      <c r="AV621" s="18"/>
    </row>
    <row r="622" spans="5:48" x14ac:dyDescent="0.2">
      <c r="E622" s="1"/>
      <c r="F622" s="1"/>
      <c r="G622" s="1"/>
      <c r="H622" s="1"/>
      <c r="I622" s="1"/>
      <c r="J622" s="1"/>
      <c r="K622" s="1"/>
      <c r="L622" s="1"/>
      <c r="M622" s="1"/>
      <c r="AU622" s="18"/>
      <c r="AV622" s="18"/>
    </row>
    <row r="623" spans="5:48" x14ac:dyDescent="0.2">
      <c r="E623" s="1"/>
      <c r="F623" s="1"/>
      <c r="G623" s="1"/>
      <c r="H623" s="1"/>
      <c r="I623" s="1"/>
      <c r="J623" s="1"/>
      <c r="K623" s="1"/>
      <c r="L623" s="1"/>
      <c r="M623" s="1"/>
      <c r="AU623" s="18"/>
      <c r="AV623" s="18"/>
    </row>
    <row r="624" spans="5:48" x14ac:dyDescent="0.2">
      <c r="E624" s="1"/>
      <c r="F624" s="1"/>
      <c r="G624" s="1"/>
      <c r="H624" s="1"/>
      <c r="I624" s="1"/>
      <c r="J624" s="1"/>
      <c r="K624" s="1"/>
      <c r="L624" s="1"/>
      <c r="M624" s="1"/>
      <c r="AU624" s="18"/>
      <c r="AV624" s="18"/>
    </row>
    <row r="625" spans="5:48" x14ac:dyDescent="0.2">
      <c r="E625" s="1"/>
      <c r="F625" s="1"/>
      <c r="G625" s="1"/>
      <c r="H625" s="1"/>
      <c r="I625" s="1"/>
      <c r="J625" s="1"/>
      <c r="K625" s="1"/>
      <c r="L625" s="1"/>
      <c r="M625" s="1"/>
      <c r="AU625" s="18"/>
      <c r="AV625" s="18"/>
    </row>
    <row r="626" spans="5:48" x14ac:dyDescent="0.2">
      <c r="E626" s="1"/>
      <c r="F626" s="1"/>
      <c r="G626" s="1"/>
      <c r="H626" s="1"/>
      <c r="I626" s="1"/>
      <c r="J626" s="1"/>
      <c r="K626" s="1"/>
      <c r="L626" s="1"/>
      <c r="M626" s="1"/>
      <c r="AU626" s="18"/>
      <c r="AV626" s="18"/>
    </row>
    <row r="627" spans="5:48" x14ac:dyDescent="0.2">
      <c r="E627" s="1"/>
      <c r="F627" s="1"/>
      <c r="G627" s="1"/>
      <c r="H627" s="1"/>
      <c r="I627" s="1"/>
      <c r="J627" s="1"/>
      <c r="K627" s="1"/>
      <c r="L627" s="1"/>
      <c r="M627" s="1"/>
      <c r="AU627" s="18"/>
      <c r="AV627" s="18"/>
    </row>
    <row r="628" spans="5:48" x14ac:dyDescent="0.2">
      <c r="E628" s="1"/>
      <c r="F628" s="1"/>
      <c r="G628" s="1"/>
      <c r="H628" s="1"/>
      <c r="I628" s="1"/>
      <c r="J628" s="1"/>
      <c r="K628" s="1"/>
      <c r="L628" s="1"/>
      <c r="M628" s="1"/>
      <c r="AU628" s="18"/>
      <c r="AV628" s="18"/>
    </row>
    <row r="629" spans="5:48" x14ac:dyDescent="0.2">
      <c r="E629" s="1"/>
      <c r="F629" s="1"/>
      <c r="G629" s="1"/>
      <c r="H629" s="1"/>
      <c r="I629" s="1"/>
      <c r="J629" s="1"/>
      <c r="K629" s="1"/>
      <c r="L629" s="1"/>
      <c r="M629" s="1"/>
      <c r="AU629" s="18"/>
      <c r="AV629" s="18"/>
    </row>
    <row r="630" spans="5:48" x14ac:dyDescent="0.2">
      <c r="E630" s="1"/>
      <c r="F630" s="1"/>
      <c r="G630" s="1"/>
      <c r="H630" s="1"/>
      <c r="I630" s="1"/>
      <c r="J630" s="1"/>
      <c r="K630" s="1"/>
      <c r="L630" s="1"/>
      <c r="M630" s="1"/>
      <c r="AU630" s="18"/>
      <c r="AV630" s="18"/>
    </row>
    <row r="631" spans="5:48" x14ac:dyDescent="0.2">
      <c r="E631" s="1"/>
      <c r="F631" s="1"/>
      <c r="G631" s="1"/>
      <c r="H631" s="1"/>
      <c r="I631" s="1"/>
      <c r="J631" s="1"/>
      <c r="K631" s="1"/>
      <c r="L631" s="1"/>
      <c r="M631" s="1"/>
      <c r="AU631" s="18"/>
      <c r="AV631" s="18"/>
    </row>
    <row r="632" spans="5:48" x14ac:dyDescent="0.2">
      <c r="E632" s="1"/>
      <c r="F632" s="1"/>
      <c r="G632" s="1"/>
      <c r="H632" s="1"/>
      <c r="I632" s="1"/>
      <c r="J632" s="1"/>
      <c r="K632" s="1"/>
      <c r="L632" s="1"/>
      <c r="M632" s="1"/>
      <c r="AU632" s="18"/>
      <c r="AV632" s="18"/>
    </row>
    <row r="633" spans="5:48" x14ac:dyDescent="0.2">
      <c r="E633" s="1"/>
      <c r="F633" s="1"/>
      <c r="G633" s="1"/>
      <c r="H633" s="1"/>
      <c r="I633" s="1"/>
      <c r="J633" s="1"/>
      <c r="K633" s="1"/>
      <c r="L633" s="1"/>
      <c r="M633" s="1"/>
      <c r="AU633" s="18"/>
      <c r="AV633" s="18"/>
    </row>
    <row r="634" spans="5:48" x14ac:dyDescent="0.2">
      <c r="E634" s="1"/>
      <c r="F634" s="1"/>
      <c r="G634" s="1"/>
      <c r="H634" s="1"/>
      <c r="I634" s="1"/>
      <c r="J634" s="1"/>
      <c r="K634" s="1"/>
      <c r="L634" s="1"/>
      <c r="M634" s="1"/>
      <c r="AU634" s="18"/>
      <c r="AV634" s="18"/>
    </row>
    <row r="635" spans="5:48" x14ac:dyDescent="0.2">
      <c r="E635" s="1"/>
      <c r="F635" s="1"/>
      <c r="G635" s="1"/>
      <c r="H635" s="1"/>
      <c r="I635" s="1"/>
      <c r="J635" s="1"/>
      <c r="K635" s="1"/>
      <c r="L635" s="1"/>
      <c r="M635" s="1"/>
      <c r="AU635" s="18"/>
      <c r="AV635" s="18"/>
    </row>
    <row r="636" spans="5:48" x14ac:dyDescent="0.2">
      <c r="E636" s="1"/>
      <c r="F636" s="1"/>
      <c r="G636" s="1"/>
      <c r="H636" s="1"/>
      <c r="I636" s="1"/>
      <c r="J636" s="1"/>
      <c r="K636" s="1"/>
      <c r="L636" s="1"/>
      <c r="M636" s="1"/>
      <c r="AU636" s="18"/>
      <c r="AV636" s="18"/>
    </row>
    <row r="637" spans="5:48" x14ac:dyDescent="0.2">
      <c r="E637" s="1"/>
      <c r="F637" s="1"/>
      <c r="G637" s="1"/>
      <c r="H637" s="1"/>
      <c r="I637" s="1"/>
      <c r="J637" s="1"/>
      <c r="K637" s="1"/>
      <c r="L637" s="1"/>
      <c r="M637" s="1"/>
      <c r="AU637" s="18"/>
      <c r="AV637" s="18"/>
    </row>
    <row r="638" spans="5:48" x14ac:dyDescent="0.2">
      <c r="E638" s="1"/>
      <c r="F638" s="1"/>
      <c r="G638" s="1"/>
      <c r="H638" s="1"/>
      <c r="I638" s="1"/>
      <c r="J638" s="1"/>
      <c r="K638" s="1"/>
      <c r="L638" s="1"/>
      <c r="M638" s="1"/>
      <c r="AU638" s="18"/>
      <c r="AV638" s="18"/>
    </row>
    <row r="639" spans="5:48" x14ac:dyDescent="0.2">
      <c r="E639" s="1"/>
      <c r="F639" s="1"/>
      <c r="G639" s="1"/>
      <c r="H639" s="1"/>
      <c r="I639" s="1"/>
      <c r="J639" s="1"/>
      <c r="K639" s="1"/>
      <c r="L639" s="1"/>
      <c r="M639" s="1"/>
      <c r="AU639" s="18"/>
      <c r="AV639" s="18"/>
    </row>
    <row r="640" spans="5:48" x14ac:dyDescent="0.2">
      <c r="E640" s="1"/>
      <c r="F640" s="1"/>
      <c r="G640" s="1"/>
      <c r="H640" s="1"/>
      <c r="I640" s="1"/>
      <c r="J640" s="1"/>
      <c r="K640" s="1"/>
      <c r="L640" s="1"/>
      <c r="M640" s="1"/>
      <c r="AU640" s="18"/>
      <c r="AV640" s="18"/>
    </row>
    <row r="641" spans="5:48" x14ac:dyDescent="0.2">
      <c r="E641" s="1"/>
      <c r="F641" s="1"/>
      <c r="G641" s="1"/>
      <c r="H641" s="1"/>
      <c r="I641" s="1"/>
      <c r="J641" s="1"/>
      <c r="K641" s="1"/>
      <c r="L641" s="1"/>
      <c r="M641" s="1"/>
      <c r="AU641" s="18"/>
      <c r="AV641" s="18"/>
    </row>
    <row r="642" spans="5:48" x14ac:dyDescent="0.2">
      <c r="E642" s="1"/>
      <c r="F642" s="1"/>
      <c r="G642" s="1"/>
      <c r="H642" s="1"/>
      <c r="I642" s="1"/>
      <c r="J642" s="1"/>
      <c r="K642" s="1"/>
      <c r="L642" s="1"/>
      <c r="M642" s="1"/>
      <c r="AU642" s="18"/>
      <c r="AV642" s="18"/>
    </row>
    <row r="643" spans="5:48" x14ac:dyDescent="0.2">
      <c r="E643" s="1"/>
      <c r="F643" s="1"/>
      <c r="G643" s="1"/>
      <c r="H643" s="1"/>
      <c r="I643" s="1"/>
      <c r="J643" s="1"/>
      <c r="K643" s="1"/>
      <c r="L643" s="1"/>
      <c r="M643" s="1"/>
      <c r="AU643" s="18"/>
      <c r="AV643" s="18"/>
    </row>
    <row r="644" spans="5:48" x14ac:dyDescent="0.2">
      <c r="E644" s="1"/>
      <c r="F644" s="1"/>
      <c r="G644" s="1"/>
      <c r="H644" s="1"/>
      <c r="I644" s="1"/>
      <c r="J644" s="1"/>
      <c r="K644" s="1"/>
      <c r="L644" s="1"/>
      <c r="M644" s="1"/>
      <c r="AU644" s="18"/>
      <c r="AV644" s="18"/>
    </row>
    <row r="645" spans="5:48" x14ac:dyDescent="0.2">
      <c r="E645" s="1"/>
      <c r="F645" s="1"/>
      <c r="G645" s="1"/>
      <c r="H645" s="1"/>
      <c r="I645" s="1"/>
      <c r="J645" s="1"/>
      <c r="K645" s="1"/>
      <c r="L645" s="1"/>
      <c r="M645" s="1"/>
      <c r="AU645" s="18"/>
      <c r="AV645" s="18"/>
    </row>
    <row r="646" spans="5:48" x14ac:dyDescent="0.2">
      <c r="E646" s="1"/>
      <c r="F646" s="1"/>
      <c r="G646" s="1"/>
      <c r="H646" s="1"/>
      <c r="I646" s="1"/>
      <c r="J646" s="1"/>
      <c r="K646" s="1"/>
      <c r="L646" s="1"/>
      <c r="M646" s="1"/>
      <c r="AU646" s="18"/>
      <c r="AV646" s="18"/>
    </row>
    <row r="647" spans="5:48" x14ac:dyDescent="0.2">
      <c r="E647" s="1"/>
      <c r="F647" s="1"/>
      <c r="G647" s="1"/>
      <c r="H647" s="1"/>
      <c r="I647" s="1"/>
      <c r="J647" s="1"/>
      <c r="K647" s="1"/>
      <c r="L647" s="1"/>
      <c r="M647" s="1"/>
      <c r="AU647" s="18"/>
      <c r="AV647" s="18"/>
    </row>
    <row r="648" spans="5:48" x14ac:dyDescent="0.2">
      <c r="E648" s="1"/>
      <c r="F648" s="1"/>
      <c r="G648" s="1"/>
      <c r="H648" s="1"/>
      <c r="I648" s="1"/>
      <c r="J648" s="1"/>
      <c r="K648" s="1"/>
      <c r="L648" s="1"/>
      <c r="M648" s="1"/>
      <c r="AU648" s="18"/>
      <c r="AV648" s="18"/>
    </row>
    <row r="649" spans="5:48" x14ac:dyDescent="0.2">
      <c r="E649" s="1"/>
      <c r="F649" s="1"/>
      <c r="G649" s="1"/>
      <c r="H649" s="1"/>
      <c r="I649" s="1"/>
      <c r="J649" s="1"/>
      <c r="K649" s="1"/>
      <c r="L649" s="1"/>
      <c r="M649" s="1"/>
      <c r="AU649" s="18"/>
      <c r="AV649" s="18"/>
    </row>
    <row r="650" spans="5:48" x14ac:dyDescent="0.2">
      <c r="E650" s="1"/>
      <c r="F650" s="1"/>
      <c r="G650" s="1"/>
      <c r="H650" s="1"/>
      <c r="I650" s="1"/>
      <c r="J650" s="1"/>
      <c r="K650" s="1"/>
      <c r="L650" s="1"/>
      <c r="M650" s="1"/>
      <c r="AU650" s="18"/>
      <c r="AV650" s="18"/>
    </row>
    <row r="651" spans="5:48" x14ac:dyDescent="0.2">
      <c r="E651" s="1"/>
      <c r="F651" s="1"/>
      <c r="G651" s="1"/>
      <c r="H651" s="1"/>
      <c r="I651" s="1"/>
      <c r="J651" s="1"/>
      <c r="K651" s="1"/>
      <c r="L651" s="1"/>
      <c r="M651" s="1"/>
      <c r="AU651" s="18"/>
      <c r="AV651" s="18"/>
    </row>
    <row r="652" spans="5:48" x14ac:dyDescent="0.2">
      <c r="E652" s="1"/>
      <c r="F652" s="1"/>
      <c r="G652" s="1"/>
      <c r="H652" s="1"/>
      <c r="I652" s="1"/>
      <c r="J652" s="1"/>
      <c r="K652" s="1"/>
      <c r="L652" s="1"/>
      <c r="M652" s="1"/>
      <c r="AU652" s="18"/>
      <c r="AV652" s="18"/>
    </row>
    <row r="653" spans="5:48" x14ac:dyDescent="0.2">
      <c r="E653" s="1"/>
      <c r="F653" s="1"/>
      <c r="G653" s="1"/>
      <c r="H653" s="1"/>
      <c r="I653" s="1"/>
      <c r="J653" s="1"/>
      <c r="K653" s="1"/>
      <c r="L653" s="1"/>
      <c r="M653" s="1"/>
      <c r="AU653" s="18"/>
      <c r="AV653" s="18"/>
    </row>
    <row r="654" spans="5:48" x14ac:dyDescent="0.2">
      <c r="E654" s="1"/>
      <c r="F654" s="1"/>
      <c r="G654" s="1"/>
      <c r="H654" s="1"/>
      <c r="I654" s="1"/>
      <c r="J654" s="1"/>
      <c r="K654" s="1"/>
      <c r="L654" s="1"/>
      <c r="M654" s="1"/>
      <c r="AU654" s="18"/>
      <c r="AV654" s="18"/>
    </row>
    <row r="655" spans="5:48" x14ac:dyDescent="0.2">
      <c r="E655" s="1"/>
      <c r="F655" s="1"/>
      <c r="G655" s="1"/>
      <c r="H655" s="1"/>
      <c r="I655" s="1"/>
      <c r="J655" s="1"/>
      <c r="K655" s="1"/>
      <c r="L655" s="1"/>
      <c r="M655" s="1"/>
      <c r="AU655" s="18"/>
      <c r="AV655" s="18"/>
    </row>
    <row r="656" spans="5:48" x14ac:dyDescent="0.2">
      <c r="E656" s="1"/>
      <c r="F656" s="1"/>
      <c r="G656" s="1"/>
      <c r="H656" s="1"/>
      <c r="I656" s="1"/>
      <c r="J656" s="1"/>
      <c r="K656" s="1"/>
      <c r="L656" s="1"/>
      <c r="M656" s="1"/>
      <c r="AU656" s="18"/>
      <c r="AV656" s="18"/>
    </row>
    <row r="657" spans="5:48" x14ac:dyDescent="0.2">
      <c r="E657" s="1"/>
      <c r="F657" s="1"/>
      <c r="G657" s="1"/>
      <c r="H657" s="1"/>
      <c r="I657" s="1"/>
      <c r="J657" s="1"/>
      <c r="K657" s="1"/>
      <c r="L657" s="1"/>
      <c r="M657" s="1"/>
      <c r="AU657" s="18"/>
      <c r="AV657" s="18"/>
    </row>
    <row r="658" spans="5:48" x14ac:dyDescent="0.2">
      <c r="E658" s="1"/>
      <c r="F658" s="1"/>
      <c r="G658" s="1"/>
      <c r="H658" s="1"/>
      <c r="I658" s="1"/>
      <c r="J658" s="1"/>
      <c r="K658" s="1"/>
      <c r="L658" s="1"/>
      <c r="M658" s="1"/>
      <c r="AU658" s="18"/>
      <c r="AV658" s="18"/>
    </row>
    <row r="659" spans="5:48" x14ac:dyDescent="0.2">
      <c r="E659" s="1"/>
      <c r="F659" s="1"/>
      <c r="G659" s="1"/>
      <c r="H659" s="1"/>
      <c r="I659" s="1"/>
      <c r="J659" s="1"/>
      <c r="K659" s="1"/>
      <c r="L659" s="1"/>
      <c r="M659" s="1"/>
      <c r="AU659" s="18"/>
      <c r="AV659" s="18"/>
    </row>
    <row r="660" spans="5:48" x14ac:dyDescent="0.2">
      <c r="E660" s="1"/>
      <c r="F660" s="1"/>
      <c r="G660" s="1"/>
      <c r="H660" s="1"/>
      <c r="I660" s="1"/>
      <c r="J660" s="1"/>
      <c r="K660" s="1"/>
      <c r="L660" s="1"/>
      <c r="M660" s="1"/>
      <c r="AU660" s="18"/>
      <c r="AV660" s="18"/>
    </row>
    <row r="661" spans="5:48" x14ac:dyDescent="0.2">
      <c r="E661" s="1"/>
      <c r="F661" s="1"/>
      <c r="G661" s="1"/>
      <c r="H661" s="1"/>
      <c r="I661" s="1"/>
      <c r="J661" s="1"/>
      <c r="K661" s="1"/>
      <c r="L661" s="1"/>
      <c r="M661" s="1"/>
      <c r="AU661" s="18"/>
      <c r="AV661" s="18"/>
    </row>
    <row r="662" spans="5:48" x14ac:dyDescent="0.2">
      <c r="E662" s="1"/>
      <c r="F662" s="1"/>
      <c r="G662" s="1"/>
      <c r="H662" s="1"/>
      <c r="I662" s="1"/>
      <c r="J662" s="1"/>
      <c r="K662" s="1"/>
      <c r="L662" s="1"/>
      <c r="M662" s="1"/>
      <c r="AU662" s="18"/>
      <c r="AV662" s="18"/>
    </row>
    <row r="663" spans="5:48" x14ac:dyDescent="0.2">
      <c r="E663" s="1"/>
      <c r="F663" s="1"/>
      <c r="G663" s="1"/>
      <c r="H663" s="1"/>
      <c r="I663" s="1"/>
      <c r="J663" s="1"/>
      <c r="K663" s="1"/>
      <c r="L663" s="1"/>
      <c r="M663" s="1"/>
      <c r="AU663" s="18"/>
      <c r="AV663" s="18"/>
    </row>
    <row r="664" spans="5:48" x14ac:dyDescent="0.2">
      <c r="E664" s="1"/>
      <c r="F664" s="1"/>
      <c r="G664" s="1"/>
      <c r="H664" s="1"/>
      <c r="I664" s="1"/>
      <c r="J664" s="1"/>
      <c r="K664" s="1"/>
      <c r="L664" s="1"/>
      <c r="M664" s="1"/>
      <c r="AU664" s="18"/>
      <c r="AV664" s="18"/>
    </row>
    <row r="665" spans="5:48" x14ac:dyDescent="0.2">
      <c r="E665" s="1"/>
      <c r="F665" s="1"/>
      <c r="G665" s="1"/>
      <c r="H665" s="1"/>
      <c r="I665" s="1"/>
      <c r="J665" s="1"/>
      <c r="K665" s="1"/>
      <c r="L665" s="1"/>
      <c r="M665" s="1"/>
      <c r="AU665" s="18"/>
      <c r="AV665" s="18"/>
    </row>
    <row r="666" spans="5:48" x14ac:dyDescent="0.2">
      <c r="E666" s="1"/>
      <c r="F666" s="1"/>
      <c r="G666" s="1"/>
      <c r="H666" s="1"/>
      <c r="I666" s="1"/>
      <c r="J666" s="1"/>
      <c r="K666" s="1"/>
      <c r="L666" s="1"/>
      <c r="M666" s="1"/>
      <c r="AU666" s="18"/>
      <c r="AV666" s="18"/>
    </row>
    <row r="667" spans="5:48" x14ac:dyDescent="0.2">
      <c r="E667" s="1"/>
      <c r="F667" s="1"/>
      <c r="G667" s="1"/>
      <c r="H667" s="1"/>
      <c r="I667" s="1"/>
      <c r="J667" s="1"/>
      <c r="K667" s="1"/>
      <c r="L667" s="1"/>
      <c r="M667" s="1"/>
      <c r="AU667" s="18"/>
      <c r="AV667" s="18"/>
    </row>
    <row r="668" spans="5:48" x14ac:dyDescent="0.2">
      <c r="E668" s="1"/>
      <c r="F668" s="1"/>
      <c r="G668" s="1"/>
      <c r="H668" s="1"/>
      <c r="I668" s="1"/>
      <c r="J668" s="1"/>
      <c r="K668" s="1"/>
      <c r="L668" s="1"/>
      <c r="M668" s="1"/>
      <c r="AU668" s="18"/>
      <c r="AV668" s="18"/>
    </row>
    <row r="669" spans="5:48" x14ac:dyDescent="0.2">
      <c r="E669" s="1"/>
      <c r="F669" s="1"/>
      <c r="G669" s="1"/>
      <c r="H669" s="1"/>
      <c r="I669" s="1"/>
      <c r="J669" s="1"/>
      <c r="K669" s="1"/>
      <c r="L669" s="1"/>
      <c r="M669" s="1"/>
      <c r="AU669" s="18"/>
      <c r="AV669" s="18"/>
    </row>
    <row r="670" spans="5:48" x14ac:dyDescent="0.2">
      <c r="E670" s="1"/>
      <c r="F670" s="1"/>
      <c r="G670" s="1"/>
      <c r="H670" s="1"/>
      <c r="I670" s="1"/>
      <c r="J670" s="1"/>
      <c r="K670" s="1"/>
      <c r="L670" s="1"/>
      <c r="M670" s="1"/>
      <c r="AU670" s="18"/>
      <c r="AV670" s="18"/>
    </row>
    <row r="671" spans="5:48" x14ac:dyDescent="0.2">
      <c r="E671" s="1"/>
      <c r="F671" s="1"/>
      <c r="G671" s="1"/>
      <c r="H671" s="1"/>
      <c r="I671" s="1"/>
      <c r="J671" s="1"/>
      <c r="K671" s="1"/>
      <c r="L671" s="1"/>
      <c r="M671" s="1"/>
      <c r="AU671" s="18"/>
      <c r="AV671" s="18"/>
    </row>
    <row r="672" spans="5:48" x14ac:dyDescent="0.2">
      <c r="E672" s="1"/>
      <c r="F672" s="1"/>
      <c r="G672" s="1"/>
      <c r="H672" s="1"/>
      <c r="I672" s="1"/>
      <c r="J672" s="1"/>
      <c r="K672" s="1"/>
      <c r="L672" s="1"/>
      <c r="M672" s="1"/>
      <c r="AU672" s="18"/>
      <c r="AV672" s="18"/>
    </row>
    <row r="673" spans="5:48" x14ac:dyDescent="0.2">
      <c r="E673" s="1"/>
      <c r="F673" s="1"/>
      <c r="G673" s="1"/>
      <c r="H673" s="1"/>
      <c r="I673" s="1"/>
      <c r="J673" s="1"/>
      <c r="K673" s="1"/>
      <c r="L673" s="1"/>
      <c r="M673" s="1"/>
      <c r="AU673" s="18"/>
      <c r="AV673" s="18"/>
    </row>
    <row r="674" spans="5:48" x14ac:dyDescent="0.2">
      <c r="E674" s="1"/>
      <c r="F674" s="1"/>
      <c r="G674" s="1"/>
      <c r="H674" s="1"/>
      <c r="I674" s="1"/>
      <c r="J674" s="1"/>
      <c r="K674" s="1"/>
      <c r="L674" s="1"/>
      <c r="M674" s="1"/>
      <c r="AU674" s="18"/>
      <c r="AV674" s="18"/>
    </row>
    <row r="675" spans="5:48" x14ac:dyDescent="0.2">
      <c r="E675" s="1"/>
      <c r="F675" s="1"/>
      <c r="G675" s="1"/>
      <c r="H675" s="1"/>
      <c r="I675" s="1"/>
      <c r="J675" s="1"/>
      <c r="K675" s="1"/>
      <c r="L675" s="1"/>
      <c r="M675" s="1"/>
      <c r="AU675" s="18"/>
      <c r="AV675" s="18"/>
    </row>
    <row r="676" spans="5:48" x14ac:dyDescent="0.2">
      <c r="E676" s="1"/>
      <c r="F676" s="1"/>
      <c r="G676" s="1"/>
      <c r="H676" s="1"/>
      <c r="I676" s="1"/>
      <c r="J676" s="1"/>
      <c r="K676" s="1"/>
      <c r="L676" s="1"/>
      <c r="M676" s="1"/>
      <c r="AU676" s="18"/>
      <c r="AV676" s="18"/>
    </row>
    <row r="677" spans="5:48" x14ac:dyDescent="0.2">
      <c r="E677" s="1"/>
      <c r="F677" s="1"/>
      <c r="G677" s="1"/>
      <c r="H677" s="1"/>
      <c r="I677" s="1"/>
      <c r="J677" s="1"/>
      <c r="K677" s="1"/>
      <c r="L677" s="1"/>
      <c r="M677" s="1"/>
      <c r="AU677" s="18"/>
      <c r="AV677" s="18"/>
    </row>
    <row r="678" spans="5:48" x14ac:dyDescent="0.2">
      <c r="E678" s="1"/>
      <c r="F678" s="1"/>
      <c r="G678" s="1"/>
      <c r="H678" s="1"/>
      <c r="I678" s="1"/>
      <c r="J678" s="1"/>
      <c r="K678" s="1"/>
      <c r="L678" s="1"/>
      <c r="M678" s="1"/>
      <c r="AU678" s="18"/>
      <c r="AV678" s="18"/>
    </row>
    <row r="679" spans="5:48" x14ac:dyDescent="0.2">
      <c r="E679" s="1"/>
      <c r="F679" s="1"/>
      <c r="G679" s="1"/>
      <c r="H679" s="1"/>
      <c r="I679" s="1"/>
      <c r="J679" s="1"/>
      <c r="K679" s="1"/>
      <c r="L679" s="1"/>
      <c r="M679" s="1"/>
      <c r="AU679" s="18"/>
      <c r="AV679" s="18"/>
    </row>
    <row r="680" spans="5:48" x14ac:dyDescent="0.2">
      <c r="E680" s="1"/>
      <c r="F680" s="1"/>
      <c r="G680" s="1"/>
      <c r="H680" s="1"/>
      <c r="I680" s="1"/>
      <c r="J680" s="1"/>
      <c r="K680" s="1"/>
      <c r="L680" s="1"/>
      <c r="M680" s="1"/>
      <c r="AU680" s="18"/>
      <c r="AV680" s="18"/>
    </row>
    <row r="681" spans="5:48" x14ac:dyDescent="0.2">
      <c r="E681" s="1"/>
      <c r="F681" s="1"/>
      <c r="G681" s="1"/>
      <c r="H681" s="1"/>
      <c r="I681" s="1"/>
      <c r="J681" s="1"/>
      <c r="K681" s="1"/>
      <c r="L681" s="1"/>
      <c r="M681" s="1"/>
      <c r="AU681" s="18"/>
      <c r="AV681" s="18"/>
    </row>
    <row r="682" spans="5:48" x14ac:dyDescent="0.2">
      <c r="E682" s="1"/>
      <c r="F682" s="1"/>
      <c r="G682" s="1"/>
      <c r="H682" s="1"/>
      <c r="I682" s="1"/>
      <c r="J682" s="1"/>
      <c r="K682" s="1"/>
      <c r="L682" s="1"/>
      <c r="M682" s="1"/>
      <c r="AU682" s="18"/>
      <c r="AV682" s="18"/>
    </row>
    <row r="683" spans="5:48" x14ac:dyDescent="0.2">
      <c r="E683" s="1"/>
      <c r="F683" s="1"/>
      <c r="G683" s="1"/>
      <c r="H683" s="1"/>
      <c r="I683" s="1"/>
      <c r="J683" s="1"/>
      <c r="K683" s="1"/>
      <c r="L683" s="1"/>
      <c r="M683" s="1"/>
      <c r="AU683" s="18"/>
      <c r="AV683" s="18"/>
    </row>
    <row r="684" spans="5:48" x14ac:dyDescent="0.2">
      <c r="E684" s="1"/>
      <c r="F684" s="1"/>
      <c r="G684" s="1"/>
      <c r="H684" s="1"/>
      <c r="I684" s="1"/>
      <c r="J684" s="1"/>
      <c r="K684" s="1"/>
      <c r="L684" s="1"/>
      <c r="M684" s="1"/>
      <c r="AU684" s="18"/>
      <c r="AV684" s="18"/>
    </row>
    <row r="685" spans="5:48" x14ac:dyDescent="0.2">
      <c r="E685" s="1"/>
      <c r="F685" s="1"/>
      <c r="G685" s="1"/>
      <c r="H685" s="1"/>
      <c r="I685" s="1"/>
      <c r="J685" s="1"/>
      <c r="K685" s="1"/>
      <c r="L685" s="1"/>
      <c r="M685" s="1"/>
      <c r="AU685" s="18"/>
      <c r="AV685" s="18"/>
    </row>
    <row r="686" spans="5:48" x14ac:dyDescent="0.2">
      <c r="E686" s="1"/>
      <c r="F686" s="1"/>
      <c r="G686" s="1"/>
      <c r="H686" s="1"/>
      <c r="I686" s="1"/>
      <c r="J686" s="1"/>
      <c r="K686" s="1"/>
      <c r="L686" s="1"/>
      <c r="M686" s="1"/>
      <c r="AU686" s="18"/>
      <c r="AV686" s="18"/>
    </row>
    <row r="687" spans="5:48" x14ac:dyDescent="0.2">
      <c r="E687" s="1"/>
      <c r="F687" s="1"/>
      <c r="G687" s="1"/>
      <c r="H687" s="1"/>
      <c r="I687" s="1"/>
      <c r="J687" s="1"/>
      <c r="K687" s="1"/>
      <c r="L687" s="1"/>
      <c r="M687" s="1"/>
      <c r="AU687" s="18"/>
      <c r="AV687" s="18"/>
    </row>
    <row r="688" spans="5:48" x14ac:dyDescent="0.2">
      <c r="E688" s="1"/>
      <c r="F688" s="1"/>
      <c r="G688" s="1"/>
      <c r="H688" s="1"/>
      <c r="I688" s="1"/>
      <c r="J688" s="1"/>
      <c r="K688" s="1"/>
      <c r="L688" s="1"/>
      <c r="M688" s="1"/>
      <c r="AU688" s="18"/>
      <c r="AV688" s="18"/>
    </row>
    <row r="689" spans="5:48" x14ac:dyDescent="0.2">
      <c r="E689" s="1"/>
      <c r="F689" s="1"/>
      <c r="G689" s="1"/>
      <c r="H689" s="1"/>
      <c r="I689" s="1"/>
      <c r="J689" s="1"/>
      <c r="K689" s="1"/>
      <c r="L689" s="1"/>
      <c r="M689" s="1"/>
      <c r="AU689" s="18"/>
      <c r="AV689" s="18"/>
    </row>
    <row r="690" spans="5:48" x14ac:dyDescent="0.2">
      <c r="E690" s="1"/>
      <c r="F690" s="1"/>
      <c r="G690" s="1"/>
      <c r="H690" s="1"/>
      <c r="I690" s="1"/>
      <c r="J690" s="1"/>
      <c r="K690" s="1"/>
      <c r="L690" s="1"/>
      <c r="M690" s="1"/>
      <c r="AU690" s="18"/>
      <c r="AV690" s="18"/>
    </row>
    <row r="691" spans="5:48" x14ac:dyDescent="0.2">
      <c r="E691" s="1"/>
      <c r="F691" s="1"/>
      <c r="G691" s="1"/>
      <c r="H691" s="1"/>
      <c r="I691" s="1"/>
      <c r="J691" s="1"/>
      <c r="K691" s="1"/>
      <c r="L691" s="1"/>
      <c r="M691" s="1"/>
      <c r="AU691" s="18"/>
      <c r="AV691" s="18"/>
    </row>
    <row r="692" spans="5:48" x14ac:dyDescent="0.2">
      <c r="E692" s="1"/>
      <c r="F692" s="1"/>
      <c r="G692" s="1"/>
      <c r="H692" s="1"/>
      <c r="I692" s="1"/>
      <c r="J692" s="1"/>
      <c r="K692" s="1"/>
      <c r="L692" s="1"/>
      <c r="M692" s="1"/>
      <c r="AU692" s="18"/>
      <c r="AV692" s="18"/>
    </row>
    <row r="693" spans="5:48" x14ac:dyDescent="0.2">
      <c r="E693" s="1"/>
      <c r="F693" s="1"/>
      <c r="G693" s="1"/>
      <c r="H693" s="1"/>
      <c r="I693" s="1"/>
      <c r="J693" s="1"/>
      <c r="K693" s="1"/>
      <c r="L693" s="1"/>
      <c r="M693" s="1"/>
      <c r="AU693" s="18"/>
      <c r="AV693" s="18"/>
    </row>
    <row r="694" spans="5:48" x14ac:dyDescent="0.2">
      <c r="E694" s="1"/>
      <c r="F694" s="1"/>
      <c r="G694" s="1"/>
      <c r="H694" s="1"/>
      <c r="I694" s="1"/>
      <c r="J694" s="1"/>
      <c r="K694" s="1"/>
      <c r="L694" s="1"/>
      <c r="M694" s="1"/>
      <c r="AU694" s="18"/>
      <c r="AV694" s="18"/>
    </row>
    <row r="695" spans="5:48" x14ac:dyDescent="0.2">
      <c r="E695" s="1"/>
      <c r="F695" s="1"/>
      <c r="G695" s="1"/>
      <c r="H695" s="1"/>
      <c r="I695" s="1"/>
      <c r="J695" s="1"/>
      <c r="K695" s="1"/>
      <c r="L695" s="1"/>
      <c r="M695" s="1"/>
      <c r="AU695" s="18"/>
      <c r="AV695" s="18"/>
    </row>
    <row r="696" spans="5:48" x14ac:dyDescent="0.2">
      <c r="E696" s="1"/>
      <c r="F696" s="1"/>
      <c r="G696" s="1"/>
      <c r="H696" s="1"/>
      <c r="I696" s="1"/>
      <c r="J696" s="1"/>
      <c r="K696" s="1"/>
      <c r="L696" s="1"/>
      <c r="M696" s="1"/>
      <c r="AU696" s="18"/>
      <c r="AV696" s="18"/>
    </row>
    <row r="697" spans="5:48" x14ac:dyDescent="0.2">
      <c r="E697" s="1"/>
      <c r="F697" s="1"/>
      <c r="G697" s="1"/>
      <c r="H697" s="1"/>
      <c r="I697" s="1"/>
      <c r="J697" s="1"/>
      <c r="K697" s="1"/>
      <c r="L697" s="1"/>
      <c r="M697" s="1"/>
      <c r="AU697" s="18"/>
      <c r="AV697" s="18"/>
    </row>
    <row r="698" spans="5:48" x14ac:dyDescent="0.2">
      <c r="E698" s="1"/>
      <c r="F698" s="1"/>
      <c r="G698" s="1"/>
      <c r="H698" s="1"/>
      <c r="I698" s="1"/>
      <c r="J698" s="1"/>
      <c r="K698" s="1"/>
      <c r="L698" s="1"/>
      <c r="M698" s="1"/>
      <c r="AU698" s="18"/>
      <c r="AV698" s="18"/>
    </row>
    <row r="699" spans="5:48" x14ac:dyDescent="0.2">
      <c r="E699" s="1"/>
      <c r="F699" s="1"/>
      <c r="G699" s="1"/>
      <c r="H699" s="1"/>
      <c r="I699" s="1"/>
      <c r="J699" s="1"/>
      <c r="K699" s="1"/>
      <c r="L699" s="1"/>
      <c r="M699" s="1"/>
      <c r="AU699" s="18"/>
      <c r="AV699" s="18"/>
    </row>
    <row r="700" spans="5:48" x14ac:dyDescent="0.2">
      <c r="E700" s="1"/>
      <c r="F700" s="1"/>
      <c r="G700" s="1"/>
      <c r="H700" s="1"/>
      <c r="I700" s="1"/>
      <c r="J700" s="1"/>
      <c r="K700" s="1"/>
      <c r="L700" s="1"/>
      <c r="M700" s="1"/>
      <c r="AU700" s="18"/>
      <c r="AV700" s="18"/>
    </row>
    <row r="701" spans="5:48" x14ac:dyDescent="0.2">
      <c r="E701" s="1"/>
      <c r="F701" s="1"/>
      <c r="G701" s="1"/>
      <c r="H701" s="1"/>
      <c r="I701" s="1"/>
      <c r="J701" s="1"/>
      <c r="K701" s="1"/>
      <c r="L701" s="1"/>
      <c r="M701" s="1"/>
      <c r="AU701" s="18"/>
      <c r="AV701" s="18"/>
    </row>
    <row r="702" spans="5:48" x14ac:dyDescent="0.2">
      <c r="E702" s="1"/>
      <c r="F702" s="1"/>
      <c r="G702" s="1"/>
      <c r="H702" s="1"/>
      <c r="I702" s="1"/>
      <c r="J702" s="1"/>
      <c r="K702" s="1"/>
      <c r="L702" s="1"/>
      <c r="M702" s="1"/>
      <c r="AU702" s="18"/>
      <c r="AV702" s="18"/>
    </row>
    <row r="703" spans="5:48" x14ac:dyDescent="0.2">
      <c r="E703" s="1"/>
      <c r="F703" s="1"/>
      <c r="G703" s="1"/>
      <c r="H703" s="1"/>
      <c r="I703" s="1"/>
      <c r="J703" s="1"/>
      <c r="K703" s="1"/>
      <c r="L703" s="1"/>
      <c r="M703" s="1"/>
      <c r="AU703" s="18"/>
      <c r="AV703" s="18"/>
    </row>
    <row r="704" spans="5:48" x14ac:dyDescent="0.2">
      <c r="E704" s="1"/>
      <c r="F704" s="1"/>
      <c r="G704" s="1"/>
      <c r="H704" s="1"/>
      <c r="I704" s="1"/>
      <c r="J704" s="1"/>
      <c r="K704" s="1"/>
      <c r="L704" s="1"/>
      <c r="M704" s="1"/>
      <c r="AU704" s="18"/>
      <c r="AV704" s="18"/>
    </row>
    <row r="705" spans="5:48" x14ac:dyDescent="0.2">
      <c r="E705" s="1"/>
      <c r="F705" s="1"/>
      <c r="G705" s="1"/>
      <c r="H705" s="1"/>
      <c r="I705" s="1"/>
      <c r="J705" s="1"/>
      <c r="K705" s="1"/>
      <c r="L705" s="1"/>
      <c r="M705" s="1"/>
      <c r="AU705" s="18"/>
      <c r="AV705" s="18"/>
    </row>
    <row r="706" spans="5:48" x14ac:dyDescent="0.2">
      <c r="E706" s="1"/>
      <c r="F706" s="1"/>
      <c r="G706" s="1"/>
      <c r="H706" s="1"/>
      <c r="I706" s="1"/>
      <c r="J706" s="1"/>
      <c r="K706" s="1"/>
      <c r="L706" s="1"/>
      <c r="M706" s="1"/>
      <c r="AU706" s="18"/>
      <c r="AV706" s="18"/>
    </row>
    <row r="707" spans="5:48" x14ac:dyDescent="0.2">
      <c r="E707" s="1"/>
      <c r="F707" s="1"/>
      <c r="G707" s="1"/>
      <c r="H707" s="1"/>
      <c r="I707" s="1"/>
      <c r="J707" s="1"/>
      <c r="K707" s="1"/>
      <c r="L707" s="1"/>
      <c r="M707" s="1"/>
      <c r="AU707" s="18"/>
      <c r="AV707" s="18"/>
    </row>
    <row r="708" spans="5:48" x14ac:dyDescent="0.2">
      <c r="E708" s="1"/>
      <c r="F708" s="1"/>
      <c r="G708" s="1"/>
      <c r="H708" s="1"/>
      <c r="I708" s="1"/>
      <c r="J708" s="1"/>
      <c r="K708" s="1"/>
      <c r="L708" s="1"/>
      <c r="M708" s="1"/>
      <c r="AU708" s="18"/>
      <c r="AV708" s="18"/>
    </row>
    <row r="709" spans="5:48" x14ac:dyDescent="0.2">
      <c r="E709" s="1"/>
      <c r="F709" s="1"/>
      <c r="G709" s="1"/>
      <c r="H709" s="1"/>
      <c r="I709" s="1"/>
      <c r="J709" s="1"/>
      <c r="K709" s="1"/>
      <c r="L709" s="1"/>
      <c r="M709" s="1"/>
      <c r="AU709" s="18"/>
      <c r="AV709" s="18"/>
    </row>
    <row r="710" spans="5:48" x14ac:dyDescent="0.2">
      <c r="E710" s="1"/>
      <c r="F710" s="1"/>
      <c r="G710" s="1"/>
      <c r="H710" s="1"/>
      <c r="I710" s="1"/>
      <c r="J710" s="1"/>
      <c r="K710" s="1"/>
      <c r="L710" s="1"/>
      <c r="M710" s="1"/>
      <c r="AU710" s="18"/>
      <c r="AV710" s="18"/>
    </row>
    <row r="711" spans="5:48" x14ac:dyDescent="0.2">
      <c r="E711" s="1"/>
      <c r="F711" s="1"/>
      <c r="G711" s="1"/>
      <c r="H711" s="1"/>
      <c r="I711" s="1"/>
      <c r="J711" s="1"/>
      <c r="K711" s="1"/>
      <c r="L711" s="1"/>
      <c r="M711" s="1"/>
      <c r="AU711" s="18"/>
      <c r="AV711" s="18"/>
    </row>
    <row r="712" spans="5:48" x14ac:dyDescent="0.2">
      <c r="E712" s="1"/>
      <c r="F712" s="1"/>
      <c r="G712" s="1"/>
      <c r="H712" s="1"/>
      <c r="I712" s="1"/>
      <c r="J712" s="1"/>
      <c r="K712" s="1"/>
      <c r="L712" s="1"/>
      <c r="M712" s="1"/>
      <c r="AU712" s="18"/>
      <c r="AV712" s="18"/>
    </row>
    <row r="713" spans="5:48" x14ac:dyDescent="0.2">
      <c r="E713" s="1"/>
      <c r="F713" s="1"/>
      <c r="G713" s="1"/>
      <c r="H713" s="1"/>
      <c r="I713" s="1"/>
      <c r="J713" s="1"/>
      <c r="K713" s="1"/>
      <c r="L713" s="1"/>
      <c r="M713" s="1"/>
      <c r="AU713" s="18"/>
      <c r="AV713" s="18"/>
    </row>
    <row r="714" spans="5:48" x14ac:dyDescent="0.2">
      <c r="E714" s="1"/>
      <c r="F714" s="1"/>
      <c r="G714" s="1"/>
      <c r="H714" s="1"/>
      <c r="I714" s="1"/>
      <c r="J714" s="1"/>
      <c r="K714" s="1"/>
      <c r="L714" s="1"/>
      <c r="M714" s="1"/>
      <c r="AU714" s="18"/>
      <c r="AV714" s="18"/>
    </row>
    <row r="715" spans="5:48" x14ac:dyDescent="0.2">
      <c r="E715" s="1"/>
      <c r="F715" s="1"/>
      <c r="G715" s="1"/>
      <c r="H715" s="1"/>
      <c r="I715" s="1"/>
      <c r="J715" s="1"/>
      <c r="K715" s="1"/>
      <c r="L715" s="1"/>
      <c r="M715" s="1"/>
      <c r="AU715" s="18"/>
      <c r="AV715" s="18"/>
    </row>
    <row r="716" spans="5:48" x14ac:dyDescent="0.2">
      <c r="E716" s="1"/>
      <c r="F716" s="1"/>
      <c r="G716" s="1"/>
      <c r="H716" s="1"/>
      <c r="I716" s="1"/>
      <c r="J716" s="1"/>
      <c r="K716" s="1"/>
      <c r="L716" s="1"/>
      <c r="M716" s="1"/>
      <c r="AU716" s="18"/>
      <c r="AV716" s="18"/>
    </row>
    <row r="717" spans="5:48" x14ac:dyDescent="0.2">
      <c r="E717" s="1"/>
      <c r="F717" s="1"/>
      <c r="G717" s="1"/>
      <c r="H717" s="1"/>
      <c r="I717" s="1"/>
      <c r="J717" s="1"/>
      <c r="K717" s="1"/>
      <c r="L717" s="1"/>
      <c r="M717" s="1"/>
      <c r="AU717" s="18"/>
      <c r="AV717" s="18"/>
    </row>
    <row r="718" spans="5:48" x14ac:dyDescent="0.2">
      <c r="E718" s="1"/>
      <c r="F718" s="1"/>
      <c r="G718" s="1"/>
      <c r="H718" s="1"/>
      <c r="I718" s="1"/>
      <c r="J718" s="1"/>
      <c r="K718" s="1"/>
      <c r="L718" s="1"/>
      <c r="M718" s="1"/>
      <c r="AU718" s="18"/>
      <c r="AV718" s="18"/>
    </row>
    <row r="719" spans="5:48" x14ac:dyDescent="0.2">
      <c r="E719" s="1"/>
      <c r="F719" s="1"/>
      <c r="G719" s="1"/>
      <c r="H719" s="1"/>
      <c r="I719" s="1"/>
      <c r="J719" s="1"/>
      <c r="K719" s="1"/>
      <c r="L719" s="1"/>
      <c r="M719" s="1"/>
      <c r="AU719" s="18"/>
      <c r="AV719" s="18"/>
    </row>
    <row r="720" spans="5:48" x14ac:dyDescent="0.2">
      <c r="E720" s="1"/>
      <c r="F720" s="1"/>
      <c r="G720" s="1"/>
      <c r="H720" s="1"/>
      <c r="I720" s="1"/>
      <c r="J720" s="1"/>
      <c r="K720" s="1"/>
      <c r="L720" s="1"/>
      <c r="M720" s="1"/>
      <c r="AU720" s="18"/>
      <c r="AV720" s="18"/>
    </row>
    <row r="721" spans="5:48" x14ac:dyDescent="0.2">
      <c r="E721" s="1"/>
      <c r="F721" s="1"/>
      <c r="G721" s="1"/>
      <c r="H721" s="1"/>
      <c r="I721" s="1"/>
      <c r="J721" s="1"/>
      <c r="K721" s="1"/>
      <c r="L721" s="1"/>
      <c r="M721" s="1"/>
      <c r="AU721" s="18"/>
      <c r="AV721" s="18"/>
    </row>
    <row r="722" spans="5:48" x14ac:dyDescent="0.2">
      <c r="E722" s="1"/>
      <c r="F722" s="1"/>
      <c r="G722" s="1"/>
      <c r="H722" s="1"/>
      <c r="I722" s="1"/>
      <c r="J722" s="1"/>
      <c r="K722" s="1"/>
      <c r="L722" s="1"/>
      <c r="M722" s="1"/>
      <c r="AU722" s="18"/>
      <c r="AV722" s="18"/>
    </row>
    <row r="723" spans="5:48" x14ac:dyDescent="0.2">
      <c r="E723" s="1"/>
      <c r="F723" s="1"/>
      <c r="G723" s="1"/>
      <c r="H723" s="1"/>
      <c r="I723" s="1"/>
      <c r="J723" s="1"/>
      <c r="K723" s="1"/>
      <c r="L723" s="1"/>
      <c r="M723" s="1"/>
      <c r="AU723" s="18"/>
      <c r="AV723" s="18"/>
    </row>
    <row r="724" spans="5:48" x14ac:dyDescent="0.2">
      <c r="E724" s="1"/>
      <c r="F724" s="1"/>
      <c r="G724" s="1"/>
      <c r="H724" s="1"/>
      <c r="I724" s="1"/>
      <c r="J724" s="1"/>
      <c r="K724" s="1"/>
      <c r="L724" s="1"/>
      <c r="M724" s="1"/>
      <c r="AU724" s="18"/>
      <c r="AV724" s="18"/>
    </row>
    <row r="725" spans="5:48" x14ac:dyDescent="0.2">
      <c r="E725" s="1"/>
      <c r="F725" s="1"/>
      <c r="G725" s="1"/>
      <c r="H725" s="1"/>
      <c r="I725" s="1"/>
      <c r="J725" s="1"/>
      <c r="K725" s="1"/>
      <c r="L725" s="1"/>
      <c r="M725" s="1"/>
      <c r="AU725" s="18"/>
      <c r="AV725" s="18"/>
    </row>
    <row r="726" spans="5:48" x14ac:dyDescent="0.2">
      <c r="E726" s="1"/>
      <c r="F726" s="1"/>
      <c r="G726" s="1"/>
      <c r="H726" s="1"/>
      <c r="I726" s="1"/>
      <c r="J726" s="1"/>
      <c r="K726" s="1"/>
      <c r="L726" s="1"/>
      <c r="M726" s="1"/>
      <c r="AU726" s="18"/>
      <c r="AV726" s="18"/>
    </row>
    <row r="727" spans="5:48" x14ac:dyDescent="0.2">
      <c r="E727" s="1"/>
      <c r="F727" s="1"/>
      <c r="G727" s="1"/>
      <c r="H727" s="1"/>
      <c r="I727" s="1"/>
      <c r="J727" s="1"/>
      <c r="K727" s="1"/>
      <c r="L727" s="1"/>
      <c r="M727" s="1"/>
      <c r="AU727" s="18"/>
      <c r="AV727" s="18"/>
    </row>
    <row r="728" spans="5:48" x14ac:dyDescent="0.2">
      <c r="E728" s="1"/>
      <c r="F728" s="1"/>
      <c r="G728" s="1"/>
      <c r="H728" s="1"/>
      <c r="I728" s="1"/>
      <c r="J728" s="1"/>
      <c r="K728" s="1"/>
      <c r="L728" s="1"/>
      <c r="M728" s="1"/>
      <c r="AU728" s="18"/>
      <c r="AV728" s="18"/>
    </row>
    <row r="729" spans="5:48" x14ac:dyDescent="0.2">
      <c r="E729" s="1"/>
      <c r="F729" s="1"/>
      <c r="G729" s="1"/>
      <c r="H729" s="1"/>
      <c r="I729" s="1"/>
      <c r="J729" s="1"/>
      <c r="K729" s="1"/>
      <c r="L729" s="1"/>
      <c r="M729" s="1"/>
      <c r="AU729" s="18"/>
      <c r="AV729" s="18"/>
    </row>
    <row r="730" spans="5:48" x14ac:dyDescent="0.2">
      <c r="E730" s="1"/>
      <c r="F730" s="1"/>
      <c r="G730" s="1"/>
      <c r="H730" s="1"/>
      <c r="I730" s="1"/>
      <c r="J730" s="1"/>
      <c r="K730" s="1"/>
      <c r="L730" s="1"/>
      <c r="M730" s="1"/>
      <c r="AU730" s="18"/>
      <c r="AV730" s="18"/>
    </row>
    <row r="731" spans="5:48" x14ac:dyDescent="0.2">
      <c r="E731" s="1"/>
      <c r="F731" s="1"/>
      <c r="G731" s="1"/>
      <c r="H731" s="1"/>
      <c r="I731" s="1"/>
      <c r="J731" s="1"/>
      <c r="K731" s="1"/>
      <c r="L731" s="1"/>
      <c r="M731" s="1"/>
      <c r="AU731" s="18"/>
      <c r="AV731" s="18"/>
    </row>
    <row r="732" spans="5:48" x14ac:dyDescent="0.2">
      <c r="E732" s="1"/>
      <c r="F732" s="1"/>
      <c r="G732" s="1"/>
      <c r="H732" s="1"/>
      <c r="I732" s="1"/>
      <c r="J732" s="1"/>
      <c r="K732" s="1"/>
      <c r="L732" s="1"/>
      <c r="M732" s="1"/>
      <c r="AU732" s="18"/>
      <c r="AV732" s="18"/>
    </row>
    <row r="733" spans="5:48" x14ac:dyDescent="0.2">
      <c r="E733" s="1"/>
      <c r="F733" s="1"/>
      <c r="G733" s="1"/>
      <c r="H733" s="1"/>
      <c r="I733" s="1"/>
      <c r="J733" s="1"/>
      <c r="K733" s="1"/>
      <c r="L733" s="1"/>
      <c r="M733" s="1"/>
      <c r="AU733" s="18"/>
      <c r="AV733" s="18"/>
    </row>
    <row r="734" spans="5:48" x14ac:dyDescent="0.2">
      <c r="E734" s="1"/>
      <c r="F734" s="1"/>
      <c r="G734" s="1"/>
      <c r="H734" s="1"/>
      <c r="I734" s="1"/>
      <c r="J734" s="1"/>
      <c r="K734" s="1"/>
      <c r="L734" s="1"/>
      <c r="M734" s="1"/>
      <c r="AU734" s="18"/>
      <c r="AV734" s="18"/>
    </row>
    <row r="735" spans="5:48" x14ac:dyDescent="0.2">
      <c r="E735" s="1"/>
      <c r="F735" s="1"/>
      <c r="G735" s="1"/>
      <c r="H735" s="1"/>
      <c r="I735" s="1"/>
      <c r="J735" s="1"/>
      <c r="K735" s="1"/>
      <c r="L735" s="1"/>
      <c r="M735" s="1"/>
      <c r="AU735" s="18"/>
      <c r="AV735" s="18"/>
    </row>
    <row r="736" spans="5:48" x14ac:dyDescent="0.2">
      <c r="E736" s="1"/>
      <c r="F736" s="1"/>
      <c r="G736" s="1"/>
      <c r="H736" s="1"/>
      <c r="I736" s="1"/>
      <c r="J736" s="1"/>
      <c r="K736" s="1"/>
      <c r="L736" s="1"/>
      <c r="M736" s="1"/>
      <c r="AU736" s="18"/>
      <c r="AV736" s="18"/>
    </row>
    <row r="737" spans="5:48" x14ac:dyDescent="0.2">
      <c r="E737" s="1"/>
      <c r="F737" s="1"/>
      <c r="G737" s="1"/>
      <c r="H737" s="1"/>
      <c r="I737" s="1"/>
      <c r="J737" s="1"/>
      <c r="K737" s="1"/>
      <c r="L737" s="1"/>
      <c r="M737" s="1"/>
      <c r="AU737" s="18"/>
      <c r="AV737" s="18"/>
    </row>
    <row r="738" spans="5:48" x14ac:dyDescent="0.2">
      <c r="E738" s="1"/>
      <c r="F738" s="1"/>
      <c r="G738" s="1"/>
      <c r="H738" s="1"/>
      <c r="I738" s="1"/>
      <c r="J738" s="1"/>
      <c r="K738" s="1"/>
      <c r="L738" s="1"/>
      <c r="M738" s="1"/>
      <c r="AU738" s="18"/>
      <c r="AV738" s="18"/>
    </row>
    <row r="739" spans="5:48" x14ac:dyDescent="0.2">
      <c r="E739" s="1"/>
      <c r="F739" s="1"/>
      <c r="G739" s="1"/>
      <c r="H739" s="1"/>
      <c r="I739" s="1"/>
      <c r="J739" s="1"/>
      <c r="K739" s="1"/>
      <c r="L739" s="1"/>
      <c r="M739" s="1"/>
      <c r="AU739" s="18"/>
      <c r="AV739" s="18"/>
    </row>
    <row r="740" spans="5:48" x14ac:dyDescent="0.2">
      <c r="E740" s="1"/>
      <c r="F740" s="1"/>
      <c r="G740" s="1"/>
      <c r="H740" s="1"/>
      <c r="I740" s="1"/>
      <c r="J740" s="1"/>
      <c r="K740" s="1"/>
      <c r="L740" s="1"/>
      <c r="M740" s="1"/>
      <c r="AU740" s="18"/>
      <c r="AV740" s="18"/>
    </row>
    <row r="741" spans="5:48" x14ac:dyDescent="0.2">
      <c r="E741" s="1"/>
      <c r="F741" s="1"/>
      <c r="G741" s="1"/>
      <c r="H741" s="1"/>
      <c r="I741" s="1"/>
      <c r="J741" s="1"/>
      <c r="K741" s="1"/>
      <c r="L741" s="1"/>
      <c r="M741" s="1"/>
      <c r="AU741" s="18"/>
      <c r="AV741" s="18"/>
    </row>
    <row r="742" spans="5:48" x14ac:dyDescent="0.2">
      <c r="E742" s="1"/>
      <c r="F742" s="1"/>
      <c r="G742" s="1"/>
      <c r="H742" s="1"/>
      <c r="I742" s="1"/>
      <c r="J742" s="1"/>
      <c r="K742" s="1"/>
      <c r="L742" s="1"/>
      <c r="M742" s="1"/>
      <c r="AU742" s="18"/>
      <c r="AV742" s="18"/>
    </row>
    <row r="743" spans="5:48" x14ac:dyDescent="0.2">
      <c r="E743" s="1"/>
      <c r="F743" s="1"/>
      <c r="G743" s="1"/>
      <c r="H743" s="1"/>
      <c r="I743" s="1"/>
      <c r="J743" s="1"/>
      <c r="K743" s="1"/>
      <c r="L743" s="1"/>
      <c r="M743" s="1"/>
      <c r="AU743" s="18"/>
      <c r="AV743" s="18"/>
    </row>
    <row r="744" spans="5:48" x14ac:dyDescent="0.2">
      <c r="E744" s="1"/>
      <c r="F744" s="1"/>
      <c r="G744" s="1"/>
      <c r="H744" s="1"/>
      <c r="I744" s="1"/>
      <c r="J744" s="1"/>
      <c r="K744" s="1"/>
      <c r="L744" s="1"/>
      <c r="M744" s="1"/>
      <c r="AU744" s="18"/>
      <c r="AV744" s="18"/>
    </row>
    <row r="745" spans="5:48" x14ac:dyDescent="0.2">
      <c r="E745" s="1"/>
      <c r="F745" s="1"/>
      <c r="G745" s="1"/>
      <c r="H745" s="1"/>
      <c r="I745" s="1"/>
      <c r="J745" s="1"/>
      <c r="K745" s="1"/>
      <c r="L745" s="1"/>
      <c r="M745" s="1"/>
      <c r="AU745" s="18"/>
      <c r="AV745" s="18"/>
    </row>
    <row r="746" spans="5:48" x14ac:dyDescent="0.2">
      <c r="E746" s="1"/>
      <c r="F746" s="1"/>
      <c r="G746" s="1"/>
      <c r="H746" s="1"/>
      <c r="I746" s="1"/>
      <c r="J746" s="1"/>
      <c r="K746" s="1"/>
      <c r="L746" s="1"/>
      <c r="M746" s="1"/>
      <c r="AU746" s="18"/>
      <c r="AV746" s="18"/>
    </row>
    <row r="747" spans="5:48" x14ac:dyDescent="0.2">
      <c r="E747" s="1"/>
      <c r="F747" s="1"/>
      <c r="G747" s="1"/>
      <c r="H747" s="1"/>
      <c r="I747" s="1"/>
      <c r="J747" s="1"/>
      <c r="K747" s="1"/>
      <c r="L747" s="1"/>
      <c r="M747" s="1"/>
      <c r="AU747" s="18"/>
      <c r="AV747" s="18"/>
    </row>
    <row r="748" spans="5:48" x14ac:dyDescent="0.2">
      <c r="E748" s="1"/>
      <c r="F748" s="1"/>
      <c r="G748" s="1"/>
      <c r="H748" s="1"/>
      <c r="I748" s="1"/>
      <c r="J748" s="1"/>
      <c r="K748" s="1"/>
      <c r="L748" s="1"/>
      <c r="M748" s="1"/>
      <c r="AU748" s="18"/>
      <c r="AV748" s="18"/>
    </row>
    <row r="749" spans="5:48" x14ac:dyDescent="0.2">
      <c r="E749" s="1"/>
      <c r="F749" s="1"/>
      <c r="G749" s="1"/>
      <c r="H749" s="1"/>
      <c r="I749" s="1"/>
      <c r="J749" s="1"/>
      <c r="K749" s="1"/>
      <c r="L749" s="1"/>
      <c r="M749" s="1"/>
      <c r="AU749" s="18"/>
      <c r="AV749" s="18"/>
    </row>
    <row r="750" spans="5:48" x14ac:dyDescent="0.2">
      <c r="E750" s="1"/>
      <c r="F750" s="1"/>
      <c r="G750" s="1"/>
      <c r="H750" s="1"/>
      <c r="I750" s="1"/>
      <c r="J750" s="1"/>
      <c r="K750" s="1"/>
      <c r="L750" s="1"/>
      <c r="M750" s="1"/>
      <c r="AU750" s="18"/>
      <c r="AV750" s="18"/>
    </row>
    <row r="751" spans="5:48" x14ac:dyDescent="0.2">
      <c r="E751" s="1"/>
      <c r="F751" s="1"/>
      <c r="G751" s="1"/>
      <c r="H751" s="1"/>
      <c r="I751" s="1"/>
      <c r="J751" s="1"/>
      <c r="K751" s="1"/>
      <c r="L751" s="1"/>
      <c r="M751" s="1"/>
      <c r="AU751" s="18"/>
      <c r="AV751" s="18"/>
    </row>
    <row r="752" spans="5:48" x14ac:dyDescent="0.2">
      <c r="E752" s="1"/>
      <c r="F752" s="1"/>
      <c r="G752" s="1"/>
      <c r="H752" s="1"/>
      <c r="I752" s="1"/>
      <c r="J752" s="1"/>
      <c r="K752" s="1"/>
      <c r="L752" s="1"/>
      <c r="M752" s="1"/>
      <c r="AU752" s="18"/>
      <c r="AV752" s="18"/>
    </row>
    <row r="753" spans="5:48" x14ac:dyDescent="0.2">
      <c r="E753" s="1"/>
      <c r="F753" s="1"/>
      <c r="G753" s="1"/>
      <c r="H753" s="1"/>
      <c r="I753" s="1"/>
      <c r="J753" s="1"/>
      <c r="K753" s="1"/>
      <c r="L753" s="1"/>
      <c r="M753" s="1"/>
      <c r="AU753" s="18"/>
      <c r="AV753" s="18"/>
    </row>
    <row r="754" spans="5:48" x14ac:dyDescent="0.2">
      <c r="E754" s="1"/>
      <c r="F754" s="1"/>
      <c r="G754" s="1"/>
      <c r="H754" s="1"/>
      <c r="I754" s="1"/>
      <c r="J754" s="1"/>
      <c r="K754" s="1"/>
      <c r="L754" s="1"/>
      <c r="M754" s="1"/>
      <c r="AU754" s="18"/>
      <c r="AV754" s="18"/>
    </row>
    <row r="755" spans="5:48" x14ac:dyDescent="0.2">
      <c r="E755" s="1"/>
      <c r="F755" s="1"/>
      <c r="G755" s="1"/>
      <c r="H755" s="1"/>
      <c r="I755" s="1"/>
      <c r="J755" s="1"/>
      <c r="K755" s="1"/>
      <c r="L755" s="1"/>
      <c r="M755" s="1"/>
      <c r="AU755" s="18"/>
      <c r="AV755" s="18"/>
    </row>
    <row r="756" spans="5:48" x14ac:dyDescent="0.2">
      <c r="E756" s="1"/>
      <c r="F756" s="1"/>
      <c r="G756" s="1"/>
      <c r="H756" s="1"/>
      <c r="I756" s="1"/>
      <c r="J756" s="1"/>
      <c r="K756" s="1"/>
      <c r="L756" s="1"/>
      <c r="M756" s="1"/>
      <c r="AU756" s="18"/>
      <c r="AV756" s="18"/>
    </row>
    <row r="757" spans="5:48" x14ac:dyDescent="0.2">
      <c r="E757" s="1"/>
      <c r="F757" s="1"/>
      <c r="G757" s="1"/>
      <c r="H757" s="1"/>
      <c r="I757" s="1"/>
      <c r="J757" s="1"/>
      <c r="K757" s="1"/>
      <c r="L757" s="1"/>
      <c r="M757" s="1"/>
      <c r="AU757" s="18"/>
      <c r="AV757" s="18"/>
    </row>
    <row r="758" spans="5:48" x14ac:dyDescent="0.2">
      <c r="E758" s="1"/>
      <c r="F758" s="1"/>
      <c r="G758" s="1"/>
      <c r="H758" s="1"/>
      <c r="I758" s="1"/>
      <c r="J758" s="1"/>
      <c r="K758" s="1"/>
      <c r="L758" s="1"/>
      <c r="M758" s="1"/>
      <c r="AU758" s="18"/>
      <c r="AV758" s="18"/>
    </row>
    <row r="759" spans="5:48" x14ac:dyDescent="0.2">
      <c r="E759" s="1"/>
      <c r="F759" s="1"/>
      <c r="G759" s="1"/>
      <c r="H759" s="1"/>
      <c r="I759" s="1"/>
      <c r="J759" s="1"/>
      <c r="K759" s="1"/>
      <c r="L759" s="1"/>
      <c r="M759" s="1"/>
      <c r="AU759" s="18"/>
      <c r="AV759" s="18"/>
    </row>
    <row r="760" spans="5:48" x14ac:dyDescent="0.2">
      <c r="E760" s="1"/>
      <c r="F760" s="1"/>
      <c r="G760" s="1"/>
      <c r="H760" s="1"/>
      <c r="I760" s="1"/>
      <c r="J760" s="1"/>
      <c r="K760" s="1"/>
      <c r="L760" s="1"/>
      <c r="M760" s="1"/>
      <c r="AU760" s="18"/>
      <c r="AV760" s="18"/>
    </row>
    <row r="761" spans="5:48" x14ac:dyDescent="0.2">
      <c r="E761" s="1"/>
      <c r="F761" s="1"/>
      <c r="G761" s="1"/>
      <c r="H761" s="1"/>
      <c r="I761" s="1"/>
      <c r="J761" s="1"/>
      <c r="K761" s="1"/>
      <c r="L761" s="1"/>
      <c r="M761" s="1"/>
      <c r="AU761" s="18"/>
      <c r="AV761" s="18"/>
    </row>
    <row r="762" spans="5:48" x14ac:dyDescent="0.2">
      <c r="E762" s="1"/>
      <c r="F762" s="1"/>
      <c r="G762" s="1"/>
      <c r="H762" s="1"/>
      <c r="I762" s="1"/>
      <c r="J762" s="1"/>
      <c r="K762" s="1"/>
      <c r="L762" s="1"/>
      <c r="M762" s="1"/>
      <c r="AU762" s="18"/>
      <c r="AV762" s="18"/>
    </row>
    <row r="763" spans="5:48" x14ac:dyDescent="0.2">
      <c r="E763" s="1"/>
      <c r="F763" s="1"/>
      <c r="G763" s="1"/>
      <c r="H763" s="1"/>
      <c r="I763" s="1"/>
      <c r="J763" s="1"/>
      <c r="K763" s="1"/>
      <c r="L763" s="1"/>
      <c r="M763" s="1"/>
      <c r="AU763" s="18"/>
      <c r="AV763" s="18"/>
    </row>
    <row r="764" spans="5:48" x14ac:dyDescent="0.2">
      <c r="E764" s="1"/>
      <c r="F764" s="1"/>
      <c r="G764" s="1"/>
      <c r="H764" s="1"/>
      <c r="I764" s="1"/>
      <c r="J764" s="1"/>
      <c r="K764" s="1"/>
      <c r="L764" s="1"/>
      <c r="M764" s="1"/>
      <c r="AU764" s="18"/>
      <c r="AV764" s="18"/>
    </row>
    <row r="765" spans="5:48" x14ac:dyDescent="0.2">
      <c r="E765" s="1"/>
      <c r="F765" s="1"/>
      <c r="G765" s="1"/>
      <c r="H765" s="1"/>
      <c r="I765" s="1"/>
      <c r="J765" s="1"/>
      <c r="K765" s="1"/>
      <c r="L765" s="1"/>
      <c r="M765" s="1"/>
      <c r="AU765" s="18"/>
      <c r="AV765" s="18"/>
    </row>
    <row r="766" spans="5:48" x14ac:dyDescent="0.2">
      <c r="E766" s="1"/>
      <c r="F766" s="1"/>
      <c r="G766" s="1"/>
      <c r="H766" s="1"/>
      <c r="I766" s="1"/>
      <c r="J766" s="1"/>
      <c r="K766" s="1"/>
      <c r="L766" s="1"/>
      <c r="M766" s="1"/>
      <c r="AU766" s="18"/>
      <c r="AV766" s="18"/>
    </row>
    <row r="767" spans="5:48" x14ac:dyDescent="0.2">
      <c r="E767" s="1"/>
      <c r="F767" s="1"/>
      <c r="G767" s="1"/>
      <c r="H767" s="1"/>
      <c r="I767" s="1"/>
      <c r="J767" s="1"/>
      <c r="K767" s="1"/>
      <c r="L767" s="1"/>
      <c r="M767" s="1"/>
      <c r="AU767" s="18"/>
      <c r="AV767" s="18"/>
    </row>
    <row r="768" spans="5:48" x14ac:dyDescent="0.2">
      <c r="E768" s="1"/>
      <c r="F768" s="1"/>
      <c r="G768" s="1"/>
      <c r="H768" s="1"/>
      <c r="I768" s="1"/>
      <c r="J768" s="1"/>
      <c r="K768" s="1"/>
      <c r="L768" s="1"/>
      <c r="M768" s="1"/>
      <c r="AU768" s="18"/>
      <c r="AV768" s="18"/>
    </row>
    <row r="769" spans="5:48" x14ac:dyDescent="0.2">
      <c r="E769" s="1"/>
      <c r="F769" s="1"/>
      <c r="G769" s="1"/>
      <c r="H769" s="1"/>
      <c r="I769" s="1"/>
      <c r="J769" s="1"/>
      <c r="K769" s="1"/>
      <c r="L769" s="1"/>
      <c r="M769" s="1"/>
      <c r="AU769" s="18"/>
      <c r="AV769" s="18"/>
    </row>
    <row r="770" spans="5:48" x14ac:dyDescent="0.2">
      <c r="E770" s="1"/>
      <c r="F770" s="1"/>
      <c r="G770" s="1"/>
      <c r="H770" s="1"/>
      <c r="I770" s="1"/>
      <c r="J770" s="1"/>
      <c r="K770" s="1"/>
      <c r="L770" s="1"/>
      <c r="M770" s="1"/>
      <c r="AU770" s="18"/>
      <c r="AV770" s="18"/>
    </row>
    <row r="771" spans="5:48" x14ac:dyDescent="0.2">
      <c r="E771" s="1"/>
      <c r="F771" s="1"/>
      <c r="G771" s="1"/>
      <c r="H771" s="1"/>
      <c r="I771" s="1"/>
      <c r="J771" s="1"/>
      <c r="K771" s="1"/>
      <c r="L771" s="1"/>
      <c r="M771" s="1"/>
      <c r="AU771" s="18"/>
      <c r="AV771" s="18"/>
    </row>
    <row r="772" spans="5:48" x14ac:dyDescent="0.2">
      <c r="E772" s="1"/>
      <c r="F772" s="1"/>
      <c r="G772" s="1"/>
      <c r="H772" s="1"/>
      <c r="I772" s="1"/>
      <c r="J772" s="1"/>
      <c r="K772" s="1"/>
      <c r="L772" s="1"/>
      <c r="M772" s="1"/>
      <c r="AU772" s="18"/>
      <c r="AV772" s="18"/>
    </row>
    <row r="773" spans="5:48" x14ac:dyDescent="0.2">
      <c r="E773" s="1"/>
      <c r="F773" s="1"/>
      <c r="G773" s="1"/>
      <c r="H773" s="1"/>
      <c r="I773" s="1"/>
      <c r="J773" s="1"/>
      <c r="K773" s="1"/>
      <c r="L773" s="1"/>
      <c r="M773" s="1"/>
      <c r="AU773" s="18"/>
      <c r="AV773" s="18"/>
    </row>
    <row r="774" spans="5:48" x14ac:dyDescent="0.2">
      <c r="E774" s="1"/>
      <c r="F774" s="1"/>
      <c r="G774" s="1"/>
      <c r="H774" s="1"/>
      <c r="I774" s="1"/>
      <c r="J774" s="1"/>
      <c r="K774" s="1"/>
      <c r="L774" s="1"/>
      <c r="M774" s="1"/>
      <c r="AU774" s="18"/>
      <c r="AV774" s="18"/>
    </row>
    <row r="775" spans="5:48" x14ac:dyDescent="0.2">
      <c r="E775" s="1"/>
      <c r="F775" s="1"/>
      <c r="G775" s="1"/>
      <c r="H775" s="1"/>
      <c r="I775" s="1"/>
      <c r="J775" s="1"/>
      <c r="K775" s="1"/>
      <c r="L775" s="1"/>
      <c r="M775" s="1"/>
      <c r="AU775" s="18"/>
      <c r="AV775" s="18"/>
    </row>
    <row r="776" spans="5:48" x14ac:dyDescent="0.2">
      <c r="E776" s="1"/>
      <c r="F776" s="1"/>
      <c r="G776" s="1"/>
      <c r="H776" s="1"/>
      <c r="I776" s="1"/>
      <c r="J776" s="1"/>
      <c r="K776" s="1"/>
      <c r="L776" s="1"/>
      <c r="M776" s="1"/>
      <c r="AU776" s="18"/>
      <c r="AV776" s="18"/>
    </row>
    <row r="777" spans="5:48" x14ac:dyDescent="0.2">
      <c r="E777" s="1"/>
      <c r="F777" s="1"/>
      <c r="G777" s="1"/>
      <c r="H777" s="1"/>
      <c r="I777" s="1"/>
      <c r="J777" s="1"/>
      <c r="K777" s="1"/>
      <c r="L777" s="1"/>
      <c r="M777" s="1"/>
      <c r="AU777" s="18"/>
      <c r="AV777" s="18"/>
    </row>
    <row r="778" spans="5:48" x14ac:dyDescent="0.2">
      <c r="E778" s="1"/>
      <c r="F778" s="1"/>
      <c r="G778" s="1"/>
      <c r="H778" s="1"/>
      <c r="I778" s="1"/>
      <c r="J778" s="1"/>
      <c r="K778" s="1"/>
      <c r="L778" s="1"/>
      <c r="M778" s="1"/>
      <c r="AU778" s="18"/>
      <c r="AV778" s="18"/>
    </row>
    <row r="779" spans="5:48" x14ac:dyDescent="0.2">
      <c r="E779" s="1"/>
      <c r="F779" s="1"/>
      <c r="G779" s="1"/>
      <c r="H779" s="1"/>
      <c r="I779" s="1"/>
      <c r="J779" s="1"/>
      <c r="K779" s="1"/>
      <c r="L779" s="1"/>
      <c r="M779" s="1"/>
      <c r="AU779" s="18"/>
      <c r="AV779" s="18"/>
    </row>
    <row r="780" spans="5:48" x14ac:dyDescent="0.2">
      <c r="E780" s="1"/>
      <c r="F780" s="1"/>
      <c r="G780" s="1"/>
      <c r="H780" s="1"/>
      <c r="I780" s="1"/>
      <c r="J780" s="1"/>
      <c r="K780" s="1"/>
      <c r="L780" s="1"/>
      <c r="M780" s="1"/>
      <c r="AU780" s="18"/>
      <c r="AV780" s="18"/>
    </row>
    <row r="781" spans="5:48" x14ac:dyDescent="0.2">
      <c r="E781" s="1"/>
      <c r="F781" s="1"/>
      <c r="G781" s="1"/>
      <c r="H781" s="1"/>
      <c r="I781" s="1"/>
      <c r="J781" s="1"/>
      <c r="K781" s="1"/>
      <c r="L781" s="1"/>
      <c r="M781" s="1"/>
      <c r="AU781" s="18"/>
      <c r="AV781" s="18"/>
    </row>
    <row r="782" spans="5:48" x14ac:dyDescent="0.2">
      <c r="E782" s="1"/>
      <c r="F782" s="1"/>
      <c r="G782" s="1"/>
      <c r="H782" s="1"/>
      <c r="I782" s="1"/>
      <c r="J782" s="1"/>
      <c r="K782" s="1"/>
      <c r="L782" s="1"/>
      <c r="M782" s="1"/>
      <c r="AU782" s="18"/>
      <c r="AV782" s="18"/>
    </row>
    <row r="783" spans="5:48" x14ac:dyDescent="0.2">
      <c r="E783" s="1"/>
      <c r="F783" s="1"/>
      <c r="G783" s="1"/>
      <c r="H783" s="1"/>
      <c r="I783" s="1"/>
      <c r="J783" s="1"/>
      <c r="K783" s="1"/>
      <c r="L783" s="1"/>
      <c r="M783" s="1"/>
      <c r="AU783" s="18"/>
      <c r="AV783" s="18"/>
    </row>
    <row r="784" spans="5:48" x14ac:dyDescent="0.2">
      <c r="E784" s="1"/>
      <c r="F784" s="1"/>
      <c r="G784" s="1"/>
      <c r="H784" s="1"/>
      <c r="I784" s="1"/>
      <c r="J784" s="1"/>
      <c r="K784" s="1"/>
      <c r="L784" s="1"/>
      <c r="M784" s="1"/>
      <c r="AU784" s="18"/>
      <c r="AV784" s="18"/>
    </row>
    <row r="785" spans="5:48" x14ac:dyDescent="0.2">
      <c r="E785" s="1"/>
      <c r="F785" s="1"/>
      <c r="G785" s="1"/>
      <c r="H785" s="1"/>
      <c r="I785" s="1"/>
      <c r="J785" s="1"/>
      <c r="K785" s="1"/>
      <c r="L785" s="1"/>
      <c r="M785" s="1"/>
      <c r="AU785" s="18"/>
      <c r="AV785" s="18"/>
    </row>
    <row r="786" spans="5:48" x14ac:dyDescent="0.2">
      <c r="E786" s="1"/>
      <c r="F786" s="1"/>
      <c r="G786" s="1"/>
      <c r="H786" s="1"/>
      <c r="I786" s="1"/>
      <c r="J786" s="1"/>
      <c r="K786" s="1"/>
      <c r="L786" s="1"/>
      <c r="M786" s="1"/>
      <c r="AU786" s="18"/>
      <c r="AV786" s="18"/>
    </row>
    <row r="787" spans="5:48" x14ac:dyDescent="0.2">
      <c r="E787" s="1"/>
      <c r="F787" s="1"/>
      <c r="G787" s="1"/>
      <c r="H787" s="1"/>
      <c r="I787" s="1"/>
      <c r="J787" s="1"/>
      <c r="K787" s="1"/>
      <c r="L787" s="1"/>
      <c r="M787" s="1"/>
      <c r="AU787" s="18"/>
      <c r="AV787" s="18"/>
    </row>
    <row r="788" spans="5:48" x14ac:dyDescent="0.2">
      <c r="E788" s="1"/>
      <c r="F788" s="1"/>
      <c r="G788" s="1"/>
      <c r="H788" s="1"/>
      <c r="I788" s="1"/>
      <c r="J788" s="1"/>
      <c r="K788" s="1"/>
      <c r="L788" s="1"/>
      <c r="M788" s="1"/>
      <c r="AU788" s="18"/>
      <c r="AV788" s="18"/>
    </row>
    <row r="789" spans="5:48" x14ac:dyDescent="0.2">
      <c r="E789" s="1"/>
      <c r="F789" s="1"/>
      <c r="G789" s="1"/>
      <c r="H789" s="1"/>
      <c r="I789" s="1"/>
      <c r="J789" s="1"/>
      <c r="K789" s="1"/>
      <c r="L789" s="1"/>
      <c r="M789" s="1"/>
      <c r="AU789" s="18"/>
      <c r="AV789" s="18"/>
    </row>
    <row r="790" spans="5:48" x14ac:dyDescent="0.2">
      <c r="E790" s="1"/>
      <c r="F790" s="1"/>
      <c r="G790" s="1"/>
      <c r="H790" s="1"/>
      <c r="I790" s="1"/>
      <c r="J790" s="1"/>
      <c r="K790" s="1"/>
      <c r="L790" s="1"/>
      <c r="M790" s="1"/>
      <c r="AU790" s="18"/>
      <c r="AV790" s="18"/>
    </row>
    <row r="791" spans="5:48" x14ac:dyDescent="0.2">
      <c r="E791" s="1"/>
      <c r="F791" s="1"/>
      <c r="G791" s="1"/>
      <c r="H791" s="1"/>
      <c r="I791" s="1"/>
      <c r="J791" s="1"/>
      <c r="K791" s="1"/>
      <c r="L791" s="1"/>
      <c r="M791" s="1"/>
      <c r="AU791" s="18"/>
      <c r="AV791" s="18"/>
    </row>
    <row r="792" spans="5:48" x14ac:dyDescent="0.2">
      <c r="E792" s="1"/>
      <c r="F792" s="1"/>
      <c r="G792" s="1"/>
      <c r="H792" s="1"/>
      <c r="I792" s="1"/>
      <c r="J792" s="1"/>
      <c r="K792" s="1"/>
      <c r="L792" s="1"/>
      <c r="M792" s="1"/>
      <c r="AU792" s="18"/>
      <c r="AV792" s="18"/>
    </row>
    <row r="793" spans="5:48" x14ac:dyDescent="0.2">
      <c r="E793" s="1"/>
      <c r="F793" s="1"/>
      <c r="G793" s="1"/>
      <c r="H793" s="1"/>
      <c r="I793" s="1"/>
      <c r="J793" s="1"/>
      <c r="K793" s="1"/>
      <c r="L793" s="1"/>
      <c r="M793" s="1"/>
      <c r="AU793" s="18"/>
      <c r="AV793" s="18"/>
    </row>
    <row r="794" spans="5:48" x14ac:dyDescent="0.2">
      <c r="E794" s="1"/>
      <c r="F794" s="1"/>
      <c r="G794" s="1"/>
      <c r="H794" s="1"/>
      <c r="I794" s="1"/>
      <c r="J794" s="1"/>
      <c r="K794" s="1"/>
      <c r="L794" s="1"/>
      <c r="M794" s="1"/>
      <c r="AU794" s="18"/>
      <c r="AV794" s="18"/>
    </row>
    <row r="795" spans="5:48" x14ac:dyDescent="0.2">
      <c r="E795" s="1"/>
      <c r="F795" s="1"/>
      <c r="G795" s="1"/>
      <c r="H795" s="1"/>
      <c r="I795" s="1"/>
      <c r="J795" s="1"/>
      <c r="K795" s="1"/>
      <c r="L795" s="1"/>
      <c r="M795" s="1"/>
      <c r="AU795" s="18"/>
      <c r="AV795" s="18"/>
    </row>
    <row r="796" spans="5:48" x14ac:dyDescent="0.2">
      <c r="E796" s="1"/>
      <c r="F796" s="1"/>
      <c r="G796" s="1"/>
      <c r="H796" s="1"/>
      <c r="I796" s="1"/>
      <c r="J796" s="1"/>
      <c r="K796" s="1"/>
      <c r="L796" s="1"/>
      <c r="M796" s="1"/>
      <c r="AU796" s="18"/>
      <c r="AV796" s="18"/>
    </row>
    <row r="797" spans="5:48" x14ac:dyDescent="0.2">
      <c r="E797" s="1"/>
      <c r="F797" s="1"/>
      <c r="G797" s="1"/>
      <c r="H797" s="1"/>
      <c r="I797" s="1"/>
      <c r="J797" s="1"/>
      <c r="K797" s="1"/>
      <c r="L797" s="1"/>
      <c r="M797" s="1"/>
      <c r="AU797" s="18"/>
      <c r="AV797" s="18"/>
    </row>
    <row r="798" spans="5:48" x14ac:dyDescent="0.2">
      <c r="E798" s="1"/>
      <c r="F798" s="1"/>
      <c r="G798" s="1"/>
      <c r="H798" s="1"/>
      <c r="I798" s="1"/>
      <c r="J798" s="1"/>
      <c r="K798" s="1"/>
      <c r="L798" s="1"/>
      <c r="M798" s="1"/>
      <c r="AU798" s="18"/>
      <c r="AV798" s="18"/>
    </row>
    <row r="799" spans="5:48" x14ac:dyDescent="0.2">
      <c r="E799" s="1"/>
      <c r="F799" s="1"/>
      <c r="G799" s="1"/>
      <c r="H799" s="1"/>
      <c r="I799" s="1"/>
      <c r="J799" s="1"/>
      <c r="K799" s="1"/>
      <c r="L799" s="1"/>
      <c r="M799" s="1"/>
      <c r="AU799" s="18"/>
      <c r="AV799" s="18"/>
    </row>
    <row r="800" spans="5:48" x14ac:dyDescent="0.2">
      <c r="E800" s="1"/>
      <c r="F800" s="1"/>
      <c r="G800" s="1"/>
      <c r="H800" s="1"/>
      <c r="I800" s="1"/>
      <c r="J800" s="1"/>
      <c r="K800" s="1"/>
      <c r="L800" s="1"/>
      <c r="M800" s="1"/>
      <c r="AU800" s="18"/>
      <c r="AV800" s="18"/>
    </row>
    <row r="801" spans="5:48" x14ac:dyDescent="0.2">
      <c r="E801" s="1"/>
      <c r="F801" s="1"/>
      <c r="G801" s="1"/>
      <c r="H801" s="1"/>
      <c r="I801" s="1"/>
      <c r="J801" s="1"/>
      <c r="K801" s="1"/>
      <c r="L801" s="1"/>
      <c r="M801" s="1"/>
      <c r="AU801" s="18"/>
      <c r="AV801" s="18"/>
    </row>
    <row r="802" spans="5:48" x14ac:dyDescent="0.2">
      <c r="E802" s="1"/>
      <c r="F802" s="1"/>
      <c r="G802" s="1"/>
      <c r="H802" s="1"/>
      <c r="I802" s="1"/>
      <c r="J802" s="1"/>
      <c r="K802" s="1"/>
      <c r="L802" s="1"/>
      <c r="M802" s="1"/>
      <c r="AU802" s="18"/>
      <c r="AV802" s="18"/>
    </row>
    <row r="803" spans="5:48" x14ac:dyDescent="0.2">
      <c r="E803" s="1"/>
      <c r="F803" s="1"/>
      <c r="G803" s="1"/>
      <c r="H803" s="1"/>
      <c r="I803" s="1"/>
      <c r="J803" s="1"/>
      <c r="K803" s="1"/>
      <c r="L803" s="1"/>
      <c r="M803" s="1"/>
      <c r="AU803" s="18"/>
      <c r="AV803" s="18"/>
    </row>
    <row r="804" spans="5:48" x14ac:dyDescent="0.2">
      <c r="E804" s="1"/>
      <c r="F804" s="1"/>
      <c r="G804" s="1"/>
      <c r="H804" s="1"/>
      <c r="I804" s="1"/>
      <c r="J804" s="1"/>
      <c r="K804" s="1"/>
      <c r="L804" s="1"/>
      <c r="M804" s="1"/>
      <c r="AU804" s="18"/>
      <c r="AV804" s="18"/>
    </row>
    <row r="805" spans="5:48" x14ac:dyDescent="0.2">
      <c r="E805" s="1"/>
      <c r="F805" s="1"/>
      <c r="G805" s="1"/>
      <c r="H805" s="1"/>
      <c r="I805" s="1"/>
      <c r="J805" s="1"/>
      <c r="K805" s="1"/>
      <c r="L805" s="1"/>
      <c r="M805" s="1"/>
      <c r="AU805" s="18"/>
      <c r="AV805" s="18"/>
    </row>
    <row r="806" spans="5:48" x14ac:dyDescent="0.2">
      <c r="E806" s="1"/>
      <c r="F806" s="1"/>
      <c r="G806" s="1"/>
      <c r="H806" s="1"/>
      <c r="I806" s="1"/>
      <c r="J806" s="1"/>
      <c r="K806" s="1"/>
      <c r="L806" s="1"/>
      <c r="M806" s="1"/>
      <c r="AU806" s="18"/>
      <c r="AV806" s="18"/>
    </row>
    <row r="807" spans="5:48" x14ac:dyDescent="0.2">
      <c r="E807" s="1"/>
      <c r="F807" s="1"/>
      <c r="G807" s="1"/>
      <c r="H807" s="1"/>
      <c r="I807" s="1"/>
      <c r="J807" s="1"/>
      <c r="K807" s="1"/>
      <c r="L807" s="1"/>
      <c r="M807" s="1"/>
      <c r="AU807" s="18"/>
      <c r="AV807" s="18"/>
    </row>
    <row r="808" spans="5:48" x14ac:dyDescent="0.2">
      <c r="E808" s="1"/>
      <c r="F808" s="1"/>
      <c r="G808" s="1"/>
      <c r="H808" s="1"/>
      <c r="I808" s="1"/>
      <c r="J808" s="1"/>
      <c r="K808" s="1"/>
      <c r="L808" s="1"/>
      <c r="M808" s="1"/>
      <c r="AU808" s="18"/>
      <c r="AV808" s="18"/>
    </row>
    <row r="809" spans="5:48" x14ac:dyDescent="0.2">
      <c r="E809" s="1"/>
      <c r="F809" s="1"/>
      <c r="G809" s="1"/>
      <c r="H809" s="1"/>
      <c r="I809" s="1"/>
      <c r="J809" s="1"/>
      <c r="K809" s="1"/>
      <c r="L809" s="1"/>
      <c r="M809" s="1"/>
      <c r="AU809" s="18"/>
      <c r="AV809" s="18"/>
    </row>
    <row r="810" spans="5:48" x14ac:dyDescent="0.2">
      <c r="E810" s="1"/>
      <c r="F810" s="1"/>
      <c r="G810" s="1"/>
      <c r="H810" s="1"/>
      <c r="I810" s="1"/>
      <c r="J810" s="1"/>
      <c r="K810" s="1"/>
      <c r="L810" s="1"/>
      <c r="M810" s="1"/>
      <c r="AU810" s="18"/>
      <c r="AV810" s="18"/>
    </row>
    <row r="811" spans="5:48" x14ac:dyDescent="0.2">
      <c r="E811" s="1"/>
      <c r="F811" s="1"/>
      <c r="G811" s="1"/>
      <c r="H811" s="1"/>
      <c r="I811" s="1"/>
      <c r="J811" s="1"/>
      <c r="K811" s="1"/>
      <c r="L811" s="1"/>
      <c r="M811" s="1"/>
      <c r="AU811" s="18"/>
      <c r="AV811" s="18"/>
    </row>
    <row r="812" spans="5:48" x14ac:dyDescent="0.2">
      <c r="E812" s="1"/>
      <c r="F812" s="1"/>
      <c r="G812" s="1"/>
      <c r="H812" s="1"/>
      <c r="I812" s="1"/>
      <c r="J812" s="1"/>
      <c r="K812" s="1"/>
      <c r="L812" s="1"/>
      <c r="M812" s="1"/>
      <c r="AU812" s="18"/>
      <c r="AV812" s="18"/>
    </row>
    <row r="813" spans="5:48" x14ac:dyDescent="0.2">
      <c r="E813" s="1"/>
      <c r="F813" s="1"/>
      <c r="G813" s="1"/>
      <c r="H813" s="1"/>
      <c r="I813" s="1"/>
      <c r="J813" s="1"/>
      <c r="K813" s="1"/>
      <c r="L813" s="1"/>
      <c r="M813" s="1"/>
      <c r="AU813" s="18"/>
      <c r="AV813" s="18"/>
    </row>
    <row r="814" spans="5:48" x14ac:dyDescent="0.2">
      <c r="E814" s="1"/>
      <c r="F814" s="1"/>
      <c r="G814" s="1"/>
      <c r="H814" s="1"/>
      <c r="I814" s="1"/>
      <c r="J814" s="1"/>
      <c r="K814" s="1"/>
      <c r="L814" s="1"/>
      <c r="M814" s="1"/>
      <c r="AU814" s="18"/>
      <c r="AV814" s="18"/>
    </row>
    <row r="815" spans="5:48" x14ac:dyDescent="0.2">
      <c r="E815" s="1"/>
      <c r="F815" s="1"/>
      <c r="G815" s="1"/>
      <c r="H815" s="1"/>
      <c r="I815" s="1"/>
      <c r="J815" s="1"/>
      <c r="K815" s="1"/>
      <c r="L815" s="1"/>
      <c r="M815" s="1"/>
      <c r="AU815" s="18"/>
      <c r="AV815" s="18"/>
    </row>
    <row r="816" spans="5:48" x14ac:dyDescent="0.2">
      <c r="E816" s="1"/>
      <c r="F816" s="1"/>
      <c r="G816" s="1"/>
      <c r="H816" s="1"/>
      <c r="I816" s="1"/>
      <c r="J816" s="1"/>
      <c r="K816" s="1"/>
      <c r="L816" s="1"/>
      <c r="M816" s="1"/>
      <c r="AU816" s="18"/>
      <c r="AV816" s="18"/>
    </row>
    <row r="817" spans="5:48" x14ac:dyDescent="0.2">
      <c r="E817" s="1"/>
      <c r="F817" s="1"/>
      <c r="G817" s="1"/>
      <c r="H817" s="1"/>
      <c r="I817" s="1"/>
      <c r="J817" s="1"/>
      <c r="K817" s="1"/>
      <c r="L817" s="1"/>
      <c r="M817" s="1"/>
      <c r="AU817" s="18"/>
      <c r="AV817" s="18"/>
    </row>
    <row r="818" spans="5:48" x14ac:dyDescent="0.2">
      <c r="E818" s="1"/>
      <c r="F818" s="1"/>
      <c r="G818" s="1"/>
      <c r="H818" s="1"/>
      <c r="I818" s="1"/>
      <c r="J818" s="1"/>
      <c r="K818" s="1"/>
      <c r="L818" s="1"/>
      <c r="M818" s="1"/>
      <c r="AU818" s="18"/>
      <c r="AV818" s="18"/>
    </row>
    <row r="819" spans="5:48" x14ac:dyDescent="0.2">
      <c r="E819" s="1"/>
      <c r="F819" s="1"/>
      <c r="G819" s="1"/>
      <c r="H819" s="1"/>
      <c r="I819" s="1"/>
      <c r="J819" s="1"/>
      <c r="K819" s="1"/>
      <c r="L819" s="1"/>
      <c r="M819" s="1"/>
      <c r="AU819" s="18"/>
      <c r="AV819" s="18"/>
    </row>
    <row r="820" spans="5:48" x14ac:dyDescent="0.2">
      <c r="E820" s="1"/>
      <c r="F820" s="1"/>
      <c r="G820" s="1"/>
      <c r="H820" s="1"/>
      <c r="I820" s="1"/>
      <c r="J820" s="1"/>
      <c r="K820" s="1"/>
      <c r="L820" s="1"/>
      <c r="M820" s="1"/>
      <c r="AU820" s="18"/>
      <c r="AV820" s="18"/>
    </row>
    <row r="821" spans="5:48" x14ac:dyDescent="0.2">
      <c r="E821" s="1"/>
      <c r="F821" s="1"/>
      <c r="G821" s="1"/>
      <c r="H821" s="1"/>
      <c r="I821" s="1"/>
      <c r="J821" s="1"/>
      <c r="K821" s="1"/>
      <c r="L821" s="1"/>
      <c r="M821" s="1"/>
      <c r="AU821" s="18"/>
      <c r="AV821" s="18"/>
    </row>
    <row r="822" spans="5:48" x14ac:dyDescent="0.2">
      <c r="E822" s="1"/>
      <c r="F822" s="1"/>
      <c r="G822" s="1"/>
      <c r="H822" s="1"/>
      <c r="I822" s="1"/>
      <c r="J822" s="1"/>
      <c r="K822" s="1"/>
      <c r="L822" s="1"/>
      <c r="M822" s="1"/>
      <c r="AU822" s="18"/>
      <c r="AV822" s="18"/>
    </row>
    <row r="823" spans="5:48" x14ac:dyDescent="0.2">
      <c r="E823" s="1"/>
      <c r="F823" s="1"/>
      <c r="G823" s="1"/>
      <c r="H823" s="1"/>
      <c r="I823" s="1"/>
      <c r="J823" s="1"/>
      <c r="K823" s="1"/>
      <c r="L823" s="1"/>
      <c r="M823" s="1"/>
      <c r="AU823" s="18"/>
      <c r="AV823" s="18"/>
    </row>
    <row r="824" spans="5:48" x14ac:dyDescent="0.2">
      <c r="E824" s="1"/>
      <c r="F824" s="1"/>
      <c r="G824" s="1"/>
      <c r="H824" s="1"/>
      <c r="I824" s="1"/>
      <c r="J824" s="1"/>
      <c r="K824" s="1"/>
      <c r="L824" s="1"/>
      <c r="M824" s="1"/>
      <c r="AU824" s="18"/>
      <c r="AV824" s="18"/>
    </row>
    <row r="825" spans="5:48" x14ac:dyDescent="0.2">
      <c r="E825" s="1"/>
      <c r="F825" s="1"/>
      <c r="G825" s="1"/>
      <c r="H825" s="1"/>
      <c r="I825" s="1"/>
      <c r="J825" s="1"/>
      <c r="K825" s="1"/>
      <c r="L825" s="1"/>
      <c r="M825" s="1"/>
      <c r="AU825" s="18"/>
      <c r="AV825" s="18"/>
    </row>
    <row r="826" spans="5:48" x14ac:dyDescent="0.2">
      <c r="E826" s="1"/>
      <c r="F826" s="1"/>
      <c r="G826" s="1"/>
      <c r="H826" s="1"/>
      <c r="I826" s="1"/>
      <c r="J826" s="1"/>
      <c r="K826" s="1"/>
      <c r="L826" s="1"/>
      <c r="M826" s="1"/>
      <c r="AU826" s="18"/>
      <c r="AV826" s="18"/>
    </row>
    <row r="827" spans="5:48" x14ac:dyDescent="0.2">
      <c r="E827" s="1"/>
      <c r="F827" s="1"/>
      <c r="G827" s="1"/>
      <c r="H827" s="1"/>
      <c r="I827" s="1"/>
      <c r="J827" s="1"/>
      <c r="K827" s="1"/>
      <c r="L827" s="1"/>
      <c r="M827" s="1"/>
      <c r="AU827" s="18"/>
      <c r="AV827" s="18"/>
    </row>
    <row r="828" spans="5:48" x14ac:dyDescent="0.2">
      <c r="E828" s="1"/>
      <c r="F828" s="1"/>
      <c r="G828" s="1"/>
      <c r="H828" s="1"/>
      <c r="I828" s="1"/>
      <c r="J828" s="1"/>
      <c r="K828" s="1"/>
      <c r="L828" s="1"/>
      <c r="M828" s="1"/>
      <c r="AU828" s="18"/>
      <c r="AV828" s="18"/>
    </row>
    <row r="829" spans="5:48" x14ac:dyDescent="0.2">
      <c r="E829" s="1"/>
      <c r="F829" s="1"/>
      <c r="G829" s="1"/>
      <c r="H829" s="1"/>
      <c r="I829" s="1"/>
      <c r="J829" s="1"/>
      <c r="K829" s="1"/>
      <c r="L829" s="1"/>
      <c r="M829" s="1"/>
      <c r="AU829" s="18"/>
      <c r="AV829" s="18"/>
    </row>
    <row r="830" spans="5:48" x14ac:dyDescent="0.2">
      <c r="E830" s="1"/>
      <c r="F830" s="1"/>
      <c r="G830" s="1"/>
      <c r="H830" s="1"/>
      <c r="I830" s="1"/>
      <c r="J830" s="1"/>
      <c r="K830" s="1"/>
      <c r="L830" s="1"/>
      <c r="M830" s="1"/>
      <c r="AU830" s="18"/>
      <c r="AV830" s="18"/>
    </row>
    <row r="831" spans="5:48" x14ac:dyDescent="0.2">
      <c r="E831" s="1"/>
      <c r="F831" s="1"/>
      <c r="G831" s="1"/>
      <c r="H831" s="1"/>
      <c r="I831" s="1"/>
      <c r="J831" s="1"/>
      <c r="K831" s="1"/>
      <c r="L831" s="1"/>
      <c r="M831" s="1"/>
      <c r="AU831" s="18"/>
      <c r="AV831" s="18"/>
    </row>
    <row r="832" spans="5:48" x14ac:dyDescent="0.2">
      <c r="E832" s="1"/>
      <c r="F832" s="1"/>
      <c r="G832" s="1"/>
      <c r="H832" s="1"/>
      <c r="I832" s="1"/>
      <c r="J832" s="1"/>
      <c r="K832" s="1"/>
      <c r="L832" s="1"/>
      <c r="M832" s="1"/>
      <c r="AU832" s="18"/>
      <c r="AV832" s="18"/>
    </row>
    <row r="833" spans="5:48" x14ac:dyDescent="0.2">
      <c r="E833" s="1"/>
      <c r="F833" s="1"/>
      <c r="G833" s="1"/>
      <c r="H833" s="1"/>
      <c r="I833" s="1"/>
      <c r="J833" s="1"/>
      <c r="K833" s="1"/>
      <c r="L833" s="1"/>
      <c r="M833" s="1"/>
      <c r="AU833" s="18"/>
      <c r="AV833" s="18"/>
    </row>
    <row r="834" spans="5:48" x14ac:dyDescent="0.2">
      <c r="E834" s="1"/>
      <c r="F834" s="1"/>
      <c r="G834" s="1"/>
      <c r="H834" s="1"/>
      <c r="I834" s="1"/>
      <c r="J834" s="1"/>
      <c r="K834" s="1"/>
      <c r="L834" s="1"/>
      <c r="M834" s="1"/>
      <c r="AU834" s="18"/>
      <c r="AV834" s="18"/>
    </row>
    <row r="835" spans="5:48" x14ac:dyDescent="0.2">
      <c r="E835" s="1"/>
      <c r="F835" s="1"/>
      <c r="G835" s="1"/>
      <c r="H835" s="1"/>
      <c r="I835" s="1"/>
      <c r="J835" s="1"/>
      <c r="K835" s="1"/>
      <c r="L835" s="1"/>
      <c r="M835" s="1"/>
      <c r="AU835" s="18"/>
      <c r="AV835" s="18"/>
    </row>
    <row r="836" spans="5:48" x14ac:dyDescent="0.2">
      <c r="E836" s="1"/>
      <c r="F836" s="1"/>
      <c r="G836" s="1"/>
      <c r="H836" s="1"/>
      <c r="I836" s="1"/>
      <c r="J836" s="1"/>
      <c r="K836" s="1"/>
      <c r="L836" s="1"/>
      <c r="M836" s="1"/>
      <c r="AU836" s="18"/>
      <c r="AV836" s="18"/>
    </row>
    <row r="837" spans="5:48" x14ac:dyDescent="0.2">
      <c r="E837" s="1"/>
      <c r="F837" s="1"/>
      <c r="G837" s="1"/>
      <c r="H837" s="1"/>
      <c r="I837" s="1"/>
      <c r="J837" s="1"/>
      <c r="K837" s="1"/>
      <c r="L837" s="1"/>
      <c r="M837" s="1"/>
      <c r="AU837" s="18"/>
      <c r="AV837" s="18"/>
    </row>
    <row r="838" spans="5:48" x14ac:dyDescent="0.2">
      <c r="E838" s="1"/>
      <c r="F838" s="1"/>
      <c r="G838" s="1"/>
      <c r="H838" s="1"/>
      <c r="I838" s="1"/>
      <c r="J838" s="1"/>
      <c r="K838" s="1"/>
      <c r="L838" s="1"/>
      <c r="M838" s="1"/>
      <c r="AU838" s="18"/>
      <c r="AV838" s="18"/>
    </row>
    <row r="839" spans="5:48" x14ac:dyDescent="0.2">
      <c r="E839" s="1"/>
      <c r="F839" s="1"/>
      <c r="G839" s="1"/>
      <c r="H839" s="1"/>
      <c r="I839" s="1"/>
      <c r="J839" s="1"/>
      <c r="K839" s="1"/>
      <c r="L839" s="1"/>
      <c r="M839" s="1"/>
      <c r="AU839" s="18"/>
      <c r="AV839" s="18"/>
    </row>
    <row r="840" spans="5:48" x14ac:dyDescent="0.2">
      <c r="E840" s="1"/>
      <c r="F840" s="1"/>
      <c r="G840" s="1"/>
      <c r="H840" s="1"/>
      <c r="I840" s="1"/>
      <c r="J840" s="1"/>
      <c r="K840" s="1"/>
      <c r="L840" s="1"/>
      <c r="M840" s="1"/>
      <c r="AU840" s="18"/>
      <c r="AV840" s="18"/>
    </row>
    <row r="841" spans="5:48" x14ac:dyDescent="0.2">
      <c r="E841" s="1"/>
      <c r="F841" s="1"/>
      <c r="G841" s="1"/>
      <c r="H841" s="1"/>
      <c r="I841" s="1"/>
      <c r="J841" s="1"/>
      <c r="K841" s="1"/>
      <c r="L841" s="1"/>
      <c r="M841" s="1"/>
      <c r="AU841" s="18"/>
      <c r="AV841" s="18"/>
    </row>
    <row r="842" spans="5:48" x14ac:dyDescent="0.2">
      <c r="E842" s="1"/>
      <c r="F842" s="1"/>
      <c r="G842" s="1"/>
      <c r="H842" s="1"/>
      <c r="I842" s="1"/>
      <c r="J842" s="1"/>
      <c r="K842" s="1"/>
      <c r="L842" s="1"/>
      <c r="M842" s="1"/>
      <c r="AU842" s="18"/>
      <c r="AV842" s="18"/>
    </row>
    <row r="843" spans="5:48" x14ac:dyDescent="0.2">
      <c r="E843" s="1"/>
      <c r="F843" s="1"/>
      <c r="G843" s="1"/>
      <c r="H843" s="1"/>
      <c r="I843" s="1"/>
      <c r="J843" s="1"/>
      <c r="K843" s="1"/>
      <c r="L843" s="1"/>
      <c r="M843" s="1"/>
      <c r="AU843" s="18"/>
      <c r="AV843" s="18"/>
    </row>
    <row r="844" spans="5:48" x14ac:dyDescent="0.2">
      <c r="E844" s="1"/>
      <c r="F844" s="1"/>
      <c r="G844" s="1"/>
      <c r="H844" s="1"/>
      <c r="I844" s="1"/>
      <c r="J844" s="1"/>
      <c r="K844" s="1"/>
      <c r="L844" s="1"/>
      <c r="M844" s="1"/>
      <c r="AU844" s="18"/>
      <c r="AV844" s="18"/>
    </row>
    <row r="845" spans="5:48" x14ac:dyDescent="0.2">
      <c r="E845" s="1"/>
      <c r="F845" s="1"/>
      <c r="G845" s="1"/>
      <c r="H845" s="1"/>
      <c r="I845" s="1"/>
      <c r="J845" s="1"/>
      <c r="K845" s="1"/>
      <c r="L845" s="1"/>
      <c r="M845" s="1"/>
      <c r="AU845" s="18"/>
      <c r="AV845" s="18"/>
    </row>
    <row r="846" spans="5:48" x14ac:dyDescent="0.2">
      <c r="E846" s="1"/>
      <c r="F846" s="1"/>
      <c r="G846" s="1"/>
      <c r="H846" s="1"/>
      <c r="I846" s="1"/>
      <c r="J846" s="1"/>
      <c r="K846" s="1"/>
      <c r="L846" s="1"/>
      <c r="M846" s="1"/>
      <c r="AU846" s="18"/>
      <c r="AV846" s="18"/>
    </row>
    <row r="847" spans="5:48" x14ac:dyDescent="0.2">
      <c r="E847" s="1"/>
      <c r="F847" s="1"/>
      <c r="G847" s="1"/>
      <c r="H847" s="1"/>
      <c r="I847" s="1"/>
      <c r="J847" s="1"/>
      <c r="K847" s="1"/>
      <c r="L847" s="1"/>
      <c r="M847" s="1"/>
      <c r="AU847" s="18"/>
      <c r="AV847" s="18"/>
    </row>
    <row r="848" spans="5:48" x14ac:dyDescent="0.2">
      <c r="E848" s="1"/>
      <c r="F848" s="1"/>
      <c r="G848" s="1"/>
      <c r="H848" s="1"/>
      <c r="I848" s="1"/>
      <c r="J848" s="1"/>
      <c r="K848" s="1"/>
      <c r="L848" s="1"/>
      <c r="M848" s="1"/>
      <c r="AU848" s="18"/>
      <c r="AV848" s="18"/>
    </row>
    <row r="849" spans="5:48" x14ac:dyDescent="0.2">
      <c r="E849" s="1"/>
      <c r="F849" s="1"/>
      <c r="G849" s="1"/>
      <c r="H849" s="1"/>
      <c r="I849" s="1"/>
      <c r="J849" s="1"/>
      <c r="K849" s="1"/>
      <c r="L849" s="1"/>
      <c r="M849" s="1"/>
      <c r="AU849" s="18"/>
      <c r="AV849" s="18"/>
    </row>
    <row r="850" spans="5:48" x14ac:dyDescent="0.2">
      <c r="E850" s="1"/>
      <c r="F850" s="1"/>
      <c r="G850" s="1"/>
      <c r="H850" s="1"/>
      <c r="I850" s="1"/>
      <c r="J850" s="1"/>
      <c r="K850" s="1"/>
      <c r="L850" s="1"/>
      <c r="M850" s="1"/>
      <c r="AU850" s="18"/>
      <c r="AV850" s="18"/>
    </row>
    <row r="851" spans="5:48" x14ac:dyDescent="0.2">
      <c r="E851" s="1"/>
      <c r="F851" s="1"/>
      <c r="G851" s="1"/>
      <c r="H851" s="1"/>
      <c r="I851" s="1"/>
      <c r="J851" s="1"/>
      <c r="K851" s="1"/>
      <c r="L851" s="1"/>
      <c r="M851" s="1"/>
      <c r="AU851" s="18"/>
      <c r="AV851" s="18"/>
    </row>
    <row r="852" spans="5:48" x14ac:dyDescent="0.2">
      <c r="E852" s="1"/>
      <c r="F852" s="1"/>
      <c r="G852" s="1"/>
      <c r="H852" s="1"/>
      <c r="I852" s="1"/>
      <c r="J852" s="1"/>
      <c r="K852" s="1"/>
      <c r="L852" s="1"/>
      <c r="M852" s="1"/>
      <c r="AU852" s="18"/>
      <c r="AV852" s="18"/>
    </row>
    <row r="853" spans="5:48" x14ac:dyDescent="0.2">
      <c r="E853" s="1"/>
      <c r="F853" s="1"/>
      <c r="G853" s="1"/>
      <c r="H853" s="1"/>
      <c r="I853" s="1"/>
      <c r="J853" s="1"/>
      <c r="K853" s="1"/>
      <c r="L853" s="1"/>
      <c r="M853" s="1"/>
      <c r="AU853" s="18"/>
      <c r="AV853" s="18"/>
    </row>
    <row r="854" spans="5:48" x14ac:dyDescent="0.2">
      <c r="E854" s="1"/>
      <c r="F854" s="1"/>
      <c r="G854" s="1"/>
      <c r="H854" s="1"/>
      <c r="I854" s="1"/>
      <c r="J854" s="1"/>
      <c r="K854" s="1"/>
      <c r="L854" s="1"/>
      <c r="M854" s="1"/>
      <c r="AU854" s="18"/>
      <c r="AV854" s="18"/>
    </row>
    <row r="855" spans="5:48" x14ac:dyDescent="0.2">
      <c r="E855" s="1"/>
      <c r="F855" s="1"/>
      <c r="G855" s="1"/>
      <c r="H855" s="1"/>
      <c r="I855" s="1"/>
      <c r="J855" s="1"/>
      <c r="K855" s="1"/>
      <c r="L855" s="1"/>
      <c r="M855" s="1"/>
      <c r="AU855" s="18"/>
      <c r="AV855" s="18"/>
    </row>
    <row r="856" spans="5:48" x14ac:dyDescent="0.2">
      <c r="E856" s="1"/>
      <c r="F856" s="1"/>
      <c r="G856" s="1"/>
      <c r="H856" s="1"/>
      <c r="I856" s="1"/>
      <c r="J856" s="1"/>
      <c r="K856" s="1"/>
      <c r="L856" s="1"/>
      <c r="M856" s="1"/>
      <c r="AU856" s="18"/>
      <c r="AV856" s="18"/>
    </row>
    <row r="857" spans="5:48" x14ac:dyDescent="0.2">
      <c r="E857" s="1"/>
      <c r="F857" s="1"/>
      <c r="G857" s="1"/>
      <c r="H857" s="1"/>
      <c r="I857" s="1"/>
      <c r="J857" s="1"/>
      <c r="K857" s="1"/>
      <c r="L857" s="1"/>
      <c r="M857" s="1"/>
      <c r="AU857" s="18"/>
      <c r="AV857" s="18"/>
    </row>
    <row r="858" spans="5:48" x14ac:dyDescent="0.2">
      <c r="E858" s="1"/>
      <c r="F858" s="1"/>
      <c r="G858" s="1"/>
      <c r="H858" s="1"/>
      <c r="I858" s="1"/>
      <c r="J858" s="1"/>
      <c r="K858" s="1"/>
      <c r="L858" s="1"/>
      <c r="M858" s="1"/>
      <c r="AU858" s="18"/>
      <c r="AV858" s="18"/>
    </row>
    <row r="859" spans="5:48" x14ac:dyDescent="0.2">
      <c r="E859" s="1"/>
      <c r="F859" s="1"/>
      <c r="G859" s="1"/>
      <c r="H859" s="1"/>
      <c r="I859" s="1"/>
      <c r="J859" s="1"/>
      <c r="K859" s="1"/>
      <c r="L859" s="1"/>
      <c r="M859" s="1"/>
      <c r="AU859" s="18"/>
      <c r="AV859" s="18"/>
    </row>
    <row r="860" spans="5:48" x14ac:dyDescent="0.2">
      <c r="E860" s="1"/>
      <c r="F860" s="1"/>
      <c r="G860" s="1"/>
      <c r="H860" s="1"/>
      <c r="I860" s="1"/>
      <c r="J860" s="1"/>
      <c r="K860" s="1"/>
      <c r="L860" s="1"/>
      <c r="M860" s="1"/>
      <c r="AU860" s="18"/>
      <c r="AV860" s="18"/>
    </row>
    <row r="861" spans="5:48" x14ac:dyDescent="0.2">
      <c r="E861" s="1"/>
      <c r="F861" s="1"/>
      <c r="G861" s="1"/>
      <c r="H861" s="1"/>
      <c r="I861" s="1"/>
      <c r="J861" s="1"/>
      <c r="K861" s="1"/>
      <c r="L861" s="1"/>
      <c r="M861" s="1"/>
      <c r="AU861" s="18"/>
      <c r="AV861" s="18"/>
    </row>
    <row r="862" spans="5:48" x14ac:dyDescent="0.2">
      <c r="E862" s="1"/>
      <c r="F862" s="1"/>
      <c r="G862" s="1"/>
      <c r="H862" s="1"/>
      <c r="I862" s="1"/>
      <c r="J862" s="1"/>
      <c r="K862" s="1"/>
      <c r="L862" s="1"/>
      <c r="M862" s="1"/>
      <c r="AU862" s="18"/>
      <c r="AV862" s="18"/>
    </row>
    <row r="863" spans="5:48" x14ac:dyDescent="0.2">
      <c r="E863" s="1"/>
      <c r="F863" s="1"/>
      <c r="G863" s="1"/>
      <c r="H863" s="1"/>
      <c r="I863" s="1"/>
      <c r="J863" s="1"/>
      <c r="K863" s="1"/>
      <c r="L863" s="1"/>
      <c r="M863" s="1"/>
      <c r="AU863" s="18"/>
      <c r="AV863" s="18"/>
    </row>
    <row r="864" spans="5:48" x14ac:dyDescent="0.2">
      <c r="E864" s="1"/>
      <c r="F864" s="1"/>
      <c r="G864" s="1"/>
      <c r="H864" s="1"/>
      <c r="I864" s="1"/>
      <c r="J864" s="1"/>
      <c r="K864" s="1"/>
      <c r="L864" s="1"/>
      <c r="M864" s="1"/>
      <c r="AU864" s="18"/>
      <c r="AV864" s="18"/>
    </row>
    <row r="865" spans="5:48" x14ac:dyDescent="0.2">
      <c r="E865" s="1"/>
      <c r="F865" s="1"/>
      <c r="G865" s="1"/>
      <c r="H865" s="1"/>
      <c r="I865" s="1"/>
      <c r="J865" s="1"/>
      <c r="K865" s="1"/>
      <c r="L865" s="1"/>
      <c r="M865" s="1"/>
      <c r="AU865" s="18"/>
      <c r="AV865" s="18"/>
    </row>
    <row r="866" spans="5:48" x14ac:dyDescent="0.2">
      <c r="E866" s="1"/>
      <c r="F866" s="1"/>
      <c r="G866" s="1"/>
      <c r="H866" s="1"/>
      <c r="I866" s="1"/>
      <c r="J866" s="1"/>
      <c r="K866" s="1"/>
      <c r="L866" s="1"/>
      <c r="M866" s="1"/>
      <c r="AU866" s="18"/>
      <c r="AV866" s="18"/>
    </row>
    <row r="867" spans="5:48" x14ac:dyDescent="0.2">
      <c r="E867" s="1"/>
      <c r="F867" s="1"/>
      <c r="G867" s="1"/>
      <c r="H867" s="1"/>
      <c r="I867" s="1"/>
      <c r="J867" s="1"/>
      <c r="K867" s="1"/>
      <c r="L867" s="1"/>
      <c r="M867" s="1"/>
      <c r="AU867" s="18"/>
      <c r="AV867" s="18"/>
    </row>
    <row r="868" spans="5:48" x14ac:dyDescent="0.2">
      <c r="E868" s="1"/>
      <c r="F868" s="1"/>
      <c r="G868" s="1"/>
      <c r="H868" s="1"/>
      <c r="I868" s="1"/>
      <c r="J868" s="1"/>
      <c r="K868" s="1"/>
      <c r="L868" s="1"/>
      <c r="M868" s="1"/>
      <c r="AU868" s="18"/>
      <c r="AV868" s="18"/>
    </row>
    <row r="869" spans="5:48" x14ac:dyDescent="0.2">
      <c r="E869" s="1"/>
      <c r="F869" s="1"/>
      <c r="G869" s="1"/>
      <c r="H869" s="1"/>
      <c r="I869" s="1"/>
      <c r="J869" s="1"/>
      <c r="K869" s="1"/>
      <c r="L869" s="1"/>
      <c r="M869" s="1"/>
      <c r="AU869" s="18"/>
      <c r="AV869" s="18"/>
    </row>
    <row r="870" spans="5:48" x14ac:dyDescent="0.2">
      <c r="E870" s="1"/>
      <c r="F870" s="1"/>
      <c r="G870" s="1"/>
      <c r="H870" s="1"/>
      <c r="I870" s="1"/>
      <c r="J870" s="1"/>
      <c r="K870" s="1"/>
      <c r="L870" s="1"/>
      <c r="M870" s="1"/>
      <c r="AU870" s="18"/>
      <c r="AV870" s="18"/>
    </row>
    <row r="871" spans="5:48" x14ac:dyDescent="0.2">
      <c r="E871" s="1"/>
      <c r="F871" s="1"/>
      <c r="G871" s="1"/>
      <c r="H871" s="1"/>
      <c r="I871" s="1"/>
      <c r="J871" s="1"/>
      <c r="K871" s="1"/>
      <c r="L871" s="1"/>
      <c r="M871" s="1"/>
      <c r="AU871" s="18"/>
      <c r="AV871" s="18"/>
    </row>
    <row r="872" spans="5:48" x14ac:dyDescent="0.2">
      <c r="E872" s="1"/>
      <c r="F872" s="1"/>
      <c r="G872" s="1"/>
      <c r="H872" s="1"/>
      <c r="I872" s="1"/>
      <c r="J872" s="1"/>
      <c r="K872" s="1"/>
      <c r="L872" s="1"/>
      <c r="M872" s="1"/>
      <c r="AU872" s="18"/>
      <c r="AV872" s="18"/>
    </row>
    <row r="873" spans="5:48" x14ac:dyDescent="0.2">
      <c r="E873" s="1"/>
      <c r="F873" s="1"/>
      <c r="G873" s="1"/>
      <c r="H873" s="1"/>
      <c r="I873" s="1"/>
      <c r="J873" s="1"/>
      <c r="K873" s="1"/>
      <c r="L873" s="1"/>
      <c r="M873" s="1"/>
      <c r="AU873" s="18"/>
      <c r="AV873" s="18"/>
    </row>
    <row r="874" spans="5:48" x14ac:dyDescent="0.2">
      <c r="E874" s="1"/>
      <c r="F874" s="1"/>
      <c r="G874" s="1"/>
      <c r="H874" s="1"/>
      <c r="I874" s="1"/>
      <c r="J874" s="1"/>
      <c r="K874" s="1"/>
      <c r="L874" s="1"/>
      <c r="M874" s="1"/>
      <c r="AU874" s="18"/>
      <c r="AV874" s="18"/>
    </row>
    <row r="875" spans="5:48" x14ac:dyDescent="0.2">
      <c r="E875" s="1"/>
      <c r="F875" s="1"/>
      <c r="G875" s="1"/>
      <c r="H875" s="1"/>
      <c r="I875" s="1"/>
      <c r="J875" s="1"/>
      <c r="K875" s="1"/>
      <c r="L875" s="1"/>
      <c r="M875" s="1"/>
      <c r="AU875" s="18"/>
      <c r="AV875" s="18"/>
    </row>
    <row r="876" spans="5:48" x14ac:dyDescent="0.2">
      <c r="E876" s="1"/>
      <c r="F876" s="1"/>
      <c r="G876" s="1"/>
      <c r="H876" s="1"/>
      <c r="I876" s="1"/>
      <c r="J876" s="1"/>
      <c r="K876" s="1"/>
      <c r="L876" s="1"/>
      <c r="M876" s="1"/>
      <c r="AU876" s="18"/>
      <c r="AV876" s="18"/>
    </row>
    <row r="877" spans="5:48" x14ac:dyDescent="0.2">
      <c r="E877" s="1"/>
      <c r="F877" s="1"/>
      <c r="G877" s="1"/>
      <c r="H877" s="1"/>
      <c r="I877" s="1"/>
      <c r="J877" s="1"/>
      <c r="K877" s="1"/>
      <c r="L877" s="1"/>
      <c r="M877" s="1"/>
      <c r="AU877" s="18"/>
      <c r="AV877" s="18"/>
    </row>
    <row r="878" spans="5:48" x14ac:dyDescent="0.2">
      <c r="E878" s="1"/>
      <c r="F878" s="1"/>
      <c r="G878" s="1"/>
      <c r="H878" s="1"/>
      <c r="I878" s="1"/>
      <c r="J878" s="1"/>
      <c r="K878" s="1"/>
      <c r="L878" s="1"/>
      <c r="M878" s="1"/>
      <c r="AU878" s="18"/>
      <c r="AV878" s="18"/>
    </row>
    <row r="879" spans="5:48" x14ac:dyDescent="0.2">
      <c r="E879" s="1"/>
      <c r="F879" s="1"/>
      <c r="G879" s="1"/>
      <c r="H879" s="1"/>
      <c r="I879" s="1"/>
      <c r="J879" s="1"/>
      <c r="K879" s="1"/>
      <c r="L879" s="1"/>
      <c r="M879" s="1"/>
      <c r="AU879" s="18"/>
      <c r="AV879" s="18"/>
    </row>
    <row r="880" spans="5:48" x14ac:dyDescent="0.2">
      <c r="E880" s="1"/>
      <c r="F880" s="1"/>
      <c r="G880" s="1"/>
      <c r="H880" s="1"/>
      <c r="I880" s="1"/>
      <c r="J880" s="1"/>
      <c r="K880" s="1"/>
      <c r="L880" s="1"/>
      <c r="M880" s="1"/>
      <c r="AU880" s="18"/>
      <c r="AV880" s="18"/>
    </row>
    <row r="881" spans="5:48" x14ac:dyDescent="0.2">
      <c r="E881" s="1"/>
      <c r="F881" s="1"/>
      <c r="G881" s="1"/>
      <c r="H881" s="1"/>
      <c r="I881" s="1"/>
      <c r="J881" s="1"/>
      <c r="K881" s="1"/>
      <c r="L881" s="1"/>
      <c r="M881" s="1"/>
      <c r="AU881" s="18"/>
      <c r="AV881" s="18"/>
    </row>
    <row r="882" spans="5:48" x14ac:dyDescent="0.2">
      <c r="E882" s="1"/>
      <c r="F882" s="1"/>
      <c r="G882" s="1"/>
      <c r="H882" s="1"/>
      <c r="I882" s="1"/>
      <c r="J882" s="1"/>
      <c r="K882" s="1"/>
      <c r="L882" s="1"/>
      <c r="M882" s="1"/>
      <c r="AU882" s="18"/>
      <c r="AV882" s="18"/>
    </row>
    <row r="883" spans="5:48" x14ac:dyDescent="0.2">
      <c r="E883" s="1"/>
      <c r="F883" s="1"/>
      <c r="G883" s="1"/>
      <c r="H883" s="1"/>
      <c r="I883" s="1"/>
      <c r="J883" s="1"/>
      <c r="K883" s="1"/>
      <c r="L883" s="1"/>
      <c r="M883" s="1"/>
      <c r="AU883" s="18"/>
      <c r="AV883" s="18"/>
    </row>
    <row r="884" spans="5:48" x14ac:dyDescent="0.2">
      <c r="E884" s="1"/>
      <c r="F884" s="1"/>
      <c r="G884" s="1"/>
      <c r="H884" s="1"/>
      <c r="I884" s="1"/>
      <c r="J884" s="1"/>
      <c r="K884" s="1"/>
      <c r="L884" s="1"/>
      <c r="M884" s="1"/>
      <c r="AU884" s="18"/>
      <c r="AV884" s="18"/>
    </row>
    <row r="885" spans="5:48" x14ac:dyDescent="0.2">
      <c r="E885" s="1"/>
      <c r="F885" s="1"/>
      <c r="G885" s="1"/>
      <c r="H885" s="1"/>
      <c r="I885" s="1"/>
      <c r="J885" s="1"/>
      <c r="K885" s="1"/>
      <c r="L885" s="1"/>
      <c r="M885" s="1"/>
      <c r="AU885" s="18"/>
      <c r="AV885" s="18"/>
    </row>
    <row r="886" spans="5:48" x14ac:dyDescent="0.2">
      <c r="E886" s="1"/>
      <c r="F886" s="1"/>
      <c r="G886" s="1"/>
      <c r="H886" s="1"/>
      <c r="I886" s="1"/>
      <c r="J886" s="1"/>
      <c r="K886" s="1"/>
      <c r="L886" s="1"/>
      <c r="M886" s="1"/>
      <c r="AU886" s="18"/>
      <c r="AV886" s="18"/>
    </row>
    <row r="887" spans="5:48" x14ac:dyDescent="0.2">
      <c r="E887" s="1"/>
      <c r="F887" s="1"/>
      <c r="G887" s="1"/>
      <c r="H887" s="1"/>
      <c r="I887" s="1"/>
      <c r="J887" s="1"/>
      <c r="K887" s="1"/>
      <c r="L887" s="1"/>
      <c r="M887" s="1"/>
      <c r="AU887" s="18"/>
      <c r="AV887" s="18"/>
    </row>
    <row r="888" spans="5:48" x14ac:dyDescent="0.2">
      <c r="E888" s="1"/>
      <c r="F888" s="1"/>
      <c r="G888" s="1"/>
      <c r="H888" s="1"/>
      <c r="I888" s="1"/>
      <c r="J888" s="1"/>
      <c r="K888" s="1"/>
      <c r="L888" s="1"/>
      <c r="M888" s="1"/>
      <c r="AU888" s="18"/>
      <c r="AV888" s="18"/>
    </row>
    <row r="889" spans="5:48" x14ac:dyDescent="0.2">
      <c r="E889" s="1"/>
      <c r="F889" s="1"/>
      <c r="G889" s="1"/>
      <c r="H889" s="1"/>
      <c r="I889" s="1"/>
      <c r="J889" s="1"/>
      <c r="K889" s="1"/>
      <c r="L889" s="1"/>
      <c r="M889" s="1"/>
      <c r="AU889" s="18"/>
      <c r="AV889" s="18"/>
    </row>
    <row r="890" spans="5:48" x14ac:dyDescent="0.2">
      <c r="E890" s="1"/>
      <c r="F890" s="1"/>
      <c r="G890" s="1"/>
      <c r="H890" s="1"/>
      <c r="I890" s="1"/>
      <c r="J890" s="1"/>
      <c r="K890" s="1"/>
      <c r="L890" s="1"/>
      <c r="M890" s="1"/>
      <c r="AU890" s="18"/>
      <c r="AV890" s="18"/>
    </row>
    <row r="891" spans="5:48" x14ac:dyDescent="0.2">
      <c r="E891" s="1"/>
      <c r="F891" s="1"/>
      <c r="G891" s="1"/>
      <c r="H891" s="1"/>
      <c r="I891" s="1"/>
      <c r="J891" s="1"/>
      <c r="K891" s="1"/>
      <c r="L891" s="1"/>
      <c r="M891" s="1"/>
      <c r="AU891" s="18"/>
      <c r="AV891" s="18"/>
    </row>
    <row r="892" spans="5:48" x14ac:dyDescent="0.2">
      <c r="E892" s="1"/>
      <c r="F892" s="1"/>
      <c r="G892" s="1"/>
      <c r="H892" s="1"/>
      <c r="I892" s="1"/>
      <c r="J892" s="1"/>
      <c r="K892" s="1"/>
      <c r="L892" s="1"/>
      <c r="M892" s="1"/>
      <c r="AU892" s="18"/>
      <c r="AV892" s="18"/>
    </row>
    <row r="893" spans="5:48" x14ac:dyDescent="0.2">
      <c r="E893" s="1"/>
      <c r="F893" s="1"/>
      <c r="G893" s="1"/>
      <c r="H893" s="1"/>
      <c r="I893" s="1"/>
      <c r="J893" s="1"/>
      <c r="K893" s="1"/>
      <c r="L893" s="1"/>
      <c r="M893" s="1"/>
      <c r="AU893" s="18"/>
      <c r="AV893" s="18"/>
    </row>
    <row r="894" spans="5:48" x14ac:dyDescent="0.2">
      <c r="E894" s="1"/>
      <c r="F894" s="1"/>
      <c r="G894" s="1"/>
      <c r="H894" s="1"/>
      <c r="I894" s="1"/>
      <c r="J894" s="1"/>
      <c r="K894" s="1"/>
      <c r="L894" s="1"/>
      <c r="M894" s="1"/>
      <c r="AU894" s="18"/>
      <c r="AV894" s="18"/>
    </row>
    <row r="895" spans="5:48" x14ac:dyDescent="0.2">
      <c r="E895" s="1"/>
      <c r="F895" s="1"/>
      <c r="G895" s="1"/>
      <c r="H895" s="1"/>
      <c r="I895" s="1"/>
      <c r="J895" s="1"/>
      <c r="K895" s="1"/>
      <c r="L895" s="1"/>
      <c r="M895" s="1"/>
      <c r="AU895" s="18"/>
      <c r="AV895" s="18"/>
    </row>
    <row r="896" spans="5:48" x14ac:dyDescent="0.2">
      <c r="E896" s="1"/>
      <c r="F896" s="1"/>
      <c r="G896" s="1"/>
      <c r="H896" s="1"/>
      <c r="I896" s="1"/>
      <c r="J896" s="1"/>
      <c r="K896" s="1"/>
      <c r="L896" s="1"/>
      <c r="M896" s="1"/>
      <c r="AU896" s="18"/>
      <c r="AV896" s="18"/>
    </row>
    <row r="897" spans="5:48" x14ac:dyDescent="0.2">
      <c r="E897" s="1"/>
      <c r="F897" s="1"/>
      <c r="G897" s="1"/>
      <c r="H897" s="1"/>
      <c r="I897" s="1"/>
      <c r="J897" s="1"/>
      <c r="K897" s="1"/>
      <c r="L897" s="1"/>
      <c r="M897" s="1"/>
      <c r="AU897" s="18"/>
      <c r="AV897" s="18"/>
    </row>
    <row r="898" spans="5:48" x14ac:dyDescent="0.2">
      <c r="E898" s="1"/>
      <c r="F898" s="1"/>
      <c r="G898" s="1"/>
      <c r="H898" s="1"/>
      <c r="I898" s="1"/>
      <c r="J898" s="1"/>
      <c r="K898" s="1"/>
      <c r="L898" s="1"/>
      <c r="M898" s="1"/>
      <c r="AU898" s="18"/>
      <c r="AV898" s="18"/>
    </row>
    <row r="899" spans="5:48" x14ac:dyDescent="0.2">
      <c r="E899" s="1"/>
      <c r="F899" s="1"/>
      <c r="G899" s="1"/>
      <c r="H899" s="1"/>
      <c r="I899" s="1"/>
      <c r="J899" s="1"/>
      <c r="K899" s="1"/>
      <c r="L899" s="1"/>
      <c r="M899" s="1"/>
      <c r="AU899" s="18"/>
      <c r="AV899" s="18"/>
    </row>
    <row r="900" spans="5:48" x14ac:dyDescent="0.2">
      <c r="E900" s="1"/>
      <c r="F900" s="1"/>
      <c r="G900" s="1"/>
      <c r="H900" s="1"/>
      <c r="I900" s="1"/>
      <c r="J900" s="1"/>
      <c r="K900" s="1"/>
      <c r="L900" s="1"/>
      <c r="M900" s="1"/>
      <c r="AU900" s="18"/>
      <c r="AV900" s="18"/>
    </row>
    <row r="901" spans="5:48" x14ac:dyDescent="0.2">
      <c r="E901" s="1"/>
      <c r="F901" s="1"/>
      <c r="G901" s="1"/>
      <c r="H901" s="1"/>
      <c r="I901" s="1"/>
      <c r="J901" s="1"/>
      <c r="K901" s="1"/>
      <c r="L901" s="1"/>
      <c r="M901" s="1"/>
      <c r="AU901" s="18"/>
      <c r="AV901" s="18"/>
    </row>
    <row r="902" spans="5:48" x14ac:dyDescent="0.2">
      <c r="E902" s="1"/>
      <c r="F902" s="1"/>
      <c r="G902" s="1"/>
      <c r="H902" s="1"/>
      <c r="I902" s="1"/>
      <c r="J902" s="1"/>
      <c r="K902" s="1"/>
      <c r="L902" s="1"/>
      <c r="M902" s="1"/>
      <c r="AU902" s="18"/>
      <c r="AV902" s="18"/>
    </row>
    <row r="903" spans="5:48" x14ac:dyDescent="0.2">
      <c r="E903" s="1"/>
      <c r="F903" s="1"/>
      <c r="G903" s="1"/>
      <c r="H903" s="1"/>
      <c r="I903" s="1"/>
      <c r="J903" s="1"/>
      <c r="K903" s="1"/>
      <c r="L903" s="1"/>
      <c r="M903" s="1"/>
      <c r="AU903" s="18"/>
      <c r="AV903" s="18"/>
    </row>
    <row r="904" spans="5:48" x14ac:dyDescent="0.2">
      <c r="E904" s="1"/>
      <c r="F904" s="1"/>
      <c r="G904" s="1"/>
      <c r="H904" s="1"/>
      <c r="I904" s="1"/>
      <c r="J904" s="1"/>
      <c r="K904" s="1"/>
      <c r="L904" s="1"/>
      <c r="M904" s="1"/>
      <c r="AU904" s="18"/>
      <c r="AV904" s="18"/>
    </row>
    <row r="905" spans="5:48" x14ac:dyDescent="0.2">
      <c r="E905" s="1"/>
      <c r="F905" s="1"/>
      <c r="G905" s="1"/>
      <c r="H905" s="1"/>
      <c r="I905" s="1"/>
      <c r="J905" s="1"/>
      <c r="K905" s="1"/>
      <c r="L905" s="1"/>
      <c r="M905" s="1"/>
      <c r="AU905" s="18"/>
      <c r="AV905" s="18"/>
    </row>
    <row r="906" spans="5:48" x14ac:dyDescent="0.2">
      <c r="E906" s="1"/>
      <c r="F906" s="1"/>
      <c r="G906" s="1"/>
      <c r="H906" s="1"/>
      <c r="I906" s="1"/>
      <c r="J906" s="1"/>
      <c r="K906" s="1"/>
      <c r="L906" s="1"/>
      <c r="M906" s="1"/>
      <c r="AU906" s="18"/>
      <c r="AV906" s="18"/>
    </row>
    <row r="907" spans="5:48" x14ac:dyDescent="0.2">
      <c r="E907" s="1"/>
      <c r="F907" s="1"/>
      <c r="G907" s="1"/>
      <c r="H907" s="1"/>
      <c r="I907" s="1"/>
      <c r="J907" s="1"/>
      <c r="K907" s="1"/>
      <c r="L907" s="1"/>
      <c r="M907" s="1"/>
      <c r="AU907" s="18"/>
      <c r="AV907" s="18"/>
    </row>
    <row r="908" spans="5:48" x14ac:dyDescent="0.2">
      <c r="E908" s="1"/>
      <c r="F908" s="1"/>
      <c r="G908" s="1"/>
      <c r="H908" s="1"/>
      <c r="I908" s="1"/>
      <c r="J908" s="1"/>
      <c r="K908" s="1"/>
      <c r="L908" s="1"/>
      <c r="M908" s="1"/>
      <c r="AU908" s="18"/>
      <c r="AV908" s="18"/>
    </row>
    <row r="909" spans="5:48" x14ac:dyDescent="0.2">
      <c r="E909" s="1"/>
      <c r="F909" s="1"/>
      <c r="G909" s="1"/>
      <c r="H909" s="1"/>
      <c r="I909" s="1"/>
      <c r="J909" s="1"/>
      <c r="K909" s="1"/>
      <c r="L909" s="1"/>
      <c r="M909" s="1"/>
      <c r="AU909" s="18"/>
      <c r="AV909" s="18"/>
    </row>
    <row r="910" spans="5:48" x14ac:dyDescent="0.2">
      <c r="E910" s="1"/>
      <c r="F910" s="1"/>
      <c r="G910" s="1"/>
      <c r="H910" s="1"/>
      <c r="I910" s="1"/>
      <c r="J910" s="1"/>
      <c r="K910" s="1"/>
      <c r="L910" s="1"/>
      <c r="M910" s="1"/>
      <c r="AU910" s="18"/>
      <c r="AV910" s="18"/>
    </row>
    <row r="911" spans="5:48" x14ac:dyDescent="0.2">
      <c r="E911" s="1"/>
      <c r="F911" s="1"/>
      <c r="G911" s="1"/>
      <c r="H911" s="1"/>
      <c r="I911" s="1"/>
      <c r="J911" s="1"/>
      <c r="K911" s="1"/>
      <c r="L911" s="1"/>
      <c r="M911" s="1"/>
      <c r="AU911" s="18"/>
      <c r="AV911" s="18"/>
    </row>
    <row r="912" spans="5:48" x14ac:dyDescent="0.2">
      <c r="E912" s="1"/>
      <c r="F912" s="1"/>
      <c r="G912" s="1"/>
      <c r="H912" s="1"/>
      <c r="I912" s="1"/>
      <c r="J912" s="1"/>
      <c r="K912" s="1"/>
      <c r="L912" s="1"/>
      <c r="M912" s="1"/>
      <c r="AU912" s="18"/>
      <c r="AV912" s="18"/>
    </row>
    <row r="913" spans="5:48" x14ac:dyDescent="0.2">
      <c r="E913" s="1"/>
      <c r="F913" s="1"/>
      <c r="G913" s="1"/>
      <c r="H913" s="1"/>
      <c r="I913" s="1"/>
      <c r="J913" s="1"/>
      <c r="K913" s="1"/>
      <c r="L913" s="1"/>
      <c r="M913" s="1"/>
      <c r="AU913" s="18"/>
      <c r="AV913" s="18"/>
    </row>
    <row r="914" spans="5:48" x14ac:dyDescent="0.2">
      <c r="E914" s="1"/>
      <c r="F914" s="1"/>
      <c r="G914" s="1"/>
      <c r="H914" s="1"/>
      <c r="I914" s="1"/>
      <c r="J914" s="1"/>
      <c r="K914" s="1"/>
      <c r="L914" s="1"/>
      <c r="M914" s="1"/>
      <c r="AU914" s="18"/>
      <c r="AV914" s="18"/>
    </row>
    <row r="915" spans="5:48" x14ac:dyDescent="0.2">
      <c r="E915" s="1"/>
      <c r="F915" s="1"/>
      <c r="G915" s="1"/>
      <c r="H915" s="1"/>
      <c r="I915" s="1"/>
      <c r="J915" s="1"/>
      <c r="K915" s="1"/>
      <c r="L915" s="1"/>
      <c r="M915" s="1"/>
      <c r="AU915" s="18"/>
      <c r="AV915" s="18"/>
    </row>
    <row r="916" spans="5:48" x14ac:dyDescent="0.2">
      <c r="E916" s="1"/>
      <c r="F916" s="1"/>
      <c r="G916" s="1"/>
      <c r="H916" s="1"/>
      <c r="I916" s="1"/>
      <c r="J916" s="1"/>
      <c r="K916" s="1"/>
      <c r="L916" s="1"/>
      <c r="M916" s="1"/>
      <c r="AU916" s="18"/>
      <c r="AV916" s="18"/>
    </row>
    <row r="917" spans="5:48" x14ac:dyDescent="0.2">
      <c r="E917" s="1"/>
      <c r="F917" s="1"/>
      <c r="G917" s="1"/>
      <c r="H917" s="1"/>
      <c r="I917" s="1"/>
      <c r="J917" s="1"/>
      <c r="K917" s="1"/>
      <c r="L917" s="1"/>
      <c r="M917" s="1"/>
      <c r="AU917" s="18"/>
      <c r="AV917" s="18"/>
    </row>
    <row r="918" spans="5:48" x14ac:dyDescent="0.2">
      <c r="E918" s="1"/>
      <c r="F918" s="1"/>
      <c r="G918" s="1"/>
      <c r="H918" s="1"/>
      <c r="I918" s="1"/>
      <c r="J918" s="1"/>
      <c r="K918" s="1"/>
      <c r="L918" s="1"/>
      <c r="M918" s="1"/>
      <c r="AU918" s="18"/>
      <c r="AV918" s="18"/>
    </row>
    <row r="919" spans="5:48" x14ac:dyDescent="0.2">
      <c r="E919" s="1"/>
      <c r="F919" s="1"/>
      <c r="G919" s="1"/>
      <c r="H919" s="1"/>
      <c r="I919" s="1"/>
      <c r="J919" s="1"/>
      <c r="K919" s="1"/>
      <c r="L919" s="1"/>
      <c r="M919" s="1"/>
      <c r="AU919" s="18"/>
      <c r="AV919" s="18"/>
    </row>
    <row r="920" spans="5:48" x14ac:dyDescent="0.2">
      <c r="E920" s="1"/>
      <c r="F920" s="1"/>
      <c r="G920" s="1"/>
      <c r="H920" s="1"/>
      <c r="I920" s="1"/>
      <c r="J920" s="1"/>
      <c r="K920" s="1"/>
      <c r="L920" s="1"/>
      <c r="M920" s="1"/>
      <c r="AU920" s="18"/>
      <c r="AV920" s="18"/>
    </row>
    <row r="921" spans="5:48" x14ac:dyDescent="0.2">
      <c r="E921" s="1"/>
      <c r="F921" s="1"/>
      <c r="G921" s="1"/>
      <c r="H921" s="1"/>
      <c r="I921" s="1"/>
      <c r="J921" s="1"/>
      <c r="K921" s="1"/>
      <c r="L921" s="1"/>
      <c r="M921" s="1"/>
      <c r="AU921" s="18"/>
      <c r="AV921" s="18"/>
    </row>
    <row r="922" spans="5:48" x14ac:dyDescent="0.2">
      <c r="E922" s="1"/>
      <c r="F922" s="1"/>
      <c r="G922" s="1"/>
      <c r="H922" s="1"/>
      <c r="I922" s="1"/>
      <c r="J922" s="1"/>
      <c r="K922" s="1"/>
      <c r="L922" s="1"/>
      <c r="M922" s="1"/>
      <c r="AU922" s="18"/>
      <c r="AV922" s="18"/>
    </row>
    <row r="923" spans="5:48" x14ac:dyDescent="0.2">
      <c r="E923" s="1"/>
      <c r="F923" s="1"/>
      <c r="G923" s="1"/>
      <c r="H923" s="1"/>
      <c r="I923" s="1"/>
      <c r="J923" s="1"/>
      <c r="K923" s="1"/>
      <c r="L923" s="1"/>
      <c r="M923" s="1"/>
      <c r="AU923" s="18"/>
      <c r="AV923" s="18"/>
    </row>
    <row r="924" spans="5:48" x14ac:dyDescent="0.2">
      <c r="E924" s="1"/>
      <c r="F924" s="1"/>
      <c r="G924" s="1"/>
      <c r="H924" s="1"/>
      <c r="I924" s="1"/>
      <c r="J924" s="1"/>
      <c r="K924" s="1"/>
      <c r="L924" s="1"/>
      <c r="M924" s="1"/>
      <c r="AU924" s="18"/>
      <c r="AV924" s="18"/>
    </row>
    <row r="925" spans="5:48" x14ac:dyDescent="0.2">
      <c r="E925" s="1"/>
      <c r="F925" s="1"/>
      <c r="G925" s="1"/>
      <c r="H925" s="1"/>
      <c r="I925" s="1"/>
      <c r="J925" s="1"/>
      <c r="K925" s="1"/>
      <c r="L925" s="1"/>
      <c r="M925" s="1"/>
      <c r="AU925" s="18"/>
      <c r="AV925" s="18"/>
    </row>
    <row r="926" spans="5:48" x14ac:dyDescent="0.2">
      <c r="E926" s="1"/>
      <c r="F926" s="1"/>
      <c r="G926" s="1"/>
      <c r="H926" s="1"/>
      <c r="I926" s="1"/>
      <c r="J926" s="1"/>
      <c r="K926" s="1"/>
      <c r="L926" s="1"/>
      <c r="M926" s="1"/>
      <c r="AU926" s="18"/>
      <c r="AV926" s="18"/>
    </row>
    <row r="927" spans="5:48" x14ac:dyDescent="0.2">
      <c r="E927" s="1"/>
      <c r="F927" s="1"/>
      <c r="G927" s="1"/>
      <c r="H927" s="1"/>
      <c r="I927" s="1"/>
      <c r="J927" s="1"/>
      <c r="K927" s="1"/>
      <c r="L927" s="1"/>
      <c r="M927" s="1"/>
      <c r="AU927" s="18"/>
      <c r="AV927" s="18"/>
    </row>
    <row r="928" spans="5:48" x14ac:dyDescent="0.2">
      <c r="E928" s="1"/>
      <c r="F928" s="1"/>
      <c r="G928" s="1"/>
      <c r="H928" s="1"/>
      <c r="I928" s="1"/>
      <c r="J928" s="1"/>
      <c r="K928" s="1"/>
      <c r="L928" s="1"/>
      <c r="M928" s="1"/>
      <c r="AU928" s="18"/>
      <c r="AV928" s="18"/>
    </row>
    <row r="929" spans="5:48" x14ac:dyDescent="0.2">
      <c r="E929" s="1"/>
      <c r="F929" s="1"/>
      <c r="G929" s="1"/>
      <c r="H929" s="1"/>
      <c r="I929" s="1"/>
      <c r="J929" s="1"/>
      <c r="K929" s="1"/>
      <c r="L929" s="1"/>
      <c r="M929" s="1"/>
      <c r="AU929" s="18"/>
      <c r="AV929" s="18"/>
    </row>
    <row r="930" spans="5:48" x14ac:dyDescent="0.2">
      <c r="E930" s="1"/>
      <c r="F930" s="1"/>
      <c r="G930" s="1"/>
      <c r="H930" s="1"/>
      <c r="I930" s="1"/>
      <c r="J930" s="1"/>
      <c r="K930" s="1"/>
      <c r="L930" s="1"/>
      <c r="M930" s="1"/>
      <c r="AU930" s="18"/>
      <c r="AV930" s="18"/>
    </row>
    <row r="931" spans="5:48" x14ac:dyDescent="0.2">
      <c r="E931" s="1"/>
      <c r="F931" s="1"/>
      <c r="G931" s="1"/>
      <c r="H931" s="1"/>
      <c r="I931" s="1"/>
      <c r="J931" s="1"/>
      <c r="K931" s="1"/>
      <c r="L931" s="1"/>
      <c r="M931" s="1"/>
      <c r="AU931" s="18"/>
      <c r="AV931" s="18"/>
    </row>
    <row r="932" spans="5:48" x14ac:dyDescent="0.2">
      <c r="E932" s="1"/>
      <c r="F932" s="1"/>
      <c r="G932" s="1"/>
      <c r="H932" s="1"/>
      <c r="I932" s="1"/>
      <c r="J932" s="1"/>
      <c r="K932" s="1"/>
      <c r="L932" s="1"/>
      <c r="M932" s="1"/>
      <c r="AU932" s="18"/>
      <c r="AV932" s="18"/>
    </row>
    <row r="933" spans="5:48" x14ac:dyDescent="0.2">
      <c r="E933" s="1"/>
      <c r="F933" s="1"/>
      <c r="G933" s="1"/>
      <c r="H933" s="1"/>
      <c r="I933" s="1"/>
      <c r="J933" s="1"/>
      <c r="K933" s="1"/>
      <c r="L933" s="1"/>
      <c r="M933" s="1"/>
      <c r="AU933" s="18"/>
      <c r="AV933" s="18"/>
    </row>
    <row r="934" spans="5:48" x14ac:dyDescent="0.2">
      <c r="E934" s="1"/>
      <c r="F934" s="1"/>
      <c r="G934" s="1"/>
      <c r="H934" s="1"/>
      <c r="I934" s="1"/>
      <c r="J934" s="1"/>
      <c r="K934" s="1"/>
      <c r="L934" s="1"/>
      <c r="M934" s="1"/>
      <c r="AU934" s="18"/>
      <c r="AV934" s="18"/>
    </row>
    <row r="935" spans="5:48" x14ac:dyDescent="0.2">
      <c r="E935" s="1"/>
      <c r="F935" s="1"/>
      <c r="G935" s="1"/>
      <c r="H935" s="1"/>
      <c r="I935" s="1"/>
      <c r="J935" s="1"/>
      <c r="K935" s="1"/>
      <c r="L935" s="1"/>
      <c r="M935" s="1"/>
      <c r="AU935" s="18"/>
      <c r="AV935" s="18"/>
    </row>
    <row r="936" spans="5:48" x14ac:dyDescent="0.2">
      <c r="E936" s="1"/>
      <c r="F936" s="1"/>
      <c r="G936" s="1"/>
      <c r="H936" s="1"/>
      <c r="I936" s="1"/>
      <c r="J936" s="1"/>
      <c r="K936" s="1"/>
      <c r="L936" s="1"/>
      <c r="M936" s="1"/>
      <c r="AU936" s="18"/>
      <c r="AV936" s="18"/>
    </row>
    <row r="937" spans="5:48" x14ac:dyDescent="0.2">
      <c r="E937" s="1"/>
      <c r="F937" s="1"/>
      <c r="G937" s="1"/>
      <c r="H937" s="1"/>
      <c r="I937" s="1"/>
      <c r="J937" s="1"/>
      <c r="K937" s="1"/>
      <c r="L937" s="1"/>
      <c r="M937" s="1"/>
      <c r="AU937" s="18"/>
      <c r="AV937" s="18"/>
    </row>
    <row r="938" spans="5:48" x14ac:dyDescent="0.2">
      <c r="E938" s="1"/>
      <c r="F938" s="1"/>
      <c r="G938" s="1"/>
      <c r="H938" s="1"/>
      <c r="I938" s="1"/>
      <c r="J938" s="1"/>
      <c r="K938" s="1"/>
      <c r="L938" s="1"/>
      <c r="M938" s="1"/>
      <c r="AU938" s="18"/>
      <c r="AV938" s="18"/>
    </row>
    <row r="939" spans="5:48" x14ac:dyDescent="0.2">
      <c r="E939" s="1"/>
      <c r="F939" s="1"/>
      <c r="G939" s="1"/>
      <c r="H939" s="1"/>
      <c r="I939" s="1"/>
      <c r="J939" s="1"/>
      <c r="K939" s="1"/>
      <c r="L939" s="1"/>
      <c r="M939" s="1"/>
      <c r="AU939" s="18"/>
      <c r="AV939" s="18"/>
    </row>
    <row r="940" spans="5:48" x14ac:dyDescent="0.2">
      <c r="E940" s="1"/>
      <c r="F940" s="1"/>
      <c r="G940" s="1"/>
      <c r="H940" s="1"/>
      <c r="I940" s="1"/>
      <c r="J940" s="1"/>
      <c r="K940" s="1"/>
      <c r="L940" s="1"/>
      <c r="M940" s="1"/>
      <c r="AU940" s="18"/>
      <c r="AV940" s="18"/>
    </row>
    <row r="941" spans="5:48" x14ac:dyDescent="0.2">
      <c r="E941" s="1"/>
      <c r="F941" s="1"/>
      <c r="G941" s="1"/>
      <c r="H941" s="1"/>
      <c r="I941" s="1"/>
      <c r="J941" s="1"/>
      <c r="K941" s="1"/>
      <c r="L941" s="1"/>
      <c r="M941" s="1"/>
      <c r="AU941" s="18"/>
      <c r="AV941" s="18"/>
    </row>
    <row r="942" spans="5:48" x14ac:dyDescent="0.2">
      <c r="E942" s="1"/>
      <c r="F942" s="1"/>
      <c r="G942" s="1"/>
      <c r="H942" s="1"/>
      <c r="I942" s="1"/>
      <c r="J942" s="1"/>
      <c r="K942" s="1"/>
      <c r="L942" s="1"/>
      <c r="M942" s="1"/>
      <c r="AU942" s="18"/>
      <c r="AV942" s="18"/>
    </row>
    <row r="943" spans="5:48" x14ac:dyDescent="0.2">
      <c r="E943" s="1"/>
      <c r="F943" s="1"/>
      <c r="G943" s="1"/>
      <c r="H943" s="1"/>
      <c r="I943" s="1"/>
      <c r="J943" s="1"/>
      <c r="K943" s="1"/>
      <c r="L943" s="1"/>
      <c r="M943" s="1"/>
      <c r="AU943" s="18"/>
      <c r="AV943" s="18"/>
    </row>
    <row r="944" spans="5:48" x14ac:dyDescent="0.2">
      <c r="E944" s="1"/>
      <c r="F944" s="1"/>
      <c r="G944" s="1"/>
      <c r="H944" s="1"/>
      <c r="I944" s="1"/>
      <c r="J944" s="1"/>
      <c r="K944" s="1"/>
      <c r="L944" s="1"/>
      <c r="M944" s="1"/>
      <c r="AU944" s="18"/>
      <c r="AV944" s="18"/>
    </row>
    <row r="945" spans="5:48" x14ac:dyDescent="0.2">
      <c r="E945" s="1"/>
      <c r="F945" s="1"/>
      <c r="G945" s="1"/>
      <c r="H945" s="1"/>
      <c r="I945" s="1"/>
      <c r="J945" s="1"/>
      <c r="K945" s="1"/>
      <c r="L945" s="1"/>
      <c r="M945" s="1"/>
      <c r="AU945" s="18"/>
      <c r="AV945" s="18"/>
    </row>
    <row r="946" spans="5:48" x14ac:dyDescent="0.2">
      <c r="E946" s="1"/>
      <c r="F946" s="1"/>
      <c r="G946" s="1"/>
      <c r="H946" s="1"/>
      <c r="I946" s="1"/>
      <c r="J946" s="1"/>
      <c r="K946" s="1"/>
      <c r="L946" s="1"/>
      <c r="M946" s="1"/>
      <c r="AU946" s="18"/>
      <c r="AV946" s="18"/>
    </row>
    <row r="947" spans="5:48" x14ac:dyDescent="0.2">
      <c r="E947" s="1"/>
      <c r="F947" s="1"/>
      <c r="G947" s="1"/>
      <c r="H947" s="1"/>
      <c r="I947" s="1"/>
      <c r="J947" s="1"/>
      <c r="K947" s="1"/>
      <c r="L947" s="1"/>
      <c r="M947" s="1"/>
      <c r="AU947" s="18"/>
      <c r="AV947" s="18"/>
    </row>
    <row r="948" spans="5:48" x14ac:dyDescent="0.2">
      <c r="E948" s="1"/>
      <c r="F948" s="1"/>
      <c r="G948" s="1"/>
      <c r="H948" s="1"/>
      <c r="I948" s="1"/>
      <c r="J948" s="1"/>
      <c r="K948" s="1"/>
      <c r="L948" s="1"/>
      <c r="M948" s="1"/>
      <c r="AU948" s="18"/>
      <c r="AV948" s="18"/>
    </row>
    <row r="949" spans="5:48" x14ac:dyDescent="0.2">
      <c r="E949" s="1"/>
      <c r="F949" s="1"/>
      <c r="G949" s="1"/>
      <c r="H949" s="1"/>
      <c r="I949" s="1"/>
      <c r="J949" s="1"/>
      <c r="K949" s="1"/>
      <c r="L949" s="1"/>
      <c r="M949" s="1"/>
      <c r="AU949" s="18"/>
      <c r="AV949" s="18"/>
    </row>
    <row r="950" spans="5:48" x14ac:dyDescent="0.2">
      <c r="E950" s="1"/>
      <c r="F950" s="1"/>
      <c r="G950" s="1"/>
      <c r="H950" s="1"/>
      <c r="I950" s="1"/>
      <c r="J950" s="1"/>
      <c r="K950" s="1"/>
      <c r="L950" s="1"/>
      <c r="M950" s="1"/>
      <c r="AU950" s="18"/>
      <c r="AV950" s="18"/>
    </row>
    <row r="951" spans="5:48" x14ac:dyDescent="0.2">
      <c r="E951" s="1"/>
      <c r="F951" s="1"/>
      <c r="G951" s="1"/>
      <c r="H951" s="1"/>
      <c r="I951" s="1"/>
      <c r="J951" s="1"/>
      <c r="K951" s="1"/>
      <c r="L951" s="1"/>
      <c r="M951" s="1"/>
      <c r="AU951" s="18"/>
      <c r="AV951" s="18"/>
    </row>
    <row r="952" spans="5:48" x14ac:dyDescent="0.2">
      <c r="E952" s="1"/>
      <c r="F952" s="1"/>
      <c r="G952" s="1"/>
      <c r="H952" s="1"/>
      <c r="I952" s="1"/>
      <c r="J952" s="1"/>
      <c r="K952" s="1"/>
      <c r="L952" s="1"/>
      <c r="M952" s="1"/>
      <c r="AU952" s="18"/>
      <c r="AV952" s="18"/>
    </row>
    <row r="953" spans="5:48" x14ac:dyDescent="0.2">
      <c r="E953" s="1"/>
      <c r="F953" s="1"/>
      <c r="G953" s="1"/>
      <c r="H953" s="1"/>
      <c r="I953" s="1"/>
      <c r="J953" s="1"/>
      <c r="K953" s="1"/>
      <c r="L953" s="1"/>
      <c r="M953" s="1"/>
      <c r="AU953" s="18"/>
      <c r="AV953" s="18"/>
    </row>
    <row r="954" spans="5:48" x14ac:dyDescent="0.2">
      <c r="E954" s="1"/>
      <c r="F954" s="1"/>
      <c r="G954" s="1"/>
      <c r="H954" s="1"/>
      <c r="I954" s="1"/>
      <c r="J954" s="1"/>
      <c r="K954" s="1"/>
      <c r="L954" s="1"/>
      <c r="M954" s="1"/>
      <c r="AU954" s="18"/>
      <c r="AV954" s="18"/>
    </row>
    <row r="955" spans="5:48" x14ac:dyDescent="0.2">
      <c r="E955" s="1"/>
      <c r="F955" s="1"/>
      <c r="G955" s="1"/>
      <c r="H955" s="1"/>
      <c r="I955" s="1"/>
      <c r="J955" s="1"/>
      <c r="K955" s="1"/>
      <c r="L955" s="1"/>
      <c r="M955" s="1"/>
      <c r="AU955" s="18"/>
      <c r="AV955" s="18"/>
    </row>
    <row r="956" spans="5:48" x14ac:dyDescent="0.2">
      <c r="E956" s="1"/>
      <c r="F956" s="1"/>
      <c r="G956" s="1"/>
      <c r="H956" s="1"/>
      <c r="I956" s="1"/>
      <c r="J956" s="1"/>
      <c r="K956" s="1"/>
      <c r="L956" s="1"/>
      <c r="M956" s="1"/>
      <c r="AU956" s="18"/>
      <c r="AV956" s="18"/>
    </row>
    <row r="957" spans="5:48" x14ac:dyDescent="0.2">
      <c r="E957" s="1"/>
      <c r="F957" s="1"/>
      <c r="G957" s="1"/>
      <c r="H957" s="1"/>
      <c r="I957" s="1"/>
      <c r="J957" s="1"/>
      <c r="K957" s="1"/>
      <c r="L957" s="1"/>
      <c r="M957" s="1"/>
      <c r="AU957" s="18"/>
      <c r="AV957" s="18"/>
    </row>
    <row r="958" spans="5:48" x14ac:dyDescent="0.2">
      <c r="E958" s="1"/>
      <c r="F958" s="1"/>
      <c r="G958" s="1"/>
      <c r="H958" s="1"/>
      <c r="I958" s="1"/>
      <c r="J958" s="1"/>
      <c r="K958" s="1"/>
      <c r="L958" s="1"/>
      <c r="M958" s="1"/>
      <c r="AU958" s="18"/>
      <c r="AV958" s="18"/>
    </row>
    <row r="959" spans="5:48" x14ac:dyDescent="0.2">
      <c r="E959" s="1"/>
      <c r="F959" s="1"/>
      <c r="G959" s="1"/>
      <c r="H959" s="1"/>
      <c r="I959" s="1"/>
      <c r="J959" s="1"/>
      <c r="K959" s="1"/>
      <c r="L959" s="1"/>
      <c r="M959" s="1"/>
      <c r="AU959" s="18"/>
      <c r="AV959" s="18"/>
    </row>
    <row r="960" spans="5:48" x14ac:dyDescent="0.2">
      <c r="E960" s="1"/>
      <c r="F960" s="1"/>
      <c r="G960" s="1"/>
      <c r="H960" s="1"/>
      <c r="I960" s="1"/>
      <c r="J960" s="1"/>
      <c r="K960" s="1"/>
      <c r="L960" s="1"/>
      <c r="M960" s="1"/>
      <c r="AU960" s="18"/>
      <c r="AV960" s="18"/>
    </row>
    <row r="961" spans="5:48" x14ac:dyDescent="0.2">
      <c r="E961" s="1"/>
      <c r="F961" s="1"/>
      <c r="G961" s="1"/>
      <c r="H961" s="1"/>
      <c r="I961" s="1"/>
      <c r="J961" s="1"/>
      <c r="K961" s="1"/>
      <c r="L961" s="1"/>
      <c r="M961" s="1"/>
      <c r="AU961" s="18"/>
      <c r="AV961" s="18"/>
    </row>
    <row r="962" spans="5:48" x14ac:dyDescent="0.2">
      <c r="E962" s="1"/>
      <c r="F962" s="1"/>
      <c r="G962" s="1"/>
      <c r="H962" s="1"/>
      <c r="I962" s="1"/>
      <c r="J962" s="1"/>
      <c r="K962" s="1"/>
      <c r="L962" s="1"/>
      <c r="M962" s="1"/>
      <c r="AU962" s="18"/>
      <c r="AV962" s="18"/>
    </row>
    <row r="963" spans="5:48" x14ac:dyDescent="0.2">
      <c r="E963" s="1"/>
      <c r="F963" s="1"/>
      <c r="G963" s="1"/>
      <c r="H963" s="1"/>
      <c r="I963" s="1"/>
      <c r="J963" s="1"/>
      <c r="K963" s="1"/>
      <c r="L963" s="1"/>
      <c r="M963" s="1"/>
      <c r="AU963" s="18"/>
      <c r="AV963" s="18"/>
    </row>
    <row r="964" spans="5:48" x14ac:dyDescent="0.2">
      <c r="E964" s="1"/>
      <c r="F964" s="1"/>
      <c r="G964" s="1"/>
      <c r="H964" s="1"/>
      <c r="I964" s="1"/>
      <c r="J964" s="1"/>
      <c r="K964" s="1"/>
      <c r="L964" s="1"/>
      <c r="M964" s="1"/>
      <c r="AU964" s="18"/>
      <c r="AV964" s="18"/>
    </row>
    <row r="965" spans="5:48" x14ac:dyDescent="0.2">
      <c r="E965" s="1"/>
      <c r="F965" s="1"/>
      <c r="G965" s="1"/>
      <c r="H965" s="1"/>
      <c r="I965" s="1"/>
      <c r="J965" s="1"/>
      <c r="K965" s="1"/>
      <c r="L965" s="1"/>
      <c r="M965" s="1"/>
      <c r="AU965" s="18"/>
      <c r="AV965" s="18"/>
    </row>
    <row r="966" spans="5:48" x14ac:dyDescent="0.2">
      <c r="E966" s="1"/>
      <c r="F966" s="1"/>
      <c r="G966" s="1"/>
      <c r="H966" s="1"/>
      <c r="I966" s="1"/>
      <c r="J966" s="1"/>
      <c r="K966" s="1"/>
      <c r="L966" s="1"/>
      <c r="M966" s="1"/>
      <c r="AU966" s="18"/>
      <c r="AV966" s="18"/>
    </row>
    <row r="967" spans="5:48" x14ac:dyDescent="0.2">
      <c r="E967" s="1"/>
      <c r="F967" s="1"/>
      <c r="G967" s="1"/>
      <c r="H967" s="1"/>
      <c r="I967" s="1"/>
      <c r="J967" s="1"/>
      <c r="K967" s="1"/>
      <c r="L967" s="1"/>
      <c r="M967" s="1"/>
      <c r="AU967" s="18"/>
      <c r="AV967" s="18"/>
    </row>
    <row r="968" spans="5:48" x14ac:dyDescent="0.2">
      <c r="E968" s="1"/>
      <c r="F968" s="1"/>
      <c r="G968" s="1"/>
      <c r="H968" s="1"/>
      <c r="I968" s="1"/>
      <c r="J968" s="1"/>
      <c r="K968" s="1"/>
      <c r="L968" s="1"/>
      <c r="M968" s="1"/>
      <c r="AU968" s="18"/>
      <c r="AV968" s="18"/>
    </row>
    <row r="969" spans="5:48" x14ac:dyDescent="0.2">
      <c r="E969" s="1"/>
      <c r="F969" s="1"/>
      <c r="G969" s="1"/>
      <c r="H969" s="1"/>
      <c r="I969" s="1"/>
      <c r="J969" s="1"/>
      <c r="K969" s="1"/>
      <c r="L969" s="1"/>
      <c r="M969" s="1"/>
      <c r="AU969" s="18"/>
      <c r="AV969" s="18"/>
    </row>
    <row r="970" spans="5:48" x14ac:dyDescent="0.2">
      <c r="E970" s="1"/>
      <c r="F970" s="1"/>
      <c r="G970" s="1"/>
      <c r="H970" s="1"/>
      <c r="I970" s="1"/>
      <c r="J970" s="1"/>
      <c r="K970" s="1"/>
      <c r="L970" s="1"/>
      <c r="M970" s="1"/>
      <c r="AU970" s="18"/>
      <c r="AV970" s="18"/>
    </row>
    <row r="971" spans="5:48" x14ac:dyDescent="0.2">
      <c r="E971" s="1"/>
      <c r="F971" s="1"/>
      <c r="G971" s="1"/>
      <c r="H971" s="1"/>
      <c r="I971" s="1"/>
      <c r="J971" s="1"/>
      <c r="K971" s="1"/>
      <c r="L971" s="1"/>
      <c r="M971" s="1"/>
      <c r="AU971" s="18"/>
      <c r="AV971" s="18"/>
    </row>
    <row r="972" spans="5:48" x14ac:dyDescent="0.2">
      <c r="E972" s="1"/>
      <c r="F972" s="1"/>
      <c r="G972" s="1"/>
      <c r="H972" s="1"/>
      <c r="I972" s="1"/>
      <c r="J972" s="1"/>
      <c r="K972" s="1"/>
      <c r="L972" s="1"/>
      <c r="M972" s="1"/>
      <c r="AU972" s="18"/>
      <c r="AV972" s="18"/>
    </row>
    <row r="973" spans="5:48" x14ac:dyDescent="0.2">
      <c r="E973" s="1"/>
      <c r="F973" s="1"/>
      <c r="G973" s="1"/>
      <c r="H973" s="1"/>
      <c r="I973" s="1"/>
      <c r="J973" s="1"/>
      <c r="K973" s="1"/>
      <c r="L973" s="1"/>
      <c r="M973" s="1"/>
      <c r="AU973" s="18"/>
      <c r="AV973" s="18"/>
    </row>
    <row r="974" spans="5:48" x14ac:dyDescent="0.2">
      <c r="E974" s="1"/>
      <c r="F974" s="1"/>
      <c r="G974" s="1"/>
      <c r="H974" s="1"/>
      <c r="I974" s="1"/>
      <c r="J974" s="1"/>
      <c r="K974" s="1"/>
      <c r="L974" s="1"/>
      <c r="M974" s="1"/>
      <c r="AU974" s="18"/>
      <c r="AV974" s="18"/>
    </row>
    <row r="975" spans="5:48" x14ac:dyDescent="0.2">
      <c r="E975" s="1"/>
      <c r="F975" s="1"/>
      <c r="G975" s="1"/>
      <c r="H975" s="1"/>
      <c r="I975" s="1"/>
      <c r="J975" s="1"/>
      <c r="K975" s="1"/>
      <c r="L975" s="1"/>
      <c r="M975" s="1"/>
      <c r="AU975" s="18"/>
      <c r="AV975" s="18"/>
    </row>
    <row r="976" spans="5:48" x14ac:dyDescent="0.2">
      <c r="E976" s="1"/>
      <c r="F976" s="1"/>
      <c r="G976" s="1"/>
      <c r="H976" s="1"/>
      <c r="I976" s="1"/>
      <c r="J976" s="1"/>
      <c r="K976" s="1"/>
      <c r="L976" s="1"/>
      <c r="M976" s="1"/>
      <c r="AU976" s="18"/>
      <c r="AV976" s="18"/>
    </row>
    <row r="977" spans="5:48" x14ac:dyDescent="0.2">
      <c r="E977" s="1"/>
      <c r="F977" s="1"/>
      <c r="G977" s="1"/>
      <c r="H977" s="1"/>
      <c r="I977" s="1"/>
      <c r="J977" s="1"/>
      <c r="K977" s="1"/>
      <c r="L977" s="1"/>
      <c r="M977" s="1"/>
      <c r="AU977" s="18"/>
      <c r="AV977" s="18"/>
    </row>
    <row r="978" spans="5:48" x14ac:dyDescent="0.2">
      <c r="E978" s="1"/>
      <c r="F978" s="1"/>
      <c r="G978" s="1"/>
      <c r="H978" s="1"/>
      <c r="I978" s="1"/>
      <c r="J978" s="1"/>
      <c r="K978" s="1"/>
      <c r="L978" s="1"/>
      <c r="M978" s="1"/>
      <c r="AU978" s="18"/>
      <c r="AV978" s="18"/>
    </row>
    <row r="979" spans="5:48" x14ac:dyDescent="0.2">
      <c r="E979" s="1"/>
      <c r="F979" s="1"/>
      <c r="G979" s="1"/>
      <c r="H979" s="1"/>
      <c r="I979" s="1"/>
      <c r="J979" s="1"/>
      <c r="K979" s="1"/>
      <c r="L979" s="1"/>
      <c r="M979" s="1"/>
      <c r="AU979" s="18"/>
      <c r="AV979" s="18"/>
    </row>
    <row r="980" spans="5:48" x14ac:dyDescent="0.2">
      <c r="E980" s="1"/>
      <c r="F980" s="1"/>
      <c r="G980" s="1"/>
      <c r="H980" s="1"/>
      <c r="I980" s="1"/>
      <c r="J980" s="1"/>
      <c r="K980" s="1"/>
      <c r="L980" s="1"/>
      <c r="M980" s="1"/>
      <c r="AU980" s="18"/>
      <c r="AV980" s="18"/>
    </row>
    <row r="981" spans="5:48" x14ac:dyDescent="0.2">
      <c r="E981" s="1"/>
      <c r="F981" s="1"/>
      <c r="G981" s="1"/>
      <c r="H981" s="1"/>
      <c r="I981" s="1"/>
      <c r="J981" s="1"/>
      <c r="K981" s="1"/>
      <c r="L981" s="1"/>
      <c r="M981" s="1"/>
      <c r="AU981" s="18"/>
      <c r="AV981" s="18"/>
    </row>
    <row r="982" spans="5:48" x14ac:dyDescent="0.2">
      <c r="E982" s="1"/>
      <c r="F982" s="1"/>
      <c r="G982" s="1"/>
      <c r="H982" s="1"/>
      <c r="I982" s="1"/>
      <c r="J982" s="1"/>
      <c r="K982" s="1"/>
      <c r="L982" s="1"/>
      <c r="M982" s="1"/>
      <c r="AU982" s="18"/>
      <c r="AV982" s="18"/>
    </row>
    <row r="983" spans="5:48" x14ac:dyDescent="0.2">
      <c r="E983" s="1"/>
      <c r="F983" s="1"/>
      <c r="G983" s="1"/>
      <c r="H983" s="1"/>
      <c r="I983" s="1"/>
      <c r="J983" s="1"/>
      <c r="K983" s="1"/>
      <c r="L983" s="1"/>
      <c r="M983" s="1"/>
      <c r="AU983" s="18"/>
      <c r="AV983" s="18"/>
    </row>
    <row r="984" spans="5:48" x14ac:dyDescent="0.2">
      <c r="E984" s="1"/>
      <c r="F984" s="1"/>
      <c r="G984" s="1"/>
      <c r="H984" s="1"/>
      <c r="I984" s="1"/>
      <c r="J984" s="1"/>
      <c r="K984" s="1"/>
      <c r="L984" s="1"/>
      <c r="M984" s="1"/>
      <c r="AU984" s="18"/>
      <c r="AV984" s="18"/>
    </row>
    <row r="985" spans="5:48" x14ac:dyDescent="0.2">
      <c r="E985" s="1"/>
      <c r="F985" s="1"/>
      <c r="G985" s="1"/>
      <c r="H985" s="1"/>
      <c r="I985" s="1"/>
      <c r="J985" s="1"/>
      <c r="K985" s="1"/>
      <c r="L985" s="1"/>
      <c r="M985" s="1"/>
      <c r="AU985" s="18"/>
      <c r="AV985" s="18"/>
    </row>
    <row r="986" spans="5:48" x14ac:dyDescent="0.2">
      <c r="E986" s="1"/>
      <c r="F986" s="1"/>
      <c r="G986" s="1"/>
      <c r="H986" s="1"/>
      <c r="I986" s="1"/>
      <c r="J986" s="1"/>
      <c r="K986" s="1"/>
      <c r="L986" s="1"/>
      <c r="M986" s="1"/>
      <c r="AU986" s="18"/>
      <c r="AV986" s="18"/>
    </row>
    <row r="987" spans="5:48" x14ac:dyDescent="0.2">
      <c r="E987" s="1"/>
      <c r="F987" s="1"/>
      <c r="G987" s="1"/>
      <c r="H987" s="1"/>
      <c r="I987" s="1"/>
      <c r="J987" s="1"/>
      <c r="K987" s="1"/>
      <c r="L987" s="1"/>
      <c r="M987" s="1"/>
      <c r="AU987" s="18"/>
      <c r="AV987" s="18"/>
    </row>
    <row r="988" spans="5:48" x14ac:dyDescent="0.2">
      <c r="E988" s="1"/>
      <c r="F988" s="1"/>
      <c r="G988" s="1"/>
      <c r="H988" s="1"/>
      <c r="I988" s="1"/>
      <c r="J988" s="1"/>
      <c r="K988" s="1"/>
      <c r="L988" s="1"/>
      <c r="M988" s="1"/>
      <c r="AU988" s="18"/>
      <c r="AV988" s="18"/>
    </row>
    <row r="989" spans="5:48" x14ac:dyDescent="0.2">
      <c r="E989" s="1"/>
      <c r="F989" s="1"/>
      <c r="G989" s="1"/>
      <c r="H989" s="1"/>
      <c r="I989" s="1"/>
      <c r="J989" s="1"/>
      <c r="K989" s="1"/>
      <c r="L989" s="1"/>
      <c r="M989" s="1"/>
      <c r="AU989" s="18"/>
      <c r="AV989" s="18"/>
    </row>
    <row r="990" spans="5:48" x14ac:dyDescent="0.2">
      <c r="E990" s="1"/>
      <c r="F990" s="1"/>
      <c r="G990" s="1"/>
      <c r="H990" s="1"/>
      <c r="I990" s="1"/>
      <c r="J990" s="1"/>
      <c r="K990" s="1"/>
      <c r="L990" s="1"/>
      <c r="M990" s="1"/>
      <c r="AU990" s="18"/>
      <c r="AV990" s="18"/>
    </row>
    <row r="991" spans="5:48" x14ac:dyDescent="0.2">
      <c r="E991" s="1"/>
      <c r="F991" s="1"/>
      <c r="G991" s="1"/>
      <c r="H991" s="1"/>
      <c r="I991" s="1"/>
      <c r="J991" s="1"/>
      <c r="K991" s="1"/>
      <c r="L991" s="1"/>
      <c r="M991" s="1"/>
      <c r="AU991" s="18"/>
      <c r="AV991" s="18"/>
    </row>
    <row r="992" spans="5:48" x14ac:dyDescent="0.2">
      <c r="E992" s="1"/>
      <c r="F992" s="1"/>
      <c r="G992" s="1"/>
      <c r="H992" s="1"/>
      <c r="I992" s="1"/>
      <c r="J992" s="1"/>
      <c r="K992" s="1"/>
      <c r="L992" s="1"/>
      <c r="M992" s="1"/>
      <c r="AU992" s="18"/>
      <c r="AV992" s="18"/>
    </row>
    <row r="993" spans="5:48" x14ac:dyDescent="0.2">
      <c r="E993" s="1"/>
      <c r="F993" s="1"/>
      <c r="G993" s="1"/>
      <c r="H993" s="1"/>
      <c r="I993" s="1"/>
      <c r="J993" s="1"/>
      <c r="K993" s="1"/>
      <c r="L993" s="1"/>
      <c r="M993" s="1"/>
      <c r="AU993" s="18"/>
      <c r="AV993" s="18"/>
    </row>
    <row r="994" spans="5:48" x14ac:dyDescent="0.2">
      <c r="E994" s="1"/>
      <c r="F994" s="1"/>
      <c r="G994" s="1"/>
      <c r="H994" s="1"/>
      <c r="I994" s="1"/>
      <c r="J994" s="1"/>
      <c r="K994" s="1"/>
      <c r="L994" s="1"/>
      <c r="M994" s="1"/>
      <c r="AU994" s="18"/>
      <c r="AV994" s="18"/>
    </row>
    <row r="995" spans="5:48" x14ac:dyDescent="0.2">
      <c r="E995" s="1"/>
      <c r="F995" s="1"/>
      <c r="G995" s="1"/>
      <c r="H995" s="1"/>
      <c r="I995" s="1"/>
      <c r="J995" s="1"/>
      <c r="K995" s="1"/>
      <c r="L995" s="1"/>
      <c r="M995" s="1"/>
      <c r="AU995" s="18"/>
      <c r="AV995" s="18"/>
    </row>
    <row r="996" spans="5:48" x14ac:dyDescent="0.2">
      <c r="E996" s="1"/>
      <c r="F996" s="1"/>
      <c r="G996" s="1"/>
      <c r="H996" s="1"/>
      <c r="I996" s="1"/>
      <c r="J996" s="1"/>
      <c r="K996" s="1"/>
      <c r="L996" s="1"/>
      <c r="M996" s="1"/>
      <c r="AU996" s="18"/>
      <c r="AV996" s="18"/>
    </row>
    <row r="997" spans="5:48" x14ac:dyDescent="0.2">
      <c r="E997" s="1"/>
      <c r="F997" s="1"/>
      <c r="G997" s="1"/>
      <c r="H997" s="1"/>
      <c r="I997" s="1"/>
      <c r="J997" s="1"/>
      <c r="K997" s="1"/>
      <c r="L997" s="1"/>
      <c r="M997" s="1"/>
      <c r="AU997" s="18"/>
      <c r="AV997" s="18"/>
    </row>
    <row r="998" spans="5:48" x14ac:dyDescent="0.2">
      <c r="E998" s="1"/>
      <c r="F998" s="1"/>
      <c r="G998" s="1"/>
      <c r="H998" s="1"/>
      <c r="I998" s="1"/>
      <c r="J998" s="1"/>
      <c r="K998" s="1"/>
      <c r="L998" s="1"/>
      <c r="M998" s="1"/>
      <c r="AU998" s="18"/>
      <c r="AV998" s="18"/>
    </row>
    <row r="999" spans="5:48" x14ac:dyDescent="0.2">
      <c r="E999" s="1"/>
      <c r="F999" s="1"/>
      <c r="G999" s="1"/>
      <c r="H999" s="1"/>
      <c r="I999" s="1"/>
      <c r="J999" s="1"/>
      <c r="K999" s="1"/>
      <c r="L999" s="1"/>
      <c r="M999" s="1"/>
      <c r="AU999" s="18"/>
      <c r="AV999" s="18"/>
    </row>
    <row r="1000" spans="5:48" x14ac:dyDescent="0.2">
      <c r="E1000" s="1"/>
      <c r="F1000" s="1"/>
      <c r="G1000" s="1"/>
      <c r="H1000" s="1"/>
      <c r="I1000" s="1"/>
      <c r="J1000" s="1"/>
      <c r="K1000" s="1"/>
      <c r="L1000" s="1"/>
      <c r="M1000" s="1"/>
      <c r="AU1000" s="18"/>
      <c r="AV1000" s="18"/>
    </row>
    <row r="1001" spans="5:48" x14ac:dyDescent="0.2">
      <c r="E1001" s="1"/>
      <c r="F1001" s="1"/>
      <c r="G1001" s="1"/>
      <c r="H1001" s="1"/>
      <c r="I1001" s="1"/>
      <c r="J1001" s="1"/>
      <c r="K1001" s="1"/>
      <c r="L1001" s="1"/>
      <c r="M1001" s="1"/>
      <c r="AU1001" s="18"/>
      <c r="AV1001" s="18"/>
    </row>
    <row r="1002" spans="5:48" x14ac:dyDescent="0.2">
      <c r="E1002" s="1"/>
      <c r="F1002" s="1"/>
      <c r="G1002" s="1"/>
      <c r="H1002" s="1"/>
      <c r="I1002" s="1"/>
      <c r="J1002" s="1"/>
      <c r="K1002" s="1"/>
      <c r="L1002" s="1"/>
      <c r="M1002" s="1"/>
      <c r="AU1002" s="18"/>
      <c r="AV1002" s="18"/>
    </row>
    <row r="1003" spans="5:48" x14ac:dyDescent="0.2">
      <c r="E1003" s="1"/>
      <c r="F1003" s="1"/>
      <c r="G1003" s="1"/>
      <c r="H1003" s="1"/>
      <c r="I1003" s="1"/>
      <c r="J1003" s="1"/>
      <c r="K1003" s="1"/>
      <c r="L1003" s="1"/>
      <c r="M1003" s="1"/>
      <c r="AU1003" s="18"/>
      <c r="AV1003" s="18"/>
    </row>
    <row r="1004" spans="5:48" x14ac:dyDescent="0.2">
      <c r="E1004" s="1"/>
      <c r="F1004" s="1"/>
      <c r="G1004" s="1"/>
      <c r="H1004" s="1"/>
      <c r="I1004" s="1"/>
      <c r="J1004" s="1"/>
      <c r="K1004" s="1"/>
      <c r="L1004" s="1"/>
      <c r="M1004" s="1"/>
      <c r="AU1004" s="18"/>
      <c r="AV1004" s="18"/>
    </row>
    <row r="1005" spans="5:48" x14ac:dyDescent="0.2">
      <c r="E1005" s="1"/>
      <c r="F1005" s="1"/>
      <c r="G1005" s="1"/>
      <c r="H1005" s="1"/>
      <c r="I1005" s="1"/>
      <c r="J1005" s="1"/>
      <c r="K1005" s="1"/>
      <c r="L1005" s="1"/>
      <c r="M1005" s="1"/>
      <c r="AU1005" s="18"/>
      <c r="AV1005" s="18"/>
    </row>
    <row r="1006" spans="5:48" x14ac:dyDescent="0.2">
      <c r="E1006" s="1"/>
      <c r="F1006" s="1"/>
      <c r="G1006" s="1"/>
      <c r="H1006" s="1"/>
      <c r="I1006" s="1"/>
      <c r="J1006" s="1"/>
      <c r="K1006" s="1"/>
      <c r="L1006" s="1"/>
      <c r="M1006" s="1"/>
      <c r="AU1006" s="18"/>
      <c r="AV1006" s="18"/>
    </row>
    <row r="1007" spans="5:48" x14ac:dyDescent="0.2">
      <c r="E1007" s="1"/>
      <c r="F1007" s="1"/>
      <c r="G1007" s="1"/>
      <c r="H1007" s="1"/>
      <c r="I1007" s="1"/>
      <c r="J1007" s="1"/>
      <c r="K1007" s="1"/>
      <c r="L1007" s="1"/>
      <c r="M1007" s="1"/>
      <c r="AU1007" s="18"/>
      <c r="AV1007" s="18"/>
    </row>
    <row r="1008" spans="5:48" x14ac:dyDescent="0.2">
      <c r="E1008" s="1"/>
      <c r="F1008" s="1"/>
      <c r="G1008" s="1"/>
      <c r="H1008" s="1"/>
      <c r="I1008" s="1"/>
      <c r="J1008" s="1"/>
      <c r="K1008" s="1"/>
      <c r="L1008" s="1"/>
      <c r="M1008" s="1"/>
      <c r="AU1008" s="18"/>
      <c r="AV1008" s="18"/>
    </row>
    <row r="1009" spans="5:48" x14ac:dyDescent="0.2">
      <c r="E1009" s="1"/>
      <c r="F1009" s="1"/>
      <c r="G1009" s="1"/>
      <c r="H1009" s="1"/>
      <c r="I1009" s="1"/>
      <c r="J1009" s="1"/>
      <c r="K1009" s="1"/>
      <c r="L1009" s="1"/>
      <c r="M1009" s="1"/>
      <c r="AU1009" s="18"/>
      <c r="AV1009" s="18"/>
    </row>
    <row r="1010" spans="5:48" x14ac:dyDescent="0.2">
      <c r="E1010" s="1"/>
      <c r="F1010" s="1"/>
      <c r="G1010" s="1"/>
      <c r="H1010" s="1"/>
      <c r="I1010" s="1"/>
      <c r="J1010" s="1"/>
      <c r="K1010" s="1"/>
      <c r="L1010" s="1"/>
      <c r="M1010" s="1"/>
      <c r="AU1010" s="18"/>
      <c r="AV1010" s="18"/>
    </row>
    <row r="1011" spans="5:48" x14ac:dyDescent="0.2">
      <c r="E1011" s="1"/>
      <c r="F1011" s="1"/>
      <c r="G1011" s="1"/>
      <c r="H1011" s="1"/>
      <c r="I1011" s="1"/>
      <c r="J1011" s="1"/>
      <c r="K1011" s="1"/>
      <c r="L1011" s="1"/>
      <c r="M1011" s="1"/>
      <c r="AU1011" s="18"/>
      <c r="AV1011" s="18"/>
    </row>
    <row r="1012" spans="5:48" x14ac:dyDescent="0.2">
      <c r="E1012" s="1"/>
      <c r="F1012" s="1"/>
      <c r="G1012" s="1"/>
      <c r="H1012" s="1"/>
      <c r="I1012" s="1"/>
      <c r="J1012" s="1"/>
      <c r="K1012" s="1"/>
      <c r="L1012" s="1"/>
      <c r="M1012" s="1"/>
      <c r="AU1012" s="18"/>
      <c r="AV1012" s="18"/>
    </row>
    <row r="1013" spans="5:48" x14ac:dyDescent="0.2">
      <c r="E1013" s="1"/>
      <c r="F1013" s="1"/>
      <c r="G1013" s="1"/>
      <c r="H1013" s="1"/>
      <c r="I1013" s="1"/>
      <c r="J1013" s="1"/>
      <c r="K1013" s="1"/>
      <c r="L1013" s="1"/>
      <c r="M1013" s="1"/>
      <c r="AU1013" s="18"/>
      <c r="AV1013" s="18"/>
    </row>
    <row r="1014" spans="5:48" x14ac:dyDescent="0.2">
      <c r="E1014" s="1"/>
      <c r="F1014" s="1"/>
      <c r="G1014" s="1"/>
      <c r="H1014" s="1"/>
      <c r="I1014" s="1"/>
      <c r="J1014" s="1"/>
      <c r="K1014" s="1"/>
      <c r="L1014" s="1"/>
      <c r="M1014" s="1"/>
      <c r="AU1014" s="18"/>
      <c r="AV1014" s="18"/>
    </row>
    <row r="1015" spans="5:48" x14ac:dyDescent="0.2">
      <c r="E1015" s="1"/>
      <c r="F1015" s="1"/>
      <c r="G1015" s="1"/>
      <c r="H1015" s="1"/>
      <c r="I1015" s="1"/>
      <c r="J1015" s="1"/>
      <c r="K1015" s="1"/>
      <c r="L1015" s="1"/>
      <c r="M1015" s="1"/>
      <c r="AU1015" s="18"/>
      <c r="AV1015" s="18"/>
    </row>
    <row r="1016" spans="5:48" x14ac:dyDescent="0.2">
      <c r="E1016" s="1"/>
      <c r="F1016" s="1"/>
      <c r="G1016" s="1"/>
      <c r="H1016" s="1"/>
      <c r="I1016" s="1"/>
      <c r="J1016" s="1"/>
      <c r="K1016" s="1"/>
      <c r="L1016" s="1"/>
      <c r="M1016" s="1"/>
      <c r="AU1016" s="18"/>
      <c r="AV1016" s="18"/>
    </row>
    <row r="1017" spans="5:48" x14ac:dyDescent="0.2">
      <c r="E1017" s="1"/>
      <c r="F1017" s="1"/>
      <c r="G1017" s="1"/>
      <c r="H1017" s="1"/>
      <c r="I1017" s="1"/>
      <c r="J1017" s="1"/>
      <c r="K1017" s="1"/>
      <c r="L1017" s="1"/>
      <c r="M1017" s="1"/>
      <c r="AU1017" s="18"/>
      <c r="AV1017" s="18"/>
    </row>
    <row r="1018" spans="5:48" x14ac:dyDescent="0.2">
      <c r="E1018" s="1"/>
      <c r="F1018" s="1"/>
      <c r="G1018" s="1"/>
      <c r="H1018" s="1"/>
      <c r="I1018" s="1"/>
      <c r="J1018" s="1"/>
      <c r="K1018" s="1"/>
      <c r="L1018" s="1"/>
      <c r="M1018" s="1"/>
      <c r="AU1018" s="18"/>
      <c r="AV1018" s="18"/>
    </row>
    <row r="1019" spans="5:48" x14ac:dyDescent="0.2">
      <c r="E1019" s="1"/>
      <c r="F1019" s="1"/>
      <c r="G1019" s="1"/>
      <c r="H1019" s="1"/>
      <c r="I1019" s="1"/>
      <c r="J1019" s="1"/>
      <c r="K1019" s="1"/>
      <c r="L1019" s="1"/>
      <c r="M1019" s="1"/>
      <c r="AU1019" s="18"/>
      <c r="AV1019" s="18"/>
    </row>
    <row r="1020" spans="5:48" x14ac:dyDescent="0.2">
      <c r="E1020" s="1"/>
      <c r="F1020" s="1"/>
      <c r="G1020" s="1"/>
      <c r="H1020" s="1"/>
      <c r="I1020" s="1"/>
      <c r="J1020" s="1"/>
      <c r="K1020" s="1"/>
      <c r="L1020" s="1"/>
      <c r="M1020" s="1"/>
      <c r="AU1020" s="18"/>
      <c r="AV1020" s="18"/>
    </row>
    <row r="1021" spans="5:48" x14ac:dyDescent="0.2">
      <c r="E1021" s="1"/>
      <c r="F1021" s="1"/>
      <c r="G1021" s="1"/>
      <c r="H1021" s="1"/>
      <c r="I1021" s="1"/>
      <c r="J1021" s="1"/>
      <c r="K1021" s="1"/>
      <c r="L1021" s="1"/>
      <c r="M1021" s="1"/>
      <c r="AU1021" s="18"/>
      <c r="AV1021" s="18"/>
    </row>
    <row r="1022" spans="5:48" x14ac:dyDescent="0.2">
      <c r="E1022" s="1"/>
      <c r="F1022" s="1"/>
      <c r="G1022" s="1"/>
      <c r="H1022" s="1"/>
      <c r="I1022" s="1"/>
      <c r="J1022" s="1"/>
      <c r="K1022" s="1"/>
      <c r="L1022" s="1"/>
      <c r="M1022" s="1"/>
      <c r="AU1022" s="18"/>
      <c r="AV1022" s="18"/>
    </row>
    <row r="1023" spans="5:48" x14ac:dyDescent="0.2">
      <c r="E1023" s="1"/>
      <c r="F1023" s="1"/>
      <c r="G1023" s="1"/>
      <c r="H1023" s="1"/>
      <c r="I1023" s="1"/>
      <c r="J1023" s="1"/>
      <c r="K1023" s="1"/>
      <c r="L1023" s="1"/>
      <c r="M1023" s="1"/>
      <c r="AU1023" s="18"/>
      <c r="AV1023" s="18"/>
    </row>
    <row r="1024" spans="5:48" x14ac:dyDescent="0.2">
      <c r="E1024" s="1"/>
      <c r="F1024" s="1"/>
      <c r="G1024" s="1"/>
      <c r="H1024" s="1"/>
      <c r="I1024" s="1"/>
      <c r="J1024" s="1"/>
      <c r="K1024" s="1"/>
      <c r="L1024" s="1"/>
      <c r="M1024" s="1"/>
      <c r="AU1024" s="18"/>
      <c r="AV1024" s="18"/>
    </row>
    <row r="1025" spans="5:48" x14ac:dyDescent="0.2">
      <c r="E1025" s="1"/>
      <c r="F1025" s="1"/>
      <c r="G1025" s="1"/>
      <c r="H1025" s="1"/>
      <c r="I1025" s="1"/>
      <c r="J1025" s="1"/>
      <c r="K1025" s="1"/>
      <c r="L1025" s="1"/>
      <c r="M1025" s="1"/>
      <c r="AU1025" s="18"/>
      <c r="AV1025" s="18"/>
    </row>
    <row r="1026" spans="5:48" x14ac:dyDescent="0.2">
      <c r="E1026" s="1"/>
      <c r="F1026" s="1"/>
      <c r="G1026" s="1"/>
      <c r="H1026" s="1"/>
      <c r="I1026" s="1"/>
      <c r="J1026" s="1"/>
      <c r="K1026" s="1"/>
      <c r="L1026" s="1"/>
      <c r="M1026" s="1"/>
      <c r="AU1026" s="18"/>
      <c r="AV1026" s="18"/>
    </row>
    <row r="1027" spans="5:48" x14ac:dyDescent="0.2">
      <c r="E1027" s="1"/>
      <c r="F1027" s="1"/>
      <c r="G1027" s="1"/>
      <c r="H1027" s="1"/>
      <c r="I1027" s="1"/>
      <c r="J1027" s="1"/>
      <c r="K1027" s="1"/>
      <c r="L1027" s="1"/>
      <c r="M1027" s="1"/>
      <c r="AU1027" s="18"/>
      <c r="AV1027" s="18"/>
    </row>
    <row r="1028" spans="5:48" x14ac:dyDescent="0.2">
      <c r="E1028" s="1"/>
      <c r="F1028" s="1"/>
      <c r="G1028" s="1"/>
      <c r="H1028" s="1"/>
      <c r="I1028" s="1"/>
      <c r="J1028" s="1"/>
      <c r="K1028" s="1"/>
      <c r="L1028" s="1"/>
      <c r="M1028" s="1"/>
      <c r="AU1028" s="18"/>
      <c r="AV1028" s="18"/>
    </row>
    <row r="1029" spans="5:48" x14ac:dyDescent="0.2">
      <c r="E1029" s="1"/>
      <c r="F1029" s="1"/>
      <c r="G1029" s="1"/>
      <c r="H1029" s="1"/>
      <c r="I1029" s="1"/>
      <c r="J1029" s="1"/>
      <c r="K1029" s="1"/>
      <c r="L1029" s="1"/>
      <c r="M1029" s="1"/>
      <c r="AU1029" s="18"/>
      <c r="AV1029" s="18"/>
    </row>
    <row r="1030" spans="5:48" x14ac:dyDescent="0.2">
      <c r="E1030" s="1"/>
      <c r="F1030" s="1"/>
      <c r="G1030" s="1"/>
      <c r="H1030" s="1"/>
      <c r="I1030" s="1"/>
      <c r="J1030" s="1"/>
      <c r="K1030" s="1"/>
      <c r="L1030" s="1"/>
      <c r="M1030" s="1"/>
      <c r="AU1030" s="18"/>
      <c r="AV1030" s="18"/>
    </row>
    <row r="1031" spans="5:48" x14ac:dyDescent="0.2">
      <c r="E1031" s="1"/>
      <c r="F1031" s="1"/>
      <c r="G1031" s="1"/>
      <c r="H1031" s="1"/>
      <c r="I1031" s="1"/>
      <c r="J1031" s="1"/>
      <c r="K1031" s="1"/>
      <c r="L1031" s="1"/>
      <c r="M1031" s="1"/>
      <c r="AU1031" s="18"/>
      <c r="AV1031" s="18"/>
    </row>
    <row r="1032" spans="5:48" x14ac:dyDescent="0.2">
      <c r="E1032" s="1"/>
      <c r="F1032" s="1"/>
      <c r="G1032" s="1"/>
      <c r="H1032" s="1"/>
      <c r="I1032" s="1"/>
      <c r="J1032" s="1"/>
      <c r="K1032" s="1"/>
      <c r="L1032" s="1"/>
      <c r="M1032" s="1"/>
      <c r="AU1032" s="18"/>
      <c r="AV1032" s="18"/>
    </row>
    <row r="1033" spans="5:48" x14ac:dyDescent="0.2">
      <c r="E1033" s="1"/>
      <c r="F1033" s="1"/>
      <c r="G1033" s="1"/>
      <c r="H1033" s="1"/>
      <c r="I1033" s="1"/>
      <c r="J1033" s="1"/>
      <c r="K1033" s="1"/>
      <c r="L1033" s="1"/>
      <c r="M1033" s="1"/>
      <c r="AU1033" s="18"/>
      <c r="AV1033" s="18"/>
    </row>
    <row r="1034" spans="5:48" x14ac:dyDescent="0.2">
      <c r="E1034" s="1"/>
      <c r="F1034" s="1"/>
      <c r="G1034" s="1"/>
      <c r="H1034" s="1"/>
      <c r="I1034" s="1"/>
      <c r="J1034" s="1"/>
      <c r="K1034" s="1"/>
      <c r="L1034" s="1"/>
      <c r="M1034" s="1"/>
      <c r="AU1034" s="18"/>
      <c r="AV1034" s="18"/>
    </row>
    <row r="1035" spans="5:48" x14ac:dyDescent="0.2">
      <c r="E1035" s="1"/>
      <c r="F1035" s="1"/>
      <c r="G1035" s="1"/>
      <c r="H1035" s="1"/>
      <c r="I1035" s="1"/>
      <c r="J1035" s="1"/>
      <c r="K1035" s="1"/>
      <c r="L1035" s="1"/>
      <c r="M1035" s="1"/>
      <c r="AU1035" s="18"/>
      <c r="AV1035" s="18"/>
    </row>
    <row r="1036" spans="5:48" x14ac:dyDescent="0.2">
      <c r="E1036" s="1"/>
      <c r="F1036" s="1"/>
      <c r="G1036" s="1"/>
      <c r="H1036" s="1"/>
      <c r="I1036" s="1"/>
      <c r="J1036" s="1"/>
      <c r="K1036" s="1"/>
      <c r="L1036" s="1"/>
      <c r="M1036" s="1"/>
      <c r="AU1036" s="18"/>
      <c r="AV1036" s="18"/>
    </row>
    <row r="1037" spans="5:48" x14ac:dyDescent="0.2">
      <c r="E1037" s="1"/>
      <c r="F1037" s="1"/>
      <c r="G1037" s="1"/>
      <c r="H1037" s="1"/>
      <c r="I1037" s="1"/>
      <c r="J1037" s="1"/>
      <c r="K1037" s="1"/>
      <c r="L1037" s="1"/>
      <c r="M1037" s="1"/>
      <c r="AU1037" s="18"/>
      <c r="AV1037" s="18"/>
    </row>
    <row r="1038" spans="5:48" x14ac:dyDescent="0.2">
      <c r="E1038" s="1"/>
      <c r="F1038" s="1"/>
      <c r="G1038" s="1"/>
      <c r="H1038" s="1"/>
      <c r="I1038" s="1"/>
      <c r="J1038" s="1"/>
      <c r="K1038" s="1"/>
      <c r="L1038" s="1"/>
      <c r="M1038" s="1"/>
      <c r="AU1038" s="18"/>
      <c r="AV1038" s="18"/>
    </row>
    <row r="1039" spans="5:48" x14ac:dyDescent="0.2">
      <c r="E1039" s="1"/>
      <c r="F1039" s="1"/>
      <c r="G1039" s="1"/>
      <c r="H1039" s="1"/>
      <c r="I1039" s="1"/>
      <c r="J1039" s="1"/>
      <c r="K1039" s="1"/>
      <c r="L1039" s="1"/>
      <c r="M1039" s="1"/>
      <c r="AU1039" s="18"/>
      <c r="AV1039" s="18"/>
    </row>
    <row r="1040" spans="5:48" x14ac:dyDescent="0.2">
      <c r="E1040" s="1"/>
      <c r="F1040" s="1"/>
      <c r="G1040" s="1"/>
      <c r="H1040" s="1"/>
      <c r="I1040" s="1"/>
      <c r="J1040" s="1"/>
      <c r="K1040" s="1"/>
      <c r="L1040" s="1"/>
      <c r="M1040" s="1"/>
      <c r="AU1040" s="18"/>
      <c r="AV1040" s="18"/>
    </row>
    <row r="1041" spans="5:48" x14ac:dyDescent="0.2">
      <c r="E1041" s="1"/>
      <c r="F1041" s="1"/>
      <c r="G1041" s="1"/>
      <c r="H1041" s="1"/>
      <c r="I1041" s="1"/>
      <c r="J1041" s="1"/>
      <c r="K1041" s="1"/>
      <c r="L1041" s="1"/>
      <c r="M1041" s="1"/>
      <c r="AU1041" s="18"/>
      <c r="AV1041" s="18"/>
    </row>
    <row r="1042" spans="5:48" x14ac:dyDescent="0.2">
      <c r="E1042" s="1"/>
      <c r="F1042" s="1"/>
      <c r="G1042" s="1"/>
      <c r="H1042" s="1"/>
      <c r="I1042" s="1"/>
      <c r="J1042" s="1"/>
      <c r="K1042" s="1"/>
      <c r="L1042" s="1"/>
      <c r="M1042" s="1"/>
      <c r="AU1042" s="18"/>
      <c r="AV1042" s="18"/>
    </row>
    <row r="1043" spans="5:48" x14ac:dyDescent="0.2">
      <c r="E1043" s="1"/>
      <c r="F1043" s="1"/>
      <c r="G1043" s="1"/>
      <c r="H1043" s="1"/>
      <c r="I1043" s="1"/>
      <c r="J1043" s="1"/>
      <c r="K1043" s="1"/>
      <c r="L1043" s="1"/>
      <c r="M1043" s="1"/>
      <c r="AU1043" s="18"/>
      <c r="AV1043" s="18"/>
    </row>
    <row r="1044" spans="5:48" x14ac:dyDescent="0.2">
      <c r="E1044" s="1"/>
      <c r="F1044" s="1"/>
      <c r="G1044" s="1"/>
      <c r="H1044" s="1"/>
      <c r="I1044" s="1"/>
      <c r="J1044" s="1"/>
      <c r="K1044" s="1"/>
      <c r="L1044" s="1"/>
      <c r="M1044" s="1"/>
      <c r="AU1044" s="18"/>
      <c r="AV1044" s="18"/>
    </row>
    <row r="1045" spans="5:48" x14ac:dyDescent="0.2">
      <c r="E1045" s="1"/>
      <c r="F1045" s="1"/>
      <c r="G1045" s="1"/>
      <c r="H1045" s="1"/>
      <c r="I1045" s="1"/>
      <c r="J1045" s="1"/>
      <c r="K1045" s="1"/>
      <c r="L1045" s="1"/>
      <c r="M1045" s="1"/>
      <c r="AU1045" s="18"/>
      <c r="AV1045" s="18"/>
    </row>
    <row r="1046" spans="5:48" x14ac:dyDescent="0.2">
      <c r="E1046" s="1"/>
      <c r="F1046" s="1"/>
      <c r="G1046" s="1"/>
      <c r="H1046" s="1"/>
      <c r="I1046" s="1"/>
      <c r="J1046" s="1"/>
      <c r="K1046" s="1"/>
      <c r="L1046" s="1"/>
      <c r="M1046" s="1"/>
      <c r="AU1046" s="18"/>
      <c r="AV1046" s="18"/>
    </row>
    <row r="1047" spans="5:48" x14ac:dyDescent="0.2">
      <c r="E1047" s="1"/>
      <c r="F1047" s="1"/>
      <c r="G1047" s="1"/>
      <c r="H1047" s="1"/>
      <c r="I1047" s="1"/>
      <c r="J1047" s="1"/>
      <c r="K1047" s="1"/>
      <c r="L1047" s="1"/>
      <c r="M1047" s="1"/>
      <c r="AU1047" s="18"/>
      <c r="AV1047" s="18"/>
    </row>
    <row r="1048" spans="5:48" x14ac:dyDescent="0.2">
      <c r="E1048" s="1"/>
      <c r="F1048" s="1"/>
      <c r="G1048" s="1"/>
      <c r="H1048" s="1"/>
      <c r="I1048" s="1"/>
      <c r="J1048" s="1"/>
      <c r="K1048" s="1"/>
      <c r="L1048" s="1"/>
      <c r="M1048" s="1"/>
      <c r="AU1048" s="18"/>
      <c r="AV1048" s="18"/>
    </row>
    <row r="1049" spans="5:48" x14ac:dyDescent="0.2">
      <c r="E1049" s="1"/>
      <c r="F1049" s="1"/>
      <c r="G1049" s="1"/>
      <c r="H1049" s="1"/>
      <c r="I1049" s="1"/>
      <c r="J1049" s="1"/>
      <c r="K1049" s="1"/>
      <c r="L1049" s="1"/>
      <c r="M1049" s="1"/>
      <c r="AU1049" s="18"/>
      <c r="AV1049" s="18"/>
    </row>
    <row r="1050" spans="5:48" x14ac:dyDescent="0.2">
      <c r="E1050" s="1"/>
      <c r="F1050" s="1"/>
      <c r="G1050" s="1"/>
      <c r="H1050" s="1"/>
      <c r="I1050" s="1"/>
      <c r="J1050" s="1"/>
      <c r="K1050" s="1"/>
      <c r="L1050" s="1"/>
      <c r="M1050" s="1"/>
      <c r="AU1050" s="18"/>
      <c r="AV1050" s="18"/>
    </row>
    <row r="1051" spans="5:48" x14ac:dyDescent="0.2">
      <c r="E1051" s="1"/>
      <c r="F1051" s="1"/>
      <c r="G1051" s="1"/>
      <c r="H1051" s="1"/>
      <c r="I1051" s="1"/>
      <c r="J1051" s="1"/>
      <c r="K1051" s="1"/>
      <c r="L1051" s="1"/>
      <c r="M1051" s="1"/>
      <c r="AU1051" s="18"/>
      <c r="AV1051" s="18"/>
    </row>
    <row r="1052" spans="5:48" x14ac:dyDescent="0.2">
      <c r="E1052" s="1"/>
      <c r="F1052" s="1"/>
      <c r="G1052" s="1"/>
      <c r="H1052" s="1"/>
      <c r="I1052" s="1"/>
      <c r="J1052" s="1"/>
      <c r="K1052" s="1"/>
      <c r="L1052" s="1"/>
      <c r="M1052" s="1"/>
      <c r="AU1052" s="18"/>
      <c r="AV1052" s="18"/>
    </row>
    <row r="1053" spans="5:48" x14ac:dyDescent="0.2">
      <c r="E1053" s="1"/>
      <c r="F1053" s="1"/>
      <c r="G1053" s="1"/>
      <c r="H1053" s="1"/>
      <c r="I1053" s="1"/>
      <c r="J1053" s="1"/>
      <c r="K1053" s="1"/>
      <c r="L1053" s="1"/>
      <c r="M1053" s="1"/>
      <c r="AU1053" s="18"/>
      <c r="AV1053" s="18"/>
    </row>
    <row r="1054" spans="5:48" x14ac:dyDescent="0.2">
      <c r="E1054" s="1"/>
      <c r="F1054" s="1"/>
      <c r="G1054" s="1"/>
      <c r="H1054" s="1"/>
      <c r="I1054" s="1"/>
      <c r="J1054" s="1"/>
      <c r="K1054" s="1"/>
      <c r="L1054" s="1"/>
      <c r="M1054" s="1"/>
      <c r="AU1054" s="18"/>
      <c r="AV1054" s="18"/>
    </row>
    <row r="1055" spans="5:48" x14ac:dyDescent="0.2">
      <c r="E1055" s="1"/>
      <c r="F1055" s="1"/>
      <c r="G1055" s="1"/>
      <c r="H1055" s="1"/>
      <c r="I1055" s="1"/>
      <c r="J1055" s="1"/>
      <c r="K1055" s="1"/>
      <c r="L1055" s="1"/>
      <c r="M1055" s="1"/>
      <c r="AU1055" s="18"/>
      <c r="AV1055" s="18"/>
    </row>
    <row r="1056" spans="5:48" x14ac:dyDescent="0.2">
      <c r="E1056" s="1"/>
      <c r="F1056" s="1"/>
      <c r="G1056" s="1"/>
      <c r="H1056" s="1"/>
      <c r="I1056" s="1"/>
      <c r="J1056" s="1"/>
      <c r="K1056" s="1"/>
      <c r="L1056" s="1"/>
      <c r="M1056" s="1"/>
      <c r="AU1056" s="18"/>
      <c r="AV1056" s="18"/>
    </row>
    <row r="1057" spans="5:48" x14ac:dyDescent="0.2">
      <c r="E1057" s="1"/>
      <c r="F1057" s="1"/>
      <c r="G1057" s="1"/>
      <c r="H1057" s="1"/>
      <c r="I1057" s="1"/>
      <c r="J1057" s="1"/>
      <c r="K1057" s="1"/>
      <c r="L1057" s="1"/>
      <c r="M1057" s="1"/>
      <c r="AU1057" s="18"/>
      <c r="AV1057" s="18"/>
    </row>
    <row r="1058" spans="5:48" x14ac:dyDescent="0.2">
      <c r="E1058" s="1"/>
      <c r="F1058" s="1"/>
      <c r="G1058" s="1"/>
      <c r="H1058" s="1"/>
      <c r="I1058" s="1"/>
      <c r="J1058" s="1"/>
      <c r="K1058" s="1"/>
      <c r="L1058" s="1"/>
      <c r="M1058" s="1"/>
      <c r="AU1058" s="18"/>
      <c r="AV1058" s="18"/>
    </row>
    <row r="1059" spans="5:48" x14ac:dyDescent="0.2">
      <c r="E1059" s="1"/>
      <c r="F1059" s="1"/>
      <c r="G1059" s="1"/>
      <c r="H1059" s="1"/>
      <c r="I1059" s="1"/>
      <c r="J1059" s="1"/>
      <c r="K1059" s="1"/>
      <c r="L1059" s="1"/>
      <c r="M1059" s="1"/>
      <c r="AU1059" s="18"/>
      <c r="AV1059" s="18"/>
    </row>
    <row r="1060" spans="5:48" x14ac:dyDescent="0.2">
      <c r="E1060" s="1"/>
      <c r="F1060" s="1"/>
      <c r="G1060" s="1"/>
      <c r="H1060" s="1"/>
      <c r="I1060" s="1"/>
      <c r="J1060" s="1"/>
      <c r="K1060" s="1"/>
      <c r="L1060" s="1"/>
      <c r="M1060" s="1"/>
      <c r="AU1060" s="18"/>
      <c r="AV1060" s="18"/>
    </row>
    <row r="1061" spans="5:48" x14ac:dyDescent="0.2">
      <c r="E1061" s="1"/>
      <c r="F1061" s="1"/>
      <c r="G1061" s="1"/>
      <c r="H1061" s="1"/>
      <c r="I1061" s="1"/>
      <c r="J1061" s="1"/>
      <c r="K1061" s="1"/>
      <c r="L1061" s="1"/>
      <c r="M1061" s="1"/>
      <c r="AU1061" s="18"/>
      <c r="AV1061" s="18"/>
    </row>
    <row r="1062" spans="5:48" x14ac:dyDescent="0.2">
      <c r="E1062" s="1"/>
      <c r="F1062" s="1"/>
      <c r="G1062" s="1"/>
      <c r="H1062" s="1"/>
      <c r="I1062" s="1"/>
      <c r="J1062" s="1"/>
      <c r="K1062" s="1"/>
      <c r="L1062" s="1"/>
      <c r="M1062" s="1"/>
      <c r="AU1062" s="18"/>
      <c r="AV1062" s="18"/>
    </row>
    <row r="1063" spans="5:48" x14ac:dyDescent="0.2">
      <c r="E1063" s="1"/>
      <c r="F1063" s="1"/>
      <c r="G1063" s="1"/>
      <c r="H1063" s="1"/>
      <c r="I1063" s="1"/>
      <c r="J1063" s="1"/>
      <c r="K1063" s="1"/>
      <c r="L1063" s="1"/>
      <c r="M1063" s="1"/>
      <c r="AU1063" s="18"/>
      <c r="AV1063" s="18"/>
    </row>
    <row r="1064" spans="5:48" x14ac:dyDescent="0.2">
      <c r="E1064" s="1"/>
      <c r="F1064" s="1"/>
      <c r="G1064" s="1"/>
      <c r="H1064" s="1"/>
      <c r="I1064" s="1"/>
      <c r="J1064" s="1"/>
      <c r="K1064" s="1"/>
      <c r="L1064" s="1"/>
      <c r="M1064" s="1"/>
      <c r="AU1064" s="18"/>
      <c r="AV1064" s="18"/>
    </row>
    <row r="1065" spans="5:48" x14ac:dyDescent="0.2">
      <c r="E1065" s="1"/>
      <c r="F1065" s="1"/>
      <c r="G1065" s="1"/>
      <c r="H1065" s="1"/>
      <c r="I1065" s="1"/>
      <c r="J1065" s="1"/>
      <c r="K1065" s="1"/>
      <c r="L1065" s="1"/>
      <c r="M1065" s="1"/>
      <c r="AU1065" s="18"/>
      <c r="AV1065" s="18"/>
    </row>
    <row r="1066" spans="5:48" x14ac:dyDescent="0.2">
      <c r="E1066" s="1"/>
      <c r="F1066" s="1"/>
      <c r="G1066" s="1"/>
      <c r="H1066" s="1"/>
      <c r="I1066" s="1"/>
      <c r="J1066" s="1"/>
      <c r="K1066" s="1"/>
      <c r="L1066" s="1"/>
      <c r="M1066" s="1"/>
      <c r="AU1066" s="18"/>
      <c r="AV1066" s="18"/>
    </row>
    <row r="1067" spans="5:48" x14ac:dyDescent="0.2">
      <c r="E1067" s="1"/>
      <c r="F1067" s="1"/>
      <c r="G1067" s="1"/>
      <c r="H1067" s="1"/>
      <c r="I1067" s="1"/>
      <c r="J1067" s="1"/>
      <c r="K1067" s="1"/>
      <c r="L1067" s="1"/>
      <c r="M1067" s="1"/>
      <c r="AU1067" s="18"/>
      <c r="AV1067" s="18"/>
    </row>
    <row r="1068" spans="5:48" x14ac:dyDescent="0.2">
      <c r="E1068" s="1"/>
      <c r="F1068" s="1"/>
      <c r="G1068" s="1"/>
      <c r="H1068" s="1"/>
      <c r="I1068" s="1"/>
      <c r="J1068" s="1"/>
      <c r="K1068" s="1"/>
      <c r="L1068" s="1"/>
      <c r="M1068" s="1"/>
      <c r="AU1068" s="18"/>
      <c r="AV1068" s="18"/>
    </row>
    <row r="1069" spans="5:48" x14ac:dyDescent="0.2">
      <c r="E1069" s="1"/>
      <c r="F1069" s="1"/>
      <c r="G1069" s="1"/>
      <c r="H1069" s="1"/>
      <c r="I1069" s="1"/>
      <c r="J1069" s="1"/>
      <c r="K1069" s="1"/>
      <c r="L1069" s="1"/>
      <c r="M1069" s="1"/>
      <c r="AU1069" s="18"/>
      <c r="AV1069" s="18"/>
    </row>
    <row r="1070" spans="5:48" x14ac:dyDescent="0.2">
      <c r="E1070" s="1"/>
      <c r="F1070" s="1"/>
      <c r="G1070" s="1"/>
      <c r="H1070" s="1"/>
      <c r="I1070" s="1"/>
      <c r="J1070" s="1"/>
      <c r="K1070" s="1"/>
      <c r="L1070" s="1"/>
      <c r="M1070" s="1"/>
      <c r="AU1070" s="18"/>
      <c r="AV1070" s="18"/>
    </row>
    <row r="1071" spans="5:48" x14ac:dyDescent="0.2">
      <c r="E1071" s="1"/>
      <c r="F1071" s="1"/>
      <c r="G1071" s="1"/>
      <c r="H1071" s="1"/>
      <c r="I1071" s="1"/>
      <c r="J1071" s="1"/>
      <c r="K1071" s="1"/>
      <c r="L1071" s="1"/>
      <c r="M1071" s="1"/>
      <c r="AU1071" s="18"/>
      <c r="AV1071" s="18"/>
    </row>
    <row r="1072" spans="5:48" x14ac:dyDescent="0.2">
      <c r="E1072" s="1"/>
      <c r="F1072" s="1"/>
      <c r="G1072" s="1"/>
      <c r="H1072" s="1"/>
      <c r="I1072" s="1"/>
      <c r="J1072" s="1"/>
      <c r="K1072" s="1"/>
      <c r="L1072" s="1"/>
      <c r="M1072" s="1"/>
      <c r="AU1072" s="18"/>
      <c r="AV1072" s="18"/>
    </row>
    <row r="1073" spans="5:48" x14ac:dyDescent="0.2">
      <c r="E1073" s="1"/>
      <c r="F1073" s="1"/>
      <c r="G1073" s="1"/>
      <c r="H1073" s="1"/>
      <c r="I1073" s="1"/>
      <c r="J1073" s="1"/>
      <c r="K1073" s="1"/>
      <c r="L1073" s="1"/>
      <c r="M1073" s="1"/>
      <c r="AU1073" s="18"/>
      <c r="AV1073" s="18"/>
    </row>
    <row r="1074" spans="5:48" x14ac:dyDescent="0.2">
      <c r="E1074" s="1"/>
      <c r="F1074" s="1"/>
      <c r="G1074" s="1"/>
      <c r="H1074" s="1"/>
      <c r="I1074" s="1"/>
      <c r="J1074" s="1"/>
      <c r="K1074" s="1"/>
      <c r="L1074" s="1"/>
      <c r="M1074" s="1"/>
      <c r="AU1074" s="18"/>
      <c r="AV1074" s="18"/>
    </row>
    <row r="1075" spans="5:48" x14ac:dyDescent="0.2">
      <c r="E1075" s="1"/>
      <c r="F1075" s="1"/>
      <c r="G1075" s="1"/>
      <c r="H1075" s="1"/>
      <c r="I1075" s="1"/>
      <c r="J1075" s="1"/>
      <c r="K1075" s="1"/>
      <c r="L1075" s="1"/>
      <c r="M1075" s="1"/>
      <c r="AU1075" s="18"/>
      <c r="AV1075" s="18"/>
    </row>
    <row r="1076" spans="5:48" x14ac:dyDescent="0.2">
      <c r="E1076" s="1"/>
      <c r="F1076" s="1"/>
      <c r="G1076" s="1"/>
      <c r="H1076" s="1"/>
      <c r="I1076" s="1"/>
      <c r="J1076" s="1"/>
      <c r="K1076" s="1"/>
      <c r="L1076" s="1"/>
      <c r="M1076" s="1"/>
      <c r="AU1076" s="18"/>
      <c r="AV1076" s="18"/>
    </row>
    <row r="1077" spans="5:48" x14ac:dyDescent="0.2">
      <c r="E1077" s="1"/>
      <c r="F1077" s="1"/>
      <c r="G1077" s="1"/>
      <c r="H1077" s="1"/>
      <c r="I1077" s="1"/>
      <c r="J1077" s="1"/>
      <c r="K1077" s="1"/>
      <c r="L1077" s="1"/>
      <c r="M1077" s="1"/>
      <c r="AU1077" s="18"/>
      <c r="AV1077" s="18"/>
    </row>
    <row r="1078" spans="5:48" x14ac:dyDescent="0.2">
      <c r="E1078" s="1"/>
      <c r="F1078" s="1"/>
      <c r="G1078" s="1"/>
      <c r="H1078" s="1"/>
      <c r="I1078" s="1"/>
      <c r="J1078" s="1"/>
      <c r="K1078" s="1"/>
      <c r="L1078" s="1"/>
      <c r="M1078" s="1"/>
      <c r="AU1078" s="18"/>
      <c r="AV1078" s="18"/>
    </row>
    <row r="1079" spans="5:48" x14ac:dyDescent="0.2">
      <c r="E1079" s="1"/>
      <c r="F1079" s="1"/>
      <c r="G1079" s="1"/>
      <c r="H1079" s="1"/>
      <c r="I1079" s="1"/>
      <c r="J1079" s="1"/>
      <c r="K1079" s="1"/>
      <c r="L1079" s="1"/>
      <c r="M1079" s="1"/>
      <c r="AU1079" s="18"/>
      <c r="AV1079" s="18"/>
    </row>
    <row r="1080" spans="5:48" x14ac:dyDescent="0.2">
      <c r="E1080" s="1"/>
      <c r="F1080" s="1"/>
      <c r="G1080" s="1"/>
      <c r="H1080" s="1"/>
      <c r="I1080" s="1"/>
      <c r="J1080" s="1"/>
      <c r="K1080" s="1"/>
      <c r="L1080" s="1"/>
      <c r="M1080" s="1"/>
      <c r="AU1080" s="18"/>
      <c r="AV1080" s="18"/>
    </row>
    <row r="1081" spans="5:48" x14ac:dyDescent="0.2">
      <c r="E1081" s="1"/>
      <c r="F1081" s="1"/>
      <c r="G1081" s="1"/>
      <c r="H1081" s="1"/>
      <c r="I1081" s="1"/>
      <c r="J1081" s="1"/>
      <c r="K1081" s="1"/>
      <c r="L1081" s="1"/>
      <c r="M1081" s="1"/>
      <c r="AU1081" s="18"/>
      <c r="AV1081" s="18"/>
    </row>
    <row r="1082" spans="5:48" x14ac:dyDescent="0.2">
      <c r="E1082" s="1"/>
      <c r="F1082" s="1"/>
      <c r="G1082" s="1"/>
      <c r="H1082" s="1"/>
      <c r="I1082" s="1"/>
      <c r="J1082" s="1"/>
      <c r="K1082" s="1"/>
      <c r="L1082" s="1"/>
      <c r="M1082" s="1"/>
      <c r="AU1082" s="18"/>
      <c r="AV1082" s="18"/>
    </row>
    <row r="1083" spans="5:48" x14ac:dyDescent="0.2">
      <c r="E1083" s="1"/>
      <c r="F1083" s="1"/>
      <c r="G1083" s="1"/>
      <c r="H1083" s="1"/>
      <c r="I1083" s="1"/>
      <c r="J1083" s="1"/>
      <c r="K1083" s="1"/>
      <c r="L1083" s="1"/>
      <c r="M1083" s="1"/>
      <c r="AU1083" s="18"/>
      <c r="AV1083" s="18"/>
    </row>
    <row r="1084" spans="5:48" x14ac:dyDescent="0.2">
      <c r="E1084" s="1"/>
      <c r="F1084" s="1"/>
      <c r="G1084" s="1"/>
      <c r="H1084" s="1"/>
      <c r="I1084" s="1"/>
      <c r="J1084" s="1"/>
      <c r="K1084" s="1"/>
      <c r="L1084" s="1"/>
      <c r="M1084" s="1"/>
      <c r="AU1084" s="18"/>
      <c r="AV1084" s="18"/>
    </row>
    <row r="1085" spans="5:48" x14ac:dyDescent="0.2">
      <c r="E1085" s="1"/>
      <c r="F1085" s="1"/>
      <c r="G1085" s="1"/>
      <c r="H1085" s="1"/>
      <c r="I1085" s="1"/>
      <c r="J1085" s="1"/>
      <c r="K1085" s="1"/>
      <c r="L1085" s="1"/>
      <c r="M1085" s="1"/>
      <c r="AU1085" s="18"/>
      <c r="AV1085" s="18"/>
    </row>
    <row r="1086" spans="5:48" x14ac:dyDescent="0.2">
      <c r="E1086" s="1"/>
      <c r="F1086" s="1"/>
      <c r="G1086" s="1"/>
      <c r="H1086" s="1"/>
      <c r="I1086" s="1"/>
      <c r="J1086" s="1"/>
      <c r="K1086" s="1"/>
      <c r="L1086" s="1"/>
      <c r="M1086" s="1"/>
      <c r="AU1086" s="18"/>
      <c r="AV1086" s="18"/>
    </row>
    <row r="1087" spans="5:48" x14ac:dyDescent="0.2">
      <c r="E1087" s="1"/>
      <c r="F1087" s="1"/>
      <c r="G1087" s="1"/>
      <c r="H1087" s="1"/>
      <c r="I1087" s="1"/>
      <c r="J1087" s="1"/>
      <c r="K1087" s="1"/>
      <c r="L1087" s="1"/>
      <c r="M1087" s="1"/>
      <c r="AU1087" s="18"/>
      <c r="AV1087" s="18"/>
    </row>
    <row r="1088" spans="5:48" x14ac:dyDescent="0.2">
      <c r="E1088" s="1"/>
      <c r="F1088" s="1"/>
      <c r="G1088" s="1"/>
      <c r="H1088" s="1"/>
      <c r="I1088" s="1"/>
      <c r="J1088" s="1"/>
      <c r="K1088" s="1"/>
      <c r="L1088" s="1"/>
      <c r="M1088" s="1"/>
      <c r="AU1088" s="18"/>
      <c r="AV1088" s="18"/>
    </row>
    <row r="1089" spans="5:48" x14ac:dyDescent="0.2">
      <c r="E1089" s="1"/>
      <c r="F1089" s="1"/>
      <c r="G1089" s="1"/>
      <c r="H1089" s="1"/>
      <c r="I1089" s="1"/>
      <c r="J1089" s="1"/>
      <c r="K1089" s="1"/>
      <c r="L1089" s="1"/>
      <c r="M1089" s="1"/>
      <c r="AU1089" s="18"/>
      <c r="AV1089" s="18"/>
    </row>
    <row r="1090" spans="5:48" x14ac:dyDescent="0.2">
      <c r="E1090" s="1"/>
      <c r="F1090" s="1"/>
      <c r="G1090" s="1"/>
      <c r="H1090" s="1"/>
      <c r="I1090" s="1"/>
      <c r="J1090" s="1"/>
      <c r="K1090" s="1"/>
      <c r="L1090" s="1"/>
      <c r="M1090" s="1"/>
      <c r="AU1090" s="18"/>
      <c r="AV1090" s="18"/>
    </row>
    <row r="1091" spans="5:48" x14ac:dyDescent="0.2">
      <c r="E1091" s="1"/>
      <c r="F1091" s="1"/>
      <c r="G1091" s="1"/>
      <c r="H1091" s="1"/>
      <c r="I1091" s="1"/>
      <c r="J1091" s="1"/>
      <c r="K1091" s="1"/>
      <c r="L1091" s="1"/>
      <c r="M1091" s="1"/>
      <c r="AU1091" s="18"/>
      <c r="AV1091" s="18"/>
    </row>
    <row r="1092" spans="5:48" x14ac:dyDescent="0.2">
      <c r="E1092" s="1"/>
      <c r="F1092" s="1"/>
      <c r="G1092" s="1"/>
      <c r="H1092" s="1"/>
      <c r="I1092" s="1"/>
      <c r="J1092" s="1"/>
      <c r="K1092" s="1"/>
      <c r="L1092" s="1"/>
      <c r="M1092" s="1"/>
      <c r="AU1092" s="18"/>
      <c r="AV1092" s="18"/>
    </row>
    <row r="1093" spans="5:48" x14ac:dyDescent="0.2">
      <c r="E1093" s="1"/>
      <c r="F1093" s="1"/>
      <c r="G1093" s="1"/>
      <c r="H1093" s="1"/>
      <c r="I1093" s="1"/>
      <c r="J1093" s="1"/>
      <c r="K1093" s="1"/>
      <c r="L1093" s="1"/>
      <c r="M1093" s="1"/>
      <c r="AU1093" s="18"/>
      <c r="AV1093" s="18"/>
    </row>
    <row r="1094" spans="5:48" x14ac:dyDescent="0.2">
      <c r="E1094" s="1"/>
      <c r="F1094" s="1"/>
      <c r="G1094" s="1"/>
      <c r="H1094" s="1"/>
      <c r="I1094" s="1"/>
      <c r="J1094" s="1"/>
      <c r="K1094" s="1"/>
      <c r="L1094" s="1"/>
      <c r="M1094" s="1"/>
      <c r="AU1094" s="18"/>
      <c r="AV1094" s="18"/>
    </row>
    <row r="1095" spans="5:48" x14ac:dyDescent="0.2">
      <c r="E1095" s="1"/>
      <c r="F1095" s="1"/>
      <c r="G1095" s="1"/>
      <c r="H1095" s="1"/>
      <c r="I1095" s="1"/>
      <c r="J1095" s="1"/>
      <c r="K1095" s="1"/>
      <c r="L1095" s="1"/>
      <c r="M1095" s="1"/>
      <c r="AU1095" s="18"/>
      <c r="AV1095" s="18"/>
    </row>
    <row r="1096" spans="5:48" x14ac:dyDescent="0.2">
      <c r="E1096" s="1"/>
      <c r="F1096" s="1"/>
      <c r="G1096" s="1"/>
      <c r="H1096" s="1"/>
      <c r="I1096" s="1"/>
      <c r="J1096" s="1"/>
      <c r="K1096" s="1"/>
      <c r="L1096" s="1"/>
      <c r="M1096" s="1"/>
      <c r="AU1096" s="18"/>
      <c r="AV1096" s="18"/>
    </row>
    <row r="1097" spans="5:48" x14ac:dyDescent="0.2">
      <c r="E1097" s="1"/>
      <c r="F1097" s="1"/>
      <c r="G1097" s="1"/>
      <c r="H1097" s="1"/>
      <c r="I1097" s="1"/>
      <c r="J1097" s="1"/>
      <c r="K1097" s="1"/>
      <c r="L1097" s="1"/>
      <c r="M1097" s="1"/>
      <c r="AU1097" s="18"/>
      <c r="AV1097" s="18"/>
    </row>
    <row r="1098" spans="5:48" x14ac:dyDescent="0.2">
      <c r="E1098" s="1"/>
      <c r="F1098" s="1"/>
      <c r="G1098" s="1"/>
      <c r="H1098" s="1"/>
      <c r="I1098" s="1"/>
      <c r="J1098" s="1"/>
      <c r="K1098" s="1"/>
      <c r="L1098" s="1"/>
      <c r="M1098" s="1"/>
      <c r="AU1098" s="18"/>
      <c r="AV1098" s="18"/>
    </row>
    <row r="1099" spans="5:48" x14ac:dyDescent="0.2">
      <c r="E1099" s="1"/>
      <c r="F1099" s="1"/>
      <c r="G1099" s="1"/>
      <c r="H1099" s="1"/>
      <c r="I1099" s="1"/>
      <c r="J1099" s="1"/>
      <c r="K1099" s="1"/>
      <c r="L1099" s="1"/>
      <c r="M1099" s="1"/>
      <c r="AU1099" s="18"/>
      <c r="AV1099" s="18"/>
    </row>
    <row r="1100" spans="5:48" x14ac:dyDescent="0.2">
      <c r="E1100" s="1"/>
      <c r="F1100" s="1"/>
      <c r="G1100" s="1"/>
      <c r="H1100" s="1"/>
      <c r="I1100" s="1"/>
      <c r="J1100" s="1"/>
      <c r="K1100" s="1"/>
      <c r="L1100" s="1"/>
      <c r="M1100" s="1"/>
      <c r="AU1100" s="18"/>
      <c r="AV1100" s="18"/>
    </row>
    <row r="1101" spans="5:48" x14ac:dyDescent="0.2">
      <c r="E1101" s="1"/>
      <c r="F1101" s="1"/>
      <c r="G1101" s="1"/>
      <c r="H1101" s="1"/>
      <c r="I1101" s="1"/>
      <c r="J1101" s="1"/>
      <c r="K1101" s="1"/>
      <c r="L1101" s="1"/>
      <c r="M1101" s="1"/>
      <c r="AU1101" s="18"/>
      <c r="AV1101" s="18"/>
    </row>
    <row r="1102" spans="5:48" x14ac:dyDescent="0.2">
      <c r="E1102" s="1"/>
      <c r="F1102" s="1"/>
      <c r="G1102" s="1"/>
      <c r="H1102" s="1"/>
      <c r="I1102" s="1"/>
      <c r="J1102" s="1"/>
      <c r="K1102" s="1"/>
      <c r="L1102" s="1"/>
      <c r="M1102" s="1"/>
      <c r="AU1102" s="18"/>
      <c r="AV1102" s="18"/>
    </row>
    <row r="1103" spans="5:48" x14ac:dyDescent="0.2">
      <c r="E1103" s="1"/>
      <c r="F1103" s="1"/>
      <c r="G1103" s="1"/>
      <c r="H1103" s="1"/>
      <c r="I1103" s="1"/>
      <c r="J1103" s="1"/>
      <c r="K1103" s="1"/>
      <c r="L1103" s="1"/>
      <c r="M1103" s="1"/>
      <c r="AU1103" s="18"/>
      <c r="AV1103" s="18"/>
    </row>
    <row r="1104" spans="5:48" x14ac:dyDescent="0.2">
      <c r="E1104" s="1"/>
      <c r="F1104" s="1"/>
      <c r="G1104" s="1"/>
      <c r="H1104" s="1"/>
      <c r="I1104" s="1"/>
      <c r="J1104" s="1"/>
      <c r="K1104" s="1"/>
      <c r="L1104" s="1"/>
      <c r="M1104" s="1"/>
      <c r="AU1104" s="18"/>
      <c r="AV1104" s="18"/>
    </row>
    <row r="1105" spans="5:48" x14ac:dyDescent="0.2">
      <c r="E1105" s="1"/>
      <c r="F1105" s="1"/>
      <c r="G1105" s="1"/>
      <c r="H1105" s="1"/>
      <c r="I1105" s="1"/>
      <c r="J1105" s="1"/>
      <c r="K1105" s="1"/>
      <c r="L1105" s="1"/>
      <c r="M1105" s="1"/>
      <c r="AU1105" s="18"/>
      <c r="AV1105" s="18"/>
    </row>
    <row r="1106" spans="5:48" x14ac:dyDescent="0.2">
      <c r="E1106" s="1"/>
      <c r="F1106" s="1"/>
      <c r="G1106" s="1"/>
      <c r="H1106" s="1"/>
      <c r="I1106" s="1"/>
      <c r="J1106" s="1"/>
      <c r="K1106" s="1"/>
      <c r="L1106" s="1"/>
      <c r="M1106" s="1"/>
      <c r="AU1106" s="18"/>
      <c r="AV1106" s="18"/>
    </row>
    <row r="1107" spans="5:48" x14ac:dyDescent="0.2">
      <c r="E1107" s="1"/>
      <c r="F1107" s="1"/>
      <c r="G1107" s="1"/>
      <c r="H1107" s="1"/>
      <c r="I1107" s="1"/>
      <c r="J1107" s="1"/>
      <c r="K1107" s="1"/>
      <c r="L1107" s="1"/>
      <c r="M1107" s="1"/>
      <c r="AU1107" s="18"/>
      <c r="AV1107" s="18"/>
    </row>
    <row r="1108" spans="5:48" x14ac:dyDescent="0.2">
      <c r="E1108" s="1"/>
      <c r="F1108" s="1"/>
      <c r="G1108" s="1"/>
      <c r="H1108" s="1"/>
      <c r="I1108" s="1"/>
      <c r="J1108" s="1"/>
      <c r="K1108" s="1"/>
      <c r="L1108" s="1"/>
      <c r="M1108" s="1"/>
      <c r="AU1108" s="18"/>
      <c r="AV1108" s="18"/>
    </row>
    <row r="1109" spans="5:48" x14ac:dyDescent="0.2">
      <c r="E1109" s="1"/>
      <c r="F1109" s="1"/>
      <c r="G1109" s="1"/>
      <c r="H1109" s="1"/>
      <c r="I1109" s="1"/>
      <c r="J1109" s="1"/>
      <c r="K1109" s="1"/>
      <c r="L1109" s="1"/>
      <c r="M1109" s="1"/>
      <c r="AU1109" s="18"/>
      <c r="AV1109" s="18"/>
    </row>
    <row r="1110" spans="5:48" x14ac:dyDescent="0.2">
      <c r="E1110" s="1"/>
      <c r="F1110" s="1"/>
      <c r="G1110" s="1"/>
      <c r="H1110" s="1"/>
      <c r="I1110" s="1"/>
      <c r="J1110" s="1"/>
      <c r="K1110" s="1"/>
      <c r="L1110" s="1"/>
      <c r="M1110" s="1"/>
      <c r="AU1110" s="18"/>
      <c r="AV1110" s="18"/>
    </row>
    <row r="1111" spans="5:48" x14ac:dyDescent="0.2">
      <c r="E1111" s="1"/>
      <c r="F1111" s="1"/>
      <c r="G1111" s="1"/>
      <c r="H1111" s="1"/>
      <c r="I1111" s="1"/>
      <c r="J1111" s="1"/>
      <c r="K1111" s="1"/>
      <c r="L1111" s="1"/>
      <c r="M1111" s="1"/>
      <c r="AU1111" s="18"/>
      <c r="AV1111" s="18"/>
    </row>
    <row r="1112" spans="5:48" x14ac:dyDescent="0.2">
      <c r="E1112" s="1"/>
      <c r="F1112" s="1"/>
      <c r="G1112" s="1"/>
      <c r="H1112" s="1"/>
      <c r="I1112" s="1"/>
      <c r="J1112" s="1"/>
      <c r="K1112" s="1"/>
      <c r="L1112" s="1"/>
      <c r="M1112" s="1"/>
      <c r="AU1112" s="18"/>
      <c r="AV1112" s="18"/>
    </row>
    <row r="1113" spans="5:48" x14ac:dyDescent="0.2">
      <c r="E1113" s="1"/>
      <c r="F1113" s="1"/>
      <c r="G1113" s="1"/>
      <c r="H1113" s="1"/>
      <c r="I1113" s="1"/>
      <c r="J1113" s="1"/>
      <c r="K1113" s="1"/>
      <c r="L1113" s="1"/>
      <c r="M1113" s="1"/>
      <c r="AU1113" s="18"/>
      <c r="AV1113" s="18"/>
    </row>
    <row r="1114" spans="5:48" x14ac:dyDescent="0.2">
      <c r="E1114" s="1"/>
      <c r="F1114" s="1"/>
      <c r="G1114" s="1"/>
      <c r="H1114" s="1"/>
      <c r="I1114" s="1"/>
      <c r="J1114" s="1"/>
      <c r="K1114" s="1"/>
      <c r="L1114" s="1"/>
      <c r="M1114" s="1"/>
      <c r="AU1114" s="18"/>
      <c r="AV1114" s="18"/>
    </row>
    <row r="1115" spans="5:48" x14ac:dyDescent="0.2">
      <c r="E1115" s="1"/>
      <c r="F1115" s="1"/>
      <c r="G1115" s="1"/>
      <c r="H1115" s="1"/>
      <c r="I1115" s="1"/>
      <c r="J1115" s="1"/>
      <c r="K1115" s="1"/>
      <c r="L1115" s="1"/>
      <c r="M1115" s="1"/>
      <c r="AU1115" s="18"/>
      <c r="AV1115" s="18"/>
    </row>
    <row r="1116" spans="5:48" x14ac:dyDescent="0.2">
      <c r="E1116" s="1"/>
      <c r="F1116" s="1"/>
      <c r="G1116" s="1"/>
      <c r="H1116" s="1"/>
      <c r="I1116" s="1"/>
      <c r="J1116" s="1"/>
      <c r="K1116" s="1"/>
      <c r="L1116" s="1"/>
      <c r="M1116" s="1"/>
      <c r="AU1116" s="18"/>
      <c r="AV1116" s="18"/>
    </row>
    <row r="1117" spans="5:48" x14ac:dyDescent="0.2">
      <c r="E1117" s="1"/>
      <c r="F1117" s="1"/>
      <c r="G1117" s="1"/>
      <c r="H1117" s="1"/>
      <c r="I1117" s="1"/>
      <c r="J1117" s="1"/>
      <c r="K1117" s="1"/>
      <c r="L1117" s="1"/>
      <c r="M1117" s="1"/>
      <c r="AU1117" s="18"/>
      <c r="AV1117" s="18"/>
    </row>
    <row r="1118" spans="5:48" x14ac:dyDescent="0.2">
      <c r="E1118" s="1"/>
      <c r="F1118" s="1"/>
      <c r="G1118" s="1"/>
      <c r="H1118" s="1"/>
      <c r="I1118" s="1"/>
      <c r="J1118" s="1"/>
      <c r="K1118" s="1"/>
      <c r="L1118" s="1"/>
      <c r="M1118" s="1"/>
      <c r="AU1118" s="18"/>
      <c r="AV1118" s="18"/>
    </row>
    <row r="1119" spans="5:48" x14ac:dyDescent="0.2">
      <c r="E1119" s="1"/>
      <c r="F1119" s="1"/>
      <c r="G1119" s="1"/>
      <c r="H1119" s="1"/>
      <c r="I1119" s="1"/>
      <c r="J1119" s="1"/>
      <c r="K1119" s="1"/>
      <c r="L1119" s="1"/>
      <c r="M1119" s="1"/>
      <c r="AU1119" s="18"/>
      <c r="AV1119" s="18"/>
    </row>
    <row r="1120" spans="5:48" x14ac:dyDescent="0.2">
      <c r="E1120" s="1"/>
      <c r="F1120" s="1"/>
      <c r="G1120" s="1"/>
      <c r="H1120" s="1"/>
      <c r="I1120" s="1"/>
      <c r="J1120" s="1"/>
      <c r="K1120" s="1"/>
      <c r="L1120" s="1"/>
      <c r="M1120" s="1"/>
      <c r="AU1120" s="18"/>
      <c r="AV1120" s="18"/>
    </row>
    <row r="1121" spans="5:48" x14ac:dyDescent="0.2">
      <c r="E1121" s="1"/>
      <c r="F1121" s="1"/>
      <c r="G1121" s="1"/>
      <c r="H1121" s="1"/>
      <c r="I1121" s="1"/>
      <c r="J1121" s="1"/>
      <c r="K1121" s="1"/>
      <c r="L1121" s="1"/>
      <c r="M1121" s="1"/>
      <c r="AU1121" s="18"/>
      <c r="AV1121" s="18"/>
    </row>
    <row r="1122" spans="5:48" x14ac:dyDescent="0.2">
      <c r="E1122" s="1"/>
      <c r="F1122" s="1"/>
      <c r="G1122" s="1"/>
      <c r="H1122" s="1"/>
      <c r="I1122" s="1"/>
      <c r="J1122" s="1"/>
      <c r="K1122" s="1"/>
      <c r="L1122" s="1"/>
      <c r="M1122" s="1"/>
      <c r="AU1122" s="18"/>
      <c r="AV1122" s="18"/>
    </row>
    <row r="1123" spans="5:48" x14ac:dyDescent="0.2">
      <c r="E1123" s="1"/>
      <c r="F1123" s="1"/>
      <c r="G1123" s="1"/>
      <c r="H1123" s="1"/>
      <c r="I1123" s="1"/>
      <c r="J1123" s="1"/>
      <c r="K1123" s="1"/>
      <c r="L1123" s="1"/>
      <c r="M1123" s="1"/>
      <c r="AU1123" s="18"/>
      <c r="AV1123" s="18"/>
    </row>
    <row r="1124" spans="5:48" x14ac:dyDescent="0.2">
      <c r="E1124" s="1"/>
      <c r="F1124" s="1"/>
      <c r="G1124" s="1"/>
      <c r="H1124" s="1"/>
      <c r="I1124" s="1"/>
      <c r="J1124" s="1"/>
      <c r="K1124" s="1"/>
      <c r="L1124" s="1"/>
      <c r="M1124" s="1"/>
      <c r="AU1124" s="18"/>
      <c r="AV1124" s="18"/>
    </row>
    <row r="1125" spans="5:48" x14ac:dyDescent="0.2">
      <c r="E1125" s="1"/>
      <c r="F1125" s="1"/>
      <c r="G1125" s="1"/>
      <c r="H1125" s="1"/>
      <c r="I1125" s="1"/>
      <c r="J1125" s="1"/>
      <c r="K1125" s="1"/>
      <c r="L1125" s="1"/>
      <c r="M1125" s="1"/>
      <c r="AU1125" s="18"/>
      <c r="AV1125" s="18"/>
    </row>
    <row r="1126" spans="5:48" x14ac:dyDescent="0.2">
      <c r="E1126" s="1"/>
      <c r="F1126" s="1"/>
      <c r="G1126" s="1"/>
      <c r="H1126" s="1"/>
      <c r="I1126" s="1"/>
      <c r="J1126" s="1"/>
      <c r="K1126" s="1"/>
      <c r="L1126" s="1"/>
      <c r="M1126" s="1"/>
      <c r="AU1126" s="18"/>
      <c r="AV1126" s="18"/>
    </row>
    <row r="1127" spans="5:48" x14ac:dyDescent="0.2">
      <c r="E1127" s="1"/>
      <c r="F1127" s="1"/>
      <c r="G1127" s="1"/>
      <c r="H1127" s="1"/>
      <c r="I1127" s="1"/>
      <c r="J1127" s="1"/>
      <c r="K1127" s="1"/>
      <c r="L1127" s="1"/>
      <c r="M1127" s="1"/>
      <c r="AU1127" s="18"/>
      <c r="AV1127" s="18"/>
    </row>
    <row r="1128" spans="5:48" x14ac:dyDescent="0.2">
      <c r="E1128" s="1"/>
      <c r="F1128" s="1"/>
      <c r="G1128" s="1"/>
      <c r="H1128" s="1"/>
      <c r="I1128" s="1"/>
      <c r="J1128" s="1"/>
      <c r="K1128" s="1"/>
      <c r="L1128" s="1"/>
      <c r="M1128" s="1"/>
      <c r="AU1128" s="18"/>
      <c r="AV1128" s="18"/>
    </row>
    <row r="1129" spans="5:48" x14ac:dyDescent="0.2">
      <c r="E1129" s="1"/>
      <c r="F1129" s="1"/>
      <c r="G1129" s="1"/>
      <c r="H1129" s="1"/>
      <c r="I1129" s="1"/>
      <c r="J1129" s="1"/>
      <c r="K1129" s="1"/>
      <c r="L1129" s="1"/>
      <c r="M1129" s="1"/>
      <c r="AU1129" s="18"/>
      <c r="AV1129" s="18"/>
    </row>
    <row r="1130" spans="5:48" x14ac:dyDescent="0.2">
      <c r="E1130" s="1"/>
      <c r="F1130" s="1"/>
      <c r="G1130" s="1"/>
      <c r="H1130" s="1"/>
      <c r="I1130" s="1"/>
      <c r="J1130" s="1"/>
      <c r="K1130" s="1"/>
      <c r="L1130" s="1"/>
      <c r="M1130" s="1"/>
      <c r="AU1130" s="18"/>
      <c r="AV1130" s="18"/>
    </row>
    <row r="1131" spans="5:48" x14ac:dyDescent="0.2">
      <c r="E1131" s="1"/>
      <c r="F1131" s="1"/>
      <c r="G1131" s="1"/>
      <c r="H1131" s="1"/>
      <c r="I1131" s="1"/>
      <c r="J1131" s="1"/>
      <c r="K1131" s="1"/>
      <c r="L1131" s="1"/>
      <c r="M1131" s="1"/>
      <c r="AU1131" s="18"/>
      <c r="AV1131" s="18"/>
    </row>
    <row r="1132" spans="5:48" x14ac:dyDescent="0.2">
      <c r="E1132" s="1"/>
      <c r="F1132" s="1"/>
      <c r="G1132" s="1"/>
      <c r="H1132" s="1"/>
      <c r="I1132" s="1"/>
      <c r="J1132" s="1"/>
      <c r="K1132" s="1"/>
      <c r="L1132" s="1"/>
      <c r="M1132" s="1"/>
      <c r="AU1132" s="18"/>
      <c r="AV1132" s="18"/>
    </row>
    <row r="1133" spans="5:48" x14ac:dyDescent="0.2">
      <c r="E1133" s="1"/>
      <c r="F1133" s="1"/>
      <c r="G1133" s="1"/>
      <c r="H1133" s="1"/>
      <c r="I1133" s="1"/>
      <c r="J1133" s="1"/>
      <c r="K1133" s="1"/>
      <c r="L1133" s="1"/>
      <c r="M1133" s="1"/>
      <c r="AU1133" s="18"/>
      <c r="AV1133" s="18"/>
    </row>
    <row r="1134" spans="5:48" x14ac:dyDescent="0.2">
      <c r="E1134" s="1"/>
      <c r="F1134" s="1"/>
      <c r="G1134" s="1"/>
      <c r="H1134" s="1"/>
      <c r="I1134" s="1"/>
      <c r="J1134" s="1"/>
      <c r="K1134" s="1"/>
      <c r="L1134" s="1"/>
      <c r="M1134" s="1"/>
      <c r="AU1134" s="18"/>
      <c r="AV1134" s="18"/>
    </row>
    <row r="1135" spans="5:48" x14ac:dyDescent="0.2">
      <c r="E1135" s="1"/>
      <c r="F1135" s="1"/>
      <c r="G1135" s="1"/>
      <c r="H1135" s="1"/>
      <c r="I1135" s="1"/>
      <c r="J1135" s="1"/>
      <c r="K1135" s="1"/>
      <c r="L1135" s="1"/>
      <c r="M1135" s="1"/>
      <c r="AU1135" s="18"/>
      <c r="AV1135" s="18"/>
    </row>
    <row r="1136" spans="5:48" x14ac:dyDescent="0.2">
      <c r="E1136" s="1"/>
      <c r="F1136" s="1"/>
      <c r="G1136" s="1"/>
      <c r="H1136" s="1"/>
      <c r="I1136" s="1"/>
      <c r="J1136" s="1"/>
      <c r="K1136" s="1"/>
      <c r="L1136" s="1"/>
      <c r="M1136" s="1"/>
      <c r="AU1136" s="18"/>
      <c r="AV1136" s="18"/>
    </row>
    <row r="1137" spans="5:48" x14ac:dyDescent="0.2">
      <c r="E1137" s="1"/>
      <c r="F1137" s="1"/>
      <c r="G1137" s="1"/>
      <c r="H1137" s="1"/>
      <c r="I1137" s="1"/>
      <c r="J1137" s="1"/>
      <c r="K1137" s="1"/>
      <c r="L1137" s="1"/>
      <c r="M1137" s="1"/>
      <c r="AU1137" s="18"/>
      <c r="AV1137" s="18"/>
    </row>
    <row r="1138" spans="5:48" x14ac:dyDescent="0.2">
      <c r="E1138" s="1"/>
      <c r="F1138" s="1"/>
      <c r="G1138" s="1"/>
      <c r="H1138" s="1"/>
      <c r="I1138" s="1"/>
      <c r="J1138" s="1"/>
      <c r="K1138" s="1"/>
      <c r="L1138" s="1"/>
      <c r="M1138" s="1"/>
      <c r="AU1138" s="18"/>
      <c r="AV1138" s="18"/>
    </row>
    <row r="1139" spans="5:48" x14ac:dyDescent="0.2">
      <c r="E1139" s="1"/>
      <c r="F1139" s="1"/>
      <c r="G1139" s="1"/>
      <c r="H1139" s="1"/>
      <c r="I1139" s="1"/>
      <c r="J1139" s="1"/>
      <c r="K1139" s="1"/>
      <c r="L1139" s="1"/>
      <c r="M1139" s="1"/>
      <c r="AU1139" s="18"/>
      <c r="AV1139" s="18"/>
    </row>
    <row r="1140" spans="5:48" x14ac:dyDescent="0.2">
      <c r="E1140" s="1"/>
      <c r="F1140" s="1"/>
      <c r="G1140" s="1"/>
      <c r="H1140" s="1"/>
      <c r="I1140" s="1"/>
      <c r="J1140" s="1"/>
      <c r="K1140" s="1"/>
      <c r="L1140" s="1"/>
      <c r="M1140" s="1"/>
      <c r="AU1140" s="18"/>
      <c r="AV1140" s="18"/>
    </row>
    <row r="1141" spans="5:48" x14ac:dyDescent="0.2">
      <c r="E1141" s="1"/>
      <c r="F1141" s="1"/>
      <c r="G1141" s="1"/>
      <c r="H1141" s="1"/>
      <c r="I1141" s="1"/>
      <c r="J1141" s="1"/>
      <c r="K1141" s="1"/>
      <c r="L1141" s="1"/>
      <c r="M1141" s="1"/>
      <c r="AU1141" s="18"/>
      <c r="AV1141" s="18"/>
    </row>
    <row r="1142" spans="5:48" x14ac:dyDescent="0.2">
      <c r="E1142" s="1"/>
      <c r="F1142" s="1"/>
      <c r="G1142" s="1"/>
      <c r="H1142" s="1"/>
      <c r="I1142" s="1"/>
      <c r="J1142" s="1"/>
      <c r="K1142" s="1"/>
      <c r="L1142" s="1"/>
      <c r="M1142" s="1"/>
      <c r="AU1142" s="18"/>
      <c r="AV1142" s="18"/>
    </row>
    <row r="1143" spans="5:48" x14ac:dyDescent="0.2">
      <c r="E1143" s="1"/>
      <c r="F1143" s="1"/>
      <c r="G1143" s="1"/>
      <c r="H1143" s="1"/>
      <c r="I1143" s="1"/>
      <c r="J1143" s="1"/>
      <c r="K1143" s="1"/>
      <c r="L1143" s="1"/>
      <c r="M1143" s="1"/>
      <c r="AU1143" s="18"/>
      <c r="AV1143" s="18"/>
    </row>
    <row r="1144" spans="5:48" x14ac:dyDescent="0.2">
      <c r="E1144" s="1"/>
      <c r="F1144" s="1"/>
      <c r="G1144" s="1"/>
      <c r="H1144" s="1"/>
      <c r="I1144" s="1"/>
      <c r="J1144" s="1"/>
      <c r="K1144" s="1"/>
      <c r="L1144" s="1"/>
      <c r="M1144" s="1"/>
      <c r="AU1144" s="18"/>
      <c r="AV1144" s="18"/>
    </row>
    <row r="1145" spans="5:48" x14ac:dyDescent="0.2">
      <c r="E1145" s="1"/>
      <c r="F1145" s="1"/>
      <c r="G1145" s="1"/>
      <c r="H1145" s="1"/>
      <c r="I1145" s="1"/>
      <c r="J1145" s="1"/>
      <c r="K1145" s="1"/>
      <c r="L1145" s="1"/>
      <c r="M1145" s="1"/>
      <c r="AU1145" s="18"/>
      <c r="AV1145" s="18"/>
    </row>
    <row r="1146" spans="5:48" x14ac:dyDescent="0.2">
      <c r="E1146" s="1"/>
      <c r="F1146" s="1"/>
      <c r="G1146" s="1"/>
      <c r="H1146" s="1"/>
      <c r="I1146" s="1"/>
      <c r="J1146" s="1"/>
      <c r="K1146" s="1"/>
      <c r="L1146" s="1"/>
      <c r="M1146" s="1"/>
      <c r="AU1146" s="18"/>
      <c r="AV1146" s="18"/>
    </row>
    <row r="1147" spans="5:48" x14ac:dyDescent="0.2">
      <c r="E1147" s="1"/>
      <c r="F1147" s="1"/>
      <c r="G1147" s="1"/>
      <c r="H1147" s="1"/>
      <c r="I1147" s="1"/>
      <c r="J1147" s="1"/>
      <c r="K1147" s="1"/>
      <c r="L1147" s="1"/>
      <c r="M1147" s="1"/>
      <c r="AU1147" s="18"/>
      <c r="AV1147" s="18"/>
    </row>
    <row r="1148" spans="5:48" x14ac:dyDescent="0.2">
      <c r="E1148" s="1"/>
      <c r="F1148" s="1"/>
      <c r="G1148" s="1"/>
      <c r="H1148" s="1"/>
      <c r="I1148" s="1"/>
      <c r="J1148" s="1"/>
      <c r="K1148" s="1"/>
      <c r="L1148" s="1"/>
      <c r="M1148" s="1"/>
      <c r="AU1148" s="18"/>
      <c r="AV1148" s="18"/>
    </row>
    <row r="1149" spans="5:48" x14ac:dyDescent="0.2">
      <c r="E1149" s="1"/>
      <c r="F1149" s="1"/>
      <c r="G1149" s="1"/>
      <c r="H1149" s="1"/>
      <c r="I1149" s="1"/>
      <c r="J1149" s="1"/>
      <c r="K1149" s="1"/>
      <c r="L1149" s="1"/>
      <c r="M1149" s="1"/>
      <c r="AU1149" s="18"/>
      <c r="AV1149" s="18"/>
    </row>
    <row r="1150" spans="5:48" x14ac:dyDescent="0.2">
      <c r="E1150" s="1"/>
      <c r="F1150" s="1"/>
      <c r="G1150" s="1"/>
      <c r="H1150" s="1"/>
      <c r="I1150" s="1"/>
      <c r="J1150" s="1"/>
      <c r="K1150" s="1"/>
      <c r="L1150" s="1"/>
      <c r="M1150" s="1"/>
      <c r="AU1150" s="18"/>
      <c r="AV1150" s="18"/>
    </row>
    <row r="1151" spans="5:48" x14ac:dyDescent="0.2">
      <c r="E1151" s="1"/>
      <c r="F1151" s="1"/>
      <c r="G1151" s="1"/>
      <c r="H1151" s="1"/>
      <c r="I1151" s="1"/>
      <c r="J1151" s="1"/>
      <c r="K1151" s="1"/>
      <c r="L1151" s="1"/>
      <c r="M1151" s="1"/>
      <c r="AU1151" s="18"/>
      <c r="AV1151" s="18"/>
    </row>
    <row r="1152" spans="5:48" x14ac:dyDescent="0.2">
      <c r="E1152" s="1"/>
      <c r="F1152" s="1"/>
      <c r="G1152" s="1"/>
      <c r="H1152" s="1"/>
      <c r="I1152" s="1"/>
      <c r="J1152" s="1"/>
      <c r="K1152" s="1"/>
      <c r="L1152" s="1"/>
      <c r="M1152" s="1"/>
      <c r="AU1152" s="18"/>
      <c r="AV1152" s="18"/>
    </row>
    <row r="1153" spans="5:48" x14ac:dyDescent="0.2">
      <c r="E1153" s="1"/>
      <c r="F1153" s="1"/>
      <c r="G1153" s="1"/>
      <c r="H1153" s="1"/>
      <c r="I1153" s="1"/>
      <c r="J1153" s="1"/>
      <c r="K1153" s="1"/>
      <c r="L1153" s="1"/>
      <c r="M1153" s="1"/>
      <c r="AU1153" s="18"/>
      <c r="AV1153" s="18"/>
    </row>
    <row r="1154" spans="5:48" x14ac:dyDescent="0.2">
      <c r="E1154" s="1"/>
      <c r="F1154" s="1"/>
      <c r="G1154" s="1"/>
      <c r="H1154" s="1"/>
      <c r="I1154" s="1"/>
      <c r="J1154" s="1"/>
      <c r="K1154" s="1"/>
      <c r="L1154" s="1"/>
      <c r="M1154" s="1"/>
      <c r="AU1154" s="18"/>
      <c r="AV1154" s="18"/>
    </row>
    <row r="1155" spans="5:48" x14ac:dyDescent="0.2">
      <c r="E1155" s="1"/>
      <c r="F1155" s="1"/>
      <c r="G1155" s="1"/>
      <c r="H1155" s="1"/>
      <c r="I1155" s="1"/>
      <c r="J1155" s="1"/>
      <c r="K1155" s="1"/>
      <c r="L1155" s="1"/>
      <c r="M1155" s="1"/>
      <c r="AU1155" s="18"/>
      <c r="AV1155" s="18"/>
    </row>
    <row r="1156" spans="5:48" x14ac:dyDescent="0.2">
      <c r="E1156" s="1"/>
      <c r="F1156" s="1"/>
      <c r="G1156" s="1"/>
      <c r="H1156" s="1"/>
      <c r="I1156" s="1"/>
      <c r="J1156" s="1"/>
      <c r="K1156" s="1"/>
      <c r="L1156" s="1"/>
      <c r="M1156" s="1"/>
      <c r="AU1156" s="18"/>
      <c r="AV1156" s="18"/>
    </row>
    <row r="1157" spans="5:48" x14ac:dyDescent="0.2">
      <c r="E1157" s="1"/>
      <c r="F1157" s="1"/>
      <c r="G1157" s="1"/>
      <c r="H1157" s="1"/>
      <c r="I1157" s="1"/>
      <c r="J1157" s="1"/>
      <c r="K1157" s="1"/>
      <c r="L1157" s="1"/>
      <c r="M1157" s="1"/>
      <c r="AU1157" s="18"/>
      <c r="AV1157" s="18"/>
    </row>
    <row r="1158" spans="5:48" x14ac:dyDescent="0.2">
      <c r="E1158" s="1"/>
      <c r="F1158" s="1"/>
      <c r="G1158" s="1"/>
      <c r="H1158" s="1"/>
      <c r="I1158" s="1"/>
      <c r="J1158" s="1"/>
      <c r="K1158" s="1"/>
      <c r="L1158" s="1"/>
      <c r="M1158" s="1"/>
      <c r="AU1158" s="18"/>
      <c r="AV1158" s="18"/>
    </row>
    <row r="1159" spans="5:48" x14ac:dyDescent="0.2">
      <c r="E1159" s="1"/>
      <c r="F1159" s="1"/>
      <c r="G1159" s="1"/>
      <c r="H1159" s="1"/>
      <c r="I1159" s="1"/>
      <c r="J1159" s="1"/>
      <c r="K1159" s="1"/>
      <c r="L1159" s="1"/>
      <c r="M1159" s="1"/>
      <c r="AU1159" s="18"/>
      <c r="AV1159" s="18"/>
    </row>
    <row r="1160" spans="5:48" x14ac:dyDescent="0.2">
      <c r="E1160" s="1"/>
      <c r="F1160" s="1"/>
      <c r="G1160" s="1"/>
      <c r="H1160" s="1"/>
      <c r="I1160" s="1"/>
      <c r="J1160" s="1"/>
      <c r="K1160" s="1"/>
      <c r="L1160" s="1"/>
      <c r="M1160" s="1"/>
      <c r="AU1160" s="18"/>
      <c r="AV1160" s="18"/>
    </row>
    <row r="1161" spans="5:48" x14ac:dyDescent="0.2">
      <c r="E1161" s="1"/>
      <c r="F1161" s="1"/>
      <c r="G1161" s="1"/>
      <c r="H1161" s="1"/>
      <c r="I1161" s="1"/>
      <c r="J1161" s="1"/>
      <c r="K1161" s="1"/>
      <c r="L1161" s="1"/>
      <c r="M1161" s="1"/>
      <c r="AU1161" s="18"/>
      <c r="AV1161" s="18"/>
    </row>
    <row r="1162" spans="5:48" x14ac:dyDescent="0.2">
      <c r="E1162" s="1"/>
      <c r="F1162" s="1"/>
      <c r="G1162" s="1"/>
      <c r="H1162" s="1"/>
      <c r="I1162" s="1"/>
      <c r="J1162" s="1"/>
      <c r="K1162" s="1"/>
      <c r="L1162" s="1"/>
      <c r="M1162" s="1"/>
      <c r="AU1162" s="18"/>
      <c r="AV1162" s="18"/>
    </row>
    <row r="1163" spans="5:48" x14ac:dyDescent="0.2">
      <c r="E1163" s="1"/>
      <c r="F1163" s="1"/>
      <c r="G1163" s="1"/>
      <c r="H1163" s="1"/>
      <c r="I1163" s="1"/>
      <c r="J1163" s="1"/>
      <c r="K1163" s="1"/>
      <c r="L1163" s="1"/>
      <c r="M1163" s="1"/>
      <c r="AU1163" s="18"/>
      <c r="AV1163" s="18"/>
    </row>
    <row r="1164" spans="5:48" x14ac:dyDescent="0.2">
      <c r="E1164" s="1"/>
      <c r="F1164" s="1"/>
      <c r="G1164" s="1"/>
      <c r="H1164" s="1"/>
      <c r="I1164" s="1"/>
      <c r="J1164" s="1"/>
      <c r="K1164" s="1"/>
      <c r="L1164" s="1"/>
      <c r="M1164" s="1"/>
      <c r="AU1164" s="18"/>
      <c r="AV1164" s="18"/>
    </row>
    <row r="1165" spans="5:48" x14ac:dyDescent="0.2">
      <c r="E1165" s="1"/>
      <c r="F1165" s="1"/>
      <c r="G1165" s="1"/>
      <c r="H1165" s="1"/>
      <c r="I1165" s="1"/>
      <c r="J1165" s="1"/>
      <c r="K1165" s="1"/>
      <c r="L1165" s="1"/>
      <c r="M1165" s="1"/>
      <c r="AU1165" s="18"/>
      <c r="AV1165" s="18"/>
    </row>
    <row r="1166" spans="5:48" x14ac:dyDescent="0.2">
      <c r="E1166" s="1"/>
      <c r="F1166" s="1"/>
      <c r="G1166" s="1"/>
      <c r="H1166" s="1"/>
      <c r="I1166" s="1"/>
      <c r="J1166" s="1"/>
      <c r="K1166" s="1"/>
      <c r="L1166" s="1"/>
      <c r="M1166" s="1"/>
      <c r="AU1166" s="18"/>
      <c r="AV1166" s="18"/>
    </row>
    <row r="1167" spans="5:48" x14ac:dyDescent="0.2">
      <c r="E1167" s="1"/>
      <c r="F1167" s="1"/>
      <c r="G1167" s="1"/>
      <c r="H1167" s="1"/>
      <c r="I1167" s="1"/>
      <c r="J1167" s="1"/>
      <c r="K1167" s="1"/>
      <c r="L1167" s="1"/>
      <c r="M1167" s="1"/>
      <c r="AU1167" s="18"/>
      <c r="AV1167" s="18"/>
    </row>
    <row r="1168" spans="5:48" x14ac:dyDescent="0.2">
      <c r="E1168" s="1"/>
      <c r="F1168" s="1"/>
      <c r="G1168" s="1"/>
      <c r="H1168" s="1"/>
      <c r="I1168" s="1"/>
      <c r="J1168" s="1"/>
      <c r="K1168" s="1"/>
      <c r="L1168" s="1"/>
      <c r="M1168" s="1"/>
      <c r="AU1168" s="18"/>
      <c r="AV1168" s="18"/>
    </row>
    <row r="1169" spans="5:48" x14ac:dyDescent="0.2">
      <c r="E1169" s="1"/>
      <c r="F1169" s="1"/>
      <c r="G1169" s="1"/>
      <c r="H1169" s="1"/>
      <c r="I1169" s="1"/>
      <c r="J1169" s="1"/>
      <c r="K1169" s="1"/>
      <c r="L1169" s="1"/>
      <c r="M1169" s="1"/>
      <c r="AU1169" s="18"/>
      <c r="AV1169" s="18"/>
    </row>
    <row r="1170" spans="5:48" x14ac:dyDescent="0.2">
      <c r="E1170" s="1"/>
      <c r="F1170" s="1"/>
      <c r="G1170" s="1"/>
      <c r="H1170" s="1"/>
      <c r="I1170" s="1"/>
      <c r="J1170" s="1"/>
      <c r="K1170" s="1"/>
      <c r="L1170" s="1"/>
      <c r="M1170" s="1"/>
      <c r="AU1170" s="18"/>
      <c r="AV1170" s="18"/>
    </row>
    <row r="1171" spans="5:48" x14ac:dyDescent="0.2">
      <c r="E1171" s="1"/>
      <c r="F1171" s="1"/>
      <c r="G1171" s="1"/>
      <c r="H1171" s="1"/>
      <c r="I1171" s="1"/>
      <c r="J1171" s="1"/>
      <c r="K1171" s="1"/>
      <c r="L1171" s="1"/>
      <c r="M1171" s="1"/>
      <c r="AU1171" s="18"/>
      <c r="AV1171" s="18"/>
    </row>
    <row r="1172" spans="5:48" x14ac:dyDescent="0.2">
      <c r="E1172" s="1"/>
      <c r="F1172" s="1"/>
      <c r="G1172" s="1"/>
      <c r="H1172" s="1"/>
      <c r="I1172" s="1"/>
      <c r="J1172" s="1"/>
      <c r="K1172" s="1"/>
      <c r="L1172" s="1"/>
      <c r="M1172" s="1"/>
      <c r="AU1172" s="18"/>
      <c r="AV1172" s="18"/>
    </row>
    <row r="1173" spans="5:48" x14ac:dyDescent="0.2">
      <c r="E1173" s="1"/>
      <c r="F1173" s="1"/>
      <c r="G1173" s="1"/>
      <c r="H1173" s="1"/>
      <c r="I1173" s="1"/>
      <c r="J1173" s="1"/>
      <c r="K1173" s="1"/>
      <c r="L1173" s="1"/>
      <c r="M1173" s="1"/>
      <c r="AU1173" s="18"/>
      <c r="AV1173" s="18"/>
    </row>
    <row r="1174" spans="5:48" x14ac:dyDescent="0.2">
      <c r="E1174" s="1"/>
      <c r="F1174" s="1"/>
      <c r="G1174" s="1"/>
      <c r="H1174" s="1"/>
      <c r="I1174" s="1"/>
      <c r="J1174" s="1"/>
      <c r="K1174" s="1"/>
      <c r="L1174" s="1"/>
      <c r="M1174" s="1"/>
      <c r="AU1174" s="18"/>
      <c r="AV1174" s="18"/>
    </row>
    <row r="1175" spans="5:48" x14ac:dyDescent="0.2">
      <c r="E1175" s="1"/>
      <c r="F1175" s="1"/>
      <c r="G1175" s="1"/>
      <c r="H1175" s="1"/>
      <c r="I1175" s="1"/>
      <c r="J1175" s="1"/>
      <c r="K1175" s="1"/>
      <c r="L1175" s="1"/>
      <c r="M1175" s="1"/>
      <c r="AU1175" s="18"/>
      <c r="AV1175" s="18"/>
    </row>
    <row r="1176" spans="5:48" x14ac:dyDescent="0.2">
      <c r="E1176" s="1"/>
      <c r="F1176" s="1"/>
      <c r="G1176" s="1"/>
      <c r="H1176" s="1"/>
      <c r="I1176" s="1"/>
      <c r="J1176" s="1"/>
      <c r="K1176" s="1"/>
      <c r="L1176" s="1"/>
      <c r="M1176" s="1"/>
      <c r="AU1176" s="18"/>
      <c r="AV1176" s="18"/>
    </row>
    <row r="1177" spans="5:48" x14ac:dyDescent="0.2">
      <c r="E1177" s="1"/>
      <c r="F1177" s="1"/>
      <c r="G1177" s="1"/>
      <c r="H1177" s="1"/>
      <c r="I1177" s="1"/>
      <c r="J1177" s="1"/>
      <c r="K1177" s="1"/>
      <c r="L1177" s="1"/>
      <c r="M1177" s="1"/>
      <c r="AU1177" s="18"/>
      <c r="AV1177" s="18"/>
    </row>
    <row r="1178" spans="5:48" x14ac:dyDescent="0.2">
      <c r="E1178" s="1"/>
      <c r="F1178" s="1"/>
      <c r="G1178" s="1"/>
      <c r="H1178" s="1"/>
      <c r="I1178" s="1"/>
      <c r="J1178" s="1"/>
      <c r="K1178" s="1"/>
      <c r="L1178" s="1"/>
      <c r="M1178" s="1"/>
      <c r="AU1178" s="18"/>
      <c r="AV1178" s="18"/>
    </row>
    <row r="1179" spans="5:48" x14ac:dyDescent="0.2">
      <c r="E1179" s="1"/>
      <c r="F1179" s="1"/>
      <c r="G1179" s="1"/>
      <c r="H1179" s="1"/>
      <c r="I1179" s="1"/>
      <c r="J1179" s="1"/>
      <c r="K1179" s="1"/>
      <c r="L1179" s="1"/>
      <c r="M1179" s="1"/>
      <c r="AU1179" s="18"/>
      <c r="AV1179" s="18"/>
    </row>
    <row r="1180" spans="5:48" x14ac:dyDescent="0.2">
      <c r="E1180" s="1"/>
      <c r="F1180" s="1"/>
      <c r="G1180" s="1"/>
      <c r="H1180" s="1"/>
      <c r="I1180" s="1"/>
      <c r="J1180" s="1"/>
      <c r="K1180" s="1"/>
      <c r="L1180" s="1"/>
      <c r="M1180" s="1"/>
      <c r="AU1180" s="18"/>
      <c r="AV1180" s="18"/>
    </row>
    <row r="1181" spans="5:48" x14ac:dyDescent="0.2">
      <c r="E1181" s="1"/>
      <c r="F1181" s="1"/>
      <c r="G1181" s="1"/>
      <c r="H1181" s="1"/>
      <c r="I1181" s="1"/>
      <c r="J1181" s="1"/>
      <c r="K1181" s="1"/>
      <c r="L1181" s="1"/>
      <c r="M1181" s="1"/>
      <c r="AU1181" s="18"/>
      <c r="AV1181" s="18"/>
    </row>
    <row r="1182" spans="5:48" x14ac:dyDescent="0.2">
      <c r="E1182" s="1"/>
      <c r="F1182" s="1"/>
      <c r="G1182" s="1"/>
      <c r="H1182" s="1"/>
      <c r="I1182" s="1"/>
      <c r="J1182" s="1"/>
      <c r="K1182" s="1"/>
      <c r="L1182" s="1"/>
      <c r="M1182" s="1"/>
      <c r="AU1182" s="18"/>
      <c r="AV1182" s="18"/>
    </row>
    <row r="1183" spans="5:48" x14ac:dyDescent="0.2">
      <c r="E1183" s="1"/>
      <c r="F1183" s="1"/>
      <c r="G1183" s="1"/>
      <c r="H1183" s="1"/>
      <c r="I1183" s="1"/>
      <c r="J1183" s="1"/>
      <c r="K1183" s="1"/>
      <c r="L1183" s="1"/>
      <c r="M1183" s="1"/>
      <c r="AU1183" s="18"/>
      <c r="AV1183" s="18"/>
    </row>
    <row r="1184" spans="5:48" x14ac:dyDescent="0.2">
      <c r="E1184" s="1"/>
      <c r="F1184" s="1"/>
      <c r="G1184" s="1"/>
      <c r="H1184" s="1"/>
      <c r="I1184" s="1"/>
      <c r="J1184" s="1"/>
      <c r="K1184" s="1"/>
      <c r="L1184" s="1"/>
      <c r="M1184" s="1"/>
      <c r="AU1184" s="18"/>
      <c r="AV1184" s="18"/>
    </row>
    <row r="1185" spans="5:48" x14ac:dyDescent="0.2">
      <c r="E1185" s="1"/>
      <c r="F1185" s="1"/>
      <c r="G1185" s="1"/>
      <c r="H1185" s="1"/>
      <c r="I1185" s="1"/>
      <c r="J1185" s="1"/>
      <c r="K1185" s="1"/>
      <c r="L1185" s="1"/>
      <c r="M1185" s="1"/>
      <c r="AU1185" s="18"/>
      <c r="AV1185" s="18"/>
    </row>
    <row r="1186" spans="5:48" x14ac:dyDescent="0.2">
      <c r="E1186" s="1"/>
      <c r="F1186" s="1"/>
      <c r="G1186" s="1"/>
      <c r="H1186" s="1"/>
      <c r="I1186" s="1"/>
      <c r="J1186" s="1"/>
      <c r="K1186" s="1"/>
      <c r="L1186" s="1"/>
      <c r="M1186" s="1"/>
      <c r="AU1186" s="18"/>
      <c r="AV1186" s="18"/>
    </row>
    <row r="1187" spans="5:48" x14ac:dyDescent="0.2">
      <c r="E1187" s="1"/>
      <c r="F1187" s="1"/>
      <c r="G1187" s="1"/>
      <c r="H1187" s="1"/>
      <c r="I1187" s="1"/>
      <c r="J1187" s="1"/>
      <c r="K1187" s="1"/>
      <c r="L1187" s="1"/>
      <c r="M1187" s="1"/>
      <c r="AU1187" s="18"/>
      <c r="AV1187" s="18"/>
    </row>
    <row r="1188" spans="5:48" x14ac:dyDescent="0.2">
      <c r="E1188" s="1"/>
      <c r="F1188" s="1"/>
      <c r="G1188" s="1"/>
      <c r="H1188" s="1"/>
      <c r="I1188" s="1"/>
      <c r="J1188" s="1"/>
      <c r="K1188" s="1"/>
      <c r="L1188" s="1"/>
      <c r="M1188" s="1"/>
      <c r="AU1188" s="18"/>
      <c r="AV1188" s="18"/>
    </row>
    <row r="1189" spans="5:48" x14ac:dyDescent="0.2">
      <c r="E1189" s="1"/>
      <c r="F1189" s="1"/>
      <c r="G1189" s="1"/>
      <c r="H1189" s="1"/>
      <c r="I1189" s="1"/>
      <c r="J1189" s="1"/>
      <c r="K1189" s="1"/>
      <c r="L1189" s="1"/>
      <c r="M1189" s="1"/>
      <c r="AU1189" s="18"/>
      <c r="AV1189" s="18"/>
    </row>
    <row r="1190" spans="5:48" x14ac:dyDescent="0.2">
      <c r="E1190" s="1"/>
      <c r="F1190" s="1"/>
      <c r="G1190" s="1"/>
      <c r="H1190" s="1"/>
      <c r="I1190" s="1"/>
      <c r="J1190" s="1"/>
      <c r="K1190" s="1"/>
      <c r="L1190" s="1"/>
      <c r="M1190" s="1"/>
      <c r="AU1190" s="18"/>
      <c r="AV1190" s="18"/>
    </row>
    <row r="1191" spans="5:48" x14ac:dyDescent="0.2">
      <c r="E1191" s="1"/>
      <c r="F1191" s="1"/>
      <c r="G1191" s="1"/>
      <c r="H1191" s="1"/>
      <c r="I1191" s="1"/>
      <c r="J1191" s="1"/>
      <c r="K1191" s="1"/>
      <c r="L1191" s="1"/>
      <c r="M1191" s="1"/>
      <c r="AU1191" s="18"/>
      <c r="AV1191" s="18"/>
    </row>
    <row r="1192" spans="5:48" x14ac:dyDescent="0.2">
      <c r="E1192" s="1"/>
      <c r="F1192" s="1"/>
      <c r="G1192" s="1"/>
      <c r="H1192" s="1"/>
      <c r="I1192" s="1"/>
      <c r="J1192" s="1"/>
      <c r="K1192" s="1"/>
      <c r="L1192" s="1"/>
      <c r="M1192" s="1"/>
      <c r="AU1192" s="18"/>
      <c r="AV1192" s="18"/>
    </row>
    <row r="1193" spans="5:48" x14ac:dyDescent="0.2">
      <c r="E1193" s="1"/>
      <c r="F1193" s="1"/>
      <c r="G1193" s="1"/>
      <c r="H1193" s="1"/>
      <c r="I1193" s="1"/>
      <c r="J1193" s="1"/>
      <c r="K1193" s="1"/>
      <c r="L1193" s="1"/>
      <c r="M1193" s="1"/>
      <c r="AU1193" s="18"/>
      <c r="AV1193" s="18"/>
    </row>
    <row r="1194" spans="5:48" x14ac:dyDescent="0.2">
      <c r="E1194" s="1"/>
      <c r="F1194" s="1"/>
      <c r="G1194" s="1"/>
      <c r="H1194" s="1"/>
      <c r="I1194" s="1"/>
      <c r="J1194" s="1"/>
      <c r="K1194" s="1"/>
      <c r="L1194" s="1"/>
      <c r="M1194" s="1"/>
      <c r="AU1194" s="18"/>
      <c r="AV1194" s="18"/>
    </row>
    <row r="1195" spans="5:48" x14ac:dyDescent="0.2">
      <c r="E1195" s="1"/>
      <c r="F1195" s="1"/>
      <c r="G1195" s="1"/>
      <c r="H1195" s="1"/>
      <c r="I1195" s="1"/>
      <c r="J1195" s="1"/>
      <c r="K1195" s="1"/>
      <c r="L1195" s="1"/>
      <c r="M1195" s="1"/>
      <c r="AU1195" s="18"/>
      <c r="AV1195" s="18"/>
    </row>
    <row r="1196" spans="5:48" x14ac:dyDescent="0.2">
      <c r="E1196" s="1"/>
      <c r="F1196" s="1"/>
      <c r="G1196" s="1"/>
      <c r="H1196" s="1"/>
      <c r="I1196" s="1"/>
      <c r="J1196" s="1"/>
      <c r="K1196" s="1"/>
      <c r="L1196" s="1"/>
      <c r="M1196" s="1"/>
      <c r="AU1196" s="18"/>
      <c r="AV1196" s="18"/>
    </row>
    <row r="1197" spans="5:48" x14ac:dyDescent="0.2">
      <c r="E1197" s="1"/>
      <c r="F1197" s="1"/>
      <c r="G1197" s="1"/>
      <c r="H1197" s="1"/>
      <c r="I1197" s="1"/>
      <c r="J1197" s="1"/>
      <c r="K1197" s="1"/>
      <c r="L1197" s="1"/>
      <c r="M1197" s="1"/>
      <c r="AU1197" s="18"/>
      <c r="AV1197" s="18"/>
    </row>
    <row r="1198" spans="5:48" x14ac:dyDescent="0.2">
      <c r="E1198" s="1"/>
      <c r="F1198" s="1"/>
      <c r="G1198" s="1"/>
      <c r="H1198" s="1"/>
      <c r="I1198" s="1"/>
      <c r="J1198" s="1"/>
      <c r="K1198" s="1"/>
      <c r="L1198" s="1"/>
      <c r="M1198" s="1"/>
      <c r="AU1198" s="18"/>
      <c r="AV1198" s="18"/>
    </row>
    <row r="1199" spans="5:48" x14ac:dyDescent="0.2">
      <c r="E1199" s="1"/>
      <c r="F1199" s="1"/>
      <c r="G1199" s="1"/>
      <c r="H1199" s="1"/>
      <c r="I1199" s="1"/>
      <c r="J1199" s="1"/>
      <c r="K1199" s="1"/>
      <c r="L1199" s="1"/>
      <c r="M1199" s="1"/>
      <c r="AU1199" s="18"/>
      <c r="AV1199" s="18"/>
    </row>
    <row r="1200" spans="5:48" x14ac:dyDescent="0.2">
      <c r="E1200" s="1"/>
      <c r="F1200" s="1"/>
      <c r="G1200" s="1"/>
      <c r="H1200" s="1"/>
      <c r="I1200" s="1"/>
      <c r="J1200" s="1"/>
      <c r="K1200" s="1"/>
      <c r="L1200" s="1"/>
      <c r="M1200" s="1"/>
      <c r="AU1200" s="18"/>
      <c r="AV1200" s="18"/>
    </row>
    <row r="1201" spans="5:48" x14ac:dyDescent="0.2">
      <c r="E1201" s="1"/>
      <c r="F1201" s="1"/>
      <c r="G1201" s="1"/>
      <c r="H1201" s="1"/>
      <c r="I1201" s="1"/>
      <c r="J1201" s="1"/>
      <c r="K1201" s="1"/>
      <c r="L1201" s="1"/>
      <c r="M1201" s="1"/>
      <c r="AU1201" s="18"/>
      <c r="AV1201" s="18"/>
    </row>
    <row r="1202" spans="5:48" x14ac:dyDescent="0.2">
      <c r="E1202" s="1"/>
      <c r="F1202" s="1"/>
      <c r="G1202" s="1"/>
      <c r="H1202" s="1"/>
      <c r="I1202" s="1"/>
      <c r="J1202" s="1"/>
      <c r="K1202" s="1"/>
      <c r="L1202" s="1"/>
      <c r="M1202" s="1"/>
      <c r="AU1202" s="18"/>
      <c r="AV1202" s="18"/>
    </row>
    <row r="1203" spans="5:48" x14ac:dyDescent="0.2">
      <c r="E1203" s="1"/>
      <c r="F1203" s="1"/>
      <c r="G1203" s="1"/>
      <c r="H1203" s="1"/>
      <c r="I1203" s="1"/>
      <c r="J1203" s="1"/>
      <c r="K1203" s="1"/>
      <c r="L1203" s="1"/>
      <c r="M1203" s="1"/>
      <c r="AU1203" s="18"/>
      <c r="AV1203" s="18"/>
    </row>
    <row r="1204" spans="5:48" x14ac:dyDescent="0.2">
      <c r="E1204" s="1"/>
      <c r="F1204" s="1"/>
      <c r="G1204" s="1"/>
      <c r="H1204" s="1"/>
      <c r="I1204" s="1"/>
      <c r="J1204" s="1"/>
      <c r="K1204" s="1"/>
      <c r="L1204" s="1"/>
      <c r="M1204" s="1"/>
      <c r="AU1204" s="18"/>
      <c r="AV1204" s="18"/>
    </row>
    <row r="1205" spans="5:48" x14ac:dyDescent="0.2">
      <c r="E1205" s="1"/>
      <c r="F1205" s="1"/>
      <c r="G1205" s="1"/>
      <c r="H1205" s="1"/>
      <c r="I1205" s="1"/>
      <c r="J1205" s="1"/>
      <c r="K1205" s="1"/>
      <c r="L1205" s="1"/>
      <c r="M1205" s="1"/>
      <c r="AU1205" s="18"/>
      <c r="AV1205" s="18"/>
    </row>
    <row r="1206" spans="5:48" x14ac:dyDescent="0.2">
      <c r="E1206" s="1"/>
      <c r="F1206" s="1"/>
      <c r="G1206" s="1"/>
      <c r="H1206" s="1"/>
      <c r="I1206" s="1"/>
      <c r="J1206" s="1"/>
      <c r="K1206" s="1"/>
      <c r="L1206" s="1"/>
      <c r="M1206" s="1"/>
      <c r="AU1206" s="18"/>
      <c r="AV1206" s="18"/>
    </row>
    <row r="1207" spans="5:48" x14ac:dyDescent="0.2">
      <c r="E1207" s="1"/>
      <c r="F1207" s="1"/>
      <c r="G1207" s="1"/>
      <c r="H1207" s="1"/>
      <c r="I1207" s="1"/>
      <c r="J1207" s="1"/>
      <c r="K1207" s="1"/>
      <c r="L1207" s="1"/>
      <c r="M1207" s="1"/>
      <c r="AU1207" s="18"/>
      <c r="AV1207" s="18"/>
    </row>
    <row r="1208" spans="5:48" x14ac:dyDescent="0.2">
      <c r="E1208" s="1"/>
      <c r="F1208" s="1"/>
      <c r="G1208" s="1"/>
      <c r="H1208" s="1"/>
      <c r="I1208" s="1"/>
      <c r="J1208" s="1"/>
      <c r="K1208" s="1"/>
      <c r="L1208" s="1"/>
      <c r="M1208" s="1"/>
      <c r="AU1208" s="18"/>
      <c r="AV1208" s="18"/>
    </row>
    <row r="1209" spans="5:48" x14ac:dyDescent="0.2">
      <c r="E1209" s="1"/>
      <c r="F1209" s="1"/>
      <c r="G1209" s="1"/>
      <c r="H1209" s="1"/>
      <c r="I1209" s="1"/>
      <c r="J1209" s="1"/>
      <c r="K1209" s="1"/>
      <c r="L1209" s="1"/>
      <c r="M1209" s="1"/>
      <c r="AU1209" s="18"/>
      <c r="AV1209" s="18"/>
    </row>
    <row r="1210" spans="5:48" x14ac:dyDescent="0.2">
      <c r="E1210" s="1"/>
      <c r="F1210" s="1"/>
      <c r="G1210" s="1"/>
      <c r="H1210" s="1"/>
      <c r="I1210" s="1"/>
      <c r="J1210" s="1"/>
      <c r="K1210" s="1"/>
      <c r="L1210" s="1"/>
      <c r="M1210" s="1"/>
      <c r="AU1210" s="18"/>
      <c r="AV1210" s="18"/>
    </row>
    <row r="1211" spans="5:48" x14ac:dyDescent="0.2">
      <c r="E1211" s="1"/>
      <c r="F1211" s="1"/>
      <c r="G1211" s="1"/>
      <c r="H1211" s="1"/>
      <c r="I1211" s="1"/>
      <c r="J1211" s="1"/>
      <c r="K1211" s="1"/>
      <c r="L1211" s="1"/>
      <c r="M1211" s="1"/>
      <c r="AU1211" s="18"/>
      <c r="AV1211" s="18"/>
    </row>
    <row r="1212" spans="5:48" x14ac:dyDescent="0.2">
      <c r="E1212" s="1"/>
      <c r="F1212" s="1"/>
      <c r="G1212" s="1"/>
      <c r="H1212" s="1"/>
      <c r="I1212" s="1"/>
      <c r="J1212" s="1"/>
      <c r="K1212" s="1"/>
      <c r="L1212" s="1"/>
      <c r="M1212" s="1"/>
      <c r="AU1212" s="18"/>
      <c r="AV1212" s="18"/>
    </row>
    <row r="1213" spans="5:48" x14ac:dyDescent="0.2">
      <c r="E1213" s="1"/>
      <c r="F1213" s="1"/>
      <c r="G1213" s="1"/>
      <c r="H1213" s="1"/>
      <c r="I1213" s="1"/>
      <c r="J1213" s="1"/>
      <c r="K1213" s="1"/>
      <c r="L1213" s="1"/>
      <c r="M1213" s="1"/>
      <c r="AU1213" s="18"/>
      <c r="AV1213" s="18"/>
    </row>
    <row r="1214" spans="5:48" x14ac:dyDescent="0.2">
      <c r="E1214" s="1"/>
      <c r="F1214" s="1"/>
      <c r="G1214" s="1"/>
      <c r="H1214" s="1"/>
      <c r="I1214" s="1"/>
      <c r="J1214" s="1"/>
      <c r="K1214" s="1"/>
      <c r="L1214" s="1"/>
      <c r="M1214" s="1"/>
      <c r="AU1214" s="18"/>
      <c r="AV1214" s="18"/>
    </row>
    <row r="1215" spans="5:48" x14ac:dyDescent="0.2">
      <c r="E1215" s="1"/>
      <c r="F1215" s="1"/>
      <c r="G1215" s="1"/>
      <c r="H1215" s="1"/>
      <c r="I1215" s="1"/>
      <c r="J1215" s="1"/>
      <c r="K1215" s="1"/>
      <c r="L1215" s="1"/>
      <c r="M1215" s="1"/>
      <c r="AU1215" s="18"/>
      <c r="AV1215" s="18"/>
    </row>
    <row r="1216" spans="5:48" x14ac:dyDescent="0.2">
      <c r="E1216" s="1"/>
      <c r="F1216" s="1"/>
      <c r="G1216" s="1"/>
      <c r="H1216" s="1"/>
      <c r="I1216" s="1"/>
      <c r="J1216" s="1"/>
      <c r="K1216" s="1"/>
      <c r="L1216" s="1"/>
      <c r="M1216" s="1"/>
      <c r="AU1216" s="18"/>
      <c r="AV1216" s="18"/>
    </row>
    <row r="1217" spans="5:48" x14ac:dyDescent="0.2">
      <c r="E1217" s="1"/>
      <c r="F1217" s="1"/>
      <c r="G1217" s="1"/>
      <c r="H1217" s="1"/>
      <c r="I1217" s="1"/>
      <c r="J1217" s="1"/>
      <c r="K1217" s="1"/>
      <c r="L1217" s="1"/>
      <c r="M1217" s="1"/>
      <c r="AU1217" s="18"/>
      <c r="AV1217" s="18"/>
    </row>
    <row r="1218" spans="5:48" x14ac:dyDescent="0.2">
      <c r="E1218" s="1"/>
      <c r="F1218" s="1"/>
      <c r="G1218" s="1"/>
      <c r="H1218" s="1"/>
      <c r="I1218" s="1"/>
      <c r="J1218" s="1"/>
      <c r="K1218" s="1"/>
      <c r="L1218" s="1"/>
      <c r="M1218" s="1"/>
      <c r="AU1218" s="18"/>
      <c r="AV1218" s="18"/>
    </row>
    <row r="1219" spans="5:48" x14ac:dyDescent="0.2">
      <c r="E1219" s="1"/>
      <c r="F1219" s="1"/>
      <c r="G1219" s="1"/>
      <c r="H1219" s="1"/>
      <c r="I1219" s="1"/>
      <c r="J1219" s="1"/>
      <c r="K1219" s="1"/>
      <c r="L1219" s="1"/>
      <c r="M1219" s="1"/>
      <c r="AU1219" s="18"/>
      <c r="AV1219" s="18"/>
    </row>
    <row r="1220" spans="5:48" x14ac:dyDescent="0.2">
      <c r="E1220" s="1"/>
      <c r="F1220" s="1"/>
      <c r="G1220" s="1"/>
      <c r="H1220" s="1"/>
      <c r="I1220" s="1"/>
      <c r="J1220" s="1"/>
      <c r="K1220" s="1"/>
      <c r="L1220" s="1"/>
      <c r="M1220" s="1"/>
      <c r="AU1220" s="18"/>
      <c r="AV1220" s="18"/>
    </row>
    <row r="1221" spans="5:48" x14ac:dyDescent="0.2">
      <c r="E1221" s="1"/>
      <c r="F1221" s="1"/>
      <c r="G1221" s="1"/>
      <c r="H1221" s="1"/>
      <c r="I1221" s="1"/>
      <c r="J1221" s="1"/>
      <c r="K1221" s="1"/>
      <c r="L1221" s="1"/>
      <c r="M1221" s="1"/>
      <c r="AU1221" s="18"/>
      <c r="AV1221" s="18"/>
    </row>
    <row r="1222" spans="5:48" x14ac:dyDescent="0.2">
      <c r="E1222" s="1"/>
      <c r="F1222" s="1"/>
      <c r="G1222" s="1"/>
      <c r="H1222" s="1"/>
      <c r="I1222" s="1"/>
      <c r="J1222" s="1"/>
      <c r="K1222" s="1"/>
      <c r="L1222" s="1"/>
      <c r="M1222" s="1"/>
      <c r="AU1222" s="18"/>
      <c r="AV1222" s="18"/>
    </row>
    <row r="1223" spans="5:48" x14ac:dyDescent="0.2">
      <c r="E1223" s="1"/>
      <c r="F1223" s="1"/>
      <c r="G1223" s="1"/>
      <c r="H1223" s="1"/>
      <c r="I1223" s="1"/>
      <c r="J1223" s="1"/>
      <c r="K1223" s="1"/>
      <c r="L1223" s="1"/>
      <c r="M1223" s="1"/>
      <c r="AU1223" s="18"/>
      <c r="AV1223" s="18"/>
    </row>
    <row r="1224" spans="5:48" x14ac:dyDescent="0.2">
      <c r="E1224" s="1"/>
      <c r="F1224" s="1"/>
      <c r="G1224" s="1"/>
      <c r="H1224" s="1"/>
      <c r="I1224" s="1"/>
      <c r="J1224" s="1"/>
      <c r="K1224" s="1"/>
      <c r="L1224" s="1"/>
      <c r="M1224" s="1"/>
      <c r="AU1224" s="18"/>
      <c r="AV1224" s="18"/>
    </row>
    <row r="1225" spans="5:48" x14ac:dyDescent="0.2">
      <c r="E1225" s="1"/>
      <c r="F1225" s="1"/>
      <c r="G1225" s="1"/>
      <c r="H1225" s="1"/>
      <c r="I1225" s="1"/>
      <c r="J1225" s="1"/>
      <c r="K1225" s="1"/>
      <c r="L1225" s="1"/>
      <c r="M1225" s="1"/>
      <c r="AU1225" s="18"/>
      <c r="AV1225" s="18"/>
    </row>
    <row r="1226" spans="5:48" x14ac:dyDescent="0.2">
      <c r="E1226" s="1"/>
      <c r="F1226" s="1"/>
      <c r="G1226" s="1"/>
      <c r="H1226" s="1"/>
      <c r="I1226" s="1"/>
      <c r="J1226" s="1"/>
      <c r="K1226" s="1"/>
      <c r="L1226" s="1"/>
      <c r="M1226" s="1"/>
      <c r="AU1226" s="18"/>
      <c r="AV1226" s="18"/>
    </row>
    <row r="1227" spans="5:48" x14ac:dyDescent="0.2">
      <c r="E1227" s="1"/>
      <c r="F1227" s="1"/>
      <c r="G1227" s="1"/>
      <c r="H1227" s="1"/>
      <c r="I1227" s="1"/>
      <c r="J1227" s="1"/>
      <c r="K1227" s="1"/>
      <c r="L1227" s="1"/>
      <c r="M1227" s="1"/>
      <c r="AU1227" s="18"/>
      <c r="AV1227" s="18"/>
    </row>
    <row r="1228" spans="5:48" x14ac:dyDescent="0.2">
      <c r="E1228" s="1"/>
      <c r="F1228" s="1"/>
      <c r="G1228" s="1"/>
      <c r="H1228" s="1"/>
      <c r="I1228" s="1"/>
      <c r="J1228" s="1"/>
      <c r="K1228" s="1"/>
      <c r="L1228" s="1"/>
      <c r="M1228" s="1"/>
      <c r="AU1228" s="18"/>
      <c r="AV1228" s="18"/>
    </row>
    <row r="1229" spans="5:48" x14ac:dyDescent="0.2">
      <c r="E1229" s="1"/>
      <c r="F1229" s="1"/>
      <c r="G1229" s="1"/>
      <c r="H1229" s="1"/>
      <c r="I1229" s="1"/>
      <c r="J1229" s="1"/>
      <c r="K1229" s="1"/>
      <c r="L1229" s="1"/>
      <c r="M1229" s="1"/>
      <c r="AU1229" s="18"/>
      <c r="AV1229" s="18"/>
    </row>
    <row r="1230" spans="5:48" x14ac:dyDescent="0.2">
      <c r="E1230" s="1"/>
      <c r="F1230" s="1"/>
      <c r="G1230" s="1"/>
      <c r="H1230" s="1"/>
      <c r="I1230" s="1"/>
      <c r="J1230" s="1"/>
      <c r="K1230" s="1"/>
      <c r="L1230" s="1"/>
      <c r="M1230" s="1"/>
      <c r="AU1230" s="18"/>
      <c r="AV1230" s="18"/>
    </row>
    <row r="1231" spans="5:48" x14ac:dyDescent="0.2">
      <c r="E1231" s="1"/>
      <c r="F1231" s="1"/>
      <c r="G1231" s="1"/>
      <c r="H1231" s="1"/>
      <c r="I1231" s="1"/>
      <c r="J1231" s="1"/>
      <c r="K1231" s="1"/>
      <c r="L1231" s="1"/>
      <c r="M1231" s="1"/>
      <c r="AU1231" s="18"/>
      <c r="AV1231" s="18"/>
    </row>
    <row r="1232" spans="5:48" x14ac:dyDescent="0.2">
      <c r="E1232" s="1"/>
      <c r="F1232" s="1"/>
      <c r="G1232" s="1"/>
      <c r="H1232" s="1"/>
      <c r="I1232" s="1"/>
      <c r="J1232" s="1"/>
      <c r="K1232" s="1"/>
      <c r="L1232" s="1"/>
      <c r="M1232" s="1"/>
      <c r="AU1232" s="18"/>
      <c r="AV1232" s="18"/>
    </row>
    <row r="1233" spans="5:48" x14ac:dyDescent="0.2">
      <c r="E1233" s="1"/>
      <c r="F1233" s="1"/>
      <c r="G1233" s="1"/>
      <c r="H1233" s="1"/>
      <c r="I1233" s="1"/>
      <c r="J1233" s="1"/>
      <c r="K1233" s="1"/>
      <c r="L1233" s="1"/>
      <c r="M1233" s="1"/>
      <c r="AU1233" s="18"/>
      <c r="AV1233" s="18"/>
    </row>
    <row r="1234" spans="5:48" x14ac:dyDescent="0.2">
      <c r="E1234" s="1"/>
      <c r="F1234" s="1"/>
      <c r="G1234" s="1"/>
      <c r="H1234" s="1"/>
      <c r="I1234" s="1"/>
      <c r="J1234" s="1"/>
      <c r="K1234" s="1"/>
      <c r="L1234" s="1"/>
      <c r="M1234" s="1"/>
      <c r="AU1234" s="18"/>
      <c r="AV1234" s="18"/>
    </row>
    <row r="1235" spans="5:48" x14ac:dyDescent="0.2">
      <c r="E1235" s="1"/>
      <c r="F1235" s="1"/>
      <c r="G1235" s="1"/>
      <c r="H1235" s="1"/>
      <c r="I1235" s="1"/>
      <c r="J1235" s="1"/>
      <c r="K1235" s="1"/>
      <c r="L1235" s="1"/>
      <c r="M1235" s="1"/>
      <c r="AU1235" s="18"/>
      <c r="AV1235" s="18"/>
    </row>
    <row r="1236" spans="5:48" x14ac:dyDescent="0.2">
      <c r="E1236" s="1"/>
      <c r="F1236" s="1"/>
      <c r="G1236" s="1"/>
      <c r="H1236" s="1"/>
      <c r="I1236" s="1"/>
      <c r="J1236" s="1"/>
      <c r="K1236" s="1"/>
      <c r="L1236" s="1"/>
      <c r="M1236" s="1"/>
      <c r="AU1236" s="18"/>
      <c r="AV1236" s="18"/>
    </row>
    <row r="1237" spans="5:48" x14ac:dyDescent="0.2">
      <c r="E1237" s="1"/>
      <c r="F1237" s="1"/>
      <c r="G1237" s="1"/>
      <c r="H1237" s="1"/>
      <c r="I1237" s="1"/>
      <c r="J1237" s="1"/>
      <c r="K1237" s="1"/>
      <c r="L1237" s="1"/>
      <c r="M1237" s="1"/>
      <c r="AU1237" s="18"/>
      <c r="AV1237" s="18"/>
    </row>
    <row r="1238" spans="5:48" x14ac:dyDescent="0.2">
      <c r="E1238" s="1"/>
      <c r="F1238" s="1"/>
      <c r="G1238" s="1"/>
      <c r="H1238" s="1"/>
      <c r="I1238" s="1"/>
      <c r="J1238" s="1"/>
      <c r="K1238" s="1"/>
      <c r="L1238" s="1"/>
      <c r="M1238" s="1"/>
      <c r="AU1238" s="18"/>
      <c r="AV1238" s="18"/>
    </row>
    <row r="1239" spans="5:48" x14ac:dyDescent="0.2">
      <c r="E1239" s="1"/>
      <c r="F1239" s="1"/>
      <c r="G1239" s="1"/>
      <c r="H1239" s="1"/>
      <c r="I1239" s="1"/>
      <c r="J1239" s="1"/>
      <c r="K1239" s="1"/>
      <c r="L1239" s="1"/>
      <c r="M1239" s="1"/>
      <c r="AU1239" s="18"/>
      <c r="AV1239" s="18"/>
    </row>
    <row r="1240" spans="5:48" x14ac:dyDescent="0.2">
      <c r="E1240" s="1"/>
      <c r="F1240" s="1"/>
      <c r="G1240" s="1"/>
      <c r="H1240" s="1"/>
      <c r="I1240" s="1"/>
      <c r="J1240" s="1"/>
      <c r="K1240" s="1"/>
      <c r="L1240" s="1"/>
      <c r="M1240" s="1"/>
      <c r="AU1240" s="18"/>
      <c r="AV1240" s="18"/>
    </row>
    <row r="1241" spans="5:48" x14ac:dyDescent="0.2">
      <c r="E1241" s="1"/>
      <c r="F1241" s="1"/>
      <c r="G1241" s="1"/>
      <c r="H1241" s="1"/>
      <c r="I1241" s="1"/>
      <c r="J1241" s="1"/>
      <c r="K1241" s="1"/>
      <c r="L1241" s="1"/>
      <c r="M1241" s="1"/>
      <c r="AU1241" s="18"/>
      <c r="AV1241" s="18"/>
    </row>
    <row r="1242" spans="5:48" x14ac:dyDescent="0.2">
      <c r="E1242" s="1"/>
      <c r="F1242" s="1"/>
      <c r="G1242" s="1"/>
      <c r="H1242" s="1"/>
      <c r="I1242" s="1"/>
      <c r="J1242" s="1"/>
      <c r="K1242" s="1"/>
      <c r="L1242" s="1"/>
      <c r="M1242" s="1"/>
      <c r="AU1242" s="18"/>
      <c r="AV1242" s="18"/>
    </row>
    <row r="1243" spans="5:48" x14ac:dyDescent="0.2">
      <c r="E1243" s="1"/>
      <c r="F1243" s="1"/>
      <c r="G1243" s="1"/>
      <c r="H1243" s="1"/>
      <c r="I1243" s="1"/>
      <c r="J1243" s="1"/>
      <c r="K1243" s="1"/>
      <c r="L1243" s="1"/>
      <c r="M1243" s="1"/>
      <c r="AU1243" s="18"/>
      <c r="AV1243" s="18"/>
    </row>
    <row r="1244" spans="5:48" x14ac:dyDescent="0.2">
      <c r="E1244" s="1"/>
      <c r="F1244" s="1"/>
      <c r="G1244" s="1"/>
      <c r="H1244" s="1"/>
      <c r="I1244" s="1"/>
      <c r="J1244" s="1"/>
      <c r="K1244" s="1"/>
      <c r="L1244" s="1"/>
      <c r="M1244" s="1"/>
      <c r="AU1244" s="18"/>
      <c r="AV1244" s="18"/>
    </row>
    <row r="1245" spans="5:48" x14ac:dyDescent="0.2">
      <c r="E1245" s="1"/>
      <c r="F1245" s="1"/>
      <c r="G1245" s="1"/>
      <c r="H1245" s="1"/>
      <c r="I1245" s="1"/>
      <c r="J1245" s="1"/>
      <c r="K1245" s="1"/>
      <c r="L1245" s="1"/>
      <c r="M1245" s="1"/>
      <c r="AU1245" s="18"/>
      <c r="AV1245" s="18"/>
    </row>
    <row r="1246" spans="5:48" x14ac:dyDescent="0.2">
      <c r="E1246" s="1"/>
      <c r="F1246" s="1"/>
      <c r="G1246" s="1"/>
      <c r="H1246" s="1"/>
      <c r="I1246" s="1"/>
      <c r="J1246" s="1"/>
      <c r="K1246" s="1"/>
      <c r="L1246" s="1"/>
      <c r="M1246" s="1"/>
      <c r="AU1246" s="18"/>
      <c r="AV1246" s="18"/>
    </row>
    <row r="1247" spans="5:48" x14ac:dyDescent="0.2">
      <c r="E1247" s="1"/>
      <c r="F1247" s="1"/>
      <c r="G1247" s="1"/>
      <c r="H1247" s="1"/>
      <c r="I1247" s="1"/>
      <c r="J1247" s="1"/>
      <c r="K1247" s="1"/>
      <c r="L1247" s="1"/>
      <c r="M1247" s="1"/>
      <c r="AU1247" s="18"/>
      <c r="AV1247" s="18"/>
    </row>
    <row r="1248" spans="5:48" x14ac:dyDescent="0.2">
      <c r="E1248" s="1"/>
      <c r="F1248" s="1"/>
      <c r="G1248" s="1"/>
      <c r="H1248" s="1"/>
      <c r="I1248" s="1"/>
      <c r="J1248" s="1"/>
      <c r="K1248" s="1"/>
      <c r="L1248" s="1"/>
      <c r="M1248" s="1"/>
      <c r="AU1248" s="18"/>
      <c r="AV1248" s="18"/>
    </row>
    <row r="1249" spans="5:48" x14ac:dyDescent="0.2">
      <c r="E1249" s="1"/>
      <c r="F1249" s="1"/>
      <c r="G1249" s="1"/>
      <c r="H1249" s="1"/>
      <c r="I1249" s="1"/>
      <c r="J1249" s="1"/>
      <c r="K1249" s="1"/>
      <c r="L1249" s="1"/>
      <c r="M1249" s="1"/>
      <c r="AU1249" s="18"/>
      <c r="AV1249" s="18"/>
    </row>
    <row r="1250" spans="5:48" x14ac:dyDescent="0.2">
      <c r="E1250" s="1"/>
      <c r="F1250" s="1"/>
      <c r="G1250" s="1"/>
      <c r="H1250" s="1"/>
      <c r="I1250" s="1"/>
      <c r="J1250" s="1"/>
      <c r="K1250" s="1"/>
      <c r="L1250" s="1"/>
      <c r="M1250" s="1"/>
      <c r="AU1250" s="18"/>
      <c r="AV1250" s="18"/>
    </row>
    <row r="1251" spans="5:48" x14ac:dyDescent="0.2">
      <c r="E1251" s="1"/>
      <c r="F1251" s="1"/>
      <c r="G1251" s="1"/>
      <c r="H1251" s="1"/>
      <c r="I1251" s="1"/>
      <c r="J1251" s="1"/>
      <c r="K1251" s="1"/>
      <c r="L1251" s="1"/>
      <c r="M1251" s="1"/>
      <c r="AU1251" s="18"/>
      <c r="AV1251" s="18"/>
    </row>
    <row r="1252" spans="5:48" x14ac:dyDescent="0.2">
      <c r="E1252" s="1"/>
      <c r="F1252" s="1"/>
      <c r="G1252" s="1"/>
      <c r="H1252" s="1"/>
      <c r="I1252" s="1"/>
      <c r="J1252" s="1"/>
      <c r="K1252" s="1"/>
      <c r="L1252" s="1"/>
      <c r="M1252" s="1"/>
      <c r="AU1252" s="18"/>
      <c r="AV1252" s="18"/>
    </row>
    <row r="1253" spans="5:48" x14ac:dyDescent="0.2">
      <c r="E1253" s="1"/>
      <c r="F1253" s="1"/>
      <c r="G1253" s="1"/>
      <c r="H1253" s="1"/>
      <c r="I1253" s="1"/>
      <c r="J1253" s="1"/>
      <c r="K1253" s="1"/>
      <c r="L1253" s="1"/>
      <c r="M1253" s="1"/>
      <c r="AU1253" s="18"/>
      <c r="AV1253" s="18"/>
    </row>
    <row r="1254" spans="5:48" x14ac:dyDescent="0.2">
      <c r="E1254" s="1"/>
      <c r="F1254" s="1"/>
      <c r="G1254" s="1"/>
      <c r="H1254" s="1"/>
      <c r="I1254" s="1"/>
      <c r="J1254" s="1"/>
      <c r="K1254" s="1"/>
      <c r="L1254" s="1"/>
      <c r="M1254" s="1"/>
      <c r="AU1254" s="18"/>
      <c r="AV1254" s="18"/>
    </row>
    <row r="1255" spans="5:48" x14ac:dyDescent="0.2">
      <c r="E1255" s="1"/>
      <c r="F1255" s="1"/>
      <c r="G1255" s="1"/>
      <c r="H1255" s="1"/>
      <c r="I1255" s="1"/>
      <c r="J1255" s="1"/>
      <c r="K1255" s="1"/>
      <c r="L1255" s="1"/>
      <c r="M1255" s="1"/>
      <c r="AU1255" s="18"/>
      <c r="AV1255" s="18"/>
    </row>
    <row r="1256" spans="5:48" x14ac:dyDescent="0.2">
      <c r="E1256" s="1"/>
      <c r="F1256" s="1"/>
      <c r="G1256" s="1"/>
      <c r="H1256" s="1"/>
      <c r="I1256" s="1"/>
      <c r="J1256" s="1"/>
      <c r="K1256" s="1"/>
      <c r="L1256" s="1"/>
      <c r="M1256" s="1"/>
      <c r="AU1256" s="18"/>
      <c r="AV1256" s="18"/>
    </row>
    <row r="1257" spans="5:48" x14ac:dyDescent="0.2">
      <c r="E1257" s="1"/>
      <c r="F1257" s="1"/>
      <c r="G1257" s="1"/>
      <c r="H1257" s="1"/>
      <c r="I1257" s="1"/>
      <c r="J1257" s="1"/>
      <c r="K1257" s="1"/>
      <c r="L1257" s="1"/>
      <c r="M1257" s="1"/>
      <c r="AU1257" s="18"/>
      <c r="AV1257" s="18"/>
    </row>
    <row r="1258" spans="5:48" x14ac:dyDescent="0.2">
      <c r="E1258" s="1"/>
      <c r="F1258" s="1"/>
      <c r="G1258" s="1"/>
      <c r="H1258" s="1"/>
      <c r="I1258" s="1"/>
      <c r="J1258" s="1"/>
      <c r="K1258" s="1"/>
      <c r="L1258" s="1"/>
      <c r="M1258" s="1"/>
      <c r="AU1258" s="18"/>
      <c r="AV1258" s="18"/>
    </row>
    <row r="1259" spans="5:48" x14ac:dyDescent="0.2">
      <c r="E1259" s="1"/>
      <c r="F1259" s="1"/>
      <c r="G1259" s="1"/>
      <c r="H1259" s="1"/>
      <c r="I1259" s="1"/>
      <c r="J1259" s="1"/>
      <c r="K1259" s="1"/>
      <c r="L1259" s="1"/>
      <c r="M1259" s="1"/>
      <c r="AU1259" s="18"/>
      <c r="AV1259" s="18"/>
    </row>
    <row r="1260" spans="5:48" x14ac:dyDescent="0.2">
      <c r="E1260" s="1"/>
      <c r="F1260" s="1"/>
      <c r="G1260" s="1"/>
      <c r="H1260" s="1"/>
      <c r="I1260" s="1"/>
      <c r="J1260" s="1"/>
      <c r="K1260" s="1"/>
      <c r="L1260" s="1"/>
      <c r="M1260" s="1"/>
      <c r="AU1260" s="18"/>
      <c r="AV1260" s="18"/>
    </row>
    <row r="1261" spans="5:48" x14ac:dyDescent="0.2">
      <c r="E1261" s="1"/>
      <c r="F1261" s="1"/>
      <c r="G1261" s="1"/>
      <c r="H1261" s="1"/>
      <c r="I1261" s="1"/>
      <c r="J1261" s="1"/>
      <c r="K1261" s="1"/>
      <c r="L1261" s="1"/>
      <c r="M1261" s="1"/>
      <c r="AU1261" s="18"/>
      <c r="AV1261" s="18"/>
    </row>
    <row r="1262" spans="5:48" x14ac:dyDescent="0.2">
      <c r="E1262" s="1"/>
      <c r="F1262" s="1"/>
      <c r="G1262" s="1"/>
      <c r="H1262" s="1"/>
      <c r="I1262" s="1"/>
      <c r="J1262" s="1"/>
      <c r="K1262" s="1"/>
      <c r="L1262" s="1"/>
      <c r="M1262" s="1"/>
      <c r="AU1262" s="18"/>
      <c r="AV1262" s="18"/>
    </row>
    <row r="1263" spans="5:48" x14ac:dyDescent="0.2">
      <c r="E1263" s="1"/>
      <c r="F1263" s="1"/>
      <c r="G1263" s="1"/>
      <c r="H1263" s="1"/>
      <c r="I1263" s="1"/>
      <c r="J1263" s="1"/>
      <c r="K1263" s="1"/>
      <c r="L1263" s="1"/>
      <c r="M1263" s="1"/>
      <c r="AU1263" s="18"/>
      <c r="AV1263" s="18"/>
    </row>
    <row r="1264" spans="5:48" x14ac:dyDescent="0.2">
      <c r="E1264" s="1"/>
      <c r="F1264" s="1"/>
      <c r="G1264" s="1"/>
      <c r="H1264" s="1"/>
      <c r="I1264" s="1"/>
      <c r="J1264" s="1"/>
      <c r="K1264" s="1"/>
      <c r="L1264" s="1"/>
      <c r="M1264" s="1"/>
      <c r="AU1264" s="18"/>
      <c r="AV1264" s="18"/>
    </row>
    <row r="1265" spans="5:48" x14ac:dyDescent="0.2">
      <c r="E1265" s="1"/>
      <c r="F1265" s="1"/>
      <c r="G1265" s="1"/>
      <c r="H1265" s="1"/>
      <c r="I1265" s="1"/>
      <c r="J1265" s="1"/>
      <c r="K1265" s="1"/>
      <c r="L1265" s="1"/>
      <c r="M1265" s="1"/>
      <c r="AU1265" s="18"/>
      <c r="AV1265" s="18"/>
    </row>
    <row r="1266" spans="5:48" x14ac:dyDescent="0.2">
      <c r="E1266" s="1"/>
      <c r="F1266" s="1"/>
      <c r="G1266" s="1"/>
      <c r="H1266" s="1"/>
      <c r="I1266" s="1"/>
      <c r="J1266" s="1"/>
      <c r="K1266" s="1"/>
      <c r="L1266" s="1"/>
      <c r="M1266" s="1"/>
      <c r="AU1266" s="18"/>
      <c r="AV1266" s="18"/>
    </row>
    <row r="1267" spans="5:48" x14ac:dyDescent="0.2">
      <c r="E1267" s="1"/>
      <c r="F1267" s="1"/>
      <c r="G1267" s="1"/>
      <c r="H1267" s="1"/>
      <c r="I1267" s="1"/>
      <c r="J1267" s="1"/>
      <c r="K1267" s="1"/>
      <c r="L1267" s="1"/>
      <c r="M1267" s="1"/>
      <c r="AU1267" s="18"/>
      <c r="AV1267" s="18"/>
    </row>
    <row r="1268" spans="5:48" x14ac:dyDescent="0.2">
      <c r="E1268" s="1"/>
      <c r="F1268" s="1"/>
      <c r="G1268" s="1"/>
      <c r="H1268" s="1"/>
      <c r="I1268" s="1"/>
      <c r="J1268" s="1"/>
      <c r="K1268" s="1"/>
      <c r="L1268" s="1"/>
      <c r="M1268" s="1"/>
      <c r="AU1268" s="18"/>
      <c r="AV1268" s="18"/>
    </row>
    <row r="1269" spans="5:48" x14ac:dyDescent="0.2">
      <c r="E1269" s="1"/>
      <c r="F1269" s="1"/>
      <c r="G1269" s="1"/>
      <c r="H1269" s="1"/>
      <c r="I1269" s="1"/>
      <c r="J1269" s="1"/>
      <c r="K1269" s="1"/>
      <c r="L1269" s="1"/>
      <c r="M1269" s="1"/>
      <c r="AU1269" s="18"/>
      <c r="AV1269" s="18"/>
    </row>
    <row r="1270" spans="5:48" x14ac:dyDescent="0.2">
      <c r="E1270" s="1"/>
      <c r="F1270" s="1"/>
      <c r="G1270" s="1"/>
      <c r="H1270" s="1"/>
      <c r="I1270" s="1"/>
      <c r="J1270" s="1"/>
      <c r="K1270" s="1"/>
      <c r="L1270" s="1"/>
      <c r="M1270" s="1"/>
      <c r="AU1270" s="18"/>
      <c r="AV1270" s="18"/>
    </row>
    <row r="1271" spans="5:48" x14ac:dyDescent="0.2">
      <c r="E1271" s="1"/>
      <c r="F1271" s="1"/>
      <c r="G1271" s="1"/>
      <c r="H1271" s="1"/>
      <c r="I1271" s="1"/>
      <c r="J1271" s="1"/>
      <c r="K1271" s="1"/>
      <c r="L1271" s="1"/>
      <c r="M1271" s="1"/>
      <c r="AU1271" s="18"/>
      <c r="AV1271" s="18"/>
    </row>
    <row r="1272" spans="5:48" x14ac:dyDescent="0.2">
      <c r="E1272" s="1"/>
      <c r="F1272" s="1"/>
      <c r="G1272" s="1"/>
      <c r="H1272" s="1"/>
      <c r="I1272" s="1"/>
      <c r="J1272" s="1"/>
      <c r="K1272" s="1"/>
      <c r="L1272" s="1"/>
      <c r="M1272" s="1"/>
      <c r="AU1272" s="18"/>
      <c r="AV1272" s="18"/>
    </row>
    <row r="1273" spans="5:48" x14ac:dyDescent="0.2">
      <c r="E1273" s="1"/>
      <c r="F1273" s="1"/>
      <c r="G1273" s="1"/>
      <c r="H1273" s="1"/>
      <c r="I1273" s="1"/>
      <c r="J1273" s="1"/>
      <c r="K1273" s="1"/>
      <c r="L1273" s="1"/>
      <c r="M1273" s="1"/>
      <c r="AU1273" s="18"/>
      <c r="AV1273" s="18"/>
    </row>
    <row r="1274" spans="5:48" x14ac:dyDescent="0.2">
      <c r="E1274" s="1"/>
      <c r="F1274" s="1"/>
      <c r="G1274" s="1"/>
      <c r="H1274" s="1"/>
      <c r="I1274" s="1"/>
      <c r="J1274" s="1"/>
      <c r="K1274" s="1"/>
      <c r="L1274" s="1"/>
      <c r="M1274" s="1"/>
      <c r="AU1274" s="18"/>
      <c r="AV1274" s="18"/>
    </row>
    <row r="1275" spans="5:48" x14ac:dyDescent="0.2">
      <c r="E1275" s="1"/>
      <c r="F1275" s="1"/>
      <c r="G1275" s="1"/>
      <c r="H1275" s="1"/>
      <c r="I1275" s="1"/>
      <c r="J1275" s="1"/>
      <c r="K1275" s="1"/>
      <c r="L1275" s="1"/>
      <c r="M1275" s="1"/>
      <c r="AU1275" s="18"/>
      <c r="AV1275" s="18"/>
    </row>
    <row r="1276" spans="5:48" x14ac:dyDescent="0.2">
      <c r="E1276" s="1"/>
      <c r="F1276" s="1"/>
      <c r="G1276" s="1"/>
      <c r="H1276" s="1"/>
      <c r="I1276" s="1"/>
      <c r="J1276" s="1"/>
      <c r="K1276" s="1"/>
      <c r="L1276" s="1"/>
      <c r="M1276" s="1"/>
      <c r="AU1276" s="18"/>
      <c r="AV1276" s="18"/>
    </row>
    <row r="1277" spans="5:48" x14ac:dyDescent="0.2">
      <c r="E1277" s="1"/>
      <c r="F1277" s="1"/>
      <c r="G1277" s="1"/>
      <c r="H1277" s="1"/>
      <c r="I1277" s="1"/>
      <c r="J1277" s="1"/>
      <c r="K1277" s="1"/>
      <c r="L1277" s="1"/>
      <c r="M1277" s="1"/>
      <c r="AU1277" s="18"/>
      <c r="AV1277" s="18"/>
    </row>
    <row r="1278" spans="5:48" x14ac:dyDescent="0.2">
      <c r="E1278" s="1"/>
      <c r="F1278" s="1"/>
      <c r="G1278" s="1"/>
      <c r="H1278" s="1"/>
      <c r="I1278" s="1"/>
      <c r="J1278" s="1"/>
      <c r="K1278" s="1"/>
      <c r="L1278" s="1"/>
      <c r="M1278" s="1"/>
      <c r="AU1278" s="18"/>
      <c r="AV1278" s="18"/>
    </row>
    <row r="1279" spans="5:48" x14ac:dyDescent="0.2">
      <c r="E1279" s="1"/>
      <c r="F1279" s="1"/>
      <c r="G1279" s="1"/>
      <c r="H1279" s="1"/>
      <c r="I1279" s="1"/>
      <c r="J1279" s="1"/>
      <c r="K1279" s="1"/>
      <c r="L1279" s="1"/>
      <c r="M1279" s="1"/>
      <c r="AU1279" s="18"/>
      <c r="AV1279" s="18"/>
    </row>
    <row r="1280" spans="5:48" x14ac:dyDescent="0.2">
      <c r="E1280" s="1"/>
      <c r="F1280" s="1"/>
      <c r="G1280" s="1"/>
      <c r="H1280" s="1"/>
      <c r="I1280" s="1"/>
      <c r="J1280" s="1"/>
      <c r="K1280" s="1"/>
      <c r="L1280" s="1"/>
      <c r="M1280" s="1"/>
      <c r="AU1280" s="18"/>
      <c r="AV1280" s="18"/>
    </row>
    <row r="1281" spans="5:48" x14ac:dyDescent="0.2">
      <c r="E1281" s="1"/>
      <c r="F1281" s="1"/>
      <c r="G1281" s="1"/>
      <c r="H1281" s="1"/>
      <c r="I1281" s="1"/>
      <c r="J1281" s="1"/>
      <c r="K1281" s="1"/>
      <c r="L1281" s="1"/>
      <c r="M1281" s="1"/>
      <c r="AU1281" s="18"/>
      <c r="AV1281" s="18"/>
    </row>
    <row r="1282" spans="5:48" x14ac:dyDescent="0.2">
      <c r="E1282" s="1"/>
      <c r="F1282" s="1"/>
      <c r="G1282" s="1"/>
      <c r="H1282" s="1"/>
      <c r="I1282" s="1"/>
      <c r="J1282" s="1"/>
      <c r="K1282" s="1"/>
      <c r="L1282" s="1"/>
      <c r="M1282" s="1"/>
      <c r="AU1282" s="18"/>
      <c r="AV1282" s="18"/>
    </row>
    <row r="1283" spans="5:48" x14ac:dyDescent="0.2">
      <c r="E1283" s="1"/>
      <c r="F1283" s="1"/>
      <c r="G1283" s="1"/>
      <c r="H1283" s="1"/>
      <c r="I1283" s="1"/>
      <c r="J1283" s="1"/>
      <c r="K1283" s="1"/>
      <c r="L1283" s="1"/>
      <c r="M1283" s="1"/>
      <c r="AU1283" s="18"/>
      <c r="AV1283" s="18"/>
    </row>
    <row r="1284" spans="5:48" x14ac:dyDescent="0.2">
      <c r="E1284" s="1"/>
      <c r="F1284" s="1"/>
      <c r="G1284" s="1"/>
      <c r="H1284" s="1"/>
      <c r="I1284" s="1"/>
      <c r="J1284" s="1"/>
      <c r="K1284" s="1"/>
      <c r="L1284" s="1"/>
      <c r="M1284" s="1"/>
      <c r="AU1284" s="18"/>
      <c r="AV1284" s="18"/>
    </row>
    <row r="1285" spans="5:48" x14ac:dyDescent="0.2">
      <c r="E1285" s="1"/>
      <c r="F1285" s="1"/>
      <c r="G1285" s="1"/>
      <c r="H1285" s="1"/>
      <c r="I1285" s="1"/>
      <c r="J1285" s="1"/>
      <c r="K1285" s="1"/>
      <c r="L1285" s="1"/>
      <c r="M1285" s="1"/>
      <c r="AU1285" s="18"/>
      <c r="AV1285" s="18"/>
    </row>
    <row r="1286" spans="5:48" x14ac:dyDescent="0.2">
      <c r="E1286" s="1"/>
      <c r="F1286" s="1"/>
      <c r="G1286" s="1"/>
      <c r="H1286" s="1"/>
      <c r="I1286" s="1"/>
      <c r="J1286" s="1"/>
      <c r="K1286" s="1"/>
      <c r="L1286" s="1"/>
      <c r="M1286" s="1"/>
      <c r="AU1286" s="18"/>
      <c r="AV1286" s="18"/>
    </row>
    <row r="1287" spans="5:48" x14ac:dyDescent="0.2">
      <c r="E1287" s="1"/>
      <c r="F1287" s="1"/>
      <c r="G1287" s="1"/>
      <c r="H1287" s="1"/>
      <c r="I1287" s="1"/>
      <c r="J1287" s="1"/>
      <c r="K1287" s="1"/>
      <c r="L1287" s="1"/>
      <c r="M1287" s="1"/>
      <c r="AU1287" s="18"/>
      <c r="AV1287" s="18"/>
    </row>
    <row r="1288" spans="5:48" x14ac:dyDescent="0.2">
      <c r="E1288" s="1"/>
      <c r="F1288" s="1"/>
      <c r="G1288" s="1"/>
      <c r="H1288" s="1"/>
      <c r="I1288" s="1"/>
      <c r="J1288" s="1"/>
      <c r="K1288" s="1"/>
      <c r="L1288" s="1"/>
      <c r="M1288" s="1"/>
      <c r="AU1288" s="18"/>
      <c r="AV1288" s="18"/>
    </row>
    <row r="1289" spans="5:48" x14ac:dyDescent="0.2">
      <c r="E1289" s="1"/>
      <c r="F1289" s="1"/>
      <c r="G1289" s="1"/>
      <c r="H1289" s="1"/>
      <c r="I1289" s="1"/>
      <c r="J1289" s="1"/>
      <c r="K1289" s="1"/>
      <c r="L1289" s="1"/>
      <c r="M1289" s="1"/>
      <c r="AU1289" s="18"/>
      <c r="AV1289" s="18"/>
    </row>
    <row r="1290" spans="5:48" x14ac:dyDescent="0.2">
      <c r="E1290" s="1"/>
      <c r="F1290" s="1"/>
      <c r="G1290" s="1"/>
      <c r="H1290" s="1"/>
      <c r="I1290" s="1"/>
      <c r="J1290" s="1"/>
      <c r="K1290" s="1"/>
      <c r="L1290" s="1"/>
      <c r="M1290" s="1"/>
      <c r="AU1290" s="18"/>
      <c r="AV1290" s="18"/>
    </row>
    <row r="1291" spans="5:48" x14ac:dyDescent="0.2">
      <c r="E1291" s="1"/>
      <c r="F1291" s="1"/>
      <c r="G1291" s="1"/>
      <c r="H1291" s="1"/>
      <c r="I1291" s="1"/>
      <c r="J1291" s="1"/>
      <c r="K1291" s="1"/>
      <c r="L1291" s="1"/>
      <c r="M1291" s="1"/>
      <c r="AU1291" s="18"/>
      <c r="AV1291" s="18"/>
    </row>
    <row r="1292" spans="5:48" x14ac:dyDescent="0.2">
      <c r="E1292" s="1"/>
      <c r="F1292" s="1"/>
      <c r="G1292" s="1"/>
      <c r="H1292" s="1"/>
      <c r="I1292" s="1"/>
      <c r="J1292" s="1"/>
      <c r="K1292" s="1"/>
      <c r="L1292" s="1"/>
      <c r="M1292" s="1"/>
      <c r="AU1292" s="18"/>
      <c r="AV1292" s="18"/>
    </row>
    <row r="1293" spans="5:48" x14ac:dyDescent="0.2">
      <c r="E1293" s="1"/>
      <c r="F1293" s="1"/>
      <c r="G1293" s="1"/>
      <c r="H1293" s="1"/>
      <c r="I1293" s="1"/>
      <c r="J1293" s="1"/>
      <c r="K1293" s="1"/>
      <c r="L1293" s="1"/>
      <c r="M1293" s="1"/>
      <c r="AU1293" s="18"/>
      <c r="AV1293" s="18"/>
    </row>
    <row r="1294" spans="5:48" x14ac:dyDescent="0.2">
      <c r="E1294" s="1"/>
      <c r="F1294" s="1"/>
      <c r="G1294" s="1"/>
      <c r="H1294" s="1"/>
      <c r="I1294" s="1"/>
      <c r="J1294" s="1"/>
      <c r="K1294" s="1"/>
      <c r="L1294" s="1"/>
      <c r="M1294" s="1"/>
      <c r="AU1294" s="18"/>
      <c r="AV1294" s="18"/>
    </row>
    <row r="1295" spans="5:48" x14ac:dyDescent="0.2">
      <c r="E1295" s="1"/>
      <c r="F1295" s="1"/>
      <c r="G1295" s="1"/>
      <c r="H1295" s="1"/>
      <c r="I1295" s="1"/>
      <c r="J1295" s="1"/>
      <c r="K1295" s="1"/>
      <c r="L1295" s="1"/>
      <c r="M1295" s="1"/>
      <c r="AU1295" s="18"/>
      <c r="AV1295" s="18"/>
    </row>
    <row r="1296" spans="5:48" x14ac:dyDescent="0.2">
      <c r="E1296" s="1"/>
      <c r="F1296" s="1"/>
      <c r="G1296" s="1"/>
      <c r="H1296" s="1"/>
      <c r="I1296" s="1"/>
      <c r="J1296" s="1"/>
      <c r="K1296" s="1"/>
      <c r="L1296" s="1"/>
      <c r="M1296" s="1"/>
      <c r="AU1296" s="18"/>
      <c r="AV1296" s="18"/>
    </row>
    <row r="1297" spans="5:48" x14ac:dyDescent="0.2">
      <c r="E1297" s="1"/>
      <c r="F1297" s="1"/>
      <c r="G1297" s="1"/>
      <c r="H1297" s="1"/>
      <c r="I1297" s="1"/>
      <c r="J1297" s="1"/>
      <c r="K1297" s="1"/>
      <c r="L1297" s="1"/>
      <c r="M1297" s="1"/>
      <c r="AU1297" s="18"/>
      <c r="AV1297" s="18"/>
    </row>
    <row r="1298" spans="5:48" x14ac:dyDescent="0.2">
      <c r="E1298" s="1"/>
      <c r="F1298" s="1"/>
      <c r="G1298" s="1"/>
      <c r="H1298" s="1"/>
      <c r="I1298" s="1"/>
      <c r="J1298" s="1"/>
      <c r="K1298" s="1"/>
      <c r="L1298" s="1"/>
      <c r="M1298" s="1"/>
      <c r="AU1298" s="18"/>
      <c r="AV1298" s="18"/>
    </row>
    <row r="1299" spans="5:48" x14ac:dyDescent="0.2">
      <c r="E1299" s="1"/>
      <c r="F1299" s="1"/>
      <c r="G1299" s="1"/>
      <c r="H1299" s="1"/>
      <c r="I1299" s="1"/>
      <c r="J1299" s="1"/>
      <c r="K1299" s="1"/>
      <c r="L1299" s="1"/>
      <c r="M1299" s="1"/>
      <c r="AU1299" s="18"/>
      <c r="AV1299" s="18"/>
    </row>
    <row r="1300" spans="5:48" x14ac:dyDescent="0.2">
      <c r="E1300" s="1"/>
      <c r="F1300" s="1"/>
      <c r="G1300" s="1"/>
      <c r="H1300" s="1"/>
      <c r="I1300" s="1"/>
      <c r="J1300" s="1"/>
      <c r="K1300" s="1"/>
      <c r="L1300" s="1"/>
      <c r="M1300" s="1"/>
      <c r="AU1300" s="18"/>
      <c r="AV1300" s="18"/>
    </row>
    <row r="1301" spans="5:48" x14ac:dyDescent="0.2">
      <c r="E1301" s="1"/>
      <c r="F1301" s="1"/>
      <c r="G1301" s="1"/>
      <c r="H1301" s="1"/>
      <c r="I1301" s="1"/>
      <c r="J1301" s="1"/>
      <c r="K1301" s="1"/>
      <c r="L1301" s="1"/>
      <c r="M1301" s="1"/>
      <c r="AU1301" s="18"/>
      <c r="AV1301" s="18"/>
    </row>
    <row r="1302" spans="5:48" x14ac:dyDescent="0.2">
      <c r="E1302" s="1"/>
      <c r="F1302" s="1"/>
      <c r="G1302" s="1"/>
      <c r="H1302" s="1"/>
      <c r="I1302" s="1"/>
      <c r="J1302" s="1"/>
      <c r="K1302" s="1"/>
      <c r="L1302" s="1"/>
      <c r="M1302" s="1"/>
      <c r="AU1302" s="18"/>
      <c r="AV1302" s="18"/>
    </row>
    <row r="1303" spans="5:48" x14ac:dyDescent="0.2">
      <c r="E1303" s="1"/>
      <c r="F1303" s="1"/>
      <c r="G1303" s="1"/>
      <c r="H1303" s="1"/>
      <c r="I1303" s="1"/>
      <c r="J1303" s="1"/>
      <c r="K1303" s="1"/>
      <c r="L1303" s="1"/>
      <c r="M1303" s="1"/>
      <c r="AU1303" s="18"/>
      <c r="AV1303" s="18"/>
    </row>
    <row r="1304" spans="5:48" x14ac:dyDescent="0.2">
      <c r="E1304" s="1"/>
      <c r="F1304" s="1"/>
      <c r="G1304" s="1"/>
      <c r="H1304" s="1"/>
      <c r="I1304" s="1"/>
      <c r="J1304" s="1"/>
      <c r="K1304" s="1"/>
      <c r="L1304" s="1"/>
      <c r="M1304" s="1"/>
      <c r="AU1304" s="18"/>
      <c r="AV1304" s="18"/>
    </row>
    <row r="1305" spans="5:48" x14ac:dyDescent="0.2">
      <c r="E1305" s="1"/>
      <c r="F1305" s="1"/>
      <c r="G1305" s="1"/>
      <c r="H1305" s="1"/>
      <c r="I1305" s="1"/>
      <c r="J1305" s="1"/>
      <c r="K1305" s="1"/>
      <c r="L1305" s="1"/>
      <c r="M1305" s="1"/>
      <c r="AU1305" s="18"/>
      <c r="AV1305" s="18"/>
    </row>
    <row r="1306" spans="5:48" x14ac:dyDescent="0.2">
      <c r="E1306" s="1"/>
      <c r="F1306" s="1"/>
      <c r="G1306" s="1"/>
      <c r="H1306" s="1"/>
      <c r="I1306" s="1"/>
      <c r="J1306" s="1"/>
      <c r="K1306" s="1"/>
      <c r="L1306" s="1"/>
      <c r="M1306" s="1"/>
      <c r="AU1306" s="18"/>
      <c r="AV1306" s="18"/>
    </row>
    <row r="1307" spans="5:48" x14ac:dyDescent="0.2">
      <c r="E1307" s="1"/>
      <c r="F1307" s="1"/>
      <c r="G1307" s="1"/>
      <c r="H1307" s="1"/>
      <c r="I1307" s="1"/>
      <c r="J1307" s="1"/>
      <c r="K1307" s="1"/>
      <c r="L1307" s="1"/>
      <c r="M1307" s="1"/>
      <c r="AU1307" s="18"/>
      <c r="AV1307" s="18"/>
    </row>
    <row r="1308" spans="5:48" x14ac:dyDescent="0.2">
      <c r="E1308" s="1"/>
      <c r="F1308" s="1"/>
      <c r="G1308" s="1"/>
      <c r="H1308" s="1"/>
      <c r="I1308" s="1"/>
      <c r="J1308" s="1"/>
      <c r="K1308" s="1"/>
      <c r="L1308" s="1"/>
      <c r="M1308" s="1"/>
      <c r="AU1308" s="18"/>
      <c r="AV1308" s="18"/>
    </row>
    <row r="1309" spans="5:48" x14ac:dyDescent="0.2">
      <c r="E1309" s="1"/>
      <c r="F1309" s="1"/>
      <c r="G1309" s="1"/>
      <c r="H1309" s="1"/>
      <c r="I1309" s="1"/>
      <c r="J1309" s="1"/>
      <c r="K1309" s="1"/>
      <c r="L1309" s="1"/>
      <c r="M1309" s="1"/>
      <c r="AU1309" s="18"/>
      <c r="AV1309" s="18"/>
    </row>
    <row r="1310" spans="5:48" x14ac:dyDescent="0.2">
      <c r="E1310" s="1"/>
      <c r="F1310" s="1"/>
      <c r="G1310" s="1"/>
      <c r="H1310" s="1"/>
      <c r="I1310" s="1"/>
      <c r="J1310" s="1"/>
      <c r="K1310" s="1"/>
      <c r="L1310" s="1"/>
      <c r="M1310" s="1"/>
      <c r="AU1310" s="18"/>
      <c r="AV1310" s="18"/>
    </row>
    <row r="1311" spans="5:48" x14ac:dyDescent="0.2">
      <c r="E1311" s="1"/>
      <c r="F1311" s="1"/>
      <c r="G1311" s="1"/>
      <c r="H1311" s="1"/>
      <c r="I1311" s="1"/>
      <c r="J1311" s="1"/>
      <c r="K1311" s="1"/>
      <c r="L1311" s="1"/>
      <c r="M1311" s="1"/>
      <c r="AU1311" s="18"/>
      <c r="AV1311" s="18"/>
    </row>
    <row r="1312" spans="5:48" x14ac:dyDescent="0.2">
      <c r="E1312" s="1"/>
      <c r="F1312" s="1"/>
      <c r="G1312" s="1"/>
      <c r="H1312" s="1"/>
      <c r="I1312" s="1"/>
      <c r="J1312" s="1"/>
      <c r="K1312" s="1"/>
      <c r="L1312" s="1"/>
      <c r="M1312" s="1"/>
      <c r="AU1312" s="18"/>
      <c r="AV1312" s="18"/>
    </row>
    <row r="1313" spans="5:48" x14ac:dyDescent="0.2">
      <c r="E1313" s="1"/>
      <c r="F1313" s="1"/>
      <c r="G1313" s="1"/>
      <c r="H1313" s="1"/>
      <c r="I1313" s="1"/>
      <c r="J1313" s="1"/>
      <c r="K1313" s="1"/>
      <c r="L1313" s="1"/>
      <c r="M1313" s="1"/>
      <c r="AU1313" s="18"/>
      <c r="AV1313" s="18"/>
    </row>
    <row r="1314" spans="5:48" x14ac:dyDescent="0.2">
      <c r="E1314" s="1"/>
      <c r="F1314" s="1"/>
      <c r="G1314" s="1"/>
      <c r="H1314" s="1"/>
      <c r="I1314" s="1"/>
      <c r="J1314" s="1"/>
      <c r="K1314" s="1"/>
      <c r="L1314" s="1"/>
      <c r="M1314" s="1"/>
      <c r="AU1314" s="18"/>
      <c r="AV1314" s="18"/>
    </row>
    <row r="1315" spans="5:48" x14ac:dyDescent="0.2">
      <c r="E1315" s="1"/>
      <c r="F1315" s="1"/>
      <c r="G1315" s="1"/>
      <c r="H1315" s="1"/>
      <c r="I1315" s="1"/>
      <c r="J1315" s="1"/>
      <c r="K1315" s="1"/>
      <c r="L1315" s="1"/>
      <c r="M1315" s="1"/>
      <c r="AU1315" s="18"/>
      <c r="AV1315" s="18"/>
    </row>
    <row r="1316" spans="5:48" x14ac:dyDescent="0.2">
      <c r="E1316" s="1"/>
      <c r="F1316" s="1"/>
      <c r="G1316" s="1"/>
      <c r="H1316" s="1"/>
      <c r="I1316" s="1"/>
      <c r="J1316" s="1"/>
      <c r="K1316" s="1"/>
      <c r="L1316" s="1"/>
      <c r="M1316" s="1"/>
      <c r="AU1316" s="18"/>
      <c r="AV1316" s="18"/>
    </row>
    <row r="1317" spans="5:48" x14ac:dyDescent="0.2">
      <c r="E1317" s="1"/>
      <c r="F1317" s="1"/>
      <c r="G1317" s="1"/>
      <c r="H1317" s="1"/>
      <c r="I1317" s="1"/>
      <c r="J1317" s="1"/>
      <c r="K1317" s="1"/>
      <c r="L1317" s="1"/>
      <c r="M1317" s="1"/>
      <c r="AU1317" s="18"/>
      <c r="AV1317" s="18"/>
    </row>
    <row r="1318" spans="5:48" x14ac:dyDescent="0.2">
      <c r="E1318" s="1"/>
      <c r="F1318" s="1"/>
      <c r="G1318" s="1"/>
      <c r="H1318" s="1"/>
      <c r="I1318" s="1"/>
      <c r="J1318" s="1"/>
      <c r="K1318" s="1"/>
      <c r="L1318" s="1"/>
      <c r="M1318" s="1"/>
      <c r="AU1318" s="18"/>
      <c r="AV1318" s="18"/>
    </row>
    <row r="1319" spans="5:48" x14ac:dyDescent="0.2">
      <c r="E1319" s="1"/>
      <c r="F1319" s="1"/>
      <c r="G1319" s="1"/>
      <c r="H1319" s="1"/>
      <c r="I1319" s="1"/>
      <c r="J1319" s="1"/>
      <c r="K1319" s="1"/>
      <c r="L1319" s="1"/>
      <c r="M1319" s="1"/>
      <c r="AU1319" s="18"/>
      <c r="AV1319" s="18"/>
    </row>
    <row r="1320" spans="5:48" x14ac:dyDescent="0.2">
      <c r="E1320" s="1"/>
      <c r="F1320" s="1"/>
      <c r="G1320" s="1"/>
      <c r="H1320" s="1"/>
      <c r="I1320" s="1"/>
      <c r="J1320" s="1"/>
      <c r="K1320" s="1"/>
      <c r="L1320" s="1"/>
      <c r="M1320" s="1"/>
      <c r="AU1320" s="18"/>
      <c r="AV1320" s="18"/>
    </row>
    <row r="1321" spans="5:48" x14ac:dyDescent="0.2">
      <c r="E1321" s="1"/>
      <c r="F1321" s="1"/>
      <c r="G1321" s="1"/>
      <c r="H1321" s="1"/>
      <c r="I1321" s="1"/>
      <c r="J1321" s="1"/>
      <c r="K1321" s="1"/>
      <c r="L1321" s="1"/>
      <c r="M1321" s="1"/>
      <c r="AU1321" s="18"/>
      <c r="AV1321" s="18"/>
    </row>
    <row r="1322" spans="5:48" x14ac:dyDescent="0.2">
      <c r="E1322" s="1"/>
      <c r="F1322" s="1"/>
      <c r="G1322" s="1"/>
      <c r="H1322" s="1"/>
      <c r="I1322" s="1"/>
      <c r="J1322" s="1"/>
      <c r="K1322" s="1"/>
      <c r="L1322" s="1"/>
      <c r="M1322" s="1"/>
      <c r="AU1322" s="18"/>
      <c r="AV1322" s="18"/>
    </row>
    <row r="1323" spans="5:48" x14ac:dyDescent="0.2">
      <c r="E1323" s="1"/>
      <c r="F1323" s="1"/>
      <c r="G1323" s="1"/>
      <c r="H1323" s="1"/>
      <c r="I1323" s="1"/>
      <c r="J1323" s="1"/>
      <c r="K1323" s="1"/>
      <c r="L1323" s="1"/>
      <c r="M1323" s="1"/>
      <c r="AU1323" s="18"/>
      <c r="AV1323" s="18"/>
    </row>
    <row r="1324" spans="5:48" x14ac:dyDescent="0.2">
      <c r="E1324" s="1"/>
      <c r="F1324" s="1"/>
      <c r="G1324" s="1"/>
      <c r="H1324" s="1"/>
      <c r="I1324" s="1"/>
      <c r="J1324" s="1"/>
      <c r="K1324" s="1"/>
      <c r="L1324" s="1"/>
      <c r="M1324" s="1"/>
      <c r="AU1324" s="18"/>
      <c r="AV1324" s="18"/>
    </row>
    <row r="1325" spans="5:48" x14ac:dyDescent="0.2">
      <c r="E1325" s="1"/>
      <c r="F1325" s="1"/>
      <c r="G1325" s="1"/>
      <c r="H1325" s="1"/>
      <c r="I1325" s="1"/>
      <c r="J1325" s="1"/>
      <c r="K1325" s="1"/>
      <c r="L1325" s="1"/>
      <c r="M1325" s="1"/>
      <c r="AU1325" s="18"/>
      <c r="AV1325" s="18"/>
    </row>
    <row r="1326" spans="5:48" x14ac:dyDescent="0.2">
      <c r="E1326" s="1"/>
      <c r="F1326" s="1"/>
      <c r="G1326" s="1"/>
      <c r="H1326" s="1"/>
      <c r="I1326" s="1"/>
      <c r="J1326" s="1"/>
      <c r="K1326" s="1"/>
      <c r="L1326" s="1"/>
      <c r="M1326" s="1"/>
      <c r="AU1326" s="18"/>
      <c r="AV1326" s="18"/>
    </row>
    <row r="1327" spans="5:48" x14ac:dyDescent="0.2">
      <c r="E1327" s="1"/>
      <c r="F1327" s="1"/>
      <c r="G1327" s="1"/>
      <c r="H1327" s="1"/>
      <c r="I1327" s="1"/>
      <c r="J1327" s="1"/>
      <c r="K1327" s="1"/>
      <c r="L1327" s="1"/>
      <c r="M1327" s="1"/>
      <c r="AU1327" s="18"/>
      <c r="AV1327" s="18"/>
    </row>
    <row r="1328" spans="5:48" x14ac:dyDescent="0.2">
      <c r="E1328" s="1"/>
      <c r="F1328" s="1"/>
      <c r="G1328" s="1"/>
      <c r="H1328" s="1"/>
      <c r="I1328" s="1"/>
      <c r="J1328" s="1"/>
      <c r="K1328" s="1"/>
      <c r="L1328" s="1"/>
      <c r="M1328" s="1"/>
      <c r="AU1328" s="18"/>
      <c r="AV1328" s="18"/>
    </row>
    <row r="1329" spans="5:48" x14ac:dyDescent="0.2">
      <c r="E1329" s="1"/>
      <c r="F1329" s="1"/>
      <c r="G1329" s="1"/>
      <c r="H1329" s="1"/>
      <c r="I1329" s="1"/>
      <c r="J1329" s="1"/>
      <c r="K1329" s="1"/>
      <c r="L1329" s="1"/>
      <c r="M1329" s="1"/>
      <c r="AU1329" s="18"/>
      <c r="AV1329" s="18"/>
    </row>
    <row r="1330" spans="5:48" x14ac:dyDescent="0.2">
      <c r="E1330" s="1"/>
      <c r="F1330" s="1"/>
      <c r="G1330" s="1"/>
      <c r="H1330" s="1"/>
      <c r="I1330" s="1"/>
      <c r="J1330" s="1"/>
      <c r="K1330" s="1"/>
      <c r="L1330" s="1"/>
      <c r="M1330" s="1"/>
      <c r="AU1330" s="18"/>
      <c r="AV1330" s="18"/>
    </row>
    <row r="1331" spans="5:48" x14ac:dyDescent="0.2">
      <c r="E1331" s="1"/>
      <c r="F1331" s="1"/>
      <c r="G1331" s="1"/>
      <c r="H1331" s="1"/>
      <c r="I1331" s="1"/>
      <c r="J1331" s="1"/>
      <c r="K1331" s="1"/>
      <c r="L1331" s="1"/>
      <c r="M1331" s="1"/>
      <c r="AU1331" s="18"/>
      <c r="AV1331" s="18"/>
    </row>
    <row r="1332" spans="5:48" x14ac:dyDescent="0.2">
      <c r="E1332" s="1"/>
      <c r="F1332" s="1"/>
      <c r="G1332" s="1"/>
      <c r="H1332" s="1"/>
      <c r="I1332" s="1"/>
      <c r="J1332" s="1"/>
      <c r="K1332" s="1"/>
      <c r="L1332" s="1"/>
      <c r="M1332" s="1"/>
      <c r="AU1332" s="18"/>
      <c r="AV1332" s="18"/>
    </row>
    <row r="1333" spans="5:48" x14ac:dyDescent="0.2">
      <c r="E1333" s="1"/>
      <c r="F1333" s="1"/>
      <c r="G1333" s="1"/>
      <c r="H1333" s="1"/>
      <c r="I1333" s="1"/>
      <c r="J1333" s="1"/>
      <c r="K1333" s="1"/>
      <c r="L1333" s="1"/>
      <c r="M1333" s="1"/>
      <c r="AU1333" s="18"/>
      <c r="AV1333" s="18"/>
    </row>
    <row r="1334" spans="5:48" x14ac:dyDescent="0.2">
      <c r="E1334" s="1"/>
      <c r="F1334" s="1"/>
      <c r="G1334" s="1"/>
      <c r="H1334" s="1"/>
      <c r="I1334" s="1"/>
      <c r="J1334" s="1"/>
      <c r="K1334" s="1"/>
      <c r="L1334" s="1"/>
      <c r="M1334" s="1"/>
      <c r="AU1334" s="18"/>
      <c r="AV1334" s="18"/>
    </row>
    <row r="1335" spans="5:48" x14ac:dyDescent="0.2">
      <c r="E1335" s="1"/>
      <c r="F1335" s="1"/>
      <c r="G1335" s="1"/>
      <c r="H1335" s="1"/>
      <c r="I1335" s="1"/>
      <c r="J1335" s="1"/>
      <c r="K1335" s="1"/>
      <c r="L1335" s="1"/>
      <c r="M1335" s="1"/>
      <c r="AU1335" s="18"/>
      <c r="AV1335" s="18"/>
    </row>
    <row r="1336" spans="5:48" x14ac:dyDescent="0.2">
      <c r="E1336" s="1"/>
      <c r="F1336" s="1"/>
      <c r="G1336" s="1"/>
      <c r="H1336" s="1"/>
      <c r="I1336" s="1"/>
      <c r="J1336" s="1"/>
      <c r="K1336" s="1"/>
      <c r="L1336" s="1"/>
      <c r="M1336" s="1"/>
      <c r="AU1336" s="18"/>
      <c r="AV1336" s="18"/>
    </row>
    <row r="1337" spans="5:48" x14ac:dyDescent="0.2">
      <c r="E1337" s="1"/>
      <c r="F1337" s="1"/>
      <c r="G1337" s="1"/>
      <c r="H1337" s="1"/>
      <c r="I1337" s="1"/>
      <c r="J1337" s="1"/>
      <c r="K1337" s="1"/>
      <c r="L1337" s="1"/>
      <c r="M1337" s="1"/>
      <c r="AU1337" s="18"/>
      <c r="AV1337" s="18"/>
    </row>
    <row r="1338" spans="5:48" x14ac:dyDescent="0.2">
      <c r="E1338" s="1"/>
      <c r="F1338" s="1"/>
      <c r="G1338" s="1"/>
      <c r="H1338" s="1"/>
      <c r="I1338" s="1"/>
      <c r="J1338" s="1"/>
      <c r="K1338" s="1"/>
      <c r="L1338" s="1"/>
      <c r="M1338" s="1"/>
      <c r="AU1338" s="18"/>
      <c r="AV1338" s="18"/>
    </row>
    <row r="1339" spans="5:48" x14ac:dyDescent="0.2">
      <c r="E1339" s="1"/>
      <c r="F1339" s="1"/>
      <c r="G1339" s="1"/>
      <c r="H1339" s="1"/>
      <c r="I1339" s="1"/>
      <c r="J1339" s="1"/>
      <c r="K1339" s="1"/>
      <c r="L1339" s="1"/>
      <c r="M1339" s="1"/>
      <c r="AU1339" s="18"/>
      <c r="AV1339" s="18"/>
    </row>
    <row r="1340" spans="5:48" x14ac:dyDescent="0.2">
      <c r="E1340" s="1"/>
      <c r="F1340" s="1"/>
      <c r="G1340" s="1"/>
      <c r="H1340" s="1"/>
      <c r="I1340" s="1"/>
      <c r="J1340" s="1"/>
      <c r="K1340" s="1"/>
      <c r="L1340" s="1"/>
      <c r="M1340" s="1"/>
      <c r="AU1340" s="18"/>
      <c r="AV1340" s="18"/>
    </row>
  </sheetData>
  <sheetProtection selectLockedCells="1" selectUnlockedCells="1"/>
  <mergeCells count="59">
    <mergeCell ref="D35:H35"/>
    <mergeCell ref="A34:B34"/>
    <mergeCell ref="J35:M35"/>
    <mergeCell ref="AC31:AD31"/>
    <mergeCell ref="AE31:AF31"/>
    <mergeCell ref="A35:B35"/>
    <mergeCell ref="AC35:AF35"/>
    <mergeCell ref="O35:O36"/>
    <mergeCell ref="P35:P36"/>
    <mergeCell ref="AE32:AF32"/>
    <mergeCell ref="Y35:AB35"/>
    <mergeCell ref="U35:X35"/>
    <mergeCell ref="C35:C36"/>
    <mergeCell ref="I35:I36"/>
    <mergeCell ref="Q35:T35"/>
    <mergeCell ref="AA31:AB31"/>
    <mergeCell ref="A3:C3"/>
    <mergeCell ref="A5:C5"/>
    <mergeCell ref="A6:C6"/>
    <mergeCell ref="D3:F3"/>
    <mergeCell ref="D5:F5"/>
    <mergeCell ref="AN24:AR25"/>
    <mergeCell ref="N35:N36"/>
    <mergeCell ref="F1:G1"/>
    <mergeCell ref="Y28:Z28"/>
    <mergeCell ref="AA28:AB28"/>
    <mergeCell ref="Y29:Z29"/>
    <mergeCell ref="AA29:AB29"/>
    <mergeCell ref="AC28:AD28"/>
    <mergeCell ref="AE28:AF28"/>
    <mergeCell ref="AQ35:AU35"/>
    <mergeCell ref="AC32:AD32"/>
    <mergeCell ref="V7:AB7"/>
    <mergeCell ref="AA9:AB9"/>
    <mergeCell ref="Y9:Z9"/>
    <mergeCell ref="U28:V28"/>
    <mergeCell ref="W28:X28"/>
    <mergeCell ref="Y31:Z31"/>
    <mergeCell ref="W32:X32"/>
    <mergeCell ref="AA32:AB32"/>
    <mergeCell ref="AL35:AO35"/>
    <mergeCell ref="U31:V31"/>
    <mergeCell ref="W31:X31"/>
    <mergeCell ref="U32:V32"/>
    <mergeCell ref="AG31:AH31"/>
    <mergeCell ref="AG35:AJ35"/>
    <mergeCell ref="AI31:AJ31"/>
    <mergeCell ref="AG32:AH32"/>
    <mergeCell ref="AI32:AJ32"/>
    <mergeCell ref="Y32:Z32"/>
    <mergeCell ref="AI28:AJ28"/>
    <mergeCell ref="AG28:AH28"/>
    <mergeCell ref="AI29:AJ29"/>
    <mergeCell ref="V18:Y18"/>
    <mergeCell ref="AG29:AH29"/>
    <mergeCell ref="AC29:AD29"/>
    <mergeCell ref="AE29:AF29"/>
    <mergeCell ref="U29:V29"/>
    <mergeCell ref="W29:X29"/>
  </mergeCells>
  <phoneticPr fontId="11" type="noConversion"/>
  <conditionalFormatting sqref="D39:G218 D221:G400">
    <cfRule type="cellIs" dxfId="8" priority="1" stopIfTrue="1" operator="equal">
      <formula>$H39</formula>
    </cfRule>
  </conditionalFormatting>
  <conditionalFormatting sqref="A39:A218 A221:A400">
    <cfRule type="expression" dxfId="7" priority="2" stopIfTrue="1">
      <formula>$N39=$AE$15</formula>
    </cfRule>
    <cfRule type="expression" dxfId="6" priority="3" stopIfTrue="1">
      <formula>$N39&lt;$AE$15</formula>
    </cfRule>
  </conditionalFormatting>
  <dataValidations disablePrompts="1" count="1">
    <dataValidation type="list" allowBlank="1" showInputMessage="1" showErrorMessage="1" sqref="W19" xr:uid="{00000000-0002-0000-0600-000000000000}">
      <formula1>"Ja, Nein"</formula1>
    </dataValidation>
  </dataValidations>
  <pageMargins left="0.75" right="0.75" top="1" bottom="1" header="0.4921259845" footer="0.4921259845"/>
  <pageSetup paperSize="8" scale="40" orientation="landscape"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13"/>
  <dimension ref="A1:AV1340"/>
  <sheetViews>
    <sheetView topLeftCell="A322" workbookViewId="0">
      <selection activeCell="A344" sqref="A344:XFD344"/>
    </sheetView>
  </sheetViews>
  <sheetFormatPr baseColWidth="10" defaultColWidth="11.42578125" defaultRowHeight="12.75" x14ac:dyDescent="0.2"/>
  <cols>
    <col min="1" max="1" width="8.7109375" customWidth="1"/>
    <col min="2" max="4" width="8.7109375" style="1" customWidth="1"/>
    <col min="5" max="8" width="8.7109375" customWidth="1"/>
    <col min="21" max="36" width="11.28515625" customWidth="1"/>
    <col min="37" max="37" width="3.7109375" customWidth="1"/>
    <col min="38" max="41" width="11.28515625" customWidth="1"/>
    <col min="42" max="42" width="2.85546875" style="6" customWidth="1"/>
    <col min="43" max="45" width="11.28515625" style="6" customWidth="1"/>
    <col min="46" max="46" width="11.7109375" customWidth="1"/>
    <col min="48" max="48" width="9.5703125" customWidth="1"/>
    <col min="50" max="51" width="11.28515625" bestFit="1" customWidth="1"/>
    <col min="52" max="53" width="9.5703125" bestFit="1" customWidth="1"/>
  </cols>
  <sheetData>
    <row r="1" spans="1:45" ht="18" x14ac:dyDescent="0.25">
      <c r="A1" s="4" t="s">
        <v>135</v>
      </c>
      <c r="F1" s="794" t="str">
        <f>Geraetedaten!B1</f>
        <v>P570</v>
      </c>
      <c r="G1" s="794"/>
    </row>
    <row r="2" spans="1:45" x14ac:dyDescent="0.2">
      <c r="AN2" s="108" t="s">
        <v>205</v>
      </c>
      <c r="AO2" s="109"/>
      <c r="AP2" s="110"/>
      <c r="AQ2" s="110"/>
      <c r="AR2" s="110"/>
      <c r="AS2" s="111"/>
    </row>
    <row r="3" spans="1:45" x14ac:dyDescent="0.2">
      <c r="A3" s="795" t="s">
        <v>157</v>
      </c>
      <c r="B3" s="795"/>
      <c r="C3" s="795"/>
      <c r="D3" s="796">
        <f>Eingabewerte!D4</f>
        <v>11570035</v>
      </c>
      <c r="E3" s="796"/>
      <c r="F3" s="796"/>
      <c r="AN3" s="112"/>
      <c r="AO3" s="113"/>
      <c r="AP3" s="114"/>
      <c r="AQ3" s="114"/>
      <c r="AR3" s="114"/>
      <c r="AS3" s="115"/>
    </row>
    <row r="4" spans="1:45" x14ac:dyDescent="0.2">
      <c r="AN4" s="116" t="s">
        <v>206</v>
      </c>
      <c r="AO4" s="113" t="s">
        <v>207</v>
      </c>
      <c r="AP4" s="114"/>
      <c r="AQ4" s="114"/>
      <c r="AR4" s="114"/>
      <c r="AS4" s="115"/>
    </row>
    <row r="5" spans="1:45" x14ac:dyDescent="0.2">
      <c r="A5" s="795" t="s">
        <v>158</v>
      </c>
      <c r="B5" s="795"/>
      <c r="C5" s="795"/>
      <c r="D5" s="796" t="str">
        <f>Eingabewerte!D5</f>
        <v>Sonder</v>
      </c>
      <c r="E5" s="796"/>
      <c r="F5" s="796"/>
      <c r="AN5" s="116" t="s">
        <v>208</v>
      </c>
      <c r="AO5" s="113" t="s">
        <v>209</v>
      </c>
      <c r="AP5" s="114"/>
      <c r="AQ5" s="114"/>
      <c r="AR5" s="114"/>
      <c r="AS5" s="115"/>
    </row>
    <row r="6" spans="1:45" x14ac:dyDescent="0.2">
      <c r="A6" s="795" t="s">
        <v>83</v>
      </c>
      <c r="B6" s="795"/>
      <c r="C6" s="795"/>
      <c r="D6" s="57">
        <f>Geraetedaten!B7</f>
        <v>5701.2195121951218</v>
      </c>
      <c r="E6" t="s">
        <v>28</v>
      </c>
      <c r="Q6" s="76"/>
      <c r="R6" s="76"/>
      <c r="S6" s="76"/>
      <c r="AN6" s="116" t="s">
        <v>210</v>
      </c>
      <c r="AO6" s="113" t="s">
        <v>211</v>
      </c>
      <c r="AP6" s="114"/>
      <c r="AQ6" s="114"/>
      <c r="AR6" s="114"/>
      <c r="AS6" s="115"/>
    </row>
    <row r="7" spans="1:45" s="3" customFormat="1" x14ac:dyDescent="0.2">
      <c r="Q7" s="13"/>
      <c r="R7" s="13"/>
      <c r="S7" s="13"/>
      <c r="V7" s="1053" t="s">
        <v>180</v>
      </c>
      <c r="W7" s="1054"/>
      <c r="X7" s="1054"/>
      <c r="Y7" s="1054"/>
      <c r="Z7" s="1054"/>
      <c r="AA7" s="1054"/>
      <c r="AB7" s="1055"/>
      <c r="AN7" s="116" t="s">
        <v>212</v>
      </c>
      <c r="AO7" s="113" t="s">
        <v>213</v>
      </c>
      <c r="AP7" s="114"/>
      <c r="AQ7" s="114"/>
      <c r="AR7" s="114"/>
      <c r="AS7" s="115"/>
    </row>
    <row r="8" spans="1:45" x14ac:dyDescent="0.2">
      <c r="A8" s="13"/>
      <c r="B8" s="14"/>
      <c r="C8" s="6" t="s">
        <v>133</v>
      </c>
      <c r="D8" s="3"/>
      <c r="E8" s="6" t="s">
        <v>134</v>
      </c>
      <c r="F8" s="3"/>
      <c r="G8" s="55" t="s">
        <v>140</v>
      </c>
      <c r="H8" s="24"/>
      <c r="N8" s="3"/>
      <c r="O8" s="3"/>
      <c r="P8" s="3"/>
      <c r="Q8" s="13"/>
      <c r="R8" s="76"/>
      <c r="S8" s="76"/>
      <c r="AN8" s="116"/>
      <c r="AO8" s="113"/>
      <c r="AP8" s="114"/>
      <c r="AQ8" s="114"/>
      <c r="AR8" s="114"/>
      <c r="AS8" s="115"/>
    </row>
    <row r="9" spans="1:45" ht="13.5" x14ac:dyDescent="0.25">
      <c r="A9" s="3" t="s">
        <v>137</v>
      </c>
      <c r="B9" s="24"/>
      <c r="C9" s="20">
        <f>(Geraetedaten!B20*(Geraetedaten!B17+Geraetedaten!B21))/Geraetedaten!B7</f>
        <v>7200.0000000000009</v>
      </c>
      <c r="D9" s="24" t="s">
        <v>13</v>
      </c>
      <c r="E9" s="20">
        <f>G9-C9</f>
        <v>18000</v>
      </c>
      <c r="F9" s="24" t="s">
        <v>13</v>
      </c>
      <c r="G9" s="20">
        <f>Geraetedaten!B20</f>
        <v>25200</v>
      </c>
      <c r="H9" s="24" t="s">
        <v>13</v>
      </c>
      <c r="N9" s="3"/>
      <c r="O9" s="3"/>
      <c r="P9" s="3"/>
      <c r="Q9" s="13"/>
      <c r="R9" s="76"/>
      <c r="S9" s="76"/>
      <c r="W9" s="1"/>
      <c r="X9" s="1"/>
      <c r="Y9" s="1056" t="s">
        <v>0</v>
      </c>
      <c r="Z9" s="1057"/>
      <c r="AA9" s="1056" t="s">
        <v>45</v>
      </c>
      <c r="AB9" s="1057"/>
      <c r="AD9" t="s">
        <v>2</v>
      </c>
      <c r="AE9" s="1">
        <f>Geraetedaten!B154*10</f>
        <v>980.18000000000006</v>
      </c>
      <c r="AF9" t="s">
        <v>59</v>
      </c>
      <c r="AG9" t="s">
        <v>174</v>
      </c>
      <c r="AN9" s="116" t="s">
        <v>214</v>
      </c>
      <c r="AO9" s="113" t="s">
        <v>215</v>
      </c>
      <c r="AP9" s="114"/>
      <c r="AQ9" s="114"/>
      <c r="AR9" s="114"/>
      <c r="AS9" s="115"/>
    </row>
    <row r="10" spans="1:45" x14ac:dyDescent="0.2">
      <c r="N10" s="3"/>
      <c r="O10" s="3"/>
      <c r="P10" s="3"/>
      <c r="Q10" s="13"/>
      <c r="R10" s="76"/>
      <c r="S10" s="76"/>
      <c r="W10" s="7" t="s">
        <v>56</v>
      </c>
      <c r="X10" s="7" t="s">
        <v>57</v>
      </c>
      <c r="Y10" s="8" t="s">
        <v>6</v>
      </c>
      <c r="Z10" s="9" t="s">
        <v>5</v>
      </c>
      <c r="AA10" s="8" t="s">
        <v>6</v>
      </c>
      <c r="AB10" s="9" t="s">
        <v>5</v>
      </c>
      <c r="AD10" t="s">
        <v>3</v>
      </c>
      <c r="AE10" s="1">
        <f>Geraetedaten!B26*9.81/100</f>
        <v>1533.7554799999998</v>
      </c>
      <c r="AF10" t="s">
        <v>59</v>
      </c>
      <c r="AG10" t="s">
        <v>60</v>
      </c>
      <c r="AN10" s="116" t="s">
        <v>216</v>
      </c>
      <c r="AO10" s="113" t="s">
        <v>217</v>
      </c>
      <c r="AP10" s="114"/>
      <c r="AQ10" s="114"/>
      <c r="AR10" s="114"/>
      <c r="AS10" s="115"/>
    </row>
    <row r="11" spans="1:45" x14ac:dyDescent="0.2">
      <c r="D11" s="6"/>
      <c r="N11" s="3"/>
      <c r="O11" s="3"/>
      <c r="P11" s="3"/>
      <c r="Q11" s="13"/>
      <c r="R11" s="76"/>
      <c r="S11" s="76"/>
      <c r="V11" s="10" t="s">
        <v>46</v>
      </c>
      <c r="W11" s="11">
        <f>(Z11+A16*(Y11-Z11))</f>
        <v>-4228</v>
      </c>
      <c r="X11" s="11">
        <f>AB11+A16*(AA11-AB11)</f>
        <v>6186</v>
      </c>
      <c r="Y11" s="12">
        <f>Geraetedaten!B104</f>
        <v>-4228</v>
      </c>
      <c r="Z11" s="12">
        <f>Geraetedaten!B102</f>
        <v>-1152</v>
      </c>
      <c r="AA11" s="12">
        <f>Geraetedaten!B103</f>
        <v>6186</v>
      </c>
      <c r="AB11" s="12">
        <f>Geraetedaten!B101</f>
        <v>6128</v>
      </c>
      <c r="AD11" t="s">
        <v>307</v>
      </c>
      <c r="AE11" s="24">
        <f>Geraetedaten!B27</f>
        <v>4238.9881903056585</v>
      </c>
      <c r="AF11" t="s">
        <v>28</v>
      </c>
      <c r="AG11" t="s">
        <v>310</v>
      </c>
      <c r="AN11" s="116" t="s">
        <v>218</v>
      </c>
      <c r="AO11" s="113" t="s">
        <v>219</v>
      </c>
      <c r="AP11" s="114"/>
      <c r="AQ11" s="114"/>
      <c r="AR11" s="114"/>
      <c r="AS11" s="115"/>
    </row>
    <row r="12" spans="1:45" ht="13.5" x14ac:dyDescent="0.25">
      <c r="A12" s="13"/>
      <c r="B12" s="14"/>
      <c r="C12" s="75"/>
      <c r="D12" s="6"/>
      <c r="E12" s="75"/>
      <c r="F12" s="14"/>
      <c r="G12" s="75"/>
      <c r="H12" s="14"/>
      <c r="V12" s="10" t="s">
        <v>47</v>
      </c>
      <c r="W12" s="11">
        <f>(Z12+A28*(Y12-Z12))</f>
        <v>-1140</v>
      </c>
      <c r="X12" s="11">
        <f>AB12+A28*(AA12-AB12)</f>
        <v>-750</v>
      </c>
      <c r="Y12" s="12">
        <f>Geraetedaten!B109</f>
        <v>-4225</v>
      </c>
      <c r="Z12" s="12">
        <f>Geraetedaten!B107</f>
        <v>-1140</v>
      </c>
      <c r="AA12" s="12">
        <f>Geraetedaten!B108</f>
        <v>-750</v>
      </c>
      <c r="AB12" s="12">
        <f>Geraetedaten!B106</f>
        <v>-750</v>
      </c>
      <c r="AD12" t="s">
        <v>308</v>
      </c>
      <c r="AE12" s="1">
        <f>Geraetedaten!B86</f>
        <v>-33.057238032144035</v>
      </c>
      <c r="AF12" t="s">
        <v>28</v>
      </c>
      <c r="AG12" t="s">
        <v>309</v>
      </c>
      <c r="AN12" s="116" t="s">
        <v>220</v>
      </c>
      <c r="AO12" s="113" t="s">
        <v>221</v>
      </c>
      <c r="AP12" s="114"/>
      <c r="AQ12" s="114"/>
      <c r="AR12" s="114"/>
      <c r="AS12" s="115"/>
    </row>
    <row r="13" spans="1:45" ht="13.5" x14ac:dyDescent="0.25">
      <c r="A13" s="13"/>
      <c r="B13" s="14"/>
      <c r="C13" s="75"/>
      <c r="D13" s="6"/>
      <c r="E13" s="75"/>
      <c r="F13" s="14"/>
      <c r="G13" s="75"/>
      <c r="H13" s="14"/>
      <c r="V13" s="10" t="s">
        <v>48</v>
      </c>
      <c r="W13" s="11">
        <f>(Z13+G28*(Y13-Z13))</f>
        <v>4140</v>
      </c>
      <c r="X13" s="11">
        <f>AB13+G28*(AA13-AB13)</f>
        <v>-1075</v>
      </c>
      <c r="Y13" s="12">
        <f>Geraetedaten!B114</f>
        <v>4140</v>
      </c>
      <c r="Z13" s="12">
        <f>Geraetedaten!B112</f>
        <v>1055</v>
      </c>
      <c r="AA13" s="12">
        <f>Geraetedaten!B113</f>
        <v>-1075</v>
      </c>
      <c r="AB13" s="12">
        <f>Geraetedaten!B111</f>
        <v>-750</v>
      </c>
      <c r="AD13" t="s">
        <v>4</v>
      </c>
      <c r="AE13">
        <v>1</v>
      </c>
      <c r="AG13" t="s">
        <v>175</v>
      </c>
      <c r="AN13" s="116"/>
      <c r="AO13" s="113"/>
      <c r="AP13" s="114"/>
      <c r="AQ13" s="114"/>
      <c r="AR13" s="114"/>
      <c r="AS13" s="115"/>
    </row>
    <row r="14" spans="1:45" x14ac:dyDescent="0.2">
      <c r="A14" s="3"/>
      <c r="B14" s="24"/>
      <c r="C14" s="24"/>
      <c r="D14" s="6"/>
      <c r="E14" s="3"/>
      <c r="F14" s="3"/>
      <c r="V14" s="10" t="s">
        <v>49</v>
      </c>
      <c r="W14" s="11">
        <f>(Z14+G16*(Y14-Z14))</f>
        <v>1062</v>
      </c>
      <c r="X14" s="11">
        <f>AB14+G16*(AA14-AB14)</f>
        <v>6128</v>
      </c>
      <c r="Y14" s="12">
        <f>Geraetedaten!B119</f>
        <v>4143</v>
      </c>
      <c r="Z14" s="12">
        <f>Geraetedaten!B117</f>
        <v>1062</v>
      </c>
      <c r="AA14" s="12">
        <f>Geraetedaten!B118</f>
        <v>6290</v>
      </c>
      <c r="AB14" s="12">
        <f>Geraetedaten!B116</f>
        <v>6128</v>
      </c>
      <c r="AD14" t="s">
        <v>55</v>
      </c>
      <c r="AE14">
        <f>PI()/180</f>
        <v>1.7453292519943295E-2</v>
      </c>
      <c r="AF14" s="3"/>
      <c r="AG14" t="s">
        <v>176</v>
      </c>
      <c r="AN14" s="116" t="s">
        <v>222</v>
      </c>
      <c r="AO14" s="113" t="s">
        <v>223</v>
      </c>
      <c r="AP14" s="114"/>
      <c r="AQ14" s="114"/>
      <c r="AR14" s="114"/>
      <c r="AS14" s="115"/>
    </row>
    <row r="15" spans="1:45" x14ac:dyDescent="0.2">
      <c r="A15" s="5" t="s">
        <v>46</v>
      </c>
      <c r="G15" s="6" t="s">
        <v>49</v>
      </c>
      <c r="V15" s="13"/>
      <c r="W15" s="14">
        <f>W11</f>
        <v>-4228</v>
      </c>
      <c r="X15" s="14">
        <f>X11</f>
        <v>6186</v>
      </c>
      <c r="Y15" s="13"/>
      <c r="Z15" s="13"/>
      <c r="AA15" s="13"/>
      <c r="AB15" s="13"/>
      <c r="AD15" s="3" t="s">
        <v>164</v>
      </c>
      <c r="AE15" s="3">
        <f>Geraetedaten!B174</f>
        <v>400</v>
      </c>
      <c r="AF15" s="3" t="s">
        <v>14</v>
      </c>
      <c r="AG15" t="s">
        <v>177</v>
      </c>
      <c r="AN15" s="116" t="s">
        <v>224</v>
      </c>
      <c r="AO15" s="113" t="s">
        <v>225</v>
      </c>
      <c r="AP15" s="114"/>
      <c r="AQ15" s="114"/>
      <c r="AR15" s="114"/>
      <c r="AS15" s="115"/>
    </row>
    <row r="16" spans="1:45" x14ac:dyDescent="0.2">
      <c r="A16" s="56">
        <v>1</v>
      </c>
      <c r="G16" s="56">
        <v>0</v>
      </c>
      <c r="AD16" s="3" t="s">
        <v>70</v>
      </c>
      <c r="AE16">
        <f>Geraetedaten!B90/10000*Geraetedaten!B94*Geraetedaten!B91/1000/100</f>
        <v>29.946840000000002</v>
      </c>
      <c r="AF16" t="s">
        <v>75</v>
      </c>
      <c r="AG16" t="s">
        <v>178</v>
      </c>
      <c r="AN16" s="116" t="s">
        <v>226</v>
      </c>
      <c r="AO16" s="113" t="s">
        <v>227</v>
      </c>
      <c r="AP16" s="114"/>
      <c r="AQ16" s="114"/>
      <c r="AR16" s="114"/>
      <c r="AS16" s="115"/>
    </row>
    <row r="17" spans="1:46" x14ac:dyDescent="0.2">
      <c r="AD17" s="3" t="s">
        <v>71</v>
      </c>
      <c r="AE17">
        <f>Geraetedaten!B92/10000*Geraetedaten!B94*Geraetedaten!B93/1000/100</f>
        <v>63.548099999999998</v>
      </c>
      <c r="AF17" t="s">
        <v>75</v>
      </c>
      <c r="AG17" t="s">
        <v>179</v>
      </c>
      <c r="AN17" s="116" t="s">
        <v>228</v>
      </c>
      <c r="AO17" s="113" t="s">
        <v>229</v>
      </c>
      <c r="AP17" s="114"/>
      <c r="AQ17" s="114"/>
      <c r="AR17" s="114"/>
      <c r="AS17" s="115"/>
    </row>
    <row r="18" spans="1:46" x14ac:dyDescent="0.2">
      <c r="C18"/>
      <c r="D18"/>
      <c r="V18" s="1047" t="s">
        <v>247</v>
      </c>
      <c r="W18" s="1048"/>
      <c r="X18" s="1048"/>
      <c r="Y18" s="1048"/>
      <c r="Z18" s="123"/>
      <c r="AA18" s="124"/>
      <c r="AD18" s="3"/>
      <c r="AE18" s="3"/>
      <c r="AF18" s="3"/>
      <c r="AN18" s="116"/>
      <c r="AO18" s="113"/>
      <c r="AP18" s="114"/>
      <c r="AQ18" s="114"/>
      <c r="AR18" s="114"/>
      <c r="AS18" s="115"/>
    </row>
    <row r="19" spans="1:46" x14ac:dyDescent="0.2">
      <c r="C19"/>
      <c r="D19"/>
      <c r="V19" s="107" t="s">
        <v>280</v>
      </c>
      <c r="W19" s="105" t="str">
        <f>Geraetedaten!B122</f>
        <v>Nein</v>
      </c>
      <c r="X19" s="76"/>
      <c r="Y19" s="76"/>
      <c r="Z19" s="76"/>
      <c r="AA19" s="101"/>
      <c r="AD19" s="3"/>
      <c r="AF19" s="3"/>
      <c r="AN19" s="116" t="s">
        <v>230</v>
      </c>
      <c r="AO19" s="113" t="s">
        <v>231</v>
      </c>
      <c r="AP19" s="114"/>
      <c r="AQ19" s="114"/>
      <c r="AR19" s="114"/>
      <c r="AS19" s="115"/>
    </row>
    <row r="20" spans="1:46" x14ac:dyDescent="0.2">
      <c r="C20"/>
      <c r="D20"/>
      <c r="V20" s="140" t="s">
        <v>248</v>
      </c>
      <c r="W20" s="117">
        <f>IF($W$19="Ja",Geraetedaten!B123,0)</f>
        <v>0</v>
      </c>
      <c r="X20" s="118" t="s">
        <v>28</v>
      </c>
      <c r="Y20" s="140" t="s">
        <v>302</v>
      </c>
      <c r="Z20" s="117">
        <f>IF($W$19="Ja",Geraetedaten!B127,0)</f>
        <v>0</v>
      </c>
      <c r="AA20" s="118" t="s">
        <v>28</v>
      </c>
      <c r="AD20" s="3"/>
      <c r="AF20" s="3"/>
      <c r="AN20" s="116" t="s">
        <v>232</v>
      </c>
      <c r="AO20" s="113" t="s">
        <v>233</v>
      </c>
      <c r="AP20" s="114"/>
      <c r="AQ20" s="114"/>
      <c r="AR20" s="114"/>
      <c r="AS20" s="115"/>
    </row>
    <row r="21" spans="1:46" x14ac:dyDescent="0.2">
      <c r="A21" s="6" t="s">
        <v>196</v>
      </c>
      <c r="C21"/>
      <c r="D21"/>
      <c r="G21" s="6" t="s">
        <v>196</v>
      </c>
      <c r="V21" s="140" t="s">
        <v>261</v>
      </c>
      <c r="W21" s="117">
        <f>IF($W$19="Ja",Geraetedaten!B124,0)</f>
        <v>0</v>
      </c>
      <c r="X21" s="118" t="s">
        <v>28</v>
      </c>
      <c r="Y21" s="140" t="s">
        <v>303</v>
      </c>
      <c r="Z21" s="117">
        <f>IF($W$19="Ja",Geraetedaten!B128,0)</f>
        <v>0</v>
      </c>
      <c r="AA21" s="118" t="s">
        <v>28</v>
      </c>
      <c r="AD21" s="3"/>
      <c r="AE21" s="18"/>
      <c r="AF21" s="3"/>
      <c r="AN21" s="116"/>
      <c r="AO21" s="113"/>
      <c r="AP21" s="114"/>
      <c r="AQ21" s="114"/>
      <c r="AR21" s="114"/>
      <c r="AS21" s="115"/>
    </row>
    <row r="22" spans="1:46" x14ac:dyDescent="0.2">
      <c r="A22" s="17">
        <f>180+g_L</f>
        <v>246.00073188453595</v>
      </c>
      <c r="C22"/>
      <c r="D22"/>
      <c r="G22" s="17">
        <f>g_R</f>
        <v>66.861917956176583</v>
      </c>
      <c r="V22" s="140" t="s">
        <v>20</v>
      </c>
      <c r="W22" s="117">
        <f>IF($W$19="Ja",Geraetedaten!B125,0)</f>
        <v>0</v>
      </c>
      <c r="X22" s="118" t="s">
        <v>13</v>
      </c>
      <c r="Y22" s="142" t="s">
        <v>301</v>
      </c>
      <c r="Z22" s="117">
        <f>IF($W$19="Ja",W22*9.81/100,0)</f>
        <v>0</v>
      </c>
      <c r="AA22" s="118" t="s">
        <v>59</v>
      </c>
      <c r="AF22" s="3"/>
      <c r="AN22" s="116" t="s">
        <v>50</v>
      </c>
      <c r="AO22" s="113" t="s">
        <v>234</v>
      </c>
      <c r="AP22" s="114"/>
      <c r="AQ22" s="114"/>
      <c r="AR22" s="114"/>
      <c r="AS22" s="115"/>
    </row>
    <row r="23" spans="1:46" x14ac:dyDescent="0.2">
      <c r="A23" s="1"/>
      <c r="C23"/>
      <c r="D23"/>
      <c r="V23" s="141" t="s">
        <v>305</v>
      </c>
      <c r="W23" s="117">
        <f>IF($W$19="Ja",Geraetedaten!B126,0)</f>
        <v>0</v>
      </c>
      <c r="X23" s="118" t="s">
        <v>28</v>
      </c>
      <c r="Y23" s="141" t="s">
        <v>304</v>
      </c>
      <c r="Z23" s="117">
        <f>IF($W$19="Ja",Geraetedaten!B129,0)</f>
        <v>0</v>
      </c>
      <c r="AA23" s="118" t="s">
        <v>28</v>
      </c>
      <c r="AB23" s="3"/>
      <c r="AF23" s="3"/>
      <c r="AN23" s="112"/>
      <c r="AO23" s="113"/>
      <c r="AP23" s="114"/>
      <c r="AQ23" s="114"/>
      <c r="AR23" s="114"/>
      <c r="AS23" s="115"/>
    </row>
    <row r="24" spans="1:46" ht="12.75" customHeight="1" x14ac:dyDescent="0.2">
      <c r="A24" s="1"/>
      <c r="C24"/>
      <c r="D24"/>
      <c r="V24" s="125" t="s">
        <v>285</v>
      </c>
      <c r="AF24" s="3"/>
      <c r="AM24" s="101"/>
      <c r="AN24" s="1043" t="s">
        <v>306</v>
      </c>
      <c r="AO24" s="1044"/>
      <c r="AP24" s="1044"/>
      <c r="AQ24" s="1044"/>
      <c r="AR24" s="1044"/>
      <c r="AS24" s="115"/>
    </row>
    <row r="25" spans="1:46" x14ac:dyDescent="0.2">
      <c r="A25" s="1"/>
      <c r="C25"/>
      <c r="D25"/>
      <c r="AG25" s="18"/>
      <c r="AM25" s="101"/>
      <c r="AN25" s="1045"/>
      <c r="AO25" s="1046"/>
      <c r="AP25" s="1046"/>
      <c r="AQ25" s="1046"/>
      <c r="AR25" s="1046"/>
      <c r="AS25" s="143"/>
      <c r="AT25" s="107"/>
    </row>
    <row r="26" spans="1:46" x14ac:dyDescent="0.2">
      <c r="A26" s="1"/>
      <c r="C26"/>
      <c r="D26"/>
      <c r="U26" s="76"/>
      <c r="V26" s="76"/>
      <c r="W26" s="76"/>
      <c r="X26" s="76"/>
      <c r="Y26" s="76"/>
      <c r="Z26" s="76"/>
      <c r="AA26" s="76"/>
      <c r="AB26" s="76"/>
      <c r="AC26" s="76"/>
      <c r="AD26" s="76"/>
      <c r="AE26" s="76"/>
      <c r="AF26" s="76"/>
      <c r="AG26" s="18"/>
      <c r="AH26" s="76"/>
      <c r="AI26" s="76"/>
      <c r="AJ26" s="76"/>
      <c r="AK26" s="76"/>
      <c r="AL26" s="76"/>
      <c r="AM26" s="76"/>
      <c r="AN26" s="76"/>
      <c r="AS26"/>
    </row>
    <row r="27" spans="1:46" ht="13.5" thickBot="1" x14ac:dyDescent="0.25">
      <c r="A27" s="5" t="s">
        <v>47</v>
      </c>
      <c r="C27"/>
      <c r="D27"/>
      <c r="G27" s="6" t="s">
        <v>48</v>
      </c>
      <c r="T27" s="76"/>
      <c r="U27" s="139"/>
      <c r="V27" s="139"/>
      <c r="W27" s="139"/>
      <c r="X27" s="139"/>
      <c r="Y27" s="139"/>
      <c r="Z27" s="139"/>
      <c r="AA27" s="139"/>
      <c r="AB27" s="139"/>
      <c r="AC27" s="139"/>
      <c r="AD27" s="139"/>
      <c r="AE27" s="139"/>
      <c r="AF27" s="139"/>
      <c r="AG27" s="139"/>
      <c r="AH27" s="139"/>
      <c r="AI27" s="139"/>
      <c r="AJ27" s="139"/>
      <c r="AK27" s="13"/>
      <c r="AL27" s="6"/>
      <c r="AM27" s="6"/>
      <c r="AN27" s="6"/>
      <c r="AO27" s="6"/>
      <c r="AP27"/>
      <c r="AQ27"/>
      <c r="AR27"/>
      <c r="AS27"/>
    </row>
    <row r="28" spans="1:46" x14ac:dyDescent="0.2">
      <c r="A28" s="56">
        <v>0</v>
      </c>
      <c r="C28"/>
      <c r="D28"/>
      <c r="G28" s="56">
        <v>1</v>
      </c>
      <c r="T28" s="134"/>
      <c r="U28" s="1026" t="s">
        <v>249</v>
      </c>
      <c r="V28" s="1027"/>
      <c r="W28" s="1027" t="s">
        <v>250</v>
      </c>
      <c r="X28" s="1042"/>
      <c r="Y28" s="1026" t="s">
        <v>241</v>
      </c>
      <c r="Z28" s="1027"/>
      <c r="AA28" s="1027" t="s">
        <v>242</v>
      </c>
      <c r="AB28" s="1042"/>
      <c r="AC28" s="1026" t="s">
        <v>238</v>
      </c>
      <c r="AD28" s="1027"/>
      <c r="AE28" s="1027" t="s">
        <v>239</v>
      </c>
      <c r="AF28" s="1042"/>
      <c r="AG28" s="1026" t="s">
        <v>235</v>
      </c>
      <c r="AH28" s="1027"/>
      <c r="AI28" s="1027" t="s">
        <v>236</v>
      </c>
      <c r="AJ28" s="1042"/>
      <c r="AL28" s="6"/>
      <c r="AM28" s="6"/>
      <c r="AN28" s="6"/>
      <c r="AO28" s="6"/>
      <c r="AP28"/>
      <c r="AQ28"/>
      <c r="AR28"/>
      <c r="AS28"/>
    </row>
    <row r="29" spans="1:46" x14ac:dyDescent="0.2">
      <c r="C29"/>
      <c r="D29"/>
      <c r="T29" s="134"/>
      <c r="U29" s="1038">
        <f>IF(HL_Z-VL_Z=0,0,DEGREES(ATAN((HL_X-VL_X)/(HL_Z-VL_Z))))</f>
        <v>-66.000731884535952</v>
      </c>
      <c r="V29" s="1039"/>
      <c r="W29" s="1040">
        <f>IF(U29&lt;0,ABS(U29),IF(U29=0,90,180-U29))</f>
        <v>66.000731884535952</v>
      </c>
      <c r="X29" s="1041"/>
      <c r="Y29" s="1038">
        <f>IF(HR_X-HL_X=0,90,DEGREES(ATAN((HR_Z-HL_Z)/(HR_X-HL_X))))</f>
        <v>-86.47771504427503</v>
      </c>
      <c r="Z29" s="1039"/>
      <c r="AA29" s="1040">
        <f>IF(Y29&lt;0,180+Y29,Y29)</f>
        <v>93.52228495572497</v>
      </c>
      <c r="AB29" s="1041"/>
      <c r="AC29" s="1038">
        <f>IF(VR_Z-HR_Z=0,0,DEGREES(ATAN((VR_X-HR_X)/(VR_Z-HR_Z))))</f>
        <v>-66.861917956176583</v>
      </c>
      <c r="AD29" s="1039"/>
      <c r="AE29" s="1040">
        <f>IF(AC29&lt;0,ABS(AC29),IF(AC29=0,90,180-AC29))</f>
        <v>66.861917956176583</v>
      </c>
      <c r="AF29" s="1041"/>
      <c r="AG29" s="1038">
        <f>IF(VL_X-VR_X=0,90,DEGREES(ATAN((VL_Z-VR_Z)/(VL_X-VR_X))))</f>
        <v>-89.371829478016551</v>
      </c>
      <c r="AH29" s="1039"/>
      <c r="AI29" s="1040">
        <f>IF(AG29&lt;0,180+AG29,AG29)</f>
        <v>90.628170521983449</v>
      </c>
      <c r="AJ29" s="1041"/>
      <c r="AL29" s="6"/>
      <c r="AM29" s="6"/>
      <c r="AN29" s="6"/>
      <c r="AO29" s="6"/>
      <c r="AP29"/>
      <c r="AQ29"/>
      <c r="AR29"/>
      <c r="AS29"/>
    </row>
    <row r="30" spans="1:46" x14ac:dyDescent="0.2">
      <c r="C30"/>
      <c r="D30"/>
      <c r="T30" s="134"/>
      <c r="U30" s="99"/>
      <c r="V30" s="99"/>
      <c r="W30" s="99"/>
      <c r="X30" s="132"/>
      <c r="Y30" s="99"/>
      <c r="Z30" s="99"/>
      <c r="AA30" s="99"/>
      <c r="AB30" s="130"/>
      <c r="AC30" s="133"/>
      <c r="AD30" s="99"/>
      <c r="AE30" s="99"/>
      <c r="AF30" s="132"/>
      <c r="AG30" s="99"/>
      <c r="AH30" s="99"/>
      <c r="AI30" s="99"/>
      <c r="AJ30" s="132"/>
      <c r="AL30" s="6"/>
      <c r="AM30" s="6"/>
      <c r="AN30" s="6"/>
      <c r="AO30" s="6"/>
      <c r="AP30"/>
      <c r="AQ30"/>
      <c r="AR30"/>
      <c r="AS30"/>
    </row>
    <row r="31" spans="1:46" x14ac:dyDescent="0.2">
      <c r="C31"/>
      <c r="D31" s="6"/>
      <c r="T31" s="134"/>
      <c r="U31" s="1049" t="s">
        <v>251</v>
      </c>
      <c r="V31" s="1050"/>
      <c r="W31" s="1050" t="s">
        <v>252</v>
      </c>
      <c r="X31" s="1051"/>
      <c r="Y31" s="1049" t="s">
        <v>243</v>
      </c>
      <c r="Z31" s="1050"/>
      <c r="AA31" s="1050" t="s">
        <v>269</v>
      </c>
      <c r="AB31" s="1051"/>
      <c r="AC31" s="1049" t="s">
        <v>240</v>
      </c>
      <c r="AD31" s="1050"/>
      <c r="AE31" s="1050" t="s">
        <v>268</v>
      </c>
      <c r="AF31" s="1051"/>
      <c r="AG31" s="1049" t="s">
        <v>237</v>
      </c>
      <c r="AH31" s="1050"/>
      <c r="AI31" s="1050" t="s">
        <v>270</v>
      </c>
      <c r="AJ31" s="1051"/>
      <c r="AL31" s="6"/>
      <c r="AM31" s="6"/>
      <c r="AN31" s="6"/>
      <c r="AO31" s="6"/>
      <c r="AP31"/>
      <c r="AQ31"/>
      <c r="AR31"/>
      <c r="AS31"/>
    </row>
    <row r="32" spans="1:46" x14ac:dyDescent="0.2">
      <c r="A32" s="1"/>
      <c r="C32"/>
      <c r="D32" s="79"/>
      <c r="T32" s="134"/>
      <c r="U32" s="1038">
        <f>(SIN(RADIANS(W29)))*(((VL_Z-HL_Z)/(VL_X-HL_X))*(HL_X)-HL_Z)</f>
        <v>1346.4914747781525</v>
      </c>
      <c r="V32" s="1039"/>
      <c r="W32" s="1039">
        <f>SIN(RADIANS(W29))*(((VL_Z-HL_Z)/(VL_X-HL_X))*(-SPG_X+HL_X)-HL_Z+SPG_Z)</f>
        <v>3040.3943731770355</v>
      </c>
      <c r="X32" s="1052"/>
      <c r="Y32" s="1038">
        <f>(SIN(RADIANS(AA29)))*(((HL_X-HR_X)/(HL_Z-HR_Z))*(HR_Z)-HR_X)</f>
        <v>818.62113479844345</v>
      </c>
      <c r="Z32" s="1039"/>
      <c r="AA32" s="1039">
        <f>SIN(RADIANS(AA29))*(((HL_X-HR_X)/(HL_Z-HR_Z))*(-SPG_Z+HR_Z)-HR_X+SPG_X)</f>
        <v>5047.5708551860707</v>
      </c>
      <c r="AB32" s="1052"/>
      <c r="AC32" s="1038">
        <f>(SIN(RADIANS(AE29)))*(((HR_Z-VR_Z)/(HR_X-VR_X))*(-VR_X)+VR_Z)</f>
        <v>3384.56104615708</v>
      </c>
      <c r="AD32" s="1039"/>
      <c r="AE32" s="1039">
        <f>SIN(RADIANS(AE29))*(((HR_Z-VR_Z)/(HR_X-VR_X))*(SPG_X-VR_X)+VR_Z-SPG_Z)</f>
        <v>1749.2555683565688</v>
      </c>
      <c r="AF32" s="1052"/>
      <c r="AG32" s="1038">
        <f>(SIN(RADIANS(AI29)))*(((VR_X-VL_X)/(VR_Z-VL_Z))*(-VL_Z)+VL_X)</f>
        <v>6139.2748628683721</v>
      </c>
      <c r="AH32" s="1039"/>
      <c r="AI32" s="1039">
        <f>SIN(RADIANS(AI29))*(((VR_X-VL_X)/(VR_Z-VL_Z))*(SPG_Z-VL_Z)+VL_X-SPG_X)</f>
        <v>1900.9038568771468</v>
      </c>
      <c r="AJ32" s="1052"/>
      <c r="AL32" s="6"/>
      <c r="AM32" s="6"/>
      <c r="AN32" s="6"/>
      <c r="AO32" s="6"/>
      <c r="AP32"/>
      <c r="AQ32"/>
      <c r="AR32"/>
      <c r="AS32"/>
    </row>
    <row r="33" spans="1:47" x14ac:dyDescent="0.2">
      <c r="A33" s="1"/>
      <c r="C33"/>
      <c r="D33"/>
      <c r="T33" s="134"/>
      <c r="U33" s="99"/>
      <c r="V33" s="99"/>
      <c r="W33" s="99"/>
      <c r="X33" s="130"/>
      <c r="Y33" s="99"/>
      <c r="Z33" s="99"/>
      <c r="AA33" s="99"/>
      <c r="AB33" s="130"/>
      <c r="AC33" s="99"/>
      <c r="AD33" s="99"/>
      <c r="AE33" s="99"/>
      <c r="AF33" s="130"/>
      <c r="AG33" s="99"/>
      <c r="AH33" s="99"/>
      <c r="AI33" s="99"/>
      <c r="AJ33" s="138"/>
      <c r="AL33" s="6"/>
      <c r="AM33" s="6"/>
      <c r="AN33" s="6"/>
      <c r="AO33" s="6"/>
      <c r="AP33"/>
      <c r="AQ33"/>
      <c r="AR33"/>
      <c r="AS33"/>
    </row>
    <row r="34" spans="1:47" s="65" customFormat="1" ht="15" customHeight="1" thickBot="1" x14ac:dyDescent="0.3">
      <c r="A34" s="1020" t="s">
        <v>159</v>
      </c>
      <c r="B34" s="1020"/>
      <c r="D34" s="66"/>
      <c r="E34" s="66"/>
      <c r="F34" s="66"/>
      <c r="G34" s="66"/>
      <c r="H34"/>
      <c r="I34" s="66"/>
      <c r="J34" s="126"/>
      <c r="P34" s="20">
        <f>MAX(P39:P400)</f>
        <v>266.70595973625598</v>
      </c>
      <c r="Q34" s="127"/>
      <c r="T34" s="135"/>
      <c r="U34" s="100"/>
      <c r="V34" s="100"/>
      <c r="W34" s="100"/>
      <c r="X34" s="131"/>
      <c r="Y34" s="100"/>
      <c r="Z34" s="100"/>
      <c r="AA34" s="100"/>
      <c r="AB34" s="131"/>
      <c r="AC34" s="100"/>
      <c r="AD34" s="100"/>
      <c r="AE34" s="100"/>
      <c r="AF34" s="131"/>
      <c r="AG34" s="100"/>
      <c r="AH34" s="100"/>
      <c r="AI34" s="100"/>
      <c r="AJ34" s="131"/>
      <c r="AL34" s="94"/>
      <c r="AM34" s="94"/>
      <c r="AN34" s="94"/>
      <c r="AO34" s="94"/>
    </row>
    <row r="35" spans="1:47" s="65" customFormat="1" ht="15" customHeight="1" thickBot="1" x14ac:dyDescent="0.25">
      <c r="A35" s="1031" t="s">
        <v>173</v>
      </c>
      <c r="B35" s="1032"/>
      <c r="C35" s="1021" t="s">
        <v>183</v>
      </c>
      <c r="D35" s="1033" t="s">
        <v>182</v>
      </c>
      <c r="E35" s="1033"/>
      <c r="F35" s="1033"/>
      <c r="G35" s="1033"/>
      <c r="H35" s="1033"/>
      <c r="I35" s="1035" t="s">
        <v>277</v>
      </c>
      <c r="J35" s="1037" t="s">
        <v>161</v>
      </c>
      <c r="K35" s="1037"/>
      <c r="L35" s="1037"/>
      <c r="M35" s="1037"/>
      <c r="N35" s="1021" t="s">
        <v>184</v>
      </c>
      <c r="O35" s="1021" t="s">
        <v>185</v>
      </c>
      <c r="P35" s="1021" t="s">
        <v>186</v>
      </c>
      <c r="Q35" s="1023" t="s">
        <v>166</v>
      </c>
      <c r="R35" s="1024"/>
      <c r="S35" s="1024"/>
      <c r="T35" s="1025"/>
      <c r="U35" s="1028" t="s">
        <v>51</v>
      </c>
      <c r="V35" s="1029"/>
      <c r="W35" s="1029"/>
      <c r="X35" s="1030"/>
      <c r="Y35" s="1028" t="s">
        <v>52</v>
      </c>
      <c r="Z35" s="1029"/>
      <c r="AA35" s="1029"/>
      <c r="AB35" s="1030"/>
      <c r="AC35" s="1028" t="s">
        <v>53</v>
      </c>
      <c r="AD35" s="1029"/>
      <c r="AE35" s="1029"/>
      <c r="AF35" s="1030"/>
      <c r="AG35" s="1028" t="s">
        <v>54</v>
      </c>
      <c r="AH35" s="1029"/>
      <c r="AI35" s="1029"/>
      <c r="AJ35" s="1030"/>
      <c r="AK35" s="69"/>
      <c r="AL35" s="1028" t="s">
        <v>274</v>
      </c>
      <c r="AM35" s="1029"/>
      <c r="AN35" s="1029"/>
      <c r="AO35" s="1030"/>
      <c r="AP35" s="70"/>
      <c r="AQ35" s="1028" t="s">
        <v>287</v>
      </c>
      <c r="AR35" s="1029"/>
      <c r="AS35" s="1029"/>
      <c r="AT35" s="1029"/>
      <c r="AU35" s="1030"/>
    </row>
    <row r="36" spans="1:47" s="65" customFormat="1" ht="15" customHeight="1" x14ac:dyDescent="0.2">
      <c r="A36" s="71" t="s">
        <v>50</v>
      </c>
      <c r="B36" s="72" t="s">
        <v>1</v>
      </c>
      <c r="C36" s="1034"/>
      <c r="D36" s="73" t="s">
        <v>167</v>
      </c>
      <c r="E36" s="74" t="s">
        <v>168</v>
      </c>
      <c r="F36" s="74" t="s">
        <v>169</v>
      </c>
      <c r="G36" s="74" t="s">
        <v>170</v>
      </c>
      <c r="H36" s="72" t="s">
        <v>61</v>
      </c>
      <c r="I36" s="1036"/>
      <c r="J36" s="67" t="s">
        <v>162</v>
      </c>
      <c r="K36" s="71" t="s">
        <v>163</v>
      </c>
      <c r="L36" s="71" t="s">
        <v>171</v>
      </c>
      <c r="M36" s="68" t="s">
        <v>172</v>
      </c>
      <c r="N36" s="1022"/>
      <c r="O36" s="1022"/>
      <c r="P36" s="1022"/>
      <c r="Q36" s="71" t="s">
        <v>278</v>
      </c>
      <c r="R36" s="67" t="s">
        <v>181</v>
      </c>
      <c r="S36" s="71" t="s">
        <v>165</v>
      </c>
      <c r="T36" s="89" t="s">
        <v>58</v>
      </c>
      <c r="U36" s="92" t="s">
        <v>273</v>
      </c>
      <c r="V36" s="91" t="s">
        <v>256</v>
      </c>
      <c r="W36" s="91" t="s">
        <v>257</v>
      </c>
      <c r="X36" s="93" t="s">
        <v>266</v>
      </c>
      <c r="Y36" s="92" t="s">
        <v>272</v>
      </c>
      <c r="Z36" s="91" t="s">
        <v>255</v>
      </c>
      <c r="AA36" s="91" t="s">
        <v>258</v>
      </c>
      <c r="AB36" s="93" t="s">
        <v>265</v>
      </c>
      <c r="AC36" s="92" t="s">
        <v>271</v>
      </c>
      <c r="AD36" s="91" t="s">
        <v>253</v>
      </c>
      <c r="AE36" s="91" t="s">
        <v>259</v>
      </c>
      <c r="AF36" s="93" t="s">
        <v>264</v>
      </c>
      <c r="AG36" s="92" t="s">
        <v>267</v>
      </c>
      <c r="AH36" s="91" t="s">
        <v>254</v>
      </c>
      <c r="AI36" s="91" t="s">
        <v>260</v>
      </c>
      <c r="AJ36" s="136" t="s">
        <v>262</v>
      </c>
      <c r="AL36" s="94" t="s">
        <v>244</v>
      </c>
      <c r="AM36" s="94" t="s">
        <v>245</v>
      </c>
      <c r="AN36" s="94" t="s">
        <v>246</v>
      </c>
      <c r="AO36" s="94" t="s">
        <v>263</v>
      </c>
      <c r="AQ36" s="94" t="s">
        <v>297</v>
      </c>
      <c r="AR36" s="94" t="s">
        <v>298</v>
      </c>
      <c r="AS36" s="94" t="s">
        <v>288</v>
      </c>
      <c r="AT36" s="94" t="s">
        <v>289</v>
      </c>
      <c r="AU36" s="94" t="s">
        <v>296</v>
      </c>
    </row>
    <row r="37" spans="1:47" s="3" customFormat="1" ht="13.5" x14ac:dyDescent="0.25">
      <c r="A37" s="59" t="s">
        <v>76</v>
      </c>
      <c r="B37" s="60"/>
      <c r="C37" s="63"/>
      <c r="D37" s="60"/>
      <c r="E37" s="60"/>
      <c r="F37" s="60"/>
      <c r="G37" s="60"/>
      <c r="H37" s="60"/>
      <c r="I37" s="64"/>
      <c r="J37" s="22"/>
      <c r="K37" s="22"/>
      <c r="L37" s="22"/>
      <c r="M37" s="22"/>
      <c r="N37" s="62"/>
      <c r="O37" s="62"/>
      <c r="P37" s="62"/>
      <c r="Q37" s="62"/>
      <c r="R37" s="61"/>
      <c r="S37" s="61">
        <f>Geraetedaten!B175</f>
        <v>41.1</v>
      </c>
      <c r="T37" s="87">
        <f>Geraetedaten!B175</f>
        <v>41.1</v>
      </c>
      <c r="U37" s="119" t="s">
        <v>75</v>
      </c>
      <c r="V37" s="120" t="s">
        <v>28</v>
      </c>
      <c r="W37" s="120" t="s">
        <v>28</v>
      </c>
      <c r="X37" s="128" t="s">
        <v>28</v>
      </c>
      <c r="Y37" s="129" t="s">
        <v>75</v>
      </c>
      <c r="Z37" s="120" t="s">
        <v>28</v>
      </c>
      <c r="AA37" s="120" t="s">
        <v>28</v>
      </c>
      <c r="AB37" s="128" t="s">
        <v>28</v>
      </c>
      <c r="AC37" s="129" t="s">
        <v>75</v>
      </c>
      <c r="AD37" s="120" t="s">
        <v>28</v>
      </c>
      <c r="AE37" s="120" t="s">
        <v>28</v>
      </c>
      <c r="AF37" s="128" t="s">
        <v>28</v>
      </c>
      <c r="AG37" s="129" t="s">
        <v>75</v>
      </c>
      <c r="AH37" s="120" t="s">
        <v>28</v>
      </c>
      <c r="AI37" s="120" t="s">
        <v>28</v>
      </c>
      <c r="AJ37" s="137" t="s">
        <v>28</v>
      </c>
      <c r="AK37" s="121"/>
      <c r="AL37" s="122" t="s">
        <v>28</v>
      </c>
      <c r="AM37" s="122" t="s">
        <v>28</v>
      </c>
      <c r="AN37" s="122" t="s">
        <v>28</v>
      </c>
      <c r="AO37" s="122" t="s">
        <v>28</v>
      </c>
      <c r="AP37" s="121"/>
      <c r="AQ37" s="122" t="s">
        <v>299</v>
      </c>
      <c r="AR37" s="122" t="s">
        <v>299</v>
      </c>
      <c r="AS37" s="122" t="s">
        <v>300</v>
      </c>
      <c r="AT37" s="122" t="s">
        <v>300</v>
      </c>
      <c r="AU37" s="122" t="s">
        <v>75</v>
      </c>
    </row>
    <row r="38" spans="1:47" s="3" customFormat="1" ht="13.5" x14ac:dyDescent="0.25">
      <c r="A38" s="59" t="s">
        <v>76</v>
      </c>
      <c r="B38" s="60"/>
      <c r="C38" s="22"/>
      <c r="D38" s="60"/>
      <c r="E38" s="60"/>
      <c r="F38" s="60"/>
      <c r="G38" s="60"/>
      <c r="H38" s="60"/>
      <c r="I38" s="60"/>
      <c r="J38" s="22"/>
      <c r="K38" s="22"/>
      <c r="L38" s="22"/>
      <c r="M38" s="22"/>
      <c r="N38" s="61"/>
      <c r="O38" s="61"/>
      <c r="P38" s="22"/>
      <c r="Q38" s="22"/>
      <c r="R38" s="61"/>
      <c r="S38" s="61">
        <f>Geraetedaten!B175</f>
        <v>41.1</v>
      </c>
      <c r="T38" s="87">
        <f>Geraetedaten!B175*(-1)</f>
        <v>-41.1</v>
      </c>
      <c r="U38" s="86"/>
      <c r="V38" s="85"/>
      <c r="W38" s="85"/>
      <c r="X38" s="90"/>
      <c r="Y38" s="86"/>
      <c r="Z38" s="85"/>
      <c r="AA38" s="85"/>
      <c r="AB38" s="90"/>
      <c r="AC38" s="86"/>
      <c r="AD38" s="85"/>
      <c r="AE38" s="85"/>
      <c r="AF38" s="90"/>
      <c r="AG38" s="86"/>
      <c r="AH38" s="85"/>
      <c r="AI38" s="85"/>
      <c r="AJ38" s="90"/>
      <c r="AL38" s="55"/>
      <c r="AM38" s="55"/>
      <c r="AN38" s="55"/>
      <c r="AO38" s="55"/>
    </row>
    <row r="39" spans="1:47" ht="13.5" x14ac:dyDescent="0.25">
      <c r="A39" s="16">
        <v>0</v>
      </c>
      <c r="B39" s="16">
        <f t="shared" ref="B39:B70" si="0">360-A39+90</f>
        <v>450</v>
      </c>
      <c r="C39" s="19">
        <f t="shared" ref="C39:C70" si="1">$AE$16*ABS(COS(RADIANS(A39)))+$AE$17*ABS(SIN(RADIANS(A39)))+AU39</f>
        <v>29.946840000000002</v>
      </c>
      <c r="D39" s="17">
        <f t="shared" ref="D39:D70" si="2">IF(ISNUMBER(U39),U39-C39,"unendlich")</f>
        <v>-14740.19562</v>
      </c>
      <c r="E39" s="17">
        <f t="shared" ref="E39:E70" si="3">IF(ISNUMBER(Y39),Y39-C39,"unendlich")</f>
        <v>-8590.2529700000014</v>
      </c>
      <c r="F39" s="17">
        <f t="shared" ref="F39:F70" si="4">IF(ISNUMBER(AC39),AC39-C39,"unendlich")</f>
        <v>15240.275469999999</v>
      </c>
      <c r="G39" s="17">
        <f t="shared" ref="G39:G70" si="5">IF(ISNUMBER(AG39),AG39-C39,"unendlich")</f>
        <v>8903.70622</v>
      </c>
      <c r="H39" s="17">
        <f>SMALL(($U39,$Y39,$AC39,$AG39),COUNTIF(D39:G39,"&lt;0")+1)-C39</f>
        <v>8903.70622</v>
      </c>
      <c r="I39" s="17">
        <f t="shared" ref="I39:I70" si="6">IF(H39+C39=U39,W39,IF(H39+C39=Y39,AA39,IF(H39+C39=AC39,AE39,IF(H39+C39=AG39,AI39,"???"))))</f>
        <v>6139.6438563327029</v>
      </c>
      <c r="J39" s="20">
        <f>(Geraetedaten!$B$152+(Geraetedaten!$B$153*(Geraetedaten!$B$18+d_y_Sw)/1000))*10</f>
        <v>6051.0442000000003</v>
      </c>
      <c r="K39" s="20">
        <f>(Geraetedaten!$B$165+(Geraetedaten!$B$166*(Geraetedaten!$B$18+d_y_Sw)/1000))*10</f>
        <v>10816.164000000001</v>
      </c>
      <c r="L39" s="20">
        <f>(Geraetedaten!$B$158+(Geraetedaten!$B$159*(Geraetedaten!$B$18+d_y_Sw)/1000)-(Geraetedaten!$B$160*I39/1000))*10</f>
        <v>151.31651601512274</v>
      </c>
      <c r="M39" s="20">
        <f>(Geraetedaten!$B$171+(Geraetedaten!$B$172*(Geraetedaten!$B$18+d_y_Sw)/1000)-(Geraetedaten!$B$173*I39/1000))*10</f>
        <v>607.83191133459445</v>
      </c>
      <c r="N39" s="20">
        <f>IF((H39-J39)/(K39-J39)*(Geraetedaten!$B$174-Geraetedaten!$B$161)&lt;Geraetedaten!$B$174,(H39-J39)/(K39-J39)*(Geraetedaten!$B$174-Geraetedaten!$B$161),Geraetedaten!$B$174)</f>
        <v>239.46193503886298</v>
      </c>
      <c r="O39" s="20">
        <f>N39/Geraetedaten!$B$174*(M39-L39)+L39+C39</f>
        <v>454.55850586070318</v>
      </c>
      <c r="P39" s="20">
        <f t="shared" ref="P39:P70" si="7">O39*100/9.81/(Q39-(I39/1000))</f>
        <v>153.51081308086148</v>
      </c>
      <c r="Q39" s="21">
        <f>(N39-Geraetedaten!$B$161)/(Geraetedaten!$B$174-Geraetedaten!$B$161)*(Geraetedaten!$B$175-Geraetedaten!$B$162)+Geraetedaten!$B$162</f>
        <v>36.323992567406172</v>
      </c>
      <c r="R39" s="21">
        <f t="shared" ref="R39:R70" si="8">SQRT((r_K_D/1000)^2+Q39^2-(2*(r_K_D/1000)*Q39*COS(RADIANS(2*A39))))</f>
        <v>36.323992567406172</v>
      </c>
      <c r="S39" s="21">
        <f t="shared" ref="S39:S70" si="9">R39*SIN(A39*Const_2)</f>
        <v>0</v>
      </c>
      <c r="T39" s="88">
        <f t="shared" ref="T39:T70" si="10">R39*COS(A39*Const_2)</f>
        <v>36.323992567406172</v>
      </c>
      <c r="U39" s="86">
        <f t="shared" ref="U39:U70" si="11">ROUND((F_S*r_Su_L-F_G*V39+F_SSw*X39)/(SIN(RADIANS(270+g_L-A39)))/1000,5)</f>
        <v>-14710.24878</v>
      </c>
      <c r="V39" s="85">
        <f t="shared" ref="V39:V70" si="12">(SIN(RADIANS(g_L)))*(((VL_Z-HL_Z)/(VL_X-HL_X))*(-HL_X+AM39)+HL_Z-AL39)</f>
        <v>-1346.4914747781525</v>
      </c>
      <c r="W39" s="85">
        <f t="shared" ref="W39:W70" si="13">V39/(SIN(RADIANS(180-g_L-(90-$A39))))</f>
        <v>-3310.5699481865286</v>
      </c>
      <c r="X39" s="90">
        <f t="shared" ref="X39:X70" si="14">SIN(RADIANS(g_L))*(((VL_Z-HL_Z)/(VL_X-HL_X))*(-AO39+HL_X)-HL_Z+AN39)</f>
        <v>1346.4914747781525</v>
      </c>
      <c r="Y39" s="86">
        <f t="shared" ref="Y39:Y70" si="15">ROUND((F_S*r_Su_H-F_G*Z39+F_SSw*AB39)/(SIN(RADIANS(180+g_H-A39)))/1000,5)</f>
        <v>-8560.3061300000008</v>
      </c>
      <c r="Z39" s="85">
        <f t="shared" ref="Z39:Z70" si="16">(SIN(RADIANS(g_H)))*(((HL_X-HR_X)/(HL_Z-HR_Z))*(-HR_Z+AL39)+HR_X-AM39)</f>
        <v>-818.62113479844345</v>
      </c>
      <c r="AA39" s="85">
        <f t="shared" ref="AA39:AA70" si="17">Z39/(SIN(RADIANS(g_H-$A39)))</f>
        <v>-820.1704545454545</v>
      </c>
      <c r="AB39" s="90">
        <f t="shared" ref="AB39:AB70" si="18">SIN(RADIANS(g_H))*(((HL_X-HR_X)/(HL_Z-HR_Z))*(-AN39+HR_Z)-HR_X+AO39)</f>
        <v>818.62113479844345</v>
      </c>
      <c r="AC39" s="86">
        <f t="shared" ref="AC39:AC70" si="19">ROUND((F_S*r_Su_R+F_G*AD39+F_SSw*AF39)/(SIN(RADIANS(90+g_R-A39)))/1000,5)</f>
        <v>15270.222309999999</v>
      </c>
      <c r="AD39" s="85">
        <f t="shared" ref="AD39:AD70" si="20">(SIN(RADIANS(g_R)))*(((HR_Z-VR_Z)/(HR_X-VR_X))*(-VR_X+AM39)+VR_Z-AL39)</f>
        <v>3384.56104615708</v>
      </c>
      <c r="AE39" s="85">
        <f t="shared" ref="AE39:AE70" si="21">AD39/(SIN(RADIANS(180-g_R-(90-$A39))))</f>
        <v>8613.2456140350896</v>
      </c>
      <c r="AF39" s="90">
        <f t="shared" ref="AF39:AF70" si="22">(SIN(RADIANS(g_R)))*(((HR_Z-VR_Z)/(HR_X-VR_X))*(-VR_X+AO39)+VR_Z-AN39)</f>
        <v>3384.56104615708</v>
      </c>
      <c r="AG39" s="86">
        <f t="shared" ref="AG39:AG70" si="23">ROUND((F_S*r_Su_V+F_G*AH39+F_SSw*AJ39)/(SIN(RADIANS(g_V-A39)))/1000,5)</f>
        <v>8933.6530600000006</v>
      </c>
      <c r="AH39" s="85">
        <f t="shared" ref="AH39:AH70" si="24">(SIN(RADIANS(g_V)))*(((VR_X-VL_X)/(VR_Z-VL_Z))*(AL39-VL_Z)+VL_X-AM39)</f>
        <v>6139.2748628683721</v>
      </c>
      <c r="AI39" s="85">
        <f t="shared" ref="AI39:AI70" si="25">AH39/(SIN(RADIANS(g_V-$A39)))</f>
        <v>6139.6438563327029</v>
      </c>
      <c r="AJ39" s="90">
        <f t="shared" ref="AJ39:AJ70" si="26">(SIN(RADIANS(g_V)))*(((VR_X-VL_X)/(VR_Z-VL_Z))*(-VL_Z+AN39)+VL_X-AO39)</f>
        <v>6139.2748628683721</v>
      </c>
      <c r="AL39" s="95">
        <f t="shared" ref="AL39:AL70" si="27">SIN(RADIANS(A39))*r_K_D</f>
        <v>0</v>
      </c>
      <c r="AM39" s="95">
        <f t="shared" ref="AM39:AM70" si="28">COS(RADIANS(A39-180))*r_K_D</f>
        <v>0</v>
      </c>
      <c r="AN39" s="95">
        <f t="shared" ref="AN39:AN70" si="29">SIN(RADIANS(A39))*r_K_SSw</f>
        <v>0</v>
      </c>
      <c r="AO39" s="95">
        <f t="shared" ref="AO39:AO70" si="30">-COS(RADIANS(A39))*r_K_SSw</f>
        <v>0</v>
      </c>
      <c r="AP39"/>
      <c r="AQ39" s="95">
        <f t="shared" ref="AQ39:AQ70" si="31">MAX(d_y_Sw*(r_K_D*ABS(COS(RADIANS($A39)))+_r1_Sw+_r2_Sw), 2*_r1_Sw*d_y_Sw)/1000000</f>
        <v>0</v>
      </c>
      <c r="AR39" s="95">
        <f t="shared" ref="AR39:AR70" si="32">MAX(d_y_Sw*(r_K_D*ABS(SIN(RADIANS($A39)))+_r1_Sw+_r2_Sw), 2*_r1_Sw*d_y_Sw)/1000000</f>
        <v>0</v>
      </c>
      <c r="AS39" s="95">
        <f>Geraetedaten!$B$94*ABS(SIN(RADIANS($A39)))</f>
        <v>0</v>
      </c>
      <c r="AT39" s="95">
        <f>Geraetedaten!$B$94*ABS(COS(RADIANS($A39)))</f>
        <v>154</v>
      </c>
      <c r="AU39" s="95">
        <f>((h_Aw_Sw+Geraetedaten!$B$18)/1000)*(AQ39*AS39+AR39*AT39)/100</f>
        <v>0</v>
      </c>
    </row>
    <row r="40" spans="1:47" ht="13.5" x14ac:dyDescent="0.25">
      <c r="A40" s="16">
        <v>1</v>
      </c>
      <c r="B40" s="16">
        <f t="shared" si="0"/>
        <v>449</v>
      </c>
      <c r="C40" s="19">
        <f t="shared" si="1"/>
        <v>31.051346220734363</v>
      </c>
      <c r="D40" s="17">
        <f t="shared" si="2"/>
        <v>-14188.483686220734</v>
      </c>
      <c r="E40" s="17">
        <f t="shared" si="3"/>
        <v>-8583.472626220735</v>
      </c>
      <c r="F40" s="17">
        <f t="shared" si="4"/>
        <v>14642.133063779265</v>
      </c>
      <c r="G40" s="17">
        <f t="shared" si="5"/>
        <v>8902.2529137792662</v>
      </c>
      <c r="H40" s="17">
        <f t="shared" ref="H40:H71" si="33">SMALL(D40:G40,COUNTIF(D40:G40,"&lt;0")+1)</f>
        <v>8902.2529137792662</v>
      </c>
      <c r="I40" s="17">
        <f t="shared" si="6"/>
        <v>6139.4041445737221</v>
      </c>
      <c r="J40" s="20">
        <f>(Geraetedaten!$B$152+(Geraetedaten!$B$153*(Geraetedaten!$B$18+d_y_Sw)/1000))*10</f>
        <v>6051.0442000000003</v>
      </c>
      <c r="K40" s="20">
        <f>(Geraetedaten!$B$165+(Geraetedaten!$B$166*(Geraetedaten!$B$18+d_y_Sw)/1000))*10</f>
        <v>10816.164000000001</v>
      </c>
      <c r="L40" s="20">
        <f>(Geraetedaten!$B$158+(Geraetedaten!$B$159*(Geraetedaten!$B$18+d_y_Sw)/1000)-(Geraetedaten!$B$160*I40/1000))*10</f>
        <v>151.33409407840878</v>
      </c>
      <c r="M40" s="20">
        <f>(Geraetedaten!$B$171+(Geraetedaten!$B$172*(Geraetedaten!$B$18+d_y_Sw)/1000)-(Geraetedaten!$B$173*I40/1000))*10</f>
        <v>607.84975547793294</v>
      </c>
      <c r="N40" s="20">
        <f>IF((H40-J40)/(K40-J40)*(Geraetedaten!$B$174-Geraetedaten!$B$161)&lt;Geraetedaten!$B$174,(H40-J40)/(K40-J40)*(Geraetedaten!$B$174-Geraetedaten!$B$161),Geraetedaten!$B$174)</f>
        <v>239.33993968246222</v>
      </c>
      <c r="O40" s="20">
        <f>N40/Geraetedaten!$B$174*(M40-L40)+L40+C40</f>
        <v>455.54151745779683</v>
      </c>
      <c r="P40" s="20">
        <f t="shared" si="7"/>
        <v>153.86006816906396</v>
      </c>
      <c r="Q40" s="21">
        <f>(N40-Geraetedaten!$B$161)/(Geraetedaten!$B$174-Geraetedaten!$B$161)*(Geraetedaten!$B$175-Geraetedaten!$B$162)+Geraetedaten!$B$162</f>
        <v>36.320363205553249</v>
      </c>
      <c r="R40" s="21">
        <f t="shared" si="8"/>
        <v>36.320363205553249</v>
      </c>
      <c r="S40" s="21">
        <f t="shared" si="9"/>
        <v>0.63387774061307278</v>
      </c>
      <c r="T40" s="88">
        <f t="shared" si="10"/>
        <v>36.314831438315416</v>
      </c>
      <c r="U40" s="86">
        <f t="shared" si="11"/>
        <v>-14157.432339999999</v>
      </c>
      <c r="V40" s="85">
        <f t="shared" si="12"/>
        <v>-1346.4914747781525</v>
      </c>
      <c r="W40" s="85">
        <f t="shared" si="13"/>
        <v>-3186.1575395610075</v>
      </c>
      <c r="X40" s="90">
        <f t="shared" si="14"/>
        <v>1346.4914747781525</v>
      </c>
      <c r="Y40" s="86">
        <f t="shared" si="15"/>
        <v>-8552.4212800000005</v>
      </c>
      <c r="Z40" s="85">
        <f t="shared" si="16"/>
        <v>-818.62113479844345</v>
      </c>
      <c r="AA40" s="85">
        <f t="shared" si="17"/>
        <v>-819.41500008229627</v>
      </c>
      <c r="AB40" s="90">
        <f t="shared" si="18"/>
        <v>818.62113479844345</v>
      </c>
      <c r="AC40" s="86">
        <f t="shared" si="19"/>
        <v>14673.18441</v>
      </c>
      <c r="AD40" s="85">
        <f t="shared" si="20"/>
        <v>3384.56104615708</v>
      </c>
      <c r="AE40" s="85">
        <f t="shared" si="21"/>
        <v>8276.4833855913475</v>
      </c>
      <c r="AF40" s="90">
        <f t="shared" si="22"/>
        <v>3384.56104615708</v>
      </c>
      <c r="AG40" s="86">
        <f t="shared" si="23"/>
        <v>8933.3042600000008</v>
      </c>
      <c r="AH40" s="85">
        <f t="shared" si="24"/>
        <v>6139.2748628683721</v>
      </c>
      <c r="AI40" s="85">
        <f t="shared" si="25"/>
        <v>6139.4041445737221</v>
      </c>
      <c r="AJ40" s="90">
        <f t="shared" si="26"/>
        <v>6139.2748628683721</v>
      </c>
      <c r="AL40" s="95">
        <f t="shared" si="27"/>
        <v>0</v>
      </c>
      <c r="AM40" s="95">
        <f t="shared" si="28"/>
        <v>0</v>
      </c>
      <c r="AN40" s="95">
        <f t="shared" si="29"/>
        <v>0</v>
      </c>
      <c r="AO40" s="95">
        <f t="shared" si="30"/>
        <v>0</v>
      </c>
      <c r="AP40"/>
      <c r="AQ40" s="95">
        <f t="shared" si="31"/>
        <v>0</v>
      </c>
      <c r="AR40" s="95">
        <f t="shared" si="32"/>
        <v>0</v>
      </c>
      <c r="AS40" s="95">
        <f>Geraetedaten!$B$94*ABS(SIN(RADIANS($A40)))</f>
        <v>2.6876705913416608</v>
      </c>
      <c r="AT40" s="95">
        <f>Geraetedaten!$B$94*ABS(COS(RADIANS($A40)))</f>
        <v>153.97654505408426</v>
      </c>
      <c r="AU40" s="95">
        <f>((h_Aw_Sw+Geraetedaten!$B$18)/1000)*(AQ40*AS40+AR40*AT40)/100</f>
        <v>0</v>
      </c>
    </row>
    <row r="41" spans="1:47" ht="13.5" x14ac:dyDescent="0.25">
      <c r="A41" s="16">
        <v>2</v>
      </c>
      <c r="B41" s="16">
        <f t="shared" si="0"/>
        <v>448</v>
      </c>
      <c r="C41" s="19">
        <f t="shared" si="1"/>
        <v>32.146393900608743</v>
      </c>
      <c r="D41" s="17">
        <f t="shared" si="2"/>
        <v>-13680.814403900607</v>
      </c>
      <c r="E41" s="17">
        <f t="shared" si="3"/>
        <v>-8579.2984839006076</v>
      </c>
      <c r="F41" s="17">
        <f t="shared" si="4"/>
        <v>14093.070426099392</v>
      </c>
      <c r="G41" s="17">
        <f t="shared" si="5"/>
        <v>8903.5308760993921</v>
      </c>
      <c r="H41" s="17">
        <f t="shared" si="33"/>
        <v>8903.5308760993921</v>
      </c>
      <c r="I41" s="17">
        <f t="shared" si="6"/>
        <v>6141.0349972497588</v>
      </c>
      <c r="J41" s="20">
        <f>(Geraetedaten!$B$152+(Geraetedaten!$B$153*(Geraetedaten!$B$18+d_y_Sw)/1000))*10</f>
        <v>6051.0442000000003</v>
      </c>
      <c r="K41" s="20">
        <f>(Geraetedaten!$B$165+(Geraetedaten!$B$166*(Geraetedaten!$B$18+d_y_Sw)/1000))*10</f>
        <v>10816.164000000001</v>
      </c>
      <c r="L41" s="20">
        <f>(Geraetedaten!$B$158+(Geraetedaten!$B$159*(Geraetedaten!$B$18+d_y_Sw)/1000)-(Geraetedaten!$B$160*I41/1000))*10</f>
        <v>151.21450365167505</v>
      </c>
      <c r="M41" s="20">
        <f>(Geraetedaten!$B$171+(Geraetedaten!$B$172*(Geraetedaten!$B$18+d_y_Sw)/1000)-(Geraetedaten!$B$173*I41/1000))*10</f>
        <v>607.72835480472872</v>
      </c>
      <c r="N41" s="20">
        <f>IF((H41-J41)/(K41-J41)*(Geraetedaten!$B$174-Geraetedaten!$B$161)&lt;Geraetedaten!$B$174,(H41-J41)/(K41-J41)*(Geraetedaten!$B$174-Geraetedaten!$B$161),Geraetedaten!$B$174)</f>
        <v>239.44721608882878</v>
      </c>
      <c r="O41" s="20">
        <f>N41/Geraetedaten!$B$174*(M41-L41)+L41+C41</f>
        <v>456.63832446375545</v>
      </c>
      <c r="P41" s="20">
        <f t="shared" si="7"/>
        <v>154.22254229327078</v>
      </c>
      <c r="Q41" s="21">
        <f>(N41-Geraetedaten!$B$161)/(Geraetedaten!$B$174-Geraetedaten!$B$161)*(Geraetedaten!$B$175-Geraetedaten!$B$162)+Geraetedaten!$B$162</f>
        <v>36.323554678642658</v>
      </c>
      <c r="R41" s="21">
        <f t="shared" si="8"/>
        <v>36.323554678642658</v>
      </c>
      <c r="S41" s="21">
        <f t="shared" si="9"/>
        <v>1.2676737767304032</v>
      </c>
      <c r="T41" s="88">
        <f t="shared" si="10"/>
        <v>36.30142735056203</v>
      </c>
      <c r="U41" s="86">
        <f t="shared" si="11"/>
        <v>-13648.668009999999</v>
      </c>
      <c r="V41" s="85">
        <f t="shared" si="12"/>
        <v>-1346.4914747781525</v>
      </c>
      <c r="W41" s="85">
        <f t="shared" si="13"/>
        <v>-3071.6591420367354</v>
      </c>
      <c r="X41" s="90">
        <f t="shared" si="14"/>
        <v>1346.4914747781525</v>
      </c>
      <c r="Y41" s="86">
        <f t="shared" si="15"/>
        <v>-8547.1520899999996</v>
      </c>
      <c r="Z41" s="85">
        <f t="shared" si="16"/>
        <v>-818.62113479844345</v>
      </c>
      <c r="AA41" s="85">
        <f t="shared" si="17"/>
        <v>-818.91015444058792</v>
      </c>
      <c r="AB41" s="90">
        <f t="shared" si="18"/>
        <v>818.62113479844345</v>
      </c>
      <c r="AC41" s="86">
        <f t="shared" si="19"/>
        <v>14125.21682</v>
      </c>
      <c r="AD41" s="85">
        <f t="shared" si="20"/>
        <v>3384.56104615708</v>
      </c>
      <c r="AE41" s="85">
        <f t="shared" si="21"/>
        <v>7967.399511469278</v>
      </c>
      <c r="AF41" s="90">
        <f t="shared" si="22"/>
        <v>3384.56104615708</v>
      </c>
      <c r="AG41" s="86">
        <f t="shared" si="23"/>
        <v>8935.6772700000001</v>
      </c>
      <c r="AH41" s="85">
        <f t="shared" si="24"/>
        <v>6139.2748628683721</v>
      </c>
      <c r="AI41" s="85">
        <f t="shared" si="25"/>
        <v>6141.0349972497588</v>
      </c>
      <c r="AJ41" s="90">
        <f t="shared" si="26"/>
        <v>6139.2748628683721</v>
      </c>
      <c r="AL41" s="95">
        <f t="shared" si="27"/>
        <v>0</v>
      </c>
      <c r="AM41" s="95">
        <f t="shared" si="28"/>
        <v>0</v>
      </c>
      <c r="AN41" s="95">
        <f t="shared" si="29"/>
        <v>0</v>
      </c>
      <c r="AO41" s="95">
        <f t="shared" si="30"/>
        <v>0</v>
      </c>
      <c r="AP41"/>
      <c r="AQ41" s="95">
        <f t="shared" si="31"/>
        <v>0</v>
      </c>
      <c r="AR41" s="95">
        <f t="shared" si="32"/>
        <v>0</v>
      </c>
      <c r="AS41" s="95">
        <f>Geraetedaten!$B$94*ABS(SIN(RADIANS($A41)))</f>
        <v>5.3745224921851493</v>
      </c>
      <c r="AT41" s="95">
        <f>Geraetedaten!$B$94*ABS(COS(RADIANS($A41)))</f>
        <v>153.90618736094075</v>
      </c>
      <c r="AU41" s="95">
        <f>((h_Aw_Sw+Geraetedaten!$B$18)/1000)*(AQ41*AS41+AR41*AT41)/100</f>
        <v>0</v>
      </c>
    </row>
    <row r="42" spans="1:47" ht="13.5" x14ac:dyDescent="0.25">
      <c r="A42" s="16">
        <v>3</v>
      </c>
      <c r="B42" s="16">
        <f t="shared" si="0"/>
        <v>447</v>
      </c>
      <c r="C42" s="19">
        <f t="shared" si="1"/>
        <v>33.231649477491885</v>
      </c>
      <c r="D42" s="17">
        <f t="shared" si="2"/>
        <v>-13212.308189477491</v>
      </c>
      <c r="E42" s="17">
        <f t="shared" si="3"/>
        <v>-8577.7221694774908</v>
      </c>
      <c r="F42" s="17">
        <f t="shared" si="4"/>
        <v>13587.471310522509</v>
      </c>
      <c r="G42" s="17">
        <f t="shared" si="5"/>
        <v>8907.5440705225083</v>
      </c>
      <c r="H42" s="17">
        <f t="shared" si="33"/>
        <v>8907.5440705225083</v>
      </c>
      <c r="I42" s="17">
        <f t="shared" si="6"/>
        <v>6144.5388999790493</v>
      </c>
      <c r="J42" s="20">
        <f>(Geraetedaten!$B$152+(Geraetedaten!$B$153*(Geraetedaten!$B$18+d_y_Sw)/1000))*10</f>
        <v>6051.0442000000003</v>
      </c>
      <c r="K42" s="20">
        <f>(Geraetedaten!$B$165+(Geraetedaten!$B$166*(Geraetedaten!$B$18+d_y_Sw)/1000))*10</f>
        <v>10816.164000000001</v>
      </c>
      <c r="L42" s="20">
        <f>(Geraetedaten!$B$158+(Geraetedaten!$B$159*(Geraetedaten!$B$18+d_y_Sw)/1000)-(Geraetedaten!$B$160*I42/1000))*10</f>
        <v>150.95756246453618</v>
      </c>
      <c r="M42" s="20">
        <f>(Geraetedaten!$B$171+(Geraetedaten!$B$172*(Geraetedaten!$B$18+d_y_Sw)/1000)-(Geraetedaten!$B$173*I42/1000))*10</f>
        <v>607.46752428556044</v>
      </c>
      <c r="N42" s="20">
        <f>IF((H42-J42)/(K42-J42)*(Geraetedaten!$B$174-Geraetedaten!$B$161)&lt;Geraetedaten!$B$174,(H42-J42)/(K42-J42)*(Geraetedaten!$B$174-Geraetedaten!$B$161),Geraetedaten!$B$174)</f>
        <v>239.78409697254688</v>
      </c>
      <c r="O42" s="20">
        <f>N42/Geraetedaten!$B$174*(M42-L42)+L42+C42</f>
        <v>457.84878432759348</v>
      </c>
      <c r="P42" s="20">
        <f t="shared" si="7"/>
        <v>154.5979689983244</v>
      </c>
      <c r="Q42" s="21">
        <f>(N42-Geraetedaten!$B$161)/(Geraetedaten!$B$174-Geraetedaten!$B$161)*(Geraetedaten!$B$175-Geraetedaten!$B$162)+Geraetedaten!$B$162</f>
        <v>36.333576884933272</v>
      </c>
      <c r="R42" s="21">
        <f t="shared" si="8"/>
        <v>36.333576884933272</v>
      </c>
      <c r="S42" s="21">
        <f t="shared" si="9"/>
        <v>1.9015524899995033</v>
      </c>
      <c r="T42" s="88">
        <f t="shared" si="10"/>
        <v>36.28378298057045</v>
      </c>
      <c r="U42" s="86">
        <f t="shared" si="11"/>
        <v>-13179.07654</v>
      </c>
      <c r="V42" s="85">
        <f t="shared" si="12"/>
        <v>-1346.4914747781525</v>
      </c>
      <c r="W42" s="85">
        <f t="shared" si="13"/>
        <v>-2965.9766735793246</v>
      </c>
      <c r="X42" s="90">
        <f t="shared" si="14"/>
        <v>1346.4914747781525</v>
      </c>
      <c r="Y42" s="86">
        <f t="shared" si="15"/>
        <v>-8544.4905199999994</v>
      </c>
      <c r="Z42" s="85">
        <f t="shared" si="16"/>
        <v>-818.62113479844345</v>
      </c>
      <c r="AA42" s="85">
        <f t="shared" si="17"/>
        <v>-818.65514723632157</v>
      </c>
      <c r="AB42" s="90">
        <f t="shared" si="18"/>
        <v>818.62113479844345</v>
      </c>
      <c r="AC42" s="86">
        <f t="shared" si="19"/>
        <v>13620.702960000001</v>
      </c>
      <c r="AD42" s="85">
        <f t="shared" si="20"/>
        <v>3384.56104615708</v>
      </c>
      <c r="AE42" s="85">
        <f t="shared" si="21"/>
        <v>7682.8259376756405</v>
      </c>
      <c r="AF42" s="90">
        <f t="shared" si="22"/>
        <v>3384.56104615708</v>
      </c>
      <c r="AG42" s="86">
        <f t="shared" si="23"/>
        <v>8940.7757199999996</v>
      </c>
      <c r="AH42" s="85">
        <f t="shared" si="24"/>
        <v>6139.2748628683721</v>
      </c>
      <c r="AI42" s="85">
        <f t="shared" si="25"/>
        <v>6144.5388999790493</v>
      </c>
      <c r="AJ42" s="90">
        <f t="shared" si="26"/>
        <v>6139.2748628683721</v>
      </c>
      <c r="AL42" s="95">
        <f t="shared" si="27"/>
        <v>0</v>
      </c>
      <c r="AM42" s="95">
        <f t="shared" si="28"/>
        <v>0</v>
      </c>
      <c r="AN42" s="95">
        <f t="shared" si="29"/>
        <v>0</v>
      </c>
      <c r="AO42" s="95">
        <f t="shared" si="30"/>
        <v>0</v>
      </c>
      <c r="AP42"/>
      <c r="AQ42" s="95">
        <f t="shared" si="31"/>
        <v>0</v>
      </c>
      <c r="AR42" s="95">
        <f t="shared" si="32"/>
        <v>0</v>
      </c>
      <c r="AS42" s="95">
        <f>Geraetedaten!$B$94*ABS(SIN(RADIANS($A42)))</f>
        <v>8.0597372614133498</v>
      </c>
      <c r="AT42" s="95">
        <f>Geraetedaten!$B$94*ABS(COS(RADIANS($A42)))</f>
        <v>153.78894835220436</v>
      </c>
      <c r="AU42" s="95">
        <f>((h_Aw_Sw+Geraetedaten!$B$18)/1000)*(AQ42*AS42+AR42*AT42)/100</f>
        <v>0</v>
      </c>
    </row>
    <row r="43" spans="1:47" ht="13.5" x14ac:dyDescent="0.25">
      <c r="A43" s="16">
        <v>4</v>
      </c>
      <c r="B43" s="16">
        <f t="shared" si="0"/>
        <v>446</v>
      </c>
      <c r="C43" s="19">
        <f t="shared" si="1"/>
        <v>34.306782372021964</v>
      </c>
      <c r="D43" s="17">
        <f t="shared" si="2"/>
        <v>-12778.783252372021</v>
      </c>
      <c r="E43" s="17">
        <f t="shared" si="3"/>
        <v>-8578.7392923720217</v>
      </c>
      <c r="F43" s="17">
        <f t="shared" si="4"/>
        <v>13120.548077627978</v>
      </c>
      <c r="G43" s="17">
        <f t="shared" si="5"/>
        <v>8914.3005976279783</v>
      </c>
      <c r="H43" s="17">
        <f t="shared" si="33"/>
        <v>8914.3005976279783</v>
      </c>
      <c r="I43" s="17">
        <f t="shared" si="6"/>
        <v>6149.9211984988033</v>
      </c>
      <c r="J43" s="20">
        <f>(Geraetedaten!$B$152+(Geraetedaten!$B$153*(Geraetedaten!$B$18+d_y_Sw)/1000))*10</f>
        <v>6051.0442000000003</v>
      </c>
      <c r="K43" s="20">
        <f>(Geraetedaten!$B$165+(Geraetedaten!$B$166*(Geraetedaten!$B$18+d_y_Sw)/1000))*10</f>
        <v>10816.164000000001</v>
      </c>
      <c r="L43" s="20">
        <f>(Geraetedaten!$B$158+(Geraetedaten!$B$159*(Geraetedaten!$B$18+d_y_Sw)/1000)-(Geraetedaten!$B$160*I43/1000))*10</f>
        <v>150.56287851408263</v>
      </c>
      <c r="M43" s="20">
        <f>(Geraetedaten!$B$171+(Geraetedaten!$B$172*(Geraetedaten!$B$18+d_y_Sw)/1000)-(Geraetedaten!$B$173*I43/1000))*10</f>
        <v>607.06686598374984</v>
      </c>
      <c r="N43" s="20">
        <f>IF((H43-J43)/(K43-J43)*(Geraetedaten!$B$174-Geraetedaten!$B$161)&lt;Geraetedaten!$B$174,(H43-J43)/(K43-J43)*(Geraetedaten!$B$174-Geraetedaten!$B$161),Geraetedaten!$B$174)</f>
        <v>240.35126232318254</v>
      </c>
      <c r="O43" s="20">
        <f>N43/Geraetedaten!$B$174*(M43-L43)+L43+C43</f>
        <v>459.17293499585668</v>
      </c>
      <c r="P43" s="20">
        <f t="shared" si="7"/>
        <v>154.98609143372289</v>
      </c>
      <c r="Q43" s="21">
        <f>(N43-Geraetedaten!$B$161)/(Geraetedaten!$B$174-Geraetedaten!$B$161)*(Geraetedaten!$B$175-Geraetedaten!$B$162)+Geraetedaten!$B$162</f>
        <v>36.350450054114681</v>
      </c>
      <c r="R43" s="21">
        <f t="shared" si="8"/>
        <v>36.350450054114681</v>
      </c>
      <c r="S43" s="21">
        <f t="shared" si="9"/>
        <v>2.5356792147869891</v>
      </c>
      <c r="T43" s="88">
        <f t="shared" si="10"/>
        <v>36.261902184750085</v>
      </c>
      <c r="U43" s="86">
        <f t="shared" si="11"/>
        <v>-12744.47647</v>
      </c>
      <c r="V43" s="85">
        <f t="shared" si="12"/>
        <v>-1346.4914747781525</v>
      </c>
      <c r="W43" s="85">
        <f t="shared" si="13"/>
        <v>-2868.1690873989569</v>
      </c>
      <c r="X43" s="90">
        <f t="shared" si="14"/>
        <v>1346.4914747781525</v>
      </c>
      <c r="Y43" s="86">
        <f t="shared" si="15"/>
        <v>-8544.4325100000005</v>
      </c>
      <c r="Z43" s="85">
        <f t="shared" si="16"/>
        <v>-818.62113479844345</v>
      </c>
      <c r="AA43" s="85">
        <f t="shared" si="17"/>
        <v>-818.64958976692321</v>
      </c>
      <c r="AB43" s="90">
        <f t="shared" si="18"/>
        <v>818.62113479844345</v>
      </c>
      <c r="AC43" s="86">
        <f t="shared" si="19"/>
        <v>13154.854859999999</v>
      </c>
      <c r="AD43" s="85">
        <f t="shared" si="20"/>
        <v>3384.56104615708</v>
      </c>
      <c r="AE43" s="85">
        <f t="shared" si="21"/>
        <v>7420.061976400104</v>
      </c>
      <c r="AF43" s="90">
        <f t="shared" si="22"/>
        <v>3384.56104615708</v>
      </c>
      <c r="AG43" s="86">
        <f t="shared" si="23"/>
        <v>8948.6073799999995</v>
      </c>
      <c r="AH43" s="85">
        <f t="shared" si="24"/>
        <v>6139.2748628683721</v>
      </c>
      <c r="AI43" s="85">
        <f t="shared" si="25"/>
        <v>6149.9211984988033</v>
      </c>
      <c r="AJ43" s="90">
        <f t="shared" si="26"/>
        <v>6139.2748628683721</v>
      </c>
      <c r="AL43" s="95">
        <f t="shared" si="27"/>
        <v>0</v>
      </c>
      <c r="AM43" s="95">
        <f t="shared" si="28"/>
        <v>0</v>
      </c>
      <c r="AN43" s="95">
        <f t="shared" si="29"/>
        <v>0</v>
      </c>
      <c r="AO43" s="95">
        <f t="shared" si="30"/>
        <v>0</v>
      </c>
      <c r="AP43"/>
      <c r="AQ43" s="95">
        <f t="shared" si="31"/>
        <v>0</v>
      </c>
      <c r="AR43" s="95">
        <f t="shared" si="32"/>
        <v>0</v>
      </c>
      <c r="AS43" s="95">
        <f>Geraetedaten!$B$94*ABS(SIN(RADIANS($A43)))</f>
        <v>10.742496956595296</v>
      </c>
      <c r="AT43" s="95">
        <f>Geraetedaten!$B$94*ABS(COS(RADIANS($A43)))</f>
        <v>153.62486374001293</v>
      </c>
      <c r="AU43" s="95">
        <f>((h_Aw_Sw+Geraetedaten!$B$18)/1000)*(AQ43*AS43+AR43*AT43)/100</f>
        <v>0</v>
      </c>
    </row>
    <row r="44" spans="1:47" ht="13.5" x14ac:dyDescent="0.25">
      <c r="A44" s="16">
        <v>5</v>
      </c>
      <c r="B44" s="16">
        <f t="shared" si="0"/>
        <v>445</v>
      </c>
      <c r="C44" s="19">
        <f t="shared" si="1"/>
        <v>35.371465088304269</v>
      </c>
      <c r="D44" s="17">
        <f t="shared" si="2"/>
        <v>-12376.635285088305</v>
      </c>
      <c r="E44" s="17">
        <f t="shared" si="3"/>
        <v>-8582.3494550883042</v>
      </c>
      <c r="F44" s="17">
        <f t="shared" si="4"/>
        <v>12688.194424911695</v>
      </c>
      <c r="G44" s="17">
        <f t="shared" si="5"/>
        <v>8923.8127449116946</v>
      </c>
      <c r="H44" s="17">
        <f t="shared" si="33"/>
        <v>8923.8127449116946</v>
      </c>
      <c r="I44" s="17">
        <f t="shared" si="6"/>
        <v>6157.1901185883926</v>
      </c>
      <c r="J44" s="20">
        <f>(Geraetedaten!$B$152+(Geraetedaten!$B$153*(Geraetedaten!$B$18+d_y_Sw)/1000))*10</f>
        <v>6051.0442000000003</v>
      </c>
      <c r="K44" s="20">
        <f>(Geraetedaten!$B$165+(Geraetedaten!$B$166*(Geraetedaten!$B$18+d_y_Sw)/1000))*10</f>
        <v>10816.164000000001</v>
      </c>
      <c r="L44" s="20">
        <f>(Geraetedaten!$B$158+(Geraetedaten!$B$159*(Geraetedaten!$B$18+d_y_Sw)/1000)-(Geraetedaten!$B$160*I44/1000))*10</f>
        <v>150.02984860391294</v>
      </c>
      <c r="M44" s="20">
        <f>(Geraetedaten!$B$171+(Geraetedaten!$B$172*(Geraetedaten!$B$18+d_y_Sw)/1000)-(Geraetedaten!$B$173*I44/1000))*10</f>
        <v>606.52576757228087</v>
      </c>
      <c r="N44" s="20">
        <f>IF((H44-J44)/(K44-J44)*(Geraetedaten!$B$174-Geraetedaten!$B$161)&lt;Geraetedaten!$B$174,(H44-J44)/(K44-J44)*(Geraetedaten!$B$174-Geraetedaten!$B$161),Geraetedaten!$B$174)</f>
        <v>241.14974359399687</v>
      </c>
      <c r="O44" s="20">
        <f>N44/Geraetedaten!$B$174*(M44-L44)+L44+C44</f>
        <v>460.61099821953701</v>
      </c>
      <c r="P44" s="20">
        <f t="shared" si="7"/>
        <v>155.38666281552699</v>
      </c>
      <c r="Q44" s="21">
        <f>(N44-Geraetedaten!$B$161)/(Geraetedaten!$B$174-Geraetedaten!$B$161)*(Geraetedaten!$B$175-Geraetedaten!$B$162)+Geraetedaten!$B$162</f>
        <v>36.374204871921407</v>
      </c>
      <c r="R44" s="21">
        <f t="shared" si="8"/>
        <v>36.374204871921407</v>
      </c>
      <c r="S44" s="21">
        <f t="shared" si="9"/>
        <v>3.1702208424677965</v>
      </c>
      <c r="T44" s="88">
        <f t="shared" si="10"/>
        <v>36.235790040711045</v>
      </c>
      <c r="U44" s="86">
        <f t="shared" si="11"/>
        <v>-12341.26382</v>
      </c>
      <c r="V44" s="85">
        <f t="shared" si="12"/>
        <v>-1346.4914747781525</v>
      </c>
      <c r="W44" s="85">
        <f t="shared" si="13"/>
        <v>-2777.4252998324919</v>
      </c>
      <c r="X44" s="90">
        <f t="shared" si="14"/>
        <v>1346.4914747781525</v>
      </c>
      <c r="Y44" s="86">
        <f t="shared" si="15"/>
        <v>-8546.9779899999994</v>
      </c>
      <c r="Z44" s="85">
        <f t="shared" si="16"/>
        <v>-818.62113479844345</v>
      </c>
      <c r="AA44" s="85">
        <f t="shared" si="17"/>
        <v>-818.89347356448513</v>
      </c>
      <c r="AB44" s="90">
        <f t="shared" si="18"/>
        <v>818.62113479844345</v>
      </c>
      <c r="AC44" s="86">
        <f t="shared" si="19"/>
        <v>12723.56589</v>
      </c>
      <c r="AD44" s="85">
        <f t="shared" si="20"/>
        <v>3384.56104615708</v>
      </c>
      <c r="AE44" s="85">
        <f t="shared" si="21"/>
        <v>7176.7912662483322</v>
      </c>
      <c r="AF44" s="90">
        <f t="shared" si="22"/>
        <v>3384.56104615708</v>
      </c>
      <c r="AG44" s="86">
        <f t="shared" si="23"/>
        <v>8959.1842099999994</v>
      </c>
      <c r="AH44" s="85">
        <f t="shared" si="24"/>
        <v>6139.2748628683721</v>
      </c>
      <c r="AI44" s="85">
        <f t="shared" si="25"/>
        <v>6157.1901185883926</v>
      </c>
      <c r="AJ44" s="90">
        <f t="shared" si="26"/>
        <v>6139.2748628683721</v>
      </c>
      <c r="AL44" s="95">
        <f t="shared" si="27"/>
        <v>0</v>
      </c>
      <c r="AM44" s="95">
        <f t="shared" si="28"/>
        <v>0</v>
      </c>
      <c r="AN44" s="95">
        <f t="shared" si="29"/>
        <v>0</v>
      </c>
      <c r="AO44" s="95">
        <f t="shared" si="30"/>
        <v>0</v>
      </c>
      <c r="AP44"/>
      <c r="AQ44" s="95">
        <f t="shared" si="31"/>
        <v>0</v>
      </c>
      <c r="AR44" s="95">
        <f t="shared" si="32"/>
        <v>0</v>
      </c>
      <c r="AS44" s="95">
        <f>Geraetedaten!$B$94*ABS(SIN(RADIANS($A44)))</f>
        <v>13.421984383139357</v>
      </c>
      <c r="AT44" s="95">
        <f>Geraetedaten!$B$94*ABS(COS(RADIANS($A44)))</f>
        <v>153.4139835061288</v>
      </c>
      <c r="AU44" s="95">
        <f>((h_Aw_Sw+Geraetedaten!$B$18)/1000)*(AQ44*AS44+AR44*AT44)/100</f>
        <v>0</v>
      </c>
    </row>
    <row r="45" spans="1:47" ht="13.5" x14ac:dyDescent="0.25">
      <c r="A45" s="16">
        <v>6</v>
      </c>
      <c r="B45" s="16">
        <f t="shared" si="0"/>
        <v>444</v>
      </c>
      <c r="C45" s="19">
        <f t="shared" si="1"/>
        <v>36.425373313669596</v>
      </c>
      <c r="D45" s="17">
        <f t="shared" si="2"/>
        <v>-12002.74121331367</v>
      </c>
      <c r="E45" s="17">
        <f t="shared" si="3"/>
        <v>-8588.5561833136708</v>
      </c>
      <c r="F45" s="17">
        <f t="shared" si="4"/>
        <v>12286.868516686331</v>
      </c>
      <c r="G45" s="17">
        <f t="shared" si="5"/>
        <v>8936.0970666863304</v>
      </c>
      <c r="H45" s="17">
        <f t="shared" si="33"/>
        <v>8936.0970666863304</v>
      </c>
      <c r="I45" s="17">
        <f t="shared" si="6"/>
        <v>6166.3567968039415</v>
      </c>
      <c r="J45" s="20">
        <f>(Geraetedaten!$B$152+(Geraetedaten!$B$153*(Geraetedaten!$B$18+d_y_Sw)/1000))*10</f>
        <v>6051.0442000000003</v>
      </c>
      <c r="K45" s="20">
        <f>(Geraetedaten!$B$165+(Geraetedaten!$B$166*(Geraetedaten!$B$18+d_y_Sw)/1000))*10</f>
        <v>10816.164000000001</v>
      </c>
      <c r="L45" s="20">
        <f>(Geraetedaten!$B$158+(Geraetedaten!$B$159*(Geraetedaten!$B$18+d_y_Sw)/1000)-(Geraetedaten!$B$160*I45/1000))*10</f>
        <v>149.35765609036679</v>
      </c>
      <c r="M45" s="20">
        <f>(Geraetedaten!$B$171+(Geraetedaten!$B$172*(Geraetedaten!$B$18+d_y_Sw)/1000)-(Geraetedaten!$B$173*I45/1000))*10</f>
        <v>605.84340004591536</v>
      </c>
      <c r="N45" s="20">
        <f>IF((H45-J45)/(K45-J45)*(Geraetedaten!$B$174-Geraetedaten!$B$161)&lt;Geraetedaten!$B$174,(H45-J45)/(K45-J45)*(Geraetedaten!$B$174-Geraetedaten!$B$161),Geraetedaten!$B$174)</f>
        <v>242.18093040903858</v>
      </c>
      <c r="O45" s="20">
        <f>N45/Geraetedaten!$B$174*(M45-L45)+L45+C45</f>
        <v>462.16338487807866</v>
      </c>
      <c r="P45" s="20">
        <f t="shared" si="7"/>
        <v>155.79944715970555</v>
      </c>
      <c r="Q45" s="21">
        <f>(N45-Geraetedaten!$B$161)/(Geraetedaten!$B$174-Geraetedaten!$B$161)*(Geraetedaten!$B$175-Geraetedaten!$B$162)+Geraetedaten!$B$162</f>
        <v>36.404882679668901</v>
      </c>
      <c r="R45" s="21">
        <f t="shared" si="8"/>
        <v>36.404882679668901</v>
      </c>
      <c r="S45" s="21">
        <f t="shared" si="9"/>
        <v>3.8053464419450047</v>
      </c>
      <c r="T45" s="88">
        <f t="shared" si="10"/>
        <v>36.205452923243939</v>
      </c>
      <c r="U45" s="86">
        <f t="shared" si="11"/>
        <v>-11966.315839999999</v>
      </c>
      <c r="V45" s="85">
        <f t="shared" si="12"/>
        <v>-1346.4914747781525</v>
      </c>
      <c r="W45" s="85">
        <f t="shared" si="13"/>
        <v>-2693.0425329697887</v>
      </c>
      <c r="X45" s="90">
        <f t="shared" si="14"/>
        <v>1346.4914747781525</v>
      </c>
      <c r="Y45" s="86">
        <f t="shared" si="15"/>
        <v>-8552.1308100000006</v>
      </c>
      <c r="Z45" s="85">
        <f t="shared" si="16"/>
        <v>-818.62113479844345</v>
      </c>
      <c r="AA45" s="85">
        <f t="shared" si="17"/>
        <v>-819.38717036426578</v>
      </c>
      <c r="AB45" s="90">
        <f t="shared" si="18"/>
        <v>818.62113479844345</v>
      </c>
      <c r="AC45" s="86">
        <f t="shared" si="19"/>
        <v>12323.293890000001</v>
      </c>
      <c r="AD45" s="85">
        <f t="shared" si="20"/>
        <v>3384.56104615708</v>
      </c>
      <c r="AE45" s="85">
        <f t="shared" si="21"/>
        <v>6951.0158321719728</v>
      </c>
      <c r="AF45" s="90">
        <f t="shared" si="22"/>
        <v>3384.56104615708</v>
      </c>
      <c r="AG45" s="86">
        <f t="shared" si="23"/>
        <v>8972.5224400000006</v>
      </c>
      <c r="AH45" s="85">
        <f t="shared" si="24"/>
        <v>6139.2748628683721</v>
      </c>
      <c r="AI45" s="85">
        <f t="shared" si="25"/>
        <v>6166.3567968039415</v>
      </c>
      <c r="AJ45" s="90">
        <f t="shared" si="26"/>
        <v>6139.2748628683721</v>
      </c>
      <c r="AL45" s="95">
        <f t="shared" si="27"/>
        <v>0</v>
      </c>
      <c r="AM45" s="95">
        <f t="shared" si="28"/>
        <v>0</v>
      </c>
      <c r="AN45" s="95">
        <f t="shared" si="29"/>
        <v>0</v>
      </c>
      <c r="AO45" s="95">
        <f t="shared" si="30"/>
        <v>0</v>
      </c>
      <c r="AP45"/>
      <c r="AQ45" s="95">
        <f t="shared" si="31"/>
        <v>0</v>
      </c>
      <c r="AR45" s="95">
        <f t="shared" si="32"/>
        <v>0</v>
      </c>
      <c r="AS45" s="95">
        <f>Geraetedaten!$B$94*ABS(SIN(RADIANS($A45)))</f>
        <v>16.097383343218635</v>
      </c>
      <c r="AT45" s="95">
        <f>Geraetedaten!$B$94*ABS(COS(RADIANS($A45)))</f>
        <v>153.15637188671408</v>
      </c>
      <c r="AU45" s="95">
        <f>((h_Aw_Sw+Geraetedaten!$B$18)/1000)*(AQ45*AS45+AR45*AT45)/100</f>
        <v>0</v>
      </c>
    </row>
    <row r="46" spans="1:47" ht="13.5" x14ac:dyDescent="0.25">
      <c r="A46" s="16">
        <v>7</v>
      </c>
      <c r="B46" s="16">
        <f t="shared" si="0"/>
        <v>443</v>
      </c>
      <c r="C46" s="19">
        <f t="shared" si="1"/>
        <v>37.468186017463061</v>
      </c>
      <c r="D46" s="17">
        <f t="shared" si="2"/>
        <v>-11654.381646017462</v>
      </c>
      <c r="E46" s="17">
        <f t="shared" si="3"/>
        <v>-8597.3670460174617</v>
      </c>
      <c r="F46" s="17">
        <f t="shared" si="4"/>
        <v>11913.499333982538</v>
      </c>
      <c r="G46" s="17">
        <f t="shared" si="5"/>
        <v>8951.1743539825384</v>
      </c>
      <c r="H46" s="17">
        <f t="shared" si="33"/>
        <v>8951.1743539825384</v>
      </c>
      <c r="I46" s="17">
        <f t="shared" si="6"/>
        <v>6177.4353222385189</v>
      </c>
      <c r="J46" s="20">
        <f>(Geraetedaten!$B$152+(Geraetedaten!$B$153*(Geraetedaten!$B$18+d_y_Sw)/1000))*10</f>
        <v>6051.0442000000003</v>
      </c>
      <c r="K46" s="20">
        <f>(Geraetedaten!$B$165+(Geraetedaten!$B$166*(Geraetedaten!$B$18+d_y_Sw)/1000))*10</f>
        <v>10816.164000000001</v>
      </c>
      <c r="L46" s="20">
        <f>(Geraetedaten!$B$158+(Geraetedaten!$B$159*(Geraetedaten!$B$18+d_y_Sw)/1000)-(Geraetedaten!$B$160*I46/1000))*10</f>
        <v>148.54526782024925</v>
      </c>
      <c r="M46" s="20">
        <f>(Geraetedaten!$B$171+(Geraetedaten!$B$172*(Geraetedaten!$B$18+d_y_Sw)/1000)-(Geraetedaten!$B$173*I46/1000))*10</f>
        <v>605.01871461256542</v>
      </c>
      <c r="N46" s="20">
        <f>IF((H46-J46)/(K46-J46)*(Geraetedaten!$B$174-Geraetedaten!$B$161)&lt;Geraetedaten!$B$174,(H46-J46)/(K46-J46)*(Geraetedaten!$B$174-Geraetedaten!$B$161),Geraetedaten!$B$174)</f>
        <v>243.44656803655079</v>
      </c>
      <c r="O46" s="20">
        <f>N46/Geraetedaten!$B$174*(M46-L46)+L46+C46</f>
        <v>463.83068889122342</v>
      </c>
      <c r="P46" s="20">
        <f t="shared" si="7"/>
        <v>156.22421756101579</v>
      </c>
      <c r="Q46" s="21">
        <f>(N46-Geraetedaten!$B$161)/(Geraetedaten!$B$174-Geraetedaten!$B$161)*(Geraetedaten!$B$175-Geraetedaten!$B$162)+Geraetedaten!$B$162</f>
        <v>36.44253539908739</v>
      </c>
      <c r="R46" s="21">
        <f t="shared" si="8"/>
        <v>36.44253539908739</v>
      </c>
      <c r="S46" s="21">
        <f t="shared" si="9"/>
        <v>4.4412278611056246</v>
      </c>
      <c r="T46" s="88">
        <f t="shared" si="10"/>
        <v>36.170898266416835</v>
      </c>
      <c r="U46" s="86">
        <f t="shared" si="11"/>
        <v>-11616.91346</v>
      </c>
      <c r="V46" s="85">
        <f t="shared" si="12"/>
        <v>-1346.4914747781525</v>
      </c>
      <c r="W46" s="85">
        <f t="shared" si="13"/>
        <v>-2614.408849318248</v>
      </c>
      <c r="X46" s="90">
        <f t="shared" si="14"/>
        <v>1346.4914747781525</v>
      </c>
      <c r="Y46" s="86">
        <f t="shared" si="15"/>
        <v>-8559.8988599999993</v>
      </c>
      <c r="Z46" s="85">
        <f t="shared" si="16"/>
        <v>-818.62113479844345</v>
      </c>
      <c r="AA46" s="85">
        <f t="shared" si="17"/>
        <v>-820.13143348823814</v>
      </c>
      <c r="AB46" s="90">
        <f t="shared" si="18"/>
        <v>818.62113479844345</v>
      </c>
      <c r="AC46" s="86">
        <f t="shared" si="19"/>
        <v>11950.96752</v>
      </c>
      <c r="AD46" s="85">
        <f t="shared" si="20"/>
        <v>3384.56104615708</v>
      </c>
      <c r="AE46" s="85">
        <f t="shared" si="21"/>
        <v>6741.0032734640545</v>
      </c>
      <c r="AF46" s="90">
        <f t="shared" si="22"/>
        <v>3384.56104615708</v>
      </c>
      <c r="AG46" s="86">
        <f t="shared" si="23"/>
        <v>8988.6425400000007</v>
      </c>
      <c r="AH46" s="85">
        <f t="shared" si="24"/>
        <v>6139.2748628683721</v>
      </c>
      <c r="AI46" s="85">
        <f t="shared" si="25"/>
        <v>6177.4353222385189</v>
      </c>
      <c r="AJ46" s="90">
        <f t="shared" si="26"/>
        <v>6139.2748628683721</v>
      </c>
      <c r="AL46" s="95">
        <f t="shared" si="27"/>
        <v>0</v>
      </c>
      <c r="AM46" s="95">
        <f t="shared" si="28"/>
        <v>0</v>
      </c>
      <c r="AN46" s="95">
        <f t="shared" si="29"/>
        <v>0</v>
      </c>
      <c r="AO46" s="95">
        <f t="shared" si="30"/>
        <v>0</v>
      </c>
      <c r="AP46"/>
      <c r="AQ46" s="95">
        <f t="shared" si="31"/>
        <v>0</v>
      </c>
      <c r="AR46" s="95">
        <f t="shared" si="32"/>
        <v>0</v>
      </c>
      <c r="AS46" s="95">
        <f>Geraetedaten!$B$94*ABS(SIN(RADIANS($A46)))</f>
        <v>18.767878884392712</v>
      </c>
      <c r="AT46" s="95">
        <f>Geraetedaten!$B$94*ABS(COS(RADIANS($A46)))</f>
        <v>152.8521073527636</v>
      </c>
      <c r="AU46" s="95">
        <f>((h_Aw_Sw+Geraetedaten!$B$18)/1000)*(AQ46*AS46+AR46*AT46)/100</f>
        <v>0</v>
      </c>
    </row>
    <row r="47" spans="1:47" ht="13.5" x14ac:dyDescent="0.25">
      <c r="A47" s="16">
        <v>8</v>
      </c>
      <c r="B47" s="16">
        <f t="shared" si="0"/>
        <v>442</v>
      </c>
      <c r="C47" s="19">
        <f t="shared" si="1"/>
        <v>38.499585548833146</v>
      </c>
      <c r="D47" s="17">
        <f t="shared" si="2"/>
        <v>-11329.177725548832</v>
      </c>
      <c r="E47" s="17">
        <f t="shared" si="3"/>
        <v>-8608.7935755488325</v>
      </c>
      <c r="F47" s="17">
        <f t="shared" si="4"/>
        <v>11565.411114451168</v>
      </c>
      <c r="G47" s="17">
        <f t="shared" si="5"/>
        <v>8969.069814451168</v>
      </c>
      <c r="H47" s="17">
        <f t="shared" si="33"/>
        <v>8969.069814451168</v>
      </c>
      <c r="I47" s="17">
        <f t="shared" si="6"/>
        <v>6190.4427896002999</v>
      </c>
      <c r="J47" s="20">
        <f>(Geraetedaten!$B$152+(Geraetedaten!$B$153*(Geraetedaten!$B$18+d_y_Sw)/1000))*10</f>
        <v>6051.0442000000003</v>
      </c>
      <c r="K47" s="20">
        <f>(Geraetedaten!$B$165+(Geraetedaten!$B$166*(Geraetedaten!$B$18+d_y_Sw)/1000))*10</f>
        <v>10816.164000000001</v>
      </c>
      <c r="L47" s="20">
        <f>(Geraetedaten!$B$158+(Geraetedaten!$B$159*(Geraetedaten!$B$18+d_y_Sw)/1000)-(Geraetedaten!$B$160*I47/1000))*10</f>
        <v>147.5914302386098</v>
      </c>
      <c r="M47" s="20">
        <f>(Geraetedaten!$B$171+(Geraetedaten!$B$172*(Geraetedaten!$B$18+d_y_Sw)/1000)-(Geraetedaten!$B$173*I47/1000))*10</f>
        <v>604.05043874215448</v>
      </c>
      <c r="N47" s="20">
        <f>IF((H47-J47)/(K47-J47)*(Geraetedaten!$B$174-Geraetedaten!$B$161)&lt;Geraetedaten!$B$174,(H47-J47)/(K47-J47)*(Geraetedaten!$B$174-Geraetedaten!$B$161),Geraetedaten!$B$174)</f>
        <v>244.94877249056088</v>
      </c>
      <c r="O47" s="20">
        <f>N47/Geraetedaten!$B$174*(M47-L47)+L47+C47</f>
        <v>465.61370035044735</v>
      </c>
      <c r="P47" s="20">
        <f t="shared" si="7"/>
        <v>156.66075823759584</v>
      </c>
      <c r="Q47" s="21">
        <f>(N47-Geraetedaten!$B$161)/(Geraetedaten!$B$174-Geraetedaten!$B$161)*(Geraetedaten!$B$175-Geraetedaten!$B$162)+Geraetedaten!$B$162</f>
        <v>36.487225981594186</v>
      </c>
      <c r="R47" s="21">
        <f t="shared" si="8"/>
        <v>36.487225981594186</v>
      </c>
      <c r="S47" s="21">
        <f t="shared" si="9"/>
        <v>5.07804038528913</v>
      </c>
      <c r="T47" s="88">
        <f t="shared" si="10"/>
        <v>36.132134806530523</v>
      </c>
      <c r="U47" s="86">
        <f t="shared" si="11"/>
        <v>-11290.67814</v>
      </c>
      <c r="V47" s="85">
        <f t="shared" si="12"/>
        <v>-1346.4914747781525</v>
      </c>
      <c r="W47" s="85">
        <f t="shared" si="13"/>
        <v>-2540.9889614834906</v>
      </c>
      <c r="X47" s="90">
        <f t="shared" si="14"/>
        <v>1346.4914747781525</v>
      </c>
      <c r="Y47" s="86">
        <f t="shared" si="15"/>
        <v>-8570.2939900000001</v>
      </c>
      <c r="Z47" s="85">
        <f t="shared" si="16"/>
        <v>-818.62113479844345</v>
      </c>
      <c r="AA47" s="85">
        <f t="shared" si="17"/>
        <v>-821.12740065327841</v>
      </c>
      <c r="AB47" s="90">
        <f t="shared" si="18"/>
        <v>818.62113479844345</v>
      </c>
      <c r="AC47" s="86">
        <f t="shared" si="19"/>
        <v>11603.9107</v>
      </c>
      <c r="AD47" s="85">
        <f t="shared" si="20"/>
        <v>3384.56104615708</v>
      </c>
      <c r="AE47" s="85">
        <f t="shared" si="21"/>
        <v>6545.2441285813366</v>
      </c>
      <c r="AF47" s="90">
        <f t="shared" si="22"/>
        <v>3384.56104615708</v>
      </c>
      <c r="AG47" s="86">
        <f t="shared" si="23"/>
        <v>9007.5694000000003</v>
      </c>
      <c r="AH47" s="85">
        <f t="shared" si="24"/>
        <v>6139.2748628683721</v>
      </c>
      <c r="AI47" s="85">
        <f t="shared" si="25"/>
        <v>6190.4427896002999</v>
      </c>
      <c r="AJ47" s="90">
        <f t="shared" si="26"/>
        <v>6139.2748628683721</v>
      </c>
      <c r="AL47" s="95">
        <f t="shared" si="27"/>
        <v>0</v>
      </c>
      <c r="AM47" s="95">
        <f t="shared" si="28"/>
        <v>0</v>
      </c>
      <c r="AN47" s="95">
        <f t="shared" si="29"/>
        <v>0</v>
      </c>
      <c r="AO47" s="95">
        <f t="shared" si="30"/>
        <v>0</v>
      </c>
      <c r="AP47"/>
      <c r="AQ47" s="95">
        <f t="shared" si="31"/>
        <v>0</v>
      </c>
      <c r="AR47" s="95">
        <f t="shared" si="32"/>
        <v>0</v>
      </c>
      <c r="AS47" s="95">
        <f>Geraetedaten!$B$94*ABS(SIN(RADIANS($A47)))</f>
        <v>21.432657547850077</v>
      </c>
      <c r="AT47" s="95">
        <f>Geraetedaten!$B$94*ABS(COS(RADIANS($A47)))</f>
        <v>152.50128258620182</v>
      </c>
      <c r="AU47" s="95">
        <f>((h_Aw_Sw+Geraetedaten!$B$18)/1000)*(AQ47*AS47+AR47*AT47)/100</f>
        <v>0</v>
      </c>
    </row>
    <row r="48" spans="1:47" ht="13.5" x14ac:dyDescent="0.25">
      <c r="A48" s="16">
        <v>9</v>
      </c>
      <c r="B48" s="16">
        <f t="shared" si="0"/>
        <v>441</v>
      </c>
      <c r="C48" s="19">
        <f t="shared" si="1"/>
        <v>39.519257733491195</v>
      </c>
      <c r="D48" s="17">
        <f t="shared" si="2"/>
        <v>-11025.03966773349</v>
      </c>
      <c r="E48" s="17">
        <f t="shared" si="3"/>
        <v>-8622.8514077334912</v>
      </c>
      <c r="F48" s="17">
        <f t="shared" si="4"/>
        <v>11240.261842266509</v>
      </c>
      <c r="G48" s="17">
        <f t="shared" si="5"/>
        <v>8989.8131122665091</v>
      </c>
      <c r="H48" s="17">
        <f t="shared" si="33"/>
        <v>8989.8131122665091</v>
      </c>
      <c r="I48" s="17">
        <f t="shared" si="6"/>
        <v>6205.3993639826185</v>
      </c>
      <c r="J48" s="20">
        <f>(Geraetedaten!$B$152+(Geraetedaten!$B$153*(Geraetedaten!$B$18+d_y_Sw)/1000))*10</f>
        <v>6051.0442000000003</v>
      </c>
      <c r="K48" s="20">
        <f>(Geraetedaten!$B$165+(Geraetedaten!$B$166*(Geraetedaten!$B$18+d_y_Sw)/1000))*10</f>
        <v>10816.164000000001</v>
      </c>
      <c r="L48" s="20">
        <f>(Geraetedaten!$B$158+(Geraetedaten!$B$159*(Geraetedaten!$B$18+d_y_Sw)/1000)-(Geraetedaten!$B$160*I48/1000))*10</f>
        <v>146.49466463915445</v>
      </c>
      <c r="M48" s="20">
        <f>(Geraetedaten!$B$171+(Geraetedaten!$B$172*(Geraetedaten!$B$18+d_y_Sw)/1000)-(Geraetedaten!$B$173*I48/1000))*10</f>
        <v>602.93707134513465</v>
      </c>
      <c r="N48" s="20">
        <f>IF((H48-J48)/(K48-J48)*(Geraetedaten!$B$174-Geraetedaten!$B$161)&lt;Geraetedaten!$B$174,(H48-J48)/(K48-J48)*(Geraetedaten!$B$174-Geraetedaten!$B$161),Geraetedaten!$B$174)</f>
        <v>246.69003388049205</v>
      </c>
      <c r="O48" s="20">
        <f>N48/Geraetedaten!$B$174*(M48-L48)+L48+C48</f>
        <v>467.5134043096246</v>
      </c>
      <c r="P48" s="20">
        <f t="shared" si="7"/>
        <v>157.10886351579526</v>
      </c>
      <c r="Q48" s="21">
        <f>(N48-Geraetedaten!$B$161)/(Geraetedaten!$B$174-Geraetedaten!$B$161)*(Geraetedaten!$B$175-Geraetedaten!$B$162)+Geraetedaten!$B$162</f>
        <v>36.539028507944636</v>
      </c>
      <c r="R48" s="21">
        <f t="shared" si="8"/>
        <v>36.539028507944636</v>
      </c>
      <c r="S48" s="21">
        <f t="shared" si="9"/>
        <v>5.7159633777300645</v>
      </c>
      <c r="T48" s="88">
        <f t="shared" si="10"/>
        <v>36.089172433970269</v>
      </c>
      <c r="U48" s="86">
        <f t="shared" si="11"/>
        <v>-10985.520409999999</v>
      </c>
      <c r="V48" s="85">
        <f t="shared" si="12"/>
        <v>-1346.4914747781525</v>
      </c>
      <c r="W48" s="85">
        <f t="shared" si="13"/>
        <v>-2472.3126221578445</v>
      </c>
      <c r="X48" s="90">
        <f t="shared" si="14"/>
        <v>1346.4914747781525</v>
      </c>
      <c r="Y48" s="86">
        <f t="shared" si="15"/>
        <v>-8583.3321500000002</v>
      </c>
      <c r="Z48" s="85">
        <f t="shared" si="16"/>
        <v>-818.62113479844345</v>
      </c>
      <c r="AA48" s="85">
        <f t="shared" si="17"/>
        <v>-822.37659822350713</v>
      </c>
      <c r="AB48" s="90">
        <f t="shared" si="18"/>
        <v>818.62113479844345</v>
      </c>
      <c r="AC48" s="86">
        <f t="shared" si="19"/>
        <v>11279.7811</v>
      </c>
      <c r="AD48" s="85">
        <f t="shared" si="20"/>
        <v>3384.56104615708</v>
      </c>
      <c r="AE48" s="85">
        <f t="shared" si="21"/>
        <v>6362.4172001958796</v>
      </c>
      <c r="AF48" s="90">
        <f t="shared" si="22"/>
        <v>3384.56104615708</v>
      </c>
      <c r="AG48" s="86">
        <f t="shared" si="23"/>
        <v>9029.3323700000001</v>
      </c>
      <c r="AH48" s="85">
        <f t="shared" si="24"/>
        <v>6139.2748628683721</v>
      </c>
      <c r="AI48" s="85">
        <f t="shared" si="25"/>
        <v>6205.3993639826185</v>
      </c>
      <c r="AJ48" s="90">
        <f t="shared" si="26"/>
        <v>6139.2748628683721</v>
      </c>
      <c r="AL48" s="95">
        <f t="shared" si="27"/>
        <v>0</v>
      </c>
      <c r="AM48" s="95">
        <f t="shared" si="28"/>
        <v>0</v>
      </c>
      <c r="AN48" s="95">
        <f t="shared" si="29"/>
        <v>0</v>
      </c>
      <c r="AO48" s="95">
        <f t="shared" si="30"/>
        <v>0</v>
      </c>
      <c r="AP48"/>
      <c r="AQ48" s="95">
        <f t="shared" si="31"/>
        <v>0</v>
      </c>
      <c r="AR48" s="95">
        <f t="shared" si="32"/>
        <v>0</v>
      </c>
      <c r="AS48" s="95">
        <f>Geraetedaten!$B$94*ABS(SIN(RADIANS($A48)))</f>
        <v>24.090907616195555</v>
      </c>
      <c r="AT48" s="95">
        <f>Geraetedaten!$B$94*ABS(COS(RADIANS($A48)))</f>
        <v>152.10400445165121</v>
      </c>
      <c r="AU48" s="95">
        <f>((h_Aw_Sw+Geraetedaten!$B$18)/1000)*(AQ48*AS48+AR48*AT48)/100</f>
        <v>0</v>
      </c>
    </row>
    <row r="49" spans="1:47" ht="13.5" x14ac:dyDescent="0.25">
      <c r="A49" s="16">
        <v>10</v>
      </c>
      <c r="B49" s="16">
        <f t="shared" si="0"/>
        <v>440</v>
      </c>
      <c r="C49" s="19">
        <f t="shared" si="1"/>
        <v>40.52689196941197</v>
      </c>
      <c r="D49" s="17">
        <f t="shared" si="2"/>
        <v>-10740.124141969412</v>
      </c>
      <c r="E49" s="17">
        <f t="shared" si="3"/>
        <v>-8639.5602719694125</v>
      </c>
      <c r="F49" s="17">
        <f t="shared" si="4"/>
        <v>10935.992938030588</v>
      </c>
      <c r="G49" s="17">
        <f t="shared" si="5"/>
        <v>9013.4384580305887</v>
      </c>
      <c r="H49" s="17">
        <f t="shared" si="33"/>
        <v>9013.4384580305887</v>
      </c>
      <c r="I49" s="17">
        <f t="shared" si="6"/>
        <v>6222.3283577855664</v>
      </c>
      <c r="J49" s="20">
        <f>(Geraetedaten!$B$152+(Geraetedaten!$B$153*(Geraetedaten!$B$18+d_y_Sw)/1000))*10</f>
        <v>6051.0442000000003</v>
      </c>
      <c r="K49" s="20">
        <f>(Geraetedaten!$B$165+(Geraetedaten!$B$166*(Geraetedaten!$B$18+d_y_Sw)/1000))*10</f>
        <v>10816.164000000001</v>
      </c>
      <c r="L49" s="20">
        <f>(Geraetedaten!$B$158+(Geraetedaten!$B$159*(Geraetedaten!$B$18+d_y_Sw)/1000)-(Geraetedaten!$B$160*I49/1000))*10</f>
        <v>145.25326152358431</v>
      </c>
      <c r="M49" s="20">
        <f>(Geraetedaten!$B$171+(Geraetedaten!$B$172*(Geraetedaten!$B$18+d_y_Sw)/1000)-(Geraetedaten!$B$173*I49/1000))*10</f>
        <v>601.67687704644322</v>
      </c>
      <c r="N49" s="20">
        <f>IF((H49-J49)/(K49-J49)*(Geraetedaten!$B$174-Geraetedaten!$B$161)&lt;Geraetedaten!$B$174,(H49-J49)/(K49-J49)*(Geraetedaten!$B$174-Geraetedaten!$B$161),Geraetedaten!$B$174)</f>
        <v>248.67322395802836</v>
      </c>
      <c r="O49" s="20">
        <f>N49/Geraetedaten!$B$174*(M49-L49)+L49+C49</f>
        <v>469.53098339961855</v>
      </c>
      <c r="P49" s="20">
        <f t="shared" si="7"/>
        <v>157.56833745099433</v>
      </c>
      <c r="Q49" s="21">
        <f>(N49-Geraetedaten!$B$161)/(Geraetedaten!$B$174-Geraetedaten!$B$161)*(Geraetedaten!$B$175-Geraetedaten!$B$162)+Geraetedaten!$B$162</f>
        <v>36.598028412751347</v>
      </c>
      <c r="R49" s="21">
        <f t="shared" si="8"/>
        <v>36.598028412751347</v>
      </c>
      <c r="S49" s="21">
        <f t="shared" si="9"/>
        <v>6.35518094007681</v>
      </c>
      <c r="T49" s="88">
        <f t="shared" si="10"/>
        <v>36.042022125838599</v>
      </c>
      <c r="U49" s="86">
        <f t="shared" si="11"/>
        <v>-10699.597250000001</v>
      </c>
      <c r="V49" s="85">
        <f t="shared" si="12"/>
        <v>-1346.4914747781525</v>
      </c>
      <c r="W49" s="85">
        <f t="shared" si="13"/>
        <v>-2407.9650631730669</v>
      </c>
      <c r="X49" s="90">
        <f t="shared" si="14"/>
        <v>1346.4914747781525</v>
      </c>
      <c r="Y49" s="86">
        <f t="shared" si="15"/>
        <v>-8599.0333800000008</v>
      </c>
      <c r="Z49" s="85">
        <f t="shared" si="16"/>
        <v>-818.62113479844345</v>
      </c>
      <c r="AA49" s="85">
        <f t="shared" si="17"/>
        <v>-823.88094693642915</v>
      </c>
      <c r="AB49" s="90">
        <f t="shared" si="18"/>
        <v>818.62113479844345</v>
      </c>
      <c r="AC49" s="86">
        <f t="shared" si="19"/>
        <v>10976.519829999999</v>
      </c>
      <c r="AD49" s="85">
        <f t="shared" si="20"/>
        <v>3384.56104615708</v>
      </c>
      <c r="AE49" s="85">
        <f t="shared" si="21"/>
        <v>6191.3611589971206</v>
      </c>
      <c r="AF49" s="90">
        <f t="shared" si="22"/>
        <v>3384.56104615708</v>
      </c>
      <c r="AG49" s="86">
        <f t="shared" si="23"/>
        <v>9053.9653500000004</v>
      </c>
      <c r="AH49" s="85">
        <f t="shared" si="24"/>
        <v>6139.2748628683721</v>
      </c>
      <c r="AI49" s="85">
        <f t="shared" si="25"/>
        <v>6222.3283577855664</v>
      </c>
      <c r="AJ49" s="90">
        <f t="shared" si="26"/>
        <v>6139.2748628683721</v>
      </c>
      <c r="AL49" s="95">
        <f t="shared" si="27"/>
        <v>0</v>
      </c>
      <c r="AM49" s="95">
        <f t="shared" si="28"/>
        <v>0</v>
      </c>
      <c r="AN49" s="95">
        <f t="shared" si="29"/>
        <v>0</v>
      </c>
      <c r="AO49" s="95">
        <f t="shared" si="30"/>
        <v>0</v>
      </c>
      <c r="AP49"/>
      <c r="AQ49" s="95">
        <f t="shared" si="31"/>
        <v>0</v>
      </c>
      <c r="AR49" s="95">
        <f t="shared" si="32"/>
        <v>0</v>
      </c>
      <c r="AS49" s="95">
        <f>Geraetedaten!$B$94*ABS(SIN(RADIANS($A49)))</f>
        <v>26.741819360707272</v>
      </c>
      <c r="AT49" s="95">
        <f>Geraetedaten!$B$94*ABS(COS(RADIANS($A49)))</f>
        <v>151.66039396388004</v>
      </c>
      <c r="AU49" s="95">
        <f>((h_Aw_Sw+Geraetedaten!$B$18)/1000)*(AQ49*AS49+AR49*AT49)/100</f>
        <v>0</v>
      </c>
    </row>
    <row r="50" spans="1:47" ht="13.5" x14ac:dyDescent="0.25">
      <c r="A50" s="16">
        <v>11</v>
      </c>
      <c r="B50" s="16">
        <f t="shared" si="0"/>
        <v>439</v>
      </c>
      <c r="C50" s="19">
        <f t="shared" si="1"/>
        <v>41.522181321446048</v>
      </c>
      <c r="D50" s="17">
        <f t="shared" si="2"/>
        <v>-10472.799191321446</v>
      </c>
      <c r="E50" s="17">
        <f t="shared" si="3"/>
        <v>-8658.9441013214473</v>
      </c>
      <c r="F50" s="17">
        <f t="shared" si="4"/>
        <v>10650.787758678553</v>
      </c>
      <c r="G50" s="17">
        <f t="shared" si="5"/>
        <v>9039.9848086785532</v>
      </c>
      <c r="H50" s="17">
        <f t="shared" si="33"/>
        <v>9039.9848086785532</v>
      </c>
      <c r="I50" s="17">
        <f t="shared" si="6"/>
        <v>6241.2563203398149</v>
      </c>
      <c r="J50" s="20">
        <f>(Geraetedaten!$B$152+(Geraetedaten!$B$153*(Geraetedaten!$B$18+d_y_Sw)/1000))*10</f>
        <v>6051.0442000000003</v>
      </c>
      <c r="K50" s="20">
        <f>(Geraetedaten!$B$165+(Geraetedaten!$B$166*(Geraetedaten!$B$18+d_y_Sw)/1000))*10</f>
        <v>10816.164000000001</v>
      </c>
      <c r="L50" s="20">
        <f>(Geraetedaten!$B$158+(Geraetedaten!$B$159*(Geraetedaten!$B$18+d_y_Sw)/1000)-(Geraetedaten!$B$160*I50/1000))*10</f>
        <v>143.86527402948118</v>
      </c>
      <c r="M50" s="20">
        <f>(Geraetedaten!$B$171+(Geraetedaten!$B$172*(Geraetedaten!$B$18+d_y_Sw)/1000)-(Geraetedaten!$B$173*I50/1000))*10</f>
        <v>600.26787951390497</v>
      </c>
      <c r="N50" s="20">
        <f>IF((H50-J50)/(K50-J50)*(Geraetedaten!$B$174-Geraetedaten!$B$161)&lt;Geraetedaten!$B$174,(H50-J50)/(K50-J50)*(Geraetedaten!$B$174-Geraetedaten!$B$161),Geraetedaten!$B$174)</f>
        <v>250.90161289783754</v>
      </c>
      <c r="O50" s="20">
        <f>N50/Geraetedaten!$B$174*(M50-L50)+L50+C50</f>
        <v>471.66782996797065</v>
      </c>
      <c r="P50" s="20">
        <f t="shared" si="7"/>
        <v>158.03899520466453</v>
      </c>
      <c r="Q50" s="21">
        <f>(N50-Geraetedaten!$B$161)/(Geraetedaten!$B$174-Geraetedaten!$B$161)*(Geraetedaten!$B$175-Geraetedaten!$B$162)+Geraetedaten!$B$162</f>
        <v>36.664322983710669</v>
      </c>
      <c r="R50" s="21">
        <f t="shared" si="8"/>
        <v>36.664322983710669</v>
      </c>
      <c r="S50" s="21">
        <f t="shared" si="9"/>
        <v>6.9958826346829941</v>
      </c>
      <c r="T50" s="88">
        <f t="shared" si="10"/>
        <v>35.990696103515354</v>
      </c>
      <c r="U50" s="86">
        <f t="shared" si="11"/>
        <v>-10431.27701</v>
      </c>
      <c r="V50" s="85">
        <f t="shared" si="12"/>
        <v>-1346.4914747781525</v>
      </c>
      <c r="W50" s="85">
        <f t="shared" si="13"/>
        <v>-2347.579073803824</v>
      </c>
      <c r="X50" s="90">
        <f t="shared" si="14"/>
        <v>1346.4914747781525</v>
      </c>
      <c r="Y50" s="86">
        <f t="shared" si="15"/>
        <v>-8617.4219200000007</v>
      </c>
      <c r="Z50" s="85">
        <f t="shared" si="16"/>
        <v>-818.62113479844345</v>
      </c>
      <c r="AA50" s="85">
        <f t="shared" si="17"/>
        <v>-825.64276914298694</v>
      </c>
      <c r="AB50" s="90">
        <f t="shared" si="18"/>
        <v>818.62113479844345</v>
      </c>
      <c r="AC50" s="86">
        <f t="shared" si="19"/>
        <v>10692.309939999999</v>
      </c>
      <c r="AD50" s="85">
        <f t="shared" si="20"/>
        <v>3384.56104615708</v>
      </c>
      <c r="AE50" s="85">
        <f t="shared" si="21"/>
        <v>6031.0511388086325</v>
      </c>
      <c r="AF50" s="90">
        <f t="shared" si="22"/>
        <v>3384.56104615708</v>
      </c>
      <c r="AG50" s="86">
        <f t="shared" si="23"/>
        <v>9081.5069899999999</v>
      </c>
      <c r="AH50" s="85">
        <f t="shared" si="24"/>
        <v>6139.2748628683721</v>
      </c>
      <c r="AI50" s="85">
        <f t="shared" si="25"/>
        <v>6241.2563203398149</v>
      </c>
      <c r="AJ50" s="90">
        <f t="shared" si="26"/>
        <v>6139.2748628683721</v>
      </c>
      <c r="AL50" s="95">
        <f t="shared" si="27"/>
        <v>0</v>
      </c>
      <c r="AM50" s="95">
        <f t="shared" si="28"/>
        <v>0</v>
      </c>
      <c r="AN50" s="95">
        <f t="shared" si="29"/>
        <v>0</v>
      </c>
      <c r="AO50" s="95">
        <f t="shared" si="30"/>
        <v>0</v>
      </c>
      <c r="AP50"/>
      <c r="AQ50" s="95">
        <f t="shared" si="31"/>
        <v>0</v>
      </c>
      <c r="AR50" s="95">
        <f t="shared" si="32"/>
        <v>0</v>
      </c>
      <c r="AS50" s="95">
        <f>Geraetedaten!$B$94*ABS(SIN(RADIANS($A50)))</f>
        <v>29.3845852879879</v>
      </c>
      <c r="AT50" s="95">
        <f>Geraetedaten!$B$94*ABS(COS(RADIANS($A50)))</f>
        <v>151.17058625094026</v>
      </c>
      <c r="AU50" s="95">
        <f>((h_Aw_Sw+Geraetedaten!$B$18)/1000)*(AQ50*AS50+AR50*AT50)/100</f>
        <v>0</v>
      </c>
    </row>
    <row r="51" spans="1:47" ht="13.5" x14ac:dyDescent="0.25">
      <c r="A51" s="16">
        <v>12</v>
      </c>
      <c r="B51" s="16">
        <f t="shared" si="0"/>
        <v>438</v>
      </c>
      <c r="C51" s="19">
        <f t="shared" si="1"/>
        <v>42.504822614815218</v>
      </c>
      <c r="D51" s="17">
        <f t="shared" si="2"/>
        <v>-10221.614822614816</v>
      </c>
      <c r="E51" s="17">
        <f t="shared" si="3"/>
        <v>-8681.0311226148151</v>
      </c>
      <c r="F51" s="17">
        <f t="shared" si="4"/>
        <v>10383.037147385185</v>
      </c>
      <c r="G51" s="17">
        <f t="shared" si="5"/>
        <v>9069.495947385185</v>
      </c>
      <c r="H51" s="17">
        <f t="shared" si="33"/>
        <v>9069.495947385185</v>
      </c>
      <c r="I51" s="17">
        <f t="shared" si="6"/>
        <v>6262.2131408808045</v>
      </c>
      <c r="J51" s="20">
        <f>(Geraetedaten!$B$152+(Geraetedaten!$B$153*(Geraetedaten!$B$18+d_y_Sw)/1000))*10</f>
        <v>6051.0442000000003</v>
      </c>
      <c r="K51" s="20">
        <f>(Geraetedaten!$B$165+(Geraetedaten!$B$166*(Geraetedaten!$B$18+d_y_Sw)/1000))*10</f>
        <v>10816.164000000001</v>
      </c>
      <c r="L51" s="20">
        <f>(Geraetedaten!$B$158+(Geraetedaten!$B$159*(Geraetedaten!$B$18+d_y_Sw)/1000)-(Geraetedaten!$B$160*I51/1000))*10</f>
        <v>142.32851037921046</v>
      </c>
      <c r="M51" s="20">
        <f>(Geraetedaten!$B$171+(Geraetedaten!$B$172*(Geraetedaten!$B$18+d_y_Sw)/1000)-(Geraetedaten!$B$173*I51/1000))*10</f>
        <v>598.7078537928337</v>
      </c>
      <c r="N51" s="20">
        <f>IF((H51-J51)/(K51-J51)*(Geraetedaten!$B$174-Geraetedaten!$B$161)&lt;Geraetedaten!$B$174,(H51-J51)/(K51-J51)*(Geraetedaten!$B$174-Geraetedaten!$B$161),Geraetedaten!$B$174)</f>
        <v>253.3788760051896</v>
      </c>
      <c r="O51" s="20">
        <f>N51/Geraetedaten!$B$174*(M51-L51)+L51+C51</f>
        <v>473.92554565935143</v>
      </c>
      <c r="P51" s="20">
        <f t="shared" si="7"/>
        <v>158.5206617329525</v>
      </c>
      <c r="Q51" s="21">
        <f>(N51-Geraetedaten!$B$161)/(Geraetedaten!$B$174-Geraetedaten!$B$161)*(Geraetedaten!$B$175-Geraetedaten!$B$162)+Geraetedaten!$B$162</f>
        <v>36.73802156115439</v>
      </c>
      <c r="R51" s="21">
        <f t="shared" si="8"/>
        <v>36.73802156115439</v>
      </c>
      <c r="S51" s="21">
        <f t="shared" si="9"/>
        <v>7.6382641800789077</v>
      </c>
      <c r="T51" s="88">
        <f t="shared" si="10"/>
        <v>35.93520764574999</v>
      </c>
      <c r="U51" s="86">
        <f t="shared" si="11"/>
        <v>-10179.11</v>
      </c>
      <c r="V51" s="85">
        <f t="shared" si="12"/>
        <v>-1346.4914747781525</v>
      </c>
      <c r="W51" s="85">
        <f t="shared" si="13"/>
        <v>-2290.8283995804395</v>
      </c>
      <c r="X51" s="90">
        <f t="shared" si="14"/>
        <v>1346.4914747781525</v>
      </c>
      <c r="Y51" s="86">
        <f t="shared" si="15"/>
        <v>-8638.5262999999995</v>
      </c>
      <c r="Z51" s="85">
        <f t="shared" si="16"/>
        <v>-818.62113479844345</v>
      </c>
      <c r="AA51" s="85">
        <f t="shared" si="17"/>
        <v>-827.66479761256824</v>
      </c>
      <c r="AB51" s="90">
        <f t="shared" si="18"/>
        <v>818.62113479844345</v>
      </c>
      <c r="AC51" s="86">
        <f t="shared" si="19"/>
        <v>10425.54197</v>
      </c>
      <c r="AD51" s="85">
        <f t="shared" si="20"/>
        <v>3384.56104615708</v>
      </c>
      <c r="AE51" s="85">
        <f t="shared" si="21"/>
        <v>5880.5793286995331</v>
      </c>
      <c r="AF51" s="90">
        <f t="shared" si="22"/>
        <v>3384.56104615708</v>
      </c>
      <c r="AG51" s="86">
        <f t="shared" si="23"/>
        <v>9112.0007700000006</v>
      </c>
      <c r="AH51" s="85">
        <f t="shared" si="24"/>
        <v>6139.2748628683721</v>
      </c>
      <c r="AI51" s="85">
        <f t="shared" si="25"/>
        <v>6262.2131408808045</v>
      </c>
      <c r="AJ51" s="90">
        <f t="shared" si="26"/>
        <v>6139.2748628683721</v>
      </c>
      <c r="AL51" s="95">
        <f t="shared" si="27"/>
        <v>0</v>
      </c>
      <c r="AM51" s="95">
        <f t="shared" si="28"/>
        <v>0</v>
      </c>
      <c r="AN51" s="95">
        <f t="shared" si="29"/>
        <v>0</v>
      </c>
      <c r="AO51" s="95">
        <f t="shared" si="30"/>
        <v>0</v>
      </c>
      <c r="AP51"/>
      <c r="AQ51" s="95">
        <f t="shared" si="31"/>
        <v>0</v>
      </c>
      <c r="AR51" s="95">
        <f t="shared" si="32"/>
        <v>0</v>
      </c>
      <c r="AS51" s="95">
        <f>Geraetedaten!$B$94*ABS(SIN(RADIANS($A51)))</f>
        <v>32.018400385934939</v>
      </c>
      <c r="AT51" s="95">
        <f>Geraetedaten!$B$94*ABS(COS(RADIANS($A51)))</f>
        <v>150.63473051300608</v>
      </c>
      <c r="AU51" s="95">
        <f>((h_Aw_Sw+Geraetedaten!$B$18)/1000)*(AQ51*AS51+AR51*AT51)/100</f>
        <v>0</v>
      </c>
    </row>
    <row r="52" spans="1:47" ht="13.5" x14ac:dyDescent="0.25">
      <c r="A52" s="16">
        <v>13</v>
      </c>
      <c r="B52" s="16">
        <f t="shared" si="0"/>
        <v>437</v>
      </c>
      <c r="C52" s="19">
        <f t="shared" si="1"/>
        <v>43.474516527462441</v>
      </c>
      <c r="D52" s="17">
        <f t="shared" si="2"/>
        <v>-9985.2784565274615</v>
      </c>
      <c r="E52" s="17">
        <f t="shared" si="3"/>
        <v>-8705.853936527461</v>
      </c>
      <c r="F52" s="17">
        <f t="shared" si="4"/>
        <v>10131.310823472539</v>
      </c>
      <c r="G52" s="17">
        <f t="shared" si="5"/>
        <v>9102.020703472539</v>
      </c>
      <c r="H52" s="17">
        <f t="shared" si="33"/>
        <v>9102.020703472539</v>
      </c>
      <c r="I52" s="17">
        <f t="shared" si="6"/>
        <v>6285.2321656264221</v>
      </c>
      <c r="J52" s="20">
        <f>(Geraetedaten!$B$152+(Geraetedaten!$B$153*(Geraetedaten!$B$18+d_y_Sw)/1000))*10</f>
        <v>6051.0442000000003</v>
      </c>
      <c r="K52" s="20">
        <f>(Geraetedaten!$B$165+(Geraetedaten!$B$166*(Geraetedaten!$B$18+d_y_Sw)/1000))*10</f>
        <v>10816.164000000001</v>
      </c>
      <c r="L52" s="20">
        <f>(Geraetedaten!$B$158+(Geraetedaten!$B$159*(Geraetedaten!$B$18+d_y_Sw)/1000)-(Geraetedaten!$B$160*I52/1000))*10</f>
        <v>140.64052529461435</v>
      </c>
      <c r="M52" s="20">
        <f>(Geraetedaten!$B$171+(Geraetedaten!$B$172*(Geraetedaten!$B$18+d_y_Sw)/1000)-(Geraetedaten!$B$173*I52/1000))*10</f>
        <v>596.99431759076992</v>
      </c>
      <c r="N52" s="20">
        <f>IF((H52-J52)/(K52-J52)*(Geraetedaten!$B$174-Geraetedaten!$B$161)&lt;Geraetedaten!$B$174,(H52-J52)/(K52-J52)*(Geraetedaten!$B$174-Geraetedaten!$B$161),Geraetedaten!$B$174)</f>
        <v>256.10911217573488</v>
      </c>
      <c r="O52" s="20">
        <f>N52/Geraetedaten!$B$174*(M52-L52)+L52+C52</f>
        <v>476.30595327957212</v>
      </c>
      <c r="P52" s="20">
        <f t="shared" si="7"/>
        <v>159.01317276696042</v>
      </c>
      <c r="Q52" s="21">
        <f>(N52-Geraetedaten!$B$161)/(Geraetedaten!$B$174-Geraetedaten!$B$161)*(Geraetedaten!$B$175-Geraetedaten!$B$162)+Geraetedaten!$B$162</f>
        <v>36.819246087228116</v>
      </c>
      <c r="R52" s="21">
        <f t="shared" si="8"/>
        <v>36.819246087228116</v>
      </c>
      <c r="S52" s="21">
        <f t="shared" si="9"/>
        <v>8.2825282274681911</v>
      </c>
      <c r="T52" s="88">
        <f t="shared" si="10"/>
        <v>35.875571195355981</v>
      </c>
      <c r="U52" s="86">
        <f t="shared" si="11"/>
        <v>-9941.8039399999998</v>
      </c>
      <c r="V52" s="85">
        <f t="shared" si="12"/>
        <v>-1346.4914747781525</v>
      </c>
      <c r="W52" s="85">
        <f t="shared" si="13"/>
        <v>-2237.4222117883633</v>
      </c>
      <c r="X52" s="90">
        <f t="shared" si="14"/>
        <v>1346.4914747781525</v>
      </c>
      <c r="Y52" s="86">
        <f t="shared" si="15"/>
        <v>-8662.3794199999993</v>
      </c>
      <c r="Z52" s="85">
        <f t="shared" si="16"/>
        <v>-818.62113479844345</v>
      </c>
      <c r="AA52" s="85">
        <f t="shared" si="17"/>
        <v>-829.95018596550631</v>
      </c>
      <c r="AB52" s="90">
        <f t="shared" si="18"/>
        <v>818.62113479844345</v>
      </c>
      <c r="AC52" s="86">
        <f t="shared" si="19"/>
        <v>10174.78534</v>
      </c>
      <c r="AD52" s="85">
        <f t="shared" si="20"/>
        <v>3384.56104615708</v>
      </c>
      <c r="AE52" s="85">
        <f t="shared" si="21"/>
        <v>5739.1387878874912</v>
      </c>
      <c r="AF52" s="90">
        <f t="shared" si="22"/>
        <v>3384.56104615708</v>
      </c>
      <c r="AG52" s="86">
        <f t="shared" si="23"/>
        <v>9145.4952200000007</v>
      </c>
      <c r="AH52" s="85">
        <f t="shared" si="24"/>
        <v>6139.2748628683721</v>
      </c>
      <c r="AI52" s="85">
        <f t="shared" si="25"/>
        <v>6285.2321656264221</v>
      </c>
      <c r="AJ52" s="90">
        <f t="shared" si="26"/>
        <v>6139.2748628683721</v>
      </c>
      <c r="AL52" s="95">
        <f t="shared" si="27"/>
        <v>0</v>
      </c>
      <c r="AM52" s="95">
        <f t="shared" si="28"/>
        <v>0</v>
      </c>
      <c r="AN52" s="95">
        <f t="shared" si="29"/>
        <v>0</v>
      </c>
      <c r="AO52" s="95">
        <f t="shared" si="30"/>
        <v>0</v>
      </c>
      <c r="AP52"/>
      <c r="AQ52" s="95">
        <f t="shared" si="31"/>
        <v>0</v>
      </c>
      <c r="AR52" s="95">
        <f t="shared" si="32"/>
        <v>0</v>
      </c>
      <c r="AS52" s="95">
        <f>Geraetedaten!$B$94*ABS(SIN(RADIANS($A52)))</f>
        <v>34.642462368955208</v>
      </c>
      <c r="AT52" s="95">
        <f>Geraetedaten!$B$94*ABS(COS(RADIANS($A52)))</f>
        <v>150.05298997692623</v>
      </c>
      <c r="AU52" s="95">
        <f>((h_Aw_Sw+Geraetedaten!$B$18)/1000)*(AQ52*AS52+AR52*AT52)/100</f>
        <v>0</v>
      </c>
    </row>
    <row r="53" spans="1:47" ht="13.5" x14ac:dyDescent="0.25">
      <c r="A53" s="16">
        <v>14</v>
      </c>
      <c r="B53" s="16">
        <f t="shared" si="0"/>
        <v>436</v>
      </c>
      <c r="C53" s="19">
        <f t="shared" si="1"/>
        <v>44.43096768122831</v>
      </c>
      <c r="D53" s="17">
        <f t="shared" si="2"/>
        <v>-9762.6342476812279</v>
      </c>
      <c r="E53" s="17">
        <f t="shared" si="3"/>
        <v>-8733.4496876812282</v>
      </c>
      <c r="F53" s="17">
        <f t="shared" si="4"/>
        <v>9894.3332223187717</v>
      </c>
      <c r="G53" s="17">
        <f t="shared" si="5"/>
        <v>9137.6131123187715</v>
      </c>
      <c r="H53" s="17">
        <f t="shared" si="33"/>
        <v>9137.6131123187715</v>
      </c>
      <c r="I53" s="17">
        <f t="shared" si="6"/>
        <v>6310.3503298253281</v>
      </c>
      <c r="J53" s="20">
        <f>(Geraetedaten!$B$152+(Geraetedaten!$B$153*(Geraetedaten!$B$18+d_y_Sw)/1000))*10</f>
        <v>6051.0442000000003</v>
      </c>
      <c r="K53" s="20">
        <f>(Geraetedaten!$B$165+(Geraetedaten!$B$166*(Geraetedaten!$B$18+d_y_Sw)/1000))*10</f>
        <v>10816.164000000001</v>
      </c>
      <c r="L53" s="20">
        <f>(Geraetedaten!$B$158+(Geraetedaten!$B$159*(Geraetedaten!$B$18+d_y_Sw)/1000)-(Geraetedaten!$B$160*I53/1000))*10</f>
        <v>138.79861031390851</v>
      </c>
      <c r="M53" s="20">
        <f>(Geraetedaten!$B$171+(Geraetedaten!$B$172*(Geraetedaten!$B$18+d_y_Sw)/1000)-(Geraetedaten!$B$173*I53/1000))*10</f>
        <v>595.12452144780343</v>
      </c>
      <c r="N53" s="20">
        <f>IF((H53-J53)/(K53-J53)*(Geraetedaten!$B$174-Geraetedaten!$B$161)&lt;Geraetedaten!$B$174,(H53-J53)/(K53-J53)*(Geraetedaten!$B$174-Geraetedaten!$B$161),Geraetedaten!$B$174)</f>
        <v>259.09685731878312</v>
      </c>
      <c r="O53" s="20">
        <f>N53/Geraetedaten!$B$174*(M53-L53)+L53+C53</f>
        <v>478.81110171494299</v>
      </c>
      <c r="P53" s="20">
        <f t="shared" si="7"/>
        <v>159.51637422015278</v>
      </c>
      <c r="Q53" s="21">
        <f>(N53-Geraetedaten!$B$161)/(Geraetedaten!$B$174-Geraetedaten!$B$161)*(Geraetedaten!$B$175-Geraetedaten!$B$162)+Geraetedaten!$B$162</f>
        <v>36.908131505233797</v>
      </c>
      <c r="R53" s="21">
        <f t="shared" si="8"/>
        <v>36.908131505233797</v>
      </c>
      <c r="S53" s="21">
        <f t="shared" si="9"/>
        <v>8.9288851367879776</v>
      </c>
      <c r="T53" s="88">
        <f t="shared" si="10"/>
        <v>35.811802264360814</v>
      </c>
      <c r="U53" s="86">
        <f t="shared" si="11"/>
        <v>-9718.2032799999997</v>
      </c>
      <c r="V53" s="85">
        <f t="shared" si="12"/>
        <v>-1346.4914747781525</v>
      </c>
      <c r="W53" s="85">
        <f t="shared" si="13"/>
        <v>-2187.1004504275284</v>
      </c>
      <c r="X53" s="90">
        <f t="shared" si="14"/>
        <v>1346.4914747781525</v>
      </c>
      <c r="Y53" s="86">
        <f t="shared" si="15"/>
        <v>-8689.01872</v>
      </c>
      <c r="Z53" s="85">
        <f t="shared" si="16"/>
        <v>-818.62113479844345</v>
      </c>
      <c r="AA53" s="85">
        <f t="shared" si="17"/>
        <v>-832.5025208078373</v>
      </c>
      <c r="AB53" s="90">
        <f t="shared" si="18"/>
        <v>818.62113479844345</v>
      </c>
      <c r="AC53" s="86">
        <f t="shared" si="19"/>
        <v>9938.7641899999999</v>
      </c>
      <c r="AD53" s="85">
        <f t="shared" si="20"/>
        <v>3384.56104615708</v>
      </c>
      <c r="AE53" s="85">
        <f t="shared" si="21"/>
        <v>5606.0098760042956</v>
      </c>
      <c r="AF53" s="90">
        <f t="shared" si="22"/>
        <v>3384.56104615708</v>
      </c>
      <c r="AG53" s="86">
        <f t="shared" si="23"/>
        <v>9182.0440799999997</v>
      </c>
      <c r="AH53" s="85">
        <f t="shared" si="24"/>
        <v>6139.2748628683721</v>
      </c>
      <c r="AI53" s="85">
        <f t="shared" si="25"/>
        <v>6310.3503298253281</v>
      </c>
      <c r="AJ53" s="90">
        <f t="shared" si="26"/>
        <v>6139.2748628683721</v>
      </c>
      <c r="AL53" s="95">
        <f t="shared" si="27"/>
        <v>0</v>
      </c>
      <c r="AM53" s="95">
        <f t="shared" si="28"/>
        <v>0</v>
      </c>
      <c r="AN53" s="95">
        <f t="shared" si="29"/>
        <v>0</v>
      </c>
      <c r="AO53" s="95">
        <f t="shared" si="30"/>
        <v>0</v>
      </c>
      <c r="AP53"/>
      <c r="AQ53" s="95">
        <f t="shared" si="31"/>
        <v>0</v>
      </c>
      <c r="AR53" s="95">
        <f t="shared" si="32"/>
        <v>0</v>
      </c>
      <c r="AS53" s="95">
        <f>Geraetedaten!$B$94*ABS(SIN(RADIANS($A53)))</f>
        <v>37.255971922348827</v>
      </c>
      <c r="AT53" s="95">
        <f>Geraetedaten!$B$94*ABS(COS(RADIANS($A53)))</f>
        <v>149.42554184650345</v>
      </c>
      <c r="AU53" s="95">
        <f>((h_Aw_Sw+Geraetedaten!$B$18)/1000)*(AQ53*AS53+AR53*AT53)/100</f>
        <v>0</v>
      </c>
    </row>
    <row r="54" spans="1:47" ht="13.5" x14ac:dyDescent="0.25">
      <c r="A54" s="16">
        <v>15</v>
      </c>
      <c r="B54" s="16">
        <f t="shared" si="0"/>
        <v>435</v>
      </c>
      <c r="C54" s="19">
        <f t="shared" si="1"/>
        <v>45.373884731826024</v>
      </c>
      <c r="D54" s="17">
        <f t="shared" si="2"/>
        <v>-9552.6455547318255</v>
      </c>
      <c r="E54" s="17">
        <f t="shared" si="3"/>
        <v>-8763.8601847318259</v>
      </c>
      <c r="F54" s="17">
        <f t="shared" si="4"/>
        <v>9670.9633252681742</v>
      </c>
      <c r="G54" s="17">
        <f t="shared" si="5"/>
        <v>9176.3326352681743</v>
      </c>
      <c r="H54" s="17">
        <f t="shared" si="33"/>
        <v>9176.3326352681743</v>
      </c>
      <c r="I54" s="17">
        <f t="shared" si="6"/>
        <v>6337.6083057675405</v>
      </c>
      <c r="J54" s="20">
        <f>(Geraetedaten!$B$152+(Geraetedaten!$B$153*(Geraetedaten!$B$18+d_y_Sw)/1000))*10</f>
        <v>6051.0442000000003</v>
      </c>
      <c r="K54" s="20">
        <f>(Geraetedaten!$B$165+(Geraetedaten!$B$166*(Geraetedaten!$B$18+d_y_Sw)/1000))*10</f>
        <v>10816.164000000001</v>
      </c>
      <c r="L54" s="20">
        <f>(Geraetedaten!$B$158+(Geraetedaten!$B$159*(Geraetedaten!$B$18+d_y_Sw)/1000)-(Geraetedaten!$B$160*I54/1000))*10</f>
        <v>136.79978293806613</v>
      </c>
      <c r="M54" s="20">
        <f>(Geraetedaten!$B$171+(Geraetedaten!$B$172*(Geraetedaten!$B$18+d_y_Sw)/1000)-(Geraetedaten!$B$173*I54/1000))*10</f>
        <v>593.09543771866515</v>
      </c>
      <c r="N54" s="20">
        <f>IF((H54-J54)/(K54-J54)*(Geraetedaten!$B$174-Geraetedaten!$B$161)&lt;Geraetedaten!$B$174,(H54-J54)/(K54-J54)*(Geraetedaten!$B$174-Geraetedaten!$B$161),Geraetedaten!$B$174)</f>
        <v>262.34710281728269</v>
      </c>
      <c r="O54" s="20">
        <f>N54/Geraetedaten!$B$174*(M54-L54)+L54+C54</f>
        <v>481.44327531940502</v>
      </c>
      <c r="P54" s="20">
        <f t="shared" si="7"/>
        <v>160.03012229570129</v>
      </c>
      <c r="Q54" s="21">
        <f>(N54-Geraetedaten!$B$161)/(Geraetedaten!$B$174-Geraetedaten!$B$161)*(Geraetedaten!$B$175-Geraetedaten!$B$162)+Geraetedaten!$B$162</f>
        <v>37.00482630881416</v>
      </c>
      <c r="R54" s="21">
        <f t="shared" si="8"/>
        <v>37.00482630881416</v>
      </c>
      <c r="S54" s="21">
        <f t="shared" si="9"/>
        <v>9.5775538094319188</v>
      </c>
      <c r="T54" s="88">
        <f t="shared" si="10"/>
        <v>35.743917429024769</v>
      </c>
      <c r="U54" s="86">
        <f t="shared" si="11"/>
        <v>-9507.2716700000001</v>
      </c>
      <c r="V54" s="85">
        <f t="shared" si="12"/>
        <v>-1346.4914747781525</v>
      </c>
      <c r="W54" s="85">
        <f t="shared" si="13"/>
        <v>-2139.6298838628632</v>
      </c>
      <c r="X54" s="90">
        <f t="shared" si="14"/>
        <v>1346.4914747781525</v>
      </c>
      <c r="Y54" s="86">
        <f t="shared" si="15"/>
        <v>-8718.4863000000005</v>
      </c>
      <c r="Z54" s="85">
        <f t="shared" si="16"/>
        <v>-818.62113479844345</v>
      </c>
      <c r="AA54" s="85">
        <f t="shared" si="17"/>
        <v>-835.32583565616744</v>
      </c>
      <c r="AB54" s="90">
        <f t="shared" si="18"/>
        <v>818.62113479844345</v>
      </c>
      <c r="AC54" s="86">
        <f t="shared" si="19"/>
        <v>9716.3372099999997</v>
      </c>
      <c r="AD54" s="85">
        <f t="shared" si="20"/>
        <v>3384.56104615708</v>
      </c>
      <c r="AE54" s="85">
        <f t="shared" si="21"/>
        <v>5480.5488187131259</v>
      </c>
      <c r="AF54" s="90">
        <f t="shared" si="22"/>
        <v>3384.56104615708</v>
      </c>
      <c r="AG54" s="86">
        <f t="shared" si="23"/>
        <v>9221.7065199999997</v>
      </c>
      <c r="AH54" s="85">
        <f t="shared" si="24"/>
        <v>6139.2748628683721</v>
      </c>
      <c r="AI54" s="85">
        <f t="shared" si="25"/>
        <v>6337.6083057675405</v>
      </c>
      <c r="AJ54" s="90">
        <f t="shared" si="26"/>
        <v>6139.2748628683721</v>
      </c>
      <c r="AL54" s="95">
        <f t="shared" si="27"/>
        <v>0</v>
      </c>
      <c r="AM54" s="95">
        <f t="shared" si="28"/>
        <v>0</v>
      </c>
      <c r="AN54" s="95">
        <f t="shared" si="29"/>
        <v>0</v>
      </c>
      <c r="AO54" s="95">
        <f t="shared" si="30"/>
        <v>0</v>
      </c>
      <c r="AP54"/>
      <c r="AQ54" s="95">
        <f t="shared" si="31"/>
        <v>0</v>
      </c>
      <c r="AR54" s="95">
        <f t="shared" si="32"/>
        <v>0</v>
      </c>
      <c r="AS54" s="95">
        <f>Geraetedaten!$B$94*ABS(SIN(RADIANS($A54)))</f>
        <v>39.858132945788192</v>
      </c>
      <c r="AT54" s="95">
        <f>Geraetedaten!$B$94*ABS(COS(RADIANS($A54)))</f>
        <v>148.75257724851653</v>
      </c>
      <c r="AU54" s="95">
        <f>((h_Aw_Sw+Geraetedaten!$B$18)/1000)*(AQ54*AS54+AR54*AT54)/100</f>
        <v>0</v>
      </c>
    </row>
    <row r="55" spans="1:47" ht="13.5" x14ac:dyDescent="0.25">
      <c r="A55" s="16">
        <v>16</v>
      </c>
      <c r="B55" s="16">
        <f t="shared" si="0"/>
        <v>434</v>
      </c>
      <c r="C55" s="19">
        <f t="shared" si="1"/>
        <v>46.302980457587736</v>
      </c>
      <c r="D55" s="17">
        <f t="shared" si="2"/>
        <v>-9354.3800804575876</v>
      </c>
      <c r="E55" s="17">
        <f t="shared" si="3"/>
        <v>-8797.1320704575865</v>
      </c>
      <c r="F55" s="17">
        <f t="shared" si="4"/>
        <v>9460.1774095424134</v>
      </c>
      <c r="G55" s="17">
        <f t="shared" si="5"/>
        <v>9218.2444395424136</v>
      </c>
      <c r="H55" s="17">
        <f t="shared" si="33"/>
        <v>9218.2444395424136</v>
      </c>
      <c r="I55" s="17">
        <f t="shared" si="6"/>
        <v>6367.0506678855354</v>
      </c>
      <c r="J55" s="20">
        <f>(Geraetedaten!$B$152+(Geraetedaten!$B$153*(Geraetedaten!$B$18+d_y_Sw)/1000))*10</f>
        <v>6051.0442000000003</v>
      </c>
      <c r="K55" s="20">
        <f>(Geraetedaten!$B$165+(Geraetedaten!$B$166*(Geraetedaten!$B$18+d_y_Sw)/1000))*10</f>
        <v>10816.164000000001</v>
      </c>
      <c r="L55" s="20">
        <f>(Geraetedaten!$B$158+(Geraetedaten!$B$159*(Geraetedaten!$B$18+d_y_Sw)/1000)-(Geraetedaten!$B$160*I55/1000))*10</f>
        <v>134.6407745239535</v>
      </c>
      <c r="M55" s="20">
        <f>(Geraetedaten!$B$171+(Geraetedaten!$B$172*(Geraetedaten!$B$18+d_y_Sw)/1000)-(Geraetedaten!$B$173*I55/1000))*10</f>
        <v>590.90374828260155</v>
      </c>
      <c r="N55" s="20">
        <f>IF((H55-J55)/(K55-J55)*(Geraetedaten!$B$174-Geraetedaten!$B$161)&lt;Geraetedaten!$B$174,(H55-J55)/(K55-J55)*(Geraetedaten!$B$174-Geraetedaten!$B$161),Geraetedaten!$B$174)</f>
        <v>265.86531902450076</v>
      </c>
      <c r="O55" s="20">
        <f>N55/Geraetedaten!$B$174*(M55-L55)+L55+C55</f>
        <v>484.20500767506718</v>
      </c>
      <c r="P55" s="20">
        <f t="shared" si="7"/>
        <v>160.55428424124332</v>
      </c>
      <c r="Q55" s="21">
        <f>(N55-Geraetedaten!$B$161)/(Geraetedaten!$B$174-Geraetedaten!$B$161)*(Geraetedaten!$B$175-Geraetedaten!$B$162)+Geraetedaten!$B$162</f>
        <v>37.1094932409789</v>
      </c>
      <c r="R55" s="21">
        <f t="shared" si="8"/>
        <v>37.1094932409789</v>
      </c>
      <c r="S55" s="21">
        <f t="shared" si="9"/>
        <v>10.228762592652226</v>
      </c>
      <c r="T55" s="88">
        <f t="shared" si="10"/>
        <v>35.671934408234961</v>
      </c>
      <c r="U55" s="86">
        <f t="shared" si="11"/>
        <v>-9308.0771000000004</v>
      </c>
      <c r="V55" s="85">
        <f t="shared" si="12"/>
        <v>-1346.4914747781525</v>
      </c>
      <c r="W55" s="85">
        <f t="shared" si="13"/>
        <v>-2094.8007597520482</v>
      </c>
      <c r="X55" s="90">
        <f t="shared" si="14"/>
        <v>1346.4914747781525</v>
      </c>
      <c r="Y55" s="86">
        <f t="shared" si="15"/>
        <v>-8750.8290899999993</v>
      </c>
      <c r="Z55" s="85">
        <f t="shared" si="16"/>
        <v>-818.62113479844345</v>
      </c>
      <c r="AA55" s="85">
        <f t="shared" si="17"/>
        <v>-838.42462675462582</v>
      </c>
      <c r="AB55" s="90">
        <f t="shared" si="18"/>
        <v>818.62113479844345</v>
      </c>
      <c r="AC55" s="86">
        <f t="shared" si="19"/>
        <v>9506.4803900000006</v>
      </c>
      <c r="AD55" s="85">
        <f t="shared" si="20"/>
        <v>3384.56104615708</v>
      </c>
      <c r="AE55" s="85">
        <f t="shared" si="21"/>
        <v>5362.1780267842414</v>
      </c>
      <c r="AF55" s="90">
        <f t="shared" si="22"/>
        <v>3384.56104615708</v>
      </c>
      <c r="AG55" s="86">
        <f t="shared" si="23"/>
        <v>9264.5474200000008</v>
      </c>
      <c r="AH55" s="85">
        <f t="shared" si="24"/>
        <v>6139.2748628683721</v>
      </c>
      <c r="AI55" s="85">
        <f t="shared" si="25"/>
        <v>6367.0506678855354</v>
      </c>
      <c r="AJ55" s="90">
        <f t="shared" si="26"/>
        <v>6139.2748628683721</v>
      </c>
      <c r="AL55" s="95">
        <f t="shared" si="27"/>
        <v>0</v>
      </c>
      <c r="AM55" s="95">
        <f t="shared" si="28"/>
        <v>0</v>
      </c>
      <c r="AN55" s="95">
        <f t="shared" si="29"/>
        <v>0</v>
      </c>
      <c r="AO55" s="95">
        <f t="shared" si="30"/>
        <v>0</v>
      </c>
      <c r="AP55"/>
      <c r="AQ55" s="95">
        <f t="shared" si="31"/>
        <v>0</v>
      </c>
      <c r="AR55" s="95">
        <f t="shared" si="32"/>
        <v>0</v>
      </c>
      <c r="AS55" s="95">
        <f>Geraetedaten!$B$94*ABS(SIN(RADIANS($A55)))</f>
        <v>42.448152795817869</v>
      </c>
      <c r="AT55" s="95">
        <f>Geraetedaten!$B$94*ABS(COS(RADIANS($A55)))</f>
        <v>148.03430117450111</v>
      </c>
      <c r="AU55" s="95">
        <f>((h_Aw_Sw+Geraetedaten!$B$18)/1000)*(AQ55*AS55+AR55*AT55)/100</f>
        <v>0</v>
      </c>
    </row>
    <row r="56" spans="1:47" ht="13.5" x14ac:dyDescent="0.25">
      <c r="A56" s="16">
        <v>17</v>
      </c>
      <c r="B56" s="16">
        <f t="shared" si="0"/>
        <v>433</v>
      </c>
      <c r="C56" s="19">
        <f t="shared" si="1"/>
        <v>47.217971846955017</v>
      </c>
      <c r="D56" s="17">
        <f t="shared" si="2"/>
        <v>-9166.997141846954</v>
      </c>
      <c r="E56" s="17">
        <f t="shared" si="3"/>
        <v>-8833.3170018469536</v>
      </c>
      <c r="F56" s="17">
        <f t="shared" si="4"/>
        <v>9261.0545181530451</v>
      </c>
      <c r="G56" s="17">
        <f t="shared" si="5"/>
        <v>9263.4195981530465</v>
      </c>
      <c r="H56" s="17">
        <f t="shared" si="33"/>
        <v>9261.0545181530451</v>
      </c>
      <c r="I56" s="17">
        <f t="shared" si="6"/>
        <v>5250.3778628531854</v>
      </c>
      <c r="J56" s="20">
        <f>(Geraetedaten!$B$152+(Geraetedaten!$B$153*(Geraetedaten!$B$18+d_y_Sw)/1000))*10</f>
        <v>6051.0442000000003</v>
      </c>
      <c r="K56" s="20">
        <f>(Geraetedaten!$B$165+(Geraetedaten!$B$166*(Geraetedaten!$B$18+d_y_Sw)/1000))*10</f>
        <v>10816.164000000001</v>
      </c>
      <c r="L56" s="20">
        <f>(Geraetedaten!$B$158+(Geraetedaten!$B$159*(Geraetedaten!$B$18+d_y_Sw)/1000)-(Geraetedaten!$B$160*I56/1000))*10</f>
        <v>216.52639131697569</v>
      </c>
      <c r="M56" s="20">
        <f>(Geraetedaten!$B$171+(Geraetedaten!$B$172*(Geraetedaten!$B$18+d_y_Sw)/1000)-(Geraetedaten!$B$173*I56/1000))*10</f>
        <v>674.02887188920977</v>
      </c>
      <c r="N56" s="20">
        <f>IF((H56-J56)/(K56-J56)*(Geraetedaten!$B$174-Geraetedaten!$B$161)&lt;Geraetedaten!$B$174,(H56-J56)/(K56-J56)*(Geraetedaten!$B$174-Geraetedaten!$B$161),Geraetedaten!$B$174)</f>
        <v>269.45893936627112</v>
      </c>
      <c r="O56" s="20">
        <f>N56/Geraetedaten!$B$174*(M56-L56)+L56+C56</f>
        <v>571.93969609501141</v>
      </c>
      <c r="P56" s="20">
        <f t="shared" si="7"/>
        <v>182.38645838084716</v>
      </c>
      <c r="Q56" s="21">
        <f>(N56-Geraetedaten!$B$161)/(Geraetedaten!$B$174-Geraetedaten!$B$161)*(Geraetedaten!$B$175-Geraetedaten!$B$162)+Geraetedaten!$B$162</f>
        <v>37.216403446146565</v>
      </c>
      <c r="R56" s="21">
        <f t="shared" si="8"/>
        <v>37.216403446146565</v>
      </c>
      <c r="S56" s="21">
        <f t="shared" si="9"/>
        <v>10.881023319199006</v>
      </c>
      <c r="T56" s="88">
        <f t="shared" si="10"/>
        <v>35.590223615389064</v>
      </c>
      <c r="U56" s="86">
        <f t="shared" si="11"/>
        <v>-9119.7791699999998</v>
      </c>
      <c r="V56" s="85">
        <f t="shared" si="12"/>
        <v>-1346.4914747781525</v>
      </c>
      <c r="W56" s="85">
        <f t="shared" si="13"/>
        <v>-2052.4239463086419</v>
      </c>
      <c r="X56" s="90">
        <f t="shared" si="14"/>
        <v>1346.4914747781525</v>
      </c>
      <c r="Y56" s="86">
        <f t="shared" si="15"/>
        <v>-8786.0990299999994</v>
      </c>
      <c r="Z56" s="85">
        <f t="shared" si="16"/>
        <v>-818.62113479844345</v>
      </c>
      <c r="AA56" s="85">
        <f t="shared" si="17"/>
        <v>-841.80387090121496</v>
      </c>
      <c r="AB56" s="90">
        <f t="shared" si="18"/>
        <v>818.62113479844345</v>
      </c>
      <c r="AC56" s="86">
        <f t="shared" si="19"/>
        <v>9308.2724899999994</v>
      </c>
      <c r="AD56" s="85">
        <f t="shared" si="20"/>
        <v>3384.56104615708</v>
      </c>
      <c r="AE56" s="85">
        <f t="shared" si="21"/>
        <v>5250.3778628531854</v>
      </c>
      <c r="AF56" s="90">
        <f t="shared" si="22"/>
        <v>3384.56104615708</v>
      </c>
      <c r="AG56" s="86">
        <f t="shared" si="23"/>
        <v>9310.6375700000008</v>
      </c>
      <c r="AH56" s="85">
        <f t="shared" si="24"/>
        <v>6139.2748628683721</v>
      </c>
      <c r="AI56" s="85">
        <f t="shared" si="25"/>
        <v>6398.7260762248861</v>
      </c>
      <c r="AJ56" s="90">
        <f t="shared" si="26"/>
        <v>6139.2748628683721</v>
      </c>
      <c r="AL56" s="95">
        <f t="shared" si="27"/>
        <v>0</v>
      </c>
      <c r="AM56" s="95">
        <f t="shared" si="28"/>
        <v>0</v>
      </c>
      <c r="AN56" s="95">
        <f t="shared" si="29"/>
        <v>0</v>
      </c>
      <c r="AO56" s="95">
        <f t="shared" si="30"/>
        <v>0</v>
      </c>
      <c r="AP56"/>
      <c r="AQ56" s="95">
        <f t="shared" si="31"/>
        <v>0</v>
      </c>
      <c r="AR56" s="95">
        <f t="shared" si="32"/>
        <v>0</v>
      </c>
      <c r="AS56" s="95">
        <f>Geraetedaten!$B$94*ABS(SIN(RADIANS($A56)))</f>
        <v>45.025242527301465</v>
      </c>
      <c r="AT56" s="95">
        <f>Geraetedaten!$B$94*ABS(COS(RADIANS($A56)))</f>
        <v>147.27093241830747</v>
      </c>
      <c r="AU56" s="95">
        <f>((h_Aw_Sw+Geraetedaten!$B$18)/1000)*(AQ56*AS56+AR56*AT56)/100</f>
        <v>0</v>
      </c>
    </row>
    <row r="57" spans="1:47" ht="13.5" x14ac:dyDescent="0.25">
      <c r="A57" s="16">
        <v>18</v>
      </c>
      <c r="B57" s="16">
        <f t="shared" si="0"/>
        <v>432</v>
      </c>
      <c r="C57" s="19">
        <f t="shared" si="1"/>
        <v>48.118580184686948</v>
      </c>
      <c r="D57" s="17">
        <f t="shared" si="2"/>
        <v>-8989.7368101846878</v>
      </c>
      <c r="E57" s="17">
        <f t="shared" si="3"/>
        <v>-8872.4718701846868</v>
      </c>
      <c r="F57" s="17">
        <f t="shared" si="4"/>
        <v>9072.7639398153115</v>
      </c>
      <c r="G57" s="17">
        <f t="shared" si="5"/>
        <v>9311.9354398153118</v>
      </c>
      <c r="H57" s="17">
        <f t="shared" si="33"/>
        <v>9072.7639398153115</v>
      </c>
      <c r="I57" s="17">
        <f t="shared" si="6"/>
        <v>5144.6796095502505</v>
      </c>
      <c r="J57" s="20">
        <f>(Geraetedaten!$B$152+(Geraetedaten!$B$153*(Geraetedaten!$B$18+d_y_Sw)/1000))*10</f>
        <v>6051.0442000000003</v>
      </c>
      <c r="K57" s="20">
        <f>(Geraetedaten!$B$165+(Geraetedaten!$B$166*(Geraetedaten!$B$18+d_y_Sw)/1000))*10</f>
        <v>10816.164000000001</v>
      </c>
      <c r="L57" s="20">
        <f>(Geraetedaten!$B$158+(Geraetedaten!$B$159*(Geraetedaten!$B$18+d_y_Sw)/1000)-(Geraetedaten!$B$160*I57/1000))*10</f>
        <v>224.27724423167996</v>
      </c>
      <c r="M57" s="20">
        <f>(Geraetedaten!$B$171+(Geraetedaten!$B$172*(Geraetedaten!$B$18+d_y_Sw)/1000)-(Geraetedaten!$B$173*I57/1000))*10</f>
        <v>681.89704986508013</v>
      </c>
      <c r="N57" s="20">
        <f>IF((H57-J57)/(K57-J57)*(Geraetedaten!$B$174-Geraetedaten!$B$161)&lt;Geraetedaten!$B$174,(H57-J57)/(K57-J57)*(Geraetedaten!$B$174-Geraetedaten!$B$161),Geraetedaten!$B$174)</f>
        <v>253.653202155825</v>
      </c>
      <c r="O57" s="20">
        <f>N57/Geraetedaten!$B$174*(M57-L57)+L57+C57</f>
        <v>562.5876470884624</v>
      </c>
      <c r="P57" s="20">
        <f t="shared" si="7"/>
        <v>181.47359549451858</v>
      </c>
      <c r="Q57" s="21">
        <f>(N57-Geraetedaten!$B$161)/(Geraetedaten!$B$174-Geraetedaten!$B$161)*(Geraetedaten!$B$175-Geraetedaten!$B$162)+Geraetedaten!$B$162</f>
        <v>36.746182764135796</v>
      </c>
      <c r="R57" s="21">
        <f t="shared" si="8"/>
        <v>36.746182764135796</v>
      </c>
      <c r="S57" s="21">
        <f t="shared" si="9"/>
        <v>11.355194952525741</v>
      </c>
      <c r="T57" s="88">
        <f t="shared" si="10"/>
        <v>34.947696566804005</v>
      </c>
      <c r="U57" s="86">
        <f t="shared" si="11"/>
        <v>-8941.61823</v>
      </c>
      <c r="V57" s="85">
        <f t="shared" si="12"/>
        <v>-1346.4914747781525</v>
      </c>
      <c r="W57" s="85">
        <f t="shared" si="13"/>
        <v>-2012.3284821866134</v>
      </c>
      <c r="X57" s="90">
        <f t="shared" si="14"/>
        <v>1346.4914747781525</v>
      </c>
      <c r="Y57" s="86">
        <f t="shared" si="15"/>
        <v>-8824.3532899999991</v>
      </c>
      <c r="Z57" s="85">
        <f t="shared" si="16"/>
        <v>-818.62113479844345</v>
      </c>
      <c r="AA57" s="85">
        <f t="shared" si="17"/>
        <v>-845.4690454176332</v>
      </c>
      <c r="AB57" s="90">
        <f t="shared" si="18"/>
        <v>818.62113479844345</v>
      </c>
      <c r="AC57" s="86">
        <f t="shared" si="19"/>
        <v>9120.8825199999992</v>
      </c>
      <c r="AD57" s="85">
        <f t="shared" si="20"/>
        <v>3384.56104615708</v>
      </c>
      <c r="AE57" s="85">
        <f t="shared" si="21"/>
        <v>5144.6796095502505</v>
      </c>
      <c r="AF57" s="90">
        <f t="shared" si="22"/>
        <v>3384.56104615708</v>
      </c>
      <c r="AG57" s="86">
        <f t="shared" si="23"/>
        <v>9360.0540199999996</v>
      </c>
      <c r="AH57" s="85">
        <f t="shared" si="24"/>
        <v>6139.2748628683721</v>
      </c>
      <c r="AI57" s="85">
        <f t="shared" si="25"/>
        <v>6432.6874797304781</v>
      </c>
      <c r="AJ57" s="90">
        <f t="shared" si="26"/>
        <v>6139.2748628683721</v>
      </c>
      <c r="AL57" s="95">
        <f t="shared" si="27"/>
        <v>0</v>
      </c>
      <c r="AM57" s="95">
        <f t="shared" si="28"/>
        <v>0</v>
      </c>
      <c r="AN57" s="95">
        <f t="shared" si="29"/>
        <v>0</v>
      </c>
      <c r="AO57" s="95">
        <f t="shared" si="30"/>
        <v>0</v>
      </c>
      <c r="AP57"/>
      <c r="AQ57" s="95">
        <f t="shared" si="31"/>
        <v>0</v>
      </c>
      <c r="AR57" s="95">
        <f t="shared" si="32"/>
        <v>0</v>
      </c>
      <c r="AS57" s="95">
        <f>Geraetedaten!$B$94*ABS(SIN(RADIANS($A57)))</f>
        <v>47.588617133741899</v>
      </c>
      <c r="AT57" s="95">
        <f>Geraetedaten!$B$94*ABS(COS(RADIANS($A57)))</f>
        <v>146.46270350945363</v>
      </c>
      <c r="AU57" s="95">
        <f>((h_Aw_Sw+Geraetedaten!$B$18)/1000)*(AQ57*AS57+AR57*AT57)/100</f>
        <v>0</v>
      </c>
    </row>
    <row r="58" spans="1:47" ht="13.5" x14ac:dyDescent="0.25">
      <c r="A58" s="16">
        <v>19</v>
      </c>
      <c r="B58" s="16">
        <f t="shared" si="0"/>
        <v>431</v>
      </c>
      <c r="C58" s="19">
        <f t="shared" si="1"/>
        <v>49.004531136759482</v>
      </c>
      <c r="D58" s="17">
        <f t="shared" si="2"/>
        <v>-8821.9105311367603</v>
      </c>
      <c r="E58" s="17">
        <f t="shared" si="3"/>
        <v>-8914.6590311367599</v>
      </c>
      <c r="F58" s="17">
        <f t="shared" si="4"/>
        <v>8894.5545588632413</v>
      </c>
      <c r="G58" s="17">
        <f t="shared" si="5"/>
        <v>9363.8758488632411</v>
      </c>
      <c r="H58" s="17">
        <f t="shared" si="33"/>
        <v>8894.5545588632413</v>
      </c>
      <c r="I58" s="17">
        <f t="shared" si="6"/>
        <v>5044.6594394541517</v>
      </c>
      <c r="J58" s="20">
        <f>(Geraetedaten!$B$152+(Geraetedaten!$B$153*(Geraetedaten!$B$18+d_y_Sw)/1000))*10</f>
        <v>6051.0442000000003</v>
      </c>
      <c r="K58" s="20">
        <f>(Geraetedaten!$B$165+(Geraetedaten!$B$166*(Geraetedaten!$B$18+d_y_Sw)/1000))*10</f>
        <v>10816.164000000001</v>
      </c>
      <c r="L58" s="20">
        <f>(Geraetedaten!$B$158+(Geraetedaten!$B$159*(Geraetedaten!$B$18+d_y_Sw)/1000)-(Geraetedaten!$B$160*I58/1000))*10</f>
        <v>231.61172330482685</v>
      </c>
      <c r="M58" s="20">
        <f>(Geraetedaten!$B$171+(Geraetedaten!$B$172*(Geraetedaten!$B$18+d_y_Sw)/1000)-(Geraetedaten!$B$173*I58/1000))*10</f>
        <v>689.34255132703379</v>
      </c>
      <c r="N58" s="20">
        <f>IF((H58-J58)/(K58-J58)*(Geraetedaten!$B$174-Geraetedaten!$B$161)&lt;Geraetedaten!$B$174,(H58-J58)/(K58-J58)*(Geraetedaten!$B$174-Geraetedaten!$B$161),Geraetedaten!$B$174)</f>
        <v>238.69371417383803</v>
      </c>
      <c r="O58" s="20">
        <f>N58/Geraetedaten!$B$174*(M58-L58)+L58+C58</f>
        <v>553.75993302280347</v>
      </c>
      <c r="P58" s="20">
        <f t="shared" si="7"/>
        <v>180.59780786129562</v>
      </c>
      <c r="Q58" s="21">
        <f>(N58-Geraetedaten!$B$161)/(Geraetedaten!$B$174-Geraetedaten!$B$161)*(Geraetedaten!$B$175-Geraetedaten!$B$162)+Geraetedaten!$B$162</f>
        <v>36.301137996671685</v>
      </c>
      <c r="R58" s="21">
        <f t="shared" si="8"/>
        <v>36.301137996671685</v>
      </c>
      <c r="S58" s="21">
        <f t="shared" si="9"/>
        <v>11.818494502270967</v>
      </c>
      <c r="T58" s="88">
        <f t="shared" si="10"/>
        <v>34.323400291247246</v>
      </c>
      <c r="U58" s="86">
        <f t="shared" si="11"/>
        <v>-8772.9060000000009</v>
      </c>
      <c r="V58" s="85">
        <f t="shared" si="12"/>
        <v>-1346.4914747781525</v>
      </c>
      <c r="W58" s="85">
        <f t="shared" si="13"/>
        <v>-1974.3594684758061</v>
      </c>
      <c r="X58" s="90">
        <f t="shared" si="14"/>
        <v>1346.4914747781525</v>
      </c>
      <c r="Y58" s="86">
        <f t="shared" si="15"/>
        <v>-8865.6545000000006</v>
      </c>
      <c r="Z58" s="85">
        <f t="shared" si="16"/>
        <v>-818.62113479844345</v>
      </c>
      <c r="AA58" s="85">
        <f t="shared" si="17"/>
        <v>-849.42615041504712</v>
      </c>
      <c r="AB58" s="90">
        <f t="shared" si="18"/>
        <v>818.62113479844345</v>
      </c>
      <c r="AC58" s="86">
        <f t="shared" si="19"/>
        <v>8943.5590900000007</v>
      </c>
      <c r="AD58" s="85">
        <f t="shared" si="20"/>
        <v>3384.56104615708</v>
      </c>
      <c r="AE58" s="85">
        <f t="shared" si="21"/>
        <v>5044.6594394541517</v>
      </c>
      <c r="AF58" s="90">
        <f t="shared" si="22"/>
        <v>3384.56104615708</v>
      </c>
      <c r="AG58" s="86">
        <f t="shared" si="23"/>
        <v>9412.8803800000005</v>
      </c>
      <c r="AH58" s="85">
        <f t="shared" si="24"/>
        <v>6139.2748628683721</v>
      </c>
      <c r="AI58" s="85">
        <f t="shared" si="25"/>
        <v>6468.9923409801904</v>
      </c>
      <c r="AJ58" s="90">
        <f t="shared" si="26"/>
        <v>6139.2748628683721</v>
      </c>
      <c r="AL58" s="95">
        <f t="shared" si="27"/>
        <v>0</v>
      </c>
      <c r="AM58" s="95">
        <f t="shared" si="28"/>
        <v>0</v>
      </c>
      <c r="AN58" s="95">
        <f t="shared" si="29"/>
        <v>0</v>
      </c>
      <c r="AO58" s="95">
        <f t="shared" si="30"/>
        <v>0</v>
      </c>
      <c r="AP58"/>
      <c r="AQ58" s="95">
        <f t="shared" si="31"/>
        <v>0</v>
      </c>
      <c r="AR58" s="95">
        <f t="shared" si="32"/>
        <v>0</v>
      </c>
      <c r="AS58" s="95">
        <f>Geraetedaten!$B$94*ABS(SIN(RADIANS($A58)))</f>
        <v>50.137495786402134</v>
      </c>
      <c r="AT58" s="95">
        <f>Geraetedaten!$B$94*ABS(COS(RADIANS($A58)))</f>
        <v>145.60986064229479</v>
      </c>
      <c r="AU58" s="95">
        <f>((h_Aw_Sw+Geraetedaten!$B$18)/1000)*(AQ58*AS58+AR58*AT58)/100</f>
        <v>0</v>
      </c>
    </row>
    <row r="59" spans="1:47" ht="13.5" x14ac:dyDescent="0.25">
      <c r="A59" s="16">
        <v>20</v>
      </c>
      <c r="B59" s="16">
        <f t="shared" si="0"/>
        <v>430</v>
      </c>
      <c r="C59" s="19">
        <f t="shared" si="1"/>
        <v>49.875554833930202</v>
      </c>
      <c r="D59" s="17">
        <f t="shared" si="2"/>
        <v>-8662.8930348339309</v>
      </c>
      <c r="E59" s="17">
        <f t="shared" si="3"/>
        <v>-8959.9465448339306</v>
      </c>
      <c r="F59" s="17">
        <f t="shared" si="4"/>
        <v>8725.7456351660694</v>
      </c>
      <c r="G59" s="17">
        <f t="shared" si="5"/>
        <v>9419.3316351660687</v>
      </c>
      <c r="H59" s="17">
        <f t="shared" si="33"/>
        <v>8725.7456351660694</v>
      </c>
      <c r="I59" s="17">
        <f t="shared" si="6"/>
        <v>4949.9332243305735</v>
      </c>
      <c r="J59" s="20">
        <f>(Geraetedaten!$B$152+(Geraetedaten!$B$153*(Geraetedaten!$B$18+d_y_Sw)/1000))*10</f>
        <v>6051.0442000000003</v>
      </c>
      <c r="K59" s="20">
        <f>(Geraetedaten!$B$165+(Geraetedaten!$B$166*(Geraetedaten!$B$18+d_y_Sw)/1000))*10</f>
        <v>10816.164000000001</v>
      </c>
      <c r="L59" s="20">
        <f>(Geraetedaten!$B$158+(Geraetedaten!$B$159*(Geraetedaten!$B$18+d_y_Sw)/1000)-(Geraetedaten!$B$160*I59/1000))*10</f>
        <v>238.55799665983886</v>
      </c>
      <c r="M59" s="20">
        <f>(Geraetedaten!$B$171+(Geraetedaten!$B$172*(Geraetedaten!$B$18+d_y_Sw)/1000)-(Geraetedaten!$B$173*I59/1000))*10</f>
        <v>696.39397078083311</v>
      </c>
      <c r="N59" s="20">
        <f>IF((H59-J59)/(K59-J59)*(Geraetedaten!$B$174-Geraetedaten!$B$161)&lt;Geraetedaten!$B$174,(H59-J59)/(K59-J59)*(Geraetedaten!$B$174-Geraetedaten!$B$161),Geraetedaten!$B$174)</f>
        <v>224.5233318302779</v>
      </c>
      <c r="O59" s="20">
        <f>N59/Geraetedaten!$B$174*(M59-L59)+L59+C59</f>
        <v>545.42069734728534</v>
      </c>
      <c r="P59" s="20">
        <f t="shared" si="7"/>
        <v>179.7578228227417</v>
      </c>
      <c r="Q59" s="21">
        <f>(N59-Geraetedaten!$B$161)/(Geraetedaten!$B$174-Geraetedaten!$B$161)*(Geraetedaten!$B$175-Geraetedaten!$B$162)+Geraetedaten!$B$162</f>
        <v>35.879569121950766</v>
      </c>
      <c r="R59" s="21">
        <f t="shared" si="8"/>
        <v>35.879569121950766</v>
      </c>
      <c r="S59" s="21">
        <f t="shared" si="9"/>
        <v>12.271535373552839</v>
      </c>
      <c r="T59" s="88">
        <f t="shared" si="10"/>
        <v>33.715766340875071</v>
      </c>
      <c r="U59" s="86">
        <f t="shared" si="11"/>
        <v>-8613.0174800000004</v>
      </c>
      <c r="V59" s="85">
        <f t="shared" si="12"/>
        <v>-1346.4914747781525</v>
      </c>
      <c r="W59" s="85">
        <f t="shared" si="13"/>
        <v>-1938.3762483914638</v>
      </c>
      <c r="X59" s="90">
        <f t="shared" si="14"/>
        <v>1346.4914747781525</v>
      </c>
      <c r="Y59" s="86">
        <f t="shared" si="15"/>
        <v>-8910.0709900000002</v>
      </c>
      <c r="Z59" s="85">
        <f t="shared" si="16"/>
        <v>-818.62113479844345</v>
      </c>
      <c r="AA59" s="85">
        <f t="shared" si="17"/>
        <v>-853.68173352860845</v>
      </c>
      <c r="AB59" s="90">
        <f t="shared" si="18"/>
        <v>818.62113479844345</v>
      </c>
      <c r="AC59" s="86">
        <f t="shared" si="19"/>
        <v>8775.6211899999998</v>
      </c>
      <c r="AD59" s="85">
        <f t="shared" si="20"/>
        <v>3384.56104615708</v>
      </c>
      <c r="AE59" s="85">
        <f t="shared" si="21"/>
        <v>4949.9332243305735</v>
      </c>
      <c r="AF59" s="90">
        <f t="shared" si="22"/>
        <v>3384.56104615708</v>
      </c>
      <c r="AG59" s="86">
        <f t="shared" si="23"/>
        <v>9469.2071899999992</v>
      </c>
      <c r="AH59" s="85">
        <f t="shared" si="24"/>
        <v>6139.2748628683721</v>
      </c>
      <c r="AI59" s="85">
        <f t="shared" si="25"/>
        <v>6507.7028842053724</v>
      </c>
      <c r="AJ59" s="90">
        <f t="shared" si="26"/>
        <v>6139.2748628683721</v>
      </c>
      <c r="AL59" s="95">
        <f t="shared" si="27"/>
        <v>0</v>
      </c>
      <c r="AM59" s="95">
        <f t="shared" si="28"/>
        <v>0</v>
      </c>
      <c r="AN59" s="95">
        <f t="shared" si="29"/>
        <v>0</v>
      </c>
      <c r="AO59" s="95">
        <f t="shared" si="30"/>
        <v>0</v>
      </c>
      <c r="AP59"/>
      <c r="AQ59" s="95">
        <f t="shared" si="31"/>
        <v>0</v>
      </c>
      <c r="AR59" s="95">
        <f t="shared" si="32"/>
        <v>0</v>
      </c>
      <c r="AS59" s="95">
        <f>Geraetedaten!$B$94*ABS(SIN(RADIANS($A59)))</f>
        <v>52.671102072152983</v>
      </c>
      <c r="AT59" s="95">
        <f>Geraetedaten!$B$94*ABS(COS(RADIANS($A59)))</f>
        <v>144.7126636010299</v>
      </c>
      <c r="AU59" s="95">
        <f>((h_Aw_Sw+Geraetedaten!$B$18)/1000)*(AQ59*AS59+AR59*AT59)/100</f>
        <v>0</v>
      </c>
    </row>
    <row r="60" spans="1:47" ht="13.5" x14ac:dyDescent="0.25">
      <c r="A60" s="16">
        <v>21</v>
      </c>
      <c r="B60" s="16">
        <f t="shared" si="0"/>
        <v>429</v>
      </c>
      <c r="C60" s="19">
        <f t="shared" si="1"/>
        <v>50.73138595394316</v>
      </c>
      <c r="D60" s="17">
        <f t="shared" si="2"/>
        <v>-8512.1153359539421</v>
      </c>
      <c r="E60" s="17">
        <f t="shared" si="3"/>
        <v>-9008.4084959539432</v>
      </c>
      <c r="F60" s="17">
        <f t="shared" si="4"/>
        <v>8565.7188640460572</v>
      </c>
      <c r="G60" s="17">
        <f t="shared" si="5"/>
        <v>9478.400934046058</v>
      </c>
      <c r="H60" s="17">
        <f t="shared" si="33"/>
        <v>8565.7188640460572</v>
      </c>
      <c r="I60" s="17">
        <f t="shared" si="6"/>
        <v>4860.1520505779572</v>
      </c>
      <c r="J60" s="20">
        <f>(Geraetedaten!$B$152+(Geraetedaten!$B$153*(Geraetedaten!$B$18+d_y_Sw)/1000))*10</f>
        <v>6051.0442000000003</v>
      </c>
      <c r="K60" s="20">
        <f>(Geraetedaten!$B$165+(Geraetedaten!$B$166*(Geraetedaten!$B$18+d_y_Sw)/1000))*10</f>
        <v>10816.164000000001</v>
      </c>
      <c r="L60" s="20">
        <f>(Geraetedaten!$B$158+(Geraetedaten!$B$159*(Geraetedaten!$B$18+d_y_Sw)/1000)-(Geraetedaten!$B$160*I60/1000))*10</f>
        <v>245.14165013111821</v>
      </c>
      <c r="M60" s="20">
        <f>(Geraetedaten!$B$171+(Geraetedaten!$B$172*(Geraetedaten!$B$18+d_y_Sw)/1000)-(Geraetedaten!$B$173*I60/1000))*10</f>
        <v>703.07728135497769</v>
      </c>
      <c r="N60" s="20">
        <f>IF((H60-J60)/(K60-J60)*(Geraetedaten!$B$174-Geraetedaten!$B$161)&lt;Geraetedaten!$B$174,(H60-J60)/(K60-J60)*(Geraetedaten!$B$174-Geraetedaten!$B$161),Geraetedaten!$B$174)</f>
        <v>211.09015257463679</v>
      </c>
      <c r="O60" s="20">
        <f>N60/Geraetedaten!$B$174*(M60-L60)+L60+C60</f>
        <v>537.53729174607906</v>
      </c>
      <c r="P60" s="20">
        <f t="shared" si="7"/>
        <v>178.95239934268403</v>
      </c>
      <c r="Q60" s="21">
        <f>(N60-Geraetedaten!$B$161)/(Geraetedaten!$B$174-Geraetedaten!$B$161)*(Geraetedaten!$B$175-Geraetedaten!$B$162)+Geraetedaten!$B$162</f>
        <v>35.479932039095445</v>
      </c>
      <c r="R60" s="21">
        <f t="shared" si="8"/>
        <v>35.479932039095445</v>
      </c>
      <c r="S60" s="21">
        <f t="shared" si="9"/>
        <v>12.714870494857239</v>
      </c>
      <c r="T60" s="88">
        <f t="shared" si="10"/>
        <v>33.123370085150455</v>
      </c>
      <c r="U60" s="86">
        <f t="shared" si="11"/>
        <v>-8461.3839499999995</v>
      </c>
      <c r="V60" s="85">
        <f t="shared" si="12"/>
        <v>-1346.4914747781525</v>
      </c>
      <c r="W60" s="85">
        <f t="shared" si="13"/>
        <v>-1904.2508299159042</v>
      </c>
      <c r="X60" s="90">
        <f t="shared" si="14"/>
        <v>1346.4914747781525</v>
      </c>
      <c r="Y60" s="86">
        <f t="shared" si="15"/>
        <v>-8957.6771100000005</v>
      </c>
      <c r="Z60" s="85">
        <f t="shared" si="16"/>
        <v>-818.62113479844345</v>
      </c>
      <c r="AA60" s="85">
        <f t="shared" si="17"/>
        <v>-858.24291731603535</v>
      </c>
      <c r="AB60" s="90">
        <f t="shared" si="18"/>
        <v>818.62113479844345</v>
      </c>
      <c r="AC60" s="86">
        <f t="shared" si="19"/>
        <v>8616.4502499999999</v>
      </c>
      <c r="AD60" s="85">
        <f t="shared" si="20"/>
        <v>3384.56104615708</v>
      </c>
      <c r="AE60" s="85">
        <f t="shared" si="21"/>
        <v>4860.1520505779572</v>
      </c>
      <c r="AF60" s="90">
        <f t="shared" si="22"/>
        <v>3384.56104615708</v>
      </c>
      <c r="AG60" s="86">
        <f t="shared" si="23"/>
        <v>9529.1323200000006</v>
      </c>
      <c r="AH60" s="85">
        <f t="shared" si="24"/>
        <v>6139.2748628683721</v>
      </c>
      <c r="AI60" s="85">
        <f t="shared" si="25"/>
        <v>6548.8863686699124</v>
      </c>
      <c r="AJ60" s="90">
        <f t="shared" si="26"/>
        <v>6139.2748628683721</v>
      </c>
      <c r="AL60" s="95">
        <f t="shared" si="27"/>
        <v>0</v>
      </c>
      <c r="AM60" s="95">
        <f t="shared" si="28"/>
        <v>0</v>
      </c>
      <c r="AN60" s="95">
        <f t="shared" si="29"/>
        <v>0</v>
      </c>
      <c r="AO60" s="95">
        <f t="shared" si="30"/>
        <v>0</v>
      </c>
      <c r="AP60"/>
      <c r="AQ60" s="95">
        <f t="shared" si="31"/>
        <v>0</v>
      </c>
      <c r="AR60" s="95">
        <f t="shared" si="32"/>
        <v>0</v>
      </c>
      <c r="AS60" s="95">
        <f>Geraetedaten!$B$94*ABS(SIN(RADIANS($A60)))</f>
        <v>55.18866422997624</v>
      </c>
      <c r="AT60" s="95">
        <f>Geraetedaten!$B$94*ABS(COS(RADIANS($A60)))</f>
        <v>143.77138568056907</v>
      </c>
      <c r="AU60" s="95">
        <f>((h_Aw_Sw+Geraetedaten!$B$18)/1000)*(AQ60*AS60+AR60*AT60)/100</f>
        <v>0</v>
      </c>
    </row>
    <row r="61" spans="1:47" ht="13.5" x14ac:dyDescent="0.25">
      <c r="A61" s="16">
        <v>22</v>
      </c>
      <c r="B61" s="16">
        <f t="shared" si="0"/>
        <v>428</v>
      </c>
      <c r="C61" s="19">
        <f t="shared" si="1"/>
        <v>51.57176380234857</v>
      </c>
      <c r="D61" s="17">
        <f t="shared" si="2"/>
        <v>-8369.0586438023493</v>
      </c>
      <c r="E61" s="17">
        <f t="shared" si="3"/>
        <v>-9060.1252638023489</v>
      </c>
      <c r="F61" s="17">
        <f t="shared" si="4"/>
        <v>8413.9114361976517</v>
      </c>
      <c r="G61" s="17">
        <f t="shared" si="5"/>
        <v>9541.1896461976503</v>
      </c>
      <c r="H61" s="17">
        <f t="shared" si="33"/>
        <v>8413.9114361976517</v>
      </c>
      <c r="I61" s="17">
        <f t="shared" si="6"/>
        <v>4774.9983313904804</v>
      </c>
      <c r="J61" s="20">
        <f>(Geraetedaten!$B$152+(Geraetedaten!$B$153*(Geraetedaten!$B$18+d_y_Sw)/1000))*10</f>
        <v>6051.0442000000003</v>
      </c>
      <c r="K61" s="20">
        <f>(Geraetedaten!$B$165+(Geraetedaten!$B$166*(Geraetedaten!$B$18+d_y_Sw)/1000))*10</f>
        <v>10816.164000000001</v>
      </c>
      <c r="L61" s="20">
        <f>(Geraetedaten!$B$158+(Geraetedaten!$B$159*(Geraetedaten!$B$18+d_y_Sw)/1000)-(Geraetedaten!$B$160*I61/1000))*10</f>
        <v>251.38597235913593</v>
      </c>
      <c r="M61" s="20">
        <f>(Geraetedaten!$B$171+(Geraetedaten!$B$172*(Geraetedaten!$B$18+d_y_Sw)/1000)-(Geraetedaten!$B$173*I61/1000))*10</f>
        <v>709.41612421129344</v>
      </c>
      <c r="N61" s="20">
        <f>IF((H61-J61)/(K61-J61)*(Geraetedaten!$B$174-Geraetedaten!$B$161)&lt;Geraetedaten!$B$174,(H61-J61)/(K61-J61)*(Geraetedaten!$B$174-Geraetedaten!$B$161),Geraetedaten!$B$174)</f>
        <v>198.34693232246974</v>
      </c>
      <c r="O61" s="20">
        <f>N61/Geraetedaten!$B$174*(M61-L61)+L61+C61</f>
        <v>530.07992498916053</v>
      </c>
      <c r="P61" s="20">
        <f t="shared" si="7"/>
        <v>178.18032847539689</v>
      </c>
      <c r="Q61" s="21">
        <f>(N61-Geraetedaten!$B$161)/(Geraetedaten!$B$174-Geraetedaten!$B$161)*(Geraetedaten!$B$175-Geraetedaten!$B$162)+Geraetedaten!$B$162</f>
        <v>35.100821236593475</v>
      </c>
      <c r="R61" s="21">
        <f t="shared" si="8"/>
        <v>35.100821236593475</v>
      </c>
      <c r="S61" s="21">
        <f t="shared" si="9"/>
        <v>13.148999069541182</v>
      </c>
      <c r="T61" s="88">
        <f t="shared" si="10"/>
        <v>32.544914732604489</v>
      </c>
      <c r="U61" s="86">
        <f t="shared" si="11"/>
        <v>-8317.4868800000004</v>
      </c>
      <c r="V61" s="85">
        <f t="shared" si="12"/>
        <v>-1346.4914747781525</v>
      </c>
      <c r="W61" s="85">
        <f t="shared" si="13"/>
        <v>-1871.8665144324061</v>
      </c>
      <c r="X61" s="90">
        <f t="shared" si="14"/>
        <v>1346.4914747781525</v>
      </c>
      <c r="Y61" s="86">
        <f t="shared" si="15"/>
        <v>-9008.5535</v>
      </c>
      <c r="Z61" s="85">
        <f t="shared" si="16"/>
        <v>-818.62113479844345</v>
      </c>
      <c r="AA61" s="85">
        <f t="shared" si="17"/>
        <v>-863.11742954063925</v>
      </c>
      <c r="AB61" s="90">
        <f t="shared" si="18"/>
        <v>818.62113479844345</v>
      </c>
      <c r="AC61" s="86">
        <f t="shared" si="19"/>
        <v>8465.4832000000006</v>
      </c>
      <c r="AD61" s="85">
        <f t="shared" si="20"/>
        <v>3384.56104615708</v>
      </c>
      <c r="AE61" s="85">
        <f t="shared" si="21"/>
        <v>4774.9983313904804</v>
      </c>
      <c r="AF61" s="90">
        <f t="shared" si="22"/>
        <v>3384.56104615708</v>
      </c>
      <c r="AG61" s="86">
        <f t="shared" si="23"/>
        <v>9592.7614099999992</v>
      </c>
      <c r="AH61" s="85">
        <f t="shared" si="24"/>
        <v>6139.2748628683721</v>
      </c>
      <c r="AI61" s="85">
        <f t="shared" si="25"/>
        <v>6592.6153897408176</v>
      </c>
      <c r="AJ61" s="90">
        <f t="shared" si="26"/>
        <v>6139.2748628683721</v>
      </c>
      <c r="AL61" s="95">
        <f t="shared" si="27"/>
        <v>0</v>
      </c>
      <c r="AM61" s="95">
        <f t="shared" si="28"/>
        <v>0</v>
      </c>
      <c r="AN61" s="95">
        <f t="shared" si="29"/>
        <v>0</v>
      </c>
      <c r="AO61" s="95">
        <f t="shared" si="30"/>
        <v>0</v>
      </c>
      <c r="AP61"/>
      <c r="AQ61" s="95">
        <f t="shared" si="31"/>
        <v>0</v>
      </c>
      <c r="AR61" s="95">
        <f t="shared" si="32"/>
        <v>0</v>
      </c>
      <c r="AS61" s="95">
        <f>Geraetedaten!$B$94*ABS(SIN(RADIANS($A61)))</f>
        <v>57.689415386050449</v>
      </c>
      <c r="AT61" s="95">
        <f>Geraetedaten!$B$94*ABS(COS(RADIANS($A61)))</f>
        <v>142.78631360328527</v>
      </c>
      <c r="AU61" s="95">
        <f>((h_Aw_Sw+Geraetedaten!$B$18)/1000)*(AQ61*AS61+AR61*AT61)/100</f>
        <v>0</v>
      </c>
    </row>
    <row r="62" spans="1:47" ht="13.5" x14ac:dyDescent="0.25">
      <c r="A62" s="16">
        <v>23</v>
      </c>
      <c r="B62" s="16">
        <f t="shared" si="0"/>
        <v>427</v>
      </c>
      <c r="C62" s="19">
        <f t="shared" si="1"/>
        <v>52.396432391912896</v>
      </c>
      <c r="D62" s="17">
        <f t="shared" si="2"/>
        <v>-8233.2490123919124</v>
      </c>
      <c r="E62" s="17">
        <f t="shared" si="3"/>
        <v>-9115.1839323919139</v>
      </c>
      <c r="F62" s="17">
        <f t="shared" si="4"/>
        <v>8269.8101376080867</v>
      </c>
      <c r="G62" s="17">
        <f t="shared" si="5"/>
        <v>9607.8118876080862</v>
      </c>
      <c r="H62" s="17">
        <f t="shared" si="33"/>
        <v>8269.8101376080867</v>
      </c>
      <c r="I62" s="17">
        <f t="shared" si="6"/>
        <v>4694.1824251345852</v>
      </c>
      <c r="J62" s="20">
        <f>(Geraetedaten!$B$152+(Geraetedaten!$B$153*(Geraetedaten!$B$18+d_y_Sw)/1000))*10</f>
        <v>6051.0442000000003</v>
      </c>
      <c r="K62" s="20">
        <f>(Geraetedaten!$B$165+(Geraetedaten!$B$166*(Geraetedaten!$B$18+d_y_Sw)/1000))*10</f>
        <v>10816.164000000001</v>
      </c>
      <c r="L62" s="20">
        <f>(Geraetedaten!$B$158+(Geraetedaten!$B$159*(Geraetedaten!$B$18+d_y_Sw)/1000)-(Geraetedaten!$B$160*I62/1000))*10</f>
        <v>257.31220276488074</v>
      </c>
      <c r="M62" s="20">
        <f>(Geraetedaten!$B$171+(Geraetedaten!$B$172*(Geraetedaten!$B$18+d_y_Sw)/1000)-(Geraetedaten!$B$173*I62/1000))*10</f>
        <v>715.4320602729822</v>
      </c>
      <c r="N62" s="20">
        <f>IF((H62-J62)/(K62-J62)*(Geraetedaten!$B$174-Geraetedaten!$B$161)&lt;Geraetedaten!$B$174,(H62-J62)/(K62-J62)*(Geraetedaten!$B$174-Geraetedaten!$B$161),Geraetedaten!$B$174)</f>
        <v>186.25059018311242</v>
      </c>
      <c r="O62" s="20">
        <f>N62/Geraetedaten!$B$174*(M62-L62)+L62+C62</f>
        <v>523.02136974551183</v>
      </c>
      <c r="P62" s="20">
        <f t="shared" si="7"/>
        <v>177.44043591134226</v>
      </c>
      <c r="Q62" s="21">
        <f>(N62-Geraetedaten!$B$161)/(Geraetedaten!$B$174-Geraetedaten!$B$161)*(Geraetedaten!$B$175-Geraetedaten!$B$162)+Geraetedaten!$B$162</f>
        <v>34.740955057947595</v>
      </c>
      <c r="R62" s="21">
        <f t="shared" si="8"/>
        <v>34.740955057947595</v>
      </c>
      <c r="S62" s="21">
        <f t="shared" si="9"/>
        <v>13.574372574587008</v>
      </c>
      <c r="T62" s="88">
        <f t="shared" si="10"/>
        <v>31.979217744413869</v>
      </c>
      <c r="U62" s="86">
        <f t="shared" si="11"/>
        <v>-8180.8525799999998</v>
      </c>
      <c r="V62" s="85">
        <f t="shared" si="12"/>
        <v>-1346.4914747781525</v>
      </c>
      <c r="W62" s="85">
        <f t="shared" si="13"/>
        <v>-1841.1167006832532</v>
      </c>
      <c r="X62" s="90">
        <f t="shared" si="14"/>
        <v>1346.4914747781525</v>
      </c>
      <c r="Y62" s="86">
        <f t="shared" si="15"/>
        <v>-9062.7875000000004</v>
      </c>
      <c r="Z62" s="85">
        <f t="shared" si="16"/>
        <v>-818.62113479844345</v>
      </c>
      <c r="AA62" s="85">
        <f t="shared" si="17"/>
        <v>-868.31363658717407</v>
      </c>
      <c r="AB62" s="90">
        <f t="shared" si="18"/>
        <v>818.62113479844345</v>
      </c>
      <c r="AC62" s="86">
        <f t="shared" si="19"/>
        <v>8322.2065700000003</v>
      </c>
      <c r="AD62" s="85">
        <f t="shared" si="20"/>
        <v>3384.56104615708</v>
      </c>
      <c r="AE62" s="85">
        <f t="shared" si="21"/>
        <v>4694.1824251345852</v>
      </c>
      <c r="AF62" s="90">
        <f t="shared" si="22"/>
        <v>3384.56104615708</v>
      </c>
      <c r="AG62" s="86">
        <f t="shared" si="23"/>
        <v>9660.2083199999997</v>
      </c>
      <c r="AH62" s="85">
        <f t="shared" si="24"/>
        <v>6139.2748628683721</v>
      </c>
      <c r="AI62" s="85">
        <f t="shared" si="25"/>
        <v>6638.9682102775896</v>
      </c>
      <c r="AJ62" s="90">
        <f t="shared" si="26"/>
        <v>6139.2748628683721</v>
      </c>
      <c r="AL62" s="95">
        <f t="shared" si="27"/>
        <v>0</v>
      </c>
      <c r="AM62" s="95">
        <f t="shared" si="28"/>
        <v>0</v>
      </c>
      <c r="AN62" s="95">
        <f t="shared" si="29"/>
        <v>0</v>
      </c>
      <c r="AO62" s="95">
        <f t="shared" si="30"/>
        <v>0</v>
      </c>
      <c r="AP62"/>
      <c r="AQ62" s="95">
        <f t="shared" si="31"/>
        <v>0</v>
      </c>
      <c r="AR62" s="95">
        <f t="shared" si="32"/>
        <v>0</v>
      </c>
      <c r="AS62" s="95">
        <f>Geraetedaten!$B$94*ABS(SIN(RADIANS($A62)))</f>
        <v>60.172593787348163</v>
      </c>
      <c r="AT62" s="95">
        <f>Geraetedaten!$B$94*ABS(COS(RADIANS($A62)))</f>
        <v>141.75774743167582</v>
      </c>
      <c r="AU62" s="95">
        <f>((h_Aw_Sw+Geraetedaten!$B$18)/1000)*(AQ62*AS62+AR62*AT62)/100</f>
        <v>0</v>
      </c>
    </row>
    <row r="63" spans="1:47" ht="13.5" x14ac:dyDescent="0.25">
      <c r="A63" s="16">
        <v>24</v>
      </c>
      <c r="B63" s="16">
        <f t="shared" si="0"/>
        <v>426</v>
      </c>
      <c r="C63" s="19">
        <f t="shared" si="1"/>
        <v>53.205140520595009</v>
      </c>
      <c r="D63" s="17">
        <f t="shared" si="2"/>
        <v>-8104.2527405205947</v>
      </c>
      <c r="E63" s="17">
        <f t="shared" si="3"/>
        <v>-9173.6786105205956</v>
      </c>
      <c r="F63" s="17">
        <f t="shared" si="4"/>
        <v>8132.9460094794049</v>
      </c>
      <c r="G63" s="17">
        <f t="shared" si="5"/>
        <v>9678.3905694794048</v>
      </c>
      <c r="H63" s="17">
        <f t="shared" si="33"/>
        <v>8132.9460094794049</v>
      </c>
      <c r="I63" s="17">
        <f t="shared" si="6"/>
        <v>4617.4396847970311</v>
      </c>
      <c r="J63" s="20">
        <f>(Geraetedaten!$B$152+(Geraetedaten!$B$153*(Geraetedaten!$B$18+d_y_Sw)/1000))*10</f>
        <v>6051.0442000000003</v>
      </c>
      <c r="K63" s="20">
        <f>(Geraetedaten!$B$165+(Geraetedaten!$B$166*(Geraetedaten!$B$18+d_y_Sw)/1000))*10</f>
        <v>10816.164000000001</v>
      </c>
      <c r="L63" s="20">
        <f>(Geraetedaten!$B$158+(Geraetedaten!$B$159*(Geraetedaten!$B$18+d_y_Sw)/1000)-(Geraetedaten!$B$160*I63/1000))*10</f>
        <v>262.93974791383357</v>
      </c>
      <c r="M63" s="20">
        <f>(Geraetedaten!$B$171+(Geraetedaten!$B$172*(Geraetedaten!$B$18+d_y_Sw)/1000)-(Geraetedaten!$B$173*I63/1000))*10</f>
        <v>721.14478986370978</v>
      </c>
      <c r="N63" s="20">
        <f>IF((H63-J63)/(K63-J63)*(Geraetedaten!$B$174-Geraetedaten!$B$161)&lt;Geraetedaten!$B$174,(H63-J63)/(K63-J63)*(Geraetedaten!$B$174-Geraetedaten!$B$161),Geraetedaten!$B$174)</f>
        <v>174.76176019577971</v>
      </c>
      <c r="O63" s="20">
        <f>N63/Geraetedaten!$B$174*(M63-L63)+L63+C63</f>
        <v>516.33668758878218</v>
      </c>
      <c r="P63" s="20">
        <f t="shared" si="7"/>
        <v>176.73158063439038</v>
      </c>
      <c r="Q63" s="21">
        <f>(N63-Geraetedaten!$B$161)/(Geraetedaten!$B$174-Geraetedaten!$B$161)*(Geraetedaten!$B$175-Geraetedaten!$B$162)+Geraetedaten!$B$162</f>
        <v>34.399162365824445</v>
      </c>
      <c r="R63" s="21">
        <f t="shared" si="8"/>
        <v>34.399162365824445</v>
      </c>
      <c r="S63" s="21">
        <f t="shared" si="9"/>
        <v>13.991399825294836</v>
      </c>
      <c r="T63" s="88">
        <f t="shared" si="10"/>
        <v>31.425198526009225</v>
      </c>
      <c r="U63" s="86">
        <f t="shared" si="11"/>
        <v>-8051.0475999999999</v>
      </c>
      <c r="V63" s="85">
        <f t="shared" si="12"/>
        <v>-1346.4914747781525</v>
      </c>
      <c r="W63" s="85">
        <f t="shared" si="13"/>
        <v>-1811.9038384960288</v>
      </c>
      <c r="X63" s="90">
        <f t="shared" si="14"/>
        <v>1346.4914747781525</v>
      </c>
      <c r="Y63" s="86">
        <f t="shared" si="15"/>
        <v>-9120.4734700000008</v>
      </c>
      <c r="Z63" s="85">
        <f t="shared" si="16"/>
        <v>-818.62113479844345</v>
      </c>
      <c r="AA63" s="85">
        <f t="shared" si="17"/>
        <v>-873.84058029026016</v>
      </c>
      <c r="AB63" s="90">
        <f t="shared" si="18"/>
        <v>818.62113479844345</v>
      </c>
      <c r="AC63" s="86">
        <f t="shared" si="19"/>
        <v>8186.1511499999997</v>
      </c>
      <c r="AD63" s="85">
        <f t="shared" si="20"/>
        <v>3384.56104615708</v>
      </c>
      <c r="AE63" s="85">
        <f t="shared" si="21"/>
        <v>4617.4396847970311</v>
      </c>
      <c r="AF63" s="90">
        <f t="shared" si="22"/>
        <v>3384.56104615708</v>
      </c>
      <c r="AG63" s="86">
        <f t="shared" si="23"/>
        <v>9731.5957099999996</v>
      </c>
      <c r="AH63" s="85">
        <f t="shared" si="24"/>
        <v>6139.2748628683721</v>
      </c>
      <c r="AI63" s="85">
        <f t="shared" si="25"/>
        <v>6688.0291253002952</v>
      </c>
      <c r="AJ63" s="90">
        <f t="shared" si="26"/>
        <v>6139.2748628683721</v>
      </c>
      <c r="AL63" s="95">
        <f t="shared" si="27"/>
        <v>0</v>
      </c>
      <c r="AM63" s="95">
        <f t="shared" si="28"/>
        <v>0</v>
      </c>
      <c r="AN63" s="95">
        <f t="shared" si="29"/>
        <v>0</v>
      </c>
      <c r="AO63" s="95">
        <f t="shared" si="30"/>
        <v>0</v>
      </c>
      <c r="AP63"/>
      <c r="AQ63" s="95">
        <f t="shared" si="31"/>
        <v>0</v>
      </c>
      <c r="AR63" s="95">
        <f t="shared" si="32"/>
        <v>0</v>
      </c>
      <c r="AS63" s="95">
        <f>Geraetedaten!$B$94*ABS(SIN(RADIANS($A63)))</f>
        <v>62.637443033673229</v>
      </c>
      <c r="AT63" s="95">
        <f>Geraetedaten!$B$94*ABS(COS(RADIANS($A63)))</f>
        <v>140.68600047696054</v>
      </c>
      <c r="AU63" s="95">
        <f>((h_Aw_Sw+Geraetedaten!$B$18)/1000)*(AQ63*AS63+AR63*AT63)/100</f>
        <v>0</v>
      </c>
    </row>
    <row r="64" spans="1:47" ht="13.5" x14ac:dyDescent="0.25">
      <c r="A64" s="16">
        <v>25</v>
      </c>
      <c r="B64" s="16">
        <f t="shared" si="0"/>
        <v>425</v>
      </c>
      <c r="C64" s="19">
        <f t="shared" si="1"/>
        <v>53.997641848064774</v>
      </c>
      <c r="D64" s="17">
        <f t="shared" si="2"/>
        <v>-7981.6722618480644</v>
      </c>
      <c r="E64" s="17">
        <f t="shared" si="3"/>
        <v>-9235.710901848066</v>
      </c>
      <c r="F64" s="17">
        <f t="shared" si="4"/>
        <v>8002.8898681519349</v>
      </c>
      <c r="G64" s="17">
        <f t="shared" si="5"/>
        <v>9753.0579681519339</v>
      </c>
      <c r="H64" s="17">
        <f t="shared" si="33"/>
        <v>8002.8898681519349</v>
      </c>
      <c r="I64" s="17">
        <f t="shared" si="6"/>
        <v>4544.5278758520035</v>
      </c>
      <c r="J64" s="20">
        <f>(Geraetedaten!$B$152+(Geraetedaten!$B$153*(Geraetedaten!$B$18+d_y_Sw)/1000))*10</f>
        <v>6051.0442000000003</v>
      </c>
      <c r="K64" s="20">
        <f>(Geraetedaten!$B$165+(Geraetedaten!$B$166*(Geraetedaten!$B$18+d_y_Sw)/1000))*10</f>
        <v>10816.164000000001</v>
      </c>
      <c r="L64" s="20">
        <f>(Geraetedaten!$B$158+(Geraetedaten!$B$159*(Geraetedaten!$B$18+d_y_Sw)/1000)-(Geraetedaten!$B$160*I64/1000))*10</f>
        <v>268.28637086377239</v>
      </c>
      <c r="M64" s="20">
        <f>(Geraetedaten!$B$171+(Geraetedaten!$B$172*(Geraetedaten!$B$18+d_y_Sw)/1000)-(Geraetedaten!$B$173*I64/1000))*10</f>
        <v>726.57234492157784</v>
      </c>
      <c r="N64" s="20">
        <f>IF((H64-J64)/(K64-J64)*(Geraetedaten!$B$174-Geraetedaten!$B$161)&lt;Geraetedaten!$B$174,(H64-J64)/(K64-J64)*(Geraetedaten!$B$174-Geraetedaten!$B$161),Geraetedaten!$B$174)</f>
        <v>163.84441525704639</v>
      </c>
      <c r="O64" s="20">
        <f>N64/Geraetedaten!$B$174*(M64-L64)+L64+C64</f>
        <v>510.00300631185485</v>
      </c>
      <c r="P64" s="20">
        <f t="shared" si="7"/>
        <v>176.0526569555231</v>
      </c>
      <c r="Q64" s="21">
        <f>(N64-Geraetedaten!$B$161)/(Geraetedaten!$B$174-Geraetedaten!$B$161)*(Geraetedaten!$B$175-Geraetedaten!$B$162)+Geraetedaten!$B$162</f>
        <v>34.074371353897128</v>
      </c>
      <c r="R64" s="21">
        <f t="shared" si="8"/>
        <v>34.074371353897128</v>
      </c>
      <c r="S64" s="21">
        <f t="shared" si="9"/>
        <v>14.400451591491088</v>
      </c>
      <c r="T64" s="88">
        <f t="shared" si="10"/>
        <v>30.881868096415523</v>
      </c>
      <c r="U64" s="86">
        <f t="shared" si="11"/>
        <v>-7927.6746199999998</v>
      </c>
      <c r="V64" s="85">
        <f t="shared" si="12"/>
        <v>-1346.4914747781525</v>
      </c>
      <c r="W64" s="85">
        <f t="shared" si="13"/>
        <v>-1784.1385108954948</v>
      </c>
      <c r="X64" s="90">
        <f t="shared" si="14"/>
        <v>1346.4914747781525</v>
      </c>
      <c r="Y64" s="86">
        <f t="shared" si="15"/>
        <v>-9181.7132600000004</v>
      </c>
      <c r="Z64" s="85">
        <f t="shared" si="16"/>
        <v>-818.62113479844345</v>
      </c>
      <c r="AA64" s="85">
        <f t="shared" si="17"/>
        <v>-879.70801849039412</v>
      </c>
      <c r="AB64" s="90">
        <f t="shared" si="18"/>
        <v>818.62113479844345</v>
      </c>
      <c r="AC64" s="86">
        <f t="shared" si="19"/>
        <v>8056.8875099999996</v>
      </c>
      <c r="AD64" s="85">
        <f t="shared" si="20"/>
        <v>3384.56104615708</v>
      </c>
      <c r="AE64" s="85">
        <f t="shared" si="21"/>
        <v>4544.5278758520035</v>
      </c>
      <c r="AF64" s="90">
        <f t="shared" si="22"/>
        <v>3384.56104615708</v>
      </c>
      <c r="AG64" s="86">
        <f t="shared" si="23"/>
        <v>9807.0556099999994</v>
      </c>
      <c r="AH64" s="85">
        <f t="shared" si="24"/>
        <v>6139.2748628683721</v>
      </c>
      <c r="AI64" s="85">
        <f t="shared" si="25"/>
        <v>6739.8888632730486</v>
      </c>
      <c r="AJ64" s="90">
        <f t="shared" si="26"/>
        <v>6139.2748628683721</v>
      </c>
      <c r="AL64" s="95">
        <f t="shared" si="27"/>
        <v>0</v>
      </c>
      <c r="AM64" s="95">
        <f t="shared" si="28"/>
        <v>0</v>
      </c>
      <c r="AN64" s="95">
        <f t="shared" si="29"/>
        <v>0</v>
      </c>
      <c r="AO64" s="95">
        <f t="shared" si="30"/>
        <v>0</v>
      </c>
      <c r="AP64"/>
      <c r="AQ64" s="95">
        <f t="shared" si="31"/>
        <v>0</v>
      </c>
      <c r="AR64" s="95">
        <f t="shared" si="32"/>
        <v>0</v>
      </c>
      <c r="AS64" s="95">
        <f>Geraetedaten!$B$94*ABS(SIN(RADIANS($A64)))</f>
        <v>65.083212308067715</v>
      </c>
      <c r="AT64" s="95">
        <f>Geraetedaten!$B$94*ABS(COS(RADIANS($A64)))</f>
        <v>139.57139920364409</v>
      </c>
      <c r="AU64" s="95">
        <f>((h_Aw_Sw+Geraetedaten!$B$18)/1000)*(AQ64*AS64+AR64*AT64)/100</f>
        <v>0</v>
      </c>
    </row>
    <row r="65" spans="1:47" ht="13.5" x14ac:dyDescent="0.25">
      <c r="A65" s="16">
        <v>26</v>
      </c>
      <c r="B65" s="16">
        <f t="shared" si="0"/>
        <v>424</v>
      </c>
      <c r="C65" s="19">
        <f t="shared" si="1"/>
        <v>54.773694970740721</v>
      </c>
      <c r="D65" s="17">
        <f t="shared" si="2"/>
        <v>-7865.1425649707408</v>
      </c>
      <c r="E65" s="17">
        <f t="shared" si="3"/>
        <v>-9301.3903549707411</v>
      </c>
      <c r="F65" s="17">
        <f t="shared" si="4"/>
        <v>7879.2481950292595</v>
      </c>
      <c r="G65" s="17">
        <f t="shared" si="5"/>
        <v>9831.956345029259</v>
      </c>
      <c r="H65" s="17">
        <f t="shared" si="33"/>
        <v>7879.2481950292595</v>
      </c>
      <c r="I65" s="17">
        <f t="shared" si="6"/>
        <v>4475.2249100970521</v>
      </c>
      <c r="J65" s="20">
        <f>(Geraetedaten!$B$152+(Geraetedaten!$B$153*(Geraetedaten!$B$18+d_y_Sw)/1000))*10</f>
        <v>6051.0442000000003</v>
      </c>
      <c r="K65" s="20">
        <f>(Geraetedaten!$B$165+(Geraetedaten!$B$166*(Geraetedaten!$B$18+d_y_Sw)/1000))*10</f>
        <v>10816.164000000001</v>
      </c>
      <c r="L65" s="20">
        <f>(Geraetedaten!$B$158+(Geraetedaten!$B$159*(Geraetedaten!$B$18+d_y_Sw)/1000)-(Geraetedaten!$B$160*I65/1000))*10</f>
        <v>273.36835734258295</v>
      </c>
      <c r="M65" s="20">
        <f>(Geraetedaten!$B$171+(Geraetedaten!$B$172*(Geraetedaten!$B$18+d_y_Sw)/1000)-(Geraetedaten!$B$173*I65/1000))*10</f>
        <v>731.73125769237629</v>
      </c>
      <c r="N65" s="20">
        <f>IF((H65-J65)/(K65-J65)*(Geraetedaten!$B$174-Geraetedaten!$B$161)&lt;Geraetedaten!$B$174,(H65-J65)/(K65-J65)*(Geraetedaten!$B$174-Geraetedaten!$B$161),Geraetedaten!$B$174)</f>
        <v>153.46552210748271</v>
      </c>
      <c r="O65" s="20">
        <f>N65/Geraetedaten!$B$174*(M65-L65)+L65+C65</f>
        <v>503.99930685552647</v>
      </c>
      <c r="P65" s="20">
        <f t="shared" si="7"/>
        <v>175.4025929423461</v>
      </c>
      <c r="Q65" s="21">
        <f>(N65-Geraetedaten!$B$161)/(Geraetedaten!$B$174-Geraetedaten!$B$161)*(Geraetedaten!$B$175-Geraetedaten!$B$162)+Geraetedaten!$B$162</f>
        <v>33.765599282697607</v>
      </c>
      <c r="R65" s="21">
        <f t="shared" si="8"/>
        <v>33.765599282697607</v>
      </c>
      <c r="S65" s="21">
        <f t="shared" si="9"/>
        <v>14.801864479576599</v>
      </c>
      <c r="T65" s="88">
        <f t="shared" si="10"/>
        <v>30.348319605012033</v>
      </c>
      <c r="U65" s="86">
        <f t="shared" si="11"/>
        <v>-7810.3688700000002</v>
      </c>
      <c r="V65" s="85">
        <f t="shared" si="12"/>
        <v>-1346.4914747781525</v>
      </c>
      <c r="W65" s="85">
        <f t="shared" si="13"/>
        <v>-1757.7386266404671</v>
      </c>
      <c r="X65" s="90">
        <f t="shared" si="14"/>
        <v>1346.4914747781525</v>
      </c>
      <c r="Y65" s="86">
        <f t="shared" si="15"/>
        <v>-9246.6166599999997</v>
      </c>
      <c r="Z65" s="85">
        <f t="shared" si="16"/>
        <v>-818.62113479844345</v>
      </c>
      <c r="AA65" s="85">
        <f t="shared" si="17"/>
        <v>-885.92646967231258</v>
      </c>
      <c r="AB65" s="90">
        <f t="shared" si="18"/>
        <v>818.62113479844345</v>
      </c>
      <c r="AC65" s="86">
        <f t="shared" si="19"/>
        <v>7934.02189</v>
      </c>
      <c r="AD65" s="85">
        <f t="shared" si="20"/>
        <v>3384.56104615708</v>
      </c>
      <c r="AE65" s="85">
        <f t="shared" si="21"/>
        <v>4475.2249100970521</v>
      </c>
      <c r="AF65" s="90">
        <f t="shared" si="22"/>
        <v>3384.56104615708</v>
      </c>
      <c r="AG65" s="86">
        <f t="shared" si="23"/>
        <v>9886.7300400000004</v>
      </c>
      <c r="AH65" s="85">
        <f t="shared" si="24"/>
        <v>6139.2748628683721</v>
      </c>
      <c r="AI65" s="85">
        <f t="shared" si="25"/>
        <v>6794.6450277677432</v>
      </c>
      <c r="AJ65" s="90">
        <f t="shared" si="26"/>
        <v>6139.2748628683721</v>
      </c>
      <c r="AL65" s="95">
        <f t="shared" si="27"/>
        <v>0</v>
      </c>
      <c r="AM65" s="95">
        <f t="shared" si="28"/>
        <v>0</v>
      </c>
      <c r="AN65" s="95">
        <f t="shared" si="29"/>
        <v>0</v>
      </c>
      <c r="AO65" s="95">
        <f t="shared" si="30"/>
        <v>0</v>
      </c>
      <c r="AP65"/>
      <c r="AQ65" s="95">
        <f t="shared" si="31"/>
        <v>0</v>
      </c>
      <c r="AR65" s="95">
        <f t="shared" si="32"/>
        <v>0</v>
      </c>
      <c r="AS65" s="95">
        <f>Geraetedaten!$B$94*ABS(SIN(RADIANS($A65)))</f>
        <v>67.509156605517916</v>
      </c>
      <c r="AT65" s="95">
        <f>Geraetedaten!$B$94*ABS(COS(RADIANS($A65)))</f>
        <v>138.41428313007174</v>
      </c>
      <c r="AU65" s="95">
        <f>((h_Aw_Sw+Geraetedaten!$B$18)/1000)*(AQ65*AS65+AR65*AT65)/100</f>
        <v>0</v>
      </c>
    </row>
    <row r="66" spans="1:47" ht="13.5" x14ac:dyDescent="0.25">
      <c r="A66" s="16">
        <v>27</v>
      </c>
      <c r="B66" s="16">
        <f t="shared" si="0"/>
        <v>423</v>
      </c>
      <c r="C66" s="19">
        <f t="shared" si="1"/>
        <v>55.533063495323873</v>
      </c>
      <c r="D66" s="17">
        <f t="shared" si="2"/>
        <v>-7754.3280534953246</v>
      </c>
      <c r="E66" s="17">
        <f t="shared" si="3"/>
        <v>-9370.834953495325</v>
      </c>
      <c r="F66" s="17">
        <f t="shared" si="4"/>
        <v>7761.6596965046756</v>
      </c>
      <c r="G66" s="17">
        <f t="shared" si="5"/>
        <v>9915.2386465046766</v>
      </c>
      <c r="H66" s="17">
        <f t="shared" si="33"/>
        <v>7761.6596965046756</v>
      </c>
      <c r="I66" s="17">
        <f t="shared" si="6"/>
        <v>4409.3268513785788</v>
      </c>
      <c r="J66" s="20">
        <f>(Geraetedaten!$B$152+(Geraetedaten!$B$153*(Geraetedaten!$B$18+d_y_Sw)/1000))*10</f>
        <v>6051.0442000000003</v>
      </c>
      <c r="K66" s="20">
        <f>(Geraetedaten!$B$165+(Geraetedaten!$B$166*(Geraetedaten!$B$18+d_y_Sw)/1000))*10</f>
        <v>10816.164000000001</v>
      </c>
      <c r="L66" s="20">
        <f>(Geraetedaten!$B$158+(Geraetedaten!$B$159*(Geraetedaten!$B$18+d_y_Sw)/1000)-(Geraetedaten!$B$160*I66/1000))*10</f>
        <v>278.20066198840863</v>
      </c>
      <c r="M66" s="20">
        <f>(Geraetedaten!$B$171+(Geraetedaten!$B$172*(Geraetedaten!$B$18+d_y_Sw)/1000)-(Geraetedaten!$B$173*I66/1000))*10</f>
        <v>736.63670918337948</v>
      </c>
      <c r="N66" s="20">
        <f>IF((H66-J66)/(K66-J66)*(Geraetedaten!$B$174-Geraetedaten!$B$161)&lt;Geraetedaten!$B$174,(H66-J66)/(K66-J66)*(Geraetedaten!$B$174-Geraetedaten!$B$161),Geraetedaten!$B$174)</f>
        <v>143.59475256044351</v>
      </c>
      <c r="O66" s="20">
        <f>N66/Geraetedaten!$B$174*(M66-L66)+L66+C66</f>
        <v>498.3062523881066</v>
      </c>
      <c r="P66" s="20">
        <f t="shared" si="7"/>
        <v>174.78035208214845</v>
      </c>
      <c r="Q66" s="21">
        <f>(N66-Geraetedaten!$B$161)/(Geraetedaten!$B$174-Geraetedaten!$B$161)*(Geraetedaten!$B$175-Geraetedaten!$B$162)+Geraetedaten!$B$162</f>
        <v>33.471943888673195</v>
      </c>
      <c r="R66" s="21">
        <f t="shared" si="8"/>
        <v>33.471943888673195</v>
      </c>
      <c r="S66" s="21">
        <f t="shared" si="9"/>
        <v>15.195944533272812</v>
      </c>
      <c r="T66" s="88">
        <f t="shared" si="10"/>
        <v>29.823720382074786</v>
      </c>
      <c r="U66" s="86">
        <f t="shared" si="11"/>
        <v>-7698.7949900000003</v>
      </c>
      <c r="V66" s="85">
        <f t="shared" si="12"/>
        <v>-1346.4914747781525</v>
      </c>
      <c r="W66" s="85">
        <f t="shared" si="13"/>
        <v>-1732.6287080433485</v>
      </c>
      <c r="X66" s="90">
        <f t="shared" si="14"/>
        <v>1346.4914747781525</v>
      </c>
      <c r="Y66" s="86">
        <f t="shared" si="15"/>
        <v>-9315.3018900000006</v>
      </c>
      <c r="Z66" s="85">
        <f t="shared" si="16"/>
        <v>-818.62113479844345</v>
      </c>
      <c r="AA66" s="85">
        <f t="shared" si="17"/>
        <v>-892.50726208541437</v>
      </c>
      <c r="AB66" s="90">
        <f t="shared" si="18"/>
        <v>818.62113479844345</v>
      </c>
      <c r="AC66" s="86">
        <f t="shared" si="19"/>
        <v>7817.1927599999999</v>
      </c>
      <c r="AD66" s="85">
        <f t="shared" si="20"/>
        <v>3384.56104615708</v>
      </c>
      <c r="AE66" s="85">
        <f t="shared" si="21"/>
        <v>4409.3268513785788</v>
      </c>
      <c r="AF66" s="90">
        <f t="shared" si="22"/>
        <v>3384.56104615708</v>
      </c>
      <c r="AG66" s="86">
        <f t="shared" si="23"/>
        <v>9970.7717100000009</v>
      </c>
      <c r="AH66" s="85">
        <f t="shared" si="24"/>
        <v>6139.2748628683721</v>
      </c>
      <c r="AI66" s="85">
        <f t="shared" si="25"/>
        <v>6852.4025837602449</v>
      </c>
      <c r="AJ66" s="90">
        <f t="shared" si="26"/>
        <v>6139.2748628683721</v>
      </c>
      <c r="AL66" s="95">
        <f t="shared" si="27"/>
        <v>0</v>
      </c>
      <c r="AM66" s="95">
        <f t="shared" si="28"/>
        <v>0</v>
      </c>
      <c r="AN66" s="95">
        <f t="shared" si="29"/>
        <v>0</v>
      </c>
      <c r="AO66" s="95">
        <f t="shared" si="30"/>
        <v>0</v>
      </c>
      <c r="AP66"/>
      <c r="AQ66" s="95">
        <f t="shared" si="31"/>
        <v>0</v>
      </c>
      <c r="AR66" s="95">
        <f t="shared" si="32"/>
        <v>0</v>
      </c>
      <c r="AS66" s="95">
        <f>Geraetedaten!$B$94*ABS(SIN(RADIANS($A66)))</f>
        <v>69.914536959890199</v>
      </c>
      <c r="AT66" s="95">
        <f>Geraetedaten!$B$94*ABS(COS(RADIANS($A66)))</f>
        <v>137.21500472500867</v>
      </c>
      <c r="AU66" s="95">
        <f>((h_Aw_Sw+Geraetedaten!$B$18)/1000)*(AQ66*AS66+AR66*AT66)/100</f>
        <v>0</v>
      </c>
    </row>
    <row r="67" spans="1:47" ht="13.5" x14ac:dyDescent="0.25">
      <c r="A67" s="16">
        <v>28</v>
      </c>
      <c r="B67" s="16">
        <f t="shared" si="0"/>
        <v>422</v>
      </c>
      <c r="C67" s="19">
        <f t="shared" si="1"/>
        <v>56.275516110805498</v>
      </c>
      <c r="D67" s="17">
        <f t="shared" si="2"/>
        <v>-7648.9196861108048</v>
      </c>
      <c r="E67" s="17">
        <f t="shared" si="3"/>
        <v>-9444.171726110806</v>
      </c>
      <c r="F67" s="17">
        <f t="shared" si="4"/>
        <v>7649.7921038891945</v>
      </c>
      <c r="G67" s="17">
        <f t="shared" si="5"/>
        <v>10003.069353889196</v>
      </c>
      <c r="H67" s="17">
        <f t="shared" si="33"/>
        <v>7649.7921038891945</v>
      </c>
      <c r="I67" s="17">
        <f t="shared" si="6"/>
        <v>4346.6461560254857</v>
      </c>
      <c r="J67" s="20">
        <f>(Geraetedaten!$B$152+(Geraetedaten!$B$153*(Geraetedaten!$B$18+d_y_Sw)/1000))*10</f>
        <v>6051.0442000000003</v>
      </c>
      <c r="K67" s="20">
        <f>(Geraetedaten!$B$165+(Geraetedaten!$B$166*(Geraetedaten!$B$18+d_y_Sw)/1000))*10</f>
        <v>10816.164000000001</v>
      </c>
      <c r="L67" s="20">
        <f>(Geraetedaten!$B$158+(Geraetedaten!$B$159*(Geraetedaten!$B$18+d_y_Sw)/1000)-(Geraetedaten!$B$160*I67/1000))*10</f>
        <v>282.79703737865094</v>
      </c>
      <c r="M67" s="20">
        <f>(Geraetedaten!$B$171+(Geraetedaten!$B$172*(Geraetedaten!$B$18+d_y_Sw)/1000)-(Geraetedaten!$B$173*I67/1000))*10</f>
        <v>741.30266014546373</v>
      </c>
      <c r="N67" s="20">
        <f>IF((H67-J67)/(K67-J67)*(Geraetedaten!$B$174-Geraetedaten!$B$161)&lt;Geraetedaten!$B$174,(H67-J67)/(K67-J67)*(Geraetedaten!$B$174-Geraetedaten!$B$161),Geraetedaten!$B$174)</f>
        <v>134.20421487738412</v>
      </c>
      <c r="O67" s="20">
        <f>N67/Geraetedaten!$B$174*(M67-L67)+L67+C67</f>
        <v>492.90602129017185</v>
      </c>
      <c r="P67" s="20">
        <f t="shared" si="7"/>
        <v>174.18493159644447</v>
      </c>
      <c r="Q67" s="21">
        <f>(N67-Geraetedaten!$B$161)/(Geraetedaten!$B$174-Geraetedaten!$B$161)*(Geraetedaten!$B$175-Geraetedaten!$B$162)+Geraetedaten!$B$162</f>
        <v>33.19257539260218</v>
      </c>
      <c r="R67" s="21">
        <f t="shared" si="8"/>
        <v>33.19257539260218</v>
      </c>
      <c r="S67" s="21">
        <f t="shared" si="9"/>
        <v>15.582970242453449</v>
      </c>
      <c r="T67" s="88">
        <f t="shared" si="10"/>
        <v>29.307304543686548</v>
      </c>
      <c r="U67" s="86">
        <f t="shared" si="11"/>
        <v>-7592.6441699999996</v>
      </c>
      <c r="V67" s="85">
        <f t="shared" si="12"/>
        <v>-1346.4914747781525</v>
      </c>
      <c r="W67" s="85">
        <f t="shared" si="13"/>
        <v>-1708.7392612604883</v>
      </c>
      <c r="X67" s="90">
        <f t="shared" si="14"/>
        <v>1346.4914747781525</v>
      </c>
      <c r="Y67" s="86">
        <f t="shared" si="15"/>
        <v>-9387.8962100000008</v>
      </c>
      <c r="Z67" s="85">
        <f t="shared" si="16"/>
        <v>-818.62113479844345</v>
      </c>
      <c r="AA67" s="85">
        <f t="shared" si="17"/>
        <v>-899.46258779686696</v>
      </c>
      <c r="AB67" s="90">
        <f t="shared" si="18"/>
        <v>818.62113479844345</v>
      </c>
      <c r="AC67" s="86">
        <f t="shared" si="19"/>
        <v>7706.0676199999998</v>
      </c>
      <c r="AD67" s="85">
        <f t="shared" si="20"/>
        <v>3384.56104615708</v>
      </c>
      <c r="AE67" s="85">
        <f t="shared" si="21"/>
        <v>4346.6461560254857</v>
      </c>
      <c r="AF67" s="90">
        <f t="shared" si="22"/>
        <v>3384.56104615708</v>
      </c>
      <c r="AG67" s="86">
        <f t="shared" si="23"/>
        <v>10059.344870000001</v>
      </c>
      <c r="AH67" s="85">
        <f t="shared" si="24"/>
        <v>6139.2748628683721</v>
      </c>
      <c r="AI67" s="85">
        <f t="shared" si="25"/>
        <v>6913.2743933676929</v>
      </c>
      <c r="AJ67" s="90">
        <f t="shared" si="26"/>
        <v>6139.2748628683721</v>
      </c>
      <c r="AL67" s="95">
        <f t="shared" si="27"/>
        <v>0</v>
      </c>
      <c r="AM67" s="95">
        <f t="shared" si="28"/>
        <v>0</v>
      </c>
      <c r="AN67" s="95">
        <f t="shared" si="29"/>
        <v>0</v>
      </c>
      <c r="AO67" s="95">
        <f t="shared" si="30"/>
        <v>0</v>
      </c>
      <c r="AP67"/>
      <c r="AQ67" s="95">
        <f t="shared" si="31"/>
        <v>0</v>
      </c>
      <c r="AR67" s="95">
        <f t="shared" si="32"/>
        <v>0</v>
      </c>
      <c r="AS67" s="95">
        <f>Geraetedaten!$B$94*ABS(SIN(RADIANS($A67)))</f>
        <v>72.298620669027187</v>
      </c>
      <c r="AT67" s="95">
        <f>Geraetedaten!$B$94*ABS(COS(RADIANS($A67)))</f>
        <v>135.97392930027476</v>
      </c>
      <c r="AU67" s="95">
        <f>((h_Aw_Sw+Geraetedaten!$B$18)/1000)*(AQ67*AS67+AR67*AT67)/100</f>
        <v>0</v>
      </c>
    </row>
    <row r="68" spans="1:47" ht="13.5" x14ac:dyDescent="0.25">
      <c r="A68" s="16">
        <v>29</v>
      </c>
      <c r="B68" s="16">
        <f t="shared" si="0"/>
        <v>421</v>
      </c>
      <c r="C68" s="19">
        <f t="shared" si="1"/>
        <v>57.000826658926599</v>
      </c>
      <c r="D68" s="17">
        <f t="shared" si="2"/>
        <v>-7548.6325666589264</v>
      </c>
      <c r="E68" s="17">
        <f t="shared" si="3"/>
        <v>-9521.5373366589265</v>
      </c>
      <c r="F68" s="17">
        <f t="shared" si="4"/>
        <v>7543.3394433410731</v>
      </c>
      <c r="G68" s="17">
        <f t="shared" si="5"/>
        <v>10095.625243341074</v>
      </c>
      <c r="H68" s="17">
        <f t="shared" si="33"/>
        <v>7543.3394433410731</v>
      </c>
      <c r="I68" s="17">
        <f t="shared" si="6"/>
        <v>4287.0101165169235</v>
      </c>
      <c r="J68" s="20">
        <f>(Geraetedaten!$B$152+(Geraetedaten!$B$153*(Geraetedaten!$B$18+d_y_Sw)/1000))*10</f>
        <v>6051.0442000000003</v>
      </c>
      <c r="K68" s="20">
        <f>(Geraetedaten!$B$165+(Geraetedaten!$B$166*(Geraetedaten!$B$18+d_y_Sw)/1000))*10</f>
        <v>10816.164000000001</v>
      </c>
      <c r="L68" s="20">
        <f>(Geraetedaten!$B$158+(Geraetedaten!$B$159*(Geraetedaten!$B$18+d_y_Sw)/1000)-(Geraetedaten!$B$160*I68/1000))*10</f>
        <v>287.17014815581376</v>
      </c>
      <c r="M68" s="20">
        <f>(Geraetedaten!$B$171+(Geraetedaten!$B$172*(Geraetedaten!$B$18+d_y_Sw)/1000)-(Geraetedaten!$B$173*I68/1000))*10</f>
        <v>745.74196692648115</v>
      </c>
      <c r="N68" s="20">
        <f>IF((H68-J68)/(K68-J68)*(Geraetedaten!$B$174-Geraetedaten!$B$161)&lt;Geraetedaten!$B$174,(H68-J68)/(K68-J68)*(Geraetedaten!$B$174-Geraetedaten!$B$161),Geraetedaten!$B$174)</f>
        <v>125.26822459666786</v>
      </c>
      <c r="O68" s="20">
        <f>N68/Geraetedaten!$B$174*(M68-L68)+L68+C68</f>
        <v>487.78216878340646</v>
      </c>
      <c r="P68" s="20">
        <f t="shared" si="7"/>
        <v>173.61536264976536</v>
      </c>
      <c r="Q68" s="21">
        <f>(N68-Geraetedaten!$B$161)/(Geraetedaten!$B$174-Geraetedaten!$B$161)*(Geraetedaten!$B$175-Geraetedaten!$B$162)+Geraetedaten!$B$162</f>
        <v>32.926729681750871</v>
      </c>
      <c r="R68" s="21">
        <f t="shared" si="8"/>
        <v>32.926729681750871</v>
      </c>
      <c r="S68" s="21">
        <f t="shared" si="9"/>
        <v>15.963195312963434</v>
      </c>
      <c r="T68" s="88">
        <f t="shared" si="10"/>
        <v>28.798366671310994</v>
      </c>
      <c r="U68" s="86">
        <f t="shared" si="11"/>
        <v>-7491.6317399999998</v>
      </c>
      <c r="V68" s="85">
        <f t="shared" si="12"/>
        <v>-1346.4914747781525</v>
      </c>
      <c r="W68" s="85">
        <f t="shared" si="13"/>
        <v>-1686.0062181763626</v>
      </c>
      <c r="X68" s="90">
        <f t="shared" si="14"/>
        <v>1346.4914747781525</v>
      </c>
      <c r="Y68" s="86">
        <f t="shared" si="15"/>
        <v>-9464.5365099999999</v>
      </c>
      <c r="Z68" s="85">
        <f t="shared" si="16"/>
        <v>-818.62113479844345</v>
      </c>
      <c r="AA68" s="85">
        <f t="shared" si="17"/>
        <v>-906.80556218589413</v>
      </c>
      <c r="AB68" s="90">
        <f t="shared" si="18"/>
        <v>818.62113479844345</v>
      </c>
      <c r="AC68" s="86">
        <f t="shared" si="19"/>
        <v>7600.3402699999997</v>
      </c>
      <c r="AD68" s="85">
        <f t="shared" si="20"/>
        <v>3384.56104615708</v>
      </c>
      <c r="AE68" s="85">
        <f t="shared" si="21"/>
        <v>4287.0101165169235</v>
      </c>
      <c r="AF68" s="90">
        <f t="shared" si="22"/>
        <v>3384.56104615708</v>
      </c>
      <c r="AG68" s="86">
        <f t="shared" si="23"/>
        <v>10152.62607</v>
      </c>
      <c r="AH68" s="85">
        <f t="shared" si="24"/>
        <v>6139.2748628683721</v>
      </c>
      <c r="AI68" s="85">
        <f t="shared" si="25"/>
        <v>6977.3818064721472</v>
      </c>
      <c r="AJ68" s="90">
        <f t="shared" si="26"/>
        <v>6139.2748628683721</v>
      </c>
      <c r="AL68" s="95">
        <f t="shared" si="27"/>
        <v>0</v>
      </c>
      <c r="AM68" s="95">
        <f t="shared" si="28"/>
        <v>0</v>
      </c>
      <c r="AN68" s="95">
        <f t="shared" si="29"/>
        <v>0</v>
      </c>
      <c r="AO68" s="95">
        <f t="shared" si="30"/>
        <v>0</v>
      </c>
      <c r="AP68"/>
      <c r="AQ68" s="95">
        <f t="shared" si="31"/>
        <v>0</v>
      </c>
      <c r="AR68" s="95">
        <f t="shared" si="32"/>
        <v>0</v>
      </c>
      <c r="AS68" s="95">
        <f>Geraetedaten!$B$94*ABS(SIN(RADIANS($A68)))</f>
        <v>74.660681517935913</v>
      </c>
      <c r="AT68" s="95">
        <f>Geraetedaten!$B$94*ABS(COS(RADIANS($A68)))</f>
        <v>134.69143489946694</v>
      </c>
      <c r="AU68" s="95">
        <f>((h_Aw_Sw+Geraetedaten!$B$18)/1000)*(AQ68*AS68+AR68*AT68)/100</f>
        <v>0</v>
      </c>
    </row>
    <row r="69" spans="1:47" ht="13.5" x14ac:dyDescent="0.25">
      <c r="A69" s="16">
        <v>30</v>
      </c>
      <c r="B69" s="16">
        <f t="shared" si="0"/>
        <v>420</v>
      </c>
      <c r="C69" s="19">
        <f t="shared" si="1"/>
        <v>57.708774203067975</v>
      </c>
      <c r="D69" s="17">
        <f t="shared" si="2"/>
        <v>-7453.2036942030682</v>
      </c>
      <c r="E69" s="17">
        <f t="shared" si="3"/>
        <v>-9603.0787642030664</v>
      </c>
      <c r="F69" s="17">
        <f t="shared" si="4"/>
        <v>7442.0196257969319</v>
      </c>
      <c r="G69" s="17">
        <f t="shared" si="5"/>
        <v>10193.096425796934</v>
      </c>
      <c r="H69" s="17">
        <f t="shared" si="33"/>
        <v>7442.0196257969319</v>
      </c>
      <c r="I69" s="17">
        <f t="shared" si="6"/>
        <v>4230.2594816508872</v>
      </c>
      <c r="J69" s="20">
        <f>(Geraetedaten!$B$152+(Geraetedaten!$B$153*(Geraetedaten!$B$18+d_y_Sw)/1000))*10</f>
        <v>6051.0442000000003</v>
      </c>
      <c r="K69" s="20">
        <f>(Geraetedaten!$B$165+(Geraetedaten!$B$166*(Geraetedaten!$B$18+d_y_Sw)/1000))*10</f>
        <v>10816.164000000001</v>
      </c>
      <c r="L69" s="20">
        <f>(Geraetedaten!$B$158+(Geraetedaten!$B$159*(Geraetedaten!$B$18+d_y_Sw)/1000)-(Geraetedaten!$B$160*I69/1000))*10</f>
        <v>291.33167221054021</v>
      </c>
      <c r="M69" s="20">
        <f>(Geraetedaten!$B$171+(Geraetedaten!$B$172*(Geraetedaten!$B$18+d_y_Sw)/1000)-(Geraetedaten!$B$173*I69/1000))*10</f>
        <v>749.96648418590883</v>
      </c>
      <c r="N69" s="20">
        <f>IF((H69-J69)/(K69-J69)*(Geraetedaten!$B$174-Geraetedaten!$B$161)&lt;Geraetedaten!$B$174,(H69-J69)/(K69-J69)*(Geraetedaten!$B$174-Geraetedaten!$B$161),Geraetedaten!$B$174)</f>
        <v>116.76310222437066</v>
      </c>
      <c r="O69" s="20">
        <f>N69/Geraetedaten!$B$174*(M69-L69)+L69+C69</f>
        <v>482.91950499944562</v>
      </c>
      <c r="P69" s="20">
        <f t="shared" si="7"/>
        <v>173.07071064873287</v>
      </c>
      <c r="Q69" s="21">
        <f>(N69-Geraetedaten!$B$161)/(Geraetedaten!$B$174-Geraetedaten!$B$161)*(Geraetedaten!$B$175-Geraetedaten!$B$162)+Geraetedaten!$B$162</f>
        <v>32.673702291175026</v>
      </c>
      <c r="R69" s="21">
        <f t="shared" si="8"/>
        <v>32.673702291175026</v>
      </c>
      <c r="S69" s="21">
        <f t="shared" si="9"/>
        <v>16.336851145587509</v>
      </c>
      <c r="T69" s="88">
        <f t="shared" si="10"/>
        <v>28.296256219847393</v>
      </c>
      <c r="U69" s="86">
        <f t="shared" si="11"/>
        <v>-7395.4949200000001</v>
      </c>
      <c r="V69" s="85">
        <f t="shared" si="12"/>
        <v>-1346.4914747781525</v>
      </c>
      <c r="W69" s="85">
        <f t="shared" si="13"/>
        <v>-1664.3704406169909</v>
      </c>
      <c r="X69" s="90">
        <f t="shared" si="14"/>
        <v>1346.4914747781525</v>
      </c>
      <c r="Y69" s="86">
        <f t="shared" si="15"/>
        <v>-9545.3699899999992</v>
      </c>
      <c r="Z69" s="85">
        <f t="shared" si="16"/>
        <v>-818.62113479844345</v>
      </c>
      <c r="AA69" s="85">
        <f t="shared" si="17"/>
        <v>-914.55028945363802</v>
      </c>
      <c r="AB69" s="90">
        <f t="shared" si="18"/>
        <v>818.62113479844345</v>
      </c>
      <c r="AC69" s="86">
        <f t="shared" si="19"/>
        <v>7499.7284</v>
      </c>
      <c r="AD69" s="85">
        <f t="shared" si="20"/>
        <v>3384.56104615708</v>
      </c>
      <c r="AE69" s="85">
        <f t="shared" si="21"/>
        <v>4230.2594816508872</v>
      </c>
      <c r="AF69" s="90">
        <f t="shared" si="22"/>
        <v>3384.56104615708</v>
      </c>
      <c r="AG69" s="86">
        <f t="shared" si="23"/>
        <v>10250.805200000001</v>
      </c>
      <c r="AH69" s="85">
        <f t="shared" si="24"/>
        <v>6139.2748628683721</v>
      </c>
      <c r="AI69" s="85">
        <f t="shared" si="25"/>
        <v>7044.8553124059872</v>
      </c>
      <c r="AJ69" s="90">
        <f t="shared" si="26"/>
        <v>6139.2748628683721</v>
      </c>
      <c r="AL69" s="95">
        <f t="shared" si="27"/>
        <v>0</v>
      </c>
      <c r="AM69" s="95">
        <f t="shared" si="28"/>
        <v>0</v>
      </c>
      <c r="AN69" s="95">
        <f t="shared" si="29"/>
        <v>0</v>
      </c>
      <c r="AO69" s="95">
        <f t="shared" si="30"/>
        <v>0</v>
      </c>
      <c r="AP69"/>
      <c r="AQ69" s="95">
        <f t="shared" si="31"/>
        <v>0</v>
      </c>
      <c r="AR69" s="95">
        <f t="shared" si="32"/>
        <v>0</v>
      </c>
      <c r="AS69" s="95">
        <f>Geraetedaten!$B$94*ABS(SIN(RADIANS($A69)))</f>
        <v>76.999999999999986</v>
      </c>
      <c r="AT69" s="95">
        <f>Geraetedaten!$B$94*ABS(COS(RADIANS($A69)))</f>
        <v>133.36791218280356</v>
      </c>
      <c r="AU69" s="95">
        <f>((h_Aw_Sw+Geraetedaten!$B$18)/1000)*(AQ69*AS69+AR69*AT69)/100</f>
        <v>0</v>
      </c>
    </row>
    <row r="70" spans="1:47" ht="13.5" x14ac:dyDescent="0.25">
      <c r="A70" s="16">
        <v>31</v>
      </c>
      <c r="B70" s="16">
        <f t="shared" si="0"/>
        <v>419</v>
      </c>
      <c r="C70" s="19">
        <f t="shared" si="1"/>
        <v>58.399143095549661</v>
      </c>
      <c r="D70" s="17">
        <f t="shared" si="2"/>
        <v>-7362.3900230955496</v>
      </c>
      <c r="E70" s="17">
        <f t="shared" si="3"/>
        <v>-9688.95409309555</v>
      </c>
      <c r="F70" s="17">
        <f t="shared" si="4"/>
        <v>7345.5721969044507</v>
      </c>
      <c r="G70" s="17">
        <f t="shared" si="5"/>
        <v>10295.68733690445</v>
      </c>
      <c r="H70" s="17">
        <f t="shared" si="33"/>
        <v>7345.5721969044507</v>
      </c>
      <c r="I70" s="17">
        <f t="shared" si="6"/>
        <v>4176.2472304333005</v>
      </c>
      <c r="J70" s="20">
        <f>(Geraetedaten!$B$152+(Geraetedaten!$B$153*(Geraetedaten!$B$18+d_y_Sw)/1000))*10</f>
        <v>6051.0442000000003</v>
      </c>
      <c r="K70" s="20">
        <f>(Geraetedaten!$B$165+(Geraetedaten!$B$166*(Geraetedaten!$B$18+d_y_Sw)/1000))*10</f>
        <v>10816.164000000001</v>
      </c>
      <c r="L70" s="20">
        <f>(Geraetedaten!$B$158+(Geraetedaten!$B$159*(Geraetedaten!$B$18+d_y_Sw)/1000)-(Geraetedaten!$B$160*I70/1000))*10</f>
        <v>295.29239059232589</v>
      </c>
      <c r="M70" s="20">
        <f>(Geraetedaten!$B$171+(Geraetedaten!$B$172*(Geraetedaten!$B$18+d_y_Sw)/1000)-(Geraetedaten!$B$173*I70/1000))*10</f>
        <v>753.98715616654601</v>
      </c>
      <c r="N70" s="20">
        <f>IF((H70-J70)/(K70-J70)*(Geraetedaten!$B$174-Geraetedaten!$B$161)&lt;Geraetedaten!$B$174,(H70-J70)/(K70-J70)*(Geraetedaten!$B$174-Geraetedaten!$B$161),Geraetedaten!$B$174)</f>
        <v>108.6669843561499</v>
      </c>
      <c r="O70" s="20">
        <f>N70/Geraetedaten!$B$174*(M70-L70)+L70+C70</f>
        <v>478.30397597512962</v>
      </c>
      <c r="P70" s="20">
        <f t="shared" si="7"/>
        <v>172.55007332596225</v>
      </c>
      <c r="Q70" s="21">
        <f>(N70-Geraetedaten!$B$161)/(Geraetedaten!$B$174-Geraetedaten!$B$161)*(Geraetedaten!$B$175-Geraetedaten!$B$162)+Geraetedaten!$B$162</f>
        <v>32.432842784595458</v>
      </c>
      <c r="R70" s="21">
        <f t="shared" si="8"/>
        <v>32.432842784595458</v>
      </c>
      <c r="S70" s="21">
        <f t="shared" si="9"/>
        <v>16.704148911638484</v>
      </c>
      <c r="T70" s="88">
        <f t="shared" si="10"/>
        <v>27.80037230376767</v>
      </c>
      <c r="U70" s="86">
        <f t="shared" si="11"/>
        <v>-7303.9908800000003</v>
      </c>
      <c r="V70" s="85">
        <f t="shared" si="12"/>
        <v>-1346.4914747781525</v>
      </c>
      <c r="W70" s="85">
        <f t="shared" si="13"/>
        <v>-1643.7772789766218</v>
      </c>
      <c r="X70" s="90">
        <f t="shared" si="14"/>
        <v>1346.4914747781525</v>
      </c>
      <c r="Y70" s="86">
        <f t="shared" si="15"/>
        <v>-9630.5549499999997</v>
      </c>
      <c r="Z70" s="85">
        <f t="shared" si="16"/>
        <v>-818.62113479844345</v>
      </c>
      <c r="AA70" s="85">
        <f t="shared" si="17"/>
        <v>-922.71193479824194</v>
      </c>
      <c r="AB70" s="90">
        <f t="shared" si="18"/>
        <v>818.62113479844345</v>
      </c>
      <c r="AC70" s="86">
        <f t="shared" si="19"/>
        <v>7403.9713400000001</v>
      </c>
      <c r="AD70" s="85">
        <f t="shared" si="20"/>
        <v>3384.56104615708</v>
      </c>
      <c r="AE70" s="85">
        <f t="shared" si="21"/>
        <v>4176.2472304333005</v>
      </c>
      <c r="AF70" s="90">
        <f t="shared" si="22"/>
        <v>3384.56104615708</v>
      </c>
      <c r="AG70" s="86">
        <f t="shared" si="23"/>
        <v>10354.08648</v>
      </c>
      <c r="AH70" s="85">
        <f t="shared" si="24"/>
        <v>6139.2748628683721</v>
      </c>
      <c r="AI70" s="85">
        <f t="shared" si="25"/>
        <v>7115.8352597139919</v>
      </c>
      <c r="AJ70" s="90">
        <f t="shared" si="26"/>
        <v>6139.2748628683721</v>
      </c>
      <c r="AL70" s="95">
        <f t="shared" si="27"/>
        <v>0</v>
      </c>
      <c r="AM70" s="95">
        <f t="shared" si="28"/>
        <v>0</v>
      </c>
      <c r="AN70" s="95">
        <f t="shared" si="29"/>
        <v>0</v>
      </c>
      <c r="AO70" s="95">
        <f t="shared" si="30"/>
        <v>0</v>
      </c>
      <c r="AP70"/>
      <c r="AQ70" s="95">
        <f t="shared" si="31"/>
        <v>0</v>
      </c>
      <c r="AR70" s="95">
        <f t="shared" si="32"/>
        <v>0</v>
      </c>
      <c r="AS70" s="95">
        <f>Geraetedaten!$B$94*ABS(SIN(RADIANS($A70)))</f>
        <v>79.315863536148342</v>
      </c>
      <c r="AT70" s="95">
        <f>Geraetedaten!$B$94*ABS(COS(RADIANS($A70)))</f>
        <v>132.00376430812531</v>
      </c>
      <c r="AU70" s="95">
        <f>((h_Aw_Sw+Geraetedaten!$B$18)/1000)*(AQ70*AS70+AR70*AT70)/100</f>
        <v>0</v>
      </c>
    </row>
    <row r="71" spans="1:47" ht="13.5" x14ac:dyDescent="0.25">
      <c r="A71" s="16">
        <v>32</v>
      </c>
      <c r="B71" s="16">
        <f t="shared" ref="B71:B102" si="34">360-A71+90</f>
        <v>418</v>
      </c>
      <c r="C71" s="19">
        <f t="shared" ref="C71:C102" si="35">$AE$16*ABS(COS(RADIANS(A71)))+$AE$17*ABS(SIN(RADIANS(A71)))+AU71</f>
        <v>59.071723043319231</v>
      </c>
      <c r="D71" s="17">
        <f t="shared" ref="D71:D102" si="36">IF(ISNUMBER(U71),U71-C71,"unendlich")</f>
        <v>-7275.9667030433193</v>
      </c>
      <c r="E71" s="17">
        <f t="shared" ref="E71:E102" si="37">IF(ISNUMBER(Y71),Y71-C71,"unendlich")</f>
        <v>-9779.3332830433192</v>
      </c>
      <c r="F71" s="17">
        <f t="shared" ref="F71:F102" si="38">IF(ISNUMBER(AC71),AC71-C71,"unendlich")</f>
        <v>7253.7564669566809</v>
      </c>
      <c r="G71" s="17">
        <f t="shared" ref="G71:G102" si="39">IF(ISNUMBER(AG71),AG71-C71,"unendlich")</f>
        <v>10403.617886956681</v>
      </c>
      <c r="H71" s="17">
        <f t="shared" si="33"/>
        <v>7253.7564669566809</v>
      </c>
      <c r="I71" s="17">
        <f t="shared" ref="I71:I102" si="40">IF(H71+C71=U71,W71,IF(H71+C71=Y71,AA71,IF(H71+C71=AC71,AE71,IF(H71+C71=AG71,AI71,"???"))))</f>
        <v>4124.8374802150402</v>
      </c>
      <c r="J71" s="20">
        <f>(Geraetedaten!$B$152+(Geraetedaten!$B$153*(Geraetedaten!$B$18+d_y_Sw)/1000))*10</f>
        <v>6051.0442000000003</v>
      </c>
      <c r="K71" s="20">
        <f>(Geraetedaten!$B$165+(Geraetedaten!$B$166*(Geraetedaten!$B$18+d_y_Sw)/1000))*10</f>
        <v>10816.164000000001</v>
      </c>
      <c r="L71" s="20">
        <f>(Geraetedaten!$B$158+(Geraetedaten!$B$159*(Geraetedaten!$B$18+d_y_Sw)/1000)-(Geraetedaten!$B$160*I71/1000))*10</f>
        <v>299.0622675758309</v>
      </c>
      <c r="M71" s="20">
        <f>(Geraetedaten!$B$171+(Geraetedaten!$B$172*(Geraetedaten!$B$18+d_y_Sw)/1000)-(Geraetedaten!$B$173*I71/1000))*10</f>
        <v>757.81409797279321</v>
      </c>
      <c r="N71" s="20">
        <f>IF((H71-J71)/(K71-J71)*(Geraetedaten!$B$174-Geraetedaten!$B$161)&lt;Geraetedaten!$B$174,(H71-J71)/(K71-J71)*(Geraetedaten!$B$174-Geraetedaten!$B$161),Geraetedaten!$B$174)</f>
        <v>100.95966669771288</v>
      </c>
      <c r="O71" s="20">
        <f>N71/Geraetedaten!$B$174*(M71-L71)+L71+C71</f>
        <v>473.92257035375769</v>
      </c>
      <c r="P71" s="20">
        <f t="shared" ref="P71:P102" si="41">O71*100/9.81/(Q71-(I71/1000))</f>
        <v>172.05258148552545</v>
      </c>
      <c r="Q71" s="21">
        <f>(N71-Geraetedaten!$B$161)/(Geraetedaten!$B$174-Geraetedaten!$B$161)*(Geraetedaten!$B$175-Geraetedaten!$B$162)+Geraetedaten!$B$162</f>
        <v>32.20355008425696</v>
      </c>
      <c r="R71" s="21">
        <f t="shared" ref="R71:R102" si="42">SQRT((r_K_D/1000)^2+Q71^2-(2*(r_K_D/1000)*Q71*COS(RADIANS(2*A71))))</f>
        <v>32.20355008425696</v>
      </c>
      <c r="S71" s="21">
        <f t="shared" ref="S71:S102" si="43">R71*SIN(A71*Const_2)</f>
        <v>17.065281566346613</v>
      </c>
      <c r="T71" s="88">
        <f t="shared" ref="T71:T102" si="44">R71*COS(A71*Const_2)</f>
        <v>27.310159338432225</v>
      </c>
      <c r="U71" s="86">
        <f t="shared" ref="U71:U102" si="45">ROUND((F_S*r_Su_L-F_G*V71+F_SSw*X71)/(SIN(RADIANS(270+g_L-A71)))/1000,5)</f>
        <v>-7216.89498</v>
      </c>
      <c r="V71" s="85">
        <f t="shared" ref="V71:V102" si="46">(SIN(RADIANS(g_L)))*(((VL_Z-HL_Z)/(VL_X-HL_X))*(-HL_X+AM71)+HL_Z-AL71)</f>
        <v>-1346.4914747781525</v>
      </c>
      <c r="W71" s="85">
        <f t="shared" ref="W71:W102" si="47">V71/(SIN(RADIANS(180-g_L-(90-$A71))))</f>
        <v>-1624.1761784736918</v>
      </c>
      <c r="X71" s="90">
        <f t="shared" ref="X71:X102" si="48">SIN(RADIANS(g_L))*(((VL_Z-HL_Z)/(VL_X-HL_X))*(-AO71+HL_X)-HL_Z+AN71)</f>
        <v>1346.4914747781525</v>
      </c>
      <c r="Y71" s="86">
        <f t="shared" ref="Y71:Y102" si="49">ROUND((F_S*r_Su_H-F_G*Z71+F_SSw*AB71)/(SIN(RADIANS(180+g_H-A71)))/1000,5)</f>
        <v>-9720.2615600000008</v>
      </c>
      <c r="Z71" s="85">
        <f t="shared" ref="Z71:Z102" si="50">(SIN(RADIANS(g_H)))*(((HL_X-HR_X)/(HL_Z-HR_Z))*(-HR_Z+AL71)+HR_X-AM71)</f>
        <v>-818.62113479844345</v>
      </c>
      <c r="AA71" s="85">
        <f t="shared" ref="AA71:AA102" si="51">Z71/(SIN(RADIANS(g_H-$A71)))</f>
        <v>-931.30680399091489</v>
      </c>
      <c r="AB71" s="90">
        <f t="shared" ref="AB71:AB102" si="52">SIN(RADIANS(g_H))*(((HL_X-HR_X)/(HL_Z-HR_Z))*(-AN71+HR_Z)-HR_X+AO71)</f>
        <v>818.62113479844345</v>
      </c>
      <c r="AC71" s="86">
        <f t="shared" ref="AC71:AC102" si="53">ROUND((F_S*r_Su_R+F_G*AD71+F_SSw*AF71)/(SIN(RADIANS(90+g_R-A71)))/1000,5)</f>
        <v>7312.8281900000002</v>
      </c>
      <c r="AD71" s="85">
        <f t="shared" ref="AD71:AD102" si="54">(SIN(RADIANS(g_R)))*(((HR_Z-VR_Z)/(HR_X-VR_X))*(-VR_X+AM71)+VR_Z-AL71)</f>
        <v>3384.56104615708</v>
      </c>
      <c r="AE71" s="85">
        <f t="shared" ref="AE71:AE102" si="55">AD71/(SIN(RADIANS(180-g_R-(90-$A71))))</f>
        <v>4124.8374802150402</v>
      </c>
      <c r="AF71" s="90">
        <f t="shared" ref="AF71:AF102" si="56">(SIN(RADIANS(g_R)))*(((HR_Z-VR_Z)/(HR_X-VR_X))*(-VR_X+AO71)+VR_Z-AN71)</f>
        <v>3384.56104615708</v>
      </c>
      <c r="AG71" s="86">
        <f t="shared" ref="AG71:AG102" si="57">ROUND((F_S*r_Su_V+F_G*AH71+F_SSw*AJ71)/(SIN(RADIANS(g_V-A71)))/1000,5)</f>
        <v>10462.689609999999</v>
      </c>
      <c r="AH71" s="85">
        <f t="shared" ref="AH71:AH102" si="58">(SIN(RADIANS(g_V)))*(((VR_X-VL_X)/(VR_Z-VL_Z))*(AL71-VL_Z)+VL_X-AM71)</f>
        <v>6139.2748628683721</v>
      </c>
      <c r="AI71" s="85">
        <f t="shared" ref="AI71:AI102" si="59">AH71/(SIN(RADIANS(g_V-$A71)))</f>
        <v>7190.4726519745236</v>
      </c>
      <c r="AJ71" s="90">
        <f t="shared" ref="AJ71:AJ102" si="60">(SIN(RADIANS(g_V)))*(((VR_X-VL_X)/(VR_Z-VL_Z))*(-VL_Z+AN71)+VL_X-AO71)</f>
        <v>6139.2748628683721</v>
      </c>
      <c r="AL71" s="95">
        <f t="shared" ref="AL71:AL102" si="61">SIN(RADIANS(A71))*r_K_D</f>
        <v>0</v>
      </c>
      <c r="AM71" s="95">
        <f t="shared" ref="AM71:AM102" si="62">COS(RADIANS(A71-180))*r_K_D</f>
        <v>0</v>
      </c>
      <c r="AN71" s="95">
        <f t="shared" ref="AN71:AN102" si="63">SIN(RADIANS(A71))*r_K_SSw</f>
        <v>0</v>
      </c>
      <c r="AO71" s="95">
        <f t="shared" ref="AO71:AO102" si="64">-COS(RADIANS(A71))*r_K_SSw</f>
        <v>0</v>
      </c>
      <c r="AP71"/>
      <c r="AQ71" s="95">
        <f t="shared" ref="AQ71:AQ102" si="65">MAX(d_y_Sw*(r_K_D*ABS(COS(RADIANS($A71)))+_r1_Sw+_r2_Sw), 2*_r1_Sw*d_y_Sw)/1000000</f>
        <v>0</v>
      </c>
      <c r="AR71" s="95">
        <f t="shared" ref="AR71:AR102" si="66">MAX(d_y_Sw*(r_K_D*ABS(SIN(RADIANS($A71)))+_r1_Sw+_r2_Sw), 2*_r1_Sw*d_y_Sw)/1000000</f>
        <v>0</v>
      </c>
      <c r="AS71" s="95">
        <f>Geraetedaten!$B$94*ABS(SIN(RADIANS($A71)))</f>
        <v>81.607566691913561</v>
      </c>
      <c r="AT71" s="95">
        <f>Geraetedaten!$B$94*ABS(COS(RADIANS($A71)))</f>
        <v>130.59940680808961</v>
      </c>
      <c r="AU71" s="95">
        <f>((h_Aw_Sw+Geraetedaten!$B$18)/1000)*(AQ71*AS71+AR71*AT71)/100</f>
        <v>0</v>
      </c>
    </row>
    <row r="72" spans="1:47" ht="13.5" x14ac:dyDescent="0.25">
      <c r="A72" s="16">
        <v>33</v>
      </c>
      <c r="B72" s="16">
        <f t="shared" si="34"/>
        <v>417</v>
      </c>
      <c r="C72" s="19">
        <f t="shared" si="35"/>
        <v>59.726309172009181</v>
      </c>
      <c r="D72" s="17">
        <f t="shared" si="36"/>
        <v>-7193.7255291720085</v>
      </c>
      <c r="E72" s="17">
        <f t="shared" si="37"/>
        <v>-9874.3991391720083</v>
      </c>
      <c r="F72" s="17">
        <f t="shared" si="38"/>
        <v>7166.3497608279913</v>
      </c>
      <c r="G72" s="17">
        <f t="shared" si="39"/>
        <v>10517.124810827991</v>
      </c>
      <c r="H72" s="17">
        <f t="shared" ref="H72:H103" si="67">SMALL(D72:G72,COUNTIF(D72:G72,"&lt;0")+1)</f>
        <v>7166.3497608279913</v>
      </c>
      <c r="I72" s="17">
        <f t="shared" si="40"/>
        <v>4075.9045123820788</v>
      </c>
      <c r="J72" s="20">
        <f>(Geraetedaten!$B$152+(Geraetedaten!$B$153*(Geraetedaten!$B$18+d_y_Sw)/1000))*10</f>
        <v>6051.0442000000003</v>
      </c>
      <c r="K72" s="20">
        <f>(Geraetedaten!$B$165+(Geraetedaten!$B$166*(Geraetedaten!$B$18+d_y_Sw)/1000))*10</f>
        <v>10816.164000000001</v>
      </c>
      <c r="L72" s="20">
        <f>(Geraetedaten!$B$158+(Geraetedaten!$B$159*(Geraetedaten!$B$18+d_y_Sw)/1000)-(Geraetedaten!$B$160*I72/1000))*10</f>
        <v>302.65052210702197</v>
      </c>
      <c r="M72" s="20">
        <f>(Geraetedaten!$B$171+(Geraetedaten!$B$172*(Geraetedaten!$B$18+d_y_Sw)/1000)-(Geraetedaten!$B$173*I72/1000))*10</f>
        <v>761.45666809827901</v>
      </c>
      <c r="N72" s="20">
        <f>IF((H72-J72)/(K72-J72)*(Geraetedaten!$B$174-Geraetedaten!$B$161)&lt;Geraetedaten!$B$174,(H72-J72)/(K72-J72)*(Geraetedaten!$B$174-Geraetedaten!$B$161),Geraetedaten!$B$174)</f>
        <v>93.622457158620946</v>
      </c>
      <c r="O72" s="20">
        <f>N72/Geraetedaten!$B$174*(M72-L72)+L72+C72</f>
        <v>469.76322814697727</v>
      </c>
      <c r="P72" s="20">
        <f t="shared" si="41"/>
        <v>171.57739803255029</v>
      </c>
      <c r="Q72" s="21">
        <f>(N72-Geraetedaten!$B$161)/(Geraetedaten!$B$174-Geraetedaten!$B$161)*(Geraetedaten!$B$175-Geraetedaten!$B$162)+Geraetedaten!$B$162</f>
        <v>31.985268100468971</v>
      </c>
      <c r="R72" s="21">
        <f t="shared" si="42"/>
        <v>31.985268100468971</v>
      </c>
      <c r="S72" s="21">
        <f t="shared" si="43"/>
        <v>17.420425552936347</v>
      </c>
      <c r="T72" s="88">
        <f t="shared" si="44"/>
        <v>26.825102963706968</v>
      </c>
      <c r="U72" s="86">
        <f t="shared" si="45"/>
        <v>-7133.9992199999997</v>
      </c>
      <c r="V72" s="85">
        <f t="shared" si="46"/>
        <v>-1346.4914747781525</v>
      </c>
      <c r="W72" s="85">
        <f t="shared" si="47"/>
        <v>-1605.5203272053536</v>
      </c>
      <c r="X72" s="90">
        <f t="shared" si="48"/>
        <v>1346.4914747781525</v>
      </c>
      <c r="Y72" s="86">
        <f t="shared" si="49"/>
        <v>-9814.6728299999995</v>
      </c>
      <c r="Z72" s="85">
        <f t="shared" si="50"/>
        <v>-818.62113479844345</v>
      </c>
      <c r="AA72" s="85">
        <f t="shared" si="51"/>
        <v>-940.35243118754136</v>
      </c>
      <c r="AB72" s="90">
        <f t="shared" si="52"/>
        <v>818.62113479844345</v>
      </c>
      <c r="AC72" s="86">
        <f t="shared" si="53"/>
        <v>7226.0760700000001</v>
      </c>
      <c r="AD72" s="85">
        <f t="shared" si="54"/>
        <v>3384.56104615708</v>
      </c>
      <c r="AE72" s="85">
        <f t="shared" si="55"/>
        <v>4075.9045123820788</v>
      </c>
      <c r="AF72" s="90">
        <f t="shared" si="56"/>
        <v>3384.56104615708</v>
      </c>
      <c r="AG72" s="86">
        <f t="shared" si="57"/>
        <v>10576.851119999999</v>
      </c>
      <c r="AH72" s="85">
        <f t="shared" si="58"/>
        <v>6139.2748628683721</v>
      </c>
      <c r="AI72" s="85">
        <f t="shared" si="59"/>
        <v>7268.9300287801734</v>
      </c>
      <c r="AJ72" s="90">
        <f t="shared" si="60"/>
        <v>6139.2748628683721</v>
      </c>
      <c r="AL72" s="95">
        <f t="shared" si="61"/>
        <v>0</v>
      </c>
      <c r="AM72" s="95">
        <f t="shared" si="62"/>
        <v>0</v>
      </c>
      <c r="AN72" s="95">
        <f t="shared" si="63"/>
        <v>0</v>
      </c>
      <c r="AO72" s="95">
        <f t="shared" si="64"/>
        <v>0</v>
      </c>
      <c r="AP72"/>
      <c r="AQ72" s="95">
        <f t="shared" si="65"/>
        <v>0</v>
      </c>
      <c r="AR72" s="95">
        <f t="shared" si="66"/>
        <v>0</v>
      </c>
      <c r="AS72" s="95">
        <f>Geraetedaten!$B$94*ABS(SIN(RADIANS($A72)))</f>
        <v>83.874411392314173</v>
      </c>
      <c r="AT72" s="95">
        <f>Geraetedaten!$B$94*ABS(COS(RADIANS($A72)))</f>
        <v>129.15526746359529</v>
      </c>
      <c r="AU72" s="95">
        <f>((h_Aw_Sw+Geraetedaten!$B$18)/1000)*(AQ72*AS72+AR72*AT72)/100</f>
        <v>0</v>
      </c>
    </row>
    <row r="73" spans="1:47" ht="13.5" x14ac:dyDescent="0.25">
      <c r="A73" s="16">
        <v>34</v>
      </c>
      <c r="B73" s="16">
        <f t="shared" si="34"/>
        <v>416</v>
      </c>
      <c r="C73" s="19">
        <f t="shared" si="35"/>
        <v>60.362702088343596</v>
      </c>
      <c r="D73" s="17">
        <f t="shared" si="36"/>
        <v>-7115.4735220883431</v>
      </c>
      <c r="E73" s="17">
        <f t="shared" si="37"/>
        <v>-9974.3483120883429</v>
      </c>
      <c r="F73" s="17">
        <f t="shared" si="38"/>
        <v>7083.1458679116568</v>
      </c>
      <c r="G73" s="17">
        <f t="shared" si="39"/>
        <v>10636.463007911656</v>
      </c>
      <c r="H73" s="17">
        <f t="shared" si="67"/>
        <v>7083.1458679116568</v>
      </c>
      <c r="I73" s="17">
        <f t="shared" si="40"/>
        <v>4029.3319012442998</v>
      </c>
      <c r="J73" s="20">
        <f>(Geraetedaten!$B$152+(Geraetedaten!$B$153*(Geraetedaten!$B$18+d_y_Sw)/1000))*10</f>
        <v>6051.0442000000003</v>
      </c>
      <c r="K73" s="20">
        <f>(Geraetedaten!$B$165+(Geraetedaten!$B$166*(Geraetedaten!$B$18+d_y_Sw)/1000))*10</f>
        <v>10816.164000000001</v>
      </c>
      <c r="L73" s="20">
        <f>(Geraetedaten!$B$158+(Geraetedaten!$B$159*(Geraetedaten!$B$18+d_y_Sw)/1000)-(Geraetedaten!$B$160*I73/1000))*10</f>
        <v>306.06569168175531</v>
      </c>
      <c r="M73" s="20">
        <f>(Geraetedaten!$B$171+(Geraetedaten!$B$172*(Geraetedaten!$B$18+d_y_Sw)/1000)-(Geraetedaten!$B$173*I73/1000))*10</f>
        <v>764.92353327137516</v>
      </c>
      <c r="N73" s="20">
        <f>IF((H73-J73)/(K73-J73)*(Geraetedaten!$B$174-Geraetedaten!$B$161)&lt;Geraetedaten!$B$174,(H73-J73)/(K73-J73)*(Geraetedaten!$B$174-Geraetedaten!$B$161),Geraetedaten!$B$174)</f>
        <v>86.638045734896849</v>
      </c>
      <c r="O73" s="20">
        <f>N73/Geraetedaten!$B$174*(M73-L73)+L73+C73</f>
        <v>465.81476043374278</v>
      </c>
      <c r="P73" s="20">
        <f t="shared" si="41"/>
        <v>171.12371729662161</v>
      </c>
      <c r="Q73" s="21">
        <f>(N73-Geraetedaten!$B$161)/(Geraetedaten!$B$174-Geraetedaten!$B$161)*(Geraetedaten!$B$175-Geraetedaten!$B$162)+Geraetedaten!$B$162</f>
        <v>31.777481860613182</v>
      </c>
      <c r="R73" s="21">
        <f t="shared" si="42"/>
        <v>31.777481860613182</v>
      </c>
      <c r="S73" s="21">
        <f t="shared" si="43"/>
        <v>17.769742346625279</v>
      </c>
      <c r="T73" s="88">
        <f t="shared" si="44"/>
        <v>26.344726423634619</v>
      </c>
      <c r="U73" s="86">
        <f t="shared" si="45"/>
        <v>-7055.1108199999999</v>
      </c>
      <c r="V73" s="85">
        <f t="shared" si="46"/>
        <v>-1346.4914747781525</v>
      </c>
      <c r="W73" s="85">
        <f t="shared" si="47"/>
        <v>-1587.766340975325</v>
      </c>
      <c r="X73" s="90">
        <f t="shared" si="48"/>
        <v>1346.4914747781525</v>
      </c>
      <c r="Y73" s="86">
        <f t="shared" si="49"/>
        <v>-9913.9856099999997</v>
      </c>
      <c r="Z73" s="85">
        <f t="shared" si="50"/>
        <v>-818.62113479844345</v>
      </c>
      <c r="AA73" s="85">
        <f t="shared" si="51"/>
        <v>-949.86767592402225</v>
      </c>
      <c r="AB73" s="90">
        <f t="shared" si="52"/>
        <v>818.62113479844345</v>
      </c>
      <c r="AC73" s="86">
        <f t="shared" si="53"/>
        <v>7143.50857</v>
      </c>
      <c r="AD73" s="85">
        <f t="shared" si="54"/>
        <v>3384.56104615708</v>
      </c>
      <c r="AE73" s="85">
        <f t="shared" si="55"/>
        <v>4029.3319012442998</v>
      </c>
      <c r="AF73" s="90">
        <f t="shared" si="56"/>
        <v>3384.56104615708</v>
      </c>
      <c r="AG73" s="86">
        <f t="shared" si="57"/>
        <v>10696.825709999999</v>
      </c>
      <c r="AH73" s="85">
        <f t="shared" si="58"/>
        <v>6139.2748628683721</v>
      </c>
      <c r="AI73" s="85">
        <f t="shared" si="59"/>
        <v>7351.3824422729658</v>
      </c>
      <c r="AJ73" s="90">
        <f t="shared" si="60"/>
        <v>6139.2748628683721</v>
      </c>
      <c r="AL73" s="95">
        <f t="shared" si="61"/>
        <v>0</v>
      </c>
      <c r="AM73" s="95">
        <f t="shared" si="62"/>
        <v>0</v>
      </c>
      <c r="AN73" s="95">
        <f t="shared" si="63"/>
        <v>0</v>
      </c>
      <c r="AO73" s="95">
        <f t="shared" si="64"/>
        <v>0</v>
      </c>
      <c r="AP73"/>
      <c r="AQ73" s="95">
        <f t="shared" si="65"/>
        <v>0</v>
      </c>
      <c r="AR73" s="95">
        <f t="shared" si="66"/>
        <v>0</v>
      </c>
      <c r="AS73" s="95">
        <f>Geraetedaten!$B$94*ABS(SIN(RADIANS($A73)))</f>
        <v>86.115707134495025</v>
      </c>
      <c r="AT73" s="95">
        <f>Geraetedaten!$B$94*ABS(COS(RADIANS($A73)))</f>
        <v>127.67178617347641</v>
      </c>
      <c r="AU73" s="95">
        <f>((h_Aw_Sw+Geraetedaten!$B$18)/1000)*(AQ73*AS73+AR73*AT73)/100</f>
        <v>0</v>
      </c>
    </row>
    <row r="74" spans="1:47" ht="13.5" x14ac:dyDescent="0.25">
      <c r="A74" s="16">
        <v>35</v>
      </c>
      <c r="B74" s="16">
        <f t="shared" si="34"/>
        <v>415</v>
      </c>
      <c r="C74" s="19">
        <f t="shared" si="35"/>
        <v>60.980707940875263</v>
      </c>
      <c r="D74" s="17">
        <f t="shared" si="36"/>
        <v>-7041.0316979408753</v>
      </c>
      <c r="E74" s="17">
        <f t="shared" si="37"/>
        <v>-10079.392397940876</v>
      </c>
      <c r="F74" s="17">
        <f t="shared" si="38"/>
        <v>7003.9536720591241</v>
      </c>
      <c r="G74" s="17">
        <f t="shared" si="39"/>
        <v>10761.907172059126</v>
      </c>
      <c r="H74" s="17">
        <f t="shared" si="67"/>
        <v>7003.9536720591241</v>
      </c>
      <c r="I74" s="17">
        <f t="shared" si="40"/>
        <v>3985.0117337468155</v>
      </c>
      <c r="J74" s="20">
        <f>(Geraetedaten!$B$152+(Geraetedaten!$B$153*(Geraetedaten!$B$18+d_y_Sw)/1000))*10</f>
        <v>6051.0442000000003</v>
      </c>
      <c r="K74" s="20">
        <f>(Geraetedaten!$B$165+(Geraetedaten!$B$166*(Geraetedaten!$B$18+d_y_Sw)/1000))*10</f>
        <v>10816.164000000001</v>
      </c>
      <c r="L74" s="20">
        <f>(Geraetedaten!$B$158+(Geraetedaten!$B$159*(Geraetedaten!$B$18+d_y_Sw)/1000)-(Geraetedaten!$B$160*I74/1000))*10</f>
        <v>309.3156895643458</v>
      </c>
      <c r="M74" s="20">
        <f>(Geraetedaten!$B$171+(Geraetedaten!$B$172*(Geraetedaten!$B$18+d_y_Sw)/1000)-(Geraetedaten!$B$173*I74/1000))*10</f>
        <v>768.22272653988784</v>
      </c>
      <c r="N74" s="20">
        <f>IF((H74-J74)/(K74-J74)*(Geraetedaten!$B$174-Geraetedaten!$B$161)&lt;Geraetedaten!$B$174,(H74-J74)/(K74-J74)*(Geraetedaten!$B$174-Geraetedaten!$B$161),Geraetedaten!$B$174)</f>
        <v>79.990389501571286</v>
      </c>
      <c r="O74" s="20">
        <f>N74/Geraetedaten!$B$174*(M74-L74)+L74+C74</f>
        <v>462.06677908693507</v>
      </c>
      <c r="P74" s="20">
        <f t="shared" si="41"/>
        <v>170.69076471816598</v>
      </c>
      <c r="Q74" s="21">
        <f>(N74-Geraetedaten!$B$161)/(Geraetedaten!$B$174-Geraetedaten!$B$161)*(Geraetedaten!$B$175-Geraetedaten!$B$162)+Geraetedaten!$B$162</f>
        <v>31.579714087671746</v>
      </c>
      <c r="R74" s="21">
        <f t="shared" si="42"/>
        <v>31.579714087671746</v>
      </c>
      <c r="S74" s="21">
        <f t="shared" si="43"/>
        <v>18.113379867391686</v>
      </c>
      <c r="T74" s="88">
        <f t="shared" si="44"/>
        <v>25.868587352978185</v>
      </c>
      <c r="U74" s="86">
        <f t="shared" si="45"/>
        <v>-6980.0509899999997</v>
      </c>
      <c r="V74" s="85">
        <f t="shared" si="46"/>
        <v>-1346.4914747781525</v>
      </c>
      <c r="W74" s="85">
        <f t="shared" si="47"/>
        <v>-1570.8739805524981</v>
      </c>
      <c r="X74" s="90">
        <f t="shared" si="48"/>
        <v>1346.4914747781525</v>
      </c>
      <c r="Y74" s="86">
        <f t="shared" si="49"/>
        <v>-10018.411690000001</v>
      </c>
      <c r="Z74" s="85">
        <f t="shared" si="50"/>
        <v>-818.62113479844345</v>
      </c>
      <c r="AA74" s="85">
        <f t="shared" si="51"/>
        <v>-959.87283037451425</v>
      </c>
      <c r="AB74" s="90">
        <f t="shared" si="52"/>
        <v>818.62113479844345</v>
      </c>
      <c r="AC74" s="86">
        <f t="shared" si="53"/>
        <v>7064.9343799999997</v>
      </c>
      <c r="AD74" s="85">
        <f t="shared" si="54"/>
        <v>3384.56104615708</v>
      </c>
      <c r="AE74" s="85">
        <f t="shared" si="55"/>
        <v>3985.0117337468155</v>
      </c>
      <c r="AF74" s="90">
        <f t="shared" si="56"/>
        <v>3384.56104615708</v>
      </c>
      <c r="AG74" s="86">
        <f t="shared" si="57"/>
        <v>10822.88788</v>
      </c>
      <c r="AH74" s="85">
        <f t="shared" si="58"/>
        <v>6139.2748628683721</v>
      </c>
      <c r="AI74" s="85">
        <f t="shared" si="59"/>
        <v>7438.0185411329148</v>
      </c>
      <c r="AJ74" s="90">
        <f t="shared" si="60"/>
        <v>6139.2748628683721</v>
      </c>
      <c r="AL74" s="95">
        <f t="shared" si="61"/>
        <v>0</v>
      </c>
      <c r="AM74" s="95">
        <f t="shared" si="62"/>
        <v>0</v>
      </c>
      <c r="AN74" s="95">
        <f t="shared" si="63"/>
        <v>0</v>
      </c>
      <c r="AO74" s="95">
        <f t="shared" si="64"/>
        <v>0</v>
      </c>
      <c r="AP74"/>
      <c r="AQ74" s="95">
        <f t="shared" si="65"/>
        <v>0</v>
      </c>
      <c r="AR74" s="95">
        <f t="shared" si="66"/>
        <v>0</v>
      </c>
      <c r="AS74" s="95">
        <f>Geraetedaten!$B$94*ABS(SIN(RADIANS($A74)))</f>
        <v>88.330771198061086</v>
      </c>
      <c r="AT74" s="95">
        <f>Geraetedaten!$B$94*ABS(COS(RADIANS($A74)))</f>
        <v>126.14941482050473</v>
      </c>
      <c r="AU74" s="95">
        <f>((h_Aw_Sw+Geraetedaten!$B$18)/1000)*(AQ74*AS74+AR74*AT74)/100</f>
        <v>0</v>
      </c>
    </row>
    <row r="75" spans="1:47" ht="13.5" x14ac:dyDescent="0.25">
      <c r="A75" s="16">
        <v>36</v>
      </c>
      <c r="B75" s="16">
        <f t="shared" si="34"/>
        <v>414</v>
      </c>
      <c r="C75" s="19">
        <f t="shared" si="35"/>
        <v>61.580138479034758</v>
      </c>
      <c r="D75" s="17">
        <f t="shared" si="36"/>
        <v>-6970.2339084790347</v>
      </c>
      <c r="E75" s="17">
        <f t="shared" si="37"/>
        <v>-10189.759198479034</v>
      </c>
      <c r="F75" s="17">
        <f t="shared" si="38"/>
        <v>6928.5958915209649</v>
      </c>
      <c r="G75" s="17">
        <f t="shared" si="39"/>
        <v>10893.753531520964</v>
      </c>
      <c r="H75" s="17">
        <f t="shared" si="67"/>
        <v>6928.5958915209649</v>
      </c>
      <c r="I75" s="17">
        <f t="shared" si="40"/>
        <v>3942.8439093050911</v>
      </c>
      <c r="J75" s="20">
        <f>(Geraetedaten!$B$152+(Geraetedaten!$B$153*(Geraetedaten!$B$18+d_y_Sw)/1000))*10</f>
        <v>6051.0442000000003</v>
      </c>
      <c r="K75" s="20">
        <f>(Geraetedaten!$B$165+(Geraetedaten!$B$166*(Geraetedaten!$B$18+d_y_Sw)/1000))*10</f>
        <v>10816.164000000001</v>
      </c>
      <c r="L75" s="20">
        <f>(Geraetedaten!$B$158+(Geraetedaten!$B$159*(Geraetedaten!$B$18+d_y_Sw)/1000)-(Geraetedaten!$B$160*I75/1000))*10</f>
        <v>312.40785613065748</v>
      </c>
      <c r="M75" s="20">
        <f>(Geraetedaten!$B$171+(Geraetedaten!$B$172*(Geraetedaten!$B$18+d_y_Sw)/1000)-(Geraetedaten!$B$173*I75/1000))*10</f>
        <v>771.36169939132992</v>
      </c>
      <c r="N75" s="20">
        <f>IF((H75-J75)/(K75-J75)*(Geraetedaten!$B$174-Geraetedaten!$B$161)&lt;Geraetedaten!$B$174,(H75-J75)/(K75-J75)*(Geraetedaten!$B$174-Geraetedaten!$B$161),Geraetedaten!$B$174)</f>
        <v>73.664606839136724</v>
      </c>
      <c r="O75" s="20">
        <f>N75/Geraetedaten!$B$174*(M75-L75)+L75+C75</f>
        <v>458.50963066246277</v>
      </c>
      <c r="P75" s="20">
        <f t="shared" si="41"/>
        <v>170.27779589068058</v>
      </c>
      <c r="Q75" s="21">
        <f>(N75-Geraetedaten!$B$161)/(Geraetedaten!$B$174-Geraetedaten!$B$161)*(Geraetedaten!$B$175-Geraetedaten!$B$162)+Geraetedaten!$B$162</f>
        <v>31.391522053464318</v>
      </c>
      <c r="R75" s="21">
        <f t="shared" si="42"/>
        <v>31.391522053464318</v>
      </c>
      <c r="S75" s="21">
        <f t="shared" si="43"/>
        <v>18.451473710040258</v>
      </c>
      <c r="T75" s="88">
        <f t="shared" si="44"/>
        <v>25.39627482054858</v>
      </c>
      <c r="U75" s="86">
        <f t="shared" si="45"/>
        <v>-6908.6537699999999</v>
      </c>
      <c r="V75" s="85">
        <f t="shared" si="46"/>
        <v>-1346.4914747781525</v>
      </c>
      <c r="W75" s="85">
        <f t="shared" si="47"/>
        <v>-1554.8058975981064</v>
      </c>
      <c r="X75" s="90">
        <f t="shared" si="48"/>
        <v>1346.4914747781525</v>
      </c>
      <c r="Y75" s="86">
        <f t="shared" si="49"/>
        <v>-10128.17906</v>
      </c>
      <c r="Z75" s="85">
        <f t="shared" si="50"/>
        <v>-818.62113479844345</v>
      </c>
      <c r="AA75" s="85">
        <f t="shared" si="51"/>
        <v>-970.38973810311961</v>
      </c>
      <c r="AB75" s="90">
        <f t="shared" si="52"/>
        <v>818.62113479844345</v>
      </c>
      <c r="AC75" s="86">
        <f t="shared" si="53"/>
        <v>6990.1760299999996</v>
      </c>
      <c r="AD75" s="85">
        <f t="shared" si="54"/>
        <v>3384.56104615708</v>
      </c>
      <c r="AE75" s="85">
        <f t="shared" si="55"/>
        <v>3942.8439093050911</v>
      </c>
      <c r="AF75" s="90">
        <f t="shared" si="56"/>
        <v>3384.56104615708</v>
      </c>
      <c r="AG75" s="86">
        <f t="shared" si="57"/>
        <v>10955.33367</v>
      </c>
      <c r="AH75" s="85">
        <f t="shared" si="58"/>
        <v>6139.2748628683721</v>
      </c>
      <c r="AI75" s="85">
        <f t="shared" si="59"/>
        <v>7529.0417756694133</v>
      </c>
      <c r="AJ75" s="90">
        <f t="shared" si="60"/>
        <v>6139.2748628683721</v>
      </c>
      <c r="AL75" s="95">
        <f t="shared" si="61"/>
        <v>0</v>
      </c>
      <c r="AM75" s="95">
        <f t="shared" si="62"/>
        <v>0</v>
      </c>
      <c r="AN75" s="95">
        <f t="shared" si="63"/>
        <v>0</v>
      </c>
      <c r="AO75" s="95">
        <f t="shared" si="64"/>
        <v>0</v>
      </c>
      <c r="AP75"/>
      <c r="AQ75" s="95">
        <f t="shared" si="65"/>
        <v>0</v>
      </c>
      <c r="AR75" s="95">
        <f t="shared" si="66"/>
        <v>0</v>
      </c>
      <c r="AS75" s="95">
        <f>Geraetedaten!$B$94*ABS(SIN(RADIANS($A75)))</f>
        <v>90.518928853040862</v>
      </c>
      <c r="AT75" s="95">
        <f>Geraetedaten!$B$94*ABS(COS(RADIANS($A75)))</f>
        <v>124.58861713374191</v>
      </c>
      <c r="AU75" s="95">
        <f>((h_Aw_Sw+Geraetedaten!$B$18)/1000)*(AQ75*AS75+AR75*AT75)/100</f>
        <v>0</v>
      </c>
    </row>
    <row r="76" spans="1:47" ht="13.5" x14ac:dyDescent="0.25">
      <c r="A76" s="16">
        <v>37</v>
      </c>
      <c r="B76" s="16">
        <f t="shared" si="34"/>
        <v>413</v>
      </c>
      <c r="C76" s="19">
        <f t="shared" si="35"/>
        <v>62.160811110473347</v>
      </c>
      <c r="D76" s="17">
        <f t="shared" si="36"/>
        <v>-6902.9258411104729</v>
      </c>
      <c r="E76" s="17">
        <f t="shared" si="37"/>
        <v>-10305.694071110474</v>
      </c>
      <c r="F76" s="17">
        <f t="shared" si="38"/>
        <v>6856.9079788895269</v>
      </c>
      <c r="G76" s="17">
        <f t="shared" si="39"/>
        <v>11032.321798889525</v>
      </c>
      <c r="H76" s="17">
        <f t="shared" si="67"/>
        <v>6856.9079788895269</v>
      </c>
      <c r="I76" s="17">
        <f t="shared" si="40"/>
        <v>3902.7355104917992</v>
      </c>
      <c r="J76" s="20">
        <f>(Geraetedaten!$B$152+(Geraetedaten!$B$153*(Geraetedaten!$B$18+d_y_Sw)/1000))*10</f>
        <v>6051.0442000000003</v>
      </c>
      <c r="K76" s="20">
        <f>(Geraetedaten!$B$165+(Geraetedaten!$B$166*(Geraetedaten!$B$18+d_y_Sw)/1000))*10</f>
        <v>10816.164000000001</v>
      </c>
      <c r="L76" s="20">
        <f>(Geraetedaten!$B$158+(Geraetedaten!$B$159*(Geraetedaten!$B$18+d_y_Sw)/1000)-(Geraetedaten!$B$160*I76/1000))*10</f>
        <v>315.34900501563618</v>
      </c>
      <c r="M76" s="20">
        <f>(Geraetedaten!$B$171+(Geraetedaten!$B$172*(Geraetedaten!$B$18+d_y_Sw)/1000)-(Geraetedaten!$B$173*I76/1000))*10</f>
        <v>774.34736859899135</v>
      </c>
      <c r="N76" s="20">
        <f>IF((H76-J76)/(K76-J76)*(Geraetedaten!$B$174-Geraetedaten!$B$161)&lt;Geraetedaten!$B$174,(H76-J76)/(K76-J76)*(Geraetedaten!$B$174-Geraetedaten!$B$161),Geraetedaten!$B$174)</f>
        <v>67.646885091075916</v>
      </c>
      <c r="O76" s="20">
        <f>N76/Geraetedaten!$B$174*(M76-L76)+L76+C76</f>
        <v>455.13434002189729</v>
      </c>
      <c r="P76" s="20">
        <f t="shared" si="41"/>
        <v>169.88409628774659</v>
      </c>
      <c r="Q76" s="21">
        <f>(N76-Geraetedaten!$B$161)/(Geraetedaten!$B$174-Geraetedaten!$B$161)*(Geraetedaten!$B$175-Geraetedaten!$B$162)+Geraetedaten!$B$162</f>
        <v>31.212494831459509</v>
      </c>
      <c r="R76" s="21">
        <f t="shared" si="42"/>
        <v>31.212494831459509</v>
      </c>
      <c r="S76" s="21">
        <f t="shared" si="43"/>
        <v>18.78414829962799</v>
      </c>
      <c r="T76" s="88">
        <f t="shared" si="44"/>
        <v>24.927406729571157</v>
      </c>
      <c r="U76" s="86">
        <f t="shared" si="45"/>
        <v>-6840.7650299999996</v>
      </c>
      <c r="V76" s="85">
        <f t="shared" si="46"/>
        <v>-1346.4914747781525</v>
      </c>
      <c r="W76" s="85">
        <f t="shared" si="47"/>
        <v>-1539.5274059940893</v>
      </c>
      <c r="X76" s="90">
        <f t="shared" si="48"/>
        <v>1346.4914747781525</v>
      </c>
      <c r="Y76" s="86">
        <f t="shared" si="49"/>
        <v>-10243.53326</v>
      </c>
      <c r="Z76" s="85">
        <f t="shared" si="50"/>
        <v>-818.62113479844345</v>
      </c>
      <c r="AA76" s="85">
        <f t="shared" si="51"/>
        <v>-981.4419257149616</v>
      </c>
      <c r="AB76" s="90">
        <f t="shared" si="52"/>
        <v>818.62113479844345</v>
      </c>
      <c r="AC76" s="86">
        <f t="shared" si="53"/>
        <v>6919.0687900000003</v>
      </c>
      <c r="AD76" s="85">
        <f t="shared" si="54"/>
        <v>3384.56104615708</v>
      </c>
      <c r="AE76" s="85">
        <f t="shared" si="55"/>
        <v>3902.7355104917992</v>
      </c>
      <c r="AF76" s="90">
        <f t="shared" si="56"/>
        <v>3384.56104615708</v>
      </c>
      <c r="AG76" s="86">
        <f t="shared" si="57"/>
        <v>11094.482609999999</v>
      </c>
      <c r="AH76" s="85">
        <f t="shared" si="58"/>
        <v>6139.2748628683721</v>
      </c>
      <c r="AI76" s="85">
        <f t="shared" si="59"/>
        <v>7624.6717397088369</v>
      </c>
      <c r="AJ76" s="90">
        <f t="shared" si="60"/>
        <v>6139.2748628683721</v>
      </c>
      <c r="AL76" s="95">
        <f t="shared" si="61"/>
        <v>0</v>
      </c>
      <c r="AM76" s="95">
        <f t="shared" si="62"/>
        <v>0</v>
      </c>
      <c r="AN76" s="95">
        <f t="shared" si="63"/>
        <v>0</v>
      </c>
      <c r="AO76" s="95">
        <f t="shared" si="64"/>
        <v>0</v>
      </c>
      <c r="AP76"/>
      <c r="AQ76" s="95">
        <f t="shared" si="65"/>
        <v>0</v>
      </c>
      <c r="AR76" s="95">
        <f t="shared" si="66"/>
        <v>0</v>
      </c>
      <c r="AS76" s="95">
        <f>Geraetedaten!$B$94*ABS(SIN(RADIANS($A76)))</f>
        <v>92.679513565415434</v>
      </c>
      <c r="AT76" s="95">
        <f>Geraetedaten!$B$94*ABS(COS(RADIANS($A76)))</f>
        <v>122.98986854728309</v>
      </c>
      <c r="AU76" s="95">
        <f>((h_Aw_Sw+Geraetedaten!$B$18)/1000)*(AQ76*AS76+AR76*AT76)/100</f>
        <v>0</v>
      </c>
    </row>
    <row r="77" spans="1:47" ht="13.5" x14ac:dyDescent="0.25">
      <c r="A77" s="16">
        <v>38</v>
      </c>
      <c r="B77" s="16">
        <f t="shared" si="34"/>
        <v>412</v>
      </c>
      <c r="C77" s="19">
        <f t="shared" si="35"/>
        <v>62.722548956682388</v>
      </c>
      <c r="D77" s="17">
        <f t="shared" si="36"/>
        <v>-6838.9641189566828</v>
      </c>
      <c r="E77" s="17">
        <f t="shared" si="37"/>
        <v>-10427.461498956683</v>
      </c>
      <c r="F77" s="17">
        <f t="shared" si="38"/>
        <v>6788.7371010433171</v>
      </c>
      <c r="G77" s="17">
        <f t="shared" si="39"/>
        <v>11177.957341043317</v>
      </c>
      <c r="H77" s="17">
        <f t="shared" si="67"/>
        <v>6788.7371010433171</v>
      </c>
      <c r="I77" s="17">
        <f t="shared" si="40"/>
        <v>3864.6002365202239</v>
      </c>
      <c r="J77" s="20">
        <f>(Geraetedaten!$B$152+(Geraetedaten!$B$153*(Geraetedaten!$B$18+d_y_Sw)/1000))*10</f>
        <v>6051.0442000000003</v>
      </c>
      <c r="K77" s="20">
        <f>(Geraetedaten!$B$165+(Geraetedaten!$B$166*(Geraetedaten!$B$18+d_y_Sw)/1000))*10</f>
        <v>10816.164000000001</v>
      </c>
      <c r="L77" s="20">
        <f>(Geraetedaten!$B$158+(Geraetedaten!$B$159*(Geraetedaten!$B$18+d_y_Sw)/1000)-(Geraetedaten!$B$160*I77/1000))*10</f>
        <v>318.14546465597175</v>
      </c>
      <c r="M77" s="20">
        <f>(Geraetedaten!$B$171+(Geraetedaten!$B$172*(Geraetedaten!$B$18+d_y_Sw)/1000)-(Geraetedaten!$B$173*I77/1000))*10</f>
        <v>777.18615839343545</v>
      </c>
      <c r="N77" s="20">
        <f>IF((H77-J77)/(K77-J77)*(Geraetedaten!$B$174-Geraetedaten!$B$161)&lt;Geraetedaten!$B$174,(H77-J77)/(K77-J77)*(Geraetedaten!$B$174-Geraetedaten!$B$161),Geraetedaten!$B$174)</f>
        <v>61.924394937001736</v>
      </c>
      <c r="O77" s="20">
        <f>N77/Geraetedaten!$B$174*(M77-L77)+L77+C77</f>
        <v>451.93255664053902</v>
      </c>
      <c r="P77" s="20">
        <f t="shared" si="41"/>
        <v>169.50898036390407</v>
      </c>
      <c r="Q77" s="21">
        <f>(N77-Geraetedaten!$B$161)/(Geraetedaten!$B$174-Geraetedaten!$B$161)*(Geraetedaten!$B$175-Geraetedaten!$B$162)+Geraetedaten!$B$162</f>
        <v>31.0422507493758</v>
      </c>
      <c r="R77" s="21">
        <f t="shared" si="42"/>
        <v>31.0422507493758</v>
      </c>
      <c r="S77" s="21">
        <f t="shared" si="43"/>
        <v>19.111517893789728</v>
      </c>
      <c r="T77" s="88">
        <f t="shared" si="44"/>
        <v>24.461627406664451</v>
      </c>
      <c r="U77" s="86">
        <f t="shared" si="45"/>
        <v>-6776.2415700000001</v>
      </c>
      <c r="V77" s="85">
        <f t="shared" si="46"/>
        <v>-1346.4914747781525</v>
      </c>
      <c r="W77" s="85">
        <f t="shared" si="47"/>
        <v>-1525.0062757284106</v>
      </c>
      <c r="X77" s="90">
        <f t="shared" si="48"/>
        <v>1346.4914747781525</v>
      </c>
      <c r="Y77" s="86">
        <f t="shared" si="49"/>
        <v>-10364.738950000001</v>
      </c>
      <c r="Z77" s="85">
        <f t="shared" si="50"/>
        <v>-818.62113479844345</v>
      </c>
      <c r="AA77" s="85">
        <f t="shared" si="51"/>
        <v>-993.05474901630384</v>
      </c>
      <c r="AB77" s="90">
        <f t="shared" si="52"/>
        <v>818.62113479844345</v>
      </c>
      <c r="AC77" s="86">
        <f t="shared" si="53"/>
        <v>6851.4596499999998</v>
      </c>
      <c r="AD77" s="85">
        <f t="shared" si="54"/>
        <v>3384.56104615708</v>
      </c>
      <c r="AE77" s="85">
        <f t="shared" si="55"/>
        <v>3864.6002365202239</v>
      </c>
      <c r="AF77" s="90">
        <f t="shared" si="56"/>
        <v>3384.56104615708</v>
      </c>
      <c r="AG77" s="86">
        <f t="shared" si="57"/>
        <v>11240.679889999999</v>
      </c>
      <c r="AH77" s="85">
        <f t="shared" si="58"/>
        <v>6139.2748628683721</v>
      </c>
      <c r="AI77" s="85">
        <f t="shared" si="59"/>
        <v>7725.1456673647281</v>
      </c>
      <c r="AJ77" s="90">
        <f t="shared" si="60"/>
        <v>6139.2748628683721</v>
      </c>
      <c r="AL77" s="95">
        <f t="shared" si="61"/>
        <v>0</v>
      </c>
      <c r="AM77" s="95">
        <f t="shared" si="62"/>
        <v>0</v>
      </c>
      <c r="AN77" s="95">
        <f t="shared" si="63"/>
        <v>0</v>
      </c>
      <c r="AO77" s="95">
        <f t="shared" si="64"/>
        <v>0</v>
      </c>
      <c r="AP77"/>
      <c r="AQ77" s="95">
        <f t="shared" si="65"/>
        <v>0</v>
      </c>
      <c r="AR77" s="95">
        <f t="shared" si="66"/>
        <v>0</v>
      </c>
      <c r="AS77" s="95">
        <f>Geraetedaten!$B$94*ABS(SIN(RADIANS($A77)))</f>
        <v>94.811867200151383</v>
      </c>
      <c r="AT77" s="95">
        <f>Geraetedaten!$B$94*ABS(COS(RADIANS($A77)))</f>
        <v>121.35365605543517</v>
      </c>
      <c r="AU77" s="95">
        <f>((h_Aw_Sw+Geraetedaten!$B$18)/1000)*(AQ77*AS77+AR77*AT77)/100</f>
        <v>0</v>
      </c>
    </row>
    <row r="78" spans="1:47" ht="13.5" x14ac:dyDescent="0.25">
      <c r="A78" s="16">
        <v>39</v>
      </c>
      <c r="B78" s="16">
        <f t="shared" si="34"/>
        <v>411</v>
      </c>
      <c r="C78" s="19">
        <f t="shared" si="35"/>
        <v>63.265180906872246</v>
      </c>
      <c r="D78" s="17">
        <f t="shared" si="36"/>
        <v>-6778.2154309068719</v>
      </c>
      <c r="E78" s="17">
        <f t="shared" si="37"/>
        <v>-10555.346730906873</v>
      </c>
      <c r="F78" s="17">
        <f t="shared" si="38"/>
        <v>6723.9412590931279</v>
      </c>
      <c r="G78" s="17">
        <f t="shared" si="39"/>
        <v>11331.033619093128</v>
      </c>
      <c r="H78" s="17">
        <f t="shared" si="67"/>
        <v>6723.9412590931279</v>
      </c>
      <c r="I78" s="17">
        <f t="shared" si="40"/>
        <v>3828.3578925099414</v>
      </c>
      <c r="J78" s="20">
        <f>(Geraetedaten!$B$152+(Geraetedaten!$B$153*(Geraetedaten!$B$18+d_y_Sw)/1000))*10</f>
        <v>6051.0442000000003</v>
      </c>
      <c r="K78" s="20">
        <f>(Geraetedaten!$B$165+(Geraetedaten!$B$166*(Geraetedaten!$B$18+d_y_Sw)/1000))*10</f>
        <v>10816.164000000001</v>
      </c>
      <c r="L78" s="20">
        <f>(Geraetedaten!$B$158+(Geraetedaten!$B$159*(Geraetedaten!$B$18+d_y_Sw)/1000)-(Geraetedaten!$B$160*I78/1000))*10</f>
        <v>320.80311574224584</v>
      </c>
      <c r="M78" s="20">
        <f>(Geraetedaten!$B$171+(Geraetedaten!$B$172*(Geraetedaten!$B$18+d_y_Sw)/1000)-(Geraetedaten!$B$173*I78/1000))*10</f>
        <v>779.88403848156076</v>
      </c>
      <c r="N78" s="20">
        <f>IF((H78-J78)/(K78-J78)*(Geraetedaten!$B$174-Geraetedaten!$B$161)&lt;Geraetedaten!$B$174,(H78-J78)/(K78-J78)*(Geraetedaten!$B$174-Geraetedaten!$B$161),Geraetedaten!$B$174)</f>
        <v>56.485216518008855</v>
      </c>
      <c r="O78" s="20">
        <f>N78/Geraetedaten!$B$174*(M78-L78)+L78+C78</f>
        <v>448.89650994966178</v>
      </c>
      <c r="P78" s="20">
        <f t="shared" si="41"/>
        <v>169.15179150114056</v>
      </c>
      <c r="Q78" s="21">
        <f>(N78-Geraetedaten!$B$161)/(Geraetedaten!$B$174-Geraetedaten!$B$161)*(Geraetedaten!$B$175-Geraetedaten!$B$162)+Geraetedaten!$B$162</f>
        <v>30.880435191410761</v>
      </c>
      <c r="R78" s="21">
        <f t="shared" si="42"/>
        <v>30.880435191410761</v>
      </c>
      <c r="S78" s="21">
        <f t="shared" si="43"/>
        <v>19.433687550447779</v>
      </c>
      <c r="T78" s="88">
        <f t="shared" si="44"/>
        <v>23.998605497038596</v>
      </c>
      <c r="U78" s="86">
        <f t="shared" si="45"/>
        <v>-6714.9502499999999</v>
      </c>
      <c r="V78" s="85">
        <f t="shared" si="46"/>
        <v>-1346.4914747781525</v>
      </c>
      <c r="W78" s="85">
        <f t="shared" si="47"/>
        <v>-1511.2125468558636</v>
      </c>
      <c r="X78" s="90">
        <f t="shared" si="48"/>
        <v>1346.4914747781525</v>
      </c>
      <c r="Y78" s="86">
        <f t="shared" si="49"/>
        <v>-10492.081550000001</v>
      </c>
      <c r="Z78" s="85">
        <f t="shared" si="50"/>
        <v>-818.62113479844345</v>
      </c>
      <c r="AA78" s="85">
        <f t="shared" si="51"/>
        <v>-1005.2555555306513</v>
      </c>
      <c r="AB78" s="90">
        <f t="shared" si="52"/>
        <v>818.62113479844345</v>
      </c>
      <c r="AC78" s="86">
        <f t="shared" si="53"/>
        <v>6787.2064399999999</v>
      </c>
      <c r="AD78" s="85">
        <f t="shared" si="54"/>
        <v>3384.56104615708</v>
      </c>
      <c r="AE78" s="85">
        <f t="shared" si="55"/>
        <v>3828.3578925099414</v>
      </c>
      <c r="AF78" s="90">
        <f t="shared" si="56"/>
        <v>3384.56104615708</v>
      </c>
      <c r="AG78" s="86">
        <f t="shared" si="57"/>
        <v>11394.2988</v>
      </c>
      <c r="AH78" s="85">
        <f t="shared" si="58"/>
        <v>6139.2748628683721</v>
      </c>
      <c r="AI78" s="85">
        <f t="shared" si="59"/>
        <v>7830.720105586377</v>
      </c>
      <c r="AJ78" s="90">
        <f t="shared" si="60"/>
        <v>6139.2748628683721</v>
      </c>
      <c r="AL78" s="95">
        <f t="shared" si="61"/>
        <v>0</v>
      </c>
      <c r="AM78" s="95">
        <f t="shared" si="62"/>
        <v>0</v>
      </c>
      <c r="AN78" s="95">
        <f t="shared" si="63"/>
        <v>0</v>
      </c>
      <c r="AO78" s="95">
        <f t="shared" si="64"/>
        <v>0</v>
      </c>
      <c r="AP78"/>
      <c r="AQ78" s="95">
        <f t="shared" si="65"/>
        <v>0</v>
      </c>
      <c r="AR78" s="95">
        <f t="shared" si="66"/>
        <v>0</v>
      </c>
      <c r="AS78" s="95">
        <f>Geraetedaten!$B$94*ABS(SIN(RADIANS($A78)))</f>
        <v>96.915340221674953</v>
      </c>
      <c r="AT78" s="95">
        <f>Geraetedaten!$B$94*ABS(COS(RADIANS($A78)))</f>
        <v>119.68047806437352</v>
      </c>
      <c r="AU78" s="95">
        <f>((h_Aw_Sw+Geraetedaten!$B$18)/1000)*(AQ78*AS78+AR78*AT78)/100</f>
        <v>0</v>
      </c>
    </row>
    <row r="79" spans="1:47" ht="13.5" x14ac:dyDescent="0.25">
      <c r="A79" s="16">
        <v>40</v>
      </c>
      <c r="B79" s="16">
        <f t="shared" si="34"/>
        <v>410</v>
      </c>
      <c r="C79" s="19">
        <f t="shared" si="35"/>
        <v>63.788541670094304</v>
      </c>
      <c r="D79" s="17">
        <f t="shared" si="36"/>
        <v>-6720.5558416700951</v>
      </c>
      <c r="E79" s="17">
        <f t="shared" si="37"/>
        <v>-10689.657711670094</v>
      </c>
      <c r="F79" s="17">
        <f t="shared" si="38"/>
        <v>6662.388458329905</v>
      </c>
      <c r="G79" s="17">
        <f t="shared" si="39"/>
        <v>11491.954918329906</v>
      </c>
      <c r="H79" s="17">
        <f t="shared" si="67"/>
        <v>6662.388458329905</v>
      </c>
      <c r="I79" s="17">
        <f t="shared" si="40"/>
        <v>3793.9339284133216</v>
      </c>
      <c r="J79" s="20">
        <f>(Geraetedaten!$B$152+(Geraetedaten!$B$153*(Geraetedaten!$B$18+d_y_Sw)/1000))*10</f>
        <v>6051.0442000000003</v>
      </c>
      <c r="K79" s="20">
        <f>(Geraetedaten!$B$165+(Geraetedaten!$B$166*(Geraetedaten!$B$18+d_y_Sw)/1000))*10</f>
        <v>10816.164000000001</v>
      </c>
      <c r="L79" s="20">
        <f>(Geraetedaten!$B$158+(Geraetedaten!$B$159*(Geraetedaten!$B$18+d_y_Sw)/1000)-(Geraetedaten!$B$160*I79/1000))*10</f>
        <v>323.32742502945098</v>
      </c>
      <c r="M79" s="20">
        <f>(Geraetedaten!$B$171+(Geraetedaten!$B$172*(Geraetedaten!$B$18+d_y_Sw)/1000)-(Geraetedaten!$B$173*I79/1000))*10</f>
        <v>782.4465583689132</v>
      </c>
      <c r="N79" s="20">
        <f>IF((H79-J79)/(K79-J79)*(Geraetedaten!$B$174-Geraetedaten!$B$161)&lt;Geraetedaten!$B$174,(H79-J79)/(K79-J79)*(Geraetedaten!$B$174-Geraetedaten!$B$161),Geraetedaten!$B$174)</f>
        <v>51.318269759337824</v>
      </c>
      <c r="O79" s="20">
        <f>N79/Geraetedaten!$B$174*(M79-L79)+L79+C79</f>
        <v>446.01896554051507</v>
      </c>
      <c r="P79" s="20">
        <f t="shared" si="41"/>
        <v>168.8119011948435</v>
      </c>
      <c r="Q79" s="21">
        <f>(N79-Geraetedaten!$B$161)/(Geraetedaten!$B$174-Geraetedaten!$B$161)*(Geraetedaten!$B$175-Geraetedaten!$B$162)+Geraetedaten!$B$162</f>
        <v>30.726718525340299</v>
      </c>
      <c r="R79" s="21">
        <f t="shared" si="42"/>
        <v>30.726718525340299</v>
      </c>
      <c r="S79" s="21">
        <f t="shared" si="43"/>
        <v>19.750753954414595</v>
      </c>
      <c r="T79" s="88">
        <f t="shared" si="44"/>
        <v>23.538031981617895</v>
      </c>
      <c r="U79" s="86">
        <f t="shared" si="45"/>
        <v>-6656.7673000000004</v>
      </c>
      <c r="V79" s="85">
        <f t="shared" si="46"/>
        <v>-1346.4914747781525</v>
      </c>
      <c r="W79" s="85">
        <f t="shared" si="47"/>
        <v>-1498.1183613647936</v>
      </c>
      <c r="X79" s="90">
        <f t="shared" si="48"/>
        <v>1346.4914747781525</v>
      </c>
      <c r="Y79" s="86">
        <f t="shared" si="49"/>
        <v>-10625.86917</v>
      </c>
      <c r="Z79" s="85">
        <f t="shared" si="50"/>
        <v>-818.62113479844345</v>
      </c>
      <c r="AA79" s="85">
        <f t="shared" si="51"/>
        <v>-1018.073865494857</v>
      </c>
      <c r="AB79" s="90">
        <f t="shared" si="52"/>
        <v>818.62113479844345</v>
      </c>
      <c r="AC79" s="86">
        <f t="shared" si="53"/>
        <v>6726.1769999999997</v>
      </c>
      <c r="AD79" s="85">
        <f t="shared" si="54"/>
        <v>3384.56104615708</v>
      </c>
      <c r="AE79" s="85">
        <f t="shared" si="55"/>
        <v>3793.9339284133216</v>
      </c>
      <c r="AF79" s="90">
        <f t="shared" si="56"/>
        <v>3384.56104615708</v>
      </c>
      <c r="AG79" s="86">
        <f t="shared" si="57"/>
        <v>11555.74346</v>
      </c>
      <c r="AH79" s="85">
        <f t="shared" si="58"/>
        <v>6139.2748628683721</v>
      </c>
      <c r="AI79" s="85">
        <f t="shared" si="59"/>
        <v>7941.672786690141</v>
      </c>
      <c r="AJ79" s="90">
        <f t="shared" si="60"/>
        <v>6139.2748628683721</v>
      </c>
      <c r="AL79" s="95">
        <f t="shared" si="61"/>
        <v>0</v>
      </c>
      <c r="AM79" s="95">
        <f t="shared" si="62"/>
        <v>0</v>
      </c>
      <c r="AN79" s="95">
        <f t="shared" si="63"/>
        <v>0</v>
      </c>
      <c r="AO79" s="95">
        <f t="shared" si="64"/>
        <v>0</v>
      </c>
      <c r="AP79"/>
      <c r="AQ79" s="95">
        <f t="shared" si="65"/>
        <v>0</v>
      </c>
      <c r="AR79" s="95">
        <f t="shared" si="66"/>
        <v>0</v>
      </c>
      <c r="AS79" s="95">
        <f>Geraetedaten!$B$94*ABS(SIN(RADIANS($A79)))</f>
        <v>98.989291891727049</v>
      </c>
      <c r="AT79" s="95">
        <f>Geraetedaten!$B$94*ABS(COS(RADIANS($A79)))</f>
        <v>117.97084424032262</v>
      </c>
      <c r="AU79" s="95">
        <f>((h_Aw_Sw+Geraetedaten!$B$18)/1000)*(AQ79*AS79+AR79*AT79)/100</f>
        <v>0</v>
      </c>
    </row>
    <row r="80" spans="1:47" ht="13.5" x14ac:dyDescent="0.25">
      <c r="A80" s="16">
        <v>41</v>
      </c>
      <c r="B80" s="16">
        <f t="shared" si="34"/>
        <v>409</v>
      </c>
      <c r="C80" s="19">
        <f t="shared" si="35"/>
        <v>64.292471825590184</v>
      </c>
      <c r="D80" s="17">
        <f t="shared" si="36"/>
        <v>-6665.8700718255895</v>
      </c>
      <c r="E80" s="17">
        <f t="shared" si="37"/>
        <v>-10830.72719182559</v>
      </c>
      <c r="F80" s="17">
        <f t="shared" si="38"/>
        <v>6603.95594817441</v>
      </c>
      <c r="G80" s="17">
        <f t="shared" si="39"/>
        <v>11661.159418174409</v>
      </c>
      <c r="H80" s="17">
        <f t="shared" si="67"/>
        <v>6603.95594817441</v>
      </c>
      <c r="I80" s="17">
        <f t="shared" si="40"/>
        <v>3761.2590222492368</v>
      </c>
      <c r="J80" s="20">
        <f>(Geraetedaten!$B$152+(Geraetedaten!$B$153*(Geraetedaten!$B$18+d_y_Sw)/1000))*10</f>
        <v>6051.0442000000003</v>
      </c>
      <c r="K80" s="20">
        <f>(Geraetedaten!$B$165+(Geraetedaten!$B$166*(Geraetedaten!$B$18+d_y_Sw)/1000))*10</f>
        <v>10816.164000000001</v>
      </c>
      <c r="L80" s="20">
        <f>(Geraetedaten!$B$158+(Geraetedaten!$B$159*(Geraetedaten!$B$18+d_y_Sw)/1000)-(Geraetedaten!$B$160*I80/1000))*10</f>
        <v>325.72347589846322</v>
      </c>
      <c r="M80" s="20">
        <f>(Geraetedaten!$B$171+(Geraetedaten!$B$172*(Geraetedaten!$B$18+d_y_Sw)/1000)-(Geraetedaten!$B$173*I80/1000))*10</f>
        <v>784.87887838376764</v>
      </c>
      <c r="N80" s="20">
        <f>IF((H80-J80)/(K80-J80)*(Geraetedaten!$B$174-Geraetedaten!$B$161)&lt;Geraetedaten!$B$174,(H80-J80)/(K80-J80)*(Geraetedaten!$B$174-Geraetedaten!$B$161),Geraetedaten!$B$174)</f>
        <v>46.413250569222598</v>
      </c>
      <c r="O80" s="20">
        <f>N80/Geraetedaten!$B$174*(M80-L80)+L80+C80</f>
        <v>443.29318458846012</v>
      </c>
      <c r="P80" s="20">
        <f t="shared" si="41"/>
        <v>168.48870806407515</v>
      </c>
      <c r="Q80" s="21">
        <f>(N80-Geraetedaten!$B$161)/(Geraetedaten!$B$174-Geraetedaten!$B$161)*(Geraetedaten!$B$175-Geraetedaten!$B$162)+Geraetedaten!$B$162</f>
        <v>30.580794204434373</v>
      </c>
      <c r="R80" s="21">
        <f t="shared" si="42"/>
        <v>30.580794204434373</v>
      </c>
      <c r="S80" s="21">
        <f t="shared" si="43"/>
        <v>20.062806151519748</v>
      </c>
      <c r="T80" s="88">
        <f t="shared" si="44"/>
        <v>23.079618356907645</v>
      </c>
      <c r="U80" s="86">
        <f t="shared" si="45"/>
        <v>-6601.5775999999996</v>
      </c>
      <c r="V80" s="85">
        <f t="shared" si="46"/>
        <v>-1346.4914747781525</v>
      </c>
      <c r="W80" s="85">
        <f t="shared" si="47"/>
        <v>-1485.6978110489893</v>
      </c>
      <c r="X80" s="90">
        <f t="shared" si="48"/>
        <v>1346.4914747781525</v>
      </c>
      <c r="Y80" s="86">
        <f t="shared" si="49"/>
        <v>-10766.434719999999</v>
      </c>
      <c r="Z80" s="85">
        <f t="shared" si="50"/>
        <v>-818.62113479844345</v>
      </c>
      <c r="AA80" s="85">
        <f t="shared" si="51"/>
        <v>-1031.5415737837559</v>
      </c>
      <c r="AB80" s="90">
        <f t="shared" si="52"/>
        <v>818.62113479844345</v>
      </c>
      <c r="AC80" s="86">
        <f t="shared" si="53"/>
        <v>6668.2484199999999</v>
      </c>
      <c r="AD80" s="85">
        <f t="shared" si="54"/>
        <v>3384.56104615708</v>
      </c>
      <c r="AE80" s="85">
        <f t="shared" si="55"/>
        <v>3761.2590222492368</v>
      </c>
      <c r="AF80" s="90">
        <f t="shared" si="56"/>
        <v>3384.56104615708</v>
      </c>
      <c r="AG80" s="86">
        <f t="shared" si="57"/>
        <v>11725.45189</v>
      </c>
      <c r="AH80" s="85">
        <f t="shared" si="58"/>
        <v>6139.2748628683721</v>
      </c>
      <c r="AI80" s="85">
        <f t="shared" si="59"/>
        <v>8058.304728985815</v>
      </c>
      <c r="AJ80" s="90">
        <f t="shared" si="60"/>
        <v>6139.2748628683721</v>
      </c>
      <c r="AL80" s="95">
        <f t="shared" si="61"/>
        <v>0</v>
      </c>
      <c r="AM80" s="95">
        <f t="shared" si="62"/>
        <v>0</v>
      </c>
      <c r="AN80" s="95">
        <f t="shared" si="63"/>
        <v>0</v>
      </c>
      <c r="AO80" s="95">
        <f t="shared" si="64"/>
        <v>0</v>
      </c>
      <c r="AP80"/>
      <c r="AQ80" s="95">
        <f t="shared" si="65"/>
        <v>0</v>
      </c>
      <c r="AR80" s="95">
        <f t="shared" si="66"/>
        <v>0</v>
      </c>
      <c r="AS80" s="95">
        <f>Geraetedaten!$B$94*ABS(SIN(RADIANS($A80)))</f>
        <v>101.03309046453812</v>
      </c>
      <c r="AT80" s="95">
        <f>Geraetedaten!$B$94*ABS(COS(RADIANS($A80)))</f>
        <v>116.22527535430689</v>
      </c>
      <c r="AU80" s="95">
        <f>((h_Aw_Sw+Geraetedaten!$B$18)/1000)*(AQ80*AS80+AR80*AT80)/100</f>
        <v>0</v>
      </c>
    </row>
    <row r="81" spans="1:47" ht="13.5" x14ac:dyDescent="0.25">
      <c r="A81" s="16">
        <v>42</v>
      </c>
      <c r="B81" s="16">
        <f t="shared" si="34"/>
        <v>408</v>
      </c>
      <c r="C81" s="19">
        <f t="shared" si="35"/>
        <v>64.776817871352804</v>
      </c>
      <c r="D81" s="17">
        <f t="shared" si="36"/>
        <v>-6614.0508778713529</v>
      </c>
      <c r="E81" s="17">
        <f t="shared" si="37"/>
        <v>-10978.915027871351</v>
      </c>
      <c r="F81" s="17">
        <f t="shared" si="38"/>
        <v>6548.5295821286472</v>
      </c>
      <c r="G81" s="17">
        <f t="shared" si="39"/>
        <v>11839.122582128648</v>
      </c>
      <c r="H81" s="17">
        <f t="shared" si="67"/>
        <v>6548.5295821286472</v>
      </c>
      <c r="I81" s="17">
        <f t="shared" si="40"/>
        <v>3730.2687029524491</v>
      </c>
      <c r="J81" s="20">
        <f>(Geraetedaten!$B$152+(Geraetedaten!$B$153*(Geraetedaten!$B$18+d_y_Sw)/1000))*10</f>
        <v>6051.0442000000003</v>
      </c>
      <c r="K81" s="20">
        <f>(Geraetedaten!$B$165+(Geraetedaten!$B$166*(Geraetedaten!$B$18+d_y_Sw)/1000))*10</f>
        <v>10816.164000000001</v>
      </c>
      <c r="L81" s="20">
        <f>(Geraetedaten!$B$158+(Geraetedaten!$B$159*(Geraetedaten!$B$18+d_y_Sw)/1000)-(Geraetedaten!$B$160*I81/1000))*10</f>
        <v>327.99599601249668</v>
      </c>
      <c r="M81" s="20">
        <f>(Geraetedaten!$B$171+(Geraetedaten!$B$172*(Geraetedaten!$B$18+d_y_Sw)/1000)-(Geraetedaten!$B$173*I81/1000))*10</f>
        <v>787.18579775222054</v>
      </c>
      <c r="N81" s="20">
        <f>IF((H81-J81)/(K81-J81)*(Geraetedaten!$B$174-Geraetedaten!$B$161)&lt;Geraetedaten!$B$174,(H81-J81)/(K81-J81)*(Geraetedaten!$B$174-Geraetedaten!$B$161),Geraetedaten!$B$174)</f>
        <v>41.760577111085176</v>
      </c>
      <c r="O81" s="20">
        <f>N81/Geraetedaten!$B$174*(M81-L81)+L81+C81</f>
        <v>440.7128916942886</v>
      </c>
      <c r="P81" s="20">
        <f t="shared" si="41"/>
        <v>168.18163791028744</v>
      </c>
      <c r="Q81" s="21">
        <f>(N81-Geraetedaten!$B$161)/(Geraetedaten!$B$174-Geraetedaten!$B$161)*(Geraetedaten!$B$175-Geraetedaten!$B$162)+Geraetedaten!$B$162</f>
        <v>30.442377169054783</v>
      </c>
      <c r="R81" s="21">
        <f t="shared" si="42"/>
        <v>30.442377169054783</v>
      </c>
      <c r="S81" s="21">
        <f t="shared" si="43"/>
        <v>20.369926294134689</v>
      </c>
      <c r="T81" s="88">
        <f t="shared" si="44"/>
        <v>22.623095068414226</v>
      </c>
      <c r="U81" s="86">
        <f t="shared" si="45"/>
        <v>-6549.2740599999997</v>
      </c>
      <c r="V81" s="85">
        <f t="shared" si="46"/>
        <v>-1346.4914747781525</v>
      </c>
      <c r="W81" s="85">
        <f t="shared" si="47"/>
        <v>-1473.9267997163211</v>
      </c>
      <c r="X81" s="90">
        <f t="shared" si="48"/>
        <v>1346.4914747781525</v>
      </c>
      <c r="Y81" s="86">
        <f t="shared" si="49"/>
        <v>-10914.138209999999</v>
      </c>
      <c r="Z81" s="85">
        <f t="shared" si="50"/>
        <v>-818.62113479844345</v>
      </c>
      <c r="AA81" s="85">
        <f t="shared" si="51"/>
        <v>-1045.6931755929697</v>
      </c>
      <c r="AB81" s="90">
        <f t="shared" si="52"/>
        <v>818.62113479844345</v>
      </c>
      <c r="AC81" s="86">
        <f t="shared" si="53"/>
        <v>6613.3064000000004</v>
      </c>
      <c r="AD81" s="85">
        <f t="shared" si="54"/>
        <v>3384.56104615708</v>
      </c>
      <c r="AE81" s="85">
        <f t="shared" si="55"/>
        <v>3730.2687029524491</v>
      </c>
      <c r="AF81" s="90">
        <f t="shared" si="56"/>
        <v>3384.56104615708</v>
      </c>
      <c r="AG81" s="86">
        <f t="shared" si="57"/>
        <v>11903.8994</v>
      </c>
      <c r="AH81" s="85">
        <f t="shared" si="58"/>
        <v>6139.2748628683721</v>
      </c>
      <c r="AI81" s="85">
        <f t="shared" si="59"/>
        <v>8180.9425982412167</v>
      </c>
      <c r="AJ81" s="90">
        <f t="shared" si="60"/>
        <v>6139.2748628683721</v>
      </c>
      <c r="AL81" s="95">
        <f t="shared" si="61"/>
        <v>0</v>
      </c>
      <c r="AM81" s="95">
        <f t="shared" si="62"/>
        <v>0</v>
      </c>
      <c r="AN81" s="95">
        <f t="shared" si="63"/>
        <v>0</v>
      </c>
      <c r="AO81" s="95">
        <f t="shared" si="64"/>
        <v>0</v>
      </c>
      <c r="AP81"/>
      <c r="AQ81" s="95">
        <f t="shared" si="65"/>
        <v>0</v>
      </c>
      <c r="AR81" s="95">
        <f t="shared" si="66"/>
        <v>0</v>
      </c>
      <c r="AS81" s="95">
        <f>Geraetedaten!$B$94*ABS(SIN(RADIANS($A81)))</f>
        <v>103.04611337926417</v>
      </c>
      <c r="AT81" s="95">
        <f>Geraetedaten!$B$94*ABS(COS(RADIANS($A81)))</f>
        <v>114.44430312351871</v>
      </c>
      <c r="AU81" s="95">
        <f>((h_Aw_Sw+Geraetedaten!$B$18)/1000)*(AQ81*AS81+AR81*AT81)/100</f>
        <v>0</v>
      </c>
    </row>
    <row r="82" spans="1:47" ht="13.5" x14ac:dyDescent="0.25">
      <c r="A82" s="16">
        <v>43</v>
      </c>
      <c r="B82" s="16">
        <f t="shared" si="34"/>
        <v>407</v>
      </c>
      <c r="C82" s="19">
        <f t="shared" si="35"/>
        <v>65.241432270884701</v>
      </c>
      <c r="D82" s="17">
        <f t="shared" si="36"/>
        <v>-6564.9985622708846</v>
      </c>
      <c r="E82" s="17">
        <f t="shared" si="37"/>
        <v>-11134.610902270884</v>
      </c>
      <c r="F82" s="17">
        <f t="shared" si="38"/>
        <v>6496.003217729115</v>
      </c>
      <c r="G82" s="17">
        <f t="shared" si="39"/>
        <v>12026.361087729116</v>
      </c>
      <c r="H82" s="17">
        <f t="shared" si="67"/>
        <v>6496.003217729115</v>
      </c>
      <c r="I82" s="17">
        <f t="shared" si="40"/>
        <v>3700.9030087195169</v>
      </c>
      <c r="J82" s="20">
        <f>(Geraetedaten!$B$152+(Geraetedaten!$B$153*(Geraetedaten!$B$18+d_y_Sw)/1000))*10</f>
        <v>6051.0442000000003</v>
      </c>
      <c r="K82" s="20">
        <f>(Geraetedaten!$B$165+(Geraetedaten!$B$166*(Geraetedaten!$B$18+d_y_Sw)/1000))*10</f>
        <v>10816.164000000001</v>
      </c>
      <c r="L82" s="20">
        <f>(Geraetedaten!$B$158+(Geraetedaten!$B$159*(Geraetedaten!$B$18+d_y_Sw)/1000)-(Geraetedaten!$B$160*I82/1000))*10</f>
        <v>330.14938237059766</v>
      </c>
      <c r="M82" s="20">
        <f>(Geraetedaten!$B$171+(Geraetedaten!$B$172*(Geraetedaten!$B$18+d_y_Sw)/1000)-(Geraetedaten!$B$173*I82/1000))*10</f>
        <v>789.37178003092004</v>
      </c>
      <c r="N82" s="20">
        <f>IF((H82-J82)/(K82-J82)*(Geraetedaten!$B$174-Geraetedaten!$B$161)&lt;Geraetedaten!$B$174,(H82-J82)/(K82-J82)*(Geraetedaten!$B$174-Geraetedaten!$B$161),Geraetedaten!$B$174)</f>
        <v>37.351339433616317</v>
      </c>
      <c r="O82" s="20">
        <f>N82/Geraetedaten!$B$174*(M82-L82)+L82+C82</f>
        <v>438.27224376780691</v>
      </c>
      <c r="P82" s="20">
        <f t="shared" si="41"/>
        <v>167.89014332845773</v>
      </c>
      <c r="Q82" s="21">
        <f>(N82-Geraetedaten!$B$161)/(Geraetedaten!$B$174-Geraetedaten!$B$161)*(Geraetedaten!$B$175-Geraetedaten!$B$162)+Geraetedaten!$B$162</f>
        <v>30.311202348150086</v>
      </c>
      <c r="R82" s="21">
        <f t="shared" si="42"/>
        <v>30.311202348150086</v>
      </c>
      <c r="S82" s="21">
        <f t="shared" si="43"/>
        <v>20.672190292960913</v>
      </c>
      <c r="T82" s="88">
        <f t="shared" si="44"/>
        <v>22.168210037847256</v>
      </c>
      <c r="U82" s="86">
        <f t="shared" si="45"/>
        <v>-6499.75713</v>
      </c>
      <c r="V82" s="85">
        <f t="shared" si="46"/>
        <v>-1346.4914747781525</v>
      </c>
      <c r="W82" s="85">
        <f t="shared" si="47"/>
        <v>-1462.7829182669525</v>
      </c>
      <c r="X82" s="90">
        <f t="shared" si="48"/>
        <v>1346.4914747781525</v>
      </c>
      <c r="Y82" s="86">
        <f t="shared" si="49"/>
        <v>-11069.36947</v>
      </c>
      <c r="Z82" s="85">
        <f t="shared" si="50"/>
        <v>-818.62113479844345</v>
      </c>
      <c r="AA82" s="85">
        <f t="shared" si="51"/>
        <v>-1060.5660191584554</v>
      </c>
      <c r="AB82" s="90">
        <f t="shared" si="52"/>
        <v>818.62113479844345</v>
      </c>
      <c r="AC82" s="86">
        <f t="shared" si="53"/>
        <v>6561.2446499999996</v>
      </c>
      <c r="AD82" s="85">
        <f t="shared" si="54"/>
        <v>3384.56104615708</v>
      </c>
      <c r="AE82" s="85">
        <f t="shared" si="55"/>
        <v>3700.9030087195169</v>
      </c>
      <c r="AF82" s="90">
        <f t="shared" si="56"/>
        <v>3384.56104615708</v>
      </c>
      <c r="AG82" s="86">
        <f t="shared" si="57"/>
        <v>12091.60252</v>
      </c>
      <c r="AH82" s="85">
        <f t="shared" si="58"/>
        <v>6139.2748628683721</v>
      </c>
      <c r="AI82" s="85">
        <f t="shared" si="59"/>
        <v>8309.9413682336635</v>
      </c>
      <c r="AJ82" s="90">
        <f t="shared" si="60"/>
        <v>6139.2748628683721</v>
      </c>
      <c r="AL82" s="95">
        <f t="shared" si="61"/>
        <v>0</v>
      </c>
      <c r="AM82" s="95">
        <f t="shared" si="62"/>
        <v>0</v>
      </c>
      <c r="AN82" s="95">
        <f t="shared" si="63"/>
        <v>0</v>
      </c>
      <c r="AO82" s="95">
        <f t="shared" si="64"/>
        <v>0</v>
      </c>
      <c r="AP82"/>
      <c r="AQ82" s="95">
        <f t="shared" si="65"/>
        <v>0</v>
      </c>
      <c r="AR82" s="95">
        <f t="shared" si="66"/>
        <v>0</v>
      </c>
      <c r="AS82" s="95">
        <f>Geraetedaten!$B$94*ABS(SIN(RADIANS($A82)))</f>
        <v>105.02774744962477</v>
      </c>
      <c r="AT82" s="95">
        <f>Geraetedaten!$B$94*ABS(COS(RADIANS($A82)))</f>
        <v>112.62847004935225</v>
      </c>
      <c r="AU82" s="95">
        <f>((h_Aw_Sw+Geraetedaten!$B$18)/1000)*(AQ82*AS82+AR82*AT82)/100</f>
        <v>0</v>
      </c>
    </row>
    <row r="83" spans="1:47" ht="13.5" x14ac:dyDescent="0.25">
      <c r="A83" s="16">
        <v>44</v>
      </c>
      <c r="B83" s="16">
        <f t="shared" si="34"/>
        <v>406</v>
      </c>
      <c r="C83" s="19">
        <f t="shared" si="35"/>
        <v>65.686173498138942</v>
      </c>
      <c r="D83" s="17">
        <f t="shared" si="36"/>
        <v>-6518.6203934981386</v>
      </c>
      <c r="E83" s="17">
        <f t="shared" si="37"/>
        <v>-11298.237223498139</v>
      </c>
      <c r="F83" s="17">
        <f t="shared" si="38"/>
        <v>6446.2781165018605</v>
      </c>
      <c r="G83" s="17">
        <f t="shared" si="39"/>
        <v>12223.43712650186</v>
      </c>
      <c r="H83" s="17">
        <f t="shared" si="67"/>
        <v>6446.2781165018605</v>
      </c>
      <c r="I83" s="17">
        <f t="shared" si="40"/>
        <v>3673.1061772280259</v>
      </c>
      <c r="J83" s="20">
        <f>(Geraetedaten!$B$152+(Geraetedaten!$B$153*(Geraetedaten!$B$18+d_y_Sw)/1000))*10</f>
        <v>6051.0442000000003</v>
      </c>
      <c r="K83" s="20">
        <f>(Geraetedaten!$B$165+(Geraetedaten!$B$166*(Geraetedaten!$B$18+d_y_Sw)/1000))*10</f>
        <v>10816.164000000001</v>
      </c>
      <c r="L83" s="20">
        <f>(Geraetedaten!$B$158+(Geraetedaten!$B$159*(Geraetedaten!$B$18+d_y_Sw)/1000)-(Geraetedaten!$B$160*I83/1000))*10</f>
        <v>332.18772402386861</v>
      </c>
      <c r="M83" s="20">
        <f>(Geraetedaten!$B$171+(Geraetedaten!$B$172*(Geraetedaten!$B$18+d_y_Sw)/1000)-(Geraetedaten!$B$173*I83/1000))*10</f>
        <v>791.44097616714657</v>
      </c>
      <c r="N83" s="20">
        <f>IF((H83-J83)/(K83-J83)*(Geraetedaten!$B$174-Geraetedaten!$B$161)&lt;Geraetedaten!$B$174,(H83-J83)/(K83-J83)*(Geraetedaten!$B$174-Geraetedaten!$B$161),Geraetedaten!$B$174)</f>
        <v>33.177249101007718</v>
      </c>
      <c r="O83" s="20">
        <f>N83/Geraetedaten!$B$174*(M83-L83)+L83+C83</f>
        <v>435.96579638902114</v>
      </c>
      <c r="P83" s="20">
        <f t="shared" si="41"/>
        <v>167.61370213775575</v>
      </c>
      <c r="Q83" s="21">
        <f>(N83-Geraetedaten!$B$161)/(Geraetedaten!$B$174-Geraetedaten!$B$161)*(Geraetedaten!$B$175-Geraetedaten!$B$162)+Geraetedaten!$B$162</f>
        <v>30.187023160754979</v>
      </c>
      <c r="R83" s="21">
        <f t="shared" si="42"/>
        <v>30.187023160754979</v>
      </c>
      <c r="S83" s="21">
        <f t="shared" si="43"/>
        <v>20.969668317858062</v>
      </c>
      <c r="T83" s="88">
        <f t="shared" si="44"/>
        <v>21.714727213275726</v>
      </c>
      <c r="U83" s="86">
        <f t="shared" si="45"/>
        <v>-6452.9342200000001</v>
      </c>
      <c r="V83" s="85">
        <f t="shared" si="46"/>
        <v>-1346.4914747781525</v>
      </c>
      <c r="W83" s="85">
        <f t="shared" si="47"/>
        <v>-1452.2453313487397</v>
      </c>
      <c r="X83" s="90">
        <f t="shared" si="48"/>
        <v>1346.4914747781525</v>
      </c>
      <c r="Y83" s="86">
        <f t="shared" si="49"/>
        <v>-11232.55105</v>
      </c>
      <c r="Z83" s="85">
        <f t="shared" si="50"/>
        <v>-818.62113479844345</v>
      </c>
      <c r="AA83" s="85">
        <f t="shared" si="51"/>
        <v>-1076.2005893218461</v>
      </c>
      <c r="AB83" s="90">
        <f t="shared" si="52"/>
        <v>818.62113479844345</v>
      </c>
      <c r="AC83" s="86">
        <f t="shared" si="53"/>
        <v>6511.9642899999999</v>
      </c>
      <c r="AD83" s="85">
        <f t="shared" si="54"/>
        <v>3384.56104615708</v>
      </c>
      <c r="AE83" s="85">
        <f t="shared" si="55"/>
        <v>3673.1061772280259</v>
      </c>
      <c r="AF83" s="90">
        <f t="shared" si="56"/>
        <v>3384.56104615708</v>
      </c>
      <c r="AG83" s="86">
        <f t="shared" si="57"/>
        <v>12289.123299999999</v>
      </c>
      <c r="AH83" s="85">
        <f t="shared" si="58"/>
        <v>6139.2748628683721</v>
      </c>
      <c r="AI83" s="85">
        <f t="shared" si="59"/>
        <v>8445.6873252047244</v>
      </c>
      <c r="AJ83" s="90">
        <f t="shared" si="60"/>
        <v>6139.2748628683721</v>
      </c>
      <c r="AL83" s="95">
        <f t="shared" si="61"/>
        <v>0</v>
      </c>
      <c r="AM83" s="95">
        <f t="shared" si="62"/>
        <v>0</v>
      </c>
      <c r="AN83" s="95">
        <f t="shared" si="63"/>
        <v>0</v>
      </c>
      <c r="AO83" s="95">
        <f t="shared" si="64"/>
        <v>0</v>
      </c>
      <c r="AP83"/>
      <c r="AQ83" s="95">
        <f t="shared" si="65"/>
        <v>0</v>
      </c>
      <c r="AR83" s="95">
        <f t="shared" si="66"/>
        <v>0</v>
      </c>
      <c r="AS83" s="95">
        <f>Geraetedaten!$B$94*ABS(SIN(RADIANS($A83)))</f>
        <v>106.97738905068557</v>
      </c>
      <c r="AT83" s="95">
        <f>Geraetedaten!$B$94*ABS(COS(RADIANS($A83)))</f>
        <v>110.77832925215229</v>
      </c>
      <c r="AU83" s="95">
        <f>((h_Aw_Sw+Geraetedaten!$B$18)/1000)*(AQ83*AS83+AR83*AT83)/100</f>
        <v>0</v>
      </c>
    </row>
    <row r="84" spans="1:47" ht="13.5" x14ac:dyDescent="0.25">
      <c r="A84" s="16">
        <v>45</v>
      </c>
      <c r="B84" s="16">
        <f t="shared" si="34"/>
        <v>405</v>
      </c>
      <c r="C84" s="19">
        <f t="shared" si="35"/>
        <v>66.110906080629391</v>
      </c>
      <c r="D84" s="17">
        <f t="shared" si="36"/>
        <v>-6474.8301860806296</v>
      </c>
      <c r="E84" s="17">
        <f t="shared" si="37"/>
        <v>-11470.252456080631</v>
      </c>
      <c r="F84" s="17">
        <f t="shared" si="38"/>
        <v>6399.2625239193703</v>
      </c>
      <c r="G84" s="17">
        <f t="shared" si="39"/>
        <v>12430.963443919371</v>
      </c>
      <c r="H84" s="17">
        <f t="shared" si="67"/>
        <v>6399.2625239193703</v>
      </c>
      <c r="I84" s="17">
        <f t="shared" si="40"/>
        <v>3646.8263645368816</v>
      </c>
      <c r="J84" s="20">
        <f>(Geraetedaten!$B$152+(Geraetedaten!$B$153*(Geraetedaten!$B$18+d_y_Sw)/1000))*10</f>
        <v>6051.0442000000003</v>
      </c>
      <c r="K84" s="20">
        <f>(Geraetedaten!$B$165+(Geraetedaten!$B$166*(Geraetedaten!$B$18+d_y_Sw)/1000))*10</f>
        <v>10816.164000000001</v>
      </c>
      <c r="L84" s="20">
        <f>(Geraetedaten!$B$158+(Geraetedaten!$B$159*(Geraetedaten!$B$18+d_y_Sw)/1000)-(Geraetedaten!$B$160*I84/1000))*10</f>
        <v>334.11482268851034</v>
      </c>
      <c r="M84" s="20">
        <f>(Geraetedaten!$B$171+(Geraetedaten!$B$172*(Geraetedaten!$B$18+d_y_Sw)/1000)-(Geraetedaten!$B$173*I84/1000))*10</f>
        <v>793.39724542387546</v>
      </c>
      <c r="N84" s="20">
        <f>IF((H84-J84)/(K84-J84)*(Geraetedaten!$B$174-Geraetedaten!$B$161)&lt;Geraetedaten!$B$174,(H84-J84)/(K84-J84)*(Geraetedaten!$B$174-Geraetedaten!$B$161),Geraetedaten!$B$174)</f>
        <v>29.230603933136795</v>
      </c>
      <c r="O84" s="20">
        <f>N84/Geraetedaten!$B$174*(M84-L84)+L84+C84</f>
        <v>433.78848525021209</v>
      </c>
      <c r="P84" s="20">
        <f t="shared" si="41"/>
        <v>167.35181855935298</v>
      </c>
      <c r="Q84" s="21">
        <f>(N84-Geraetedaten!$B$161)/(Geraetedaten!$B$174-Geraetedaten!$B$161)*(Geraetedaten!$B$175-Geraetedaten!$B$162)+Geraetedaten!$B$162</f>
        <v>30.069610467010818</v>
      </c>
      <c r="R84" s="21">
        <f t="shared" si="42"/>
        <v>30.069610467010818</v>
      </c>
      <c r="S84" s="21">
        <f t="shared" si="43"/>
        <v>21.262425468861338</v>
      </c>
      <c r="T84" s="88">
        <f t="shared" si="44"/>
        <v>21.262425468861338</v>
      </c>
      <c r="U84" s="86">
        <f t="shared" si="45"/>
        <v>-6408.7192800000003</v>
      </c>
      <c r="V84" s="85">
        <f t="shared" si="46"/>
        <v>-1346.4914747781525</v>
      </c>
      <c r="W84" s="85">
        <f t="shared" si="47"/>
        <v>-1442.2946744495857</v>
      </c>
      <c r="X84" s="90">
        <f t="shared" si="48"/>
        <v>1346.4914747781525</v>
      </c>
      <c r="Y84" s="86">
        <f t="shared" si="49"/>
        <v>-11404.14155</v>
      </c>
      <c r="Z84" s="85">
        <f t="shared" si="50"/>
        <v>-818.62113479844345</v>
      </c>
      <c r="AA84" s="85">
        <f t="shared" si="51"/>
        <v>-1092.6408263794269</v>
      </c>
      <c r="AB84" s="90">
        <f t="shared" si="52"/>
        <v>818.62113479844345</v>
      </c>
      <c r="AC84" s="86">
        <f t="shared" si="53"/>
        <v>6465.3734299999996</v>
      </c>
      <c r="AD84" s="85">
        <f t="shared" si="54"/>
        <v>3384.56104615708</v>
      </c>
      <c r="AE84" s="85">
        <f t="shared" si="55"/>
        <v>3646.8263645368816</v>
      </c>
      <c r="AF84" s="90">
        <f t="shared" si="56"/>
        <v>3384.56104615708</v>
      </c>
      <c r="AG84" s="86">
        <f t="shared" si="57"/>
        <v>12497.074350000001</v>
      </c>
      <c r="AH84" s="85">
        <f t="shared" si="58"/>
        <v>6139.2748628683721</v>
      </c>
      <c r="AI84" s="85">
        <f t="shared" si="59"/>
        <v>8588.6014688975392</v>
      </c>
      <c r="AJ84" s="90">
        <f t="shared" si="60"/>
        <v>6139.2748628683721</v>
      </c>
      <c r="AL84" s="95">
        <f t="shared" si="61"/>
        <v>0</v>
      </c>
      <c r="AM84" s="95">
        <f t="shared" si="62"/>
        <v>0</v>
      </c>
      <c r="AN84" s="95">
        <f t="shared" si="63"/>
        <v>0</v>
      </c>
      <c r="AO84" s="95">
        <f t="shared" si="64"/>
        <v>0</v>
      </c>
      <c r="AP84"/>
      <c r="AQ84" s="95">
        <f t="shared" si="65"/>
        <v>0</v>
      </c>
      <c r="AR84" s="95">
        <f t="shared" si="66"/>
        <v>0</v>
      </c>
      <c r="AS84" s="95">
        <f>Geraetedaten!$B$94*ABS(SIN(RADIANS($A84)))</f>
        <v>108.8944443027283</v>
      </c>
      <c r="AT84" s="95">
        <f>Geraetedaten!$B$94*ABS(COS(RADIANS($A84)))</f>
        <v>108.89444430272833</v>
      </c>
      <c r="AU84" s="95">
        <f>((h_Aw_Sw+Geraetedaten!$B$18)/1000)*(AQ84*AS84+AR84*AT84)/100</f>
        <v>0</v>
      </c>
    </row>
    <row r="85" spans="1:47" ht="13.5" x14ac:dyDescent="0.25">
      <c r="A85" s="16">
        <v>46</v>
      </c>
      <c r="B85" s="16">
        <f t="shared" si="34"/>
        <v>404</v>
      </c>
      <c r="C85" s="19">
        <f t="shared" si="35"/>
        <v>66.515500640696956</v>
      </c>
      <c r="D85" s="17">
        <f t="shared" si="36"/>
        <v>-6433.5479006406968</v>
      </c>
      <c r="E85" s="17">
        <f t="shared" si="37"/>
        <v>-11651.154920640696</v>
      </c>
      <c r="F85" s="17">
        <f t="shared" si="38"/>
        <v>6354.8711293593033</v>
      </c>
      <c r="G85" s="17">
        <f t="shared" si="39"/>
        <v>12649.608879359303</v>
      </c>
      <c r="H85" s="17">
        <f t="shared" si="67"/>
        <v>6354.8711293593033</v>
      </c>
      <c r="I85" s="17">
        <f t="shared" si="40"/>
        <v>3622.0153898506337</v>
      </c>
      <c r="J85" s="20">
        <f>(Geraetedaten!$B$152+(Geraetedaten!$B$153*(Geraetedaten!$B$18+d_y_Sw)/1000))*10</f>
        <v>6051.0442000000003</v>
      </c>
      <c r="K85" s="20">
        <f>(Geraetedaten!$B$165+(Geraetedaten!$B$166*(Geraetedaten!$B$18+d_y_Sw)/1000))*10</f>
        <v>10816.164000000001</v>
      </c>
      <c r="L85" s="20">
        <f>(Geraetedaten!$B$158+(Geraetedaten!$B$159*(Geraetedaten!$B$18+d_y_Sw)/1000)-(Geraetedaten!$B$160*I85/1000))*10</f>
        <v>335.93421146225285</v>
      </c>
      <c r="M85" s="20">
        <f>(Geraetedaten!$B$171+(Geraetedaten!$B$172*(Geraetedaten!$B$18+d_y_Sw)/1000)-(Geraetedaten!$B$173*I85/1000))*10</f>
        <v>795.24417437951968</v>
      </c>
      <c r="N85" s="20">
        <f>IF((H85-J85)/(K85-J85)*(Geraetedaten!$B$174-Geraetedaten!$B$161)&lt;Geraetedaten!$B$174,(H85-J85)/(K85-J85)*(Geraetedaten!$B$174-Geraetedaten!$B$161),Geraetedaten!$B$174)</f>
        <v>25.504242672707029</v>
      </c>
      <c r="O85" s="20">
        <f>N85/Geraetedaten!$B$174*(M85-L85)+L85+C85</f>
        <v>431.73559399353485</v>
      </c>
      <c r="P85" s="20">
        <f t="shared" si="41"/>
        <v>167.10402090207074</v>
      </c>
      <c r="Q85" s="21">
        <f>(N85-Geraetedaten!$B$161)/(Geraetedaten!$B$174-Geraetedaten!$B$161)*(Geraetedaten!$B$175-Geraetedaten!$B$162)+Geraetedaten!$B$162</f>
        <v>29.958751219513033</v>
      </c>
      <c r="R85" s="21">
        <f t="shared" si="42"/>
        <v>29.958751219513033</v>
      </c>
      <c r="S85" s="21">
        <f t="shared" si="43"/>
        <v>21.550522120639826</v>
      </c>
      <c r="T85" s="88">
        <f t="shared" si="44"/>
        <v>20.811097303133419</v>
      </c>
      <c r="U85" s="86">
        <f t="shared" si="45"/>
        <v>-6367.0324000000001</v>
      </c>
      <c r="V85" s="85">
        <f t="shared" si="46"/>
        <v>-1346.4914747781525</v>
      </c>
      <c r="W85" s="85">
        <f t="shared" si="47"/>
        <v>-1432.912960419299</v>
      </c>
      <c r="X85" s="90">
        <f t="shared" si="48"/>
        <v>1346.4914747781525</v>
      </c>
      <c r="Y85" s="86">
        <f t="shared" si="49"/>
        <v>-11584.63942</v>
      </c>
      <c r="Z85" s="85">
        <f t="shared" si="50"/>
        <v>-818.62113479844345</v>
      </c>
      <c r="AA85" s="85">
        <f t="shared" si="51"/>
        <v>-1109.9344854004285</v>
      </c>
      <c r="AB85" s="90">
        <f t="shared" si="52"/>
        <v>818.62113479844345</v>
      </c>
      <c r="AC85" s="86">
        <f t="shared" si="53"/>
        <v>6421.38663</v>
      </c>
      <c r="AD85" s="85">
        <f t="shared" si="54"/>
        <v>3384.56104615708</v>
      </c>
      <c r="AE85" s="85">
        <f t="shared" si="55"/>
        <v>3622.0153898506337</v>
      </c>
      <c r="AF85" s="90">
        <f t="shared" si="56"/>
        <v>3384.56104615708</v>
      </c>
      <c r="AG85" s="86">
        <f t="shared" si="57"/>
        <v>12716.124379999999</v>
      </c>
      <c r="AH85" s="85">
        <f t="shared" si="58"/>
        <v>6139.2748628683721</v>
      </c>
      <c r="AI85" s="85">
        <f t="shared" si="59"/>
        <v>8739.1433723041409</v>
      </c>
      <c r="AJ85" s="90">
        <f t="shared" si="60"/>
        <v>6139.2748628683721</v>
      </c>
      <c r="AL85" s="95">
        <f t="shared" si="61"/>
        <v>0</v>
      </c>
      <c r="AM85" s="95">
        <f t="shared" si="62"/>
        <v>0</v>
      </c>
      <c r="AN85" s="95">
        <f t="shared" si="63"/>
        <v>0</v>
      </c>
      <c r="AO85" s="95">
        <f t="shared" si="64"/>
        <v>0</v>
      </c>
      <c r="AP85"/>
      <c r="AQ85" s="95">
        <f t="shared" si="65"/>
        <v>0</v>
      </c>
      <c r="AR85" s="95">
        <f t="shared" si="66"/>
        <v>0</v>
      </c>
      <c r="AS85" s="95">
        <f>Geraetedaten!$B$94*ABS(SIN(RADIANS($A85)))</f>
        <v>110.77832925215226</v>
      </c>
      <c r="AT85" s="95">
        <f>Geraetedaten!$B$94*ABS(COS(RADIANS($A85)))</f>
        <v>106.97738905068557</v>
      </c>
      <c r="AU85" s="95">
        <f>((h_Aw_Sw+Geraetedaten!$B$18)/1000)*(AQ85*AS85+AR85*AT85)/100</f>
        <v>0</v>
      </c>
    </row>
    <row r="86" spans="1:47" ht="13.5" x14ac:dyDescent="0.25">
      <c r="A86" s="16">
        <v>47</v>
      </c>
      <c r="B86" s="16">
        <f t="shared" si="34"/>
        <v>403</v>
      </c>
      <c r="C86" s="19">
        <f t="shared" si="35"/>
        <v>66.899833934919243</v>
      </c>
      <c r="D86" s="17">
        <f t="shared" si="36"/>
        <v>-6394.6992139349195</v>
      </c>
      <c r="E86" s="17">
        <f t="shared" si="37"/>
        <v>-11841.48695393492</v>
      </c>
      <c r="F86" s="17">
        <f t="shared" si="38"/>
        <v>6313.0247260650813</v>
      </c>
      <c r="G86" s="17">
        <f t="shared" si="39"/>
        <v>12880.10477606508</v>
      </c>
      <c r="H86" s="17">
        <f t="shared" si="67"/>
        <v>6313.0247260650813</v>
      </c>
      <c r="I86" s="17">
        <f t="shared" si="40"/>
        <v>3598.6285036583681</v>
      </c>
      <c r="J86" s="20">
        <f>(Geraetedaten!$B$152+(Geraetedaten!$B$153*(Geraetedaten!$B$18+d_y_Sw)/1000))*10</f>
        <v>6051.0442000000003</v>
      </c>
      <c r="K86" s="20">
        <f>(Geraetedaten!$B$165+(Geraetedaten!$B$166*(Geraetedaten!$B$18+d_y_Sw)/1000))*10</f>
        <v>10816.164000000001</v>
      </c>
      <c r="L86" s="20">
        <f>(Geraetedaten!$B$158+(Geraetedaten!$B$159*(Geraetedaten!$B$18+d_y_Sw)/1000)-(Geraetedaten!$B$160*I86/1000))*10</f>
        <v>337.64917182673167</v>
      </c>
      <c r="M86" s="20">
        <f>(Geraetedaten!$B$171+(Geraetedaten!$B$172*(Geraetedaten!$B$18+d_y_Sw)/1000)-(Geraetedaten!$B$173*I86/1000))*10</f>
        <v>796.98509418767208</v>
      </c>
      <c r="N86" s="20">
        <f>IF((H86-J86)/(K86-J86)*(Geraetedaten!$B$174-Geraetedaten!$B$161)&lt;Geraetedaten!$B$174,(H86-J86)/(K86-J86)*(Geraetedaten!$B$174-Geraetedaten!$B$161),Geraetedaten!$B$174)</f>
        <v>21.991516441209388</v>
      </c>
      <c r="O86" s="20">
        <f>N86/Geraetedaten!$B$174*(M86-L86)+L86+C86</f>
        <v>429.80273948324765</v>
      </c>
      <c r="P86" s="20">
        <f t="shared" si="41"/>
        <v>166.86986263518315</v>
      </c>
      <c r="Q86" s="21">
        <f>(N86-Geraetedaten!$B$161)/(Geraetedaten!$B$174-Geraetedaten!$B$161)*(Geraetedaten!$B$175-Geraetedaten!$B$162)+Geraetedaten!$B$162</f>
        <v>29.854247614125978</v>
      </c>
      <c r="R86" s="21">
        <f t="shared" si="42"/>
        <v>29.854247614125978</v>
      </c>
      <c r="S86" s="21">
        <f t="shared" si="43"/>
        <v>21.834014501646323</v>
      </c>
      <c r="T86" s="88">
        <f t="shared" si="44"/>
        <v>20.360547913733676</v>
      </c>
      <c r="U86" s="86">
        <f t="shared" si="45"/>
        <v>-6327.7993800000004</v>
      </c>
      <c r="V86" s="85">
        <f t="shared" si="46"/>
        <v>-1346.4914747781525</v>
      </c>
      <c r="W86" s="85">
        <f t="shared" si="47"/>
        <v>-1424.0834945296583</v>
      </c>
      <c r="X86" s="90">
        <f t="shared" si="48"/>
        <v>1346.4914747781525</v>
      </c>
      <c r="Y86" s="86">
        <f t="shared" si="49"/>
        <v>-11774.58712</v>
      </c>
      <c r="Z86" s="85">
        <f t="shared" si="50"/>
        <v>-818.62113479844345</v>
      </c>
      <c r="AA86" s="85">
        <f t="shared" si="51"/>
        <v>-1128.1335420927614</v>
      </c>
      <c r="AB86" s="90">
        <f t="shared" si="52"/>
        <v>818.62113479844345</v>
      </c>
      <c r="AC86" s="86">
        <f t="shared" si="53"/>
        <v>6379.9245600000004</v>
      </c>
      <c r="AD86" s="85">
        <f t="shared" si="54"/>
        <v>3384.56104615708</v>
      </c>
      <c r="AE86" s="85">
        <f t="shared" si="55"/>
        <v>3598.6285036583681</v>
      </c>
      <c r="AF86" s="90">
        <f t="shared" si="56"/>
        <v>3384.56104615708</v>
      </c>
      <c r="AG86" s="86">
        <f t="shared" si="57"/>
        <v>12947.00461</v>
      </c>
      <c r="AH86" s="85">
        <f t="shared" si="58"/>
        <v>6139.2748628683721</v>
      </c>
      <c r="AI86" s="85">
        <f t="shared" si="59"/>
        <v>8897.8155736471072</v>
      </c>
      <c r="AJ86" s="90">
        <f t="shared" si="60"/>
        <v>6139.2748628683721</v>
      </c>
      <c r="AL86" s="95">
        <f t="shared" si="61"/>
        <v>0</v>
      </c>
      <c r="AM86" s="95">
        <f t="shared" si="62"/>
        <v>0</v>
      </c>
      <c r="AN86" s="95">
        <f t="shared" si="63"/>
        <v>0</v>
      </c>
      <c r="AO86" s="95">
        <f t="shared" si="64"/>
        <v>0</v>
      </c>
      <c r="AP86"/>
      <c r="AQ86" s="95">
        <f t="shared" si="65"/>
        <v>0</v>
      </c>
      <c r="AR86" s="95">
        <f t="shared" si="66"/>
        <v>0</v>
      </c>
      <c r="AS86" s="95">
        <f>Geraetedaten!$B$94*ABS(SIN(RADIANS($A86)))</f>
        <v>112.62847004935225</v>
      </c>
      <c r="AT86" s="95">
        <f>Geraetedaten!$B$94*ABS(COS(RADIANS($A86)))</f>
        <v>105.02774744962477</v>
      </c>
      <c r="AU86" s="95">
        <f>((h_Aw_Sw+Geraetedaten!$B$18)/1000)*(AQ86*AS86+AR86*AT86)/100</f>
        <v>0</v>
      </c>
    </row>
    <row r="87" spans="1:47" ht="13.5" x14ac:dyDescent="0.25">
      <c r="A87" s="16">
        <v>48</v>
      </c>
      <c r="B87" s="16">
        <f t="shared" si="34"/>
        <v>402</v>
      </c>
      <c r="C87" s="19">
        <f t="shared" si="35"/>
        <v>67.2637888916517</v>
      </c>
      <c r="D87" s="17">
        <f t="shared" si="36"/>
        <v>-6358.2152488916518</v>
      </c>
      <c r="E87" s="17">
        <f t="shared" si="37"/>
        <v>-12041.839788891652</v>
      </c>
      <c r="F87" s="17">
        <f t="shared" si="38"/>
        <v>6273.6498211083481</v>
      </c>
      <c r="G87" s="17">
        <f t="shared" si="39"/>
        <v>13123.252301108347</v>
      </c>
      <c r="H87" s="17">
        <f t="shared" si="67"/>
        <v>6273.6498211083481</v>
      </c>
      <c r="I87" s="17">
        <f t="shared" si="40"/>
        <v>3576.6241770443416</v>
      </c>
      <c r="J87" s="20">
        <f>(Geraetedaten!$B$152+(Geraetedaten!$B$153*(Geraetedaten!$B$18+d_y_Sw)/1000))*10</f>
        <v>6051.0442000000003</v>
      </c>
      <c r="K87" s="20">
        <f>(Geraetedaten!$B$165+(Geraetedaten!$B$166*(Geraetedaten!$B$18+d_y_Sw)/1000))*10</f>
        <v>10816.164000000001</v>
      </c>
      <c r="L87" s="20">
        <f>(Geraetedaten!$B$158+(Geraetedaten!$B$159*(Geraetedaten!$B$18+d_y_Sw)/1000)-(Geraetedaten!$B$160*I87/1000))*10</f>
        <v>339.2627490973382</v>
      </c>
      <c r="M87" s="20">
        <f>(Geraetedaten!$B$171+(Geraetedaten!$B$172*(Geraetedaten!$B$18+d_y_Sw)/1000)-(Geraetedaten!$B$173*I87/1000))*10</f>
        <v>798.62309626082015</v>
      </c>
      <c r="N87" s="20">
        <f>IF((H87-J87)/(K87-J87)*(Geraetedaten!$B$174-Geraetedaten!$B$161)&lt;Geraetedaten!$B$174,(H87-J87)/(K87-J87)*(Geraetedaten!$B$174-Geraetedaten!$B$161),Geraetedaten!$B$174)</f>
        <v>18.686255997874202</v>
      </c>
      <c r="O87" s="20">
        <f>N87/Geraetedaten!$B$174*(M87-L87)+L87+C87</f>
        <v>427.98585059491285</v>
      </c>
      <c r="P87" s="20">
        <f t="shared" si="41"/>
        <v>166.64892162759244</v>
      </c>
      <c r="Q87" s="21">
        <f>(N87-Geraetedaten!$B$161)/(Geraetedaten!$B$174-Geraetedaten!$B$161)*(Geraetedaten!$B$175-Geraetedaten!$B$162)+Geraetedaten!$B$162</f>
        <v>29.755916115936756</v>
      </c>
      <c r="R87" s="21">
        <f t="shared" si="42"/>
        <v>29.755916115936756</v>
      </c>
      <c r="S87" s="21">
        <f t="shared" si="43"/>
        <v>22.112955088897802</v>
      </c>
      <c r="T87" s="88">
        <f t="shared" si="44"/>
        <v>19.910594193420085</v>
      </c>
      <c r="U87" s="86">
        <f t="shared" si="45"/>
        <v>-6290.9514600000002</v>
      </c>
      <c r="V87" s="85">
        <f t="shared" si="46"/>
        <v>-1346.4914747781525</v>
      </c>
      <c r="W87" s="85">
        <f t="shared" si="47"/>
        <v>-1415.7907972832224</v>
      </c>
      <c r="X87" s="90">
        <f t="shared" si="48"/>
        <v>1346.4914747781525</v>
      </c>
      <c r="Y87" s="86">
        <f t="shared" si="49"/>
        <v>-11974.575999999999</v>
      </c>
      <c r="Z87" s="85">
        <f t="shared" si="50"/>
        <v>-818.62113479844345</v>
      </c>
      <c r="AA87" s="85">
        <f t="shared" si="51"/>
        <v>-1147.2946523631751</v>
      </c>
      <c r="AB87" s="90">
        <f t="shared" si="52"/>
        <v>818.62113479844345</v>
      </c>
      <c r="AC87" s="86">
        <f t="shared" si="53"/>
        <v>6340.9136099999996</v>
      </c>
      <c r="AD87" s="85">
        <f t="shared" si="54"/>
        <v>3384.56104615708</v>
      </c>
      <c r="AE87" s="85">
        <f t="shared" si="55"/>
        <v>3576.6241770443416</v>
      </c>
      <c r="AF87" s="90">
        <f t="shared" si="56"/>
        <v>3384.56104615708</v>
      </c>
      <c r="AG87" s="86">
        <f t="shared" si="57"/>
        <v>13190.516089999999</v>
      </c>
      <c r="AH87" s="85">
        <f t="shared" si="58"/>
        <v>6139.2748628683721</v>
      </c>
      <c r="AI87" s="85">
        <f t="shared" si="59"/>
        <v>9065.1685879226898</v>
      </c>
      <c r="AJ87" s="90">
        <f t="shared" si="60"/>
        <v>6139.2748628683721</v>
      </c>
      <c r="AL87" s="95">
        <f t="shared" si="61"/>
        <v>0</v>
      </c>
      <c r="AM87" s="95">
        <f t="shared" si="62"/>
        <v>0</v>
      </c>
      <c r="AN87" s="95">
        <f t="shared" si="63"/>
        <v>0</v>
      </c>
      <c r="AO87" s="95">
        <f t="shared" si="64"/>
        <v>0</v>
      </c>
      <c r="AP87"/>
      <c r="AQ87" s="95">
        <f t="shared" si="65"/>
        <v>0</v>
      </c>
      <c r="AR87" s="95">
        <f t="shared" si="66"/>
        <v>0</v>
      </c>
      <c r="AS87" s="95">
        <f>Geraetedaten!$B$94*ABS(SIN(RADIANS($A87)))</f>
        <v>114.44430312351871</v>
      </c>
      <c r="AT87" s="95">
        <f>Geraetedaten!$B$94*ABS(COS(RADIANS($A87)))</f>
        <v>103.04611337926417</v>
      </c>
      <c r="AU87" s="95">
        <f>((h_Aw_Sw+Geraetedaten!$B$18)/1000)*(AQ87*AS87+AR87*AT87)/100</f>
        <v>0</v>
      </c>
    </row>
    <row r="88" spans="1:47" ht="13.5" x14ac:dyDescent="0.25">
      <c r="A88" s="16">
        <v>49</v>
      </c>
      <c r="B88" s="16">
        <f t="shared" si="34"/>
        <v>401</v>
      </c>
      <c r="C88" s="19">
        <f t="shared" si="35"/>
        <v>67.60725464668883</v>
      </c>
      <c r="D88" s="17">
        <f t="shared" si="36"/>
        <v>-6324.0321846466886</v>
      </c>
      <c r="E88" s="17">
        <f t="shared" si="37"/>
        <v>-12252.858934646689</v>
      </c>
      <c r="F88" s="17">
        <f t="shared" si="38"/>
        <v>6236.6782453533115</v>
      </c>
      <c r="G88" s="17">
        <f t="shared" si="39"/>
        <v>13379.930755353311</v>
      </c>
      <c r="H88" s="17">
        <f t="shared" si="67"/>
        <v>6236.6782453533115</v>
      </c>
      <c r="I88" s="17">
        <f t="shared" si="40"/>
        <v>3555.9639102189658</v>
      </c>
      <c r="J88" s="20">
        <f>(Geraetedaten!$B$152+(Geraetedaten!$B$153*(Geraetedaten!$B$18+d_y_Sw)/1000))*10</f>
        <v>6051.0442000000003</v>
      </c>
      <c r="K88" s="20">
        <f>(Geraetedaten!$B$165+(Geraetedaten!$B$166*(Geraetedaten!$B$18+d_y_Sw)/1000))*10</f>
        <v>10816.164000000001</v>
      </c>
      <c r="L88" s="20">
        <f>(Geraetedaten!$B$158+(Geraetedaten!$B$159*(Geraetedaten!$B$18+d_y_Sw)/1000)-(Geraetedaten!$B$160*I88/1000))*10</f>
        <v>340.77776646364305</v>
      </c>
      <c r="M88" s="20">
        <f>(Geraetedaten!$B$171+(Geraetedaten!$B$172*(Geraetedaten!$B$18+d_y_Sw)/1000)-(Geraetedaten!$B$173*I88/1000))*10</f>
        <v>800.16104652330114</v>
      </c>
      <c r="N88" s="20">
        <f>IF((H88-J88)/(K88-J88)*(Geraetedaten!$B$174-Geraetedaten!$B$161)&lt;Geraetedaten!$B$174,(H88-J88)/(K88-J88)*(Geraetedaten!$B$174-Geraetedaten!$B$161),Geraetedaten!$B$174)</f>
        <v>15.582738998781201</v>
      </c>
      <c r="O88" s="20">
        <f>N88/Geraetedaten!$B$174*(M88-L88)+L88+C88</f>
        <v>426.28114549426601</v>
      </c>
      <c r="P88" s="20">
        <f t="shared" si="41"/>
        <v>166.44079865781771</v>
      </c>
      <c r="Q88" s="21">
        <f>(N88-Geraetedaten!$B$161)/(Geraetedaten!$B$174-Geraetedaten!$B$161)*(Geraetedaten!$B$175-Geraetedaten!$B$162)+Geraetedaten!$B$162</f>
        <v>29.663586485213742</v>
      </c>
      <c r="R88" s="21">
        <f t="shared" si="42"/>
        <v>29.663586485213742</v>
      </c>
      <c r="S88" s="21">
        <f t="shared" si="43"/>
        <v>22.387392904157554</v>
      </c>
      <c r="T88" s="88">
        <f t="shared" si="44"/>
        <v>19.46106374586526</v>
      </c>
      <c r="U88" s="86">
        <f t="shared" si="45"/>
        <v>-6256.4249300000001</v>
      </c>
      <c r="V88" s="85">
        <f t="shared" si="46"/>
        <v>-1346.4914747781525</v>
      </c>
      <c r="W88" s="85">
        <f t="shared" si="47"/>
        <v>-1408.0205342709573</v>
      </c>
      <c r="X88" s="90">
        <f t="shared" si="48"/>
        <v>1346.4914747781525</v>
      </c>
      <c r="Y88" s="86">
        <f t="shared" si="49"/>
        <v>-12185.251679999999</v>
      </c>
      <c r="Z88" s="85">
        <f t="shared" si="50"/>
        <v>-818.62113479844345</v>
      </c>
      <c r="AA88" s="85">
        <f t="shared" si="51"/>
        <v>-1167.4796740036766</v>
      </c>
      <c r="AB88" s="90">
        <f t="shared" si="52"/>
        <v>818.62113479844345</v>
      </c>
      <c r="AC88" s="86">
        <f t="shared" si="53"/>
        <v>6304.2855</v>
      </c>
      <c r="AD88" s="85">
        <f t="shared" si="54"/>
        <v>3384.56104615708</v>
      </c>
      <c r="AE88" s="85">
        <f t="shared" si="55"/>
        <v>3555.9639102189658</v>
      </c>
      <c r="AF88" s="90">
        <f t="shared" si="56"/>
        <v>3384.56104615708</v>
      </c>
      <c r="AG88" s="86">
        <f t="shared" si="57"/>
        <v>13447.53801</v>
      </c>
      <c r="AH88" s="85">
        <f t="shared" si="58"/>
        <v>6139.2748628683721</v>
      </c>
      <c r="AI88" s="85">
        <f t="shared" si="59"/>
        <v>9241.8066421192143</v>
      </c>
      <c r="AJ88" s="90">
        <f t="shared" si="60"/>
        <v>6139.2748628683721</v>
      </c>
      <c r="AL88" s="95">
        <f t="shared" si="61"/>
        <v>0</v>
      </c>
      <c r="AM88" s="95">
        <f t="shared" si="62"/>
        <v>0</v>
      </c>
      <c r="AN88" s="95">
        <f t="shared" si="63"/>
        <v>0</v>
      </c>
      <c r="AO88" s="95">
        <f t="shared" si="64"/>
        <v>0</v>
      </c>
      <c r="AP88"/>
      <c r="AQ88" s="95">
        <f t="shared" si="65"/>
        <v>0</v>
      </c>
      <c r="AR88" s="95">
        <f t="shared" si="66"/>
        <v>0</v>
      </c>
      <c r="AS88" s="95">
        <f>Geraetedaten!$B$94*ABS(SIN(RADIANS($A88)))</f>
        <v>116.22527535430689</v>
      </c>
      <c r="AT88" s="95">
        <f>Geraetedaten!$B$94*ABS(COS(RADIANS($A88)))</f>
        <v>101.03309046453812</v>
      </c>
      <c r="AU88" s="95">
        <f>((h_Aw_Sw+Geraetedaten!$B$18)/1000)*(AQ88*AS88+AR88*AT88)/100</f>
        <v>0</v>
      </c>
    </row>
    <row r="89" spans="1:47" ht="13.5" x14ac:dyDescent="0.25">
      <c r="A89" s="16">
        <v>50</v>
      </c>
      <c r="B89" s="16">
        <f t="shared" si="34"/>
        <v>400</v>
      </c>
      <c r="C89" s="19">
        <f t="shared" si="35"/>
        <v>67.930126577034372</v>
      </c>
      <c r="D89" s="17">
        <f t="shared" si="36"/>
        <v>-6292.0910265770344</v>
      </c>
      <c r="E89" s="17">
        <f t="shared" si="37"/>
        <v>-12475.250386577034</v>
      </c>
      <c r="F89" s="17">
        <f t="shared" si="38"/>
        <v>6202.0469234229658</v>
      </c>
      <c r="G89" s="17">
        <f t="shared" si="39"/>
        <v>13651.107193422966</v>
      </c>
      <c r="H89" s="17">
        <f t="shared" si="67"/>
        <v>6202.0469234229658</v>
      </c>
      <c r="I89" s="17">
        <f t="shared" si="40"/>
        <v>3536.6120585398025</v>
      </c>
      <c r="J89" s="20">
        <f>(Geraetedaten!$B$152+(Geraetedaten!$B$153*(Geraetedaten!$B$18+d_y_Sw)/1000))*10</f>
        <v>6051.0442000000003</v>
      </c>
      <c r="K89" s="20">
        <f>(Geraetedaten!$B$165+(Geraetedaten!$B$166*(Geraetedaten!$B$18+d_y_Sw)/1000))*10</f>
        <v>10816.164000000001</v>
      </c>
      <c r="L89" s="20">
        <f>(Geraetedaten!$B$158+(Geraetedaten!$B$159*(Geraetedaten!$B$18+d_y_Sw)/1000)-(Geraetedaten!$B$160*I89/1000))*10</f>
        <v>342.19683774727605</v>
      </c>
      <c r="M89" s="20">
        <f>(Geraetedaten!$B$171+(Geraetedaten!$B$172*(Geraetedaten!$B$18+d_y_Sw)/1000)-(Geraetedaten!$B$173*I89/1000))*10</f>
        <v>801.60159836229798</v>
      </c>
      <c r="N89" s="20">
        <f>IF((H89-J89)/(K89-J89)*(Geraetedaten!$B$174-Geraetedaten!$B$161)&lt;Geraetedaten!$B$174,(H89-J89)/(K89-J89)*(Geraetedaten!$B$174-Geraetedaten!$B$161),Geraetedaten!$B$174)</f>
        <v>12.675670687059373</v>
      </c>
      <c r="O89" s="20">
        <f>N89/Geraetedaten!$B$174*(M89-L89)+L89+C89</f>
        <v>424.68512296836877</v>
      </c>
      <c r="P89" s="20">
        <f t="shared" si="41"/>
        <v>166.24511873266039</v>
      </c>
      <c r="Q89" s="21">
        <f>(N89-Geraetedaten!$B$161)/(Geraetedaten!$B$174-Geraetedaten!$B$161)*(Geraetedaten!$B$175-Geraetedaten!$B$162)+Geraetedaten!$B$162</f>
        <v>29.577101202940014</v>
      </c>
      <c r="R89" s="21">
        <f t="shared" si="42"/>
        <v>29.577101202940014</v>
      </c>
      <c r="S89" s="21">
        <f t="shared" si="43"/>
        <v>22.657374020079839</v>
      </c>
      <c r="T89" s="88">
        <f t="shared" si="44"/>
        <v>19.011794183694679</v>
      </c>
      <c r="U89" s="86">
        <f t="shared" si="45"/>
        <v>-6224.1608999999999</v>
      </c>
      <c r="V89" s="85">
        <f t="shared" si="46"/>
        <v>-1346.4914747781525</v>
      </c>
      <c r="W89" s="85">
        <f t="shared" si="47"/>
        <v>-1400.7594524576355</v>
      </c>
      <c r="X89" s="90">
        <f t="shared" si="48"/>
        <v>1346.4914747781525</v>
      </c>
      <c r="Y89" s="86">
        <f t="shared" si="49"/>
        <v>-12407.32026</v>
      </c>
      <c r="Z89" s="85">
        <f t="shared" si="50"/>
        <v>-818.62113479844345</v>
      </c>
      <c r="AA89" s="85">
        <f t="shared" si="51"/>
        <v>-1188.7562604865639</v>
      </c>
      <c r="AB89" s="90">
        <f t="shared" si="52"/>
        <v>818.62113479844345</v>
      </c>
      <c r="AC89" s="86">
        <f t="shared" si="53"/>
        <v>6269.9770500000004</v>
      </c>
      <c r="AD89" s="85">
        <f t="shared" si="54"/>
        <v>3384.56104615708</v>
      </c>
      <c r="AE89" s="85">
        <f t="shared" si="55"/>
        <v>3536.6120585398025</v>
      </c>
      <c r="AF89" s="90">
        <f t="shared" si="56"/>
        <v>3384.56104615708</v>
      </c>
      <c r="AG89" s="86">
        <f t="shared" si="57"/>
        <v>13719.037319999999</v>
      </c>
      <c r="AH89" s="85">
        <f t="shared" si="58"/>
        <v>6139.2748628683721</v>
      </c>
      <c r="AI89" s="85">
        <f t="shared" si="59"/>
        <v>9428.3942587294605</v>
      </c>
      <c r="AJ89" s="90">
        <f t="shared" si="60"/>
        <v>6139.2748628683721</v>
      </c>
      <c r="AL89" s="95">
        <f t="shared" si="61"/>
        <v>0</v>
      </c>
      <c r="AM89" s="95">
        <f t="shared" si="62"/>
        <v>0</v>
      </c>
      <c r="AN89" s="95">
        <f t="shared" si="63"/>
        <v>0</v>
      </c>
      <c r="AO89" s="95">
        <f t="shared" si="64"/>
        <v>0</v>
      </c>
      <c r="AP89"/>
      <c r="AQ89" s="95">
        <f t="shared" si="65"/>
        <v>0</v>
      </c>
      <c r="AR89" s="95">
        <f t="shared" si="66"/>
        <v>0</v>
      </c>
      <c r="AS89" s="95">
        <f>Geraetedaten!$B$94*ABS(SIN(RADIANS($A89)))</f>
        <v>117.97084424032262</v>
      </c>
      <c r="AT89" s="95">
        <f>Geraetedaten!$B$94*ABS(COS(RADIANS($A89)))</f>
        <v>98.989291891727063</v>
      </c>
      <c r="AU89" s="95">
        <f>((h_Aw_Sw+Geraetedaten!$B$18)/1000)*(AQ89*AS89+AR89*AT89)/100</f>
        <v>0</v>
      </c>
    </row>
    <row r="90" spans="1:47" ht="13.5" x14ac:dyDescent="0.25">
      <c r="A90" s="16">
        <v>51</v>
      </c>
      <c r="B90" s="16">
        <f t="shared" si="34"/>
        <v>399</v>
      </c>
      <c r="C90" s="19">
        <f t="shared" si="35"/>
        <v>68.232306332770648</v>
      </c>
      <c r="D90" s="17">
        <f t="shared" si="36"/>
        <v>-6262.3373363327701</v>
      </c>
      <c r="E90" s="17">
        <f t="shared" si="37"/>
        <v>-12709.787746332771</v>
      </c>
      <c r="F90" s="17">
        <f t="shared" si="38"/>
        <v>6169.6975436672301</v>
      </c>
      <c r="G90" s="17">
        <f t="shared" si="39"/>
        <v>13937.847393667229</v>
      </c>
      <c r="H90" s="17">
        <f t="shared" si="67"/>
        <v>6169.6975436672301</v>
      </c>
      <c r="I90" s="17">
        <f t="shared" si="40"/>
        <v>3518.5356744871438</v>
      </c>
      <c r="J90" s="20">
        <f>(Geraetedaten!$B$152+(Geraetedaten!$B$153*(Geraetedaten!$B$18+d_y_Sw)/1000))*10</f>
        <v>6051.0442000000003</v>
      </c>
      <c r="K90" s="20">
        <f>(Geraetedaten!$B$165+(Geraetedaten!$B$166*(Geraetedaten!$B$18+d_y_Sw)/1000))*10</f>
        <v>10816.164000000001</v>
      </c>
      <c r="L90" s="20">
        <f>(Geraetedaten!$B$158+(Geraetedaten!$B$159*(Geraetedaten!$B$18+d_y_Sw)/1000)-(Geraetedaten!$B$160*I90/1000))*10</f>
        <v>343.52237898985749</v>
      </c>
      <c r="M90" s="20">
        <f>(Geraetedaten!$B$171+(Geraetedaten!$B$172*(Geraetedaten!$B$18+d_y_Sw)/1000)-(Geraetedaten!$B$173*I90/1000))*10</f>
        <v>802.94720439117782</v>
      </c>
      <c r="N90" s="20">
        <f>IF((H90-J90)/(K90-J90)*(Geraetedaten!$B$174-Geraetedaten!$B$161)&lt;Geraetedaten!$B$174,(H90-J90)/(K90-J90)*(Geraetedaten!$B$174-Geraetedaten!$B$161),Geraetedaten!$B$174)</f>
        <v>9.9601561889151089</v>
      </c>
      <c r="O90" s="20">
        <f>N90/Geraetedaten!$B$174*(M90-L90)+L90+C90</f>
        <v>423.19454286778364</v>
      </c>
      <c r="P90" s="20">
        <f t="shared" si="41"/>
        <v>166.06152965797477</v>
      </c>
      <c r="Q90" s="21">
        <f>(N90-Geraetedaten!$B$161)/(Geraetedaten!$B$174-Geraetedaten!$B$161)*(Geraetedaten!$B$175-Geraetedaten!$B$162)+Geraetedaten!$B$162</f>
        <v>29.496314646620224</v>
      </c>
      <c r="R90" s="21">
        <f t="shared" si="42"/>
        <v>29.496314646620224</v>
      </c>
      <c r="S90" s="21">
        <f t="shared" si="43"/>
        <v>22.922941805485006</v>
      </c>
      <c r="T90" s="88">
        <f t="shared" si="44"/>
        <v>18.562632267940089</v>
      </c>
      <c r="U90" s="86">
        <f t="shared" si="45"/>
        <v>-6194.1050299999997</v>
      </c>
      <c r="V90" s="85">
        <f t="shared" si="46"/>
        <v>-1346.4914747781525</v>
      </c>
      <c r="W90" s="85">
        <f t="shared" si="47"/>
        <v>-1393.9953223436535</v>
      </c>
      <c r="X90" s="90">
        <f t="shared" si="48"/>
        <v>1346.4914747781525</v>
      </c>
      <c r="Y90" s="86">
        <f t="shared" si="49"/>
        <v>-12641.55544</v>
      </c>
      <c r="Z90" s="85">
        <f t="shared" si="50"/>
        <v>-818.62113479844345</v>
      </c>
      <c r="AA90" s="85">
        <f t="shared" si="51"/>
        <v>-1211.1985387290804</v>
      </c>
      <c r="AB90" s="90">
        <f t="shared" si="52"/>
        <v>818.62113479844345</v>
      </c>
      <c r="AC90" s="86">
        <f t="shared" si="53"/>
        <v>6237.9298500000004</v>
      </c>
      <c r="AD90" s="85">
        <f t="shared" si="54"/>
        <v>3384.56104615708</v>
      </c>
      <c r="AE90" s="85">
        <f t="shared" si="55"/>
        <v>3518.5356744871438</v>
      </c>
      <c r="AF90" s="90">
        <f t="shared" si="56"/>
        <v>3384.56104615708</v>
      </c>
      <c r="AG90" s="86">
        <f t="shared" si="57"/>
        <v>14006.0797</v>
      </c>
      <c r="AH90" s="85">
        <f t="shared" si="58"/>
        <v>6139.2748628683721</v>
      </c>
      <c r="AI90" s="85">
        <f t="shared" si="59"/>
        <v>9625.663837337428</v>
      </c>
      <c r="AJ90" s="90">
        <f t="shared" si="60"/>
        <v>6139.2748628683721</v>
      </c>
      <c r="AL90" s="95">
        <f t="shared" si="61"/>
        <v>0</v>
      </c>
      <c r="AM90" s="95">
        <f t="shared" si="62"/>
        <v>0</v>
      </c>
      <c r="AN90" s="95">
        <f t="shared" si="63"/>
        <v>0</v>
      </c>
      <c r="AO90" s="95">
        <f t="shared" si="64"/>
        <v>0</v>
      </c>
      <c r="AP90"/>
      <c r="AQ90" s="95">
        <f t="shared" si="65"/>
        <v>0</v>
      </c>
      <c r="AR90" s="95">
        <f t="shared" si="66"/>
        <v>0</v>
      </c>
      <c r="AS90" s="95">
        <f>Geraetedaten!$B$94*ABS(SIN(RADIANS($A90)))</f>
        <v>119.68047806437352</v>
      </c>
      <c r="AT90" s="95">
        <f>Geraetedaten!$B$94*ABS(COS(RADIANS($A90)))</f>
        <v>96.915340221674981</v>
      </c>
      <c r="AU90" s="95">
        <f>((h_Aw_Sw+Geraetedaten!$B$18)/1000)*(AQ90*AS90+AR90*AT90)/100</f>
        <v>0</v>
      </c>
    </row>
    <row r="91" spans="1:47" ht="13.5" x14ac:dyDescent="0.25">
      <c r="A91" s="16">
        <v>52</v>
      </c>
      <c r="B91" s="16">
        <f t="shared" si="34"/>
        <v>398</v>
      </c>
      <c r="C91" s="19">
        <f t="shared" si="35"/>
        <v>68.513701867016763</v>
      </c>
      <c r="D91" s="17">
        <f t="shared" si="36"/>
        <v>-6234.7210118670164</v>
      </c>
      <c r="E91" s="17">
        <f t="shared" si="37"/>
        <v>-12957.320251867017</v>
      </c>
      <c r="F91" s="17">
        <f t="shared" si="38"/>
        <v>6139.576318132983</v>
      </c>
      <c r="G91" s="17">
        <f t="shared" si="39"/>
        <v>14241.328658132983</v>
      </c>
      <c r="H91" s="17">
        <f t="shared" si="67"/>
        <v>6139.576318132983</v>
      </c>
      <c r="I91" s="17">
        <f t="shared" si="40"/>
        <v>3501.7043642309382</v>
      </c>
      <c r="J91" s="20">
        <f>(Geraetedaten!$B$152+(Geraetedaten!$B$153*(Geraetedaten!$B$18+d_y_Sw)/1000))*10</f>
        <v>6051.0442000000003</v>
      </c>
      <c r="K91" s="20">
        <f>(Geraetedaten!$B$165+(Geraetedaten!$B$166*(Geraetedaten!$B$18+d_y_Sw)/1000))*10</f>
        <v>10816.164000000001</v>
      </c>
      <c r="L91" s="20">
        <f>(Geraetedaten!$B$158+(Geraetedaten!$B$159*(Geraetedaten!$B$18+d_y_Sw)/1000)-(Geraetedaten!$B$160*I91/1000))*10</f>
        <v>344.75661897094511</v>
      </c>
      <c r="M91" s="20">
        <f>(Geraetedaten!$B$171+(Geraetedaten!$B$172*(Geraetedaten!$B$18+d_y_Sw)/1000)-(Geraetedaten!$B$173*I91/1000))*10</f>
        <v>804.20012712664982</v>
      </c>
      <c r="N91" s="20">
        <f>IF((H91-J91)/(K91-J91)*(Geraetedaten!$B$174-Geraetedaten!$B$161)&lt;Geraetedaten!$B$174,(H91-J91)/(K91-J91)*(Geraetedaten!$B$174-Geraetedaten!$B$161),Geraetedaten!$B$174)</f>
        <v>7.4316803647188676</v>
      </c>
      <c r="O91" s="20">
        <f>N91/Geraetedaten!$B$174*(M91-L91)+L91+C91</f>
        <v>421.80641408360765</v>
      </c>
      <c r="P91" s="20">
        <f t="shared" si="41"/>
        <v>165.88970201429336</v>
      </c>
      <c r="Q91" s="21">
        <f>(N91-Geraetedaten!$B$161)/(Geraetedaten!$B$174-Geraetedaten!$B$161)*(Geraetedaten!$B$175-Geraetedaten!$B$162)+Geraetedaten!$B$162</f>
        <v>29.421092490850384</v>
      </c>
      <c r="R91" s="21">
        <f t="shared" si="42"/>
        <v>29.421092490850384</v>
      </c>
      <c r="S91" s="21">
        <f t="shared" si="43"/>
        <v>23.184137265648083</v>
      </c>
      <c r="T91" s="88">
        <f t="shared" si="44"/>
        <v>18.113433208609596</v>
      </c>
      <c r="U91" s="86">
        <f t="shared" si="45"/>
        <v>-6166.2073099999998</v>
      </c>
      <c r="V91" s="85">
        <f t="shared" si="46"/>
        <v>-1346.4914747781525</v>
      </c>
      <c r="W91" s="85">
        <f t="shared" si="47"/>
        <v>-1387.7168855136451</v>
      </c>
      <c r="X91" s="90">
        <f t="shared" si="48"/>
        <v>1346.4914747781525</v>
      </c>
      <c r="Y91" s="86">
        <f t="shared" si="49"/>
        <v>-12888.806549999999</v>
      </c>
      <c r="Z91" s="85">
        <f t="shared" si="50"/>
        <v>-818.62113479844345</v>
      </c>
      <c r="AA91" s="85">
        <f t="shared" si="51"/>
        <v>-1234.887884974501</v>
      </c>
      <c r="AB91" s="90">
        <f t="shared" si="52"/>
        <v>818.62113479844345</v>
      </c>
      <c r="AC91" s="86">
        <f t="shared" si="53"/>
        <v>6208.0900199999996</v>
      </c>
      <c r="AD91" s="85">
        <f t="shared" si="54"/>
        <v>3384.56104615708</v>
      </c>
      <c r="AE91" s="85">
        <f t="shared" si="55"/>
        <v>3501.7043642309382</v>
      </c>
      <c r="AF91" s="90">
        <f t="shared" si="56"/>
        <v>3384.56104615708</v>
      </c>
      <c r="AG91" s="86">
        <f t="shared" si="57"/>
        <v>14309.842360000001</v>
      </c>
      <c r="AH91" s="85">
        <f t="shared" si="58"/>
        <v>6139.2748628683721</v>
      </c>
      <c r="AI91" s="85">
        <f t="shared" si="59"/>
        <v>9834.4244150835693</v>
      </c>
      <c r="AJ91" s="90">
        <f t="shared" si="60"/>
        <v>6139.2748628683721</v>
      </c>
      <c r="AL91" s="95">
        <f t="shared" si="61"/>
        <v>0</v>
      </c>
      <c r="AM91" s="95">
        <f t="shared" si="62"/>
        <v>0</v>
      </c>
      <c r="AN91" s="95">
        <f t="shared" si="63"/>
        <v>0</v>
      </c>
      <c r="AO91" s="95">
        <f t="shared" si="64"/>
        <v>0</v>
      </c>
      <c r="AP91"/>
      <c r="AQ91" s="95">
        <f t="shared" si="65"/>
        <v>0</v>
      </c>
      <c r="AR91" s="95">
        <f t="shared" si="66"/>
        <v>0</v>
      </c>
      <c r="AS91" s="95">
        <f>Geraetedaten!$B$94*ABS(SIN(RADIANS($A91)))</f>
        <v>121.3536560554352</v>
      </c>
      <c r="AT91" s="95">
        <f>Geraetedaten!$B$94*ABS(COS(RADIANS($A91)))</f>
        <v>94.811867200151383</v>
      </c>
      <c r="AU91" s="95">
        <f>((h_Aw_Sw+Geraetedaten!$B$18)/1000)*(AQ91*AS91+AR91*AT91)/100</f>
        <v>0</v>
      </c>
    </row>
    <row r="92" spans="1:47" ht="13.5" x14ac:dyDescent="0.25">
      <c r="A92" s="16">
        <v>53</v>
      </c>
      <c r="B92" s="16">
        <f t="shared" si="34"/>
        <v>397</v>
      </c>
      <c r="C92" s="19">
        <f t="shared" si="35"/>
        <v>68.774227463967065</v>
      </c>
      <c r="D92" s="17">
        <f t="shared" si="36"/>
        <v>-6209.1960274639669</v>
      </c>
      <c r="E92" s="17">
        <f t="shared" si="37"/>
        <v>-13218.782127463968</v>
      </c>
      <c r="F92" s="17">
        <f t="shared" si="38"/>
        <v>6111.633722536033</v>
      </c>
      <c r="G92" s="17">
        <f t="shared" si="39"/>
        <v>14562.854592536032</v>
      </c>
      <c r="H92" s="17">
        <f t="shared" si="67"/>
        <v>6111.633722536033</v>
      </c>
      <c r="I92" s="17">
        <f t="shared" si="40"/>
        <v>3486.0901575784796</v>
      </c>
      <c r="J92" s="20">
        <f>(Geraetedaten!$B$152+(Geraetedaten!$B$153*(Geraetedaten!$B$18+d_y_Sw)/1000))*10</f>
        <v>6051.0442000000003</v>
      </c>
      <c r="K92" s="20">
        <f>(Geraetedaten!$B$165+(Geraetedaten!$B$166*(Geraetedaten!$B$18+d_y_Sw)/1000))*10</f>
        <v>10816.164000000001</v>
      </c>
      <c r="L92" s="20">
        <f>(Geraetedaten!$B$158+(Geraetedaten!$B$159*(Geraetedaten!$B$18+d_y_Sw)/1000)-(Geraetedaten!$B$160*I92/1000))*10</f>
        <v>345.90160874476987</v>
      </c>
      <c r="M92" s="20">
        <f>(Geraetedaten!$B$171+(Geraetedaten!$B$172*(Geraetedaten!$B$18+d_y_Sw)/1000)-(Geraetedaten!$B$173*I92/1000))*10</f>
        <v>805.36244866985885</v>
      </c>
      <c r="N92" s="20">
        <f>IF((H92-J92)/(K92-J92)*(Geraetedaten!$B$174-Geraetedaten!$B$161)&lt;Geraetedaten!$B$174,(H92-J92)/(K92-J92)*(Geraetedaten!$B$174-Geraetedaten!$B$161),Geraetedaten!$B$174)</f>
        <v>5.086085981387729</v>
      </c>
      <c r="O92" s="20">
        <f>N92/Geraetedaten!$B$174*(M92-L92)+L92+C92</f>
        <v>420.517979551086</v>
      </c>
      <c r="P92" s="20">
        <f t="shared" si="41"/>
        <v>165.72932819747746</v>
      </c>
      <c r="Q92" s="21">
        <f>(N92-Geraetedaten!$B$161)/(Geraetedaten!$B$174-Geraetedaten!$B$161)*(Geraetedaten!$B$175-Geraetedaten!$B$162)+Geraetedaten!$B$162</f>
        <v>29.351311057946283</v>
      </c>
      <c r="R92" s="21">
        <f t="shared" si="42"/>
        <v>29.351311057946283</v>
      </c>
      <c r="S92" s="21">
        <f t="shared" si="43"/>
        <v>23.440999277319676</v>
      </c>
      <c r="T92" s="88">
        <f t="shared" si="44"/>
        <v>17.664059943880915</v>
      </c>
      <c r="U92" s="86">
        <f t="shared" si="45"/>
        <v>-6140.4218000000001</v>
      </c>
      <c r="V92" s="85">
        <f t="shared" si="46"/>
        <v>-1346.4914747781525</v>
      </c>
      <c r="W92" s="85">
        <f t="shared" si="47"/>
        <v>-1381.9138071371126</v>
      </c>
      <c r="X92" s="90">
        <f t="shared" si="48"/>
        <v>1346.4914747781525</v>
      </c>
      <c r="Y92" s="86">
        <f t="shared" si="49"/>
        <v>-13150.007900000001</v>
      </c>
      <c r="Z92" s="85">
        <f t="shared" si="50"/>
        <v>-818.62113479844345</v>
      </c>
      <c r="AA92" s="85">
        <f t="shared" si="51"/>
        <v>-1259.9138157299037</v>
      </c>
      <c r="AB92" s="90">
        <f t="shared" si="52"/>
        <v>818.62113479844345</v>
      </c>
      <c r="AC92" s="86">
        <f t="shared" si="53"/>
        <v>6180.4079499999998</v>
      </c>
      <c r="AD92" s="85">
        <f t="shared" si="54"/>
        <v>3384.56104615708</v>
      </c>
      <c r="AE92" s="85">
        <f t="shared" si="55"/>
        <v>3486.0901575784796</v>
      </c>
      <c r="AF92" s="90">
        <f t="shared" si="56"/>
        <v>3384.56104615708</v>
      </c>
      <c r="AG92" s="86">
        <f t="shared" si="57"/>
        <v>14631.62882</v>
      </c>
      <c r="AH92" s="85">
        <f t="shared" si="58"/>
        <v>6139.2748628683721</v>
      </c>
      <c r="AI92" s="85">
        <f t="shared" si="59"/>
        <v>10055.571825256522</v>
      </c>
      <c r="AJ92" s="90">
        <f t="shared" si="60"/>
        <v>6139.2748628683721</v>
      </c>
      <c r="AL92" s="95">
        <f t="shared" si="61"/>
        <v>0</v>
      </c>
      <c r="AM92" s="95">
        <f t="shared" si="62"/>
        <v>0</v>
      </c>
      <c r="AN92" s="95">
        <f t="shared" si="63"/>
        <v>0</v>
      </c>
      <c r="AO92" s="95">
        <f t="shared" si="64"/>
        <v>0</v>
      </c>
      <c r="AP92"/>
      <c r="AQ92" s="95">
        <f t="shared" si="65"/>
        <v>0</v>
      </c>
      <c r="AR92" s="95">
        <f t="shared" si="66"/>
        <v>0</v>
      </c>
      <c r="AS92" s="95">
        <f>Geraetedaten!$B$94*ABS(SIN(RADIANS($A92)))</f>
        <v>122.98986854728309</v>
      </c>
      <c r="AT92" s="95">
        <f>Geraetedaten!$B$94*ABS(COS(RADIANS($A92)))</f>
        <v>92.679513565415448</v>
      </c>
      <c r="AU92" s="95">
        <f>((h_Aw_Sw+Geraetedaten!$B$18)/1000)*(AQ92*AS92+AR92*AT92)/100</f>
        <v>0</v>
      </c>
    </row>
    <row r="93" spans="1:47" ht="13.5" x14ac:dyDescent="0.25">
      <c r="A93" s="16">
        <v>54</v>
      </c>
      <c r="B93" s="16">
        <f t="shared" si="34"/>
        <v>396</v>
      </c>
      <c r="C93" s="19">
        <f t="shared" si="35"/>
        <v>69.013803765000915</v>
      </c>
      <c r="D93" s="17">
        <f t="shared" si="36"/>
        <v>-6185.7203037650015</v>
      </c>
      <c r="E93" s="17">
        <f t="shared" si="37"/>
        <v>-13495.203263765001</v>
      </c>
      <c r="F93" s="17">
        <f t="shared" si="38"/>
        <v>6085.8243662349987</v>
      </c>
      <c r="G93" s="17">
        <f t="shared" si="39"/>
        <v>14903.872266234999</v>
      </c>
      <c r="H93" s="17">
        <f t="shared" si="67"/>
        <v>6085.8243662349987</v>
      </c>
      <c r="I93" s="17">
        <f t="shared" si="40"/>
        <v>3471.6673902278644</v>
      </c>
      <c r="J93" s="20">
        <f>(Geraetedaten!$B$152+(Geraetedaten!$B$153*(Geraetedaten!$B$18+d_y_Sw)/1000))*10</f>
        <v>6051.0442000000003</v>
      </c>
      <c r="K93" s="20">
        <f>(Geraetedaten!$B$165+(Geraetedaten!$B$166*(Geraetedaten!$B$18+d_y_Sw)/1000))*10</f>
        <v>10816.164000000001</v>
      </c>
      <c r="L93" s="20">
        <f>(Geraetedaten!$B$158+(Geraetedaten!$B$159*(Geraetedaten!$B$18+d_y_Sw)/1000)-(Geraetedaten!$B$160*I93/1000))*10</f>
        <v>346.95923027459054</v>
      </c>
      <c r="M93" s="20">
        <f>(Geraetedaten!$B$171+(Geraetedaten!$B$172*(Geraetedaten!$B$18+d_y_Sw)/1000)-(Geraetedaten!$B$173*I93/1000))*10</f>
        <v>806.43607947143869</v>
      </c>
      <c r="N93" s="20">
        <f>IF((H93-J93)/(K93-J93)*(Geraetedaten!$B$174-Geraetedaten!$B$161)&lt;Geraetedaten!$B$174,(H93-J93)/(K93-J93)*(Geraetedaten!$B$174-Geraetedaten!$B$161),Geraetedaten!$B$174)</f>
        <v>2.9195627975605927</v>
      </c>
      <c r="O93" s="20">
        <f>N93/Geraetedaten!$B$174*(M93-L93)+L93+C93</f>
        <v>419.32671282773015</v>
      </c>
      <c r="P93" s="20">
        <f t="shared" si="41"/>
        <v>165.58012385565627</v>
      </c>
      <c r="Q93" s="21">
        <f>(N93-Geraetedaten!$B$161)/(Geraetedaten!$B$174-Geraetedaten!$B$161)*(Geraetedaten!$B$175-Geraetedaten!$B$162)+Geraetedaten!$B$162</f>
        <v>29.286856993227428</v>
      </c>
      <c r="R93" s="21">
        <f t="shared" si="42"/>
        <v>29.286856993227428</v>
      </c>
      <c r="S93" s="21">
        <f t="shared" si="43"/>
        <v>23.693565019349766</v>
      </c>
      <c r="T93" s="88">
        <f t="shared" si="44"/>
        <v>17.214382626617766</v>
      </c>
      <c r="U93" s="86">
        <f t="shared" si="45"/>
        <v>-6116.7065000000002</v>
      </c>
      <c r="V93" s="85">
        <f t="shared" si="46"/>
        <v>-1346.4914747781525</v>
      </c>
      <c r="W93" s="85">
        <f t="shared" si="47"/>
        <v>-1376.5766330351398</v>
      </c>
      <c r="X93" s="90">
        <f t="shared" si="48"/>
        <v>1346.4914747781525</v>
      </c>
      <c r="Y93" s="86">
        <f t="shared" si="49"/>
        <v>-13426.18946</v>
      </c>
      <c r="Z93" s="85">
        <f t="shared" si="50"/>
        <v>-818.62113479844345</v>
      </c>
      <c r="AA93" s="85">
        <f t="shared" si="51"/>
        <v>-1286.3750141304267</v>
      </c>
      <c r="AB93" s="90">
        <f t="shared" si="52"/>
        <v>818.62113479844345</v>
      </c>
      <c r="AC93" s="86">
        <f t="shared" si="53"/>
        <v>6154.83817</v>
      </c>
      <c r="AD93" s="85">
        <f t="shared" si="54"/>
        <v>3384.56104615708</v>
      </c>
      <c r="AE93" s="85">
        <f t="shared" si="55"/>
        <v>3471.6673902278644</v>
      </c>
      <c r="AF93" s="90">
        <f t="shared" si="56"/>
        <v>3384.56104615708</v>
      </c>
      <c r="AG93" s="86">
        <f t="shared" si="57"/>
        <v>14972.88607</v>
      </c>
      <c r="AH93" s="85">
        <f t="shared" si="58"/>
        <v>6139.2748628683721</v>
      </c>
      <c r="AI93" s="85">
        <f t="shared" si="59"/>
        <v>10290.100521149059</v>
      </c>
      <c r="AJ93" s="90">
        <f t="shared" si="60"/>
        <v>6139.2748628683721</v>
      </c>
      <c r="AL93" s="95">
        <f t="shared" si="61"/>
        <v>0</v>
      </c>
      <c r="AM93" s="95">
        <f t="shared" si="62"/>
        <v>0</v>
      </c>
      <c r="AN93" s="95">
        <f t="shared" si="63"/>
        <v>0</v>
      </c>
      <c r="AO93" s="95">
        <f t="shared" si="64"/>
        <v>0</v>
      </c>
      <c r="AP93"/>
      <c r="AQ93" s="95">
        <f t="shared" si="65"/>
        <v>0</v>
      </c>
      <c r="AR93" s="95">
        <f t="shared" si="66"/>
        <v>0</v>
      </c>
      <c r="AS93" s="95">
        <f>Geraetedaten!$B$94*ABS(SIN(RADIANS($A93)))</f>
        <v>124.58861713374191</v>
      </c>
      <c r="AT93" s="95">
        <f>Geraetedaten!$B$94*ABS(COS(RADIANS($A93)))</f>
        <v>90.518928853040862</v>
      </c>
      <c r="AU93" s="95">
        <f>((h_Aw_Sw+Geraetedaten!$B$18)/1000)*(AQ93*AS93+AR93*AT93)/100</f>
        <v>0</v>
      </c>
    </row>
    <row r="94" spans="1:47" ht="13.5" x14ac:dyDescent="0.25">
      <c r="A94" s="16">
        <v>55</v>
      </c>
      <c r="B94" s="16">
        <f t="shared" si="34"/>
        <v>395</v>
      </c>
      <c r="C94" s="19">
        <f t="shared" si="35"/>
        <v>69.232357792856249</v>
      </c>
      <c r="D94" s="17">
        <f t="shared" si="36"/>
        <v>-6164.2554977928567</v>
      </c>
      <c r="E94" s="17">
        <f t="shared" si="37"/>
        <v>-13787.721637792856</v>
      </c>
      <c r="F94" s="17">
        <f t="shared" si="38"/>
        <v>6062.1066922071432</v>
      </c>
      <c r="G94" s="17">
        <f t="shared" si="39"/>
        <v>15265.992372207143</v>
      </c>
      <c r="H94" s="17">
        <f t="shared" si="67"/>
        <v>6062.1066922071432</v>
      </c>
      <c r="I94" s="17">
        <f t="shared" si="40"/>
        <v>3458.4125973731166</v>
      </c>
      <c r="J94" s="20">
        <f>(Geraetedaten!$B$152+(Geraetedaten!$B$153*(Geraetedaten!$B$18+d_y_Sw)/1000))*10</f>
        <v>6051.0442000000003</v>
      </c>
      <c r="K94" s="20">
        <f>(Geraetedaten!$B$165+(Geraetedaten!$B$166*(Geraetedaten!$B$18+d_y_Sw)/1000))*10</f>
        <v>10816.164000000001</v>
      </c>
      <c r="L94" s="20">
        <f>(Geraetedaten!$B$158+(Geraetedaten!$B$159*(Geraetedaten!$B$18+d_y_Sw)/1000)-(Geraetedaten!$B$160*I94/1000))*10</f>
        <v>347.93120423462909</v>
      </c>
      <c r="M94" s="20">
        <f>(Geraetedaten!$B$171+(Geraetedaten!$B$172*(Geraetedaten!$B$18+d_y_Sw)/1000)-(Geraetedaten!$B$173*I94/1000))*10</f>
        <v>807.42276625154602</v>
      </c>
      <c r="N94" s="20">
        <f>IF((H94-J94)/(K94-J94)*(Geraetedaten!$B$174-Geraetedaten!$B$161)&lt;Geraetedaten!$B$174,(H94-J94)/(K94-J94)*(Geraetedaten!$B$174-Geraetedaten!$B$161),Geraetedaten!$B$174)</f>
        <v>0.92862237857213104</v>
      </c>
      <c r="O94" s="20">
        <f>N94/Geraetedaten!$B$174*(M94-L94)+L94+C94</f>
        <v>418.23029739562025</v>
      </c>
      <c r="P94" s="20">
        <f t="shared" si="41"/>
        <v>165.44182516979939</v>
      </c>
      <c r="Q94" s="21">
        <f>(N94-Geraetedaten!$B$161)/(Geraetedaten!$B$174-Geraetedaten!$B$161)*(Geraetedaten!$B$175-Geraetedaten!$B$162)+Geraetedaten!$B$162</f>
        <v>29.22762651576252</v>
      </c>
      <c r="R94" s="21">
        <f t="shared" si="42"/>
        <v>29.22762651576252</v>
      </c>
      <c r="S94" s="21">
        <f t="shared" si="43"/>
        <v>23.941870010102011</v>
      </c>
      <c r="T94" s="88">
        <f t="shared" si="44"/>
        <v>16.764277859910411</v>
      </c>
      <c r="U94" s="86">
        <f t="shared" si="45"/>
        <v>-6095.0231400000002</v>
      </c>
      <c r="V94" s="85">
        <f t="shared" si="46"/>
        <v>-1346.4914747781525</v>
      </c>
      <c r="W94" s="85">
        <f t="shared" si="47"/>
        <v>-1371.6967509709255</v>
      </c>
      <c r="X94" s="90">
        <f t="shared" si="48"/>
        <v>1346.4914747781525</v>
      </c>
      <c r="Y94" s="86">
        <f t="shared" si="49"/>
        <v>-13718.48928</v>
      </c>
      <c r="Z94" s="85">
        <f t="shared" si="50"/>
        <v>-818.62113479844345</v>
      </c>
      <c r="AA94" s="85">
        <f t="shared" si="51"/>
        <v>-1314.3805163305437</v>
      </c>
      <c r="AB94" s="90">
        <f t="shared" si="52"/>
        <v>818.62113479844345</v>
      </c>
      <c r="AC94" s="86">
        <f t="shared" si="53"/>
        <v>6131.3390499999996</v>
      </c>
      <c r="AD94" s="85">
        <f t="shared" si="54"/>
        <v>3384.56104615708</v>
      </c>
      <c r="AE94" s="85">
        <f t="shared" si="55"/>
        <v>3458.4125973731166</v>
      </c>
      <c r="AF94" s="90">
        <f t="shared" si="56"/>
        <v>3384.56104615708</v>
      </c>
      <c r="AG94" s="86">
        <f t="shared" si="57"/>
        <v>15335.22473</v>
      </c>
      <c r="AH94" s="85">
        <f t="shared" si="58"/>
        <v>6139.2748628683721</v>
      </c>
      <c r="AI94" s="85">
        <f t="shared" si="59"/>
        <v>10539.11739230296</v>
      </c>
      <c r="AJ94" s="90">
        <f t="shared" si="60"/>
        <v>6139.2748628683721</v>
      </c>
      <c r="AL94" s="95">
        <f t="shared" si="61"/>
        <v>0</v>
      </c>
      <c r="AM94" s="95">
        <f t="shared" si="62"/>
        <v>0</v>
      </c>
      <c r="AN94" s="95">
        <f t="shared" si="63"/>
        <v>0</v>
      </c>
      <c r="AO94" s="95">
        <f t="shared" si="64"/>
        <v>0</v>
      </c>
      <c r="AP94"/>
      <c r="AQ94" s="95">
        <f t="shared" si="65"/>
        <v>0</v>
      </c>
      <c r="AR94" s="95">
        <f t="shared" si="66"/>
        <v>0</v>
      </c>
      <c r="AS94" s="95">
        <f>Geraetedaten!$B$94*ABS(SIN(RADIANS($A94)))</f>
        <v>126.14941482050473</v>
      </c>
      <c r="AT94" s="95">
        <f>Geraetedaten!$B$94*ABS(COS(RADIANS($A94)))</f>
        <v>88.330771198061115</v>
      </c>
      <c r="AU94" s="95">
        <f>((h_Aw_Sw+Geraetedaten!$B$18)/1000)*(AQ94*AS94+AR94*AT94)/100</f>
        <v>0</v>
      </c>
    </row>
    <row r="95" spans="1:47" ht="13.5" x14ac:dyDescent="0.25">
      <c r="A95" s="16">
        <v>56</v>
      </c>
      <c r="B95" s="16">
        <f t="shared" si="34"/>
        <v>394</v>
      </c>
      <c r="C95" s="19">
        <f t="shared" si="35"/>
        <v>69.429822973858947</v>
      </c>
      <c r="D95" s="17">
        <f t="shared" si="36"/>
        <v>-6144.7668629738591</v>
      </c>
      <c r="E95" s="17">
        <f t="shared" si="37"/>
        <v>-14097.597622973859</v>
      </c>
      <c r="F95" s="17">
        <f t="shared" si="38"/>
        <v>6040.442917026141</v>
      </c>
      <c r="G95" s="17">
        <f t="shared" si="39"/>
        <v>15651.012777026141</v>
      </c>
      <c r="H95" s="17">
        <f t="shared" si="67"/>
        <v>6040.442917026141</v>
      </c>
      <c r="I95" s="17">
        <f t="shared" si="40"/>
        <v>3446.304417814958</v>
      </c>
      <c r="J95" s="20">
        <f>(Geraetedaten!$B$152+(Geraetedaten!$B$153*(Geraetedaten!$B$18+d_y_Sw)/1000))*10</f>
        <v>6051.0442000000003</v>
      </c>
      <c r="K95" s="20">
        <f>(Geraetedaten!$B$165+(Geraetedaten!$B$166*(Geraetedaten!$B$18+d_y_Sw)/1000))*10</f>
        <v>10816.164000000001</v>
      </c>
      <c r="L95" s="20">
        <f>(Geraetedaten!$B$158+(Geraetedaten!$B$159*(Geraetedaten!$B$18+d_y_Sw)/1000)-(Geraetedaten!$B$160*I95/1000))*10</f>
        <v>348.81909704162894</v>
      </c>
      <c r="M95" s="20">
        <f>(Geraetedaten!$B$171+(Geraetedaten!$B$172*(Geraetedaten!$B$18+d_y_Sw)/1000)-(Geraetedaten!$B$173*I95/1000))*10</f>
        <v>808.32409913785546</v>
      </c>
      <c r="N95" s="20">
        <f>IF((H95-J95)/(K95-J95)*(Geraetedaten!$B$174-Geraetedaten!$B$161)&lt;Geraetedaten!$B$174,(H95-J95)/(K95-J95)*(Geraetedaten!$B$174-Geraetedaten!$B$161),Geraetedaten!$B$174)</f>
        <v>-0.88990694201302301</v>
      </c>
      <c r="O95" s="20">
        <f>N95/Geraetedaten!$B$174*(M95-L95)+L95+C95</f>
        <v>417.22662828735002</v>
      </c>
      <c r="P95" s="20">
        <f t="shared" si="41"/>
        <v>165.31419102372513</v>
      </c>
      <c r="Q95" s="21">
        <f>(N95-Geraetedaten!$B$161)/(Geraetedaten!$B$174-Geraetedaten!$B$161)*(Geraetedaten!$B$175-Geraetedaten!$B$162)+Geraetedaten!$B$162</f>
        <v>29.17352526847511</v>
      </c>
      <c r="R95" s="21">
        <f t="shared" si="42"/>
        <v>29.17352526847511</v>
      </c>
      <c r="S95" s="21">
        <f t="shared" si="43"/>
        <v>24.185948571449778</v>
      </c>
      <c r="T95" s="88">
        <f t="shared" si="44"/>
        <v>16.313628299355795</v>
      </c>
      <c r="U95" s="86">
        <f t="shared" si="45"/>
        <v>-6075.3370400000003</v>
      </c>
      <c r="V95" s="85">
        <f t="shared" si="46"/>
        <v>-1346.4914747781525</v>
      </c>
      <c r="W95" s="85">
        <f t="shared" si="47"/>
        <v>-1367.2663558610245</v>
      </c>
      <c r="X95" s="90">
        <f t="shared" si="48"/>
        <v>1346.4914747781525</v>
      </c>
      <c r="Y95" s="86">
        <f t="shared" si="49"/>
        <v>-14028.167799999999</v>
      </c>
      <c r="Z95" s="85">
        <f t="shared" si="50"/>
        <v>-818.62113479844345</v>
      </c>
      <c r="AA95" s="85">
        <f t="shared" si="51"/>
        <v>-1344.0510877683878</v>
      </c>
      <c r="AB95" s="90">
        <f t="shared" si="52"/>
        <v>818.62113479844345</v>
      </c>
      <c r="AC95" s="86">
        <f t="shared" si="53"/>
        <v>6109.8727399999998</v>
      </c>
      <c r="AD95" s="85">
        <f t="shared" si="54"/>
        <v>3384.56104615708</v>
      </c>
      <c r="AE95" s="85">
        <f t="shared" si="55"/>
        <v>3446.304417814958</v>
      </c>
      <c r="AF95" s="90">
        <f t="shared" si="56"/>
        <v>3384.56104615708</v>
      </c>
      <c r="AG95" s="86">
        <f t="shared" si="57"/>
        <v>15720.4426</v>
      </c>
      <c r="AH95" s="85">
        <f t="shared" si="58"/>
        <v>6139.2748628683721</v>
      </c>
      <c r="AI95" s="85">
        <f t="shared" si="59"/>
        <v>10803.857975845111</v>
      </c>
      <c r="AJ95" s="90">
        <f t="shared" si="60"/>
        <v>6139.2748628683721</v>
      </c>
      <c r="AL95" s="95">
        <f t="shared" si="61"/>
        <v>0</v>
      </c>
      <c r="AM95" s="95">
        <f t="shared" si="62"/>
        <v>0</v>
      </c>
      <c r="AN95" s="95">
        <f t="shared" si="63"/>
        <v>0</v>
      </c>
      <c r="AO95" s="95">
        <f t="shared" si="64"/>
        <v>0</v>
      </c>
      <c r="AP95"/>
      <c r="AQ95" s="95">
        <f t="shared" si="65"/>
        <v>0</v>
      </c>
      <c r="AR95" s="95">
        <f t="shared" si="66"/>
        <v>0</v>
      </c>
      <c r="AS95" s="95">
        <f>Geraetedaten!$B$94*ABS(SIN(RADIANS($A95)))</f>
        <v>127.67178617347643</v>
      </c>
      <c r="AT95" s="95">
        <f>Geraetedaten!$B$94*ABS(COS(RADIANS($A95)))</f>
        <v>86.115707134495011</v>
      </c>
      <c r="AU95" s="95">
        <f>((h_Aw_Sw+Geraetedaten!$B$18)/1000)*(AQ95*AS95+AR95*AT95)/100</f>
        <v>0</v>
      </c>
    </row>
    <row r="96" spans="1:47" ht="13.5" x14ac:dyDescent="0.25">
      <c r="A96" s="16">
        <v>57</v>
      </c>
      <c r="B96" s="16">
        <f t="shared" si="34"/>
        <v>393</v>
      </c>
      <c r="C96" s="19">
        <f t="shared" si="35"/>
        <v>69.606139158202012</v>
      </c>
      <c r="D96" s="17">
        <f t="shared" si="36"/>
        <v>-6127.2231091582016</v>
      </c>
      <c r="E96" s="17">
        <f t="shared" si="37"/>
        <v>-14426.230769158203</v>
      </c>
      <c r="F96" s="17">
        <f t="shared" si="38"/>
        <v>6020.7988008417988</v>
      </c>
      <c r="G96" s="17">
        <f t="shared" si="39"/>
        <v>16060.946330841798</v>
      </c>
      <c r="H96" s="17">
        <f t="shared" si="67"/>
        <v>6020.7988008417988</v>
      </c>
      <c r="I96" s="17">
        <f t="shared" si="40"/>
        <v>3435.3235078281828</v>
      </c>
      <c r="J96" s="20">
        <f>(Geraetedaten!$B$152+(Geraetedaten!$B$153*(Geraetedaten!$B$18+d_y_Sw)/1000))*10</f>
        <v>6051.0442000000003</v>
      </c>
      <c r="K96" s="20">
        <f>(Geraetedaten!$B$165+(Geraetedaten!$B$166*(Geraetedaten!$B$18+d_y_Sw)/1000))*10</f>
        <v>10816.164000000001</v>
      </c>
      <c r="L96" s="20">
        <f>(Geraetedaten!$B$158+(Geraetedaten!$B$159*(Geraetedaten!$B$18+d_y_Sw)/1000)-(Geraetedaten!$B$160*I96/1000))*10</f>
        <v>349.62432717095913</v>
      </c>
      <c r="M96" s="20">
        <f>(Geraetedaten!$B$171+(Geraetedaten!$B$172*(Geraetedaten!$B$18+d_y_Sw)/1000)-(Geraetedaten!$B$173*I96/1000))*10</f>
        <v>809.14151807727092</v>
      </c>
      <c r="N96" s="20">
        <f>IF((H96-J96)/(K96-J96)*(Geraetedaten!$B$174-Geraetedaten!$B$161)&lt;Geraetedaten!$B$174,(H96-J96)/(K96-J96)*(Geraetedaten!$B$174-Geraetedaten!$B$161),Geraetedaten!$B$174)</f>
        <v>-2.5388993710673553</v>
      </c>
      <c r="O96" s="20">
        <f>N96/Geraetedaten!$B$174*(M96-L96)+L96+C96</f>
        <v>416.31379656169452</v>
      </c>
      <c r="P96" s="20">
        <f t="shared" si="41"/>
        <v>165.19700106853563</v>
      </c>
      <c r="Q96" s="21">
        <f>(N96-Geraetedaten!$B$161)/(Geraetedaten!$B$174-Geraetedaten!$B$161)*(Geraetedaten!$B$175-Geraetedaten!$B$162)+Geraetedaten!$B$162</f>
        <v>29.124467743710746</v>
      </c>
      <c r="R96" s="21">
        <f t="shared" si="42"/>
        <v>29.124467743710746</v>
      </c>
      <c r="S96" s="21">
        <f t="shared" si="43"/>
        <v>24.425833903726073</v>
      </c>
      <c r="T96" s="88">
        <f t="shared" si="44"/>
        <v>15.862322007260904</v>
      </c>
      <c r="U96" s="86">
        <f t="shared" si="45"/>
        <v>-6057.61697</v>
      </c>
      <c r="V96" s="85">
        <f t="shared" si="46"/>
        <v>-1346.4914747781525</v>
      </c>
      <c r="W96" s="85">
        <f t="shared" si="47"/>
        <v>-1363.2784186394415</v>
      </c>
      <c r="X96" s="90">
        <f t="shared" si="48"/>
        <v>1346.4914747781525</v>
      </c>
      <c r="Y96" s="86">
        <f t="shared" si="49"/>
        <v>-14356.62463</v>
      </c>
      <c r="Z96" s="85">
        <f t="shared" si="50"/>
        <v>-818.62113479844345</v>
      </c>
      <c r="AA96" s="85">
        <f t="shared" si="51"/>
        <v>-1375.5208256872334</v>
      </c>
      <c r="AB96" s="90">
        <f t="shared" si="52"/>
        <v>818.62113479844345</v>
      </c>
      <c r="AC96" s="86">
        <f t="shared" si="53"/>
        <v>6090.4049400000004</v>
      </c>
      <c r="AD96" s="85">
        <f t="shared" si="54"/>
        <v>3384.56104615708</v>
      </c>
      <c r="AE96" s="85">
        <f t="shared" si="55"/>
        <v>3435.3235078281828</v>
      </c>
      <c r="AF96" s="90">
        <f t="shared" si="56"/>
        <v>3384.56104615708</v>
      </c>
      <c r="AG96" s="86">
        <f t="shared" si="57"/>
        <v>16130.552470000001</v>
      </c>
      <c r="AH96" s="85">
        <f t="shared" si="58"/>
        <v>6139.2748628683721</v>
      </c>
      <c r="AI96" s="85">
        <f t="shared" si="59"/>
        <v>11085.705561421457</v>
      </c>
      <c r="AJ96" s="90">
        <f t="shared" si="60"/>
        <v>6139.2748628683721</v>
      </c>
      <c r="AL96" s="95">
        <f t="shared" si="61"/>
        <v>0</v>
      </c>
      <c r="AM96" s="95">
        <f t="shared" si="62"/>
        <v>0</v>
      </c>
      <c r="AN96" s="95">
        <f t="shared" si="63"/>
        <v>0</v>
      </c>
      <c r="AO96" s="95">
        <f t="shared" si="64"/>
        <v>0</v>
      </c>
      <c r="AP96"/>
      <c r="AQ96" s="95">
        <f t="shared" si="65"/>
        <v>0</v>
      </c>
      <c r="AR96" s="95">
        <f t="shared" si="66"/>
        <v>0</v>
      </c>
      <c r="AS96" s="95">
        <f>Geraetedaten!$B$94*ABS(SIN(RADIANS($A96)))</f>
        <v>129.15526746359529</v>
      </c>
      <c r="AT96" s="95">
        <f>Geraetedaten!$B$94*ABS(COS(RADIANS($A96)))</f>
        <v>83.874411392314173</v>
      </c>
      <c r="AU96" s="95">
        <f>((h_Aw_Sw+Geraetedaten!$B$18)/1000)*(AQ96*AS96+AR96*AT96)/100</f>
        <v>0</v>
      </c>
    </row>
    <row r="97" spans="1:47" ht="13.5" x14ac:dyDescent="0.25">
      <c r="A97" s="16">
        <v>58</v>
      </c>
      <c r="B97" s="16">
        <f t="shared" si="34"/>
        <v>392</v>
      </c>
      <c r="C97" s="19">
        <f t="shared" si="35"/>
        <v>69.761252638267678</v>
      </c>
      <c r="D97" s="17">
        <f t="shared" si="36"/>
        <v>-6111.596262638267</v>
      </c>
      <c r="E97" s="17">
        <f t="shared" si="37"/>
        <v>-14775.179332638267</v>
      </c>
      <c r="F97" s="17">
        <f t="shared" si="38"/>
        <v>6003.143547361733</v>
      </c>
      <c r="G97" s="17">
        <f t="shared" si="39"/>
        <v>16498.053787361732</v>
      </c>
      <c r="H97" s="17">
        <f t="shared" si="67"/>
        <v>6003.143547361733</v>
      </c>
      <c r="I97" s="17">
        <f t="shared" si="40"/>
        <v>3425.4524641239345</v>
      </c>
      <c r="J97" s="20">
        <f>(Geraetedaten!$B$152+(Geraetedaten!$B$153*(Geraetedaten!$B$18+d_y_Sw)/1000))*10</f>
        <v>6051.0442000000003</v>
      </c>
      <c r="K97" s="20">
        <f>(Geraetedaten!$B$165+(Geraetedaten!$B$166*(Geraetedaten!$B$18+d_y_Sw)/1000))*10</f>
        <v>10816.164000000001</v>
      </c>
      <c r="L97" s="20">
        <f>(Geraetedaten!$B$158+(Geraetedaten!$B$159*(Geraetedaten!$B$18+d_y_Sw)/1000)-(Geraetedaten!$B$160*I97/1000))*10</f>
        <v>350.34817080579165</v>
      </c>
      <c r="M97" s="20">
        <f>(Geraetedaten!$B$171+(Geraetedaten!$B$172*(Geraetedaten!$B$18+d_y_Sw)/1000)-(Geraetedaten!$B$173*I97/1000))*10</f>
        <v>809.87631857061524</v>
      </c>
      <c r="N97" s="20">
        <f>IF((H97-J97)/(K97-J97)*(Geraetedaten!$B$174-Geraetedaten!$B$161)&lt;Geraetedaten!$B$174,(H97-J97)/(K97-J97)*(Geraetedaten!$B$174-Geraetedaten!$B$161),Geraetedaten!$B$174)</f>
        <v>-4.0209400517709772</v>
      </c>
      <c r="O97" s="20">
        <f>N97/Geraetedaten!$B$174*(M97-L97)+L97+C97</f>
        <v>415.49008560840002</v>
      </c>
      <c r="P97" s="20">
        <f t="shared" si="41"/>
        <v>165.09005631784214</v>
      </c>
      <c r="Q97" s="21">
        <f>(N97-Geraetedaten!$B$161)/(Geraetedaten!$B$174-Geraetedaten!$B$161)*(Geraetedaten!$B$175-Geraetedaten!$B$162)+Geraetedaten!$B$162</f>
        <v>29.080377033459811</v>
      </c>
      <c r="R97" s="21">
        <f t="shared" si="42"/>
        <v>29.080377033459811</v>
      </c>
      <c r="S97" s="21">
        <f t="shared" si="43"/>
        <v>24.661558378736647</v>
      </c>
      <c r="T97" s="88">
        <f t="shared" si="44"/>
        <v>15.410252001195213</v>
      </c>
      <c r="U97" s="86">
        <f t="shared" si="45"/>
        <v>-6041.8350099999998</v>
      </c>
      <c r="V97" s="85">
        <f t="shared" si="46"/>
        <v>-1346.4914747781525</v>
      </c>
      <c r="W97" s="85">
        <f t="shared" si="47"/>
        <v>-1359.7266585385796</v>
      </c>
      <c r="X97" s="90">
        <f t="shared" si="48"/>
        <v>1346.4914747781525</v>
      </c>
      <c r="Y97" s="86">
        <f t="shared" si="49"/>
        <v>-14705.418079999999</v>
      </c>
      <c r="Z97" s="85">
        <f t="shared" si="50"/>
        <v>-818.62113479844345</v>
      </c>
      <c r="AA97" s="85">
        <f t="shared" si="51"/>
        <v>-1408.9390324927881</v>
      </c>
      <c r="AB97" s="90">
        <f t="shared" si="52"/>
        <v>818.62113479844345</v>
      </c>
      <c r="AC97" s="86">
        <f t="shared" si="53"/>
        <v>6072.9048000000003</v>
      </c>
      <c r="AD97" s="85">
        <f t="shared" si="54"/>
        <v>3384.56104615708</v>
      </c>
      <c r="AE97" s="85">
        <f t="shared" si="55"/>
        <v>3425.4524641239345</v>
      </c>
      <c r="AF97" s="90">
        <f t="shared" si="56"/>
        <v>3384.56104615708</v>
      </c>
      <c r="AG97" s="86">
        <f t="shared" si="57"/>
        <v>16567.815040000001</v>
      </c>
      <c r="AH97" s="85">
        <f t="shared" si="58"/>
        <v>6139.2748628683721</v>
      </c>
      <c r="AI97" s="85">
        <f t="shared" si="59"/>
        <v>11386.213810465917</v>
      </c>
      <c r="AJ97" s="90">
        <f t="shared" si="60"/>
        <v>6139.2748628683721</v>
      </c>
      <c r="AL97" s="95">
        <f t="shared" si="61"/>
        <v>0</v>
      </c>
      <c r="AM97" s="95">
        <f t="shared" si="62"/>
        <v>0</v>
      </c>
      <c r="AN97" s="95">
        <f t="shared" si="63"/>
        <v>0</v>
      </c>
      <c r="AO97" s="95">
        <f t="shared" si="64"/>
        <v>0</v>
      </c>
      <c r="AP97"/>
      <c r="AQ97" s="95">
        <f t="shared" si="65"/>
        <v>0</v>
      </c>
      <c r="AR97" s="95">
        <f t="shared" si="66"/>
        <v>0</v>
      </c>
      <c r="AS97" s="95">
        <f>Geraetedaten!$B$94*ABS(SIN(RADIANS($A97)))</f>
        <v>130.59940680808961</v>
      </c>
      <c r="AT97" s="95">
        <f>Geraetedaten!$B$94*ABS(COS(RADIANS($A97)))</f>
        <v>81.607566691913561</v>
      </c>
      <c r="AU97" s="95">
        <f>((h_Aw_Sw+Geraetedaten!$B$18)/1000)*(AQ97*AS97+AR97*AT97)/100</f>
        <v>0</v>
      </c>
    </row>
    <row r="98" spans="1:47" ht="13.5" x14ac:dyDescent="0.25">
      <c r="A98" s="16">
        <v>59</v>
      </c>
      <c r="B98" s="16">
        <f t="shared" si="34"/>
        <v>391</v>
      </c>
      <c r="C98" s="19">
        <f t="shared" si="35"/>
        <v>69.895116164987314</v>
      </c>
      <c r="D98" s="17">
        <f t="shared" si="36"/>
        <v>-6097.8615961649875</v>
      </c>
      <c r="E98" s="17">
        <f t="shared" si="37"/>
        <v>-15146.183216164987</v>
      </c>
      <c r="F98" s="17">
        <f t="shared" si="38"/>
        <v>5987.4496638350129</v>
      </c>
      <c r="G98" s="17">
        <f t="shared" si="39"/>
        <v>16964.882943835015</v>
      </c>
      <c r="H98" s="17">
        <f t="shared" si="67"/>
        <v>5987.4496638350129</v>
      </c>
      <c r="I98" s="17">
        <f t="shared" si="40"/>
        <v>3416.6757553242041</v>
      </c>
      <c r="J98" s="20">
        <f>(Geraetedaten!$B$152+(Geraetedaten!$B$153*(Geraetedaten!$B$18+d_y_Sw)/1000))*10</f>
        <v>6051.0442000000003</v>
      </c>
      <c r="K98" s="20">
        <f>(Geraetedaten!$B$165+(Geraetedaten!$B$166*(Geraetedaten!$B$18+d_y_Sw)/1000))*10</f>
        <v>10816.164000000001</v>
      </c>
      <c r="L98" s="20">
        <f>(Geraetedaten!$B$158+(Geraetedaten!$B$159*(Geraetedaten!$B$18+d_y_Sw)/1000)-(Geraetedaten!$B$160*I98/1000))*10</f>
        <v>350.99176686207585</v>
      </c>
      <c r="M98" s="20">
        <f>(Geraetedaten!$B$171+(Geraetedaten!$B$172*(Geraetedaten!$B$18+d_y_Sw)/1000)-(Geraetedaten!$B$173*I98/1000))*10</f>
        <v>810.52965677366717</v>
      </c>
      <c r="N98" s="20">
        <f>IF((H98-J98)/(K98-J98)*(Geraetedaten!$B$174-Geraetedaten!$B$161)&lt;Geraetedaten!$B$174,(H98-J98)/(K98-J98)*(Geraetedaten!$B$174-Geraetedaten!$B$161),Geraetedaten!$B$174)</f>
        <v>-5.3383368170502159</v>
      </c>
      <c r="O98" s="20">
        <f>N98/Geraetedaten!$B$174*(M98-L98)+L98+C98</f>
        <v>414.75396293570162</v>
      </c>
      <c r="P98" s="20">
        <f t="shared" si="41"/>
        <v>164.99317854452386</v>
      </c>
      <c r="Q98" s="21">
        <f>(N98-Geraetedaten!$B$161)/(Geraetedaten!$B$174-Geraetedaten!$B$161)*(Geraetedaten!$B$175-Geraetedaten!$B$162)+Geraetedaten!$B$162</f>
        <v>29.041184479692756</v>
      </c>
      <c r="R98" s="21">
        <f t="shared" si="42"/>
        <v>29.041184479692756</v>
      </c>
      <c r="S98" s="21">
        <f t="shared" si="43"/>
        <v>24.893153709650317</v>
      </c>
      <c r="T98" s="88">
        <f t="shared" si="44"/>
        <v>14.9573157475287</v>
      </c>
      <c r="U98" s="86">
        <f t="shared" si="45"/>
        <v>-6027.96648</v>
      </c>
      <c r="V98" s="85">
        <f t="shared" si="46"/>
        <v>-1346.4914747781525</v>
      </c>
      <c r="W98" s="85">
        <f t="shared" si="47"/>
        <v>-1356.605518579978</v>
      </c>
      <c r="X98" s="90">
        <f t="shared" si="48"/>
        <v>1346.4914747781525</v>
      </c>
      <c r="Y98" s="86">
        <f t="shared" si="49"/>
        <v>-15076.2881</v>
      </c>
      <c r="Z98" s="85">
        <f t="shared" si="50"/>
        <v>-818.62113479844345</v>
      </c>
      <c r="AA98" s="85">
        <f t="shared" si="51"/>
        <v>-1444.4724148558062</v>
      </c>
      <c r="AB98" s="90">
        <f t="shared" si="52"/>
        <v>818.62113479844345</v>
      </c>
      <c r="AC98" s="86">
        <f t="shared" si="53"/>
        <v>6057.3447800000004</v>
      </c>
      <c r="AD98" s="85">
        <f t="shared" si="54"/>
        <v>3384.56104615708</v>
      </c>
      <c r="AE98" s="85">
        <f t="shared" si="55"/>
        <v>3416.6757553242041</v>
      </c>
      <c r="AF98" s="90">
        <f t="shared" si="56"/>
        <v>3384.56104615708</v>
      </c>
      <c r="AG98" s="86">
        <f t="shared" si="57"/>
        <v>17034.778060000001</v>
      </c>
      <c r="AH98" s="85">
        <f t="shared" si="58"/>
        <v>6139.2748628683721</v>
      </c>
      <c r="AI98" s="85">
        <f t="shared" si="59"/>
        <v>11707.133667553107</v>
      </c>
      <c r="AJ98" s="90">
        <f t="shared" si="60"/>
        <v>6139.2748628683721</v>
      </c>
      <c r="AL98" s="95">
        <f t="shared" si="61"/>
        <v>0</v>
      </c>
      <c r="AM98" s="95">
        <f t="shared" si="62"/>
        <v>0</v>
      </c>
      <c r="AN98" s="95">
        <f t="shared" si="63"/>
        <v>0</v>
      </c>
      <c r="AO98" s="95">
        <f t="shared" si="64"/>
        <v>0</v>
      </c>
      <c r="AP98"/>
      <c r="AQ98" s="95">
        <f t="shared" si="65"/>
        <v>0</v>
      </c>
      <c r="AR98" s="95">
        <f t="shared" si="66"/>
        <v>0</v>
      </c>
      <c r="AS98" s="95">
        <f>Geraetedaten!$B$94*ABS(SIN(RADIANS($A98)))</f>
        <v>132.00376430812531</v>
      </c>
      <c r="AT98" s="95">
        <f>Geraetedaten!$B$94*ABS(COS(RADIANS($A98)))</f>
        <v>79.315863536148342</v>
      </c>
      <c r="AU98" s="95">
        <f>((h_Aw_Sw+Geraetedaten!$B$18)/1000)*(AQ98*AS98+AR98*AT98)/100</f>
        <v>0</v>
      </c>
    </row>
    <row r="99" spans="1:47" ht="13.5" x14ac:dyDescent="0.25">
      <c r="A99" s="16">
        <v>60</v>
      </c>
      <c r="B99" s="16">
        <f t="shared" si="34"/>
        <v>390</v>
      </c>
      <c r="C99" s="19">
        <f t="shared" si="35"/>
        <v>70.007688962233885</v>
      </c>
      <c r="D99" s="17">
        <f t="shared" si="36"/>
        <v>-6085.9974889622345</v>
      </c>
      <c r="E99" s="17">
        <f t="shared" si="37"/>
        <v>-15541.191048962235</v>
      </c>
      <c r="F99" s="17">
        <f t="shared" si="38"/>
        <v>5973.6928610377654</v>
      </c>
      <c r="G99" s="17">
        <f t="shared" si="39"/>
        <v>17464.315501037767</v>
      </c>
      <c r="H99" s="17">
        <f t="shared" si="67"/>
        <v>5973.6928610377654</v>
      </c>
      <c r="I99" s="17">
        <f t="shared" si="40"/>
        <v>3408.9796614376287</v>
      </c>
      <c r="J99" s="20">
        <f>(Geraetedaten!$B$152+(Geraetedaten!$B$153*(Geraetedaten!$B$18+d_y_Sw)/1000))*10</f>
        <v>6051.0442000000003</v>
      </c>
      <c r="K99" s="20">
        <f>(Geraetedaten!$B$165+(Geraetedaten!$B$166*(Geraetedaten!$B$18+d_y_Sw)/1000))*10</f>
        <v>10816.164000000001</v>
      </c>
      <c r="L99" s="20">
        <f>(Geraetedaten!$B$158+(Geraetedaten!$B$159*(Geraetedaten!$B$18+d_y_Sw)/1000)-(Geraetedaten!$B$160*I99/1000))*10</f>
        <v>351.55612142677847</v>
      </c>
      <c r="M99" s="20">
        <f>(Geraetedaten!$B$171+(Geraetedaten!$B$172*(Geraetedaten!$B$18+d_y_Sw)/1000)-(Geraetedaten!$B$173*I99/1000))*10</f>
        <v>811.10255400258382</v>
      </c>
      <c r="N99" s="20">
        <f>IF((H99-J99)/(K99-J99)*(Geraetedaten!$B$174-Geraetedaten!$B$161)&lt;Geraetedaten!$B$174,(H99-J99)/(K99-J99)*(Geraetedaten!$B$174-Geraetedaten!$B$161),Geraetedaten!$B$174)</f>
        <v>-6.4931285851184573</v>
      </c>
      <c r="O99" s="20">
        <f>N99/Geraetedaten!$B$174*(M99-L99)+L99+C99</f>
        <v>414.10407519514445</v>
      </c>
      <c r="P99" s="20">
        <f t="shared" si="41"/>
        <v>164.90621026853739</v>
      </c>
      <c r="Q99" s="21">
        <f>(N99-Geraetedaten!$B$161)/(Geraetedaten!$B$174-Geraetedaten!$B$161)*(Geraetedaten!$B$175-Geraetedaten!$B$162)+Geraetedaten!$B$162</f>
        <v>29.006829424592723</v>
      </c>
      <c r="R99" s="21">
        <f t="shared" si="42"/>
        <v>29.006829424592723</v>
      </c>
      <c r="S99" s="21">
        <f t="shared" si="43"/>
        <v>25.120651164939247</v>
      </c>
      <c r="T99" s="88">
        <f t="shared" si="44"/>
        <v>14.503414712296365</v>
      </c>
      <c r="U99" s="86">
        <f t="shared" si="45"/>
        <v>-6015.9898000000003</v>
      </c>
      <c r="V99" s="85">
        <f t="shared" si="46"/>
        <v>-1346.4914747781525</v>
      </c>
      <c r="W99" s="85">
        <f t="shared" si="47"/>
        <v>-1353.9101440941861</v>
      </c>
      <c r="X99" s="90">
        <f t="shared" si="48"/>
        <v>1346.4914747781525</v>
      </c>
      <c r="Y99" s="86">
        <f t="shared" si="49"/>
        <v>-15471.183360000001</v>
      </c>
      <c r="Z99" s="85">
        <f t="shared" si="50"/>
        <v>-818.62113479844345</v>
      </c>
      <c r="AA99" s="85">
        <f t="shared" si="51"/>
        <v>-1482.3076765739538</v>
      </c>
      <c r="AB99" s="90">
        <f t="shared" si="52"/>
        <v>818.62113479844345</v>
      </c>
      <c r="AC99" s="86">
        <f t="shared" si="53"/>
        <v>6043.7005499999996</v>
      </c>
      <c r="AD99" s="85">
        <f t="shared" si="54"/>
        <v>3384.56104615708</v>
      </c>
      <c r="AE99" s="85">
        <f t="shared" si="55"/>
        <v>3408.9796614376287</v>
      </c>
      <c r="AF99" s="90">
        <f t="shared" si="56"/>
        <v>3384.56104615708</v>
      </c>
      <c r="AG99" s="86">
        <f t="shared" si="57"/>
        <v>17534.323189999999</v>
      </c>
      <c r="AH99" s="85">
        <f t="shared" si="58"/>
        <v>6139.2748628683721</v>
      </c>
      <c r="AI99" s="85">
        <f t="shared" si="59"/>
        <v>12050.445544732611</v>
      </c>
      <c r="AJ99" s="90">
        <f t="shared" si="60"/>
        <v>6139.2748628683721</v>
      </c>
      <c r="AL99" s="95">
        <f t="shared" si="61"/>
        <v>0</v>
      </c>
      <c r="AM99" s="95">
        <f t="shared" si="62"/>
        <v>0</v>
      </c>
      <c r="AN99" s="95">
        <f t="shared" si="63"/>
        <v>0</v>
      </c>
      <c r="AO99" s="95">
        <f t="shared" si="64"/>
        <v>0</v>
      </c>
      <c r="AP99"/>
      <c r="AQ99" s="95">
        <f t="shared" si="65"/>
        <v>0</v>
      </c>
      <c r="AR99" s="95">
        <f t="shared" si="66"/>
        <v>0</v>
      </c>
      <c r="AS99" s="95">
        <f>Geraetedaten!$B$94*ABS(SIN(RADIANS($A99)))</f>
        <v>133.36791218280354</v>
      </c>
      <c r="AT99" s="95">
        <f>Geraetedaten!$B$94*ABS(COS(RADIANS($A99)))</f>
        <v>77.000000000000014</v>
      </c>
      <c r="AU99" s="95">
        <f>((h_Aw_Sw+Geraetedaten!$B$18)/1000)*(AQ99*AS99+AR99*AT99)/100</f>
        <v>0</v>
      </c>
    </row>
    <row r="100" spans="1:47" ht="13.5" x14ac:dyDescent="0.25">
      <c r="A100" s="16">
        <v>61</v>
      </c>
      <c r="B100" s="16">
        <f t="shared" si="34"/>
        <v>389</v>
      </c>
      <c r="C100" s="19">
        <f t="shared" si="35"/>
        <v>70.098936739242845</v>
      </c>
      <c r="D100" s="17">
        <f t="shared" si="36"/>
        <v>-6075.9853767392433</v>
      </c>
      <c r="E100" s="17">
        <f t="shared" si="37"/>
        <v>-15962.392236739242</v>
      </c>
      <c r="F100" s="17">
        <f t="shared" si="38"/>
        <v>5961.8519832607572</v>
      </c>
      <c r="G100" s="17">
        <f t="shared" si="39"/>
        <v>17999.623353260758</v>
      </c>
      <c r="H100" s="17">
        <f t="shared" si="67"/>
        <v>5961.8519832607572</v>
      </c>
      <c r="I100" s="17">
        <f t="shared" si="40"/>
        <v>3402.3522208912677</v>
      </c>
      <c r="J100" s="20">
        <f>(Geraetedaten!$B$152+(Geraetedaten!$B$153*(Geraetedaten!$B$18+d_y_Sw)/1000))*10</f>
        <v>6051.0442000000003</v>
      </c>
      <c r="K100" s="20">
        <f>(Geraetedaten!$B$165+(Geraetedaten!$B$166*(Geraetedaten!$B$18+d_y_Sw)/1000))*10</f>
        <v>10816.164000000001</v>
      </c>
      <c r="L100" s="20">
        <f>(Geraetedaten!$B$158+(Geraetedaten!$B$159*(Geraetedaten!$B$18+d_y_Sw)/1000)-(Geraetedaten!$B$160*I100/1000))*10</f>
        <v>352.0421116420431</v>
      </c>
      <c r="M100" s="20">
        <f>(Geraetedaten!$B$171+(Geraetedaten!$B$172*(Geraetedaten!$B$18+d_y_Sw)/1000)-(Geraetedaten!$B$173*I100/1000))*10</f>
        <v>811.59590067685485</v>
      </c>
      <c r="N100" s="20">
        <f>IF((H100-J100)/(K100-J100)*(Geraetedaten!$B$174-Geraetedaten!$B$161)&lt;Geraetedaten!$B$174,(H100-J100)/(K100-J100)*(Geraetedaten!$B$174-Geraetedaten!$B$161),Geraetedaten!$B$174)</f>
        <v>-7.4870912365513336</v>
      </c>
      <c r="O100" s="20">
        <f>N100/Geraetedaten!$B$174*(M100-L100)+L100+C100</f>
        <v>413.53924551476968</v>
      </c>
      <c r="P100" s="20">
        <f t="shared" si="41"/>
        <v>164.82901513651336</v>
      </c>
      <c r="Q100" s="21">
        <f>(N100-Geraetedaten!$B$161)/(Geraetedaten!$B$174-Geraetedaten!$B$161)*(Geraetedaten!$B$175-Geraetedaten!$B$162)+Geraetedaten!$B$162</f>
        <v>28.977259035712596</v>
      </c>
      <c r="R100" s="21">
        <f t="shared" si="42"/>
        <v>28.977259035712596</v>
      </c>
      <c r="S100" s="21">
        <f t="shared" si="43"/>
        <v>25.344081811517359</v>
      </c>
      <c r="T100" s="88">
        <f t="shared" si="44"/>
        <v>14.048453948883564</v>
      </c>
      <c r="U100" s="86">
        <f t="shared" si="45"/>
        <v>-6005.8864400000002</v>
      </c>
      <c r="V100" s="85">
        <f t="shared" si="46"/>
        <v>-1346.4914747781525</v>
      </c>
      <c r="W100" s="85">
        <f t="shared" si="47"/>
        <v>-1351.636364113348</v>
      </c>
      <c r="X100" s="90">
        <f t="shared" si="48"/>
        <v>1346.4914747781525</v>
      </c>
      <c r="Y100" s="86">
        <f t="shared" si="49"/>
        <v>-15892.293299999999</v>
      </c>
      <c r="Z100" s="85">
        <f t="shared" si="50"/>
        <v>-818.62113479844345</v>
      </c>
      <c r="AA100" s="85">
        <f t="shared" si="51"/>
        <v>-1522.6545899377015</v>
      </c>
      <c r="AB100" s="90">
        <f t="shared" si="52"/>
        <v>818.62113479844345</v>
      </c>
      <c r="AC100" s="86">
        <f t="shared" si="53"/>
        <v>6031.9509200000002</v>
      </c>
      <c r="AD100" s="85">
        <f t="shared" si="54"/>
        <v>3384.56104615708</v>
      </c>
      <c r="AE100" s="85">
        <f t="shared" si="55"/>
        <v>3402.3522208912677</v>
      </c>
      <c r="AF100" s="90">
        <f t="shared" si="56"/>
        <v>3384.56104615708</v>
      </c>
      <c r="AG100" s="86">
        <f t="shared" si="57"/>
        <v>18069.722290000002</v>
      </c>
      <c r="AH100" s="85">
        <f t="shared" si="58"/>
        <v>6139.2748628683721</v>
      </c>
      <c r="AI100" s="85">
        <f t="shared" si="59"/>
        <v>12418.398024600925</v>
      </c>
      <c r="AJ100" s="90">
        <f t="shared" si="60"/>
        <v>6139.2748628683721</v>
      </c>
      <c r="AL100" s="95">
        <f t="shared" si="61"/>
        <v>0</v>
      </c>
      <c r="AM100" s="95">
        <f t="shared" si="62"/>
        <v>0</v>
      </c>
      <c r="AN100" s="95">
        <f t="shared" si="63"/>
        <v>0</v>
      </c>
      <c r="AO100" s="95">
        <f t="shared" si="64"/>
        <v>0</v>
      </c>
      <c r="AP100"/>
      <c r="AQ100" s="95">
        <f t="shared" si="65"/>
        <v>0</v>
      </c>
      <c r="AR100" s="95">
        <f t="shared" si="66"/>
        <v>0</v>
      </c>
      <c r="AS100" s="95">
        <f>Geraetedaten!$B$94*ABS(SIN(RADIANS($A100)))</f>
        <v>134.69143489946694</v>
      </c>
      <c r="AT100" s="95">
        <f>Geraetedaten!$B$94*ABS(COS(RADIANS($A100)))</f>
        <v>74.660681517935913</v>
      </c>
      <c r="AU100" s="95">
        <f>((h_Aw_Sw+Geraetedaten!$B$18)/1000)*(AQ100*AS100+AR100*AT100)/100</f>
        <v>0</v>
      </c>
    </row>
    <row r="101" spans="1:47" ht="13.5" x14ac:dyDescent="0.25">
      <c r="A101" s="16">
        <v>62</v>
      </c>
      <c r="B101" s="16">
        <f t="shared" si="34"/>
        <v>388</v>
      </c>
      <c r="C101" s="19">
        <f t="shared" si="35"/>
        <v>70.1688317010574</v>
      </c>
      <c r="D101" s="17">
        <f t="shared" si="36"/>
        <v>-6067.8096717010576</v>
      </c>
      <c r="E101" s="17">
        <f t="shared" si="37"/>
        <v>-16412.255121701055</v>
      </c>
      <c r="F101" s="17">
        <f t="shared" si="38"/>
        <v>5951.9088682989423</v>
      </c>
      <c r="G101" s="17">
        <f t="shared" si="39"/>
        <v>18574.536718298943</v>
      </c>
      <c r="H101" s="17">
        <f t="shared" si="67"/>
        <v>5951.9088682989423</v>
      </c>
      <c r="I101" s="17">
        <f t="shared" si="40"/>
        <v>3396.783184733225</v>
      </c>
      <c r="J101" s="20">
        <f>(Geraetedaten!$B$152+(Geraetedaten!$B$153*(Geraetedaten!$B$18+d_y_Sw)/1000))*10</f>
        <v>6051.0442000000003</v>
      </c>
      <c r="K101" s="20">
        <f>(Geraetedaten!$B$165+(Geraetedaten!$B$166*(Geraetedaten!$B$18+d_y_Sw)/1000))*10</f>
        <v>10816.164000000001</v>
      </c>
      <c r="L101" s="20">
        <f>(Geraetedaten!$B$158+(Geraetedaten!$B$159*(Geraetedaten!$B$18+d_y_Sw)/1000)-(Geraetedaten!$B$160*I101/1000))*10</f>
        <v>352.45048906351246</v>
      </c>
      <c r="M101" s="20">
        <f>(Geraetedaten!$B$171+(Geraetedaten!$B$172*(Geraetedaten!$B$18+d_y_Sw)/1000)-(Geraetedaten!$B$173*I101/1000))*10</f>
        <v>812.01045972845964</v>
      </c>
      <c r="N101" s="20">
        <f>IF((H101-J101)/(K101-J101)*(Geraetedaten!$B$174-Geraetedaten!$B$161)&lt;Geraetedaten!$B$174,(H101-J101)/(K101-J101)*(Geraetedaten!$B$174-Geraetedaten!$B$161),Geraetedaten!$B$174)</f>
        <v>-8.321749367229593</v>
      </c>
      <c r="O101" s="20">
        <f>N101/Geraetedaten!$B$174*(M101-L101)+L101+C101</f>
        <v>413.05846352685717</v>
      </c>
      <c r="P101" s="20">
        <f t="shared" si="41"/>
        <v>164.76147647350152</v>
      </c>
      <c r="Q101" s="21">
        <f>(N101-Geraetedaten!$B$161)/(Geraetedaten!$B$174-Geraetedaten!$B$161)*(Geraetedaten!$B$175-Geraetedaten!$B$162)+Geraetedaten!$B$162</f>
        <v>28.952427956324918</v>
      </c>
      <c r="R101" s="21">
        <f t="shared" si="42"/>
        <v>28.952427956324918</v>
      </c>
      <c r="S101" s="21">
        <f t="shared" si="43"/>
        <v>25.563476571458587</v>
      </c>
      <c r="T101" s="88">
        <f t="shared" si="44"/>
        <v>13.592341599101776</v>
      </c>
      <c r="U101" s="86">
        <f t="shared" si="45"/>
        <v>-5997.64084</v>
      </c>
      <c r="V101" s="85">
        <f t="shared" si="46"/>
        <v>-1346.4914747781525</v>
      </c>
      <c r="W101" s="85">
        <f t="shared" si="47"/>
        <v>-1349.7806755024594</v>
      </c>
      <c r="X101" s="90">
        <f t="shared" si="48"/>
        <v>1346.4914747781525</v>
      </c>
      <c r="Y101" s="86">
        <f t="shared" si="49"/>
        <v>-16342.086289999999</v>
      </c>
      <c r="Z101" s="85">
        <f t="shared" si="50"/>
        <v>-818.62113479844345</v>
      </c>
      <c r="AA101" s="85">
        <f t="shared" si="51"/>
        <v>-1565.7496518526871</v>
      </c>
      <c r="AB101" s="90">
        <f t="shared" si="52"/>
        <v>818.62113479844345</v>
      </c>
      <c r="AC101" s="86">
        <f t="shared" si="53"/>
        <v>6022.0776999999998</v>
      </c>
      <c r="AD101" s="85">
        <f t="shared" si="54"/>
        <v>3384.56104615708</v>
      </c>
      <c r="AE101" s="85">
        <f t="shared" si="55"/>
        <v>3396.783184733225</v>
      </c>
      <c r="AF101" s="90">
        <f t="shared" si="56"/>
        <v>3384.56104615708</v>
      </c>
      <c r="AG101" s="86">
        <f t="shared" si="57"/>
        <v>18644.705549999999</v>
      </c>
      <c r="AH101" s="85">
        <f t="shared" si="58"/>
        <v>6139.2748628683721</v>
      </c>
      <c r="AI101" s="85">
        <f t="shared" si="59"/>
        <v>12813.554675990355</v>
      </c>
      <c r="AJ101" s="90">
        <f t="shared" si="60"/>
        <v>6139.2748628683721</v>
      </c>
      <c r="AL101" s="95">
        <f t="shared" si="61"/>
        <v>0</v>
      </c>
      <c r="AM101" s="95">
        <f t="shared" si="62"/>
        <v>0</v>
      </c>
      <c r="AN101" s="95">
        <f t="shared" si="63"/>
        <v>0</v>
      </c>
      <c r="AO101" s="95">
        <f t="shared" si="64"/>
        <v>0</v>
      </c>
      <c r="AP101"/>
      <c r="AQ101" s="95">
        <f t="shared" si="65"/>
        <v>0</v>
      </c>
      <c r="AR101" s="95">
        <f t="shared" si="66"/>
        <v>0</v>
      </c>
      <c r="AS101" s="95">
        <f>Geraetedaten!$B$94*ABS(SIN(RADIANS($A101)))</f>
        <v>135.97392930027473</v>
      </c>
      <c r="AT101" s="95">
        <f>Geraetedaten!$B$94*ABS(COS(RADIANS($A101)))</f>
        <v>72.298620669027187</v>
      </c>
      <c r="AU101" s="95">
        <f>((h_Aw_Sw+Geraetedaten!$B$18)/1000)*(AQ101*AS101+AR101*AT101)/100</f>
        <v>0</v>
      </c>
    </row>
    <row r="102" spans="1:47" ht="13.5" x14ac:dyDescent="0.25">
      <c r="A102" s="16">
        <v>63</v>
      </c>
      <c r="B102" s="16">
        <f t="shared" si="34"/>
        <v>387</v>
      </c>
      <c r="C102" s="19">
        <f t="shared" si="35"/>
        <v>70.217352556995067</v>
      </c>
      <c r="D102" s="17">
        <f t="shared" si="36"/>
        <v>-6061.4576925569954</v>
      </c>
      <c r="E102" s="17">
        <f t="shared" si="37"/>
        <v>-16893.572652556995</v>
      </c>
      <c r="F102" s="17">
        <f t="shared" si="38"/>
        <v>5943.8483574430047</v>
      </c>
      <c r="G102" s="17">
        <f t="shared" si="39"/>
        <v>19193.327047443003</v>
      </c>
      <c r="H102" s="17">
        <f t="shared" si="67"/>
        <v>5943.8483574430047</v>
      </c>
      <c r="I102" s="17">
        <f t="shared" si="40"/>
        <v>3392.2639776766982</v>
      </c>
      <c r="J102" s="20">
        <f>(Geraetedaten!$B$152+(Geraetedaten!$B$153*(Geraetedaten!$B$18+d_y_Sw)/1000))*10</f>
        <v>6051.0442000000003</v>
      </c>
      <c r="K102" s="20">
        <f>(Geraetedaten!$B$165+(Geraetedaten!$B$166*(Geraetedaten!$B$18+d_y_Sw)/1000))*10</f>
        <v>10816.164000000001</v>
      </c>
      <c r="L102" s="20">
        <f>(Geraetedaten!$B$158+(Geraetedaten!$B$159*(Geraetedaten!$B$18+d_y_Sw)/1000)-(Geraetedaten!$B$160*I102/1000))*10</f>
        <v>352.78188251696747</v>
      </c>
      <c r="M102" s="20">
        <f>(Geraetedaten!$B$171+(Geraetedaten!$B$172*(Geraetedaten!$B$18+d_y_Sw)/1000)-(Geraetedaten!$B$173*I102/1000))*10</f>
        <v>812.34686950174751</v>
      </c>
      <c r="N102" s="20">
        <f>IF((H102-J102)/(K102-J102)*(Geraetedaten!$B$174-Geraetedaten!$B$161)&lt;Geraetedaten!$B$174,(H102-J102)/(K102-J102)*(Geraetedaten!$B$174-Geraetedaten!$B$161),Geraetedaten!$B$174)</f>
        <v>-8.9983754496158141</v>
      </c>
      <c r="O102" s="20">
        <f>N102/Geraetedaten!$B$174*(M102-L102)+L102+C102</f>
        <v>412.6608893329954</v>
      </c>
      <c r="P102" s="20">
        <f t="shared" si="41"/>
        <v>164.70349893164735</v>
      </c>
      <c r="Q102" s="21">
        <f>(N102-Geraetedaten!$B$161)/(Geraetedaten!$B$174-Geraetedaten!$B$161)*(Geraetedaten!$B$175-Geraetedaten!$B$162)+Geraetedaten!$B$162</f>
        <v>28.932298330373929</v>
      </c>
      <c r="R102" s="21">
        <f t="shared" si="42"/>
        <v>28.932298330373929</v>
      </c>
      <c r="S102" s="21">
        <f t="shared" si="43"/>
        <v>25.778866572127392</v>
      </c>
      <c r="T102" s="88">
        <f t="shared" si="44"/>
        <v>13.134988577620115</v>
      </c>
      <c r="U102" s="86">
        <f t="shared" si="45"/>
        <v>-5991.2403400000003</v>
      </c>
      <c r="V102" s="85">
        <f t="shared" si="46"/>
        <v>-1346.4914747781525</v>
      </c>
      <c r="W102" s="85">
        <f t="shared" si="47"/>
        <v>-1348.3402297160781</v>
      </c>
      <c r="X102" s="90">
        <f t="shared" si="48"/>
        <v>1346.4914747781525</v>
      </c>
      <c r="Y102" s="86">
        <f t="shared" si="49"/>
        <v>-16823.355299999999</v>
      </c>
      <c r="Z102" s="85">
        <f t="shared" si="50"/>
        <v>-818.62113479844345</v>
      </c>
      <c r="AA102" s="85">
        <f t="shared" si="51"/>
        <v>-1611.860458820531</v>
      </c>
      <c r="AB102" s="90">
        <f t="shared" si="52"/>
        <v>818.62113479844345</v>
      </c>
      <c r="AC102" s="86">
        <f t="shared" si="53"/>
        <v>6014.0657099999999</v>
      </c>
      <c r="AD102" s="85">
        <f t="shared" si="54"/>
        <v>3384.56104615708</v>
      </c>
      <c r="AE102" s="85">
        <f t="shared" si="55"/>
        <v>3392.2639776766982</v>
      </c>
      <c r="AF102" s="90">
        <f t="shared" si="56"/>
        <v>3384.56104615708</v>
      </c>
      <c r="AG102" s="86">
        <f t="shared" si="57"/>
        <v>19263.544399999999</v>
      </c>
      <c r="AH102" s="85">
        <f t="shared" si="58"/>
        <v>6139.2748628683721</v>
      </c>
      <c r="AI102" s="85">
        <f t="shared" si="59"/>
        <v>13238.851037679846</v>
      </c>
      <c r="AJ102" s="90">
        <f t="shared" si="60"/>
        <v>6139.2748628683721</v>
      </c>
      <c r="AL102" s="95">
        <f t="shared" si="61"/>
        <v>0</v>
      </c>
      <c r="AM102" s="95">
        <f t="shared" si="62"/>
        <v>0</v>
      </c>
      <c r="AN102" s="95">
        <f t="shared" si="63"/>
        <v>0</v>
      </c>
      <c r="AO102" s="95">
        <f t="shared" si="64"/>
        <v>0</v>
      </c>
      <c r="AP102"/>
      <c r="AQ102" s="95">
        <f t="shared" si="65"/>
        <v>0</v>
      </c>
      <c r="AR102" s="95">
        <f t="shared" si="66"/>
        <v>0</v>
      </c>
      <c r="AS102" s="95">
        <f>Geraetedaten!$B$94*ABS(SIN(RADIANS($A102)))</f>
        <v>137.21500472500864</v>
      </c>
      <c r="AT102" s="95">
        <f>Geraetedaten!$B$94*ABS(COS(RADIANS($A102)))</f>
        <v>69.914536959890214</v>
      </c>
      <c r="AU102" s="95">
        <f>((h_Aw_Sw+Geraetedaten!$B$18)/1000)*(AQ102*AS102+AR102*AT102)/100</f>
        <v>0</v>
      </c>
    </row>
    <row r="103" spans="1:47" ht="13.5" x14ac:dyDescent="0.25">
      <c r="A103" s="16">
        <v>64</v>
      </c>
      <c r="B103" s="16">
        <f t="shared" ref="B103:B134" si="68">360-A103+90</f>
        <v>386</v>
      </c>
      <c r="C103" s="19">
        <f t="shared" ref="C103:C134" si="69">$AE$16*ABS(COS(RADIANS(A103)))+$AE$17*ABS(SIN(RADIANS(A103)))+AU103</f>
        <v>70.24448452713311</v>
      </c>
      <c r="D103" s="17">
        <f t="shared" ref="D103:D134" si="70">IF(ISNUMBER(U103),U103-C103,"unendlich")</f>
        <v>-6056.9196245271332</v>
      </c>
      <c r="E103" s="17">
        <f t="shared" ref="E103:E134" si="71">IF(ISNUMBER(Y103),Y103-C103,"unendlich")</f>
        <v>-17409.517314527136</v>
      </c>
      <c r="F103" s="17">
        <f t="shared" ref="F103:F134" si="72">IF(ISNUMBER(AC103),AC103-C103,"unendlich")</f>
        <v>5937.6581554728673</v>
      </c>
      <c r="G103" s="17">
        <f t="shared" ref="G103:G134" si="73">IF(ISNUMBER(AG103),AG103-C103,"unendlich")</f>
        <v>19860.908635472864</v>
      </c>
      <c r="H103" s="17">
        <f t="shared" si="67"/>
        <v>5937.6581554728673</v>
      </c>
      <c r="I103" s="17">
        <f t="shared" ref="I103:I134" si="74">IF(H103+C103=U103,W103,IF(H103+C103=Y103,AA103,IF(H103+C103=AC103,AE103,IF(H103+C103=AG103,AI103,"???"))))</f>
        <v>3388.7876657078309</v>
      </c>
      <c r="J103" s="20">
        <f>(Geraetedaten!$B$152+(Geraetedaten!$B$153*(Geraetedaten!$B$18+d_y_Sw)/1000))*10</f>
        <v>6051.0442000000003</v>
      </c>
      <c r="K103" s="20">
        <f>(Geraetedaten!$B$165+(Geraetedaten!$B$166*(Geraetedaten!$B$18+d_y_Sw)/1000))*10</f>
        <v>10816.164000000001</v>
      </c>
      <c r="L103" s="20">
        <f>(Geraetedaten!$B$158+(Geraetedaten!$B$159*(Geraetedaten!$B$18+d_y_Sw)/1000)-(Geraetedaten!$B$160*I103/1000))*10</f>
        <v>353.03680047364452</v>
      </c>
      <c r="M103" s="20">
        <f>(Geraetedaten!$B$171+(Geraetedaten!$B$172*(Geraetedaten!$B$18+d_y_Sw)/1000)-(Geraetedaten!$B$173*I103/1000))*10</f>
        <v>812.60564616471004</v>
      </c>
      <c r="N103" s="20">
        <f>IF((H103-J103)/(K103-J103)*(Geraetedaten!$B$174-Geraetedaten!$B$161)&lt;Geraetedaten!$B$174,(H103-J103)/(K103-J103)*(Geraetedaten!$B$174-Geraetedaten!$B$161),Geraetedaten!$B$174)</f>
        <v>-9.5180015853647983</v>
      </c>
      <c r="O103" s="20">
        <f>N103/Geraetedaten!$B$174*(M103-L103)+L103+C103</f>
        <v>412.34584249609804</v>
      </c>
      <c r="P103" s="20">
        <f t="shared" ref="P103:P134" si="75">O103*100/9.81/(Q103-(I103/1000))</f>
        <v>164.6550065457233</v>
      </c>
      <c r="Q103" s="21">
        <f>(N103-Geraetedaten!$B$161)/(Geraetedaten!$B$174-Geraetedaten!$B$161)*(Geraetedaten!$B$175-Geraetedaten!$B$162)+Geraetedaten!$B$162</f>
        <v>28.916839452835397</v>
      </c>
      <c r="R103" s="21">
        <f t="shared" ref="R103:R134" si="76">SQRT((r_K_D/1000)^2+Q103^2-(2*(r_K_D/1000)*Q103*COS(RADIANS(2*A103))))</f>
        <v>28.916839452835397</v>
      </c>
      <c r="S103" s="21">
        <f t="shared" ref="S103:S134" si="77">R103*SIN(A103*Const_2)</f>
        <v>25.990283137997316</v>
      </c>
      <c r="T103" s="88">
        <f t="shared" ref="T103:T134" si="78">R103*COS(A103*Const_2)</f>
        <v>12.676308072455091</v>
      </c>
      <c r="U103" s="86">
        <f t="shared" ref="U103:U134" si="79">ROUND((F_S*r_Su_L-F_G*V103+F_SSw*X103)/(SIN(RADIANS(270+g_L-A103)))/1000,5)</f>
        <v>-5986.6751400000003</v>
      </c>
      <c r="V103" s="85">
        <f t="shared" ref="V103:V134" si="80">(SIN(RADIANS(g_L)))*(((VL_Z-HL_Z)/(VL_X-HL_X))*(-HL_X+AM103)+HL_Z-AL103)</f>
        <v>-1346.4914747781525</v>
      </c>
      <c r="W103" s="85">
        <f t="shared" ref="W103:W134" si="81">V103/(SIN(RADIANS(180-g_L-(90-$A103))))</f>
        <v>-1347.3128220867732</v>
      </c>
      <c r="X103" s="90">
        <f t="shared" ref="X103:X134" si="82">SIN(RADIANS(g_L))*(((VL_Z-HL_Z)/(VL_X-HL_X))*(-AO103+HL_X)-HL_Z+AN103)</f>
        <v>1346.4914747781525</v>
      </c>
      <c r="Y103" s="86">
        <f t="shared" ref="Y103:Y134" si="83">ROUND((F_S*r_Su_H-F_G*Z103+F_SSw*AB103)/(SIN(RADIANS(180+g_H-A103)))/1000,5)</f>
        <v>-17339.272830000002</v>
      </c>
      <c r="Z103" s="85">
        <f t="shared" ref="Z103:Z134" si="84">(SIN(RADIANS(g_H)))*(((HL_X-HR_X)/(HL_Z-HR_Z))*(-HR_Z+AL103)+HR_X-AM103)</f>
        <v>-818.62113479844345</v>
      </c>
      <c r="AA103" s="85">
        <f t="shared" ref="AA103:AA134" si="85">Z103/(SIN(RADIANS(g_H-$A103)))</f>
        <v>-1661.2909712196556</v>
      </c>
      <c r="AB103" s="90">
        <f t="shared" ref="AB103:AB134" si="86">SIN(RADIANS(g_H))*(((HL_X-HR_X)/(HL_Z-HR_Z))*(-AN103+HR_Z)-HR_X+AO103)</f>
        <v>818.62113479844345</v>
      </c>
      <c r="AC103" s="86">
        <f t="shared" ref="AC103:AC134" si="87">ROUND((F_S*r_Su_R+F_G*AD103+F_SSw*AF103)/(SIN(RADIANS(90+g_R-A103)))/1000,5)</f>
        <v>6007.9026400000002</v>
      </c>
      <c r="AD103" s="85">
        <f t="shared" ref="AD103:AD134" si="88">(SIN(RADIANS(g_R)))*(((HR_Z-VR_Z)/(HR_X-VR_X))*(-VR_X+AM103)+VR_Z-AL103)</f>
        <v>3384.56104615708</v>
      </c>
      <c r="AE103" s="85">
        <f t="shared" ref="AE103:AE134" si="89">AD103/(SIN(RADIANS(180-g_R-(90-$A103))))</f>
        <v>3388.7876657078309</v>
      </c>
      <c r="AF103" s="90">
        <f t="shared" ref="AF103:AF134" si="90">(SIN(RADIANS(g_R)))*(((HR_Z-VR_Z)/(HR_X-VR_X))*(-VR_X+AO103)+VR_Z-AN103)</f>
        <v>3384.56104615708</v>
      </c>
      <c r="AG103" s="86">
        <f t="shared" ref="AG103:AG134" si="91">ROUND((F_S*r_Su_V+F_G*AH103+F_SSw*AJ103)/(SIN(RADIANS(g_V-A103)))/1000,5)</f>
        <v>19931.153119999999</v>
      </c>
      <c r="AH103" s="85">
        <f t="shared" ref="AH103:AH134" si="92">(SIN(RADIANS(g_V)))*(((VR_X-VL_X)/(VR_Z-VL_Z))*(AL103-VL_Z)+VL_X-AM103)</f>
        <v>6139.2748628683721</v>
      </c>
      <c r="AI103" s="85">
        <f t="shared" ref="AI103:AI134" si="93">AH103/(SIN(RADIANS(g_V-$A103)))</f>
        <v>13697.664443048314</v>
      </c>
      <c r="AJ103" s="90">
        <f t="shared" ref="AJ103:AJ134" si="94">(SIN(RADIANS(g_V)))*(((VR_X-VL_X)/(VR_Z-VL_Z))*(-VL_Z+AN103)+VL_X-AO103)</f>
        <v>6139.2748628683721</v>
      </c>
      <c r="AL103" s="95">
        <f t="shared" ref="AL103:AL134" si="95">SIN(RADIANS(A103))*r_K_D</f>
        <v>0</v>
      </c>
      <c r="AM103" s="95">
        <f t="shared" ref="AM103:AM134" si="96">COS(RADIANS(A103-180))*r_K_D</f>
        <v>0</v>
      </c>
      <c r="AN103" s="95">
        <f t="shared" ref="AN103:AN134" si="97">SIN(RADIANS(A103))*r_K_SSw</f>
        <v>0</v>
      </c>
      <c r="AO103" s="95">
        <f t="shared" ref="AO103:AO134" si="98">-COS(RADIANS(A103))*r_K_SSw</f>
        <v>0</v>
      </c>
      <c r="AP103"/>
      <c r="AQ103" s="95">
        <f t="shared" ref="AQ103:AQ134" si="99">MAX(d_y_Sw*(r_K_D*ABS(COS(RADIANS($A103)))+_r1_Sw+_r2_Sw), 2*_r1_Sw*d_y_Sw)/1000000</f>
        <v>0</v>
      </c>
      <c r="AR103" s="95">
        <f t="shared" ref="AR103:AR134" si="100">MAX(d_y_Sw*(r_K_D*ABS(SIN(RADIANS($A103)))+_r1_Sw+_r2_Sw), 2*_r1_Sw*d_y_Sw)/1000000</f>
        <v>0</v>
      </c>
      <c r="AS103" s="95">
        <f>Geraetedaten!$B$94*ABS(SIN(RADIANS($A103)))</f>
        <v>138.41428313007174</v>
      </c>
      <c r="AT103" s="95">
        <f>Geraetedaten!$B$94*ABS(COS(RADIANS($A103)))</f>
        <v>67.50915660551793</v>
      </c>
      <c r="AU103" s="95">
        <f>((h_Aw_Sw+Geraetedaten!$B$18)/1000)*(AQ103*AS103+AR103*AT103)/100</f>
        <v>0</v>
      </c>
    </row>
    <row r="104" spans="1:47" ht="13.5" x14ac:dyDescent="0.25">
      <c r="A104" s="16">
        <v>65</v>
      </c>
      <c r="B104" s="16">
        <f t="shared" si="68"/>
        <v>385</v>
      </c>
      <c r="C104" s="19">
        <f t="shared" si="69"/>
        <v>70.250219346810582</v>
      </c>
      <c r="D104" s="17">
        <f t="shared" si="70"/>
        <v>-6054.1884793468107</v>
      </c>
      <c r="E104" s="17">
        <f t="shared" si="71"/>
        <v>-17963.707649346808</v>
      </c>
      <c r="F104" s="17">
        <f t="shared" si="72"/>
        <v>5933.3288406531892</v>
      </c>
      <c r="G104" s="17">
        <f t="shared" si="73"/>
        <v>20582.964010653192</v>
      </c>
      <c r="H104" s="17">
        <f t="shared" ref="H104:H135" si="101">SMALL(D104:G104,COUNTIF(D104:G104,"&lt;0")+1)</f>
        <v>5933.3288406531892</v>
      </c>
      <c r="I104" s="17">
        <f t="shared" si="74"/>
        <v>3386.3489300284136</v>
      </c>
      <c r="J104" s="20">
        <f>(Geraetedaten!$B$152+(Geraetedaten!$B$153*(Geraetedaten!$B$18+d_y_Sw)/1000))*10</f>
        <v>6051.0442000000003</v>
      </c>
      <c r="K104" s="20">
        <f>(Geraetedaten!$B$165+(Geraetedaten!$B$166*(Geraetedaten!$B$18+d_y_Sw)/1000))*10</f>
        <v>10816.164000000001</v>
      </c>
      <c r="L104" s="20">
        <f>(Geraetedaten!$B$158+(Geraetedaten!$B$159*(Geraetedaten!$B$18+d_y_Sw)/1000)-(Geraetedaten!$B$160*I104/1000))*10</f>
        <v>353.21563296101624</v>
      </c>
      <c r="M104" s="20">
        <f>(Geraetedaten!$B$171+(Geraetedaten!$B$172*(Geraetedaten!$B$18+d_y_Sw)/1000)-(Geraetedaten!$B$173*I104/1000))*10</f>
        <v>812.78718564868564</v>
      </c>
      <c r="N104" s="20">
        <f>IF((H104-J104)/(K104-J104)*(Geraetedaten!$B$174-Geraetedaten!$B$161)&lt;Geraetedaten!$B$174,(H104-J104)/(K104-J104)*(Geraetedaten!$B$174-Geraetedaten!$B$161),Geraetedaten!$B$174)</f>
        <v>-9.8814186662682477</v>
      </c>
      <c r="O104" s="20">
        <f>N104/Geraetedaten!$B$174*(M104-L104)+L104+C104</f>
        <v>412.11280500979228</v>
      </c>
      <c r="P104" s="20">
        <f t="shared" si="75"/>
        <v>164.615943909224</v>
      </c>
      <c r="Q104" s="21">
        <f>(N104-Geraetedaten!$B$161)/(Geraetedaten!$B$174-Geraetedaten!$B$161)*(Geraetedaten!$B$175-Geraetedaten!$B$162)+Geraetedaten!$B$162</f>
        <v>28.906027794678518</v>
      </c>
      <c r="R104" s="21">
        <f t="shared" si="76"/>
        <v>28.906027794678518</v>
      </c>
      <c r="S104" s="21">
        <f t="shared" si="77"/>
        <v>26.197758082614982</v>
      </c>
      <c r="T104" s="88">
        <f t="shared" si="78"/>
        <v>12.216215220415378</v>
      </c>
      <c r="U104" s="86">
        <f t="shared" si="79"/>
        <v>-5983.9382599999999</v>
      </c>
      <c r="V104" s="85">
        <f t="shared" si="80"/>
        <v>-1346.4914747781525</v>
      </c>
      <c r="W104" s="85">
        <f t="shared" si="81"/>
        <v>-1346.6968835700425</v>
      </c>
      <c r="X104" s="90">
        <f t="shared" si="82"/>
        <v>1346.4914747781525</v>
      </c>
      <c r="Y104" s="86">
        <f t="shared" si="83"/>
        <v>-17893.457429999999</v>
      </c>
      <c r="Z104" s="85">
        <f t="shared" si="84"/>
        <v>-818.62113479844345</v>
      </c>
      <c r="AA104" s="85">
        <f t="shared" si="85"/>
        <v>-1714.3878851339005</v>
      </c>
      <c r="AB104" s="90">
        <f t="shared" si="86"/>
        <v>818.62113479844345</v>
      </c>
      <c r="AC104" s="86">
        <f t="shared" si="87"/>
        <v>6003.57906</v>
      </c>
      <c r="AD104" s="85">
        <f t="shared" si="88"/>
        <v>3384.56104615708</v>
      </c>
      <c r="AE104" s="85">
        <f t="shared" si="89"/>
        <v>3386.3489300284136</v>
      </c>
      <c r="AF104" s="90">
        <f t="shared" si="90"/>
        <v>3384.56104615708</v>
      </c>
      <c r="AG104" s="86">
        <f t="shared" si="91"/>
        <v>20653.214230000001</v>
      </c>
      <c r="AH104" s="85">
        <f t="shared" si="92"/>
        <v>6139.2748628683721</v>
      </c>
      <c r="AI104" s="85">
        <f t="shared" si="93"/>
        <v>14193.900192963356</v>
      </c>
      <c r="AJ104" s="90">
        <f t="shared" si="94"/>
        <v>6139.2748628683721</v>
      </c>
      <c r="AL104" s="95">
        <f t="shared" si="95"/>
        <v>0</v>
      </c>
      <c r="AM104" s="95">
        <f t="shared" si="96"/>
        <v>0</v>
      </c>
      <c r="AN104" s="95">
        <f t="shared" si="97"/>
        <v>0</v>
      </c>
      <c r="AO104" s="95">
        <f t="shared" si="98"/>
        <v>0</v>
      </c>
      <c r="AP104"/>
      <c r="AQ104" s="95">
        <f t="shared" si="99"/>
        <v>0</v>
      </c>
      <c r="AR104" s="95">
        <f t="shared" si="100"/>
        <v>0</v>
      </c>
      <c r="AS104" s="95">
        <f>Geraetedaten!$B$94*ABS(SIN(RADIANS($A104)))</f>
        <v>139.57139920364409</v>
      </c>
      <c r="AT104" s="95">
        <f>Geraetedaten!$B$94*ABS(COS(RADIANS($A104)))</f>
        <v>65.083212308067715</v>
      </c>
      <c r="AU104" s="95">
        <f>((h_Aw_Sw+Geraetedaten!$B$18)/1000)*(AQ104*AS104+AR104*AT104)/100</f>
        <v>0</v>
      </c>
    </row>
    <row r="105" spans="1:47" ht="13.5" x14ac:dyDescent="0.25">
      <c r="A105" s="16">
        <v>66</v>
      </c>
      <c r="B105" s="16">
        <f t="shared" si="68"/>
        <v>384</v>
      </c>
      <c r="C105" s="19">
        <f t="shared" si="69"/>
        <v>70.234555269145858</v>
      </c>
      <c r="D105" s="17">
        <f t="shared" si="70"/>
        <v>-6053.2601052691462</v>
      </c>
      <c r="E105" s="17">
        <f t="shared" si="71"/>
        <v>-18560.289255269148</v>
      </c>
      <c r="F105" s="17">
        <f t="shared" si="72"/>
        <v>5930.8538147308545</v>
      </c>
      <c r="G105" s="17">
        <f t="shared" si="73"/>
        <v>21366.099844730852</v>
      </c>
      <c r="H105" s="17">
        <f t="shared" si="101"/>
        <v>5930.8538147308545</v>
      </c>
      <c r="I105" s="17">
        <f t="shared" si="74"/>
        <v>3384.9440471504577</v>
      </c>
      <c r="J105" s="20">
        <f>(Geraetedaten!$B$152+(Geraetedaten!$B$153*(Geraetedaten!$B$18+d_y_Sw)/1000))*10</f>
        <v>6051.0442000000003</v>
      </c>
      <c r="K105" s="20">
        <f>(Geraetedaten!$B$165+(Geraetedaten!$B$166*(Geraetedaten!$B$18+d_y_Sw)/1000))*10</f>
        <v>10816.164000000001</v>
      </c>
      <c r="L105" s="20">
        <f>(Geraetedaten!$B$158+(Geraetedaten!$B$159*(Geraetedaten!$B$18+d_y_Sw)/1000)-(Geraetedaten!$B$160*I105/1000))*10</f>
        <v>353.31865302245672</v>
      </c>
      <c r="M105" s="20">
        <f>(Geraetedaten!$B$171+(Geraetedaten!$B$172*(Geraetedaten!$B$18+d_y_Sw)/1000)-(Geraetedaten!$B$173*I105/1000))*10</f>
        <v>812.8917651301208</v>
      </c>
      <c r="N105" s="20">
        <f>IF((H105-J105)/(K105-J105)*(Geraetedaten!$B$174-Geraetedaten!$B$161)&lt;Geraetedaten!$B$174,(H105-J105)/(K105-J105)*(Geraetedaten!$B$174-Geraetedaten!$B$161),Geraetedaten!$B$174)</f>
        <v>-10.089180571631859</v>
      </c>
      <c r="O105" s="20">
        <f>N105/Geraetedaten!$B$174*(M105-L105)+L105+C105</f>
        <v>411.96141800679999</v>
      </c>
      <c r="P105" s="20">
        <f t="shared" si="75"/>
        <v>164.58627578373211</v>
      </c>
      <c r="Q105" s="21">
        <f>(N105-Geraetedaten!$B$161)/(Geraetedaten!$B$174-Geraetedaten!$B$161)*(Geraetedaten!$B$175-Geraetedaten!$B$162)+Geraetedaten!$B$162</f>
        <v>28.899846877993951</v>
      </c>
      <c r="R105" s="21">
        <f t="shared" si="76"/>
        <v>28.899846877993951</v>
      </c>
      <c r="S105" s="21">
        <f t="shared" si="77"/>
        <v>26.401323841958074</v>
      </c>
      <c r="T105" s="88">
        <f t="shared" si="78"/>
        <v>11.754626704559906</v>
      </c>
      <c r="U105" s="86">
        <f t="shared" si="79"/>
        <v>-5983.0255500000003</v>
      </c>
      <c r="V105" s="85">
        <f t="shared" si="80"/>
        <v>-1346.4914747781525</v>
      </c>
      <c r="W105" s="85">
        <f t="shared" si="81"/>
        <v>-1346.491474888006</v>
      </c>
      <c r="X105" s="90">
        <f t="shared" si="82"/>
        <v>1346.4914747781525</v>
      </c>
      <c r="Y105" s="86">
        <f t="shared" si="83"/>
        <v>-18490.054700000001</v>
      </c>
      <c r="Z105" s="85">
        <f t="shared" si="84"/>
        <v>-818.62113479844345</v>
      </c>
      <c r="AA105" s="85">
        <f t="shared" si="85"/>
        <v>-1771.5483934159499</v>
      </c>
      <c r="AB105" s="90">
        <f t="shared" si="86"/>
        <v>818.62113479844345</v>
      </c>
      <c r="AC105" s="86">
        <f t="shared" si="87"/>
        <v>6001.0883700000004</v>
      </c>
      <c r="AD105" s="85">
        <f t="shared" si="88"/>
        <v>3384.56104615708</v>
      </c>
      <c r="AE105" s="85">
        <f t="shared" si="89"/>
        <v>3384.9440471504577</v>
      </c>
      <c r="AF105" s="90">
        <f t="shared" si="90"/>
        <v>3384.56104615708</v>
      </c>
      <c r="AG105" s="86">
        <f t="shared" si="91"/>
        <v>21436.3344</v>
      </c>
      <c r="AH105" s="85">
        <f t="shared" si="92"/>
        <v>6139.2748628683721</v>
      </c>
      <c r="AI105" s="85">
        <f t="shared" si="93"/>
        <v>14732.098723479121</v>
      </c>
      <c r="AJ105" s="90">
        <f t="shared" si="94"/>
        <v>6139.2748628683721</v>
      </c>
      <c r="AL105" s="95">
        <f t="shared" si="95"/>
        <v>0</v>
      </c>
      <c r="AM105" s="95">
        <f t="shared" si="96"/>
        <v>0</v>
      </c>
      <c r="AN105" s="95">
        <f t="shared" si="97"/>
        <v>0</v>
      </c>
      <c r="AO105" s="95">
        <f t="shared" si="98"/>
        <v>0</v>
      </c>
      <c r="AP105"/>
      <c r="AQ105" s="95">
        <f t="shared" si="99"/>
        <v>0</v>
      </c>
      <c r="AR105" s="95">
        <f t="shared" si="100"/>
        <v>0</v>
      </c>
      <c r="AS105" s="95">
        <f>Geraetedaten!$B$94*ABS(SIN(RADIANS($A105)))</f>
        <v>140.68600047696054</v>
      </c>
      <c r="AT105" s="95">
        <f>Geraetedaten!$B$94*ABS(COS(RADIANS($A105)))</f>
        <v>62.637443033673229</v>
      </c>
      <c r="AU105" s="95">
        <f>((h_Aw_Sw+Geraetedaten!$B$18)/1000)*(AQ105*AS105+AR105*AT105)/100</f>
        <v>0</v>
      </c>
    </row>
    <row r="106" spans="1:47" ht="13.5" x14ac:dyDescent="0.25">
      <c r="A106" s="16">
        <v>67</v>
      </c>
      <c r="B106" s="16">
        <f t="shared" si="68"/>
        <v>383</v>
      </c>
      <c r="C106" s="19">
        <f t="shared" si="69"/>
        <v>70.19749706556874</v>
      </c>
      <c r="D106" s="17">
        <f t="shared" si="70"/>
        <v>-6054.1330870655684</v>
      </c>
      <c r="E106" s="17">
        <f t="shared" si="71"/>
        <v>-19204.034087065567</v>
      </c>
      <c r="F106" s="17">
        <f t="shared" si="72"/>
        <v>5930.2292929344321</v>
      </c>
      <c r="G106" s="17">
        <f t="shared" si="73"/>
        <v>22218.042532934433</v>
      </c>
      <c r="H106" s="17">
        <f t="shared" si="101"/>
        <v>5930.2292929344321</v>
      </c>
      <c r="I106" s="17">
        <f t="shared" si="74"/>
        <v>3384.5708750036456</v>
      </c>
      <c r="J106" s="20">
        <f>(Geraetedaten!$B$152+(Geraetedaten!$B$153*(Geraetedaten!$B$18+d_y_Sw)/1000))*10</f>
        <v>6051.0442000000003</v>
      </c>
      <c r="K106" s="20">
        <f>(Geraetedaten!$B$165+(Geraetedaten!$B$166*(Geraetedaten!$B$18+d_y_Sw)/1000))*10</f>
        <v>10816.164000000001</v>
      </c>
      <c r="L106" s="20">
        <f>(Geraetedaten!$B$158+(Geraetedaten!$B$159*(Geraetedaten!$B$18+d_y_Sw)/1000)-(Geraetedaten!$B$160*I106/1000))*10</f>
        <v>353.34601773598246</v>
      </c>
      <c r="M106" s="20">
        <f>(Geraetedaten!$B$171+(Geraetedaten!$B$172*(Geraetedaten!$B$18+d_y_Sw)/1000)-(Geraetedaten!$B$173*I106/1000))*10</f>
        <v>812.91954406472951</v>
      </c>
      <c r="N106" s="20">
        <f>IF((H106-J106)/(K106-J106)*(Geraetedaten!$B$174-Geraetedaten!$B$161)&lt;Geraetedaten!$B$174,(H106-J106)/(K106-J106)*(Geraetedaten!$B$174-Geraetedaten!$B$161),Geraetedaten!$B$174)</f>
        <v>-10.141605007753899</v>
      </c>
      <c r="O106" s="20">
        <f>N106/Geraetedaten!$B$174*(M106-L106)+L106+C106</f>
        <v>411.89148186143439</v>
      </c>
      <c r="P106" s="20">
        <f t="shared" si="75"/>
        <v>164.56598738311411</v>
      </c>
      <c r="Q106" s="21">
        <f>(N106-Geraetedaten!$B$161)/(Geraetedaten!$B$174-Geraetedaten!$B$161)*(Geraetedaten!$B$175-Geraetedaten!$B$162)+Geraetedaten!$B$162</f>
        <v>28.898287251019319</v>
      </c>
      <c r="R106" s="21">
        <f t="shared" si="76"/>
        <v>28.898287251019319</v>
      </c>
      <c r="S106" s="21">
        <f t="shared" si="77"/>
        <v>26.601013671026063</v>
      </c>
      <c r="T106" s="88">
        <f t="shared" si="78"/>
        <v>11.291460388997971</v>
      </c>
      <c r="U106" s="86">
        <f t="shared" si="79"/>
        <v>-5983.93559</v>
      </c>
      <c r="V106" s="85">
        <f t="shared" si="80"/>
        <v>-1346.4914747781525</v>
      </c>
      <c r="W106" s="85">
        <f t="shared" si="81"/>
        <v>-1346.696283031119</v>
      </c>
      <c r="X106" s="90">
        <f t="shared" si="82"/>
        <v>1346.4914747781525</v>
      </c>
      <c r="Y106" s="86">
        <f t="shared" si="83"/>
        <v>-19133.836589999999</v>
      </c>
      <c r="Z106" s="85">
        <f t="shared" si="84"/>
        <v>-818.62113479844345</v>
      </c>
      <c r="AA106" s="85">
        <f t="shared" si="85"/>
        <v>-1833.229702639087</v>
      </c>
      <c r="AB106" s="90">
        <f t="shared" si="86"/>
        <v>818.62113479844345</v>
      </c>
      <c r="AC106" s="86">
        <f t="shared" si="87"/>
        <v>6000.4267900000004</v>
      </c>
      <c r="AD106" s="85">
        <f t="shared" si="88"/>
        <v>3384.56104615708</v>
      </c>
      <c r="AE106" s="85">
        <f t="shared" si="89"/>
        <v>3384.5708750036456</v>
      </c>
      <c r="AF106" s="90">
        <f t="shared" si="90"/>
        <v>3384.56104615708</v>
      </c>
      <c r="AG106" s="86">
        <f t="shared" si="91"/>
        <v>22288.240030000001</v>
      </c>
      <c r="AH106" s="85">
        <f t="shared" si="92"/>
        <v>6139.2748628683721</v>
      </c>
      <c r="AI106" s="85">
        <f t="shared" si="93"/>
        <v>15317.569988151632</v>
      </c>
      <c r="AJ106" s="90">
        <f t="shared" si="94"/>
        <v>6139.2748628683721</v>
      </c>
      <c r="AL106" s="95">
        <f t="shared" si="95"/>
        <v>0</v>
      </c>
      <c r="AM106" s="95">
        <f t="shared" si="96"/>
        <v>0</v>
      </c>
      <c r="AN106" s="95">
        <f t="shared" si="97"/>
        <v>0</v>
      </c>
      <c r="AO106" s="95">
        <f t="shared" si="98"/>
        <v>0</v>
      </c>
      <c r="AP106"/>
      <c r="AQ106" s="95">
        <f t="shared" si="99"/>
        <v>0</v>
      </c>
      <c r="AR106" s="95">
        <f t="shared" si="100"/>
        <v>0</v>
      </c>
      <c r="AS106" s="95">
        <f>Geraetedaten!$B$94*ABS(SIN(RADIANS($A106)))</f>
        <v>141.75774743167582</v>
      </c>
      <c r="AT106" s="95">
        <f>Geraetedaten!$B$94*ABS(COS(RADIANS($A106)))</f>
        <v>60.172593787348156</v>
      </c>
      <c r="AU106" s="95">
        <f>((h_Aw_Sw+Geraetedaten!$B$18)/1000)*(AQ106*AS106+AR106*AT106)/100</f>
        <v>0</v>
      </c>
    </row>
    <row r="107" spans="1:47" ht="13.5" x14ac:dyDescent="0.25">
      <c r="A107" s="16">
        <v>68</v>
      </c>
      <c r="B107" s="16">
        <f t="shared" si="68"/>
        <v>382</v>
      </c>
      <c r="C107" s="19">
        <f t="shared" si="69"/>
        <v>70.139056024367036</v>
      </c>
      <c r="D107" s="17">
        <f t="shared" si="70"/>
        <v>-6056.8088460243671</v>
      </c>
      <c r="E107" s="17">
        <f t="shared" si="71"/>
        <v>-19900.463206024368</v>
      </c>
      <c r="F107" s="17">
        <f t="shared" si="72"/>
        <v>5931.4542339756326</v>
      </c>
      <c r="G107" s="17">
        <f t="shared" si="73"/>
        <v>23147.885533975634</v>
      </c>
      <c r="H107" s="17">
        <f t="shared" si="101"/>
        <v>5931.4542339756326</v>
      </c>
      <c r="I107" s="17">
        <f t="shared" si="74"/>
        <v>3385.2288449590064</v>
      </c>
      <c r="J107" s="20">
        <f>(Geraetedaten!$B$152+(Geraetedaten!$B$153*(Geraetedaten!$B$18+d_y_Sw)/1000))*10</f>
        <v>6051.0442000000003</v>
      </c>
      <c r="K107" s="20">
        <f>(Geraetedaten!$B$165+(Geraetedaten!$B$166*(Geraetedaten!$B$18+d_y_Sw)/1000))*10</f>
        <v>10816.164000000001</v>
      </c>
      <c r="L107" s="20">
        <f>(Geraetedaten!$B$158+(Geraetedaten!$B$159*(Geraetedaten!$B$18+d_y_Sw)/1000)-(Geraetedaten!$B$160*I107/1000))*10</f>
        <v>353.29776879915585</v>
      </c>
      <c r="M107" s="20">
        <f>(Geraetedaten!$B$171+(Geraetedaten!$B$172*(Geraetedaten!$B$18+d_y_Sw)/1000)-(Geraetedaten!$B$173*I107/1000))*10</f>
        <v>812.87056478125248</v>
      </c>
      <c r="N107" s="20">
        <f>IF((H107-J107)/(K107-J107)*(Geraetedaten!$B$174-Geraetedaten!$B$161)&lt;Geraetedaten!$B$174,(H107-J107)/(K107-J107)*(Geraetedaten!$B$174-Geraetedaten!$B$161),Geraetedaten!$B$174)</f>
        <v>-10.038779383835649</v>
      </c>
      <c r="O107" s="20">
        <f>N107/Geraetedaten!$B$174*(M107-L107)+L107+C107</f>
        <v>411.90295004933097</v>
      </c>
      <c r="P107" s="20">
        <f t="shared" si="75"/>
        <v>164.55508309494877</v>
      </c>
      <c r="Q107" s="21">
        <f>(N107-Geraetedaten!$B$161)/(Geraetedaten!$B$174-Geraetedaten!$B$161)*(Geraetedaten!$B$175-Geraetedaten!$B$162)+Geraetedaten!$B$162</f>
        <v>28.90134631333089</v>
      </c>
      <c r="R107" s="21">
        <f t="shared" si="76"/>
        <v>28.90134631333089</v>
      </c>
      <c r="S107" s="21">
        <f t="shared" si="77"/>
        <v>26.796861676963747</v>
      </c>
      <c r="T107" s="88">
        <f t="shared" si="78"/>
        <v>10.82663488757041</v>
      </c>
      <c r="U107" s="86">
        <f t="shared" si="79"/>
        <v>-5986.6697899999999</v>
      </c>
      <c r="V107" s="85">
        <f t="shared" si="80"/>
        <v>-1346.4914747781525</v>
      </c>
      <c r="W107" s="85">
        <f t="shared" si="81"/>
        <v>-1347.3116200936349</v>
      </c>
      <c r="X107" s="90">
        <f t="shared" si="82"/>
        <v>1346.4914747781525</v>
      </c>
      <c r="Y107" s="86">
        <f t="shared" si="83"/>
        <v>-19830.32415</v>
      </c>
      <c r="Z107" s="85">
        <f t="shared" si="84"/>
        <v>-818.62113479844345</v>
      </c>
      <c r="AA107" s="85">
        <f t="shared" si="85"/>
        <v>-1899.9607875192548</v>
      </c>
      <c r="AB107" s="90">
        <f t="shared" si="86"/>
        <v>818.62113479844345</v>
      </c>
      <c r="AC107" s="86">
        <f t="shared" si="87"/>
        <v>6001.5932899999998</v>
      </c>
      <c r="AD107" s="85">
        <f t="shared" si="88"/>
        <v>3384.56104615708</v>
      </c>
      <c r="AE107" s="85">
        <f t="shared" si="89"/>
        <v>3385.2288449590064</v>
      </c>
      <c r="AF107" s="90">
        <f t="shared" si="90"/>
        <v>3384.56104615708</v>
      </c>
      <c r="AG107" s="86">
        <f t="shared" si="91"/>
        <v>23218.024590000001</v>
      </c>
      <c r="AH107" s="85">
        <f t="shared" si="92"/>
        <v>6139.2748628683721</v>
      </c>
      <c r="AI107" s="85">
        <f t="shared" si="93"/>
        <v>15956.563473743459</v>
      </c>
      <c r="AJ107" s="90">
        <f t="shared" si="94"/>
        <v>6139.2748628683721</v>
      </c>
      <c r="AL107" s="95">
        <f t="shared" si="95"/>
        <v>0</v>
      </c>
      <c r="AM107" s="95">
        <f t="shared" si="96"/>
        <v>0</v>
      </c>
      <c r="AN107" s="95">
        <f t="shared" si="97"/>
        <v>0</v>
      </c>
      <c r="AO107" s="95">
        <f t="shared" si="98"/>
        <v>0</v>
      </c>
      <c r="AP107"/>
      <c r="AQ107" s="95">
        <f t="shared" si="99"/>
        <v>0</v>
      </c>
      <c r="AR107" s="95">
        <f t="shared" si="100"/>
        <v>0</v>
      </c>
      <c r="AS107" s="95">
        <f>Geraetedaten!$B$94*ABS(SIN(RADIANS($A107)))</f>
        <v>142.78631360328527</v>
      </c>
      <c r="AT107" s="95">
        <f>Geraetedaten!$B$94*ABS(COS(RADIANS($A107)))</f>
        <v>57.689415386050442</v>
      </c>
      <c r="AU107" s="95">
        <f>((h_Aw_Sw+Geraetedaten!$B$18)/1000)*(AQ107*AS107+AR107*AT107)/100</f>
        <v>0</v>
      </c>
    </row>
    <row r="108" spans="1:47" ht="13.5" x14ac:dyDescent="0.25">
      <c r="A108" s="16">
        <v>69</v>
      </c>
      <c r="B108" s="16">
        <f t="shared" si="68"/>
        <v>381</v>
      </c>
      <c r="C108" s="19">
        <f t="shared" si="69"/>
        <v>70.059249947248006</v>
      </c>
      <c r="D108" s="17">
        <f t="shared" si="70"/>
        <v>-6061.2915699472478</v>
      </c>
      <c r="E108" s="17">
        <f t="shared" si="71"/>
        <v>-20655.999409947246</v>
      </c>
      <c r="F108" s="17">
        <f t="shared" si="72"/>
        <v>5934.5304000527522</v>
      </c>
      <c r="G108" s="17">
        <f t="shared" si="73"/>
        <v>24166.405440052753</v>
      </c>
      <c r="H108" s="17">
        <f t="shared" si="101"/>
        <v>5934.5304000527522</v>
      </c>
      <c r="I108" s="17">
        <f t="shared" si="74"/>
        <v>3386.9189597134905</v>
      </c>
      <c r="J108" s="20">
        <f>(Geraetedaten!$B$152+(Geraetedaten!$B$153*(Geraetedaten!$B$18+d_y_Sw)/1000))*10</f>
        <v>6051.0442000000003</v>
      </c>
      <c r="K108" s="20">
        <f>(Geraetedaten!$B$165+(Geraetedaten!$B$166*(Geraetedaten!$B$18+d_y_Sw)/1000))*10</f>
        <v>10816.164000000001</v>
      </c>
      <c r="L108" s="20">
        <f>(Geraetedaten!$B$158+(Geraetedaten!$B$159*(Geraetedaten!$B$18+d_y_Sw)/1000)-(Geraetedaten!$B$160*I108/1000))*10</f>
        <v>353.17383268420951</v>
      </c>
      <c r="M108" s="20">
        <f>(Geraetedaten!$B$171+(Geraetedaten!$B$172*(Geraetedaten!$B$18+d_y_Sw)/1000)-(Geraetedaten!$B$173*I108/1000))*10</f>
        <v>812.74475263892873</v>
      </c>
      <c r="N108" s="20">
        <f>IF((H108-J108)/(K108-J108)*(Geraetedaten!$B$174-Geraetedaten!$B$161)&lt;Geraetedaten!$B$174,(H108-J108)/(K108-J108)*(Geraetedaten!$B$174-Geraetedaten!$B$161),Geraetedaten!$B$174)</f>
        <v>-9.7805557750928411</v>
      </c>
      <c r="O108" s="20">
        <f>N108/Geraetedaten!$B$174*(M108-L108)+L108+C108</f>
        <v>411.99593509338791</v>
      </c>
      <c r="P108" s="20">
        <f t="shared" si="75"/>
        <v>164.55358790232876</v>
      </c>
      <c r="Q108" s="21">
        <f>(N108-Geraetedaten!$B$161)/(Geraetedaten!$B$174-Geraetedaten!$B$161)*(Geraetedaten!$B$175-Geraetedaten!$B$162)+Geraetedaten!$B$162</f>
        <v>28.909028465690987</v>
      </c>
      <c r="R108" s="21">
        <f t="shared" si="76"/>
        <v>28.909028465690987</v>
      </c>
      <c r="S108" s="21">
        <f t="shared" si="77"/>
        <v>26.988903124619537</v>
      </c>
      <c r="T108" s="88">
        <f t="shared" si="78"/>
        <v>10.3600692545964</v>
      </c>
      <c r="U108" s="86">
        <f t="shared" si="79"/>
        <v>-5991.2323200000001</v>
      </c>
      <c r="V108" s="85">
        <f t="shared" si="80"/>
        <v>-1346.4914747781525</v>
      </c>
      <c r="W108" s="85">
        <f t="shared" si="81"/>
        <v>-1348.3384244347367</v>
      </c>
      <c r="X108" s="90">
        <f t="shared" si="82"/>
        <v>1346.4914747781525</v>
      </c>
      <c r="Y108" s="86">
        <f t="shared" si="83"/>
        <v>-20585.940159999998</v>
      </c>
      <c r="Z108" s="85">
        <f t="shared" si="84"/>
        <v>-818.62113479844345</v>
      </c>
      <c r="AA108" s="85">
        <f t="shared" si="85"/>
        <v>-1972.3570214981185</v>
      </c>
      <c r="AB108" s="90">
        <f t="shared" si="86"/>
        <v>818.62113479844345</v>
      </c>
      <c r="AC108" s="86">
        <f t="shared" si="87"/>
        <v>6004.5896499999999</v>
      </c>
      <c r="AD108" s="85">
        <f t="shared" si="88"/>
        <v>3384.56104615708</v>
      </c>
      <c r="AE108" s="85">
        <f t="shared" si="89"/>
        <v>3386.9189597134905</v>
      </c>
      <c r="AF108" s="90">
        <f t="shared" si="90"/>
        <v>3384.56104615708</v>
      </c>
      <c r="AG108" s="86">
        <f t="shared" si="91"/>
        <v>24236.464690000001</v>
      </c>
      <c r="AH108" s="85">
        <f t="shared" si="92"/>
        <v>6139.2748628683721</v>
      </c>
      <c r="AI108" s="85">
        <f t="shared" si="93"/>
        <v>16656.48538209467</v>
      </c>
      <c r="AJ108" s="90">
        <f t="shared" si="94"/>
        <v>6139.2748628683721</v>
      </c>
      <c r="AL108" s="95">
        <f t="shared" si="95"/>
        <v>0</v>
      </c>
      <c r="AM108" s="95">
        <f t="shared" si="96"/>
        <v>0</v>
      </c>
      <c r="AN108" s="95">
        <f t="shared" si="97"/>
        <v>0</v>
      </c>
      <c r="AO108" s="95">
        <f t="shared" si="98"/>
        <v>0</v>
      </c>
      <c r="AP108"/>
      <c r="AQ108" s="95">
        <f t="shared" si="99"/>
        <v>0</v>
      </c>
      <c r="AR108" s="95">
        <f t="shared" si="100"/>
        <v>0</v>
      </c>
      <c r="AS108" s="95">
        <f>Geraetedaten!$B$94*ABS(SIN(RADIANS($A108)))</f>
        <v>143.77138568056907</v>
      </c>
      <c r="AT108" s="95">
        <f>Geraetedaten!$B$94*ABS(COS(RADIANS($A108)))</f>
        <v>55.188664229976261</v>
      </c>
      <c r="AU108" s="95">
        <f>((h_Aw_Sw+Geraetedaten!$B$18)/1000)*(AQ108*AS108+AR108*AT108)/100</f>
        <v>0</v>
      </c>
    </row>
    <row r="109" spans="1:47" ht="13.5" x14ac:dyDescent="0.25">
      <c r="A109" s="16">
        <v>70</v>
      </c>
      <c r="B109" s="16">
        <f t="shared" si="68"/>
        <v>380</v>
      </c>
      <c r="C109" s="19">
        <f t="shared" si="69"/>
        <v>69.958103143915849</v>
      </c>
      <c r="D109" s="17">
        <f t="shared" si="70"/>
        <v>-6067.5882331439152</v>
      </c>
      <c r="E109" s="17">
        <f t="shared" si="71"/>
        <v>-21478.158933143917</v>
      </c>
      <c r="F109" s="17">
        <f t="shared" si="72"/>
        <v>5939.462346856084</v>
      </c>
      <c r="G109" s="17">
        <f t="shared" si="73"/>
        <v>25286.469856856085</v>
      </c>
      <c r="H109" s="17">
        <f t="shared" si="101"/>
        <v>5939.462346856084</v>
      </c>
      <c r="I109" s="17">
        <f t="shared" si="74"/>
        <v>3389.6437970207744</v>
      </c>
      <c r="J109" s="20">
        <f>(Geraetedaten!$B$152+(Geraetedaten!$B$153*(Geraetedaten!$B$18+d_y_Sw)/1000))*10</f>
        <v>6051.0442000000003</v>
      </c>
      <c r="K109" s="20">
        <f>(Geraetedaten!$B$165+(Geraetedaten!$B$166*(Geraetedaten!$B$18+d_y_Sw)/1000))*10</f>
        <v>10816.164000000001</v>
      </c>
      <c r="L109" s="20">
        <f>(Geraetedaten!$B$158+(Geraetedaten!$B$159*(Geraetedaten!$B$18+d_y_Sw)/1000)-(Geraetedaten!$B$160*I109/1000))*10</f>
        <v>352.97402036446641</v>
      </c>
      <c r="M109" s="20">
        <f>(Geraetedaten!$B$171+(Geraetedaten!$B$172*(Geraetedaten!$B$18+d_y_Sw)/1000)-(Geraetedaten!$B$173*I109/1000))*10</f>
        <v>812.54191574977438</v>
      </c>
      <c r="N109" s="20">
        <f>IF((H109-J109)/(K109-J109)*(Geraetedaten!$B$174-Geraetedaten!$B$161)&lt;Geraetedaten!$B$174,(H109-J109)/(K109-J109)*(Geraetedaten!$B$174-Geraetedaten!$B$161),Geraetedaten!$B$174)</f>
        <v>-9.3665517617346197</v>
      </c>
      <c r="O109" s="20">
        <f>N109/Geraetedaten!$B$174*(M109-L109)+L109+C109</f>
        <v>412.17070730798741</v>
      </c>
      <c r="P109" s="20">
        <f t="shared" si="75"/>
        <v>164.56154702164739</v>
      </c>
      <c r="Q109" s="21">
        <f>(N109-Geraetedaten!$B$161)/(Geraetedaten!$B$174-Geraetedaten!$B$161)*(Geraetedaten!$B$175-Geraetedaten!$B$162)+Geraetedaten!$B$162</f>
        <v>28.921345085088394</v>
      </c>
      <c r="R109" s="21">
        <f t="shared" si="76"/>
        <v>28.921345085088394</v>
      </c>
      <c r="S109" s="21">
        <f t="shared" si="77"/>
        <v>27.177174559660362</v>
      </c>
      <c r="T109" s="88">
        <f t="shared" si="78"/>
        <v>9.8916825911730601</v>
      </c>
      <c r="U109" s="86">
        <f t="shared" si="79"/>
        <v>-5997.6301299999996</v>
      </c>
      <c r="V109" s="85">
        <f t="shared" si="80"/>
        <v>-1346.4914747781525</v>
      </c>
      <c r="W109" s="85">
        <f t="shared" si="81"/>
        <v>-1349.7782641733934</v>
      </c>
      <c r="X109" s="90">
        <f t="shared" si="82"/>
        <v>1346.4914747781525</v>
      </c>
      <c r="Y109" s="86">
        <f t="shared" si="83"/>
        <v>-21408.200830000002</v>
      </c>
      <c r="Z109" s="85">
        <f t="shared" si="84"/>
        <v>-818.62113479844345</v>
      </c>
      <c r="AA109" s="85">
        <f t="shared" si="85"/>
        <v>-2051.1385393987848</v>
      </c>
      <c r="AB109" s="90">
        <f t="shared" si="86"/>
        <v>818.62113479844345</v>
      </c>
      <c r="AC109" s="86">
        <f t="shared" si="87"/>
        <v>6009.4204499999996</v>
      </c>
      <c r="AD109" s="85">
        <f t="shared" si="88"/>
        <v>3384.56104615708</v>
      </c>
      <c r="AE109" s="85">
        <f t="shared" si="89"/>
        <v>3389.6437970207744</v>
      </c>
      <c r="AF109" s="90">
        <f t="shared" si="90"/>
        <v>3384.56104615708</v>
      </c>
      <c r="AG109" s="86">
        <f t="shared" si="91"/>
        <v>25356.427960000001</v>
      </c>
      <c r="AH109" s="85">
        <f t="shared" si="92"/>
        <v>6139.2748628683721</v>
      </c>
      <c r="AI109" s="85">
        <f t="shared" si="93"/>
        <v>17426.178983571368</v>
      </c>
      <c r="AJ109" s="90">
        <f t="shared" si="94"/>
        <v>6139.2748628683721</v>
      </c>
      <c r="AL109" s="95">
        <f t="shared" si="95"/>
        <v>0</v>
      </c>
      <c r="AM109" s="95">
        <f t="shared" si="96"/>
        <v>0</v>
      </c>
      <c r="AN109" s="95">
        <f t="shared" si="97"/>
        <v>0</v>
      </c>
      <c r="AO109" s="95">
        <f t="shared" si="98"/>
        <v>0</v>
      </c>
      <c r="AP109"/>
      <c r="AQ109" s="95">
        <f t="shared" si="99"/>
        <v>0</v>
      </c>
      <c r="AR109" s="95">
        <f t="shared" si="100"/>
        <v>0</v>
      </c>
      <c r="AS109" s="95">
        <f>Geraetedaten!$B$94*ABS(SIN(RADIANS($A109)))</f>
        <v>144.71266360102987</v>
      </c>
      <c r="AT109" s="95">
        <f>Geraetedaten!$B$94*ABS(COS(RADIANS($A109)))</f>
        <v>52.671102072152998</v>
      </c>
      <c r="AU109" s="95">
        <f>((h_Aw_Sw+Geraetedaten!$B$18)/1000)*(AQ109*AS109+AR109*AT109)/100</f>
        <v>0</v>
      </c>
    </row>
    <row r="110" spans="1:47" ht="13.5" x14ac:dyDescent="0.25">
      <c r="A110" s="16">
        <v>71</v>
      </c>
      <c r="B110" s="16">
        <f t="shared" si="68"/>
        <v>379</v>
      </c>
      <c r="C110" s="19">
        <f t="shared" si="69"/>
        <v>69.835646424666692</v>
      </c>
      <c r="D110" s="17">
        <f t="shared" si="70"/>
        <v>-6075.7086664246663</v>
      </c>
      <c r="E110" s="17">
        <f t="shared" si="71"/>
        <v>-22375.794156424668</v>
      </c>
      <c r="F110" s="17">
        <f t="shared" si="72"/>
        <v>5946.2574235753336</v>
      </c>
      <c r="G110" s="17">
        <f t="shared" si="73"/>
        <v>26523.570063575331</v>
      </c>
      <c r="H110" s="17">
        <f t="shared" si="101"/>
        <v>5946.2574235753336</v>
      </c>
      <c r="I110" s="17">
        <f t="shared" si="74"/>
        <v>3393.4075192941646</v>
      </c>
      <c r="J110" s="20">
        <f>(Geraetedaten!$B$152+(Geraetedaten!$B$153*(Geraetedaten!$B$18+d_y_Sw)/1000))*10</f>
        <v>6051.0442000000003</v>
      </c>
      <c r="K110" s="20">
        <f>(Geraetedaten!$B$165+(Geraetedaten!$B$166*(Geraetedaten!$B$18+d_y_Sw)/1000))*10</f>
        <v>10816.164000000001</v>
      </c>
      <c r="L110" s="20">
        <f>(Geraetedaten!$B$158+(Geraetedaten!$B$159*(Geraetedaten!$B$18+d_y_Sw)/1000)-(Geraetedaten!$B$160*I110/1000))*10</f>
        <v>352.69802661015876</v>
      </c>
      <c r="M110" s="20">
        <f>(Geraetedaten!$B$171+(Geraetedaten!$B$172*(Geraetedaten!$B$18+d_y_Sw)/1000)-(Geraetedaten!$B$173*I110/1000))*10</f>
        <v>812.26174426374325</v>
      </c>
      <c r="N110" s="20">
        <f>IF((H110-J110)/(K110-J110)*(Geraetedaten!$B$174-Geraetedaten!$B$161)&lt;Geraetedaten!$B$174,(H110-J110)/(K110-J110)*(Geraetedaten!$B$174-Geraetedaten!$B$161),Geraetedaten!$B$174)</f>
        <v>-8.7961504283411003</v>
      </c>
      <c r="O110" s="20">
        <f>N110/Geraetedaten!$B$174*(M110-L110)+L110+C110</f>
        <v>412.42769405510398</v>
      </c>
      <c r="P110" s="20">
        <f t="shared" si="75"/>
        <v>164.5790255491375</v>
      </c>
      <c r="Q110" s="21">
        <f>(N110-Geraetedaten!$B$161)/(Geraetedaten!$B$174-Geraetedaten!$B$161)*(Geraetedaten!$B$175-Geraetedaten!$B$162)+Geraetedaten!$B$162</f>
        <v>28.938314524756851</v>
      </c>
      <c r="R110" s="21">
        <f t="shared" si="76"/>
        <v>28.938314524756851</v>
      </c>
      <c r="S110" s="21">
        <f t="shared" si="77"/>
        <v>27.361713929693117</v>
      </c>
      <c r="T110" s="88">
        <f t="shared" si="78"/>
        <v>9.421393652925822</v>
      </c>
      <c r="U110" s="86">
        <f t="shared" si="79"/>
        <v>-6005.87302</v>
      </c>
      <c r="V110" s="85">
        <f t="shared" si="80"/>
        <v>-1346.4914747781525</v>
      </c>
      <c r="W110" s="85">
        <f t="shared" si="81"/>
        <v>-1351.6333430411887</v>
      </c>
      <c r="X110" s="90">
        <f t="shared" si="82"/>
        <v>1346.4914747781525</v>
      </c>
      <c r="Y110" s="86">
        <f t="shared" si="83"/>
        <v>-22305.95851</v>
      </c>
      <c r="Z110" s="85">
        <f t="shared" si="84"/>
        <v>-818.62113479844345</v>
      </c>
      <c r="AA110" s="85">
        <f t="shared" si="85"/>
        <v>-2137.15349208921</v>
      </c>
      <c r="AB110" s="90">
        <f t="shared" si="86"/>
        <v>818.62113479844345</v>
      </c>
      <c r="AC110" s="86">
        <f t="shared" si="87"/>
        <v>6016.0930699999999</v>
      </c>
      <c r="AD110" s="85">
        <f t="shared" si="88"/>
        <v>3384.56104615708</v>
      </c>
      <c r="AE110" s="85">
        <f t="shared" si="89"/>
        <v>3393.4075192941646</v>
      </c>
      <c r="AF110" s="90">
        <f t="shared" si="90"/>
        <v>3384.56104615708</v>
      </c>
      <c r="AG110" s="86">
        <f t="shared" si="91"/>
        <v>26593.405709999999</v>
      </c>
      <c r="AH110" s="85">
        <f t="shared" si="92"/>
        <v>6139.2748628683721</v>
      </c>
      <c r="AI110" s="85">
        <f t="shared" si="93"/>
        <v>18276.290670950872</v>
      </c>
      <c r="AJ110" s="90">
        <f t="shared" si="94"/>
        <v>6139.2748628683721</v>
      </c>
      <c r="AL110" s="95">
        <f t="shared" si="95"/>
        <v>0</v>
      </c>
      <c r="AM110" s="95">
        <f t="shared" si="96"/>
        <v>0</v>
      </c>
      <c r="AN110" s="95">
        <f t="shared" si="97"/>
        <v>0</v>
      </c>
      <c r="AO110" s="95">
        <f t="shared" si="98"/>
        <v>0</v>
      </c>
      <c r="AP110"/>
      <c r="AQ110" s="95">
        <f t="shared" si="99"/>
        <v>0</v>
      </c>
      <c r="AR110" s="95">
        <f t="shared" si="100"/>
        <v>0</v>
      </c>
      <c r="AS110" s="95">
        <f>Geraetedaten!$B$94*ABS(SIN(RADIANS($A110)))</f>
        <v>145.60986064229479</v>
      </c>
      <c r="AT110" s="95">
        <f>Geraetedaten!$B$94*ABS(COS(RADIANS($A110)))</f>
        <v>50.137495786402141</v>
      </c>
      <c r="AU110" s="95">
        <f>((h_Aw_Sw+Geraetedaten!$B$18)/1000)*(AQ110*AS110+AR110*AT110)/100</f>
        <v>0</v>
      </c>
    </row>
    <row r="111" spans="1:47" ht="13.5" x14ac:dyDescent="0.25">
      <c r="A111" s="16">
        <v>72</v>
      </c>
      <c r="B111" s="16">
        <f t="shared" si="68"/>
        <v>378</v>
      </c>
      <c r="C111" s="19">
        <f t="shared" si="69"/>
        <v>69.691917091003489</v>
      </c>
      <c r="D111" s="17">
        <f t="shared" si="70"/>
        <v>-6085.6655670910031</v>
      </c>
      <c r="E111" s="17">
        <f t="shared" si="71"/>
        <v>-23359.403977091006</v>
      </c>
      <c r="F111" s="17">
        <f t="shared" si="72"/>
        <v>5954.9257929089972</v>
      </c>
      <c r="G111" s="17">
        <f t="shared" si="73"/>
        <v>27896.525232908996</v>
      </c>
      <c r="H111" s="17">
        <f t="shared" si="101"/>
        <v>5954.9257929089972</v>
      </c>
      <c r="I111" s="17">
        <f t="shared" si="74"/>
        <v>3398.2158891482527</v>
      </c>
      <c r="J111" s="20">
        <f>(Geraetedaten!$B$152+(Geraetedaten!$B$153*(Geraetedaten!$B$18+d_y_Sw)/1000))*10</f>
        <v>6051.0442000000003</v>
      </c>
      <c r="K111" s="20">
        <f>(Geraetedaten!$B$165+(Geraetedaten!$B$166*(Geraetedaten!$B$18+d_y_Sw)/1000))*10</f>
        <v>10816.164000000001</v>
      </c>
      <c r="L111" s="20">
        <f>(Geraetedaten!$B$158+(Geraetedaten!$B$159*(Geraetedaten!$B$18+d_y_Sw)/1000)-(Geraetedaten!$B$160*I111/1000))*10</f>
        <v>352.34542884875844</v>
      </c>
      <c r="M111" s="20">
        <f>(Geraetedaten!$B$171+(Geraetedaten!$B$172*(Geraetedaten!$B$18+d_y_Sw)/1000)-(Geraetedaten!$B$173*I111/1000))*10</f>
        <v>811.90380921180486</v>
      </c>
      <c r="N111" s="20">
        <f>IF((H111-J111)/(K111-J111)*(Geraetedaten!$B$174-Geraetedaten!$B$161)&lt;Geraetedaten!$B$174,(H111-J111)/(K111-J111)*(Geraetedaten!$B$174-Geraetedaten!$B$161),Geraetedaten!$B$174)</f>
        <v>-8.0684986842096222</v>
      </c>
      <c r="O111" s="20">
        <f>N111/Geraetedaten!$B$174*(M111-L111)+L111+C111</f>
        <v>412.76748047157002</v>
      </c>
      <c r="P111" s="20">
        <f t="shared" si="75"/>
        <v>164.60610833885806</v>
      </c>
      <c r="Q111" s="21">
        <f>(N111-Geraetedaten!$B$161)/(Geraetedaten!$B$174-Geraetedaten!$B$161)*(Geraetedaten!$B$175-Geraetedaten!$B$162)+Geraetedaten!$B$162</f>
        <v>28.959962164144763</v>
      </c>
      <c r="R111" s="21">
        <f t="shared" si="76"/>
        <v>28.959962164144763</v>
      </c>
      <c r="S111" s="21">
        <f t="shared" si="77"/>
        <v>27.542560727870974</v>
      </c>
      <c r="T111" s="88">
        <f t="shared" si="78"/>
        <v>8.9491204651762128</v>
      </c>
      <c r="U111" s="86">
        <f t="shared" si="79"/>
        <v>-6015.9736499999999</v>
      </c>
      <c r="V111" s="85">
        <f t="shared" si="80"/>
        <v>-1346.4914747781525</v>
      </c>
      <c r="W111" s="85">
        <f t="shared" si="81"/>
        <v>-1353.9065086338558</v>
      </c>
      <c r="X111" s="90">
        <f t="shared" si="82"/>
        <v>1346.4914747781525</v>
      </c>
      <c r="Y111" s="86">
        <f t="shared" si="83"/>
        <v>-23289.712060000002</v>
      </c>
      <c r="Z111" s="85">
        <f t="shared" si="84"/>
        <v>-818.62113479844345</v>
      </c>
      <c r="AA111" s="85">
        <f t="shared" si="85"/>
        <v>-2231.4077842455085</v>
      </c>
      <c r="AB111" s="90">
        <f t="shared" si="86"/>
        <v>818.62113479844345</v>
      </c>
      <c r="AC111" s="86">
        <f t="shared" si="87"/>
        <v>6024.6177100000004</v>
      </c>
      <c r="AD111" s="85">
        <f t="shared" si="88"/>
        <v>3384.56104615708</v>
      </c>
      <c r="AE111" s="85">
        <f t="shared" si="89"/>
        <v>3398.2158891482527</v>
      </c>
      <c r="AF111" s="90">
        <f t="shared" si="90"/>
        <v>3384.56104615708</v>
      </c>
      <c r="AG111" s="86">
        <f t="shared" si="91"/>
        <v>27966.21715</v>
      </c>
      <c r="AH111" s="85">
        <f t="shared" si="92"/>
        <v>6139.2748628683721</v>
      </c>
      <c r="AI111" s="85">
        <f t="shared" si="93"/>
        <v>19219.753917783262</v>
      </c>
      <c r="AJ111" s="90">
        <f t="shared" si="94"/>
        <v>6139.2748628683721</v>
      </c>
      <c r="AL111" s="95">
        <f t="shared" si="95"/>
        <v>0</v>
      </c>
      <c r="AM111" s="95">
        <f t="shared" si="96"/>
        <v>0</v>
      </c>
      <c r="AN111" s="95">
        <f t="shared" si="97"/>
        <v>0</v>
      </c>
      <c r="AO111" s="95">
        <f t="shared" si="98"/>
        <v>0</v>
      </c>
      <c r="AP111"/>
      <c r="AQ111" s="95">
        <f t="shared" si="99"/>
        <v>0</v>
      </c>
      <c r="AR111" s="95">
        <f t="shared" si="100"/>
        <v>0</v>
      </c>
      <c r="AS111" s="95">
        <f>Geraetedaten!$B$94*ABS(SIN(RADIANS($A111)))</f>
        <v>146.46270350945363</v>
      </c>
      <c r="AT111" s="95">
        <f>Geraetedaten!$B$94*ABS(COS(RADIANS($A111)))</f>
        <v>47.588617133741906</v>
      </c>
      <c r="AU111" s="95">
        <f>((h_Aw_Sw+Geraetedaten!$B$18)/1000)*(AQ111*AS111+AR111*AT111)/100</f>
        <v>0</v>
      </c>
    </row>
    <row r="112" spans="1:47" ht="13.5" x14ac:dyDescent="0.25">
      <c r="A112" s="16">
        <v>73</v>
      </c>
      <c r="B112" s="16">
        <f t="shared" si="68"/>
        <v>377</v>
      </c>
      <c r="C112" s="19">
        <f t="shared" si="69"/>
        <v>69.526958924273615</v>
      </c>
      <c r="D112" s="17">
        <f t="shared" si="70"/>
        <v>-6097.4745289242737</v>
      </c>
      <c r="E112" s="17">
        <f t="shared" si="71"/>
        <v>-24441.534928924273</v>
      </c>
      <c r="F112" s="17">
        <f t="shared" si="72"/>
        <v>5965.4805210757268</v>
      </c>
      <c r="G112" s="17">
        <f t="shared" si="73"/>
        <v>29428.426271075725</v>
      </c>
      <c r="H112" s="17">
        <f t="shared" si="101"/>
        <v>5965.4805210757268</v>
      </c>
      <c r="I112" s="17">
        <f t="shared" si="74"/>
        <v>3404.0762909875343</v>
      </c>
      <c r="J112" s="20">
        <f>(Geraetedaten!$B$152+(Geraetedaten!$B$153*(Geraetedaten!$B$18+d_y_Sw)/1000))*10</f>
        <v>6051.0442000000003</v>
      </c>
      <c r="K112" s="20">
        <f>(Geraetedaten!$B$165+(Geraetedaten!$B$166*(Geraetedaten!$B$18+d_y_Sw)/1000))*10</f>
        <v>10816.164000000001</v>
      </c>
      <c r="L112" s="20">
        <f>(Geraetedaten!$B$158+(Geraetedaten!$B$159*(Geraetedaten!$B$18+d_y_Sw)/1000)-(Geraetedaten!$B$160*I112/1000))*10</f>
        <v>351.91568558188396</v>
      </c>
      <c r="M112" s="20">
        <f>(Geraetedaten!$B$171+(Geraetedaten!$B$172*(Geraetedaten!$B$18+d_y_Sw)/1000)-(Geraetedaten!$B$173*I112/1000))*10</f>
        <v>811.46756089888879</v>
      </c>
      <c r="N112" s="20">
        <f>IF((H112-J112)/(K112-J112)*(Geraetedaten!$B$174-Geraetedaten!$B$161)&lt;Geraetedaten!$B$174,(H112-J112)/(K112-J112)*(Geraetedaten!$B$174-Geraetedaten!$B$161),Geraetedaten!$B$174)</f>
        <v>-7.1824997075014583</v>
      </c>
      <c r="O112" s="20">
        <f>N112/Geraetedaten!$B$174*(M112-L112)+L112+C112</f>
        <v>413.19081648104225</v>
      </c>
      <c r="P112" s="20">
        <f t="shared" si="75"/>
        <v>164.64290122576875</v>
      </c>
      <c r="Q112" s="21">
        <f>(N112-Geraetedaten!$B$161)/(Geraetedaten!$B$174-Geraetedaten!$B$161)*(Geraetedaten!$B$175-Geraetedaten!$B$162)+Geraetedaten!$B$162</f>
        <v>28.98632063370183</v>
      </c>
      <c r="R112" s="21">
        <f t="shared" si="76"/>
        <v>28.98632063370183</v>
      </c>
      <c r="S112" s="21">
        <f t="shared" si="77"/>
        <v>27.719756279878528</v>
      </c>
      <c r="T112" s="88">
        <f t="shared" si="78"/>
        <v>8.4747799773152437</v>
      </c>
      <c r="U112" s="86">
        <f t="shared" si="79"/>
        <v>-6027.9475700000003</v>
      </c>
      <c r="V112" s="85">
        <f t="shared" si="80"/>
        <v>-1346.4914747781525</v>
      </c>
      <c r="W112" s="85">
        <f t="shared" si="81"/>
        <v>-1356.6012631191807</v>
      </c>
      <c r="X112" s="90">
        <f t="shared" si="82"/>
        <v>1346.4914747781525</v>
      </c>
      <c r="Y112" s="86">
        <f t="shared" si="83"/>
        <v>-24372.007969999999</v>
      </c>
      <c r="Z112" s="85">
        <f t="shared" si="84"/>
        <v>-818.62113479844345</v>
      </c>
      <c r="AA112" s="85">
        <f t="shared" si="85"/>
        <v>-2335.1035065474844</v>
      </c>
      <c r="AB112" s="90">
        <f t="shared" si="86"/>
        <v>818.62113479844345</v>
      </c>
      <c r="AC112" s="86">
        <f t="shared" si="87"/>
        <v>6035.0074800000002</v>
      </c>
      <c r="AD112" s="85">
        <f t="shared" si="88"/>
        <v>3384.56104615708</v>
      </c>
      <c r="AE112" s="85">
        <f t="shared" si="89"/>
        <v>3404.0762909875343</v>
      </c>
      <c r="AF112" s="90">
        <f t="shared" si="90"/>
        <v>3384.56104615708</v>
      </c>
      <c r="AG112" s="86">
        <f t="shared" si="91"/>
        <v>29497.953229999999</v>
      </c>
      <c r="AH112" s="85">
        <f t="shared" si="92"/>
        <v>6139.2748628683721</v>
      </c>
      <c r="AI112" s="85">
        <f t="shared" si="93"/>
        <v>20272.437960079271</v>
      </c>
      <c r="AJ112" s="90">
        <f t="shared" si="94"/>
        <v>6139.2748628683721</v>
      </c>
      <c r="AL112" s="95">
        <f t="shared" si="95"/>
        <v>0</v>
      </c>
      <c r="AM112" s="95">
        <f t="shared" si="96"/>
        <v>0</v>
      </c>
      <c r="AN112" s="95">
        <f t="shared" si="97"/>
        <v>0</v>
      </c>
      <c r="AO112" s="95">
        <f t="shared" si="98"/>
        <v>0</v>
      </c>
      <c r="AP112"/>
      <c r="AQ112" s="95">
        <f t="shared" si="99"/>
        <v>0</v>
      </c>
      <c r="AR112" s="95">
        <f t="shared" si="100"/>
        <v>0</v>
      </c>
      <c r="AS112" s="95">
        <f>Geraetedaten!$B$94*ABS(SIN(RADIANS($A112)))</f>
        <v>147.27093241830747</v>
      </c>
      <c r="AT112" s="95">
        <f>Geraetedaten!$B$94*ABS(COS(RADIANS($A112)))</f>
        <v>45.025242527301465</v>
      </c>
      <c r="AU112" s="95">
        <f>((h_Aw_Sw+Geraetedaten!$B$18)/1000)*(AQ112*AS112+AR112*AT112)/100</f>
        <v>0</v>
      </c>
    </row>
    <row r="113" spans="1:47" ht="13.5" x14ac:dyDescent="0.25">
      <c r="A113" s="16">
        <v>74</v>
      </c>
      <c r="B113" s="16">
        <f t="shared" si="68"/>
        <v>376</v>
      </c>
      <c r="C113" s="19">
        <f t="shared" si="69"/>
        <v>69.340822172332622</v>
      </c>
      <c r="D113" s="17">
        <f t="shared" si="70"/>
        <v>-6111.1541421723332</v>
      </c>
      <c r="E113" s="17">
        <f t="shared" si="71"/>
        <v>-25637.305602172331</v>
      </c>
      <c r="F113" s="17">
        <f t="shared" si="72"/>
        <v>5977.9375678276674</v>
      </c>
      <c r="G113" s="17">
        <f t="shared" si="73"/>
        <v>31147.920317827666</v>
      </c>
      <c r="H113" s="17">
        <f t="shared" si="101"/>
        <v>5977.9375678276674</v>
      </c>
      <c r="I113" s="17">
        <f t="shared" si="74"/>
        <v>3410.9977587929689</v>
      </c>
      <c r="J113" s="20">
        <f>(Geraetedaten!$B$152+(Geraetedaten!$B$153*(Geraetedaten!$B$18+d_y_Sw)/1000))*10</f>
        <v>6051.0442000000003</v>
      </c>
      <c r="K113" s="20">
        <f>(Geraetedaten!$B$165+(Geraetedaten!$B$166*(Geraetedaten!$B$18+d_y_Sw)/1000))*10</f>
        <v>10816.164000000001</v>
      </c>
      <c r="L113" s="20">
        <f>(Geraetedaten!$B$158+(Geraetedaten!$B$159*(Geraetedaten!$B$18+d_y_Sw)/1000)-(Geraetedaten!$B$160*I113/1000))*10</f>
        <v>351.40813434771133</v>
      </c>
      <c r="M113" s="20">
        <f>(Geraetedaten!$B$171+(Geraetedaten!$B$172*(Geraetedaten!$B$18+d_y_Sw)/1000)-(Geraetedaten!$B$173*I113/1000))*10</f>
        <v>810.95232683545237</v>
      </c>
      <c r="N113" s="20">
        <f>IF((H113-J113)/(K113-J113)*(Geraetedaten!$B$174-Geraetedaten!$B$161)&lt;Geraetedaten!$B$174,(H113-J113)/(K113-J113)*(Geraetedaten!$B$174-Geraetedaten!$B$161),Geraetedaten!$B$174)</f>
        <v>-6.1368137835554819</v>
      </c>
      <c r="O113" s="20">
        <f>N113/Geraetedaten!$B$174*(M113-L113)+L113+C113</f>
        <v>413.69861368351485</v>
      </c>
      <c r="P113" s="20">
        <f t="shared" si="75"/>
        <v>164.68952978169779</v>
      </c>
      <c r="Q113" s="21">
        <f>(N113-Geraetedaten!$B$161)/(Geraetedaten!$B$174-Geraetedaten!$B$161)*(Geraetedaten!$B$175-Geraetedaten!$B$162)+Geraetedaten!$B$162</f>
        <v>29.017429789939225</v>
      </c>
      <c r="R113" s="21">
        <f t="shared" si="76"/>
        <v>29.017429789939225</v>
      </c>
      <c r="S113" s="21">
        <f t="shared" si="77"/>
        <v>27.893343771648077</v>
      </c>
      <c r="T113" s="88">
        <f t="shared" si="78"/>
        <v>7.9982876199042696</v>
      </c>
      <c r="U113" s="86">
        <f t="shared" si="79"/>
        <v>-6041.8133200000002</v>
      </c>
      <c r="V113" s="85">
        <f t="shared" si="80"/>
        <v>-1346.4914747781525</v>
      </c>
      <c r="W113" s="85">
        <f t="shared" si="81"/>
        <v>-1359.7217764765226</v>
      </c>
      <c r="X113" s="90">
        <f t="shared" si="82"/>
        <v>1346.4914747781525</v>
      </c>
      <c r="Y113" s="86">
        <f t="shared" si="83"/>
        <v>-25567.964779999998</v>
      </c>
      <c r="Z113" s="85">
        <f t="shared" si="84"/>
        <v>-818.62113479844345</v>
      </c>
      <c r="AA113" s="85">
        <f t="shared" si="85"/>
        <v>-2449.6891798167298</v>
      </c>
      <c r="AB113" s="90">
        <f t="shared" si="86"/>
        <v>818.62113479844345</v>
      </c>
      <c r="AC113" s="86">
        <f t="shared" si="87"/>
        <v>6047.2783900000004</v>
      </c>
      <c r="AD113" s="85">
        <f t="shared" si="88"/>
        <v>3384.56104615708</v>
      </c>
      <c r="AE113" s="85">
        <f t="shared" si="89"/>
        <v>3410.9977587929689</v>
      </c>
      <c r="AF113" s="90">
        <f t="shared" si="90"/>
        <v>3384.56104615708</v>
      </c>
      <c r="AG113" s="86">
        <f t="shared" si="91"/>
        <v>31217.261139999999</v>
      </c>
      <c r="AH113" s="85">
        <f t="shared" si="92"/>
        <v>6139.2748628683721</v>
      </c>
      <c r="AI113" s="85">
        <f t="shared" si="93"/>
        <v>21454.030545252546</v>
      </c>
      <c r="AJ113" s="90">
        <f t="shared" si="94"/>
        <v>6139.2748628683721</v>
      </c>
      <c r="AL113" s="95">
        <f t="shared" si="95"/>
        <v>0</v>
      </c>
      <c r="AM113" s="95">
        <f t="shared" si="96"/>
        <v>0</v>
      </c>
      <c r="AN113" s="95">
        <f t="shared" si="97"/>
        <v>0</v>
      </c>
      <c r="AO113" s="95">
        <f t="shared" si="98"/>
        <v>0</v>
      </c>
      <c r="AP113"/>
      <c r="AQ113" s="95">
        <f t="shared" si="99"/>
        <v>0</v>
      </c>
      <c r="AR113" s="95">
        <f t="shared" si="100"/>
        <v>0</v>
      </c>
      <c r="AS113" s="95">
        <f>Geraetedaten!$B$94*ABS(SIN(RADIANS($A113)))</f>
        <v>148.03430117450111</v>
      </c>
      <c r="AT113" s="95">
        <f>Geraetedaten!$B$94*ABS(COS(RADIANS($A113)))</f>
        <v>42.448152795817869</v>
      </c>
      <c r="AU113" s="95">
        <f>((h_Aw_Sw+Geraetedaten!$B$18)/1000)*(AQ113*AS113+AR113*AT113)/100</f>
        <v>0</v>
      </c>
    </row>
    <row r="114" spans="1:47" ht="13.5" x14ac:dyDescent="0.25">
      <c r="A114" s="16">
        <v>75</v>
      </c>
      <c r="B114" s="16">
        <f t="shared" si="68"/>
        <v>375</v>
      </c>
      <c r="C114" s="19">
        <f t="shared" si="69"/>
        <v>69.133563534238306</v>
      </c>
      <c r="D114" s="17">
        <f t="shared" si="70"/>
        <v>-6126.7260235342383</v>
      </c>
      <c r="E114" s="17">
        <f t="shared" si="71"/>
        <v>-26965.100933534235</v>
      </c>
      <c r="F114" s="17">
        <f t="shared" si="72"/>
        <v>5992.3158764657619</v>
      </c>
      <c r="G114" s="17">
        <f t="shared" si="73"/>
        <v>33090.988316465759</v>
      </c>
      <c r="H114" s="17">
        <f t="shared" si="101"/>
        <v>5992.3158764657619</v>
      </c>
      <c r="I114" s="17">
        <f t="shared" si="74"/>
        <v>3418.9910103019101</v>
      </c>
      <c r="J114" s="20">
        <f>(Geraetedaten!$B$152+(Geraetedaten!$B$153*(Geraetedaten!$B$18+d_y_Sw)/1000))*10</f>
        <v>6051.0442000000003</v>
      </c>
      <c r="K114" s="20">
        <f>(Geraetedaten!$B$165+(Geraetedaten!$B$166*(Geraetedaten!$B$18+d_y_Sw)/1000))*10</f>
        <v>10816.164000000001</v>
      </c>
      <c r="L114" s="20">
        <f>(Geraetedaten!$B$158+(Geraetedaten!$B$159*(Geraetedaten!$B$18+d_y_Sw)/1000)-(Geraetedaten!$B$160*I114/1000))*10</f>
        <v>350.82198921456069</v>
      </c>
      <c r="M114" s="20">
        <f>(Geraetedaten!$B$171+(Geraetedaten!$B$172*(Geraetedaten!$B$18+d_y_Sw)/1000)-(Geraetedaten!$B$173*I114/1000))*10</f>
        <v>810.35730919312664</v>
      </c>
      <c r="N114" s="20">
        <f>IF((H114-J114)/(K114-J114)*(Geraetedaten!$B$174-Geraetedaten!$B$161)&lt;Geraetedaten!$B$174,(H114-J114)/(K114-J114)*(Geraetedaten!$B$174-Geraetedaten!$B$161),Geraetedaten!$B$174)</f>
        <v>-4.9298507487042293</v>
      </c>
      <c r="O114" s="20">
        <f>N114/Geraetedaten!$B$174*(M114-L114)+L114+C114</f>
        <v>414.29195139566809</v>
      </c>
      <c r="P114" s="20">
        <f t="shared" si="75"/>
        <v>164.74614007560186</v>
      </c>
      <c r="Q114" s="21">
        <f>(N114-Geraetedaten!$B$161)/(Geraetedaten!$B$174-Geraetedaten!$B$161)*(Geraetedaten!$B$175-Geraetedaten!$B$162)+Geraetedaten!$B$162</f>
        <v>29.05333694022605</v>
      </c>
      <c r="R114" s="21">
        <f t="shared" si="76"/>
        <v>29.05333694022605</v>
      </c>
      <c r="S114" s="21">
        <f t="shared" si="77"/>
        <v>28.06336849044256</v>
      </c>
      <c r="T114" s="88">
        <f t="shared" si="78"/>
        <v>7.5195569239110975</v>
      </c>
      <c r="U114" s="86">
        <f t="shared" si="79"/>
        <v>-6057.5924599999998</v>
      </c>
      <c r="V114" s="85">
        <f t="shared" si="80"/>
        <v>-1346.4914747781525</v>
      </c>
      <c r="W114" s="85">
        <f t="shared" si="81"/>
        <v>-1363.2729023616357</v>
      </c>
      <c r="X114" s="90">
        <f t="shared" si="82"/>
        <v>1346.4914747781525</v>
      </c>
      <c r="Y114" s="86">
        <f t="shared" si="83"/>
        <v>-26895.967369999998</v>
      </c>
      <c r="Z114" s="85">
        <f t="shared" si="84"/>
        <v>-818.62113479844345</v>
      </c>
      <c r="AA114" s="85">
        <f t="shared" si="85"/>
        <v>-2576.9262750985704</v>
      </c>
      <c r="AB114" s="90">
        <f t="shared" si="86"/>
        <v>818.62113479844345</v>
      </c>
      <c r="AC114" s="86">
        <f t="shared" si="87"/>
        <v>6061.4494400000003</v>
      </c>
      <c r="AD114" s="85">
        <f t="shared" si="88"/>
        <v>3384.56104615708</v>
      </c>
      <c r="AE114" s="85">
        <f t="shared" si="89"/>
        <v>3418.9910103019101</v>
      </c>
      <c r="AF114" s="90">
        <f t="shared" si="90"/>
        <v>3384.56104615708</v>
      </c>
      <c r="AG114" s="86">
        <f t="shared" si="91"/>
        <v>33160.121879999999</v>
      </c>
      <c r="AH114" s="85">
        <f t="shared" si="92"/>
        <v>6139.2748628683721</v>
      </c>
      <c r="AI114" s="85">
        <f t="shared" si="93"/>
        <v>22789.259589135581</v>
      </c>
      <c r="AJ114" s="90">
        <f t="shared" si="94"/>
        <v>6139.2748628683721</v>
      </c>
      <c r="AL114" s="95">
        <f t="shared" si="95"/>
        <v>0</v>
      </c>
      <c r="AM114" s="95">
        <f t="shared" si="96"/>
        <v>0</v>
      </c>
      <c r="AN114" s="95">
        <f t="shared" si="97"/>
        <v>0</v>
      </c>
      <c r="AO114" s="95">
        <f t="shared" si="98"/>
        <v>0</v>
      </c>
      <c r="AP114"/>
      <c r="AQ114" s="95">
        <f t="shared" si="99"/>
        <v>0</v>
      </c>
      <c r="AR114" s="95">
        <f t="shared" si="100"/>
        <v>0</v>
      </c>
      <c r="AS114" s="95">
        <f>Geraetedaten!$B$94*ABS(SIN(RADIANS($A114)))</f>
        <v>148.75257724851653</v>
      </c>
      <c r="AT114" s="95">
        <f>Geraetedaten!$B$94*ABS(COS(RADIANS($A114)))</f>
        <v>39.858132945788192</v>
      </c>
      <c r="AU114" s="95">
        <f>((h_Aw_Sw+Geraetedaten!$B$18)/1000)*(AQ114*AS114+AR114*AT114)/100</f>
        <v>0</v>
      </c>
    </row>
    <row r="115" spans="1:47" ht="13.5" x14ac:dyDescent="0.25">
      <c r="A115" s="16">
        <v>76</v>
      </c>
      <c r="B115" s="16">
        <f t="shared" si="68"/>
        <v>374</v>
      </c>
      <c r="C115" s="19">
        <f t="shared" si="69"/>
        <v>68.905246142979607</v>
      </c>
      <c r="D115" s="17">
        <f t="shared" si="70"/>
        <v>-6144.2149161429788</v>
      </c>
      <c r="E115" s="17">
        <f t="shared" si="71"/>
        <v>-28447.504216142977</v>
      </c>
      <c r="F115" s="17">
        <f t="shared" si="72"/>
        <v>6008.637443857021</v>
      </c>
      <c r="G115" s="17">
        <f t="shared" si="73"/>
        <v>35303.451783857017</v>
      </c>
      <c r="H115" s="17">
        <f t="shared" si="101"/>
        <v>6008.637443857021</v>
      </c>
      <c r="I115" s="17">
        <f t="shared" si="74"/>
        <v>3428.0684878235306</v>
      </c>
      <c r="J115" s="20">
        <f>(Geraetedaten!$B$152+(Geraetedaten!$B$153*(Geraetedaten!$B$18+d_y_Sw)/1000))*10</f>
        <v>6051.0442000000003</v>
      </c>
      <c r="K115" s="20">
        <f>(Geraetedaten!$B$165+(Geraetedaten!$B$166*(Geraetedaten!$B$18+d_y_Sw)/1000))*10</f>
        <v>10816.164000000001</v>
      </c>
      <c r="L115" s="20">
        <f>(Geraetedaten!$B$158+(Geraetedaten!$B$159*(Geraetedaten!$B$18+d_y_Sw)/1000)-(Geraetedaten!$B$160*I115/1000))*10</f>
        <v>350.15633778790033</v>
      </c>
      <c r="M115" s="20">
        <f>(Geraetedaten!$B$171+(Geraetedaten!$B$172*(Geraetedaten!$B$18+d_y_Sw)/1000)-(Geraetedaten!$B$173*I115/1000))*10</f>
        <v>809.68158176641737</v>
      </c>
      <c r="N115" s="20">
        <f>IF((H115-J115)/(K115-J115)*(Geraetedaten!$B$174-Geraetedaten!$B$161)&lt;Geraetedaten!$B$174,(H115-J115)/(K115-J115)*(Geraetedaten!$B$174-Geraetedaten!$B$161),Geraetedaten!$B$174)</f>
        <v>-3.5597641127913922</v>
      </c>
      <c r="O115" s="20">
        <f>N115/Geraetedaten!$B$174*(M115-L115)+L115+C115</f>
        <v>414.97208024978886</v>
      </c>
      <c r="P115" s="20">
        <f t="shared" si="75"/>
        <v>164.81289874064677</v>
      </c>
      <c r="Q115" s="21">
        <f>(N115-Geraetedaten!$B$161)/(Geraetedaten!$B$174-Geraetedaten!$B$161)*(Geraetedaten!$B$175-Geraetedaten!$B$162)+Geraetedaten!$B$162</f>
        <v>29.094097017644454</v>
      </c>
      <c r="R115" s="21">
        <f t="shared" si="76"/>
        <v>29.094097017644454</v>
      </c>
      <c r="S115" s="21">
        <f t="shared" si="77"/>
        <v>28.22987799607963</v>
      </c>
      <c r="T115" s="88">
        <f t="shared" si="78"/>
        <v>7.038499101269184</v>
      </c>
      <c r="U115" s="86">
        <f t="shared" si="79"/>
        <v>-6075.3096699999996</v>
      </c>
      <c r="V115" s="85">
        <f t="shared" si="80"/>
        <v>-1346.4914747781525</v>
      </c>
      <c r="W115" s="85">
        <f t="shared" si="81"/>
        <v>-1367.2601967099831</v>
      </c>
      <c r="X115" s="90">
        <f t="shared" si="82"/>
        <v>1346.4914747781525</v>
      </c>
      <c r="Y115" s="86">
        <f t="shared" si="83"/>
        <v>-28378.598969999999</v>
      </c>
      <c r="Z115" s="85">
        <f t="shared" si="84"/>
        <v>-818.62113479844345</v>
      </c>
      <c r="AA115" s="85">
        <f t="shared" si="85"/>
        <v>-2718.978511780429</v>
      </c>
      <c r="AB115" s="90">
        <f t="shared" si="86"/>
        <v>818.62113479844345</v>
      </c>
      <c r="AC115" s="86">
        <f t="shared" si="87"/>
        <v>6077.5426900000002</v>
      </c>
      <c r="AD115" s="85">
        <f t="shared" si="88"/>
        <v>3384.56104615708</v>
      </c>
      <c r="AE115" s="85">
        <f t="shared" si="89"/>
        <v>3428.0684878235306</v>
      </c>
      <c r="AF115" s="90">
        <f t="shared" si="90"/>
        <v>3384.56104615708</v>
      </c>
      <c r="AG115" s="86">
        <f t="shared" si="91"/>
        <v>35372.357029999999</v>
      </c>
      <c r="AH115" s="85">
        <f t="shared" si="92"/>
        <v>6139.2748628683721</v>
      </c>
      <c r="AI115" s="85">
        <f t="shared" si="93"/>
        <v>24309.615918285581</v>
      </c>
      <c r="AJ115" s="90">
        <f t="shared" si="94"/>
        <v>6139.2748628683721</v>
      </c>
      <c r="AL115" s="95">
        <f t="shared" si="95"/>
        <v>0</v>
      </c>
      <c r="AM115" s="95">
        <f t="shared" si="96"/>
        <v>0</v>
      </c>
      <c r="AN115" s="95">
        <f t="shared" si="97"/>
        <v>0</v>
      </c>
      <c r="AO115" s="95">
        <f t="shared" si="98"/>
        <v>0</v>
      </c>
      <c r="AP115"/>
      <c r="AQ115" s="95">
        <f t="shared" si="99"/>
        <v>0</v>
      </c>
      <c r="AR115" s="95">
        <f t="shared" si="100"/>
        <v>0</v>
      </c>
      <c r="AS115" s="95">
        <f>Geraetedaten!$B$94*ABS(SIN(RADIANS($A115)))</f>
        <v>149.42554184650345</v>
      </c>
      <c r="AT115" s="95">
        <f>Geraetedaten!$B$94*ABS(COS(RADIANS($A115)))</f>
        <v>37.25597192234882</v>
      </c>
      <c r="AU115" s="95">
        <f>((h_Aw_Sw+Geraetedaten!$B$18)/1000)*(AQ115*AS115+AR115*AT115)/100</f>
        <v>0</v>
      </c>
    </row>
    <row r="116" spans="1:47" ht="13.5" x14ac:dyDescent="0.25">
      <c r="A116" s="16">
        <v>77</v>
      </c>
      <c r="B116" s="16">
        <f t="shared" si="68"/>
        <v>373</v>
      </c>
      <c r="C116" s="19">
        <f t="shared" si="69"/>
        <v>68.655939546245634</v>
      </c>
      <c r="D116" s="17">
        <f t="shared" si="70"/>
        <v>-6163.6488195462452</v>
      </c>
      <c r="E116" s="17">
        <f t="shared" si="71"/>
        <v>-30112.567589546245</v>
      </c>
      <c r="F116" s="17">
        <f t="shared" si="72"/>
        <v>6026.9274004537547</v>
      </c>
      <c r="G116" s="17">
        <f t="shared" si="73"/>
        <v>37844.583130453757</v>
      </c>
      <c r="H116" s="17">
        <f t="shared" si="101"/>
        <v>6026.9274004537547</v>
      </c>
      <c r="I116" s="17">
        <f t="shared" si="74"/>
        <v>3438.2444059813092</v>
      </c>
      <c r="J116" s="20">
        <f>(Geraetedaten!$B$152+(Geraetedaten!$B$153*(Geraetedaten!$B$18+d_y_Sw)/1000))*10</f>
        <v>6051.0442000000003</v>
      </c>
      <c r="K116" s="20">
        <f>(Geraetedaten!$B$165+(Geraetedaten!$B$166*(Geraetedaten!$B$18+d_y_Sw)/1000))*10</f>
        <v>10816.164000000001</v>
      </c>
      <c r="L116" s="20">
        <f>(Geraetedaten!$B$158+(Geraetedaten!$B$159*(Geraetedaten!$B$18+d_y_Sw)/1000)-(Geraetedaten!$B$160*I116/1000))*10</f>
        <v>349.41013770939037</v>
      </c>
      <c r="M116" s="20">
        <f>(Geraetedaten!$B$171+(Geraetedaten!$B$172*(Geraetedaten!$B$18+d_y_Sw)/1000)-(Geraetedaten!$B$173*I116/1000))*10</f>
        <v>808.92408641875227</v>
      </c>
      <c r="N116" s="20">
        <f>IF((H116-J116)/(K116-J116)*(Geraetedaten!$B$174-Geraetedaten!$B$161)&lt;Geraetedaten!$B$174,(H116-J116)/(K116-J116)*(Geraetedaten!$B$174-Geraetedaten!$B$161),Geraetedaten!$B$174)</f>
        <v>-2.0244443420915128</v>
      </c>
      <c r="O116" s="20">
        <f>N116/Geraetedaten!$B$174*(M116-L116)+L116+C116</f>
        <v>415.74042622169401</v>
      </c>
      <c r="P116" s="20">
        <f t="shared" si="75"/>
        <v>164.88999300961996</v>
      </c>
      <c r="Q116" s="21">
        <f>(N116-Geraetedaten!$B$161)/(Geraetedaten!$B$174-Geraetedaten!$B$161)*(Geraetedaten!$B$175-Geraetedaten!$B$162)+Geraetedaten!$B$162</f>
        <v>29.139772780822778</v>
      </c>
      <c r="R116" s="21">
        <f t="shared" si="76"/>
        <v>29.139772780822778</v>
      </c>
      <c r="S116" s="21">
        <f t="shared" si="77"/>
        <v>28.392922292277326</v>
      </c>
      <c r="T116" s="88">
        <f t="shared" si="78"/>
        <v>6.5550226103867404</v>
      </c>
      <c r="U116" s="86">
        <f t="shared" si="79"/>
        <v>-6094.9928799999998</v>
      </c>
      <c r="V116" s="85">
        <f t="shared" si="80"/>
        <v>-1346.4914747781525</v>
      </c>
      <c r="W116" s="85">
        <f t="shared" si="81"/>
        <v>-1371.6899392125501</v>
      </c>
      <c r="X116" s="90">
        <f t="shared" si="82"/>
        <v>1346.4914747781525</v>
      </c>
      <c r="Y116" s="86">
        <f t="shared" si="83"/>
        <v>-30043.911649999998</v>
      </c>
      <c r="Z116" s="85">
        <f t="shared" si="84"/>
        <v>-818.62113479844345</v>
      </c>
      <c r="AA116" s="85">
        <f t="shared" si="85"/>
        <v>-2878.5335841171841</v>
      </c>
      <c r="AB116" s="90">
        <f t="shared" si="86"/>
        <v>818.62113479844345</v>
      </c>
      <c r="AC116" s="86">
        <f t="shared" si="87"/>
        <v>6095.5833400000001</v>
      </c>
      <c r="AD116" s="85">
        <f t="shared" si="88"/>
        <v>3384.56104615708</v>
      </c>
      <c r="AE116" s="85">
        <f t="shared" si="89"/>
        <v>3438.2444059813092</v>
      </c>
      <c r="AF116" s="90">
        <f t="shared" si="90"/>
        <v>3384.56104615708</v>
      </c>
      <c r="AG116" s="86">
        <f t="shared" si="91"/>
        <v>37913.239070000003</v>
      </c>
      <c r="AH116" s="85">
        <f t="shared" si="92"/>
        <v>6139.2748628683721</v>
      </c>
      <c r="AI116" s="85">
        <f t="shared" si="93"/>
        <v>26055.834475965603</v>
      </c>
      <c r="AJ116" s="90">
        <f t="shared" si="94"/>
        <v>6139.2748628683721</v>
      </c>
      <c r="AL116" s="95">
        <f t="shared" si="95"/>
        <v>0</v>
      </c>
      <c r="AM116" s="95">
        <f t="shared" si="96"/>
        <v>0</v>
      </c>
      <c r="AN116" s="95">
        <f t="shared" si="97"/>
        <v>0</v>
      </c>
      <c r="AO116" s="95">
        <f t="shared" si="98"/>
        <v>0</v>
      </c>
      <c r="AP116"/>
      <c r="AQ116" s="95">
        <f t="shared" si="99"/>
        <v>0</v>
      </c>
      <c r="AR116" s="95">
        <f t="shared" si="100"/>
        <v>0</v>
      </c>
      <c r="AS116" s="95">
        <f>Geraetedaten!$B$94*ABS(SIN(RADIANS($A116)))</f>
        <v>150.05298997692623</v>
      </c>
      <c r="AT116" s="95">
        <f>Geraetedaten!$B$94*ABS(COS(RADIANS($A116)))</f>
        <v>34.642462368955201</v>
      </c>
      <c r="AU116" s="95">
        <f>((h_Aw_Sw+Geraetedaten!$B$18)/1000)*(AQ116*AS116+AR116*AT116)/100</f>
        <v>0</v>
      </c>
    </row>
    <row r="117" spans="1:47" ht="13.5" x14ac:dyDescent="0.25">
      <c r="A117" s="16">
        <v>78</v>
      </c>
      <c r="B117" s="16">
        <f t="shared" si="68"/>
        <v>372</v>
      </c>
      <c r="C117" s="19">
        <f t="shared" si="69"/>
        <v>68.385719685240858</v>
      </c>
      <c r="D117" s="17">
        <f t="shared" si="70"/>
        <v>-6185.0590096852402</v>
      </c>
      <c r="E117" s="17">
        <f t="shared" si="71"/>
        <v>-31995.57365968524</v>
      </c>
      <c r="F117" s="17">
        <f t="shared" si="72"/>
        <v>6047.2141103147596</v>
      </c>
      <c r="G117" s="17">
        <f t="shared" si="73"/>
        <v>40792.431350314757</v>
      </c>
      <c r="H117" s="17">
        <f t="shared" si="101"/>
        <v>6047.2141103147596</v>
      </c>
      <c r="I117" s="17">
        <f t="shared" si="74"/>
        <v>3449.5348067269824</v>
      </c>
      <c r="J117" s="20">
        <f>(Geraetedaten!$B$152+(Geraetedaten!$B$153*(Geraetedaten!$B$18+d_y_Sw)/1000))*10</f>
        <v>6051.0442000000003</v>
      </c>
      <c r="K117" s="20">
        <f>(Geraetedaten!$B$165+(Geraetedaten!$B$166*(Geraetedaten!$B$18+d_y_Sw)/1000))*10</f>
        <v>10816.164000000001</v>
      </c>
      <c r="L117" s="20">
        <f>(Geraetedaten!$B$158+(Geraetedaten!$B$159*(Geraetedaten!$B$18+d_y_Sw)/1000)-(Geraetedaten!$B$160*I117/1000))*10</f>
        <v>348.58221262271013</v>
      </c>
      <c r="M117" s="20">
        <f>(Geraetedaten!$B$171+(Geraetedaten!$B$172*(Geraetedaten!$B$18+d_y_Sw)/1000)-(Geraetedaten!$B$173*I117/1000))*10</f>
        <v>808.08362898724431</v>
      </c>
      <c r="N117" s="20">
        <f>IF((H117-J117)/(K117-J117)*(Geraetedaten!$B$174-Geraetedaten!$B$161)&lt;Geraetedaten!$B$174,(H117-J117)/(K117-J117)*(Geraetedaten!$B$174-Geraetedaten!$B$161),Geraetedaten!$B$174)</f>
        <v>-0.32151046319890103</v>
      </c>
      <c r="O117" s="20">
        <f>N117/Geraetedaten!$B$174*(M117-L117)+L117+C117</f>
        <v>416.59859602491122</v>
      </c>
      <c r="P117" s="20">
        <f t="shared" si="75"/>
        <v>164.97763092804695</v>
      </c>
      <c r="Q117" s="21">
        <f>(N117-Geraetedaten!$B$161)/(Geraetedaten!$B$174-Geraetedaten!$B$161)*(Geraetedaten!$B$175-Geraetedaten!$B$162)+Geraetedaten!$B$162</f>
        <v>29.190435063719832</v>
      </c>
      <c r="R117" s="21">
        <f t="shared" si="76"/>
        <v>29.190435063719832</v>
      </c>
      <c r="S117" s="21">
        <f t="shared" si="77"/>
        <v>28.552554021953505</v>
      </c>
      <c r="T117" s="88">
        <f t="shared" si="78"/>
        <v>6.0690327098040022</v>
      </c>
      <c r="U117" s="86">
        <f t="shared" si="79"/>
        <v>-6116.6732899999997</v>
      </c>
      <c r="V117" s="85">
        <f t="shared" si="80"/>
        <v>-1346.4914747781525</v>
      </c>
      <c r="W117" s="85">
        <f t="shared" si="81"/>
        <v>-1376.5691578205456</v>
      </c>
      <c r="X117" s="90">
        <f t="shared" si="82"/>
        <v>1346.4914747781525</v>
      </c>
      <c r="Y117" s="86">
        <f t="shared" si="83"/>
        <v>-31927.18794</v>
      </c>
      <c r="Z117" s="85">
        <f t="shared" si="84"/>
        <v>-818.62113479844345</v>
      </c>
      <c r="AA117" s="85">
        <f t="shared" si="85"/>
        <v>-3058.9719402200044</v>
      </c>
      <c r="AB117" s="90">
        <f t="shared" si="86"/>
        <v>818.62113479844345</v>
      </c>
      <c r="AC117" s="86">
        <f t="shared" si="87"/>
        <v>6115.5998300000001</v>
      </c>
      <c r="AD117" s="85">
        <f t="shared" si="88"/>
        <v>3384.56104615708</v>
      </c>
      <c r="AE117" s="85">
        <f t="shared" si="89"/>
        <v>3449.5348067269824</v>
      </c>
      <c r="AF117" s="90">
        <f t="shared" si="90"/>
        <v>3384.56104615708</v>
      </c>
      <c r="AG117" s="86">
        <f t="shared" si="91"/>
        <v>40860.817069999997</v>
      </c>
      <c r="AH117" s="85">
        <f t="shared" si="92"/>
        <v>6139.2748628683721</v>
      </c>
      <c r="AI117" s="85">
        <f t="shared" si="93"/>
        <v>28081.554420496865</v>
      </c>
      <c r="AJ117" s="90">
        <f t="shared" si="94"/>
        <v>6139.2748628683721</v>
      </c>
      <c r="AL117" s="95">
        <f t="shared" si="95"/>
        <v>0</v>
      </c>
      <c r="AM117" s="95">
        <f t="shared" si="96"/>
        <v>0</v>
      </c>
      <c r="AN117" s="95">
        <f t="shared" si="97"/>
        <v>0</v>
      </c>
      <c r="AO117" s="95">
        <f t="shared" si="98"/>
        <v>0</v>
      </c>
      <c r="AP117"/>
      <c r="AQ117" s="95">
        <f t="shared" si="99"/>
        <v>0</v>
      </c>
      <c r="AR117" s="95">
        <f t="shared" si="100"/>
        <v>0</v>
      </c>
      <c r="AS117" s="95">
        <f>Geraetedaten!$B$94*ABS(SIN(RADIANS($A117)))</f>
        <v>150.63473051300605</v>
      </c>
      <c r="AT117" s="95">
        <f>Geraetedaten!$B$94*ABS(COS(RADIANS($A117)))</f>
        <v>32.018400385934953</v>
      </c>
      <c r="AU117" s="95">
        <f>((h_Aw_Sw+Geraetedaten!$B$18)/1000)*(AQ117*AS117+AR117*AT117)/100</f>
        <v>0</v>
      </c>
    </row>
    <row r="118" spans="1:47" ht="13.5" x14ac:dyDescent="0.25">
      <c r="A118" s="16">
        <v>79</v>
      </c>
      <c r="B118" s="16">
        <f t="shared" si="68"/>
        <v>371</v>
      </c>
      <c r="C118" s="19">
        <f t="shared" si="69"/>
        <v>68.094668871552628</v>
      </c>
      <c r="D118" s="17">
        <f t="shared" si="70"/>
        <v>-6208.4802588715529</v>
      </c>
      <c r="E118" s="17">
        <f t="shared" si="71"/>
        <v>-34141.524828871559</v>
      </c>
      <c r="F118" s="17">
        <f t="shared" si="72"/>
        <v>6069.5292711284474</v>
      </c>
      <c r="G118" s="17">
        <f t="shared" si="73"/>
        <v>44251.895821128441</v>
      </c>
      <c r="H118" s="17">
        <f t="shared" si="101"/>
        <v>6069.5292711284474</v>
      </c>
      <c r="I118" s="17">
        <f t="shared" si="74"/>
        <v>3461.9576220272234</v>
      </c>
      <c r="J118" s="20">
        <f>(Geraetedaten!$B$152+(Geraetedaten!$B$153*(Geraetedaten!$B$18+d_y_Sw)/1000))*10</f>
        <v>6051.0442000000003</v>
      </c>
      <c r="K118" s="20">
        <f>(Geraetedaten!$B$165+(Geraetedaten!$B$166*(Geraetedaten!$B$18+d_y_Sw)/1000))*10</f>
        <v>10816.164000000001</v>
      </c>
      <c r="L118" s="20">
        <f>(Geraetedaten!$B$158+(Geraetedaten!$B$159*(Geraetedaten!$B$18+d_y_Sw)/1000)-(Geraetedaten!$B$160*I118/1000))*10</f>
        <v>347.67124757674355</v>
      </c>
      <c r="M118" s="20">
        <f>(Geraetedaten!$B$171+(Geraetedaten!$B$172*(Geraetedaten!$B$18+d_y_Sw)/1000)-(Geraetedaten!$B$173*I118/1000))*10</f>
        <v>807.15887461629438</v>
      </c>
      <c r="N118" s="20">
        <f>IF((H118-J118)/(K118-J118)*(Geraetedaten!$B$174-Geraetedaten!$B$161)&lt;Geraetedaten!$B$174,(H118-J118)/(K118-J118)*(Geraetedaten!$B$174-Geraetedaten!$B$161),Geraetedaten!$B$174)</f>
        <v>1.5516983332462775</v>
      </c>
      <c r="O118" s="20">
        <f>N118/Geraetedaten!$B$174*(M118-L118)+L118+C118</f>
        <v>417.54838191085759</v>
      </c>
      <c r="P118" s="20">
        <f t="shared" si="75"/>
        <v>165.07604128483811</v>
      </c>
      <c r="Q118" s="21">
        <f>(N118-Geraetedaten!$B$161)/(Geraetedaten!$B$174-Geraetedaten!$B$161)*(Geraetedaten!$B$175-Geraetedaten!$B$162)+Geraetedaten!$B$162</f>
        <v>29.246163025414077</v>
      </c>
      <c r="R118" s="21">
        <f t="shared" si="76"/>
        <v>29.246163025414077</v>
      </c>
      <c r="S118" s="21">
        <f t="shared" si="77"/>
        <v>28.70882863728843</v>
      </c>
      <c r="T118" s="88">
        <f t="shared" si="78"/>
        <v>5.5804309854979133</v>
      </c>
      <c r="U118" s="86">
        <f t="shared" si="79"/>
        <v>-6140.3855899999999</v>
      </c>
      <c r="V118" s="85">
        <f t="shared" si="80"/>
        <v>-1346.4914747781525</v>
      </c>
      <c r="W118" s="85">
        <f t="shared" si="81"/>
        <v>-1381.9056564596099</v>
      </c>
      <c r="X118" s="90">
        <f t="shared" si="82"/>
        <v>1346.4914747781525</v>
      </c>
      <c r="Y118" s="86">
        <f t="shared" si="83"/>
        <v>-34073.430160000004</v>
      </c>
      <c r="Z118" s="85">
        <f t="shared" si="84"/>
        <v>-818.62113479844345</v>
      </c>
      <c r="AA118" s="85">
        <f t="shared" si="85"/>
        <v>-3264.605293629178</v>
      </c>
      <c r="AB118" s="90">
        <f t="shared" si="86"/>
        <v>818.62113479844345</v>
      </c>
      <c r="AC118" s="86">
        <f t="shared" si="87"/>
        <v>6137.6239400000004</v>
      </c>
      <c r="AD118" s="85">
        <f t="shared" si="88"/>
        <v>3384.56104615708</v>
      </c>
      <c r="AE118" s="85">
        <f t="shared" si="89"/>
        <v>3461.9576220272234</v>
      </c>
      <c r="AF118" s="90">
        <f t="shared" si="90"/>
        <v>3384.56104615708</v>
      </c>
      <c r="AG118" s="86">
        <f t="shared" si="91"/>
        <v>44319.990489999996</v>
      </c>
      <c r="AH118" s="85">
        <f t="shared" si="92"/>
        <v>6139.2748628683721</v>
      </c>
      <c r="AI118" s="85">
        <f t="shared" si="93"/>
        <v>30458.867793067464</v>
      </c>
      <c r="AJ118" s="90">
        <f t="shared" si="94"/>
        <v>6139.2748628683721</v>
      </c>
      <c r="AL118" s="95">
        <f t="shared" si="95"/>
        <v>0</v>
      </c>
      <c r="AM118" s="95">
        <f t="shared" si="96"/>
        <v>0</v>
      </c>
      <c r="AN118" s="95">
        <f t="shared" si="97"/>
        <v>0</v>
      </c>
      <c r="AO118" s="95">
        <f t="shared" si="98"/>
        <v>0</v>
      </c>
      <c r="AP118"/>
      <c r="AQ118" s="95">
        <f t="shared" si="99"/>
        <v>0</v>
      </c>
      <c r="AR118" s="95">
        <f t="shared" si="100"/>
        <v>0</v>
      </c>
      <c r="AS118" s="95">
        <f>Geraetedaten!$B$94*ABS(SIN(RADIANS($A118)))</f>
        <v>151.17058625094026</v>
      </c>
      <c r="AT118" s="95">
        <f>Geraetedaten!$B$94*ABS(COS(RADIANS($A118)))</f>
        <v>29.384585287987917</v>
      </c>
      <c r="AU118" s="95">
        <f>((h_Aw_Sw+Geraetedaten!$B$18)/1000)*(AQ118*AS118+AR118*AT118)/100</f>
        <v>0</v>
      </c>
    </row>
    <row r="119" spans="1:47" ht="13.5" x14ac:dyDescent="0.25">
      <c r="A119" s="16">
        <v>80</v>
      </c>
      <c r="B119" s="16">
        <f t="shared" si="68"/>
        <v>370</v>
      </c>
      <c r="C119" s="19">
        <f t="shared" si="69"/>
        <v>67.782875762078234</v>
      </c>
      <c r="D119" s="17">
        <f t="shared" si="70"/>
        <v>-6233.950905762078</v>
      </c>
      <c r="E119" s="17">
        <f t="shared" si="71"/>
        <v>-36608.737325762078</v>
      </c>
      <c r="F119" s="17">
        <f t="shared" si="72"/>
        <v>6093.9080842379217</v>
      </c>
      <c r="G119" s="17">
        <f t="shared" si="73"/>
        <v>48367.357954237916</v>
      </c>
      <c r="H119" s="17">
        <f t="shared" si="101"/>
        <v>6093.9080842379217</v>
      </c>
      <c r="I119" s="17">
        <f t="shared" si="74"/>
        <v>3475.5327446859201</v>
      </c>
      <c r="J119" s="20">
        <f>(Geraetedaten!$B$152+(Geraetedaten!$B$153*(Geraetedaten!$B$18+d_y_Sw)/1000))*10</f>
        <v>6051.0442000000003</v>
      </c>
      <c r="K119" s="20">
        <f>(Geraetedaten!$B$165+(Geraetedaten!$B$166*(Geraetedaten!$B$18+d_y_Sw)/1000))*10</f>
        <v>10816.164000000001</v>
      </c>
      <c r="L119" s="20">
        <f>(Geraetedaten!$B$158+(Geraetedaten!$B$159*(Geraetedaten!$B$18+d_y_Sw)/1000)-(Geraetedaten!$B$160*I119/1000))*10</f>
        <v>346.67578383218131</v>
      </c>
      <c r="M119" s="20">
        <f>(Geraetedaten!$B$171+(Geraetedaten!$B$172*(Geraetedaten!$B$18+d_y_Sw)/1000)-(Geraetedaten!$B$173*I119/1000))*10</f>
        <v>806.148342485581</v>
      </c>
      <c r="N119" s="20">
        <f>IF((H119-J119)/(K119-J119)*(Geraetedaten!$B$174-Geraetedaten!$B$161)&lt;Geraetedaten!$B$174,(H119-J119)/(K119-J119)*(Geraetedaten!$B$174-Geraetedaten!$B$161),Geraetedaten!$B$174)</f>
        <v>3.5981369650283637</v>
      </c>
      <c r="O119" s="20">
        <f>N119/Geraetedaten!$B$174*(M119-L119)+L119+C119</f>
        <v>418.59177258852691</v>
      </c>
      <c r="P119" s="20">
        <f t="shared" si="75"/>
        <v>165.18547479303226</v>
      </c>
      <c r="Q119" s="21">
        <f>(N119-Geraetedaten!$B$161)/(Geraetedaten!$B$174-Geraetedaten!$B$161)*(Geraetedaten!$B$175-Geraetedaten!$B$162)+Geraetedaten!$B$162</f>
        <v>29.307044574709593</v>
      </c>
      <c r="R119" s="21">
        <f t="shared" si="76"/>
        <v>29.307044574709593</v>
      </c>
      <c r="S119" s="21">
        <f t="shared" si="77"/>
        <v>28.861804715048375</v>
      </c>
      <c r="T119" s="88">
        <f t="shared" si="78"/>
        <v>5.0891148832018205</v>
      </c>
      <c r="U119" s="86">
        <f t="shared" si="79"/>
        <v>-6166.1680299999998</v>
      </c>
      <c r="V119" s="85">
        <f t="shared" si="80"/>
        <v>-1346.4914747781525</v>
      </c>
      <c r="W119" s="85">
        <f t="shared" si="81"/>
        <v>-1387.7080461605569</v>
      </c>
      <c r="X119" s="90">
        <f t="shared" si="82"/>
        <v>1346.4914747781525</v>
      </c>
      <c r="Y119" s="86">
        <f t="shared" si="83"/>
        <v>-36540.954449999997</v>
      </c>
      <c r="Z119" s="85">
        <f t="shared" si="84"/>
        <v>-818.62113479844345</v>
      </c>
      <c r="AA119" s="85">
        <f t="shared" si="85"/>
        <v>-3501.0209655137342</v>
      </c>
      <c r="AB119" s="90">
        <f t="shared" si="86"/>
        <v>818.62113479844345</v>
      </c>
      <c r="AC119" s="86">
        <f t="shared" si="87"/>
        <v>6161.6909599999999</v>
      </c>
      <c r="AD119" s="85">
        <f t="shared" si="88"/>
        <v>3384.56104615708</v>
      </c>
      <c r="AE119" s="85">
        <f t="shared" si="89"/>
        <v>3475.5327446859201</v>
      </c>
      <c r="AF119" s="90">
        <f t="shared" si="90"/>
        <v>3384.56104615708</v>
      </c>
      <c r="AG119" s="86">
        <f t="shared" si="91"/>
        <v>48435.140829999997</v>
      </c>
      <c r="AH119" s="85">
        <f t="shared" si="92"/>
        <v>6139.2748628683721</v>
      </c>
      <c r="AI119" s="85">
        <f t="shared" si="93"/>
        <v>33287.000617783931</v>
      </c>
      <c r="AJ119" s="90">
        <f t="shared" si="94"/>
        <v>6139.2748628683721</v>
      </c>
      <c r="AL119" s="95">
        <f t="shared" si="95"/>
        <v>0</v>
      </c>
      <c r="AM119" s="95">
        <f t="shared" si="96"/>
        <v>0</v>
      </c>
      <c r="AN119" s="95">
        <f t="shared" si="97"/>
        <v>0</v>
      </c>
      <c r="AO119" s="95">
        <f t="shared" si="98"/>
        <v>0</v>
      </c>
      <c r="AP119"/>
      <c r="AQ119" s="95">
        <f t="shared" si="99"/>
        <v>0</v>
      </c>
      <c r="AR119" s="95">
        <f t="shared" si="100"/>
        <v>0</v>
      </c>
      <c r="AS119" s="95">
        <f>Geraetedaten!$B$94*ABS(SIN(RADIANS($A119)))</f>
        <v>151.66039396388004</v>
      </c>
      <c r="AT119" s="95">
        <f>Geraetedaten!$B$94*ABS(COS(RADIANS($A119)))</f>
        <v>26.741819360707282</v>
      </c>
      <c r="AU119" s="95">
        <f>((h_Aw_Sw+Geraetedaten!$B$18)/1000)*(AQ119*AS119+AR119*AT119)/100</f>
        <v>0</v>
      </c>
    </row>
    <row r="120" spans="1:47" ht="13.5" x14ac:dyDescent="0.25">
      <c r="A120" s="16">
        <v>81</v>
      </c>
      <c r="B120" s="16">
        <f t="shared" si="68"/>
        <v>369</v>
      </c>
      <c r="C120" s="19">
        <f t="shared" si="69"/>
        <v>67.450435332019268</v>
      </c>
      <c r="D120" s="17">
        <f t="shared" si="70"/>
        <v>-6261.5130653320193</v>
      </c>
      <c r="E120" s="17">
        <f t="shared" si="71"/>
        <v>-39474.157235332023</v>
      </c>
      <c r="F120" s="17">
        <f t="shared" si="72"/>
        <v>6120.3893346679806</v>
      </c>
      <c r="G120" s="17">
        <f t="shared" si="73"/>
        <v>53343.184494667978</v>
      </c>
      <c r="H120" s="17">
        <f t="shared" si="101"/>
        <v>6120.3893346679806</v>
      </c>
      <c r="I120" s="17">
        <f t="shared" si="74"/>
        <v>3490.2821078321249</v>
      </c>
      <c r="J120" s="20">
        <f>(Geraetedaten!$B$152+(Geraetedaten!$B$153*(Geraetedaten!$B$18+d_y_Sw)/1000))*10</f>
        <v>6051.0442000000003</v>
      </c>
      <c r="K120" s="20">
        <f>(Geraetedaten!$B$165+(Geraetedaten!$B$166*(Geraetedaten!$B$18+d_y_Sw)/1000))*10</f>
        <v>10816.164000000001</v>
      </c>
      <c r="L120" s="20">
        <f>(Geraetedaten!$B$158+(Geraetedaten!$B$159*(Geraetedaten!$B$18+d_y_Sw)/1000)-(Geraetedaten!$B$160*I120/1000))*10</f>
        <v>345.5942130326701</v>
      </c>
      <c r="M120" s="20">
        <f>(Geraetedaten!$B$171+(Geraetedaten!$B$172*(Geraetedaten!$B$18+d_y_Sw)/1000)-(Geraetedaten!$B$173*I120/1000))*10</f>
        <v>805.05039989297757</v>
      </c>
      <c r="N120" s="20">
        <f>IF((H120-J120)/(K120-J120)*(Geraetedaten!$B$174-Geraetedaten!$B$161)&lt;Geraetedaten!$B$174,(H120-J120)/(K120-J120)*(Geraetedaten!$B$174-Geraetedaten!$B$161),Geraetedaten!$B$174)</f>
        <v>5.8210611760888229</v>
      </c>
      <c r="O120" s="20">
        <f>N120/Geraetedaten!$B$174*(M120-L120)+L120+C120</f>
        <v>419.73095479330522</v>
      </c>
      <c r="P120" s="20">
        <f t="shared" si="75"/>
        <v>165.30620295517406</v>
      </c>
      <c r="Q120" s="21">
        <f>(N120-Geraetedaten!$B$161)/(Geraetedaten!$B$174-Geraetedaten!$B$161)*(Geraetedaten!$B$175-Geraetedaten!$B$162)+Geraetedaten!$B$162</f>
        <v>29.37317656998864</v>
      </c>
      <c r="R120" s="21">
        <f t="shared" si="76"/>
        <v>29.37317656998864</v>
      </c>
      <c r="S120" s="21">
        <f t="shared" si="77"/>
        <v>29.011544024420061</v>
      </c>
      <c r="T120" s="88">
        <f t="shared" si="78"/>
        <v>4.5949771632584184</v>
      </c>
      <c r="U120" s="86">
        <f t="shared" si="79"/>
        <v>-6194.0626300000004</v>
      </c>
      <c r="V120" s="85">
        <f t="shared" si="80"/>
        <v>-1346.4914747781525</v>
      </c>
      <c r="W120" s="85">
        <f t="shared" si="81"/>
        <v>-1393.985779842596</v>
      </c>
      <c r="X120" s="90">
        <f t="shared" si="82"/>
        <v>1346.4914747781525</v>
      </c>
      <c r="Y120" s="86">
        <f t="shared" si="83"/>
        <v>-39406.7068</v>
      </c>
      <c r="Z120" s="85">
        <f t="shared" si="84"/>
        <v>-818.62113479844345</v>
      </c>
      <c r="AA120" s="85">
        <f t="shared" si="85"/>
        <v>-3775.5912171742857</v>
      </c>
      <c r="AB120" s="90">
        <f t="shared" si="86"/>
        <v>818.62113479844345</v>
      </c>
      <c r="AC120" s="86">
        <f t="shared" si="87"/>
        <v>6187.8397699999996</v>
      </c>
      <c r="AD120" s="85">
        <f t="shared" si="88"/>
        <v>3384.56104615708</v>
      </c>
      <c r="AE120" s="85">
        <f t="shared" si="89"/>
        <v>3490.2821078321249</v>
      </c>
      <c r="AF120" s="90">
        <f t="shared" si="90"/>
        <v>3384.56104615708</v>
      </c>
      <c r="AG120" s="86">
        <f t="shared" si="91"/>
        <v>53410.63493</v>
      </c>
      <c r="AH120" s="85">
        <f t="shared" si="92"/>
        <v>6139.2748628683721</v>
      </c>
      <c r="AI120" s="85">
        <f t="shared" si="93"/>
        <v>36706.403816286977</v>
      </c>
      <c r="AJ120" s="90">
        <f t="shared" si="94"/>
        <v>6139.2748628683721</v>
      </c>
      <c r="AL120" s="95">
        <f t="shared" si="95"/>
        <v>0</v>
      </c>
      <c r="AM120" s="95">
        <f t="shared" si="96"/>
        <v>0</v>
      </c>
      <c r="AN120" s="95">
        <f t="shared" si="97"/>
        <v>0</v>
      </c>
      <c r="AO120" s="95">
        <f t="shared" si="98"/>
        <v>0</v>
      </c>
      <c r="AP120"/>
      <c r="AQ120" s="95">
        <f t="shared" si="99"/>
        <v>0</v>
      </c>
      <c r="AR120" s="95">
        <f t="shared" si="100"/>
        <v>0</v>
      </c>
      <c r="AS120" s="95">
        <f>Geraetedaten!$B$94*ABS(SIN(RADIANS($A120)))</f>
        <v>152.10400445165121</v>
      </c>
      <c r="AT120" s="95">
        <f>Geraetedaten!$B$94*ABS(COS(RADIANS($A120)))</f>
        <v>24.090907616195562</v>
      </c>
      <c r="AU120" s="95">
        <f>((h_Aw_Sw+Geraetedaten!$B$18)/1000)*(AQ120*AS120+AR120*AT120)/100</f>
        <v>0</v>
      </c>
    </row>
    <row r="121" spans="1:47" ht="13.5" x14ac:dyDescent="0.25">
      <c r="A121" s="16">
        <v>82</v>
      </c>
      <c r="B121" s="16">
        <f t="shared" si="68"/>
        <v>368</v>
      </c>
      <c r="C121" s="19">
        <f t="shared" si="69"/>
        <v>67.097448845951106</v>
      </c>
      <c r="D121" s="17">
        <f t="shared" si="70"/>
        <v>-6291.2127488459519</v>
      </c>
      <c r="E121" s="17">
        <f t="shared" si="71"/>
        <v>-42841.444688845957</v>
      </c>
      <c r="F121" s="17">
        <f t="shared" si="72"/>
        <v>6149.0155611540486</v>
      </c>
      <c r="G121" s="17">
        <f t="shared" si="73"/>
        <v>59478.488961154049</v>
      </c>
      <c r="H121" s="17">
        <f t="shared" si="101"/>
        <v>6149.0155611540486</v>
      </c>
      <c r="I121" s="17">
        <f t="shared" si="74"/>
        <v>3506.2297736774181</v>
      </c>
      <c r="J121" s="20">
        <f>(Geraetedaten!$B$152+(Geraetedaten!$B$153*(Geraetedaten!$B$18+d_y_Sw)/1000))*10</f>
        <v>6051.0442000000003</v>
      </c>
      <c r="K121" s="20">
        <f>(Geraetedaten!$B$165+(Geraetedaten!$B$166*(Geraetedaten!$B$18+d_y_Sw)/1000))*10</f>
        <v>10816.164000000001</v>
      </c>
      <c r="L121" s="20">
        <f>(Geraetedaten!$B$158+(Geraetedaten!$B$159*(Geraetedaten!$B$18+d_y_Sw)/1000)-(Geraetedaten!$B$160*I121/1000))*10</f>
        <v>344.4247706962347</v>
      </c>
      <c r="M121" s="20">
        <f>(Geraetedaten!$B$171+(Geraetedaten!$B$172*(Geraetedaten!$B$18+d_y_Sw)/1000)-(Geraetedaten!$B$173*I121/1000))*10</f>
        <v>803.86325564745391</v>
      </c>
      <c r="N121" s="20">
        <f>IF((H121-J121)/(K121-J121)*(Geraetedaten!$B$174-Geraetedaten!$B$161)&lt;Geraetedaten!$B$174,(H121-J121)/(K121-J121)*(Geraetedaten!$B$174-Geraetedaten!$B$161),Geraetedaten!$B$174)</f>
        <v>8.2240418093201573</v>
      </c>
      <c r="O121" s="20">
        <f>N121/Geraetedaten!$B$174*(M121-L121)+L121+C121</f>
        <v>420.96832281480965</v>
      </c>
      <c r="P121" s="20">
        <f t="shared" si="75"/>
        <v>165.43851858449605</v>
      </c>
      <c r="Q121" s="21">
        <f>(N121-Geraetedaten!$B$161)/(Geraetedaten!$B$174-Geraetedaten!$B$161)*(Geraetedaten!$B$175-Geraetedaten!$B$162)+Geraetedaten!$B$162</f>
        <v>29.444665243827274</v>
      </c>
      <c r="R121" s="21">
        <f t="shared" si="76"/>
        <v>29.444665243827274</v>
      </c>
      <c r="S121" s="21">
        <f t="shared" si="77"/>
        <v>29.158111785746875</v>
      </c>
      <c r="T121" s="88">
        <f t="shared" si="78"/>
        <v>4.0979053687145042</v>
      </c>
      <c r="U121" s="86">
        <f t="shared" si="79"/>
        <v>-6224.1153000000004</v>
      </c>
      <c r="V121" s="85">
        <f t="shared" si="80"/>
        <v>-1346.4914747781525</v>
      </c>
      <c r="W121" s="85">
        <f t="shared" si="81"/>
        <v>-1400.7491910168483</v>
      </c>
      <c r="X121" s="90">
        <f t="shared" si="82"/>
        <v>1346.4914747781525</v>
      </c>
      <c r="Y121" s="86">
        <f t="shared" si="83"/>
        <v>-42774.347240000003</v>
      </c>
      <c r="Z121" s="85">
        <f t="shared" si="84"/>
        <v>-818.62113479844345</v>
      </c>
      <c r="AA121" s="85">
        <f t="shared" si="85"/>
        <v>-4098.2478074874216</v>
      </c>
      <c r="AB121" s="90">
        <f t="shared" si="86"/>
        <v>818.62113479844345</v>
      </c>
      <c r="AC121" s="86">
        <f t="shared" si="87"/>
        <v>6216.11301</v>
      </c>
      <c r="AD121" s="85">
        <f t="shared" si="88"/>
        <v>3384.56104615708</v>
      </c>
      <c r="AE121" s="85">
        <f t="shared" si="89"/>
        <v>3506.2297736774181</v>
      </c>
      <c r="AF121" s="90">
        <f t="shared" si="90"/>
        <v>3384.56104615708</v>
      </c>
      <c r="AG121" s="86">
        <f t="shared" si="91"/>
        <v>59545.586410000004</v>
      </c>
      <c r="AH121" s="85">
        <f t="shared" si="92"/>
        <v>6139.2748628683721</v>
      </c>
      <c r="AI121" s="85">
        <f t="shared" si="93"/>
        <v>40922.642897664184</v>
      </c>
      <c r="AJ121" s="90">
        <f t="shared" si="94"/>
        <v>6139.2748628683721</v>
      </c>
      <c r="AL121" s="95">
        <f t="shared" si="95"/>
        <v>0</v>
      </c>
      <c r="AM121" s="95">
        <f t="shared" si="96"/>
        <v>0</v>
      </c>
      <c r="AN121" s="95">
        <f t="shared" si="97"/>
        <v>0</v>
      </c>
      <c r="AO121" s="95">
        <f t="shared" si="98"/>
        <v>0</v>
      </c>
      <c r="AP121"/>
      <c r="AQ121" s="95">
        <f t="shared" si="99"/>
        <v>0</v>
      </c>
      <c r="AR121" s="95">
        <f t="shared" si="100"/>
        <v>0</v>
      </c>
      <c r="AS121" s="95">
        <f>Geraetedaten!$B$94*ABS(SIN(RADIANS($A121)))</f>
        <v>152.50128258620182</v>
      </c>
      <c r="AT121" s="95">
        <f>Geraetedaten!$B$94*ABS(COS(RADIANS($A121)))</f>
        <v>21.432657547850081</v>
      </c>
      <c r="AU121" s="95">
        <f>((h_Aw_Sw+Geraetedaten!$B$18)/1000)*(AQ121*AS121+AR121*AT121)/100</f>
        <v>0</v>
      </c>
    </row>
    <row r="122" spans="1:47" ht="13.5" x14ac:dyDescent="0.25">
      <c r="A122" s="16">
        <v>83</v>
      </c>
      <c r="B122" s="16">
        <f t="shared" si="68"/>
        <v>367</v>
      </c>
      <c r="C122" s="19">
        <f t="shared" si="69"/>
        <v>66.724023826976889</v>
      </c>
      <c r="D122" s="17">
        <f t="shared" si="70"/>
        <v>-6323.1000838269765</v>
      </c>
      <c r="E122" s="17">
        <f t="shared" si="71"/>
        <v>-46853.667893826976</v>
      </c>
      <c r="F122" s="17">
        <f t="shared" si="72"/>
        <v>6179.8332861730232</v>
      </c>
      <c r="G122" s="17">
        <f t="shared" si="73"/>
        <v>67229.234706173025</v>
      </c>
      <c r="H122" s="17">
        <f t="shared" si="101"/>
        <v>6179.8332861730232</v>
      </c>
      <c r="I122" s="17">
        <f t="shared" si="74"/>
        <v>3523.4020322276187</v>
      </c>
      <c r="J122" s="20">
        <f>(Geraetedaten!$B$152+(Geraetedaten!$B$153*(Geraetedaten!$B$18+d_y_Sw)/1000))*10</f>
        <v>6051.0442000000003</v>
      </c>
      <c r="K122" s="20">
        <f>(Geraetedaten!$B$165+(Geraetedaten!$B$166*(Geraetedaten!$B$18+d_y_Sw)/1000))*10</f>
        <v>10816.164000000001</v>
      </c>
      <c r="L122" s="20">
        <f>(Geraetedaten!$B$158+(Geraetedaten!$B$159*(Geraetedaten!$B$18+d_y_Sw)/1000)-(Geraetedaten!$B$160*I122/1000))*10</f>
        <v>343.16552897674853</v>
      </c>
      <c r="M122" s="20">
        <f>(Geraetedaten!$B$171+(Geraetedaten!$B$172*(Geraetedaten!$B$18+d_y_Sw)/1000)-(Geraetedaten!$B$173*I122/1000))*10</f>
        <v>802.58495272097684</v>
      </c>
      <c r="N122" s="20">
        <f>IF((H122-J122)/(K122-J122)*(Geraetedaten!$B$174-Geraetedaten!$B$161)&lt;Geraetedaten!$B$174,(H122-J122)/(K122-J122)*(Geraetedaten!$B$174-Geraetedaten!$B$161),Geraetedaten!$B$174)</f>
        <v>10.810984116120055</v>
      </c>
      <c r="O122" s="20">
        <f>N122/Geraetedaten!$B$174*(M122-L122)+L122+C122</f>
        <v>422.30649303556515</v>
      </c>
      <c r="P122" s="20">
        <f t="shared" si="75"/>
        <v>165.58273727048444</v>
      </c>
      <c r="Q122" s="21">
        <f>(N122-Geraetedaten!$B$161)/(Geraetedaten!$B$174-Geraetedaten!$B$161)*(Geraetedaten!$B$175-Geraetedaten!$B$162)+Geraetedaten!$B$162</f>
        <v>29.521626777454571</v>
      </c>
      <c r="R122" s="21">
        <f t="shared" si="76"/>
        <v>29.521626777454571</v>
      </c>
      <c r="S122" s="21">
        <f t="shared" si="77"/>
        <v>29.301577048153938</v>
      </c>
      <c r="T122" s="88">
        <f t="shared" si="78"/>
        <v>3.5977812716202089</v>
      </c>
      <c r="U122" s="86">
        <f t="shared" si="79"/>
        <v>-6256.3760599999996</v>
      </c>
      <c r="V122" s="85">
        <f t="shared" si="80"/>
        <v>-1346.4914747781525</v>
      </c>
      <c r="W122" s="85">
        <f t="shared" si="81"/>
        <v>-1408.0095367132108</v>
      </c>
      <c r="X122" s="90">
        <f t="shared" si="82"/>
        <v>1346.4914747781525</v>
      </c>
      <c r="Y122" s="86">
        <f t="shared" si="83"/>
        <v>-46786.943870000003</v>
      </c>
      <c r="Z122" s="85">
        <f t="shared" si="84"/>
        <v>-818.62113479844345</v>
      </c>
      <c r="AA122" s="85">
        <f t="shared" si="85"/>
        <v>-4482.6982174376581</v>
      </c>
      <c r="AB122" s="90">
        <f t="shared" si="86"/>
        <v>818.62113479844345</v>
      </c>
      <c r="AC122" s="86">
        <f t="shared" si="87"/>
        <v>6246.5573100000001</v>
      </c>
      <c r="AD122" s="85">
        <f t="shared" si="88"/>
        <v>3384.56104615708</v>
      </c>
      <c r="AE122" s="85">
        <f t="shared" si="89"/>
        <v>3523.4020322276187</v>
      </c>
      <c r="AF122" s="90">
        <f t="shared" si="90"/>
        <v>3384.56104615708</v>
      </c>
      <c r="AG122" s="86">
        <f t="shared" si="91"/>
        <v>67295.958729999998</v>
      </c>
      <c r="AH122" s="85">
        <f t="shared" si="92"/>
        <v>6139.2748628683721</v>
      </c>
      <c r="AI122" s="85">
        <f t="shared" si="93"/>
        <v>46249.078281743823</v>
      </c>
      <c r="AJ122" s="90">
        <f t="shared" si="94"/>
        <v>6139.2748628683721</v>
      </c>
      <c r="AL122" s="95">
        <f t="shared" si="95"/>
        <v>0</v>
      </c>
      <c r="AM122" s="95">
        <f t="shared" si="96"/>
        <v>0</v>
      </c>
      <c r="AN122" s="95">
        <f t="shared" si="97"/>
        <v>0</v>
      </c>
      <c r="AO122" s="95">
        <f t="shared" si="98"/>
        <v>0</v>
      </c>
      <c r="AP122"/>
      <c r="AQ122" s="95">
        <f t="shared" si="99"/>
        <v>0</v>
      </c>
      <c r="AR122" s="95">
        <f t="shared" si="100"/>
        <v>0</v>
      </c>
      <c r="AS122" s="95">
        <f>Geraetedaten!$B$94*ABS(SIN(RADIANS($A122)))</f>
        <v>152.8521073527636</v>
      </c>
      <c r="AT122" s="95">
        <f>Geraetedaten!$B$94*ABS(COS(RADIANS($A122)))</f>
        <v>18.767878884392715</v>
      </c>
      <c r="AU122" s="95">
        <f>((h_Aw_Sw+Geraetedaten!$B$18)/1000)*(AQ122*AS122+AR122*AT122)/100</f>
        <v>0</v>
      </c>
    </row>
    <row r="123" spans="1:47" ht="13.5" x14ac:dyDescent="0.25">
      <c r="A123" s="16">
        <v>84</v>
      </c>
      <c r="B123" s="16">
        <f t="shared" si="68"/>
        <v>366</v>
      </c>
      <c r="C123" s="19">
        <f t="shared" si="69"/>
        <v>66.330274023974866</v>
      </c>
      <c r="D123" s="17">
        <f t="shared" si="70"/>
        <v>-6357.2295140239748</v>
      </c>
      <c r="E123" s="17">
        <f t="shared" si="71"/>
        <v>-51713.995664023976</v>
      </c>
      <c r="F123" s="17">
        <f t="shared" si="72"/>
        <v>6212.8931359760245</v>
      </c>
      <c r="G123" s="17">
        <f t="shared" si="73"/>
        <v>77326.555535976033</v>
      </c>
      <c r="H123" s="17">
        <f t="shared" si="101"/>
        <v>6212.8931359760245</v>
      </c>
      <c r="I123" s="17">
        <f t="shared" si="74"/>
        <v>3541.8275107236454</v>
      </c>
      <c r="J123" s="20">
        <f>(Geraetedaten!$B$152+(Geraetedaten!$B$153*(Geraetedaten!$B$18+d_y_Sw)/1000))*10</f>
        <v>6051.0442000000003</v>
      </c>
      <c r="K123" s="20">
        <f>(Geraetedaten!$B$165+(Geraetedaten!$B$166*(Geraetedaten!$B$18+d_y_Sw)/1000))*10</f>
        <v>10816.164000000001</v>
      </c>
      <c r="L123" s="20">
        <f>(Geraetedaten!$B$158+(Geraetedaten!$B$159*(Geraetedaten!$B$18+d_y_Sw)/1000)-(Geraetedaten!$B$160*I123/1000))*10</f>
        <v>341.81438863863491</v>
      </c>
      <c r="M123" s="20">
        <f>(Geraetedaten!$B$171+(Geraetedaten!$B$172*(Geraetedaten!$B$18+d_y_Sw)/1000)-(Geraetedaten!$B$173*I123/1000))*10</f>
        <v>801.21336010173286</v>
      </c>
      <c r="N123" s="20">
        <f>IF((H123-J123)/(K123-J123)*(Geraetedaten!$B$174-Geraetedaten!$B$161)&lt;Geraetedaten!$B$174,(H123-J123)/(K123-J123)*(Geraetedaten!$B$174-Geraetedaten!$B$161),Geraetedaten!$B$174)</f>
        <v>13.586137832339427</v>
      </c>
      <c r="O123" s="20">
        <f>N123/Geraetedaten!$B$174*(M123-L123)+L123+C123</f>
        <v>423.74830702844133</v>
      </c>
      <c r="P123" s="20">
        <f t="shared" si="75"/>
        <v>165.73919602644497</v>
      </c>
      <c r="Q123" s="21">
        <f>(N123-Geraetedaten!$B$161)/(Geraetedaten!$B$174-Geraetedaten!$B$161)*(Geraetedaten!$B$175-Geraetedaten!$B$162)+Geraetedaten!$B$162</f>
        <v>29.604187600512098</v>
      </c>
      <c r="R123" s="21">
        <f t="shared" si="76"/>
        <v>29.604187600512098</v>
      </c>
      <c r="S123" s="21">
        <f t="shared" si="77"/>
        <v>29.442012763299225</v>
      </c>
      <c r="T123" s="88">
        <f t="shared" si="78"/>
        <v>3.0944802361688506</v>
      </c>
      <c r="U123" s="86">
        <f t="shared" si="79"/>
        <v>-6290.8992399999997</v>
      </c>
      <c r="V123" s="85">
        <f t="shared" si="80"/>
        <v>-1346.4914747781525</v>
      </c>
      <c r="W123" s="85">
        <f t="shared" si="81"/>
        <v>-1415.7790449727702</v>
      </c>
      <c r="X123" s="90">
        <f t="shared" si="82"/>
        <v>1346.4914747781525</v>
      </c>
      <c r="Y123" s="86">
        <f t="shared" si="83"/>
        <v>-51647.665390000002</v>
      </c>
      <c r="Z123" s="85">
        <f t="shared" si="84"/>
        <v>-818.62113479844345</v>
      </c>
      <c r="AA123" s="85">
        <f t="shared" si="85"/>
        <v>-4948.408219015444</v>
      </c>
      <c r="AB123" s="90">
        <f t="shared" si="86"/>
        <v>818.62113479844345</v>
      </c>
      <c r="AC123" s="86">
        <f t="shared" si="87"/>
        <v>6279.2234099999996</v>
      </c>
      <c r="AD123" s="85">
        <f t="shared" si="88"/>
        <v>3384.56104615708</v>
      </c>
      <c r="AE123" s="85">
        <f t="shared" si="89"/>
        <v>3541.8275107236454</v>
      </c>
      <c r="AF123" s="90">
        <f t="shared" si="90"/>
        <v>3384.56104615708</v>
      </c>
      <c r="AG123" s="86">
        <f t="shared" si="91"/>
        <v>77392.885810000007</v>
      </c>
      <c r="AH123" s="85">
        <f t="shared" si="92"/>
        <v>6139.2748628683721</v>
      </c>
      <c r="AI123" s="85">
        <f t="shared" si="93"/>
        <v>53188.181012774789</v>
      </c>
      <c r="AJ123" s="90">
        <f t="shared" si="94"/>
        <v>6139.2748628683721</v>
      </c>
      <c r="AL123" s="95">
        <f t="shared" si="95"/>
        <v>0</v>
      </c>
      <c r="AM123" s="95">
        <f t="shared" si="96"/>
        <v>0</v>
      </c>
      <c r="AN123" s="95">
        <f t="shared" si="97"/>
        <v>0</v>
      </c>
      <c r="AO123" s="95">
        <f t="shared" si="98"/>
        <v>0</v>
      </c>
      <c r="AP123"/>
      <c r="AQ123" s="95">
        <f t="shared" si="99"/>
        <v>0</v>
      </c>
      <c r="AR123" s="95">
        <f t="shared" si="100"/>
        <v>0</v>
      </c>
      <c r="AS123" s="95">
        <f>Geraetedaten!$B$94*ABS(SIN(RADIANS($A123)))</f>
        <v>153.15637188671408</v>
      </c>
      <c r="AT123" s="95">
        <f>Geraetedaten!$B$94*ABS(COS(RADIANS($A123)))</f>
        <v>16.097383343218631</v>
      </c>
      <c r="AU123" s="95">
        <f>((h_Aw_Sw+Geraetedaten!$B$18)/1000)*(AQ123*AS123+AR123*AT123)/100</f>
        <v>0</v>
      </c>
    </row>
    <row r="124" spans="1:47" ht="13.5" x14ac:dyDescent="0.25">
      <c r="A124" s="16">
        <v>85</v>
      </c>
      <c r="B124" s="16">
        <f t="shared" si="68"/>
        <v>365</v>
      </c>
      <c r="C124" s="19">
        <f t="shared" si="69"/>
        <v>65.916319376949332</v>
      </c>
      <c r="D124" s="17">
        <f t="shared" si="70"/>
        <v>-6393.6600393769495</v>
      </c>
      <c r="E124" s="17">
        <f t="shared" si="71"/>
        <v>-57720.958239376952</v>
      </c>
      <c r="F124" s="17">
        <f t="shared" si="72"/>
        <v>6248.2501006230505</v>
      </c>
      <c r="G124" s="17">
        <f t="shared" si="73"/>
        <v>91021.213900623057</v>
      </c>
      <c r="H124" s="17">
        <f t="shared" si="101"/>
        <v>6248.2501006230505</v>
      </c>
      <c r="I124" s="17">
        <f t="shared" si="74"/>
        <v>3561.5372946862167</v>
      </c>
      <c r="J124" s="20">
        <f>(Geraetedaten!$B$152+(Geraetedaten!$B$153*(Geraetedaten!$B$18+d_y_Sw)/1000))*10</f>
        <v>6051.0442000000003</v>
      </c>
      <c r="K124" s="20">
        <f>(Geraetedaten!$B$165+(Geraetedaten!$B$166*(Geraetedaten!$B$18+d_y_Sw)/1000))*10</f>
        <v>10816.164000000001</v>
      </c>
      <c r="L124" s="20">
        <f>(Geraetedaten!$B$158+(Geraetedaten!$B$159*(Geraetedaten!$B$18+d_y_Sw)/1000)-(Geraetedaten!$B$160*I124/1000))*10</f>
        <v>340.36907018065955</v>
      </c>
      <c r="M124" s="20">
        <f>(Geraetedaten!$B$171+(Geraetedaten!$B$172*(Geraetedaten!$B$18+d_y_Sw)/1000)-(Geraetedaten!$B$173*I124/1000))*10</f>
        <v>799.74616378355893</v>
      </c>
      <c r="N124" s="20">
        <f>IF((H124-J124)/(K124-J124)*(Geraetedaten!$B$174-Geraetedaten!$B$161)&lt;Geraetedaten!$B$174,(H124-J124)/(K124-J124)*(Geraetedaten!$B$174-Geraetedaten!$B$161),Geraetedaten!$B$174)</f>
        <v>16.554119006456052</v>
      </c>
      <c r="O124" s="20">
        <f>N124/Geraetedaten!$B$174*(M124-L124)+L124+C124</f>
        <v>425.29684724846464</v>
      </c>
      <c r="P124" s="20">
        <f t="shared" si="75"/>
        <v>165.90825458602623</v>
      </c>
      <c r="Q124" s="21">
        <f>(N124-Geraetedaten!$B$161)/(Geraetedaten!$B$174-Geraetedaten!$B$161)*(Geraetedaten!$B$175-Geraetedaten!$B$162)+Geraetedaten!$B$162</f>
        <v>29.692485040442065</v>
      </c>
      <c r="R124" s="21">
        <f t="shared" si="76"/>
        <v>29.692485040442065</v>
      </c>
      <c r="S124" s="21">
        <f t="shared" si="77"/>
        <v>29.579496170456853</v>
      </c>
      <c r="T124" s="88">
        <f t="shared" si="78"/>
        <v>2.5878705877234562</v>
      </c>
      <c r="U124" s="86">
        <f t="shared" si="79"/>
        <v>-6327.7437200000004</v>
      </c>
      <c r="V124" s="85">
        <f t="shared" si="80"/>
        <v>-1346.4914747781525</v>
      </c>
      <c r="W124" s="85">
        <f t="shared" si="81"/>
        <v>-1424.0709672916362</v>
      </c>
      <c r="X124" s="90">
        <f t="shared" si="82"/>
        <v>1346.4914747781525</v>
      </c>
      <c r="Y124" s="86">
        <f t="shared" si="83"/>
        <v>-57655.041920000003</v>
      </c>
      <c r="Z124" s="85">
        <f t="shared" si="84"/>
        <v>-818.62113479844345</v>
      </c>
      <c r="AA124" s="85">
        <f t="shared" si="85"/>
        <v>-5523.9802453166267</v>
      </c>
      <c r="AB124" s="90">
        <f t="shared" si="86"/>
        <v>818.62113479844345</v>
      </c>
      <c r="AC124" s="86">
        <f t="shared" si="87"/>
        <v>6314.1664199999996</v>
      </c>
      <c r="AD124" s="85">
        <f t="shared" si="88"/>
        <v>3384.56104615708</v>
      </c>
      <c r="AE124" s="85">
        <f t="shared" si="89"/>
        <v>3561.5372946862167</v>
      </c>
      <c r="AF124" s="90">
        <f t="shared" si="90"/>
        <v>3384.56104615708</v>
      </c>
      <c r="AG124" s="86">
        <f t="shared" si="91"/>
        <v>91087.130220000006</v>
      </c>
      <c r="AH124" s="85">
        <f t="shared" si="92"/>
        <v>6139.2748628683721</v>
      </c>
      <c r="AI124" s="85">
        <f t="shared" si="93"/>
        <v>62599.536375654803</v>
      </c>
      <c r="AJ124" s="90">
        <f t="shared" si="94"/>
        <v>6139.2748628683721</v>
      </c>
      <c r="AL124" s="95">
        <f t="shared" si="95"/>
        <v>0</v>
      </c>
      <c r="AM124" s="95">
        <f t="shared" si="96"/>
        <v>0</v>
      </c>
      <c r="AN124" s="95">
        <f t="shared" si="97"/>
        <v>0</v>
      </c>
      <c r="AO124" s="95">
        <f t="shared" si="98"/>
        <v>0</v>
      </c>
      <c r="AP124"/>
      <c r="AQ124" s="95">
        <f t="shared" si="99"/>
        <v>0</v>
      </c>
      <c r="AR124" s="95">
        <f t="shared" si="100"/>
        <v>0</v>
      </c>
      <c r="AS124" s="95">
        <f>Geraetedaten!$B$94*ABS(SIN(RADIANS($A124)))</f>
        <v>153.4139835061288</v>
      </c>
      <c r="AT124" s="95">
        <f>Geraetedaten!$B$94*ABS(COS(RADIANS($A124)))</f>
        <v>13.421984383139353</v>
      </c>
      <c r="AU124" s="95">
        <f>((h_Aw_Sw+Geraetedaten!$B$18)/1000)*(AQ124*AS124+AR124*AT124)/100</f>
        <v>0</v>
      </c>
    </row>
    <row r="125" spans="1:47" ht="13.5" x14ac:dyDescent="0.25">
      <c r="A125" s="16">
        <v>86</v>
      </c>
      <c r="B125" s="16">
        <f t="shared" si="68"/>
        <v>364</v>
      </c>
      <c r="C125" s="19">
        <f t="shared" si="69"/>
        <v>65.482285980495845</v>
      </c>
      <c r="D125" s="17">
        <f t="shared" si="70"/>
        <v>-6432.4554859804966</v>
      </c>
      <c r="E125" s="17">
        <f t="shared" si="71"/>
        <v>-65331.833205980496</v>
      </c>
      <c r="F125" s="17">
        <f t="shared" si="72"/>
        <v>6285.9637740195039</v>
      </c>
      <c r="G125" s="17">
        <f t="shared" si="73"/>
        <v>110644.9767040195</v>
      </c>
      <c r="H125" s="17">
        <f t="shared" si="101"/>
        <v>6285.9637740195039</v>
      </c>
      <c r="I125" s="17">
        <f t="shared" si="74"/>
        <v>3582.5650615505306</v>
      </c>
      <c r="J125" s="20">
        <f>(Geraetedaten!$B$152+(Geraetedaten!$B$153*(Geraetedaten!$B$18+d_y_Sw)/1000))*10</f>
        <v>6051.0442000000003</v>
      </c>
      <c r="K125" s="20">
        <f>(Geraetedaten!$B$165+(Geraetedaten!$B$166*(Geraetedaten!$B$18+d_y_Sw)/1000))*10</f>
        <v>10816.164000000001</v>
      </c>
      <c r="L125" s="20">
        <f>(Geraetedaten!$B$158+(Geraetedaten!$B$159*(Geraetedaten!$B$18+d_y_Sw)/1000)-(Geraetedaten!$B$160*I125/1000))*10</f>
        <v>338.82710403649935</v>
      </c>
      <c r="M125" s="20">
        <f>(Geraetedaten!$B$171+(Geraetedaten!$B$172*(Geraetedaten!$B$18+d_y_Sw)/1000)-(Geraetedaten!$B$173*I125/1000))*10</f>
        <v>798.18085681817934</v>
      </c>
      <c r="N125" s="20">
        <f>IF((H125-J125)/(K125-J125)*(Geraetedaten!$B$174-Geraetedaten!$B$161)&lt;Geraetedaten!$B$174,(H125-J125)/(K125-J125)*(Geraetedaten!$B$174-Geraetedaten!$B$161),Geraetedaten!$B$174)</f>
        <v>19.719930149038742</v>
      </c>
      <c r="O125" s="20">
        <f>N125/Geraetedaten!$B$174*(M125-L125)+L125+C125</f>
        <v>426.955449813379</v>
      </c>
      <c r="P125" s="20">
        <f t="shared" si="75"/>
        <v>166.0902957840089</v>
      </c>
      <c r="Q125" s="21">
        <f>(N125-Geraetedaten!$B$161)/(Geraetedaten!$B$174-Geraetedaten!$B$161)*(Geraetedaten!$B$175-Geraetedaten!$B$162)+Geraetedaten!$B$162</f>
        <v>29.786667921933901</v>
      </c>
      <c r="R125" s="21">
        <f t="shared" si="76"/>
        <v>29.786667921933901</v>
      </c>
      <c r="S125" s="21">
        <f t="shared" si="77"/>
        <v>29.714109095948764</v>
      </c>
      <c r="T125" s="88">
        <f t="shared" si="78"/>
        <v>2.0778129188213597</v>
      </c>
      <c r="U125" s="86">
        <f t="shared" si="79"/>
        <v>-6366.9732000000004</v>
      </c>
      <c r="V125" s="85">
        <f t="shared" si="80"/>
        <v>-1346.4914747781525</v>
      </c>
      <c r="W125" s="85">
        <f t="shared" si="81"/>
        <v>-1432.8996364508951</v>
      </c>
      <c r="X125" s="90">
        <f t="shared" si="82"/>
        <v>1346.4914747781525</v>
      </c>
      <c r="Y125" s="86">
        <f t="shared" si="83"/>
        <v>-65266.350919999997</v>
      </c>
      <c r="Z125" s="85">
        <f t="shared" si="84"/>
        <v>-818.62113479844345</v>
      </c>
      <c r="AA125" s="85">
        <f t="shared" si="85"/>
        <v>-6253.2264502034423</v>
      </c>
      <c r="AB125" s="90">
        <f t="shared" si="86"/>
        <v>818.62113479844345</v>
      </c>
      <c r="AC125" s="86">
        <f t="shared" si="87"/>
        <v>6351.4460600000002</v>
      </c>
      <c r="AD125" s="85">
        <f t="shared" si="88"/>
        <v>3384.56104615708</v>
      </c>
      <c r="AE125" s="85">
        <f t="shared" si="89"/>
        <v>3582.5650615505306</v>
      </c>
      <c r="AF125" s="90">
        <f t="shared" si="90"/>
        <v>3384.56104615708</v>
      </c>
      <c r="AG125" s="86">
        <f t="shared" si="91"/>
        <v>110710.45899</v>
      </c>
      <c r="AH125" s="85">
        <f t="shared" si="92"/>
        <v>6139.2748628683721</v>
      </c>
      <c r="AI125" s="85">
        <f t="shared" si="93"/>
        <v>76085.648845973366</v>
      </c>
      <c r="AJ125" s="90">
        <f t="shared" si="94"/>
        <v>6139.2748628683721</v>
      </c>
      <c r="AL125" s="95">
        <f t="shared" si="95"/>
        <v>0</v>
      </c>
      <c r="AM125" s="95">
        <f t="shared" si="96"/>
        <v>0</v>
      </c>
      <c r="AN125" s="95">
        <f t="shared" si="97"/>
        <v>0</v>
      </c>
      <c r="AO125" s="95">
        <f t="shared" si="98"/>
        <v>0</v>
      </c>
      <c r="AP125"/>
      <c r="AQ125" s="95">
        <f t="shared" si="99"/>
        <v>0</v>
      </c>
      <c r="AR125" s="95">
        <f t="shared" si="100"/>
        <v>0</v>
      </c>
      <c r="AS125" s="95">
        <f>Geraetedaten!$B$94*ABS(SIN(RADIANS($A125)))</f>
        <v>153.62486374001293</v>
      </c>
      <c r="AT125" s="95">
        <f>Geraetedaten!$B$94*ABS(COS(RADIANS($A125)))</f>
        <v>10.742496956595286</v>
      </c>
      <c r="AU125" s="95">
        <f>((h_Aw_Sw+Geraetedaten!$B$18)/1000)*(AQ125*AS125+AR125*AT125)/100</f>
        <v>0</v>
      </c>
    </row>
    <row r="126" spans="1:47" ht="13.5" x14ac:dyDescent="0.25">
      <c r="A126" s="16">
        <v>87</v>
      </c>
      <c r="B126" s="16">
        <f t="shared" si="68"/>
        <v>363</v>
      </c>
      <c r="C126" s="19">
        <f t="shared" si="69"/>
        <v>65.028306045391574</v>
      </c>
      <c r="D126" s="17">
        <f t="shared" si="70"/>
        <v>-6473.684746045391</v>
      </c>
      <c r="E126" s="17">
        <f t="shared" si="71"/>
        <v>-75284.341506045399</v>
      </c>
      <c r="F126" s="17">
        <f t="shared" si="72"/>
        <v>6326.0985739546086</v>
      </c>
      <c r="G126" s="17">
        <f t="shared" si="73"/>
        <v>141100.35286395461</v>
      </c>
      <c r="H126" s="17">
        <f t="shared" si="101"/>
        <v>6326.0985739546086</v>
      </c>
      <c r="I126" s="17">
        <f t="shared" si="74"/>
        <v>3604.947228001784</v>
      </c>
      <c r="J126" s="20">
        <f>(Geraetedaten!$B$152+(Geraetedaten!$B$153*(Geraetedaten!$B$18+d_y_Sw)/1000))*10</f>
        <v>6051.0442000000003</v>
      </c>
      <c r="K126" s="20">
        <f>(Geraetedaten!$B$165+(Geraetedaten!$B$166*(Geraetedaten!$B$18+d_y_Sw)/1000))*10</f>
        <v>10816.164000000001</v>
      </c>
      <c r="L126" s="20">
        <f>(Geraetedaten!$B$158+(Geraetedaten!$B$159*(Geraetedaten!$B$18+d_y_Sw)/1000)-(Geraetedaten!$B$160*I126/1000))*10</f>
        <v>337.185819770629</v>
      </c>
      <c r="M126" s="20">
        <f>(Geraetedaten!$B$171+(Geraetedaten!$B$172*(Geraetedaten!$B$18+d_y_Sw)/1000)-(Geraetedaten!$B$173*I126/1000))*10</f>
        <v>796.51472834754804</v>
      </c>
      <c r="N126" s="20">
        <f>IF((H126-J126)/(K126-J126)*(Geraetedaten!$B$174-Geraetedaten!$B$161)&lt;Geraetedaten!$B$174,(H126-J126)/(K126-J126)*(Geraetedaten!$B$174-Geraetedaten!$B$161),Geraetedaten!$B$174)</f>
        <v>23.088978703503596</v>
      </c>
      <c r="O126" s="20">
        <f>N126/Geraetedaten!$B$174*(M126-L126)+L126+C126</f>
        <v>428.72771428611065</v>
      </c>
      <c r="P126" s="20">
        <f t="shared" si="75"/>
        <v>166.28572499964645</v>
      </c>
      <c r="Q126" s="21">
        <f>(N126-Geraetedaten!$B$161)/(Geraetedaten!$B$174-Geraetedaten!$B$161)*(Geraetedaten!$B$175-Geraetedaten!$B$162)+Geraetedaten!$B$162</f>
        <v>29.886897116429232</v>
      </c>
      <c r="R126" s="21">
        <f t="shared" si="76"/>
        <v>29.886897116429232</v>
      </c>
      <c r="S126" s="21">
        <f t="shared" si="77"/>
        <v>29.845938162637538</v>
      </c>
      <c r="T126" s="88">
        <f t="shared" si="78"/>
        <v>1.5641593397228084</v>
      </c>
      <c r="U126" s="86">
        <f t="shared" si="79"/>
        <v>-6408.6564399999997</v>
      </c>
      <c r="V126" s="85">
        <f t="shared" si="80"/>
        <v>-1346.4914747781525</v>
      </c>
      <c r="W126" s="85">
        <f t="shared" si="81"/>
        <v>-1442.280530222223</v>
      </c>
      <c r="X126" s="90">
        <f t="shared" si="82"/>
        <v>1346.4914747781525</v>
      </c>
      <c r="Y126" s="86">
        <f t="shared" si="83"/>
        <v>-75219.313200000004</v>
      </c>
      <c r="Z126" s="85">
        <f t="shared" si="84"/>
        <v>-818.62113479844345</v>
      </c>
      <c r="AA126" s="85">
        <f t="shared" si="85"/>
        <v>-7206.8285156052862</v>
      </c>
      <c r="AB126" s="90">
        <f t="shared" si="86"/>
        <v>818.62113479844345</v>
      </c>
      <c r="AC126" s="86">
        <f t="shared" si="87"/>
        <v>6391.1268799999998</v>
      </c>
      <c r="AD126" s="85">
        <f t="shared" si="88"/>
        <v>3384.56104615708</v>
      </c>
      <c r="AE126" s="85">
        <f t="shared" si="89"/>
        <v>3604.947228001784</v>
      </c>
      <c r="AF126" s="90">
        <f t="shared" si="90"/>
        <v>3384.56104615708</v>
      </c>
      <c r="AG126" s="86">
        <f t="shared" si="91"/>
        <v>141165.38117000001</v>
      </c>
      <c r="AH126" s="85">
        <f t="shared" si="92"/>
        <v>6139.2748628683721</v>
      </c>
      <c r="AI126" s="85">
        <f t="shared" si="93"/>
        <v>97015.762729087161</v>
      </c>
      <c r="AJ126" s="90">
        <f t="shared" si="94"/>
        <v>6139.2748628683721</v>
      </c>
      <c r="AL126" s="95">
        <f t="shared" si="95"/>
        <v>0</v>
      </c>
      <c r="AM126" s="95">
        <f t="shared" si="96"/>
        <v>0</v>
      </c>
      <c r="AN126" s="95">
        <f t="shared" si="97"/>
        <v>0</v>
      </c>
      <c r="AO126" s="95">
        <f t="shared" si="98"/>
        <v>0</v>
      </c>
      <c r="AP126"/>
      <c r="AQ126" s="95">
        <f t="shared" si="99"/>
        <v>0</v>
      </c>
      <c r="AR126" s="95">
        <f t="shared" si="100"/>
        <v>0</v>
      </c>
      <c r="AS126" s="95">
        <f>Geraetedaten!$B$94*ABS(SIN(RADIANS($A126)))</f>
        <v>153.78894835220436</v>
      </c>
      <c r="AT126" s="95">
        <f>Geraetedaten!$B$94*ABS(COS(RADIANS($A126)))</f>
        <v>8.0597372614133711</v>
      </c>
      <c r="AU126" s="95">
        <f>((h_Aw_Sw+Geraetedaten!$B$18)/1000)*(AQ126*AS126+AR126*AT126)/100</f>
        <v>0</v>
      </c>
    </row>
    <row r="127" spans="1:47" ht="13.5" x14ac:dyDescent="0.25">
      <c r="A127" s="16">
        <v>88</v>
      </c>
      <c r="B127" s="16">
        <f t="shared" si="68"/>
        <v>362</v>
      </c>
      <c r="C127" s="19">
        <f t="shared" si="69"/>
        <v>64.554517858322527</v>
      </c>
      <c r="D127" s="17">
        <f t="shared" si="70"/>
        <v>-6517.4221278583227</v>
      </c>
      <c r="E127" s="17">
        <f t="shared" si="71"/>
        <v>-88850.56720785833</v>
      </c>
      <c r="F127" s="17">
        <f t="shared" si="72"/>
        <v>6368.7240721416774</v>
      </c>
      <c r="G127" s="17">
        <f t="shared" si="73"/>
        <v>194751.33774214168</v>
      </c>
      <c r="H127" s="17">
        <f t="shared" si="101"/>
        <v>6368.7240721416774</v>
      </c>
      <c r="I127" s="17">
        <f t="shared" si="74"/>
        <v>3628.7231122624903</v>
      </c>
      <c r="J127" s="20">
        <f>(Geraetedaten!$B$152+(Geraetedaten!$B$153*(Geraetedaten!$B$18+d_y_Sw)/1000))*10</f>
        <v>6051.0442000000003</v>
      </c>
      <c r="K127" s="20">
        <f>(Geraetedaten!$B$165+(Geraetedaten!$B$166*(Geraetedaten!$B$18+d_y_Sw)/1000))*10</f>
        <v>10816.164000000001</v>
      </c>
      <c r="L127" s="20">
        <f>(Geraetedaten!$B$158+(Geraetedaten!$B$159*(Geraetedaten!$B$18+d_y_Sw)/1000)-(Geraetedaten!$B$160*I127/1000))*10</f>
        <v>335.44233417779139</v>
      </c>
      <c r="M127" s="20">
        <f>(Geraetedaten!$B$171+(Geraetedaten!$B$172*(Geraetedaten!$B$18+d_y_Sw)/1000)-(Geraetedaten!$B$173*I127/1000))*10</f>
        <v>794.74485152318107</v>
      </c>
      <c r="N127" s="20">
        <f>IF((H127-J127)/(K127-J127)*(Geraetedaten!$B$174-Geraetedaten!$B$161)&lt;Geraetedaten!$B$174,(H127-J127)/(K127-J127)*(Geraetedaten!$B$174-Geraetedaten!$B$161),Geraetedaten!$B$174)</f>
        <v>26.667104750791541</v>
      </c>
      <c r="O127" s="20">
        <f>N127/Geraetedaten!$B$174*(M127-L127)+L127+C127</f>
        <v>430.6175228919933</v>
      </c>
      <c r="P127" s="20">
        <f t="shared" si="75"/>
        <v>166.49497143710596</v>
      </c>
      <c r="Q127" s="21">
        <f>(N127-Geraetedaten!$B$161)/(Geraetedaten!$B$174-Geraetedaten!$B$161)*(Geraetedaten!$B$175-Geraetedaten!$B$162)+Geraetedaten!$B$162</f>
        <v>29.993346366336048</v>
      </c>
      <c r="R127" s="21">
        <f t="shared" si="76"/>
        <v>29.993346366336048</v>
      </c>
      <c r="S127" s="21">
        <f t="shared" si="77"/>
        <v>29.975075230122773</v>
      </c>
      <c r="T127" s="88">
        <f t="shared" si="78"/>
        <v>1.0467526926089177</v>
      </c>
      <c r="U127" s="86">
        <f t="shared" si="79"/>
        <v>-6452.8676100000002</v>
      </c>
      <c r="V127" s="85">
        <f t="shared" si="80"/>
        <v>-1346.4914747781525</v>
      </c>
      <c r="W127" s="85">
        <f t="shared" si="81"/>
        <v>-1452.2303415004124</v>
      </c>
      <c r="X127" s="90">
        <f t="shared" si="82"/>
        <v>1346.4914747781525</v>
      </c>
      <c r="Y127" s="86">
        <f t="shared" si="83"/>
        <v>-88786.012690000003</v>
      </c>
      <c r="Z127" s="85">
        <f t="shared" si="84"/>
        <v>-818.62113479844345</v>
      </c>
      <c r="AA127" s="85">
        <f t="shared" si="85"/>
        <v>-8506.665918786668</v>
      </c>
      <c r="AB127" s="90">
        <f t="shared" si="86"/>
        <v>818.62113479844345</v>
      </c>
      <c r="AC127" s="86">
        <f t="shared" si="87"/>
        <v>6433.2785899999999</v>
      </c>
      <c r="AD127" s="85">
        <f t="shared" si="88"/>
        <v>3384.56104615708</v>
      </c>
      <c r="AE127" s="85">
        <f t="shared" si="89"/>
        <v>3628.7231122624903</v>
      </c>
      <c r="AF127" s="90">
        <f t="shared" si="90"/>
        <v>3384.56104615708</v>
      </c>
      <c r="AG127" s="86">
        <f t="shared" si="91"/>
        <v>194815.89225999999</v>
      </c>
      <c r="AH127" s="85">
        <f t="shared" si="92"/>
        <v>6139.2748628683721</v>
      </c>
      <c r="AI127" s="85">
        <f t="shared" si="93"/>
        <v>133887.02118655003</v>
      </c>
      <c r="AJ127" s="90">
        <f t="shared" si="94"/>
        <v>6139.2748628683721</v>
      </c>
      <c r="AL127" s="95">
        <f t="shared" si="95"/>
        <v>0</v>
      </c>
      <c r="AM127" s="95">
        <f t="shared" si="96"/>
        <v>0</v>
      </c>
      <c r="AN127" s="95">
        <f t="shared" si="97"/>
        <v>0</v>
      </c>
      <c r="AO127" s="95">
        <f t="shared" si="98"/>
        <v>0</v>
      </c>
      <c r="AP127"/>
      <c r="AQ127" s="95">
        <f t="shared" si="99"/>
        <v>0</v>
      </c>
      <c r="AR127" s="95">
        <f t="shared" si="100"/>
        <v>0</v>
      </c>
      <c r="AS127" s="95">
        <f>Geraetedaten!$B$94*ABS(SIN(RADIANS($A127)))</f>
        <v>153.90618736094075</v>
      </c>
      <c r="AT127" s="95">
        <f>Geraetedaten!$B$94*ABS(COS(RADIANS($A127)))</f>
        <v>5.3745224921851662</v>
      </c>
      <c r="AU127" s="95">
        <f>((h_Aw_Sw+Geraetedaten!$B$18)/1000)*(AQ127*AS127+AR127*AT127)/100</f>
        <v>0</v>
      </c>
    </row>
    <row r="128" spans="1:47" ht="13.5" x14ac:dyDescent="0.25">
      <c r="A128" s="16">
        <v>89</v>
      </c>
      <c r="B128" s="16">
        <f t="shared" si="68"/>
        <v>361</v>
      </c>
      <c r="C128" s="19">
        <f t="shared" si="69"/>
        <v>64.061065739760167</v>
      </c>
      <c r="D128" s="17">
        <f t="shared" si="70"/>
        <v>-6563.7477157397598</v>
      </c>
      <c r="E128" s="17">
        <f t="shared" si="71"/>
        <v>-108427.76831573977</v>
      </c>
      <c r="F128" s="17">
        <f t="shared" si="72"/>
        <v>6413.9152942602395</v>
      </c>
      <c r="G128" s="17">
        <f t="shared" si="73"/>
        <v>314337.12610426021</v>
      </c>
      <c r="H128" s="17">
        <f t="shared" si="101"/>
        <v>6413.9152942602395</v>
      </c>
      <c r="I128" s="17">
        <f t="shared" si="74"/>
        <v>3653.9351127402829</v>
      </c>
      <c r="J128" s="20">
        <f>(Geraetedaten!$B$152+(Geraetedaten!$B$153*(Geraetedaten!$B$18+d_y_Sw)/1000))*10</f>
        <v>6051.0442000000003</v>
      </c>
      <c r="K128" s="20">
        <f>(Geraetedaten!$B$165+(Geraetedaten!$B$166*(Geraetedaten!$B$18+d_y_Sw)/1000))*10</f>
        <v>10816.164000000001</v>
      </c>
      <c r="L128" s="20">
        <f>(Geraetedaten!$B$158+(Geraetedaten!$B$159*(Geraetedaten!$B$18+d_y_Sw)/1000)-(Geraetedaten!$B$160*I128/1000))*10</f>
        <v>333.5935381827548</v>
      </c>
      <c r="M128" s="20">
        <f>(Geraetedaten!$B$171+(Geraetedaten!$B$172*(Geraetedaten!$B$18+d_y_Sw)/1000)-(Geraetedaten!$B$173*I128/1000))*10</f>
        <v>792.86807020761421</v>
      </c>
      <c r="N128" s="20">
        <f>IF((H128-J128)/(K128-J128)*(Geraetedaten!$B$174-Geraetedaten!$B$161)&lt;Geraetedaten!$B$174,(H128-J128)/(K128-J128)*(Geraetedaten!$B$174-Geraetedaten!$B$161),Geraetedaten!$B$174)</f>
        <v>30.460606195902084</v>
      </c>
      <c r="O128" s="20">
        <f>N128/Geraetedaten!$B$174*(M128-L128)+L128+C128</f>
        <v>432.62905556205612</v>
      </c>
      <c r="P128" s="20">
        <f t="shared" si="75"/>
        <v>166.71848814226158</v>
      </c>
      <c r="Q128" s="21">
        <f>(N128-Geraetedaten!$B$161)/(Geraetedaten!$B$174-Geraetedaten!$B$161)*(Geraetedaten!$B$175-Geraetedaten!$B$162)+Geraetedaten!$B$162</f>
        <v>30.106203034328086</v>
      </c>
      <c r="R128" s="21">
        <f t="shared" si="76"/>
        <v>30.106203034328086</v>
      </c>
      <c r="S128" s="21">
        <f t="shared" si="77"/>
        <v>30.101617713783291</v>
      </c>
      <c r="T128" s="88">
        <f t="shared" si="78"/>
        <v>0.52542569163847452</v>
      </c>
      <c r="U128" s="86">
        <f t="shared" si="79"/>
        <v>-6499.6866499999996</v>
      </c>
      <c r="V128" s="85">
        <f t="shared" si="80"/>
        <v>-1346.4914747781525</v>
      </c>
      <c r="W128" s="85">
        <f t="shared" si="81"/>
        <v>-1462.7670554837539</v>
      </c>
      <c r="X128" s="90">
        <f t="shared" si="82"/>
        <v>1346.4914747781525</v>
      </c>
      <c r="Y128" s="86">
        <f t="shared" si="83"/>
        <v>-108363.70725000001</v>
      </c>
      <c r="Z128" s="85">
        <f t="shared" si="84"/>
        <v>-818.62113479844345</v>
      </c>
      <c r="AA128" s="85">
        <f t="shared" si="85"/>
        <v>-10382.422043026796</v>
      </c>
      <c r="AB128" s="90">
        <f t="shared" si="86"/>
        <v>818.62113479844345</v>
      </c>
      <c r="AC128" s="86">
        <f t="shared" si="87"/>
        <v>6477.9763599999997</v>
      </c>
      <c r="AD128" s="85">
        <f t="shared" si="88"/>
        <v>3384.56104615708</v>
      </c>
      <c r="AE128" s="85">
        <f t="shared" si="89"/>
        <v>3653.9351127402829</v>
      </c>
      <c r="AF128" s="90">
        <f t="shared" si="90"/>
        <v>3384.56104615708</v>
      </c>
      <c r="AG128" s="86">
        <f t="shared" si="91"/>
        <v>314401.18716999999</v>
      </c>
      <c r="AH128" s="85">
        <f t="shared" si="92"/>
        <v>6139.2748628683721</v>
      </c>
      <c r="AI128" s="85">
        <f t="shared" si="93"/>
        <v>216071.89187359333</v>
      </c>
      <c r="AJ128" s="90">
        <f t="shared" si="94"/>
        <v>6139.2748628683721</v>
      </c>
      <c r="AL128" s="95">
        <f t="shared" si="95"/>
        <v>0</v>
      </c>
      <c r="AM128" s="95">
        <f t="shared" si="96"/>
        <v>0</v>
      </c>
      <c r="AN128" s="95">
        <f t="shared" si="97"/>
        <v>0</v>
      </c>
      <c r="AO128" s="95">
        <f t="shared" si="98"/>
        <v>0</v>
      </c>
      <c r="AP128"/>
      <c r="AQ128" s="95">
        <f t="shared" si="99"/>
        <v>0</v>
      </c>
      <c r="AR128" s="95">
        <f t="shared" si="100"/>
        <v>0</v>
      </c>
      <c r="AS128" s="95">
        <f>Geraetedaten!$B$94*ABS(SIN(RADIANS($A128)))</f>
        <v>153.97654505408426</v>
      </c>
      <c r="AT128" s="95">
        <f>Geraetedaten!$B$94*ABS(COS(RADIANS($A128)))</f>
        <v>2.6876705913416741</v>
      </c>
      <c r="AU128" s="95">
        <f>((h_Aw_Sw+Geraetedaten!$B$18)/1000)*(AQ128*AS128+AR128*AT128)/100</f>
        <v>0</v>
      </c>
    </row>
    <row r="129" spans="1:47" ht="13.5" x14ac:dyDescent="0.25">
      <c r="A129" s="16">
        <v>90</v>
      </c>
      <c r="B129" s="16">
        <f t="shared" si="68"/>
        <v>360</v>
      </c>
      <c r="C129" s="19">
        <f t="shared" si="69"/>
        <v>63.548099999999998</v>
      </c>
      <c r="D129" s="17">
        <f t="shared" si="70"/>
        <v>-6612.7476699999997</v>
      </c>
      <c r="E129" s="17">
        <f t="shared" si="71"/>
        <v>-139135.59842000002</v>
      </c>
      <c r="F129" s="17">
        <f t="shared" si="72"/>
        <v>6461.75306</v>
      </c>
      <c r="G129" s="17">
        <f t="shared" si="73"/>
        <v>814747.22204000002</v>
      </c>
      <c r="H129" s="17">
        <f t="shared" si="101"/>
        <v>6461.75306</v>
      </c>
      <c r="I129" s="17">
        <f t="shared" si="74"/>
        <v>3680.628904623074</v>
      </c>
      <c r="J129" s="20">
        <f>(Geraetedaten!$B$152+(Geraetedaten!$B$153*(Geraetedaten!$B$18+d_y_Sw)/1000))*10</f>
        <v>6051.0442000000003</v>
      </c>
      <c r="K129" s="20">
        <f>(Geraetedaten!$B$165+(Geraetedaten!$B$166*(Geraetedaten!$B$18+d_y_Sw)/1000))*10</f>
        <v>10816.164000000001</v>
      </c>
      <c r="L129" s="20">
        <f>(Geraetedaten!$B$158+(Geraetedaten!$B$159*(Geraetedaten!$B$18+d_y_Sw)/1000)-(Geraetedaten!$B$160*I129/1000))*10</f>
        <v>331.63608242398982</v>
      </c>
      <c r="M129" s="20">
        <f>(Geraetedaten!$B$171+(Geraetedaten!$B$172*(Geraetedaten!$B$18+d_y_Sw)/1000)-(Geraetedaten!$B$173*I129/1000))*10</f>
        <v>790.8809843398592</v>
      </c>
      <c r="N129" s="20">
        <f>IF((H129-J129)/(K129-J129)*(Geraetedaten!$B$174-Geraetedaten!$B$161)&lt;Geraetedaten!$B$174,(H129-J129)/(K129-J129)*(Geraetedaten!$B$174-Geraetedaten!$B$161),Geraetedaten!$B$174)</f>
        <v>34.476267312313929</v>
      </c>
      <c r="O129" s="20">
        <f>N129/Geraetedaten!$B$174*(M129-L129)+L129+C129</f>
        <v>434.76680742466203</v>
      </c>
      <c r="P129" s="20">
        <f t="shared" si="75"/>
        <v>166.95675222389423</v>
      </c>
      <c r="Q129" s="21">
        <f>(N129-Geraetedaten!$B$161)/(Geraetedaten!$B$174-Geraetedaten!$B$161)*(Geraetedaten!$B$175-Geraetedaten!$B$162)+Geraetedaten!$B$162</f>
        <v>30.225668952541341</v>
      </c>
      <c r="R129" s="21">
        <f t="shared" si="76"/>
        <v>30.225668952541341</v>
      </c>
      <c r="S129" s="21">
        <f t="shared" si="77"/>
        <v>30.225668952541341</v>
      </c>
      <c r="T129" s="88">
        <f t="shared" si="78"/>
        <v>1.8515465807892736E-15</v>
      </c>
      <c r="U129" s="86">
        <f t="shared" si="79"/>
        <v>-6549.1995699999998</v>
      </c>
      <c r="V129" s="85">
        <f t="shared" si="80"/>
        <v>-1346.4914747781525</v>
      </c>
      <c r="W129" s="85">
        <f t="shared" si="81"/>
        <v>-1473.9100346020762</v>
      </c>
      <c r="X129" s="90">
        <f t="shared" si="82"/>
        <v>1346.4914747781525</v>
      </c>
      <c r="Y129" s="86">
        <f t="shared" si="83"/>
        <v>-139072.05032000001</v>
      </c>
      <c r="Z129" s="85">
        <f t="shared" si="84"/>
        <v>-818.62113479844345</v>
      </c>
      <c r="AA129" s="85">
        <f t="shared" si="85"/>
        <v>-13324.615384615428</v>
      </c>
      <c r="AB129" s="90">
        <f t="shared" si="86"/>
        <v>818.62113479844345</v>
      </c>
      <c r="AC129" s="86">
        <f t="shared" si="87"/>
        <v>6525.30116</v>
      </c>
      <c r="AD129" s="85">
        <f t="shared" si="88"/>
        <v>3384.56104615708</v>
      </c>
      <c r="AE129" s="85">
        <f t="shared" si="89"/>
        <v>3680.628904623074</v>
      </c>
      <c r="AF129" s="90">
        <f t="shared" si="90"/>
        <v>3384.56104615708</v>
      </c>
      <c r="AG129" s="86">
        <f t="shared" si="91"/>
        <v>814810.77014000004</v>
      </c>
      <c r="AH129" s="85">
        <f t="shared" si="92"/>
        <v>6139.2748628683721</v>
      </c>
      <c r="AI129" s="85">
        <f t="shared" si="93"/>
        <v>559977.86206897267</v>
      </c>
      <c r="AJ129" s="90">
        <f t="shared" si="94"/>
        <v>6139.2748628683721</v>
      </c>
      <c r="AL129" s="95">
        <f t="shared" si="95"/>
        <v>0</v>
      </c>
      <c r="AM129" s="95">
        <f t="shared" si="96"/>
        <v>0</v>
      </c>
      <c r="AN129" s="95">
        <f t="shared" si="97"/>
        <v>0</v>
      </c>
      <c r="AO129" s="95">
        <f t="shared" si="98"/>
        <v>0</v>
      </c>
      <c r="AP129"/>
      <c r="AQ129" s="95">
        <f t="shared" si="99"/>
        <v>0</v>
      </c>
      <c r="AR129" s="95">
        <f t="shared" si="100"/>
        <v>0</v>
      </c>
      <c r="AS129" s="95">
        <f>Geraetedaten!$B$94*ABS(SIN(RADIANS($A129)))</f>
        <v>154</v>
      </c>
      <c r="AT129" s="95">
        <f>Geraetedaten!$B$94*ABS(COS(RADIANS($A129)))</f>
        <v>9.4336431027963741E-15</v>
      </c>
      <c r="AU129" s="95">
        <f>((h_Aw_Sw+Geraetedaten!$B$18)/1000)*(AQ129*AS129+AR129*AT129)/100</f>
        <v>0</v>
      </c>
    </row>
    <row r="130" spans="1:47" ht="13.5" x14ac:dyDescent="0.25">
      <c r="A130" s="16">
        <v>91</v>
      </c>
      <c r="B130" s="16">
        <f t="shared" si="68"/>
        <v>359</v>
      </c>
      <c r="C130" s="19">
        <f t="shared" si="69"/>
        <v>64.061065739760167</v>
      </c>
      <c r="D130" s="17">
        <f t="shared" si="70"/>
        <v>-6665.5600157397603</v>
      </c>
      <c r="E130" s="17">
        <f t="shared" si="71"/>
        <v>-194213.83712573975</v>
      </c>
      <c r="F130" s="17">
        <f t="shared" si="72"/>
        <v>6511.2791042602403</v>
      </c>
      <c r="G130" s="17">
        <f t="shared" si="73"/>
        <v>-1376591.4097857396</v>
      </c>
      <c r="H130" s="17">
        <f t="shared" si="101"/>
        <v>6511.2791042602403</v>
      </c>
      <c r="I130" s="17">
        <f t="shared" si="74"/>
        <v>3708.8536562101563</v>
      </c>
      <c r="J130" s="20">
        <f>(Geraetedaten!$B$152+(Geraetedaten!$B$153*(Geraetedaten!$B$18+d_y_Sw)/1000))*10</f>
        <v>6051.0442000000003</v>
      </c>
      <c r="K130" s="20">
        <f>(Geraetedaten!$B$165+(Geraetedaten!$B$166*(Geraetedaten!$B$18+d_y_Sw)/1000))*10</f>
        <v>10816.164000000001</v>
      </c>
      <c r="L130" s="20">
        <f>(Geraetedaten!$B$158+(Geraetedaten!$B$159*(Geraetedaten!$B$18+d_y_Sw)/1000)-(Geraetedaten!$B$160*I130/1000))*10</f>
        <v>329.56636139010902</v>
      </c>
      <c r="M130" s="20">
        <f>(Geraetedaten!$B$171+(Geraetedaten!$B$172*(Geraetedaten!$B$18+d_y_Sw)/1000)-(Geraetedaten!$B$173*I130/1000))*10</f>
        <v>788.77993383171679</v>
      </c>
      <c r="N130" s="20">
        <f>IF((H130-J130)/(K130-J130)*(Geraetedaten!$B$174-Geraetedaten!$B$161)&lt;Geraetedaten!$B$174,(H130-J130)/(K130-J130)*(Geraetedaten!$B$174-Geraetedaten!$B$161),Geraetedaten!$B$174)</f>
        <v>38.633648141248408</v>
      </c>
      <c r="O130" s="20">
        <f>N130/Geraetedaten!$B$174*(M130-L130)+L130+C130</f>
        <v>437.98016607835609</v>
      </c>
      <c r="P130" s="20">
        <f t="shared" si="75"/>
        <v>167.58807317374024</v>
      </c>
      <c r="Q130" s="21">
        <f>(N130-Geraetedaten!$B$161)/(Geraetedaten!$B$174-Geraetedaten!$B$161)*(Geraetedaten!$B$175-Geraetedaten!$B$162)+Geraetedaten!$B$162</f>
        <v>30.34935103220214</v>
      </c>
      <c r="R130" s="21">
        <f t="shared" si="76"/>
        <v>30.34935103220214</v>
      </c>
      <c r="S130" s="21">
        <f t="shared" si="77"/>
        <v>30.344728679039555</v>
      </c>
      <c r="T130" s="88">
        <f t="shared" si="78"/>
        <v>-0.52966920932178052</v>
      </c>
      <c r="U130" s="86">
        <f t="shared" si="79"/>
        <v>-6601.4989500000001</v>
      </c>
      <c r="V130" s="85">
        <f t="shared" si="80"/>
        <v>-1346.4914747781525</v>
      </c>
      <c r="W130" s="85">
        <f t="shared" si="81"/>
        <v>-1485.680111981764</v>
      </c>
      <c r="X130" s="90">
        <f t="shared" si="82"/>
        <v>1346.4914747781525</v>
      </c>
      <c r="Y130" s="86">
        <f t="shared" si="83"/>
        <v>-194149.77606</v>
      </c>
      <c r="Z130" s="85">
        <f t="shared" si="84"/>
        <v>-818.62113479844345</v>
      </c>
      <c r="AA130" s="85">
        <f t="shared" si="85"/>
        <v>-18601.660700994504</v>
      </c>
      <c r="AB130" s="90">
        <f t="shared" si="86"/>
        <v>818.62113479844345</v>
      </c>
      <c r="AC130" s="86">
        <f t="shared" si="87"/>
        <v>6575.3401700000004</v>
      </c>
      <c r="AD130" s="85">
        <f t="shared" si="88"/>
        <v>3384.56104615708</v>
      </c>
      <c r="AE130" s="85">
        <f t="shared" si="89"/>
        <v>3708.8536562101563</v>
      </c>
      <c r="AF130" s="90">
        <f t="shared" si="90"/>
        <v>3384.56104615708</v>
      </c>
      <c r="AG130" s="86">
        <f t="shared" si="91"/>
        <v>-1376527.3487199999</v>
      </c>
      <c r="AH130" s="85">
        <f t="shared" si="92"/>
        <v>6139.2748628683721</v>
      </c>
      <c r="AI130" s="85">
        <f t="shared" si="93"/>
        <v>-946017.00181758113</v>
      </c>
      <c r="AJ130" s="90">
        <f t="shared" si="94"/>
        <v>6139.2748628683721</v>
      </c>
      <c r="AL130" s="95">
        <f t="shared" si="95"/>
        <v>0</v>
      </c>
      <c r="AM130" s="95">
        <f t="shared" si="96"/>
        <v>0</v>
      </c>
      <c r="AN130" s="95">
        <f t="shared" si="97"/>
        <v>0</v>
      </c>
      <c r="AO130" s="95">
        <f t="shared" si="98"/>
        <v>0</v>
      </c>
      <c r="AP130"/>
      <c r="AQ130" s="95">
        <f t="shared" si="99"/>
        <v>0</v>
      </c>
      <c r="AR130" s="95">
        <f t="shared" si="100"/>
        <v>0</v>
      </c>
      <c r="AS130" s="95">
        <f>Geraetedaten!$B$94*ABS(SIN(RADIANS($A130)))</f>
        <v>153.97654505408426</v>
      </c>
      <c r="AT130" s="95">
        <f>Geraetedaten!$B$94*ABS(COS(RADIANS($A130)))</f>
        <v>2.6876705913416554</v>
      </c>
      <c r="AU130" s="95">
        <f>((h_Aw_Sw+Geraetedaten!$B$18)/1000)*(AQ130*AS130+AR130*AT130)/100</f>
        <v>0</v>
      </c>
    </row>
    <row r="131" spans="1:47" ht="13.5" x14ac:dyDescent="0.25">
      <c r="A131" s="16">
        <v>92</v>
      </c>
      <c r="B131" s="16">
        <f t="shared" si="68"/>
        <v>358</v>
      </c>
      <c r="C131" s="19">
        <f t="shared" si="69"/>
        <v>64.554517858322527</v>
      </c>
      <c r="D131" s="17">
        <f t="shared" si="70"/>
        <v>-6721.2388778583227</v>
      </c>
      <c r="E131" s="17">
        <f t="shared" si="71"/>
        <v>-321686.66815785831</v>
      </c>
      <c r="F131" s="17">
        <f t="shared" si="72"/>
        <v>6563.6326421416779</v>
      </c>
      <c r="G131" s="17">
        <f t="shared" si="73"/>
        <v>-373200.40459785832</v>
      </c>
      <c r="H131" s="17">
        <f t="shared" si="101"/>
        <v>6563.6326421416779</v>
      </c>
      <c r="I131" s="17">
        <f t="shared" si="74"/>
        <v>3738.662266996861</v>
      </c>
      <c r="J131" s="20">
        <f>(Geraetedaten!$B$152+(Geraetedaten!$B$153*(Geraetedaten!$B$18+d_y_Sw)/1000))*10</f>
        <v>6051.0442000000003</v>
      </c>
      <c r="K131" s="20">
        <f>(Geraetedaten!$B$165+(Geraetedaten!$B$166*(Geraetedaten!$B$18+d_y_Sw)/1000))*10</f>
        <v>10816.164000000001</v>
      </c>
      <c r="L131" s="20">
        <f>(Geraetedaten!$B$158+(Geraetedaten!$B$159*(Geraetedaten!$B$18+d_y_Sw)/1000)-(Geraetedaten!$B$160*I131/1000))*10</f>
        <v>327.38049596112</v>
      </c>
      <c r="M131" s="20">
        <f>(Geraetedaten!$B$171+(Geraetedaten!$B$172*(Geraetedaten!$B$18+d_y_Sw)/1000)-(Geraetedaten!$B$173*I131/1000))*10</f>
        <v>786.56098084475457</v>
      </c>
      <c r="N131" s="20">
        <f>IF((H131-J131)/(K131-J131)*(Geraetedaten!$B$174-Geraetedaten!$B$161)&lt;Geraetedaten!$B$174,(H131-J131)/(K131-J131)*(Geraetedaten!$B$174-Geraetedaten!$B$161),Geraetedaten!$B$174)</f>
        <v>43.028378186141516</v>
      </c>
      <c r="O131" s="20">
        <f>N131/Geraetedaten!$B$174*(M131-L131)+L131+C131</f>
        <v>441.3294927176147</v>
      </c>
      <c r="P131" s="20">
        <f t="shared" si="75"/>
        <v>168.23226183326182</v>
      </c>
      <c r="Q131" s="21">
        <f>(N131-Geraetedaten!$B$161)/(Geraetedaten!$B$174-Geraetedaten!$B$161)*(Geraetedaten!$B$175-Geraetedaten!$B$162)+Geraetedaten!$B$162</f>
        <v>30.480094251037709</v>
      </c>
      <c r="R131" s="21">
        <f t="shared" si="76"/>
        <v>30.480094251037709</v>
      </c>
      <c r="S131" s="21">
        <f t="shared" si="77"/>
        <v>30.461526601164561</v>
      </c>
      <c r="T131" s="88">
        <f t="shared" si="78"/>
        <v>-1.0637399488060089</v>
      </c>
      <c r="U131" s="86">
        <f t="shared" si="79"/>
        <v>-6656.6843600000002</v>
      </c>
      <c r="V131" s="85">
        <f t="shared" si="80"/>
        <v>-1346.4914747781525</v>
      </c>
      <c r="W131" s="85">
        <f t="shared" si="81"/>
        <v>-1498.0996943388946</v>
      </c>
      <c r="X131" s="90">
        <f t="shared" si="82"/>
        <v>1346.4914747781525</v>
      </c>
      <c r="Y131" s="86">
        <f t="shared" si="83"/>
        <v>-321622.11364</v>
      </c>
      <c r="Z131" s="85">
        <f t="shared" si="84"/>
        <v>-818.62113479844345</v>
      </c>
      <c r="AA131" s="85">
        <f t="shared" si="85"/>
        <v>-30814.897412780658</v>
      </c>
      <c r="AB131" s="90">
        <f t="shared" si="86"/>
        <v>818.62113479844345</v>
      </c>
      <c r="AC131" s="86">
        <f t="shared" si="87"/>
        <v>6628.1871600000004</v>
      </c>
      <c r="AD131" s="85">
        <f t="shared" si="88"/>
        <v>3384.56104615708</v>
      </c>
      <c r="AE131" s="85">
        <f t="shared" si="89"/>
        <v>3738.662266996861</v>
      </c>
      <c r="AF131" s="90">
        <f t="shared" si="90"/>
        <v>3384.56104615708</v>
      </c>
      <c r="AG131" s="86">
        <f t="shared" si="91"/>
        <v>-373135.85008</v>
      </c>
      <c r="AH131" s="85">
        <f t="shared" si="92"/>
        <v>6139.2748628683721</v>
      </c>
      <c r="AI131" s="85">
        <f t="shared" si="93"/>
        <v>-256437.22843060188</v>
      </c>
      <c r="AJ131" s="90">
        <f t="shared" si="94"/>
        <v>6139.2748628683721</v>
      </c>
      <c r="AL131" s="95">
        <f t="shared" si="95"/>
        <v>0</v>
      </c>
      <c r="AM131" s="95">
        <f t="shared" si="96"/>
        <v>0</v>
      </c>
      <c r="AN131" s="95">
        <f t="shared" si="97"/>
        <v>0</v>
      </c>
      <c r="AO131" s="95">
        <f t="shared" si="98"/>
        <v>0</v>
      </c>
      <c r="AP131"/>
      <c r="AQ131" s="95">
        <f t="shared" si="99"/>
        <v>0</v>
      </c>
      <c r="AR131" s="95">
        <f t="shared" si="100"/>
        <v>0</v>
      </c>
      <c r="AS131" s="95">
        <f>Geraetedaten!$B$94*ABS(SIN(RADIANS($A131)))</f>
        <v>153.90618736094075</v>
      </c>
      <c r="AT131" s="95">
        <f>Geraetedaten!$B$94*ABS(COS(RADIANS($A131)))</f>
        <v>5.3745224921851475</v>
      </c>
      <c r="AU131" s="95">
        <f>((h_Aw_Sw+Geraetedaten!$B$18)/1000)*(AQ131*AS131+AR131*AT131)/100</f>
        <v>0</v>
      </c>
    </row>
    <row r="132" spans="1:47" ht="13.5" x14ac:dyDescent="0.25">
      <c r="A132" s="16">
        <v>93</v>
      </c>
      <c r="B132" s="16">
        <f t="shared" si="68"/>
        <v>357</v>
      </c>
      <c r="C132" s="19">
        <f t="shared" si="69"/>
        <v>65.028306045391574</v>
      </c>
      <c r="D132" s="17">
        <f t="shared" si="70"/>
        <v>-6779.8911560453917</v>
      </c>
      <c r="E132" s="17">
        <f t="shared" si="71"/>
        <v>-937387.99631604529</v>
      </c>
      <c r="F132" s="17">
        <f t="shared" si="72"/>
        <v>6618.914693954609</v>
      </c>
      <c r="G132" s="17">
        <f t="shared" si="73"/>
        <v>-215922.05747604539</v>
      </c>
      <c r="H132" s="17">
        <f t="shared" si="101"/>
        <v>6618.914693954609</v>
      </c>
      <c r="I132" s="17">
        <f t="shared" si="74"/>
        <v>3770.1116297910085</v>
      </c>
      <c r="J132" s="20">
        <f>(Geraetedaten!$B$152+(Geraetedaten!$B$153*(Geraetedaten!$B$18+d_y_Sw)/1000))*10</f>
        <v>6051.0442000000003</v>
      </c>
      <c r="K132" s="20">
        <f>(Geraetedaten!$B$165+(Geraetedaten!$B$166*(Geraetedaten!$B$18+d_y_Sw)/1000))*10</f>
        <v>10816.164000000001</v>
      </c>
      <c r="L132" s="20">
        <f>(Geraetedaten!$B$158+(Geraetedaten!$B$159*(Geraetedaten!$B$18+d_y_Sw)/1000)-(Geraetedaten!$B$160*I132/1000))*10</f>
        <v>325.0743141874251</v>
      </c>
      <c r="M132" s="20">
        <f>(Geraetedaten!$B$171+(Geraetedaten!$B$172*(Geraetedaten!$B$18+d_y_Sw)/1000)-(Geraetedaten!$B$173*I132/1000))*10</f>
        <v>784.21989027835821</v>
      </c>
      <c r="N132" s="20">
        <f>IF((H132-J132)/(K132-J132)*(Geraetedaten!$B$174-Geraetedaten!$B$161)&lt;Geraetedaten!$B$174,(H132-J132)/(K132-J132)*(Geraetedaten!$B$174-Geraetedaten!$B$161),Geraetedaten!$B$174)</f>
        <v>47.668937427731294</v>
      </c>
      <c r="O132" s="20">
        <f>N132/Geraetedaten!$B$174*(M132-L132)+L132+C132</f>
        <v>444.82007457506251</v>
      </c>
      <c r="P132" s="20">
        <f t="shared" si="75"/>
        <v>168.88955717884909</v>
      </c>
      <c r="Q132" s="21">
        <f>(N132-Geraetedaten!$B$161)/(Geraetedaten!$B$174-Geraetedaten!$B$161)*(Geraetedaten!$B$175-Geraetedaten!$B$162)+Geraetedaten!$B$162</f>
        <v>30.618150888475007</v>
      </c>
      <c r="R132" s="21">
        <f t="shared" si="76"/>
        <v>30.618150888475007</v>
      </c>
      <c r="S132" s="21">
        <f t="shared" si="77"/>
        <v>30.576189776803137</v>
      </c>
      <c r="T132" s="88">
        <f t="shared" si="78"/>
        <v>-1.6024302051390802</v>
      </c>
      <c r="U132" s="86">
        <f t="shared" si="79"/>
        <v>-6714.8628500000004</v>
      </c>
      <c r="V132" s="85">
        <f t="shared" si="80"/>
        <v>-1346.4914747781525</v>
      </c>
      <c r="W132" s="85">
        <f t="shared" si="81"/>
        <v>-1511.1928753077639</v>
      </c>
      <c r="X132" s="90">
        <f t="shared" si="82"/>
        <v>1346.4914747781525</v>
      </c>
      <c r="Y132" s="86">
        <f t="shared" si="83"/>
        <v>-937322.96800999995</v>
      </c>
      <c r="Z132" s="85">
        <f t="shared" si="84"/>
        <v>-818.62113479844345</v>
      </c>
      <c r="AA132" s="85">
        <f t="shared" si="85"/>
        <v>-89805.737468686813</v>
      </c>
      <c r="AB132" s="90">
        <f t="shared" si="86"/>
        <v>818.62113479844345</v>
      </c>
      <c r="AC132" s="86">
        <f t="shared" si="87"/>
        <v>6683.9430000000002</v>
      </c>
      <c r="AD132" s="85">
        <f t="shared" si="88"/>
        <v>3384.56104615708</v>
      </c>
      <c r="AE132" s="85">
        <f t="shared" si="89"/>
        <v>3770.1116297910085</v>
      </c>
      <c r="AF132" s="90">
        <f t="shared" si="90"/>
        <v>3384.56104615708</v>
      </c>
      <c r="AG132" s="86">
        <f t="shared" si="91"/>
        <v>-215857.02916999999</v>
      </c>
      <c r="AH132" s="85">
        <f t="shared" si="92"/>
        <v>6139.2748628683721</v>
      </c>
      <c r="AI132" s="85">
        <f t="shared" si="93"/>
        <v>-148347.52084126661</v>
      </c>
      <c r="AJ132" s="90">
        <f t="shared" si="94"/>
        <v>6139.2748628683721</v>
      </c>
      <c r="AL132" s="95">
        <f t="shared" si="95"/>
        <v>0</v>
      </c>
      <c r="AM132" s="95">
        <f t="shared" si="96"/>
        <v>0</v>
      </c>
      <c r="AN132" s="95">
        <f t="shared" si="97"/>
        <v>0</v>
      </c>
      <c r="AO132" s="95">
        <f t="shared" si="98"/>
        <v>0</v>
      </c>
      <c r="AP132"/>
      <c r="AQ132" s="95">
        <f t="shared" si="99"/>
        <v>0</v>
      </c>
      <c r="AR132" s="95">
        <f t="shared" si="100"/>
        <v>0</v>
      </c>
      <c r="AS132" s="95">
        <f>Geraetedaten!$B$94*ABS(SIN(RADIANS($A132)))</f>
        <v>153.78894835220436</v>
      </c>
      <c r="AT132" s="95">
        <f>Geraetedaten!$B$94*ABS(COS(RADIANS($A132)))</f>
        <v>8.0597372614133516</v>
      </c>
      <c r="AU132" s="95">
        <f>((h_Aw_Sw+Geraetedaten!$B$18)/1000)*(AQ132*AS132+AR132*AT132)/100</f>
        <v>0</v>
      </c>
    </row>
    <row r="133" spans="1:47" ht="13.5" x14ac:dyDescent="0.25">
      <c r="A133" s="16">
        <v>94</v>
      </c>
      <c r="B133" s="16">
        <f t="shared" si="68"/>
        <v>356</v>
      </c>
      <c r="C133" s="19">
        <f t="shared" si="69"/>
        <v>65.48228598049586</v>
      </c>
      <c r="D133" s="17">
        <f t="shared" si="70"/>
        <v>-6841.6318059804962</v>
      </c>
      <c r="E133" s="17">
        <f t="shared" si="71"/>
        <v>1024705.6296040195</v>
      </c>
      <c r="F133" s="17">
        <f t="shared" si="72"/>
        <v>6677.2338640195039</v>
      </c>
      <c r="G133" s="17">
        <f t="shared" si="73"/>
        <v>-151949.02488598047</v>
      </c>
      <c r="H133" s="17">
        <f t="shared" si="101"/>
        <v>6677.2338640195039</v>
      </c>
      <c r="I133" s="17">
        <f t="shared" si="74"/>
        <v>3803.2629194367141</v>
      </c>
      <c r="J133" s="20">
        <f>(Geraetedaten!$B$152+(Geraetedaten!$B$153*(Geraetedaten!$B$18+d_y_Sw)/1000))*10</f>
        <v>6051.0442000000003</v>
      </c>
      <c r="K133" s="20">
        <f>(Geraetedaten!$B$165+(Geraetedaten!$B$166*(Geraetedaten!$B$18+d_y_Sw)/1000))*10</f>
        <v>10816.164000000001</v>
      </c>
      <c r="L133" s="20">
        <f>(Geraetedaten!$B$158+(Geraetedaten!$B$159*(Geraetedaten!$B$18+d_y_Sw)/1000)-(Geraetedaten!$B$160*I133/1000))*10</f>
        <v>322.64333011770555</v>
      </c>
      <c r="M133" s="20">
        <f>(Geraetedaten!$B$171+(Geraetedaten!$B$172*(Geraetedaten!$B$18+d_y_Sw)/1000)-(Geraetedaten!$B$173*I133/1000))*10</f>
        <v>781.75210827713181</v>
      </c>
      <c r="N133" s="20">
        <f>IF((H133-J133)/(K133-J133)*(Geraetedaten!$B$174-Geraetedaten!$B$161)&lt;Geraetedaten!$B$174,(H133-J133)/(K133-J133)*(Geraetedaten!$B$174-Geraetedaten!$B$161),Geraetedaten!$B$174)</f>
        <v>52.564442473786585</v>
      </c>
      <c r="O133" s="20">
        <f>N133/Geraetedaten!$B$174*(M133-L133)+L133+C133</f>
        <v>448.45760849513044</v>
      </c>
      <c r="P133" s="20">
        <f t="shared" si="75"/>
        <v>169.56022178176161</v>
      </c>
      <c r="Q133" s="21">
        <f>(N133-Geraetedaten!$B$161)/(Geraetedaten!$B$174-Geraetedaten!$B$161)*(Geraetedaten!$B$175-Geraetedaten!$B$162)+Geraetedaten!$B$162</f>
        <v>30.763792163595152</v>
      </c>
      <c r="R133" s="21">
        <f t="shared" si="76"/>
        <v>30.763792163595152</v>
      </c>
      <c r="S133" s="21">
        <f t="shared" si="77"/>
        <v>30.68885311206742</v>
      </c>
      <c r="T133" s="88">
        <f t="shared" si="78"/>
        <v>-2.1459736603295538</v>
      </c>
      <c r="U133" s="86">
        <f t="shared" si="79"/>
        <v>-6776.1495199999999</v>
      </c>
      <c r="V133" s="85">
        <f t="shared" si="80"/>
        <v>-1346.4914747781525</v>
      </c>
      <c r="W133" s="85">
        <f t="shared" si="81"/>
        <v>-1524.9855603448229</v>
      </c>
      <c r="X133" s="90">
        <f t="shared" si="82"/>
        <v>1346.4914747781525</v>
      </c>
      <c r="Y133" s="86">
        <f t="shared" si="83"/>
        <v>1024771.1118899999</v>
      </c>
      <c r="Z133" s="85">
        <f t="shared" si="84"/>
        <v>-818.62113479844345</v>
      </c>
      <c r="AA133" s="85">
        <f t="shared" si="85"/>
        <v>98184.221001191952</v>
      </c>
      <c r="AB133" s="90">
        <f t="shared" si="86"/>
        <v>818.62113479844345</v>
      </c>
      <c r="AC133" s="86">
        <f t="shared" si="87"/>
        <v>6742.7161500000002</v>
      </c>
      <c r="AD133" s="85">
        <f t="shared" si="88"/>
        <v>3384.56104615708</v>
      </c>
      <c r="AE133" s="85">
        <f t="shared" si="89"/>
        <v>3803.2629194367141</v>
      </c>
      <c r="AF133" s="90">
        <f t="shared" si="90"/>
        <v>3384.56104615708</v>
      </c>
      <c r="AG133" s="86">
        <f t="shared" si="91"/>
        <v>-151883.54259999999</v>
      </c>
      <c r="AH133" s="85">
        <f t="shared" si="92"/>
        <v>6139.2748628683721</v>
      </c>
      <c r="AI133" s="85">
        <f t="shared" si="93"/>
        <v>-104381.8081271596</v>
      </c>
      <c r="AJ133" s="90">
        <f t="shared" si="94"/>
        <v>6139.2748628683721</v>
      </c>
      <c r="AL133" s="95">
        <f t="shared" si="95"/>
        <v>0</v>
      </c>
      <c r="AM133" s="95">
        <f t="shared" si="96"/>
        <v>0</v>
      </c>
      <c r="AN133" s="95">
        <f t="shared" si="97"/>
        <v>0</v>
      </c>
      <c r="AO133" s="95">
        <f t="shared" si="98"/>
        <v>0</v>
      </c>
      <c r="AP133"/>
      <c r="AQ133" s="95">
        <f t="shared" si="99"/>
        <v>0</v>
      </c>
      <c r="AR133" s="95">
        <f t="shared" si="100"/>
        <v>0</v>
      </c>
      <c r="AS133" s="95">
        <f>Geraetedaten!$B$94*ABS(SIN(RADIANS($A133)))</f>
        <v>153.62486374001293</v>
      </c>
      <c r="AT133" s="95">
        <f>Geraetedaten!$B$94*ABS(COS(RADIANS($A133)))</f>
        <v>10.742496956595302</v>
      </c>
      <c r="AU133" s="95">
        <f>((h_Aw_Sw+Geraetedaten!$B$18)/1000)*(AQ133*AS133+AR133*AT133)/100</f>
        <v>0</v>
      </c>
    </row>
    <row r="134" spans="1:47" ht="13.5" x14ac:dyDescent="0.25">
      <c r="A134" s="16">
        <v>95</v>
      </c>
      <c r="B134" s="16">
        <f t="shared" si="68"/>
        <v>355</v>
      </c>
      <c r="C134" s="19">
        <f t="shared" si="69"/>
        <v>65.916319376949332</v>
      </c>
      <c r="D134" s="17">
        <f t="shared" si="70"/>
        <v>-6906.5844793769493</v>
      </c>
      <c r="E134" s="17">
        <f t="shared" si="71"/>
        <v>331254.51192062302</v>
      </c>
      <c r="F134" s="17">
        <f t="shared" si="72"/>
        <v>6738.7068906230506</v>
      </c>
      <c r="G134" s="17">
        <f t="shared" si="73"/>
        <v>-117254.12066937695</v>
      </c>
      <c r="H134" s="17">
        <f t="shared" si="101"/>
        <v>6738.7068906230506</v>
      </c>
      <c r="I134" s="17">
        <f t="shared" si="74"/>
        <v>3838.1819110611332</v>
      </c>
      <c r="J134" s="20">
        <f>(Geraetedaten!$B$152+(Geraetedaten!$B$153*(Geraetedaten!$B$18+d_y_Sw)/1000))*10</f>
        <v>6051.0442000000003</v>
      </c>
      <c r="K134" s="20">
        <f>(Geraetedaten!$B$165+(Geraetedaten!$B$166*(Geraetedaten!$B$18+d_y_Sw)/1000))*10</f>
        <v>10816.164000000001</v>
      </c>
      <c r="L134" s="20">
        <f>(Geraetedaten!$B$158+(Geraetedaten!$B$159*(Geraetedaten!$B$18+d_y_Sw)/1000)-(Geraetedaten!$B$160*I134/1000))*10</f>
        <v>320.08272046188694</v>
      </c>
      <c r="M134" s="20">
        <f>(Geraetedaten!$B$171+(Geraetedaten!$B$172*(Geraetedaten!$B$18+d_y_Sw)/1000)-(Geraetedaten!$B$173*I134/1000))*10</f>
        <v>779.15273854061013</v>
      </c>
      <c r="N134" s="20">
        <f>IF((H134-J134)/(K134-J134)*(Geraetedaten!$B$174-Geraetedaten!$B$161)&lt;Geraetedaten!$B$174,(H134-J134)/(K134-J134)*(Geraetedaten!$B$174-Geraetedaten!$B$161),Geraetedaten!$B$174)</f>
        <v>57.724692724245905</v>
      </c>
      <c r="O134" s="20">
        <f>N134/Geraetedaten!$B$174*(M134-L134)+L134+C134</f>
        <v>452.24822917010704</v>
      </c>
      <c r="P134" s="20">
        <f t="shared" si="75"/>
        <v>170.24454197150081</v>
      </c>
      <c r="Q134" s="21">
        <f>(N134-Geraetedaten!$B$161)/(Geraetedaten!$B$174-Geraetedaten!$B$161)*(Geraetedaten!$B$175-Geraetedaten!$B$162)+Geraetedaten!$B$162</f>
        <v>30.917309608546315</v>
      </c>
      <c r="R134" s="21">
        <f t="shared" si="76"/>
        <v>30.917309608546315</v>
      </c>
      <c r="S134" s="21">
        <f t="shared" si="77"/>
        <v>30.799659911294821</v>
      </c>
      <c r="T134" s="88">
        <f t="shared" si="78"/>
        <v>-2.6946210826921648</v>
      </c>
      <c r="U134" s="86">
        <f t="shared" si="79"/>
        <v>-6840.6681600000002</v>
      </c>
      <c r="V134" s="85">
        <f t="shared" si="80"/>
        <v>-1346.4914747781525</v>
      </c>
      <c r="W134" s="85">
        <f t="shared" si="81"/>
        <v>-1539.5056045001745</v>
      </c>
      <c r="X134" s="90">
        <f t="shared" si="82"/>
        <v>1346.4914747781525</v>
      </c>
      <c r="Y134" s="86">
        <f t="shared" si="83"/>
        <v>331320.42823999998</v>
      </c>
      <c r="Z134" s="85">
        <f t="shared" si="84"/>
        <v>-818.62113479844345</v>
      </c>
      <c r="AA134" s="85">
        <f t="shared" si="85"/>
        <v>31744.101459336067</v>
      </c>
      <c r="AB134" s="90">
        <f t="shared" si="86"/>
        <v>818.62113479844345</v>
      </c>
      <c r="AC134" s="86">
        <f t="shared" si="87"/>
        <v>6804.6232099999997</v>
      </c>
      <c r="AD134" s="85">
        <f t="shared" si="88"/>
        <v>3384.56104615708</v>
      </c>
      <c r="AE134" s="85">
        <f t="shared" si="89"/>
        <v>3838.1819110611332</v>
      </c>
      <c r="AF134" s="90">
        <f t="shared" si="90"/>
        <v>3384.56104615708</v>
      </c>
      <c r="AG134" s="86">
        <f t="shared" si="91"/>
        <v>-117188.20435</v>
      </c>
      <c r="AH134" s="85">
        <f t="shared" si="92"/>
        <v>6139.2748628683721</v>
      </c>
      <c r="AI134" s="85">
        <f t="shared" si="93"/>
        <v>-80537.472668782561</v>
      </c>
      <c r="AJ134" s="90">
        <f t="shared" si="94"/>
        <v>6139.2748628683721</v>
      </c>
      <c r="AL134" s="95">
        <f t="shared" si="95"/>
        <v>0</v>
      </c>
      <c r="AM134" s="95">
        <f t="shared" si="96"/>
        <v>0</v>
      </c>
      <c r="AN134" s="95">
        <f t="shared" si="97"/>
        <v>0</v>
      </c>
      <c r="AO134" s="95">
        <f t="shared" si="98"/>
        <v>0</v>
      </c>
      <c r="AP134"/>
      <c r="AQ134" s="95">
        <f t="shared" si="99"/>
        <v>0</v>
      </c>
      <c r="AR134" s="95">
        <f t="shared" si="100"/>
        <v>0</v>
      </c>
      <c r="AS134" s="95">
        <f>Geraetedaten!$B$94*ABS(SIN(RADIANS($A134)))</f>
        <v>153.4139835061288</v>
      </c>
      <c r="AT134" s="95">
        <f>Geraetedaten!$B$94*ABS(COS(RADIANS($A134)))</f>
        <v>13.421984383139367</v>
      </c>
      <c r="AU134" s="95">
        <f>((h_Aw_Sw+Geraetedaten!$B$18)/1000)*(AQ134*AS134+AR134*AT134)/100</f>
        <v>0</v>
      </c>
    </row>
    <row r="135" spans="1:47" ht="13.5" x14ac:dyDescent="0.25">
      <c r="A135" s="16">
        <v>96</v>
      </c>
      <c r="B135" s="16">
        <f t="shared" ref="B135:B166" si="102">360-A135+90</f>
        <v>354</v>
      </c>
      <c r="C135" s="19">
        <f t="shared" ref="C135:C166" si="103">$AE$16*ABS(COS(RADIANS(A135)))+$AE$17*ABS(SIN(RADIANS(A135)))+AU135</f>
        <v>66.330274023974866</v>
      </c>
      <c r="D135" s="17">
        <f t="shared" ref="D135:D166" si="104">IF(ISNUMBER(U135),U135-C135,"unendlich")</f>
        <v>-6974.8821440239753</v>
      </c>
      <c r="E135" s="17">
        <f t="shared" ref="E135:E166" si="105">IF(ISNUMBER(Y135),Y135-C135,"unendlich")</f>
        <v>197573.63615597601</v>
      </c>
      <c r="F135" s="17">
        <f t="shared" ref="F135:F166" si="106">IF(ISNUMBER(AC135),AC135-C135,"unendlich")</f>
        <v>6803.4593159760252</v>
      </c>
      <c r="G135" s="17">
        <f t="shared" ref="G135:G166" si="107">IF(ISNUMBER(AG135),AG135-C135,"unendlich")</f>
        <v>-95486.423774023977</v>
      </c>
      <c r="H135" s="17">
        <f t="shared" si="101"/>
        <v>6803.4593159760252</v>
      </c>
      <c r="I135" s="17">
        <f t="shared" ref="I135:I166" si="108">IF(H135+C135=U135,W135,IF(H135+C135=Y135,AA135,IF(H135+C135=AC135,AE135,IF(H135+C135=AG135,AI135,"???"))))</f>
        <v>3874.9393311494823</v>
      </c>
      <c r="J135" s="20">
        <f>(Geraetedaten!$B$152+(Geraetedaten!$B$153*(Geraetedaten!$B$18+d_y_Sw)/1000))*10</f>
        <v>6051.0442000000003</v>
      </c>
      <c r="K135" s="20">
        <f>(Geraetedaten!$B$165+(Geraetedaten!$B$166*(Geraetedaten!$B$18+d_y_Sw)/1000))*10</f>
        <v>10816.164000000001</v>
      </c>
      <c r="L135" s="20">
        <f>(Geraetedaten!$B$158+(Geraetedaten!$B$159*(Geraetedaten!$B$18+d_y_Sw)/1000)-(Geraetedaten!$B$160*I135/1000))*10</f>
        <v>317.38729884680828</v>
      </c>
      <c r="M135" s="20">
        <f>(Geraetedaten!$B$171+(Geraetedaten!$B$172*(Geraetedaten!$B$18+d_y_Sw)/1000)-(Geraetedaten!$B$173*I135/1000))*10</f>
        <v>776.41651618923333</v>
      </c>
      <c r="N135" s="20">
        <f>IF((H135-J135)/(K135-J135)*(Geraetedaten!$B$174-Geraetedaten!$B$161)&lt;Geraetedaten!$B$174,(H135-J135)/(K135-J135)*(Geraetedaten!$B$174-Geraetedaten!$B$161),Geraetedaten!$B$174)</f>
        <v>63.160226609708737</v>
      </c>
      <c r="O135" s="20">
        <f>N135/Geraetedaten!$B$174*(M135-L135)+L135+C135</f>
        <v>456.19854634034516</v>
      </c>
      <c r="P135" s="20">
        <f t="shared" ref="P135:P166" si="109">O135*100/9.81/(Q135-(I135/1000))</f>
        <v>170.94282928568765</v>
      </c>
      <c r="Q135" s="21">
        <f>(N135-Geraetedaten!$B$161)/(Geraetedaten!$B$174-Geraetedaten!$B$161)*(Geraetedaten!$B$175-Geraetedaten!$B$162)+Geraetedaten!$B$162</f>
        <v>31.079016741638835</v>
      </c>
      <c r="R135" s="21">
        <f t="shared" ref="R135:R166" si="110">SQRT((r_K_D/1000)^2+Q135^2-(2*(r_K_D/1000)*Q135*COS(RADIANS(2*A135))))</f>
        <v>31.079016741638835</v>
      </c>
      <c r="S135" s="21">
        <f t="shared" ref="S135:S166" si="111">R135*SIN(A135*Const_2)</f>
        <v>30.908762636076951</v>
      </c>
      <c r="T135" s="88">
        <f t="shared" ref="T135:T166" si="112">R135*COS(A135*Const_2)</f>
        <v>-3.2486418598731848</v>
      </c>
      <c r="U135" s="86">
        <f t="shared" ref="U135:U166" si="113">ROUND((F_S*r_Su_L-F_G*V135+F_SSw*X135)/(SIN(RADIANS(270+g_L-A135)))/1000,5)</f>
        <v>-6908.5518700000002</v>
      </c>
      <c r="V135" s="85">
        <f t="shared" ref="V135:V166" si="114">(SIN(RADIANS(g_L)))*(((VL_Z-HL_Z)/(VL_X-HL_X))*(-HL_X+AM135)+HL_Z-AL135)</f>
        <v>-1346.4914747781525</v>
      </c>
      <c r="W135" s="85">
        <f t="shared" ref="W135:W166" si="115">V135/(SIN(RADIANS(180-g_L-(90-$A135))))</f>
        <v>-1554.7829645235297</v>
      </c>
      <c r="X135" s="90">
        <f t="shared" ref="X135:X166" si="116">SIN(RADIANS(g_L))*(((VL_Z-HL_Z)/(VL_X-HL_X))*(-AO135+HL_X)-HL_Z+AN135)</f>
        <v>1346.4914747781525</v>
      </c>
      <c r="Y135" s="86">
        <f t="shared" ref="Y135:Y166" si="117">ROUND((F_S*r_Su_H-F_G*Z135+F_SSw*AB135)/(SIN(RADIANS(180+g_H-A135)))/1000,5)</f>
        <v>197639.96643</v>
      </c>
      <c r="Z135" s="85">
        <f t="shared" ref="Z135:Z166" si="118">(SIN(RADIANS(g_H)))*(((HL_X-HR_X)/(HL_Z-HR_Z))*(-HR_Z+AL135)+HR_X-AM135)</f>
        <v>-818.62113479844345</v>
      </c>
      <c r="AA135" s="85">
        <f t="shared" ref="AA135:AA166" si="119">Z135/(SIN(RADIANS(g_H-$A135)))</f>
        <v>18936.058908270341</v>
      </c>
      <c r="AB135" s="90">
        <f t="shared" ref="AB135:AB166" si="120">SIN(RADIANS(g_H))*(((HL_X-HR_X)/(HL_Z-HR_Z))*(-AN135+HR_Z)-HR_X+AO135)</f>
        <v>818.62113479844345</v>
      </c>
      <c r="AC135" s="86">
        <f t="shared" ref="AC135:AC166" si="121">ROUND((F_S*r_Su_R+F_G*AD135+F_SSw*AF135)/(SIN(RADIANS(90+g_R-A135)))/1000,5)</f>
        <v>6869.7895900000003</v>
      </c>
      <c r="AD135" s="85">
        <f t="shared" ref="AD135:AD166" si="122">(SIN(RADIANS(g_R)))*(((HR_Z-VR_Z)/(HR_X-VR_X))*(-VR_X+AM135)+VR_Z-AL135)</f>
        <v>3384.56104615708</v>
      </c>
      <c r="AE135" s="85">
        <f t="shared" ref="AE135:AE166" si="123">AD135/(SIN(RADIANS(180-g_R-(90-$A135))))</f>
        <v>3874.9393311494823</v>
      </c>
      <c r="AF135" s="90">
        <f t="shared" ref="AF135:AF166" si="124">(SIN(RADIANS(g_R)))*(((HR_Z-VR_Z)/(HR_X-VR_X))*(-VR_X+AO135)+VR_Z-AN135)</f>
        <v>3384.56104615708</v>
      </c>
      <c r="AG135" s="86">
        <f t="shared" ref="AG135:AG166" si="125">ROUND((F_S*r_Su_V+F_G*AH135+F_SSw*AJ135)/(SIN(RADIANS(g_V-A135)))/1000,5)</f>
        <v>-95420.093500000003</v>
      </c>
      <c r="AH135" s="85">
        <f t="shared" ref="AH135:AH166" si="126">(SIN(RADIANS(g_V)))*(((VR_X-VL_X)/(VR_Z-VL_Z))*(AL135-VL_Z)+VL_X-AM135)</f>
        <v>6139.2748628683721</v>
      </c>
      <c r="AI135" s="85">
        <f t="shared" ref="AI135:AI166" si="127">AH135/(SIN(RADIANS(g_V-$A135)))</f>
        <v>-65577.360924806679</v>
      </c>
      <c r="AJ135" s="90">
        <f t="shared" ref="AJ135:AJ166" si="128">(SIN(RADIANS(g_V)))*(((VR_X-VL_X)/(VR_Z-VL_Z))*(-VL_Z+AN135)+VL_X-AO135)</f>
        <v>6139.2748628683721</v>
      </c>
      <c r="AL135" s="95">
        <f t="shared" ref="AL135:AL166" si="129">SIN(RADIANS(A135))*r_K_D</f>
        <v>0</v>
      </c>
      <c r="AM135" s="95">
        <f t="shared" ref="AM135:AM166" si="130">COS(RADIANS(A135-180))*r_K_D</f>
        <v>0</v>
      </c>
      <c r="AN135" s="95">
        <f t="shared" ref="AN135:AN166" si="131">SIN(RADIANS(A135))*r_K_SSw</f>
        <v>0</v>
      </c>
      <c r="AO135" s="95">
        <f t="shared" ref="AO135:AO166" si="132">-COS(RADIANS(A135))*r_K_SSw</f>
        <v>0</v>
      </c>
      <c r="AP135"/>
      <c r="AQ135" s="95">
        <f t="shared" ref="AQ135:AQ166" si="133">MAX(d_y_Sw*(r_K_D*ABS(COS(RADIANS($A135)))+_r1_Sw+_r2_Sw), 2*_r1_Sw*d_y_Sw)/1000000</f>
        <v>0</v>
      </c>
      <c r="AR135" s="95">
        <f t="shared" ref="AR135:AR166" si="134">MAX(d_y_Sw*(r_K_D*ABS(SIN(RADIANS($A135)))+_r1_Sw+_r2_Sw), 2*_r1_Sw*d_y_Sw)/1000000</f>
        <v>0</v>
      </c>
      <c r="AS135" s="95">
        <f>Geraetedaten!$B$94*ABS(SIN(RADIANS($A135)))</f>
        <v>153.15637188671408</v>
      </c>
      <c r="AT135" s="95">
        <f>Geraetedaten!$B$94*ABS(COS(RADIANS($A135)))</f>
        <v>16.097383343218649</v>
      </c>
      <c r="AU135" s="95">
        <f>((h_Aw_Sw+Geraetedaten!$B$18)/1000)*(AQ135*AS135+AR135*AT135)/100</f>
        <v>0</v>
      </c>
    </row>
    <row r="136" spans="1:47" ht="13.5" x14ac:dyDescent="0.25">
      <c r="A136" s="16">
        <v>97</v>
      </c>
      <c r="B136" s="16">
        <f t="shared" si="102"/>
        <v>353</v>
      </c>
      <c r="C136" s="19">
        <f t="shared" si="103"/>
        <v>66.724023826976904</v>
      </c>
      <c r="D136" s="17">
        <f t="shared" si="104"/>
        <v>-7046.6678638269768</v>
      </c>
      <c r="E136" s="17">
        <f t="shared" si="105"/>
        <v>140785.42270617303</v>
      </c>
      <c r="F136" s="17">
        <f t="shared" si="106"/>
        <v>6871.6260961730231</v>
      </c>
      <c r="G136" s="17">
        <f t="shared" si="107"/>
        <v>-80559.522963826967</v>
      </c>
      <c r="H136" s="17">
        <f t="shared" ref="H136:H167" si="135">SMALL(D136:G136,COUNTIF(D136:G136,"&lt;0")+1)</f>
        <v>6871.6260961730231</v>
      </c>
      <c r="I136" s="17">
        <f t="shared" si="108"/>
        <v>3913.6112452015309</v>
      </c>
      <c r="J136" s="20">
        <f>(Geraetedaten!$B$152+(Geraetedaten!$B$153*(Geraetedaten!$B$18+d_y_Sw)/1000))*10</f>
        <v>6051.0442000000003</v>
      </c>
      <c r="K136" s="20">
        <f>(Geraetedaten!$B$165+(Geraetedaten!$B$166*(Geraetedaten!$B$18+d_y_Sw)/1000))*10</f>
        <v>10816.164000000001</v>
      </c>
      <c r="L136" s="20">
        <f>(Geraetedaten!$B$158+(Geraetedaten!$B$159*(Geraetedaten!$B$18+d_y_Sw)/1000)-(Geraetedaten!$B$160*I136/1000))*10</f>
        <v>314.55148738937157</v>
      </c>
      <c r="M136" s="20">
        <f>(Geraetedaten!$B$171+(Geraetedaten!$B$172*(Geraetedaten!$B$18+d_y_Sw)/1000)-(Geraetedaten!$B$173*I136/1000))*10</f>
        <v>773.53777890719903</v>
      </c>
      <c r="N136" s="20">
        <f>IF((H136-J136)/(K136-J136)*(Geraetedaten!$B$174-Geraetedaten!$B$161)&lt;Geraetedaten!$B$174,(H136-J136)/(K136-J136)*(Geraetedaten!$B$174-Geraetedaten!$B$161),Geraetedaten!$B$174)</f>
        <v>68.882372793483412</v>
      </c>
      <c r="O136" s="20">
        <f>N136/Geraetedaten!$B$174*(M136-L136)+L136+C136</f>
        <v>460.31567331492209</v>
      </c>
      <c r="P136" s="20">
        <f t="shared" si="109"/>
        <v>171.65541935667932</v>
      </c>
      <c r="Q136" s="21">
        <f>(N136-Geraetedaten!$B$161)/(Geraetedaten!$B$174-Geraetedaten!$B$161)*(Geraetedaten!$B$175-Geraetedaten!$B$162)+Geraetedaten!$B$162</f>
        <v>31.249250590606131</v>
      </c>
      <c r="R136" s="21">
        <f t="shared" si="110"/>
        <v>31.249250590606131</v>
      </c>
      <c r="S136" s="21">
        <f t="shared" si="111"/>
        <v>31.016323415381429</v>
      </c>
      <c r="T136" s="88">
        <f t="shared" si="112"/>
        <v>-3.8083256513800827</v>
      </c>
      <c r="U136" s="86">
        <f t="shared" si="113"/>
        <v>-6979.9438399999999</v>
      </c>
      <c r="V136" s="85">
        <f t="shared" si="114"/>
        <v>-1346.4914747781525</v>
      </c>
      <c r="W136" s="85">
        <f t="shared" si="115"/>
        <v>-1570.8498669727303</v>
      </c>
      <c r="X136" s="90">
        <f t="shared" si="116"/>
        <v>1346.4914747781525</v>
      </c>
      <c r="Y136" s="86">
        <f t="shared" si="117"/>
        <v>140852.14673000001</v>
      </c>
      <c r="Z136" s="85">
        <f t="shared" si="118"/>
        <v>-818.62113479844345</v>
      </c>
      <c r="AA136" s="85">
        <f t="shared" si="119"/>
        <v>13495.16798633299</v>
      </c>
      <c r="AB136" s="90">
        <f t="shared" si="120"/>
        <v>818.62113479844345</v>
      </c>
      <c r="AC136" s="86">
        <f t="shared" si="121"/>
        <v>6938.3501200000001</v>
      </c>
      <c r="AD136" s="85">
        <f t="shared" si="122"/>
        <v>3384.56104615708</v>
      </c>
      <c r="AE136" s="85">
        <f t="shared" si="123"/>
        <v>3913.6112452015309</v>
      </c>
      <c r="AF136" s="90">
        <f t="shared" si="124"/>
        <v>3384.56104615708</v>
      </c>
      <c r="AG136" s="86">
        <f t="shared" si="125"/>
        <v>-80492.798939999993</v>
      </c>
      <c r="AH136" s="85">
        <f t="shared" si="126"/>
        <v>6139.2748628683721</v>
      </c>
      <c r="AI136" s="85">
        <f t="shared" si="127"/>
        <v>-55318.593121821767</v>
      </c>
      <c r="AJ136" s="90">
        <f t="shared" si="128"/>
        <v>6139.2748628683721</v>
      </c>
      <c r="AL136" s="95">
        <f t="shared" si="129"/>
        <v>0</v>
      </c>
      <c r="AM136" s="95">
        <f t="shared" si="130"/>
        <v>0</v>
      </c>
      <c r="AN136" s="95">
        <f t="shared" si="131"/>
        <v>0</v>
      </c>
      <c r="AO136" s="95">
        <f t="shared" si="132"/>
        <v>0</v>
      </c>
      <c r="AP136"/>
      <c r="AQ136" s="95">
        <f t="shared" si="133"/>
        <v>0</v>
      </c>
      <c r="AR136" s="95">
        <f t="shared" si="134"/>
        <v>0</v>
      </c>
      <c r="AS136" s="95">
        <f>Geraetedaten!$B$94*ABS(SIN(RADIANS($A136)))</f>
        <v>152.8521073527636</v>
      </c>
      <c r="AT136" s="95">
        <f>Geraetedaten!$B$94*ABS(COS(RADIANS($A136)))</f>
        <v>18.767878884392694</v>
      </c>
      <c r="AU136" s="95">
        <f>((h_Aw_Sw+Geraetedaten!$B$18)/1000)*(AQ136*AS136+AR136*AT136)/100</f>
        <v>0</v>
      </c>
    </row>
    <row r="137" spans="1:47" ht="13.5" x14ac:dyDescent="0.25">
      <c r="A137" s="16">
        <v>98</v>
      </c>
      <c r="B137" s="16">
        <f t="shared" si="102"/>
        <v>352</v>
      </c>
      <c r="C137" s="19">
        <f t="shared" si="103"/>
        <v>67.097448845951106</v>
      </c>
      <c r="D137" s="17">
        <f t="shared" si="104"/>
        <v>-7122.0956488459515</v>
      </c>
      <c r="E137" s="17">
        <f t="shared" si="105"/>
        <v>109373.00185115405</v>
      </c>
      <c r="F137" s="17">
        <f t="shared" si="106"/>
        <v>6943.3524511540481</v>
      </c>
      <c r="G137" s="17">
        <f t="shared" si="107"/>
        <v>-69689.534138845949</v>
      </c>
      <c r="H137" s="17">
        <f t="shared" si="135"/>
        <v>6943.3524511540481</v>
      </c>
      <c r="I137" s="17">
        <f t="shared" si="108"/>
        <v>3954.2794862386663</v>
      </c>
      <c r="J137" s="20">
        <f>(Geraetedaten!$B$152+(Geraetedaten!$B$153*(Geraetedaten!$B$18+d_y_Sw)/1000))*10</f>
        <v>6051.0442000000003</v>
      </c>
      <c r="K137" s="20">
        <f>(Geraetedaten!$B$165+(Geraetedaten!$B$166*(Geraetedaten!$B$18+d_y_Sw)/1000))*10</f>
        <v>10816.164000000001</v>
      </c>
      <c r="L137" s="20">
        <f>(Geraetedaten!$B$158+(Geraetedaten!$B$159*(Geraetedaten!$B$18+d_y_Sw)/1000)-(Geraetedaten!$B$160*I137/1000))*10</f>
        <v>311.56928527411839</v>
      </c>
      <c r="M137" s="20">
        <f>(Geraetedaten!$B$171+(Geraetedaten!$B$172*(Geraetedaten!$B$18+d_y_Sw)/1000)-(Geraetedaten!$B$173*I137/1000))*10</f>
        <v>770.51043504439463</v>
      </c>
      <c r="N137" s="20">
        <f>IF((H137-J137)/(K137-J137)*(Geraetedaten!$B$174-Geraetedaten!$B$161)&lt;Geraetedaten!$B$174,(H137-J137)/(K137-J137)*(Geraetedaten!$B$174-Geraetedaten!$B$161),Geraetedaten!$B$174)</f>
        <v>74.903321520189081</v>
      </c>
      <c r="O137" s="20">
        <f>N137/Geraetedaten!$B$174*(M137-L137)+L137+C137</f>
        <v>464.60727537029015</v>
      </c>
      <c r="P137" s="20">
        <f t="shared" si="109"/>
        <v>172.38267424565495</v>
      </c>
      <c r="Q137" s="21">
        <f>(N137-Geraetedaten!$B$161)/(Geraetedaten!$B$174-Geraetedaten!$B$161)*(Geraetedaten!$B$175-Geraetedaten!$B$162)+Geraetedaten!$B$162</f>
        <v>31.428373815225626</v>
      </c>
      <c r="R137" s="21">
        <f t="shared" si="110"/>
        <v>31.428373815225626</v>
      </c>
      <c r="S137" s="21">
        <f t="shared" si="111"/>
        <v>31.122515041691621</v>
      </c>
      <c r="T137" s="88">
        <f t="shared" si="112"/>
        <v>-4.3739842419970705</v>
      </c>
      <c r="U137" s="86">
        <f t="shared" si="113"/>
        <v>-7054.9982</v>
      </c>
      <c r="V137" s="85">
        <f t="shared" si="114"/>
        <v>-1346.4914747781525</v>
      </c>
      <c r="W137" s="85">
        <f t="shared" si="115"/>
        <v>-1587.7409942252179</v>
      </c>
      <c r="X137" s="90">
        <f t="shared" si="116"/>
        <v>1346.4914747781525</v>
      </c>
      <c r="Y137" s="86">
        <f t="shared" si="117"/>
        <v>109440.0993</v>
      </c>
      <c r="Z137" s="85">
        <f t="shared" si="118"/>
        <v>-818.62113479844345</v>
      </c>
      <c r="AA137" s="85">
        <f t="shared" si="119"/>
        <v>10485.552111027213</v>
      </c>
      <c r="AB137" s="90">
        <f t="shared" si="120"/>
        <v>818.62113479844345</v>
      </c>
      <c r="AC137" s="86">
        <f t="shared" si="121"/>
        <v>7010.4498999999996</v>
      </c>
      <c r="AD137" s="85">
        <f t="shared" si="122"/>
        <v>3384.56104615708</v>
      </c>
      <c r="AE137" s="85">
        <f t="shared" si="123"/>
        <v>3954.2794862386663</v>
      </c>
      <c r="AF137" s="90">
        <f t="shared" si="124"/>
        <v>3384.56104615708</v>
      </c>
      <c r="AG137" s="86">
        <f t="shared" si="125"/>
        <v>-69622.436690000002</v>
      </c>
      <c r="AH137" s="85">
        <f t="shared" si="126"/>
        <v>6139.2748628683721</v>
      </c>
      <c r="AI137" s="85">
        <f t="shared" si="127"/>
        <v>-47847.947865069844</v>
      </c>
      <c r="AJ137" s="90">
        <f t="shared" si="128"/>
        <v>6139.2748628683721</v>
      </c>
      <c r="AL137" s="95">
        <f t="shared" si="129"/>
        <v>0</v>
      </c>
      <c r="AM137" s="95">
        <f t="shared" si="130"/>
        <v>0</v>
      </c>
      <c r="AN137" s="95">
        <f t="shared" si="131"/>
        <v>0</v>
      </c>
      <c r="AO137" s="95">
        <f t="shared" si="132"/>
        <v>0</v>
      </c>
      <c r="AP137"/>
      <c r="AQ137" s="95">
        <f t="shared" si="133"/>
        <v>0</v>
      </c>
      <c r="AR137" s="95">
        <f t="shared" si="134"/>
        <v>0</v>
      </c>
      <c r="AS137" s="95">
        <f>Geraetedaten!$B$94*ABS(SIN(RADIANS($A137)))</f>
        <v>152.50128258620182</v>
      </c>
      <c r="AT137" s="95">
        <f>Geraetedaten!$B$94*ABS(COS(RADIANS($A137)))</f>
        <v>21.432657547850063</v>
      </c>
      <c r="AU137" s="95">
        <f>((h_Aw_Sw+Geraetedaten!$B$18)/1000)*(AQ137*AS137+AR137*AT137)/100</f>
        <v>0</v>
      </c>
    </row>
    <row r="138" spans="1:47" ht="13.5" x14ac:dyDescent="0.25">
      <c r="A138" s="16">
        <v>99</v>
      </c>
      <c r="B138" s="16">
        <f t="shared" si="102"/>
        <v>351</v>
      </c>
      <c r="C138" s="19">
        <f t="shared" si="103"/>
        <v>67.450435332019254</v>
      </c>
      <c r="D138" s="17">
        <f t="shared" si="104"/>
        <v>-7201.3312953320192</v>
      </c>
      <c r="E138" s="17">
        <f t="shared" si="105"/>
        <v>89438.74820466798</v>
      </c>
      <c r="F138" s="17">
        <f t="shared" si="106"/>
        <v>7018.7946246679812</v>
      </c>
      <c r="G138" s="17">
        <f t="shared" si="107"/>
        <v>-61422.695665332023</v>
      </c>
      <c r="H138" s="17">
        <f t="shared" si="135"/>
        <v>7018.7946246679812</v>
      </c>
      <c r="I138" s="17">
        <f t="shared" si="108"/>
        <v>3997.0321290262764</v>
      </c>
      <c r="J138" s="20">
        <f>(Geraetedaten!$B$152+(Geraetedaten!$B$153*(Geraetedaten!$B$18+d_y_Sw)/1000))*10</f>
        <v>6051.0442000000003</v>
      </c>
      <c r="K138" s="20">
        <f>(Geraetedaten!$B$165+(Geraetedaten!$B$166*(Geraetedaten!$B$18+d_y_Sw)/1000))*10</f>
        <v>10816.164000000001</v>
      </c>
      <c r="L138" s="20">
        <f>(Geraetedaten!$B$158+(Geraetedaten!$B$159*(Geraetedaten!$B$18+d_y_Sw)/1000)-(Geraetedaten!$B$160*I138/1000))*10</f>
        <v>308.43423397850296</v>
      </c>
      <c r="M138" s="20">
        <f>(Geraetedaten!$B$171+(Geraetedaten!$B$172*(Geraetedaten!$B$18+d_y_Sw)/1000)-(Geraetedaten!$B$173*I138/1000))*10</f>
        <v>767.32792831528491</v>
      </c>
      <c r="N138" s="20">
        <f>IF((H138-J138)/(K138-J138)*(Geraetedaten!$B$174-Geraetedaten!$B$161)&lt;Geraetedaten!$B$174,(H138-J138)/(K138-J138)*(Geraetedaten!$B$174-Geraetedaten!$B$161),Geraetedaten!$B$174)</f>
        <v>81.236188409616133</v>
      </c>
      <c r="O138" s="20">
        <f>N138/Geraetedaten!$B$174*(M138-L138)+L138+C138</f>
        <v>469.08160584334126</v>
      </c>
      <c r="P138" s="20">
        <f t="shared" si="109"/>
        <v>173.12498128746782</v>
      </c>
      <c r="Q138" s="21">
        <f>(N138-Geraetedaten!$B$161)/(Geraetedaten!$B$174-Geraetedaten!$B$161)*(Geraetedaten!$B$175-Geraetedaten!$B$162)+Geraetedaten!$B$162</f>
        <v>31.616776605186079</v>
      </c>
      <c r="R138" s="21">
        <f t="shared" si="110"/>
        <v>31.616776605186079</v>
      </c>
      <c r="S138" s="21">
        <f t="shared" si="111"/>
        <v>31.22752162014341</v>
      </c>
      <c r="T138" s="88">
        <f t="shared" si="112"/>
        <v>-4.9459535345287691</v>
      </c>
      <c r="U138" s="86">
        <f t="shared" si="113"/>
        <v>-7133.8808600000002</v>
      </c>
      <c r="V138" s="85">
        <f t="shared" si="114"/>
        <v>-1346.4914747781525</v>
      </c>
      <c r="W138" s="85">
        <f t="shared" si="115"/>
        <v>-1605.4936905615959</v>
      </c>
      <c r="X138" s="90">
        <f t="shared" si="116"/>
        <v>1346.4914747781525</v>
      </c>
      <c r="Y138" s="86">
        <f t="shared" si="117"/>
        <v>89506.198640000002</v>
      </c>
      <c r="Z138" s="85">
        <f t="shared" si="118"/>
        <v>-818.62113479844345</v>
      </c>
      <c r="AA138" s="85">
        <f t="shared" si="119"/>
        <v>8575.6675674198814</v>
      </c>
      <c r="AB138" s="90">
        <f t="shared" si="120"/>
        <v>818.62113479844345</v>
      </c>
      <c r="AC138" s="86">
        <f t="shared" si="121"/>
        <v>7086.2450600000002</v>
      </c>
      <c r="AD138" s="85">
        <f t="shared" si="122"/>
        <v>3384.56104615708</v>
      </c>
      <c r="AE138" s="85">
        <f t="shared" si="123"/>
        <v>3997.0321290262764</v>
      </c>
      <c r="AF138" s="90">
        <f t="shared" si="124"/>
        <v>3384.56104615708</v>
      </c>
      <c r="AG138" s="86">
        <f t="shared" si="125"/>
        <v>-61355.24523</v>
      </c>
      <c r="AH138" s="85">
        <f t="shared" si="126"/>
        <v>6139.2748628683721</v>
      </c>
      <c r="AI138" s="85">
        <f t="shared" si="127"/>
        <v>-42166.329057417104</v>
      </c>
      <c r="AJ138" s="90">
        <f t="shared" si="128"/>
        <v>6139.2748628683721</v>
      </c>
      <c r="AL138" s="95">
        <f t="shared" si="129"/>
        <v>0</v>
      </c>
      <c r="AM138" s="95">
        <f t="shared" si="130"/>
        <v>0</v>
      </c>
      <c r="AN138" s="95">
        <f t="shared" si="131"/>
        <v>0</v>
      </c>
      <c r="AO138" s="95">
        <f t="shared" si="132"/>
        <v>0</v>
      </c>
      <c r="AP138"/>
      <c r="AQ138" s="95">
        <f t="shared" si="133"/>
        <v>0</v>
      </c>
      <c r="AR138" s="95">
        <f t="shared" si="134"/>
        <v>0</v>
      </c>
      <c r="AS138" s="95">
        <f>Geraetedaten!$B$94*ABS(SIN(RADIANS($A138)))</f>
        <v>152.10400445165121</v>
      </c>
      <c r="AT138" s="95">
        <f>Geraetedaten!$B$94*ABS(COS(RADIANS($A138)))</f>
        <v>24.090907616195544</v>
      </c>
      <c r="AU138" s="95">
        <f>((h_Aw_Sw+Geraetedaten!$B$18)/1000)*(AQ138*AS138+AR138*AT138)/100</f>
        <v>0</v>
      </c>
    </row>
    <row r="139" spans="1:47" ht="13.5" x14ac:dyDescent="0.25">
      <c r="A139" s="16">
        <v>100</v>
      </c>
      <c r="B139" s="16">
        <f t="shared" si="102"/>
        <v>350</v>
      </c>
      <c r="C139" s="19">
        <f t="shared" si="103"/>
        <v>67.782875762078234</v>
      </c>
      <c r="D139" s="17">
        <f t="shared" si="104"/>
        <v>-7284.5534957620785</v>
      </c>
      <c r="E139" s="17">
        <f t="shared" si="105"/>
        <v>75666.846954237932</v>
      </c>
      <c r="F139" s="17">
        <f t="shared" si="106"/>
        <v>7098.1208842379219</v>
      </c>
      <c r="G139" s="17">
        <f t="shared" si="107"/>
        <v>-54925.729795762083</v>
      </c>
      <c r="H139" s="17">
        <f t="shared" si="135"/>
        <v>7098.1208842379219</v>
      </c>
      <c r="I139" s="17">
        <f t="shared" si="108"/>
        <v>4041.9640155658012</v>
      </c>
      <c r="J139" s="20">
        <f>(Geraetedaten!$B$152+(Geraetedaten!$B$153*(Geraetedaten!$B$18+d_y_Sw)/1000))*10</f>
        <v>6051.0442000000003</v>
      </c>
      <c r="K139" s="20">
        <f>(Geraetedaten!$B$165+(Geraetedaten!$B$166*(Geraetedaten!$B$18+d_y_Sw)/1000))*10</f>
        <v>10816.164000000001</v>
      </c>
      <c r="L139" s="20">
        <f>(Geraetedaten!$B$158+(Geraetedaten!$B$159*(Geraetedaten!$B$18+d_y_Sw)/1000)-(Geraetedaten!$B$160*I139/1000))*10</f>
        <v>305.13937873855957</v>
      </c>
      <c r="M139" s="20">
        <f>(Geraetedaten!$B$171+(Geraetedaten!$B$172*(Geraetedaten!$B$18+d_y_Sw)/1000)-(Geraetedaten!$B$173*I139/1000))*10</f>
        <v>763.9831986812826</v>
      </c>
      <c r="N139" s="20">
        <f>IF((H139-J139)/(K139-J139)*(Geraetedaten!$B$174-Geraetedaten!$B$161)&lt;Geraetedaten!$B$174,(H139-J139)/(K139-J139)*(Geraetedaten!$B$174-Geraetedaten!$B$161),Geraetedaten!$B$174)</f>
        <v>87.895098397141794</v>
      </c>
      <c r="O139" s="20">
        <f>N139/Geraetedaten!$B$174*(M139-L139)+L139+C139</f>
        <v>473.74756125760291</v>
      </c>
      <c r="P139" s="20">
        <f t="shared" si="109"/>
        <v>173.88275496040524</v>
      </c>
      <c r="Q139" s="21">
        <f>(N139-Geraetedaten!$B$161)/(Geraetedaten!$B$174-Geraetedaten!$B$161)*(Geraetedaten!$B$175-Geraetedaten!$B$162)+Geraetedaten!$B$162</f>
        <v>31.814879177314968</v>
      </c>
      <c r="R139" s="21">
        <f t="shared" si="110"/>
        <v>31.814879177314968</v>
      </c>
      <c r="S139" s="21">
        <f t="shared" si="111"/>
        <v>31.331539674966439</v>
      </c>
      <c r="T139" s="88">
        <f t="shared" si="112"/>
        <v>-5.5245957918343107</v>
      </c>
      <c r="U139" s="86">
        <f t="shared" si="113"/>
        <v>-7216.7706200000002</v>
      </c>
      <c r="V139" s="85">
        <f t="shared" si="114"/>
        <v>-1346.4914747781525</v>
      </c>
      <c r="W139" s="85">
        <f t="shared" si="115"/>
        <v>-1624.1481908022677</v>
      </c>
      <c r="X139" s="90">
        <f t="shared" si="116"/>
        <v>1346.4914747781525</v>
      </c>
      <c r="Y139" s="86">
        <f t="shared" si="117"/>
        <v>75734.629830000005</v>
      </c>
      <c r="Z139" s="85">
        <f t="shared" si="118"/>
        <v>-818.62113479844345</v>
      </c>
      <c r="AA139" s="85">
        <f t="shared" si="119"/>
        <v>7256.2014541275703</v>
      </c>
      <c r="AB139" s="90">
        <f t="shared" si="120"/>
        <v>818.62113479844345</v>
      </c>
      <c r="AC139" s="86">
        <f t="shared" si="121"/>
        <v>7165.9037600000001</v>
      </c>
      <c r="AD139" s="85">
        <f t="shared" si="122"/>
        <v>3384.56104615708</v>
      </c>
      <c r="AE139" s="85">
        <f t="shared" si="123"/>
        <v>4041.9640155658012</v>
      </c>
      <c r="AF139" s="90">
        <f t="shared" si="124"/>
        <v>3384.56104615708</v>
      </c>
      <c r="AG139" s="86">
        <f t="shared" si="125"/>
        <v>-54857.946920000002</v>
      </c>
      <c r="AH139" s="85">
        <f t="shared" si="126"/>
        <v>6139.2748628683721</v>
      </c>
      <c r="AI139" s="85">
        <f t="shared" si="127"/>
        <v>-37701.067483953979</v>
      </c>
      <c r="AJ139" s="90">
        <f t="shared" si="128"/>
        <v>6139.2748628683721</v>
      </c>
      <c r="AL139" s="95">
        <f t="shared" si="129"/>
        <v>0</v>
      </c>
      <c r="AM139" s="95">
        <f t="shared" si="130"/>
        <v>0</v>
      </c>
      <c r="AN139" s="95">
        <f t="shared" si="131"/>
        <v>0</v>
      </c>
      <c r="AO139" s="95">
        <f t="shared" si="132"/>
        <v>0</v>
      </c>
      <c r="AP139"/>
      <c r="AQ139" s="95">
        <f t="shared" si="133"/>
        <v>0</v>
      </c>
      <c r="AR139" s="95">
        <f t="shared" si="134"/>
        <v>0</v>
      </c>
      <c r="AS139" s="95">
        <f>Geraetedaten!$B$94*ABS(SIN(RADIANS($A139)))</f>
        <v>151.66039396388004</v>
      </c>
      <c r="AT139" s="95">
        <f>Geraetedaten!$B$94*ABS(COS(RADIANS($A139)))</f>
        <v>26.741819360707268</v>
      </c>
      <c r="AU139" s="95">
        <f>((h_Aw_Sw+Geraetedaten!$B$18)/1000)*(AQ139*AS139+AR139*AT139)/100</f>
        <v>0</v>
      </c>
    </row>
    <row r="140" spans="1:47" ht="13.5" x14ac:dyDescent="0.25">
      <c r="A140" s="16">
        <v>101</v>
      </c>
      <c r="B140" s="16">
        <f t="shared" si="102"/>
        <v>349</v>
      </c>
      <c r="C140" s="19">
        <f t="shared" si="103"/>
        <v>68.094668871552628</v>
      </c>
      <c r="D140" s="17">
        <f t="shared" si="104"/>
        <v>-7371.9548888715526</v>
      </c>
      <c r="E140" s="17">
        <f t="shared" si="105"/>
        <v>65585.036541128458</v>
      </c>
      <c r="F140" s="17">
        <f t="shared" si="106"/>
        <v>7181.5124811284468</v>
      </c>
      <c r="G140" s="17">
        <f t="shared" si="107"/>
        <v>-49686.722828871556</v>
      </c>
      <c r="H140" s="17">
        <f t="shared" si="135"/>
        <v>7181.5124811284468</v>
      </c>
      <c r="I140" s="17">
        <f t="shared" si="108"/>
        <v>4089.1773382110896</v>
      </c>
      <c r="J140" s="20">
        <f>(Geraetedaten!$B$152+(Geraetedaten!$B$153*(Geraetedaten!$B$18+d_y_Sw)/1000))*10</f>
        <v>6051.0442000000003</v>
      </c>
      <c r="K140" s="20">
        <f>(Geraetedaten!$B$165+(Geraetedaten!$B$166*(Geraetedaten!$B$18+d_y_Sw)/1000))*10</f>
        <v>10816.164000000001</v>
      </c>
      <c r="L140" s="20">
        <f>(Geraetedaten!$B$158+(Geraetedaten!$B$159*(Geraetedaten!$B$18+d_y_Sw)/1000)-(Geraetedaten!$B$160*I140/1000))*10</f>
        <v>301.67722578898059</v>
      </c>
      <c r="M140" s="20">
        <f>(Geraetedaten!$B$171+(Geraetedaten!$B$172*(Geraetedaten!$B$18+d_y_Sw)/1000)-(Geraetedaten!$B$173*I140/1000))*10</f>
        <v>760.46863894356738</v>
      </c>
      <c r="N140" s="20">
        <f>IF((H140-J140)/(K140-J140)*(Geraetedaten!$B$174-Geraetedaten!$B$161)&lt;Geraetedaten!$B$174,(H140-J140)/(K140-J140)*(Geraetedaten!$B$174-Geraetedaten!$B$161),Geraetedaten!$B$174)</f>
        <v>94.895266316573739</v>
      </c>
      <c r="O140" s="20">
        <f>N140/Geraetedaten!$B$174*(M140-L140)+L140+C140</f>
        <v>478.61472799818756</v>
      </c>
      <c r="P140" s="20">
        <f t="shared" si="109"/>
        <v>174.65643590484839</v>
      </c>
      <c r="Q140" s="21">
        <f>(N140-Geraetedaten!$B$161)/(Geraetedaten!$B$174-Geraetedaten!$B$161)*(Geraetedaten!$B$175-Geraetedaten!$B$162)+Geraetedaten!$B$162</f>
        <v>32.02313417291807</v>
      </c>
      <c r="R140" s="21">
        <f t="shared" si="110"/>
        <v>32.02313417291807</v>
      </c>
      <c r="S140" s="21">
        <f t="shared" si="111"/>
        <v>31.434779003328202</v>
      </c>
      <c r="T140" s="88">
        <f t="shared" si="112"/>
        <v>-6.1103020603427982</v>
      </c>
      <c r="U140" s="86">
        <f t="shared" si="113"/>
        <v>-7303.8602199999996</v>
      </c>
      <c r="V140" s="85">
        <f t="shared" si="114"/>
        <v>-1346.4914747781525</v>
      </c>
      <c r="W140" s="85">
        <f t="shared" si="115"/>
        <v>-1643.747874340806</v>
      </c>
      <c r="X140" s="90">
        <f t="shared" si="116"/>
        <v>1346.4914747781525</v>
      </c>
      <c r="Y140" s="86">
        <f t="shared" si="117"/>
        <v>65653.131210000007</v>
      </c>
      <c r="Z140" s="85">
        <f t="shared" si="118"/>
        <v>-818.62113479844345</v>
      </c>
      <c r="AA140" s="85">
        <f t="shared" si="119"/>
        <v>6290.2842103263911</v>
      </c>
      <c r="AB140" s="90">
        <f t="shared" si="120"/>
        <v>818.62113479844345</v>
      </c>
      <c r="AC140" s="86">
        <f t="shared" si="121"/>
        <v>7249.6071499999998</v>
      </c>
      <c r="AD140" s="85">
        <f t="shared" si="122"/>
        <v>3384.56104615708</v>
      </c>
      <c r="AE140" s="85">
        <f t="shared" si="123"/>
        <v>4089.1773382110896</v>
      </c>
      <c r="AF140" s="90">
        <f t="shared" si="124"/>
        <v>3384.56104615708</v>
      </c>
      <c r="AG140" s="86">
        <f t="shared" si="125"/>
        <v>-49618.62816</v>
      </c>
      <c r="AH140" s="85">
        <f t="shared" si="126"/>
        <v>6139.2748628683721</v>
      </c>
      <c r="AI140" s="85">
        <f t="shared" si="127"/>
        <v>-34100.351071578814</v>
      </c>
      <c r="AJ140" s="90">
        <f t="shared" si="128"/>
        <v>6139.2748628683721</v>
      </c>
      <c r="AL140" s="95">
        <f t="shared" si="129"/>
        <v>0</v>
      </c>
      <c r="AM140" s="95">
        <f t="shared" si="130"/>
        <v>0</v>
      </c>
      <c r="AN140" s="95">
        <f t="shared" si="131"/>
        <v>0</v>
      </c>
      <c r="AO140" s="95">
        <f t="shared" si="132"/>
        <v>0</v>
      </c>
      <c r="AP140"/>
      <c r="AQ140" s="95">
        <f t="shared" si="133"/>
        <v>0</v>
      </c>
      <c r="AR140" s="95">
        <f t="shared" si="134"/>
        <v>0</v>
      </c>
      <c r="AS140" s="95">
        <f>Geraetedaten!$B$94*ABS(SIN(RADIANS($A140)))</f>
        <v>151.17058625094026</v>
      </c>
      <c r="AT140" s="95">
        <f>Geraetedaten!$B$94*ABS(COS(RADIANS($A140)))</f>
        <v>29.3845852879879</v>
      </c>
      <c r="AU140" s="95">
        <f>((h_Aw_Sw+Geraetedaten!$B$18)/1000)*(AQ140*AS140+AR140*AT140)/100</f>
        <v>0</v>
      </c>
    </row>
    <row r="141" spans="1:47" ht="13.5" x14ac:dyDescent="0.25">
      <c r="A141" s="16">
        <v>102</v>
      </c>
      <c r="B141" s="16">
        <f t="shared" si="102"/>
        <v>348</v>
      </c>
      <c r="C141" s="19">
        <f t="shared" si="103"/>
        <v>68.385719685240872</v>
      </c>
      <c r="D141" s="17">
        <f t="shared" si="104"/>
        <v>-7463.7433696852404</v>
      </c>
      <c r="E141" s="17">
        <f t="shared" si="105"/>
        <v>57887.533450314761</v>
      </c>
      <c r="F141" s="17">
        <f t="shared" si="106"/>
        <v>7269.1648903147598</v>
      </c>
      <c r="G141" s="17">
        <f t="shared" si="107"/>
        <v>-45373.826919685242</v>
      </c>
      <c r="H141" s="17">
        <f t="shared" si="135"/>
        <v>7269.1648903147598</v>
      </c>
      <c r="I141" s="17">
        <f t="shared" si="108"/>
        <v>4138.7822876948785</v>
      </c>
      <c r="J141" s="20">
        <f>(Geraetedaten!$B$152+(Geraetedaten!$B$153*(Geraetedaten!$B$18+d_y_Sw)/1000))*10</f>
        <v>6051.0442000000003</v>
      </c>
      <c r="K141" s="20">
        <f>(Geraetedaten!$B$165+(Geraetedaten!$B$166*(Geraetedaten!$B$18+d_y_Sw)/1000))*10</f>
        <v>10816.164000000001</v>
      </c>
      <c r="L141" s="20">
        <f>(Geraetedaten!$B$158+(Geraetedaten!$B$159*(Geraetedaten!$B$18+d_y_Sw)/1000)-(Geraetedaten!$B$160*I141/1000))*10</f>
        <v>298.03969484333436</v>
      </c>
      <c r="M141" s="20">
        <f>(Geraetedaten!$B$171+(Geraetedaten!$B$172*(Geraetedaten!$B$18+d_y_Sw)/1000)-(Geraetedaten!$B$173*I141/1000))*10</f>
        <v>756.77604650399417</v>
      </c>
      <c r="N141" s="20">
        <f>IF((H141-J141)/(K141-J141)*(Geraetedaten!$B$174-Geraetedaten!$B$161)&lt;Geraetedaten!$B$174,(H141-J141)/(K141-J141)*(Geraetedaten!$B$174-Geraetedaten!$B$161),Geraetedaten!$B$174)</f>
        <v>102.25310098728342</v>
      </c>
      <c r="O141" s="20">
        <f>N141/Geraetedaten!$B$174*(M141-L141)+L141+C141</f>
        <v>483.69345076081373</v>
      </c>
      <c r="P141" s="20">
        <f t="shared" si="109"/>
        <v>175.44649320520702</v>
      </c>
      <c r="Q141" s="21">
        <f>(N141-Geraetedaten!$B$161)/(Geraetedaten!$B$174-Geraetedaten!$B$161)*(Geraetedaten!$B$175-Geraetedaten!$B$162)+Geraetedaten!$B$162</f>
        <v>32.242029754371679</v>
      </c>
      <c r="R141" s="21">
        <f t="shared" si="110"/>
        <v>32.242029754371679</v>
      </c>
      <c r="S141" s="21">
        <f t="shared" si="111"/>
        <v>31.537464047026631</v>
      </c>
      <c r="T141" s="88">
        <f t="shared" si="112"/>
        <v>-6.7034949216279216</v>
      </c>
      <c r="U141" s="86">
        <f t="shared" si="113"/>
        <v>-7395.3576499999999</v>
      </c>
      <c r="V141" s="85">
        <f t="shared" si="114"/>
        <v>-1346.4914747781525</v>
      </c>
      <c r="W141" s="85">
        <f t="shared" si="115"/>
        <v>-1664.3395478407681</v>
      </c>
      <c r="X141" s="90">
        <f t="shared" si="116"/>
        <v>1346.4914747781525</v>
      </c>
      <c r="Y141" s="86">
        <f t="shared" si="117"/>
        <v>57955.919170000001</v>
      </c>
      <c r="Z141" s="85">
        <f t="shared" si="118"/>
        <v>-818.62113479844345</v>
      </c>
      <c r="AA141" s="85">
        <f t="shared" si="119"/>
        <v>5552.8075588701649</v>
      </c>
      <c r="AB141" s="90">
        <f t="shared" si="120"/>
        <v>818.62113479844345</v>
      </c>
      <c r="AC141" s="86">
        <f t="shared" si="121"/>
        <v>7337.5506100000002</v>
      </c>
      <c r="AD141" s="85">
        <f t="shared" si="122"/>
        <v>3384.56104615708</v>
      </c>
      <c r="AE141" s="85">
        <f t="shared" si="123"/>
        <v>4138.7822876948785</v>
      </c>
      <c r="AF141" s="90">
        <f t="shared" si="124"/>
        <v>3384.56104615708</v>
      </c>
      <c r="AG141" s="86">
        <f t="shared" si="125"/>
        <v>-45305.441200000001</v>
      </c>
      <c r="AH141" s="85">
        <f t="shared" si="126"/>
        <v>6139.2748628683721</v>
      </c>
      <c r="AI141" s="85">
        <f t="shared" si="127"/>
        <v>-31136.117771986217</v>
      </c>
      <c r="AJ141" s="90">
        <f t="shared" si="128"/>
        <v>6139.2748628683721</v>
      </c>
      <c r="AL141" s="95">
        <f t="shared" si="129"/>
        <v>0</v>
      </c>
      <c r="AM141" s="95">
        <f t="shared" si="130"/>
        <v>0</v>
      </c>
      <c r="AN141" s="95">
        <f t="shared" si="131"/>
        <v>0</v>
      </c>
      <c r="AO141" s="95">
        <f t="shared" si="132"/>
        <v>0</v>
      </c>
      <c r="AP141"/>
      <c r="AQ141" s="95">
        <f t="shared" si="133"/>
        <v>0</v>
      </c>
      <c r="AR141" s="95">
        <f t="shared" si="134"/>
        <v>0</v>
      </c>
      <c r="AS141" s="95">
        <f>Geraetedaten!$B$94*ABS(SIN(RADIANS($A141)))</f>
        <v>150.63473051300608</v>
      </c>
      <c r="AT141" s="95">
        <f>Geraetedaten!$B$94*ABS(COS(RADIANS($A141)))</f>
        <v>32.018400385934939</v>
      </c>
      <c r="AU141" s="95">
        <f>((h_Aw_Sw+Geraetedaten!$B$18)/1000)*(AQ141*AS141+AR141*AT141)/100</f>
        <v>0</v>
      </c>
    </row>
    <row r="142" spans="1:47" ht="13.5" x14ac:dyDescent="0.25">
      <c r="A142" s="16">
        <v>103</v>
      </c>
      <c r="B142" s="16">
        <f t="shared" si="102"/>
        <v>347</v>
      </c>
      <c r="C142" s="19">
        <f t="shared" si="103"/>
        <v>68.655939546245634</v>
      </c>
      <c r="D142" s="17">
        <f t="shared" si="104"/>
        <v>-7560.1434595462451</v>
      </c>
      <c r="E142" s="17">
        <f t="shared" si="105"/>
        <v>51819.652820453754</v>
      </c>
      <c r="F142" s="17">
        <f t="shared" si="106"/>
        <v>7361.2890004537549</v>
      </c>
      <c r="G142" s="17">
        <f t="shared" si="107"/>
        <v>-41762.487469546249</v>
      </c>
      <c r="H142" s="17">
        <f t="shared" si="135"/>
        <v>7361.2890004537549</v>
      </c>
      <c r="I142" s="17">
        <f t="shared" si="108"/>
        <v>4190.8977744377635</v>
      </c>
      <c r="J142" s="20">
        <f>(Geraetedaten!$B$152+(Geraetedaten!$B$153*(Geraetedaten!$B$18+d_y_Sw)/1000))*10</f>
        <v>6051.0442000000003</v>
      </c>
      <c r="K142" s="20">
        <f>(Geraetedaten!$B$165+(Geraetedaten!$B$166*(Geraetedaten!$B$18+d_y_Sw)/1000))*10</f>
        <v>10816.164000000001</v>
      </c>
      <c r="L142" s="20">
        <f>(Geraetedaten!$B$158+(Geraetedaten!$B$159*(Geraetedaten!$B$18+d_y_Sw)/1000)-(Geraetedaten!$B$160*I142/1000))*10</f>
        <v>294.21806620047857</v>
      </c>
      <c r="M142" s="20">
        <f>(Geraetedaten!$B$171+(Geraetedaten!$B$172*(Geraetedaten!$B$18+d_y_Sw)/1000)-(Geraetedaten!$B$173*I142/1000))*10</f>
        <v>752.89656967085375</v>
      </c>
      <c r="N142" s="20">
        <f>IF((H142-J142)/(K142-J142)*(Geraetedaten!$B$174-Geraetedaten!$B$161)&lt;Geraetedaten!$B$174,(H142-J142)/(K142-J142)*(Geraetedaten!$B$174-Geraetedaten!$B$161),Geraetedaten!$B$174)</f>
        <v>109.98630510433374</v>
      </c>
      <c r="O142" s="20">
        <f>N142/Geraetedaten!$B$174*(M142-L142)+L142+C142</f>
        <v>488.99489031545392</v>
      </c>
      <c r="P142" s="20">
        <f t="shared" si="109"/>
        <v>176.25342311236861</v>
      </c>
      <c r="Q142" s="21">
        <f>(N142-Geraetedaten!$B$161)/(Geraetedaten!$B$174-Geraetedaten!$B$161)*(Geraetedaten!$B$175-Geraetedaten!$B$162)+Geraetedaten!$B$162</f>
        <v>32.472092576853932</v>
      </c>
      <c r="R142" s="21">
        <f t="shared" si="110"/>
        <v>32.472092576853932</v>
      </c>
      <c r="S142" s="21">
        <f t="shared" si="111"/>
        <v>31.639834947821321</v>
      </c>
      <c r="T142" s="88">
        <f t="shared" si="112"/>
        <v>-7.3046314619148847</v>
      </c>
      <c r="U142" s="86">
        <f t="shared" si="113"/>
        <v>-7491.4875199999997</v>
      </c>
      <c r="V142" s="85">
        <f t="shared" si="114"/>
        <v>-1346.4914747781525</v>
      </c>
      <c r="W142" s="85">
        <f t="shared" si="115"/>
        <v>-1685.9737603573483</v>
      </c>
      <c r="X142" s="90">
        <f t="shared" si="116"/>
        <v>1346.4914747781525</v>
      </c>
      <c r="Y142" s="86">
        <f t="shared" si="117"/>
        <v>51888.30876</v>
      </c>
      <c r="Z142" s="85">
        <f t="shared" si="118"/>
        <v>-818.62113479844345</v>
      </c>
      <c r="AA142" s="85">
        <f t="shared" si="119"/>
        <v>4971.4644719443868</v>
      </c>
      <c r="AB142" s="90">
        <f t="shared" si="120"/>
        <v>818.62113479844345</v>
      </c>
      <c r="AC142" s="86">
        <f t="shared" si="121"/>
        <v>7429.9449400000003</v>
      </c>
      <c r="AD142" s="85">
        <f t="shared" si="122"/>
        <v>3384.56104615708</v>
      </c>
      <c r="AE142" s="85">
        <f t="shared" si="123"/>
        <v>4190.8977744377635</v>
      </c>
      <c r="AF142" s="90">
        <f t="shared" si="124"/>
        <v>3384.56104615708</v>
      </c>
      <c r="AG142" s="86">
        <f t="shared" si="125"/>
        <v>-41693.831530000003</v>
      </c>
      <c r="AH142" s="85">
        <f t="shared" si="126"/>
        <v>6139.2748628683721</v>
      </c>
      <c r="AI142" s="85">
        <f t="shared" si="127"/>
        <v>-28654.042750225912</v>
      </c>
      <c r="AJ142" s="90">
        <f t="shared" si="128"/>
        <v>6139.2748628683721</v>
      </c>
      <c r="AL142" s="95">
        <f t="shared" si="129"/>
        <v>0</v>
      </c>
      <c r="AM142" s="95">
        <f t="shared" si="130"/>
        <v>0</v>
      </c>
      <c r="AN142" s="95">
        <f t="shared" si="131"/>
        <v>0</v>
      </c>
      <c r="AO142" s="95">
        <f t="shared" si="132"/>
        <v>0</v>
      </c>
      <c r="AP142"/>
      <c r="AQ142" s="95">
        <f t="shared" si="133"/>
        <v>0</v>
      </c>
      <c r="AR142" s="95">
        <f t="shared" si="134"/>
        <v>0</v>
      </c>
      <c r="AS142" s="95">
        <f>Geraetedaten!$B$94*ABS(SIN(RADIANS($A142)))</f>
        <v>150.05298997692623</v>
      </c>
      <c r="AT142" s="95">
        <f>Geraetedaten!$B$94*ABS(COS(RADIANS($A142)))</f>
        <v>34.642462368955215</v>
      </c>
      <c r="AU142" s="95">
        <f>((h_Aw_Sw+Geraetedaten!$B$18)/1000)*(AQ142*AS142+AR142*AT142)/100</f>
        <v>0</v>
      </c>
    </row>
    <row r="143" spans="1:47" ht="13.5" x14ac:dyDescent="0.25">
      <c r="A143" s="16">
        <v>104</v>
      </c>
      <c r="B143" s="16">
        <f t="shared" si="102"/>
        <v>346</v>
      </c>
      <c r="C143" s="19">
        <f t="shared" si="103"/>
        <v>68.905246142979607</v>
      </c>
      <c r="D143" s="17">
        <f t="shared" si="104"/>
        <v>-7661.3978761429789</v>
      </c>
      <c r="E143" s="17">
        <f t="shared" si="105"/>
        <v>46914.822383857019</v>
      </c>
      <c r="F143" s="17">
        <f t="shared" si="106"/>
        <v>7458.112603857021</v>
      </c>
      <c r="G143" s="17">
        <f t="shared" si="107"/>
        <v>-38695.324096142984</v>
      </c>
      <c r="H143" s="17">
        <f t="shared" si="135"/>
        <v>7458.112603857021</v>
      </c>
      <c r="I143" s="17">
        <f t="shared" si="108"/>
        <v>4245.6522327831153</v>
      </c>
      <c r="J143" s="20">
        <f>(Geraetedaten!$B$152+(Geraetedaten!$B$153*(Geraetedaten!$B$18+d_y_Sw)/1000))*10</f>
        <v>6051.0442000000003</v>
      </c>
      <c r="K143" s="20">
        <f>(Geraetedaten!$B$165+(Geraetedaten!$B$166*(Geraetedaten!$B$18+d_y_Sw)/1000))*10</f>
        <v>10816.164000000001</v>
      </c>
      <c r="L143" s="20">
        <f>(Geraetedaten!$B$158+(Geraetedaten!$B$159*(Geraetedaten!$B$18+d_y_Sw)/1000)-(Geraetedaten!$B$160*I143/1000))*10</f>
        <v>290.20292177001397</v>
      </c>
      <c r="M143" s="20">
        <f>(Geraetedaten!$B$171+(Geraetedaten!$B$172*(Geraetedaten!$B$18+d_y_Sw)/1000)-(Geraetedaten!$B$173*I143/1000))*10</f>
        <v>748.82064779162579</v>
      </c>
      <c r="N143" s="20">
        <f>IF((H143-J143)/(K143-J143)*(Geraetedaten!$B$174-Geraetedaten!$B$161)&lt;Geraetedaten!$B$174,(H143-J143)/(K143-J143)*(Geraetedaten!$B$174-Geraetedaten!$B$161),Geraetedaten!$B$174)</f>
        <v>118.11400031176724</v>
      </c>
      <c r="O143" s="20">
        <f>N143/Geraetedaten!$B$174*(M143-L143)+L143+C143</f>
        <v>494.53110349874015</v>
      </c>
      <c r="P143" s="20">
        <f t="shared" si="109"/>
        <v>177.07775074614656</v>
      </c>
      <c r="Q143" s="21">
        <f>(N143-Geraetedaten!$B$161)/(Geraetedaten!$B$174-Geraetedaten!$B$161)*(Geraetedaten!$B$175-Geraetedaten!$B$162)+Geraetedaten!$B$162</f>
        <v>32.713891509275072</v>
      </c>
      <c r="R143" s="21">
        <f t="shared" si="110"/>
        <v>32.713891509275072</v>
      </c>
      <c r="S143" s="21">
        <f t="shared" si="111"/>
        <v>31.742149121306209</v>
      </c>
      <c r="T143" s="88">
        <f t="shared" si="112"/>
        <v>-7.9142066463657024</v>
      </c>
      <c r="U143" s="86">
        <f t="shared" si="113"/>
        <v>-7592.4926299999997</v>
      </c>
      <c r="V143" s="85">
        <f t="shared" si="114"/>
        <v>-1346.4914747781525</v>
      </c>
      <c r="W143" s="85">
        <f t="shared" si="115"/>
        <v>-1708.7051552255316</v>
      </c>
      <c r="X143" s="90">
        <f t="shared" si="116"/>
        <v>1346.4914747781525</v>
      </c>
      <c r="Y143" s="86">
        <f t="shared" si="117"/>
        <v>46983.727630000001</v>
      </c>
      <c r="Z143" s="85">
        <f t="shared" si="118"/>
        <v>-818.62113479844345</v>
      </c>
      <c r="AA143" s="85">
        <f t="shared" si="119"/>
        <v>4501.5522431452164</v>
      </c>
      <c r="AB143" s="90">
        <f t="shared" si="120"/>
        <v>818.62113479844345</v>
      </c>
      <c r="AC143" s="86">
        <f t="shared" si="121"/>
        <v>7527.0178500000002</v>
      </c>
      <c r="AD143" s="85">
        <f t="shared" si="122"/>
        <v>3384.56104615708</v>
      </c>
      <c r="AE143" s="85">
        <f t="shared" si="123"/>
        <v>4245.6522327831153</v>
      </c>
      <c r="AF143" s="90">
        <f t="shared" si="124"/>
        <v>3384.56104615708</v>
      </c>
      <c r="AG143" s="86">
        <f t="shared" si="125"/>
        <v>-38626.418850000002</v>
      </c>
      <c r="AH143" s="85">
        <f t="shared" si="126"/>
        <v>6139.2748628683721</v>
      </c>
      <c r="AI143" s="85">
        <f t="shared" si="127"/>
        <v>-26545.96654779229</v>
      </c>
      <c r="AJ143" s="90">
        <f t="shared" si="128"/>
        <v>6139.2748628683721</v>
      </c>
      <c r="AL143" s="95">
        <f t="shared" si="129"/>
        <v>0</v>
      </c>
      <c r="AM143" s="95">
        <f t="shared" si="130"/>
        <v>0</v>
      </c>
      <c r="AN143" s="95">
        <f t="shared" si="131"/>
        <v>0</v>
      </c>
      <c r="AO143" s="95">
        <f t="shared" si="132"/>
        <v>0</v>
      </c>
      <c r="AP143"/>
      <c r="AQ143" s="95">
        <f t="shared" si="133"/>
        <v>0</v>
      </c>
      <c r="AR143" s="95">
        <f t="shared" si="134"/>
        <v>0</v>
      </c>
      <c r="AS143" s="95">
        <f>Geraetedaten!$B$94*ABS(SIN(RADIANS($A143)))</f>
        <v>149.42554184650345</v>
      </c>
      <c r="AT143" s="95">
        <f>Geraetedaten!$B$94*ABS(COS(RADIANS($A143)))</f>
        <v>37.255971922348841</v>
      </c>
      <c r="AU143" s="95">
        <f>((h_Aw_Sw+Geraetedaten!$B$18)/1000)*(AQ143*AS143+AR143*AT143)/100</f>
        <v>0</v>
      </c>
    </row>
    <row r="144" spans="1:47" ht="13.5" x14ac:dyDescent="0.25">
      <c r="A144" s="16">
        <v>105</v>
      </c>
      <c r="B144" s="16">
        <f t="shared" si="102"/>
        <v>345</v>
      </c>
      <c r="C144" s="19">
        <f t="shared" si="103"/>
        <v>69.13356353423832</v>
      </c>
      <c r="D144" s="17">
        <f t="shared" si="104"/>
        <v>-7767.7692835342386</v>
      </c>
      <c r="E144" s="17">
        <f t="shared" si="105"/>
        <v>42869.07293646576</v>
      </c>
      <c r="F144" s="17">
        <f t="shared" si="106"/>
        <v>7559.881936465762</v>
      </c>
      <c r="G144" s="17">
        <f t="shared" si="107"/>
        <v>-36058.760513534238</v>
      </c>
      <c r="H144" s="17">
        <f t="shared" si="135"/>
        <v>7559.881936465762</v>
      </c>
      <c r="I144" s="17">
        <f t="shared" si="108"/>
        <v>4303.1845192929304</v>
      </c>
      <c r="J144" s="20">
        <f>(Geraetedaten!$B$152+(Geraetedaten!$B$153*(Geraetedaten!$B$18+d_y_Sw)/1000))*10</f>
        <v>6051.0442000000003</v>
      </c>
      <c r="K144" s="20">
        <f>(Geraetedaten!$B$165+(Geraetedaten!$B$166*(Geraetedaten!$B$18+d_y_Sw)/1000))*10</f>
        <v>10816.164000000001</v>
      </c>
      <c r="L144" s="20">
        <f>(Geraetedaten!$B$158+(Geraetedaten!$B$159*(Geraetedaten!$B$18+d_y_Sw)/1000)-(Geraetedaten!$B$160*I144/1000))*10</f>
        <v>285.9840792002492</v>
      </c>
      <c r="M144" s="20">
        <f>(Geraetedaten!$B$171+(Geraetedaten!$B$172*(Geraetedaten!$B$18+d_y_Sw)/1000)-(Geraetedaten!$B$173*I144/1000))*10</f>
        <v>744.53794438383511</v>
      </c>
      <c r="N144" s="20">
        <f>IF((H144-J144)/(K144-J144)*(Geraetedaten!$B$174-Geraetedaten!$B$161)&lt;Geraetedaten!$B$174,(H144-J144)/(K144-J144)*(Geraetedaten!$B$174-Geraetedaten!$B$161),Geraetedaten!$B$174)</f>
        <v>126.65685647322123</v>
      </c>
      <c r="O144" s="20">
        <f>N144/Geraetedaten!$B$174*(M144-L144)+L144+C144</f>
        <v>500.31512045398318</v>
      </c>
      <c r="P144" s="20">
        <f t="shared" si="109"/>
        <v>177.9200295067233</v>
      </c>
      <c r="Q144" s="21">
        <f>(N144-Geraetedaten!$B$161)/(Geraetedaten!$B$174-Geraetedaten!$B$161)*(Geraetedaten!$B$175-Geraetedaten!$B$162)+Geraetedaten!$B$162</f>
        <v>32.968041480078334</v>
      </c>
      <c r="R144" s="21">
        <f t="shared" si="110"/>
        <v>32.968041480078334</v>
      </c>
      <c r="S144" s="21">
        <f t="shared" si="111"/>
        <v>31.844682707776943</v>
      </c>
      <c r="T144" s="88">
        <f t="shared" si="112"/>
        <v>-8.5327570147741731</v>
      </c>
      <c r="U144" s="86">
        <f t="shared" si="113"/>
        <v>-7698.6357200000002</v>
      </c>
      <c r="V144" s="85">
        <f t="shared" si="114"/>
        <v>-1346.4914747781525</v>
      </c>
      <c r="W144" s="85">
        <f t="shared" si="115"/>
        <v>-1732.5928637389077</v>
      </c>
      <c r="X144" s="90">
        <f t="shared" si="116"/>
        <v>1346.4914747781525</v>
      </c>
      <c r="Y144" s="86">
        <f t="shared" si="117"/>
        <v>42938.2065</v>
      </c>
      <c r="Z144" s="85">
        <f t="shared" si="118"/>
        <v>-818.62113479844345</v>
      </c>
      <c r="AA144" s="85">
        <f t="shared" si="119"/>
        <v>4113.9473075088163</v>
      </c>
      <c r="AB144" s="90">
        <f t="shared" si="120"/>
        <v>818.62113479844345</v>
      </c>
      <c r="AC144" s="86">
        <f t="shared" si="121"/>
        <v>7629.0155000000004</v>
      </c>
      <c r="AD144" s="85">
        <f t="shared" si="122"/>
        <v>3384.56104615708</v>
      </c>
      <c r="AE144" s="85">
        <f t="shared" si="123"/>
        <v>4303.1845192929304</v>
      </c>
      <c r="AF144" s="90">
        <f t="shared" si="124"/>
        <v>3384.56104615708</v>
      </c>
      <c r="AG144" s="86">
        <f t="shared" si="125"/>
        <v>-35989.626949999998</v>
      </c>
      <c r="AH144" s="85">
        <f t="shared" si="126"/>
        <v>6139.2748628683721</v>
      </c>
      <c r="AI144" s="85">
        <f t="shared" si="127"/>
        <v>-24733.834030622078</v>
      </c>
      <c r="AJ144" s="90">
        <f t="shared" si="128"/>
        <v>6139.2748628683721</v>
      </c>
      <c r="AL144" s="95">
        <f t="shared" si="129"/>
        <v>0</v>
      </c>
      <c r="AM144" s="95">
        <f t="shared" si="130"/>
        <v>0</v>
      </c>
      <c r="AN144" s="95">
        <f t="shared" si="131"/>
        <v>0</v>
      </c>
      <c r="AO144" s="95">
        <f t="shared" si="132"/>
        <v>0</v>
      </c>
      <c r="AP144"/>
      <c r="AQ144" s="95">
        <f t="shared" si="133"/>
        <v>0</v>
      </c>
      <c r="AR144" s="95">
        <f t="shared" si="134"/>
        <v>0</v>
      </c>
      <c r="AS144" s="95">
        <f>Geraetedaten!$B$94*ABS(SIN(RADIANS($A144)))</f>
        <v>148.75257724851653</v>
      </c>
      <c r="AT144" s="95">
        <f>Geraetedaten!$B$94*ABS(COS(RADIANS($A144)))</f>
        <v>39.858132945788213</v>
      </c>
      <c r="AU144" s="95">
        <f>((h_Aw_Sw+Geraetedaten!$B$18)/1000)*(AQ144*AS144+AR144*AT144)/100</f>
        <v>0</v>
      </c>
    </row>
    <row r="145" spans="1:47" ht="13.5" x14ac:dyDescent="0.25">
      <c r="A145" s="16">
        <v>106</v>
      </c>
      <c r="B145" s="16">
        <f t="shared" si="102"/>
        <v>344</v>
      </c>
      <c r="C145" s="19">
        <f t="shared" si="103"/>
        <v>69.340822172332622</v>
      </c>
      <c r="D145" s="17">
        <f t="shared" si="104"/>
        <v>-7879.5422721723326</v>
      </c>
      <c r="E145" s="17">
        <f t="shared" si="105"/>
        <v>39475.880937827671</v>
      </c>
      <c r="F145" s="17">
        <f t="shared" si="106"/>
        <v>7666.8635078276666</v>
      </c>
      <c r="G145" s="17">
        <f t="shared" si="107"/>
        <v>-33768.776382172327</v>
      </c>
      <c r="H145" s="17">
        <f t="shared" si="135"/>
        <v>7666.8635078276666</v>
      </c>
      <c r="I145" s="17">
        <f t="shared" si="108"/>
        <v>4363.6449179946139</v>
      </c>
      <c r="J145" s="20">
        <f>(Geraetedaten!$B$152+(Geraetedaten!$B$153*(Geraetedaten!$B$18+d_y_Sw)/1000))*10</f>
        <v>6051.0442000000003</v>
      </c>
      <c r="K145" s="20">
        <f>(Geraetedaten!$B$165+(Geraetedaten!$B$166*(Geraetedaten!$B$18+d_y_Sw)/1000))*10</f>
        <v>10816.164000000001</v>
      </c>
      <c r="L145" s="20">
        <f>(Geraetedaten!$B$158+(Geraetedaten!$B$159*(Geraetedaten!$B$18+d_y_Sw)/1000)-(Geraetedaten!$B$160*I145/1000))*10</f>
        <v>281.55051816345474</v>
      </c>
      <c r="M145" s="20">
        <f>(Geraetedaten!$B$171+(Geraetedaten!$B$172*(Geraetedaten!$B$18+d_y_Sw)/1000)-(Geraetedaten!$B$173*I145/1000))*10</f>
        <v>740.0372723044818</v>
      </c>
      <c r="N145" s="20">
        <f>IF((H145-J145)/(K145-J145)*(Geraetedaten!$B$174-Geraetedaten!$B$161)&lt;Geraetedaten!$B$174,(H145-J145)/(K145-J145)*(Geraetedaten!$B$174-Geraetedaten!$B$161),Geraetedaten!$B$174)</f>
        <v>135.63724528627097</v>
      </c>
      <c r="O145" s="20">
        <f>N145/Geraetedaten!$B$174*(M145-L145)+L145+C145</f>
        <v>506.3610411656191</v>
      </c>
      <c r="P145" s="20">
        <f t="shared" si="109"/>
        <v>178.78084237089419</v>
      </c>
      <c r="Q145" s="21">
        <f>(N145-Geraetedaten!$B$161)/(Geraetedaten!$B$174-Geraetedaten!$B$161)*(Geraetedaten!$B$175-Geraetedaten!$B$162)+Geraetedaten!$B$162</f>
        <v>33.235208047266561</v>
      </c>
      <c r="R145" s="21">
        <f t="shared" si="110"/>
        <v>33.235208047266561</v>
      </c>
      <c r="S145" s="21">
        <f t="shared" si="111"/>
        <v>31.947732452378318</v>
      </c>
      <c r="T145" s="88">
        <f t="shared" si="112"/>
        <v>-9.1608648661764036</v>
      </c>
      <c r="U145" s="86">
        <f t="shared" si="113"/>
        <v>-7810.2014499999996</v>
      </c>
      <c r="V145" s="85">
        <f t="shared" si="114"/>
        <v>-1346.4914747781525</v>
      </c>
      <c r="W145" s="85">
        <f t="shared" si="115"/>
        <v>-1757.7009464485545</v>
      </c>
      <c r="X145" s="90">
        <f t="shared" si="116"/>
        <v>1346.4914747781525</v>
      </c>
      <c r="Y145" s="86">
        <f t="shared" si="117"/>
        <v>39545.22176</v>
      </c>
      <c r="Z145" s="85">
        <f t="shared" si="118"/>
        <v>-818.62113479844345</v>
      </c>
      <c r="AA145" s="85">
        <f t="shared" si="119"/>
        <v>3788.8624569298122</v>
      </c>
      <c r="AB145" s="90">
        <f t="shared" si="120"/>
        <v>818.62113479844345</v>
      </c>
      <c r="AC145" s="86">
        <f t="shared" si="121"/>
        <v>7736.2043299999996</v>
      </c>
      <c r="AD145" s="85">
        <f t="shared" si="122"/>
        <v>3384.56104615708</v>
      </c>
      <c r="AE145" s="85">
        <f t="shared" si="123"/>
        <v>4363.6449179946139</v>
      </c>
      <c r="AF145" s="90">
        <f t="shared" si="124"/>
        <v>3384.56104615708</v>
      </c>
      <c r="AG145" s="86">
        <f t="shared" si="125"/>
        <v>-33699.435559999998</v>
      </c>
      <c r="AH145" s="85">
        <f t="shared" si="126"/>
        <v>6139.2748628683721</v>
      </c>
      <c r="AI145" s="85">
        <f t="shared" si="127"/>
        <v>-23159.902358542528</v>
      </c>
      <c r="AJ145" s="90">
        <f t="shared" si="128"/>
        <v>6139.2748628683721</v>
      </c>
      <c r="AL145" s="95">
        <f t="shared" si="129"/>
        <v>0</v>
      </c>
      <c r="AM145" s="95">
        <f t="shared" si="130"/>
        <v>0</v>
      </c>
      <c r="AN145" s="95">
        <f t="shared" si="131"/>
        <v>0</v>
      </c>
      <c r="AO145" s="95">
        <f t="shared" si="132"/>
        <v>0</v>
      </c>
      <c r="AP145"/>
      <c r="AQ145" s="95">
        <f t="shared" si="133"/>
        <v>0</v>
      </c>
      <c r="AR145" s="95">
        <f t="shared" si="134"/>
        <v>0</v>
      </c>
      <c r="AS145" s="95">
        <f>Geraetedaten!$B$94*ABS(SIN(RADIANS($A145)))</f>
        <v>148.03430117450111</v>
      </c>
      <c r="AT145" s="95">
        <f>Geraetedaten!$B$94*ABS(COS(RADIANS($A145)))</f>
        <v>42.448152795817855</v>
      </c>
      <c r="AU145" s="95">
        <f>((h_Aw_Sw+Geraetedaten!$B$18)/1000)*(AQ145*AS145+AR145*AT145)/100</f>
        <v>0</v>
      </c>
    </row>
    <row r="146" spans="1:47" ht="13.5" x14ac:dyDescent="0.25">
      <c r="A146" s="16">
        <v>107</v>
      </c>
      <c r="B146" s="16">
        <f t="shared" si="102"/>
        <v>343</v>
      </c>
      <c r="C146" s="19">
        <f t="shared" si="103"/>
        <v>69.526958924273615</v>
      </c>
      <c r="D146" s="17">
        <f t="shared" si="104"/>
        <v>-7997.0255189242735</v>
      </c>
      <c r="E146" s="17">
        <f t="shared" si="105"/>
        <v>36590.017881075728</v>
      </c>
      <c r="F146" s="17">
        <f t="shared" si="106"/>
        <v>7779.3460710757263</v>
      </c>
      <c r="G146" s="17">
        <f t="shared" si="107"/>
        <v>-31761.880878924276</v>
      </c>
      <c r="H146" s="17">
        <f t="shared" si="135"/>
        <v>7779.3460710757263</v>
      </c>
      <c r="I146" s="17">
        <f t="shared" si="108"/>
        <v>4427.1962675404047</v>
      </c>
      <c r="J146" s="20">
        <f>(Geraetedaten!$B$152+(Geraetedaten!$B$153*(Geraetedaten!$B$18+d_y_Sw)/1000))*10</f>
        <v>6051.0442000000003</v>
      </c>
      <c r="K146" s="20">
        <f>(Geraetedaten!$B$165+(Geraetedaten!$B$166*(Geraetedaten!$B$18+d_y_Sw)/1000))*10</f>
        <v>10816.164000000001</v>
      </c>
      <c r="L146" s="20">
        <f>(Geraetedaten!$B$158+(Geraetedaten!$B$159*(Geraetedaten!$B$18+d_y_Sw)/1000)-(Geraetedaten!$B$160*I146/1000))*10</f>
        <v>276.89029770126194</v>
      </c>
      <c r="M146" s="20">
        <f>(Geraetedaten!$B$171+(Geraetedaten!$B$172*(Geraetedaten!$B$18+d_y_Sw)/1000)-(Geraetedaten!$B$173*I146/1000))*10</f>
        <v>735.30650984429315</v>
      </c>
      <c r="N146" s="20">
        <f>IF((H146-J146)/(K146-J146)*(Geraetedaten!$B$174-Geraetedaten!$B$161)&lt;Geraetedaten!$B$174,(H146-J146)/(K146-J146)*(Geraetedaten!$B$174-Geraetedaten!$B$161),Geraetedaten!$B$174)</f>
        <v>145.07940564900181</v>
      </c>
      <c r="O146" s="20">
        <f>N146/Geraetedaten!$B$174*(M146-L146)+L146+C146</f>
        <v>512.68413561947978</v>
      </c>
      <c r="P146" s="20">
        <f t="shared" si="109"/>
        <v>179.66080168461681</v>
      </c>
      <c r="Q146" s="21">
        <f>(N146-Geraetedaten!$B$161)/(Geraetedaten!$B$174-Geraetedaten!$B$161)*(Geraetedaten!$B$175-Geraetedaten!$B$162)+Geraetedaten!$B$162</f>
        <v>33.516112318057807</v>
      </c>
      <c r="R146" s="21">
        <f t="shared" si="110"/>
        <v>33.516112318057807</v>
      </c>
      <c r="S146" s="21">
        <f t="shared" si="111"/>
        <v>32.051617611149958</v>
      </c>
      <c r="T146" s="88">
        <f t="shared" si="112"/>
        <v>-9.7991628941092745</v>
      </c>
      <c r="U146" s="86">
        <f t="shared" si="113"/>
        <v>-7927.49856</v>
      </c>
      <c r="V146" s="85">
        <f t="shared" si="114"/>
        <v>-1346.4914747781525</v>
      </c>
      <c r="W146" s="85">
        <f t="shared" si="115"/>
        <v>-1784.0988888644968</v>
      </c>
      <c r="X146" s="90">
        <f t="shared" si="116"/>
        <v>1346.4914747781525</v>
      </c>
      <c r="Y146" s="86">
        <f t="shared" si="117"/>
        <v>36659.544840000002</v>
      </c>
      <c r="Z146" s="85">
        <f t="shared" si="118"/>
        <v>-818.62113479844345</v>
      </c>
      <c r="AA146" s="85">
        <f t="shared" si="119"/>
        <v>3512.3832143256459</v>
      </c>
      <c r="AB146" s="90">
        <f t="shared" si="120"/>
        <v>818.62113479844345</v>
      </c>
      <c r="AC146" s="86">
        <f t="shared" si="121"/>
        <v>7848.8730299999997</v>
      </c>
      <c r="AD146" s="85">
        <f t="shared" si="122"/>
        <v>3384.56104615708</v>
      </c>
      <c r="AE146" s="85">
        <f t="shared" si="123"/>
        <v>4427.1962675404047</v>
      </c>
      <c r="AF146" s="90">
        <f t="shared" si="124"/>
        <v>3384.56104615708</v>
      </c>
      <c r="AG146" s="86">
        <f t="shared" si="125"/>
        <v>-31692.353920000001</v>
      </c>
      <c r="AH146" s="85">
        <f t="shared" si="126"/>
        <v>6139.2748628683721</v>
      </c>
      <c r="AI146" s="85">
        <f t="shared" si="127"/>
        <v>-21780.537570180495</v>
      </c>
      <c r="AJ146" s="90">
        <f t="shared" si="128"/>
        <v>6139.2748628683721</v>
      </c>
      <c r="AL146" s="95">
        <f t="shared" si="129"/>
        <v>0</v>
      </c>
      <c r="AM146" s="95">
        <f t="shared" si="130"/>
        <v>0</v>
      </c>
      <c r="AN146" s="95">
        <f t="shared" si="131"/>
        <v>0</v>
      </c>
      <c r="AO146" s="95">
        <f t="shared" si="132"/>
        <v>0</v>
      </c>
      <c r="AP146"/>
      <c r="AQ146" s="95">
        <f t="shared" si="133"/>
        <v>0</v>
      </c>
      <c r="AR146" s="95">
        <f t="shared" si="134"/>
        <v>0</v>
      </c>
      <c r="AS146" s="95">
        <f>Geraetedaten!$B$94*ABS(SIN(RADIANS($A146)))</f>
        <v>147.27093241830747</v>
      </c>
      <c r="AT146" s="95">
        <f>Geraetedaten!$B$94*ABS(COS(RADIANS($A146)))</f>
        <v>45.025242527301444</v>
      </c>
      <c r="AU146" s="95">
        <f>((h_Aw_Sw+Geraetedaten!$B$18)/1000)*(AQ146*AS146+AR146*AT146)/100</f>
        <v>0</v>
      </c>
    </row>
    <row r="147" spans="1:47" ht="13.5" x14ac:dyDescent="0.25">
      <c r="A147" s="16">
        <v>108</v>
      </c>
      <c r="B147" s="16">
        <f t="shared" si="102"/>
        <v>342</v>
      </c>
      <c r="C147" s="19">
        <f t="shared" si="103"/>
        <v>69.691917091003504</v>
      </c>
      <c r="D147" s="17">
        <f t="shared" si="104"/>
        <v>-8120.5543170910032</v>
      </c>
      <c r="E147" s="17">
        <f t="shared" si="105"/>
        <v>34106.381542908995</v>
      </c>
      <c r="F147" s="17">
        <f t="shared" si="106"/>
        <v>7897.6428929089971</v>
      </c>
      <c r="G147" s="17">
        <f t="shared" si="107"/>
        <v>-29989.203857091004</v>
      </c>
      <c r="H147" s="17">
        <f t="shared" si="135"/>
        <v>7897.6428929089971</v>
      </c>
      <c r="I147" s="17">
        <f t="shared" si="108"/>
        <v>4494.0152276940617</v>
      </c>
      <c r="J147" s="20">
        <f>(Geraetedaten!$B$152+(Geraetedaten!$B$153*(Geraetedaten!$B$18+d_y_Sw)/1000))*10</f>
        <v>6051.0442000000003</v>
      </c>
      <c r="K147" s="20">
        <f>(Geraetedaten!$B$165+(Geraetedaten!$B$166*(Geraetedaten!$B$18+d_y_Sw)/1000))*10</f>
        <v>10816.164000000001</v>
      </c>
      <c r="L147" s="20">
        <f>(Geraetedaten!$B$158+(Geraetedaten!$B$159*(Geraetedaten!$B$18+d_y_Sw)/1000)-(Geraetedaten!$B$160*I147/1000))*10</f>
        <v>271.99046335319429</v>
      </c>
      <c r="M147" s="20">
        <f>(Geraetedaten!$B$171+(Geraetedaten!$B$172*(Geraetedaten!$B$18+d_y_Sw)/1000)-(Geraetedaten!$B$173*I147/1000))*10</f>
        <v>730.33250645045484</v>
      </c>
      <c r="N147" s="20">
        <f>IF((H147-J147)/(K147-J147)*(Geraetedaten!$B$174-Geraetedaten!$B$161)&lt;Geraetedaten!$B$174,(H147-J147)/(K147-J147)*(Geraetedaten!$B$174-Geraetedaten!$B$161),Geraetedaten!$B$174)</f>
        <v>155.00963420974193</v>
      </c>
      <c r="O147" s="20">
        <f>N147/Geraetedaten!$B$174*(M147-L147)+L147+C147</f>
        <v>519.30096155282808</v>
      </c>
      <c r="P147" s="20">
        <f t="shared" si="109"/>
        <v>180.56054988367714</v>
      </c>
      <c r="Q147" s="21">
        <f>(N147-Geraetedaten!$B$161)/(Geraetedaten!$B$174-Geraetedaten!$B$161)*(Geraetedaten!$B$175-Geraetedaten!$B$162)+Geraetedaten!$B$162</f>
        <v>33.811536617739826</v>
      </c>
      <c r="R147" s="21">
        <f t="shared" si="110"/>
        <v>33.811536617739826</v>
      </c>
      <c r="S147" s="21">
        <f t="shared" si="111"/>
        <v>32.156682226253658</v>
      </c>
      <c r="T147" s="88">
        <f t="shared" si="112"/>
        <v>-10.448339420812434</v>
      </c>
      <c r="U147" s="86">
        <f t="shared" si="113"/>
        <v>-8050.8624</v>
      </c>
      <c r="V147" s="85">
        <f t="shared" si="114"/>
        <v>-1346.4914747781525</v>
      </c>
      <c r="W147" s="85">
        <f t="shared" si="115"/>
        <v>-1811.8621594738704</v>
      </c>
      <c r="X147" s="90">
        <f t="shared" si="116"/>
        <v>1346.4914747781525</v>
      </c>
      <c r="Y147" s="86">
        <f t="shared" si="117"/>
        <v>34176.07346</v>
      </c>
      <c r="Z147" s="85">
        <f t="shared" si="118"/>
        <v>-818.62113479844345</v>
      </c>
      <c r="AA147" s="85">
        <f t="shared" si="119"/>
        <v>3274.4396385398686</v>
      </c>
      <c r="AB147" s="90">
        <f t="shared" si="120"/>
        <v>818.62113479844345</v>
      </c>
      <c r="AC147" s="86">
        <f t="shared" si="121"/>
        <v>7967.3348100000003</v>
      </c>
      <c r="AD147" s="85">
        <f t="shared" si="122"/>
        <v>3384.56104615708</v>
      </c>
      <c r="AE147" s="85">
        <f t="shared" si="123"/>
        <v>4494.0152276940617</v>
      </c>
      <c r="AF147" s="90">
        <f t="shared" si="124"/>
        <v>3384.56104615708</v>
      </c>
      <c r="AG147" s="86">
        <f t="shared" si="125"/>
        <v>-29919.51194</v>
      </c>
      <c r="AH147" s="85">
        <f t="shared" si="126"/>
        <v>6139.2748628683721</v>
      </c>
      <c r="AI147" s="85">
        <f t="shared" si="127"/>
        <v>-20562.153746352142</v>
      </c>
      <c r="AJ147" s="90">
        <f t="shared" si="128"/>
        <v>6139.2748628683721</v>
      </c>
      <c r="AL147" s="95">
        <f t="shared" si="129"/>
        <v>0</v>
      </c>
      <c r="AM147" s="95">
        <f t="shared" si="130"/>
        <v>0</v>
      </c>
      <c r="AN147" s="95">
        <f t="shared" si="131"/>
        <v>0</v>
      </c>
      <c r="AO147" s="95">
        <f t="shared" si="132"/>
        <v>0</v>
      </c>
      <c r="AP147"/>
      <c r="AQ147" s="95">
        <f t="shared" si="133"/>
        <v>0</v>
      </c>
      <c r="AR147" s="95">
        <f t="shared" si="134"/>
        <v>0</v>
      </c>
      <c r="AS147" s="95">
        <f>Geraetedaten!$B$94*ABS(SIN(RADIANS($A147)))</f>
        <v>146.46270350945366</v>
      </c>
      <c r="AT147" s="95">
        <f>Geraetedaten!$B$94*ABS(COS(RADIANS($A147)))</f>
        <v>47.588617133741892</v>
      </c>
      <c r="AU147" s="95">
        <f>((h_Aw_Sw+Geraetedaten!$B$18)/1000)*(AQ147*AS147+AR147*AT147)/100</f>
        <v>0</v>
      </c>
    </row>
    <row r="148" spans="1:47" ht="13.5" x14ac:dyDescent="0.25">
      <c r="A148" s="16">
        <v>109</v>
      </c>
      <c r="B148" s="16">
        <f t="shared" si="102"/>
        <v>341</v>
      </c>
      <c r="C148" s="19">
        <f t="shared" si="103"/>
        <v>69.835646424666706</v>
      </c>
      <c r="D148" s="17">
        <f t="shared" si="104"/>
        <v>-8250.4933264246665</v>
      </c>
      <c r="E148" s="17">
        <f t="shared" si="105"/>
        <v>31947.033413575333</v>
      </c>
      <c r="F148" s="17">
        <f t="shared" si="106"/>
        <v>8022.0942335753334</v>
      </c>
      <c r="G148" s="17">
        <f t="shared" si="107"/>
        <v>-28412.516766424669</v>
      </c>
      <c r="H148" s="17">
        <f t="shared" si="135"/>
        <v>8022.0942335753334</v>
      </c>
      <c r="I148" s="17">
        <f t="shared" si="108"/>
        <v>4564.2937054734139</v>
      </c>
      <c r="J148" s="20">
        <f>(Geraetedaten!$B$152+(Geraetedaten!$B$153*(Geraetedaten!$B$18+d_y_Sw)/1000))*10</f>
        <v>6051.0442000000003</v>
      </c>
      <c r="K148" s="20">
        <f>(Geraetedaten!$B$165+(Geraetedaten!$B$166*(Geraetedaten!$B$18+d_y_Sw)/1000))*10</f>
        <v>10816.164000000001</v>
      </c>
      <c r="L148" s="20">
        <f>(Geraetedaten!$B$158+(Geraetedaten!$B$159*(Geraetedaten!$B$18+d_y_Sw)/1000)-(Geraetedaten!$B$160*I148/1000))*10</f>
        <v>266.83694257763443</v>
      </c>
      <c r="M148" s="20">
        <f>(Geraetedaten!$B$171+(Geraetedaten!$B$172*(Geraetedaten!$B$18+d_y_Sw)/1000)-(Geraetedaten!$B$173*I148/1000))*10</f>
        <v>725.10097656455991</v>
      </c>
      <c r="N148" s="20">
        <f>IF((H148-J148)/(K148-J148)*(Geraetedaten!$B$174-Geraetedaten!$B$161)&lt;Geraetedaten!$B$174,(H148-J148)/(K148-J148)*(Geraetedaten!$B$174-Geraetedaten!$B$161),Geraetedaten!$B$174)</f>
        <v>165.45649354505906</v>
      </c>
      <c r="O148" s="20">
        <f>N148/Geraetedaten!$B$174*(M148-L148)+L148+C148</f>
        <v>526.2294894555273</v>
      </c>
      <c r="P148" s="20">
        <f t="shared" si="109"/>
        <v>181.48075879477557</v>
      </c>
      <c r="Q148" s="21">
        <f>(N148-Geraetedaten!$B$161)/(Geraetedaten!$B$174-Geraetedaten!$B$161)*(Geraetedaten!$B$175-Geraetedaten!$B$162)+Geraetedaten!$B$162</f>
        <v>34.122330682965504</v>
      </c>
      <c r="R148" s="21">
        <f t="shared" si="110"/>
        <v>34.122330682965504</v>
      </c>
      <c r="S148" s="21">
        <f t="shared" si="111"/>
        <v>32.263297503486406</v>
      </c>
      <c r="T148" s="88">
        <f t="shared" si="112"/>
        <v>-11.109144226229889</v>
      </c>
      <c r="U148" s="86">
        <f t="shared" si="113"/>
        <v>-8180.6576800000003</v>
      </c>
      <c r="V148" s="85">
        <f t="shared" si="114"/>
        <v>-1346.4914747781525</v>
      </c>
      <c r="W148" s="85">
        <f t="shared" si="115"/>
        <v>-1841.0728393382531</v>
      </c>
      <c r="X148" s="90">
        <f t="shared" si="116"/>
        <v>1346.4914747781525</v>
      </c>
      <c r="Y148" s="86">
        <f t="shared" si="117"/>
        <v>32016.869060000001</v>
      </c>
      <c r="Z148" s="85">
        <f t="shared" si="118"/>
        <v>-818.62113479844345</v>
      </c>
      <c r="AA148" s="85">
        <f t="shared" si="119"/>
        <v>3067.5643675745155</v>
      </c>
      <c r="AB148" s="90">
        <f t="shared" si="120"/>
        <v>818.62113479844345</v>
      </c>
      <c r="AC148" s="86">
        <f t="shared" si="121"/>
        <v>8091.9298799999997</v>
      </c>
      <c r="AD148" s="85">
        <f t="shared" si="122"/>
        <v>3384.56104615708</v>
      </c>
      <c r="AE148" s="85">
        <f t="shared" si="123"/>
        <v>4564.2937054734139</v>
      </c>
      <c r="AF148" s="90">
        <f t="shared" si="124"/>
        <v>3384.56104615708</v>
      </c>
      <c r="AG148" s="86">
        <f t="shared" si="125"/>
        <v>-28342.681120000001</v>
      </c>
      <c r="AH148" s="85">
        <f t="shared" si="126"/>
        <v>6139.2748628683721</v>
      </c>
      <c r="AI148" s="85">
        <f t="shared" si="127"/>
        <v>-19478.47839072346</v>
      </c>
      <c r="AJ148" s="90">
        <f t="shared" si="128"/>
        <v>6139.2748628683721</v>
      </c>
      <c r="AL148" s="95">
        <f t="shared" si="129"/>
        <v>0</v>
      </c>
      <c r="AM148" s="95">
        <f t="shared" si="130"/>
        <v>0</v>
      </c>
      <c r="AN148" s="95">
        <f t="shared" si="131"/>
        <v>0</v>
      </c>
      <c r="AO148" s="95">
        <f t="shared" si="132"/>
        <v>0</v>
      </c>
      <c r="AP148"/>
      <c r="AQ148" s="95">
        <f t="shared" si="133"/>
        <v>0</v>
      </c>
      <c r="AR148" s="95">
        <f t="shared" si="134"/>
        <v>0</v>
      </c>
      <c r="AS148" s="95">
        <f>Geraetedaten!$B$94*ABS(SIN(RADIANS($A148)))</f>
        <v>145.60986064229479</v>
      </c>
      <c r="AT148" s="95">
        <f>Geraetedaten!$B$94*ABS(COS(RADIANS($A148)))</f>
        <v>50.13749578640212</v>
      </c>
      <c r="AU148" s="95">
        <f>((h_Aw_Sw+Geraetedaten!$B$18)/1000)*(AQ148*AS148+AR148*AT148)/100</f>
        <v>0</v>
      </c>
    </row>
    <row r="149" spans="1:47" ht="13.5" x14ac:dyDescent="0.25">
      <c r="A149" s="16">
        <v>110</v>
      </c>
      <c r="B149" s="16">
        <f t="shared" si="102"/>
        <v>340</v>
      </c>
      <c r="C149" s="19">
        <f t="shared" si="103"/>
        <v>69.958103143915849</v>
      </c>
      <c r="D149" s="17">
        <f t="shared" si="104"/>
        <v>-8387.2397831439157</v>
      </c>
      <c r="E149" s="17">
        <f t="shared" si="105"/>
        <v>30052.956156856086</v>
      </c>
      <c r="F149" s="17">
        <f t="shared" si="106"/>
        <v>8153.0702668560843</v>
      </c>
      <c r="G149" s="17">
        <f t="shared" si="107"/>
        <v>-27001.486013143916</v>
      </c>
      <c r="H149" s="17">
        <f t="shared" si="135"/>
        <v>8153.0702668560843</v>
      </c>
      <c r="I149" s="17">
        <f t="shared" si="108"/>
        <v>4638.2404647508301</v>
      </c>
      <c r="J149" s="20">
        <f>(Geraetedaten!$B$152+(Geraetedaten!$B$153*(Geraetedaten!$B$18+d_y_Sw)/1000))*10</f>
        <v>6051.0442000000003</v>
      </c>
      <c r="K149" s="20">
        <f>(Geraetedaten!$B$165+(Geraetedaten!$B$166*(Geraetedaten!$B$18+d_y_Sw)/1000))*10</f>
        <v>10816.164000000001</v>
      </c>
      <c r="L149" s="20">
        <f>(Geraetedaten!$B$158+(Geraetedaten!$B$159*(Geraetedaten!$B$18+d_y_Sw)/1000)-(Geraetedaten!$B$160*I149/1000))*10</f>
        <v>261.41442671982139</v>
      </c>
      <c r="M149" s="20">
        <f>(Geraetedaten!$B$171+(Geraetedaten!$B$172*(Geraetedaten!$B$18+d_y_Sw)/1000)-(Geraetedaten!$B$173*I149/1000))*10</f>
        <v>719.59637980394916</v>
      </c>
      <c r="N149" s="20">
        <f>IF((H149-J149)/(K149-J149)*(Geraetedaten!$B$174-Geraetedaten!$B$161)&lt;Geraetedaten!$B$174,(H149-J149)/(K149-J149)*(Geraetedaten!$B$174-Geraetedaten!$B$161),Geraetedaten!$B$174)</f>
        <v>176.45105727298474</v>
      </c>
      <c r="O149" s="20">
        <f>N149/Geraetedaten!$B$174*(M149-L149)+L149+C149</f>
        <v>533.48925497647588</v>
      </c>
      <c r="P149" s="20">
        <f t="shared" si="109"/>
        <v>182.42213091802194</v>
      </c>
      <c r="Q149" s="21">
        <f>(N149-Geraetedaten!$B$161)/(Geraetedaten!$B$174-Geraetedaten!$B$161)*(Geraetedaten!$B$175-Geraetedaten!$B$162)+Geraetedaten!$B$162</f>
        <v>34.449418953871294</v>
      </c>
      <c r="R149" s="21">
        <f t="shared" si="110"/>
        <v>34.449418953871294</v>
      </c>
      <c r="S149" s="21">
        <f t="shared" si="111"/>
        <v>32.371864781315061</v>
      </c>
      <c r="T149" s="88">
        <f t="shared" si="112"/>
        <v>-11.782395208089069</v>
      </c>
      <c r="U149" s="86">
        <f t="shared" si="113"/>
        <v>-8317.2816800000001</v>
      </c>
      <c r="V149" s="85">
        <f t="shared" si="114"/>
        <v>-1346.4914747781525</v>
      </c>
      <c r="W149" s="85">
        <f t="shared" si="115"/>
        <v>-1871.8203341445601</v>
      </c>
      <c r="X149" s="90">
        <f t="shared" si="116"/>
        <v>1346.4914747781525</v>
      </c>
      <c r="Y149" s="86">
        <f t="shared" si="117"/>
        <v>30122.914260000001</v>
      </c>
      <c r="Z149" s="85">
        <f t="shared" si="118"/>
        <v>-818.62113479844345</v>
      </c>
      <c r="AA149" s="85">
        <f t="shared" si="119"/>
        <v>2886.1028933890502</v>
      </c>
      <c r="AB149" s="90">
        <f t="shared" si="120"/>
        <v>818.62113479844345</v>
      </c>
      <c r="AC149" s="86">
        <f t="shared" si="121"/>
        <v>8223.02837</v>
      </c>
      <c r="AD149" s="85">
        <f t="shared" si="122"/>
        <v>3384.56104615708</v>
      </c>
      <c r="AE149" s="85">
        <f t="shared" si="123"/>
        <v>4638.2404647508301</v>
      </c>
      <c r="AF149" s="90">
        <f t="shared" si="124"/>
        <v>3384.56104615708</v>
      </c>
      <c r="AG149" s="86">
        <f t="shared" si="125"/>
        <v>-26931.527910000001</v>
      </c>
      <c r="AH149" s="85">
        <f t="shared" si="126"/>
        <v>6139.2748628683721</v>
      </c>
      <c r="AI149" s="85">
        <f t="shared" si="127"/>
        <v>-18508.664799878763</v>
      </c>
      <c r="AJ149" s="90">
        <f t="shared" si="128"/>
        <v>6139.2748628683721</v>
      </c>
      <c r="AL149" s="95">
        <f t="shared" si="129"/>
        <v>0</v>
      </c>
      <c r="AM149" s="95">
        <f t="shared" si="130"/>
        <v>0</v>
      </c>
      <c r="AN149" s="95">
        <f t="shared" si="131"/>
        <v>0</v>
      </c>
      <c r="AO149" s="95">
        <f t="shared" si="132"/>
        <v>0</v>
      </c>
      <c r="AP149"/>
      <c r="AQ149" s="95">
        <f t="shared" si="133"/>
        <v>0</v>
      </c>
      <c r="AR149" s="95">
        <f t="shared" si="134"/>
        <v>0</v>
      </c>
      <c r="AS149" s="95">
        <f>Geraetedaten!$B$94*ABS(SIN(RADIANS($A149)))</f>
        <v>144.7126636010299</v>
      </c>
      <c r="AT149" s="95">
        <f>Geraetedaten!$B$94*ABS(COS(RADIANS($A149)))</f>
        <v>52.671102072152983</v>
      </c>
      <c r="AU149" s="95">
        <f>((h_Aw_Sw+Geraetedaten!$B$18)/1000)*(AQ149*AS149+AR149*AT149)/100</f>
        <v>0</v>
      </c>
    </row>
    <row r="150" spans="1:47" ht="13.5" x14ac:dyDescent="0.25">
      <c r="A150" s="16">
        <v>111</v>
      </c>
      <c r="B150" s="16">
        <f t="shared" si="102"/>
        <v>339</v>
      </c>
      <c r="C150" s="19">
        <f t="shared" si="103"/>
        <v>70.059249947248006</v>
      </c>
      <c r="D150" s="17">
        <f t="shared" si="104"/>
        <v>-8531.2270399472472</v>
      </c>
      <c r="E150" s="17">
        <f t="shared" si="105"/>
        <v>28378.640660052752</v>
      </c>
      <c r="F150" s="17">
        <f t="shared" si="106"/>
        <v>8290.9742400527521</v>
      </c>
      <c r="G150" s="17">
        <f t="shared" si="107"/>
        <v>-25731.735249947247</v>
      </c>
      <c r="H150" s="17">
        <f t="shared" si="135"/>
        <v>8290.9742400527521</v>
      </c>
      <c r="I150" s="17">
        <f t="shared" si="108"/>
        <v>4716.0829472684791</v>
      </c>
      <c r="J150" s="20">
        <f>(Geraetedaten!$B$152+(Geraetedaten!$B$153*(Geraetedaten!$B$18+d_y_Sw)/1000))*10</f>
        <v>6051.0442000000003</v>
      </c>
      <c r="K150" s="20">
        <f>(Geraetedaten!$B$165+(Geraetedaten!$B$166*(Geraetedaten!$B$18+d_y_Sw)/1000))*10</f>
        <v>10816.164000000001</v>
      </c>
      <c r="L150" s="20">
        <f>(Geraetedaten!$B$158+(Geraetedaten!$B$159*(Geraetedaten!$B$18+d_y_Sw)/1000)-(Geraetedaten!$B$160*I150/1000))*10</f>
        <v>255.70623747680224</v>
      </c>
      <c r="M150" s="20">
        <f>(Geraetedaten!$B$171+(Geraetedaten!$B$172*(Geraetedaten!$B$18+d_y_Sw)/1000)-(Geraetedaten!$B$173*I150/1000))*10</f>
        <v>713.80178540533518</v>
      </c>
      <c r="N150" s="20">
        <f>IF((H150-J150)/(K150-J150)*(Geraetedaten!$B$174-Geraetedaten!$B$161)&lt;Geraetedaten!$B$174,(H150-J150)/(K150-J150)*(Geraetedaten!$B$174-Geraetedaten!$B$161),Geraetedaten!$B$174)</f>
        <v>188.02717531280129</v>
      </c>
      <c r="O150" s="20">
        <f>N150/Geraetedaten!$B$174*(M150-L150)+L150+C150</f>
        <v>541.10151717498024</v>
      </c>
      <c r="P150" s="20">
        <f t="shared" si="109"/>
        <v>183.38539814508553</v>
      </c>
      <c r="Q150" s="21">
        <f>(N150-Geraetedaten!$B$161)/(Geraetedaten!$B$174-Geraetedaten!$B$161)*(Geraetedaten!$B$175-Geraetedaten!$B$162)+Geraetedaten!$B$162</f>
        <v>34.793808465555841</v>
      </c>
      <c r="R150" s="21">
        <f t="shared" si="110"/>
        <v>34.793808465555841</v>
      </c>
      <c r="S150" s="21">
        <f t="shared" si="111"/>
        <v>32.482818546735572</v>
      </c>
      <c r="T150" s="88">
        <f t="shared" si="112"/>
        <v>-12.468985796673158</v>
      </c>
      <c r="U150" s="86">
        <f t="shared" si="113"/>
        <v>-8461.1677899999995</v>
      </c>
      <c r="V150" s="85">
        <f t="shared" si="114"/>
        <v>-1346.4914747781525</v>
      </c>
      <c r="W150" s="85">
        <f t="shared" si="115"/>
        <v>-1904.2021815182591</v>
      </c>
      <c r="X150" s="90">
        <f t="shared" si="116"/>
        <v>1346.4914747781525</v>
      </c>
      <c r="Y150" s="86">
        <f t="shared" si="117"/>
        <v>28448.699909999999</v>
      </c>
      <c r="Z150" s="85">
        <f t="shared" si="118"/>
        <v>-818.62113479844345</v>
      </c>
      <c r="AA150" s="85">
        <f t="shared" si="119"/>
        <v>2725.6949449951453</v>
      </c>
      <c r="AB150" s="90">
        <f t="shared" si="120"/>
        <v>818.62113479844345</v>
      </c>
      <c r="AC150" s="86">
        <f t="shared" si="121"/>
        <v>8361.0334899999998</v>
      </c>
      <c r="AD150" s="85">
        <f t="shared" si="122"/>
        <v>3384.56104615708</v>
      </c>
      <c r="AE150" s="85">
        <f t="shared" si="123"/>
        <v>4716.0829472684791</v>
      </c>
      <c r="AF150" s="90">
        <f t="shared" si="124"/>
        <v>3384.56104615708</v>
      </c>
      <c r="AG150" s="86">
        <f t="shared" si="125"/>
        <v>-25661.675999999999</v>
      </c>
      <c r="AH150" s="85">
        <f t="shared" si="126"/>
        <v>6139.2748628683721</v>
      </c>
      <c r="AI150" s="85">
        <f t="shared" si="127"/>
        <v>-17635.960387307816</v>
      </c>
      <c r="AJ150" s="90">
        <f t="shared" si="128"/>
        <v>6139.2748628683721</v>
      </c>
      <c r="AL150" s="95">
        <f t="shared" si="129"/>
        <v>0</v>
      </c>
      <c r="AM150" s="95">
        <f t="shared" si="130"/>
        <v>0</v>
      </c>
      <c r="AN150" s="95">
        <f t="shared" si="131"/>
        <v>0</v>
      </c>
      <c r="AO150" s="95">
        <f t="shared" si="132"/>
        <v>0</v>
      </c>
      <c r="AP150"/>
      <c r="AQ150" s="95">
        <f t="shared" si="133"/>
        <v>0</v>
      </c>
      <c r="AR150" s="95">
        <f t="shared" si="134"/>
        <v>0</v>
      </c>
      <c r="AS150" s="95">
        <f>Geraetedaten!$B$94*ABS(SIN(RADIANS($A150)))</f>
        <v>143.77138568056907</v>
      </c>
      <c r="AT150" s="95">
        <f>Geraetedaten!$B$94*ABS(COS(RADIANS($A150)))</f>
        <v>55.18866422997624</v>
      </c>
      <c r="AU150" s="95">
        <f>((h_Aw_Sw+Geraetedaten!$B$18)/1000)*(AQ150*AS150+AR150*AT150)/100</f>
        <v>0</v>
      </c>
    </row>
    <row r="151" spans="1:47" ht="13.5" x14ac:dyDescent="0.25">
      <c r="A151" s="16">
        <v>112</v>
      </c>
      <c r="B151" s="16">
        <f t="shared" si="102"/>
        <v>338</v>
      </c>
      <c r="C151" s="19">
        <f t="shared" si="103"/>
        <v>70.139056024367036</v>
      </c>
      <c r="D151" s="17">
        <f t="shared" si="104"/>
        <v>-8682.9286760243667</v>
      </c>
      <c r="E151" s="17">
        <f t="shared" si="105"/>
        <v>26888.430803975632</v>
      </c>
      <c r="F151" s="17">
        <f t="shared" si="106"/>
        <v>8436.2461939756322</v>
      </c>
      <c r="G151" s="17">
        <f t="shared" si="107"/>
        <v>-24583.451726024367</v>
      </c>
      <c r="H151" s="17">
        <f t="shared" si="135"/>
        <v>8436.2461939756322</v>
      </c>
      <c r="I151" s="17">
        <f t="shared" si="108"/>
        <v>4798.0693380133707</v>
      </c>
      <c r="J151" s="20">
        <f>(Geraetedaten!$B$152+(Geraetedaten!$B$153*(Geraetedaten!$B$18+d_y_Sw)/1000))*10</f>
        <v>6051.0442000000003</v>
      </c>
      <c r="K151" s="20">
        <f>(Geraetedaten!$B$165+(Geraetedaten!$B$166*(Geraetedaten!$B$18+d_y_Sw)/1000))*10</f>
        <v>10816.164000000001</v>
      </c>
      <c r="L151" s="20">
        <f>(Geraetedaten!$B$158+(Geraetedaten!$B$159*(Geraetedaten!$B$18+d_y_Sw)/1000)-(Geraetedaten!$B$160*I151/1000))*10</f>
        <v>249.69417544347934</v>
      </c>
      <c r="M151" s="20">
        <f>(Geraetedaten!$B$171+(Geraetedaten!$B$172*(Geraetedaten!$B$18+d_y_Sw)/1000)-(Geraetedaten!$B$173*I151/1000))*10</f>
        <v>707.69871847828551</v>
      </c>
      <c r="N151" s="20">
        <f>IF((H151-J151)/(K151-J151)*(Geraetedaten!$B$174-Geraetedaten!$B$161)&lt;Geraetedaten!$B$174,(H151-J151)/(K151-J151)*(Geraetedaten!$B$174-Geraetedaten!$B$161),Geraetedaten!$B$174)</f>
        <v>200.2217861532574</v>
      </c>
      <c r="O151" s="20">
        <f>N151/Geraetedaten!$B$174*(M151-L151)+L151+C151</f>
        <v>549.08945064968475</v>
      </c>
      <c r="P151" s="20">
        <f t="shared" si="109"/>
        <v>184.37132258241226</v>
      </c>
      <c r="Q151" s="21">
        <f>(N151-Geraetedaten!$B$161)/(Geraetedaten!$B$174-Geraetedaten!$B$161)*(Geraetedaten!$B$175-Geraetedaten!$B$162)+Geraetedaten!$B$162</f>
        <v>35.156598138059408</v>
      </c>
      <c r="R151" s="21">
        <f t="shared" si="110"/>
        <v>35.156598138059408</v>
      </c>
      <c r="S151" s="21">
        <f t="shared" si="111"/>
        <v>32.596630175101467</v>
      </c>
      <c r="T151" s="88">
        <f t="shared" si="112"/>
        <v>-13.169893464590633</v>
      </c>
      <c r="U151" s="86">
        <f t="shared" si="113"/>
        <v>-8612.7896199999996</v>
      </c>
      <c r="V151" s="85">
        <f t="shared" si="114"/>
        <v>-1346.4914747781525</v>
      </c>
      <c r="W151" s="85">
        <f t="shared" si="115"/>
        <v>-1938.3249687374821</v>
      </c>
      <c r="X151" s="90">
        <f t="shared" si="116"/>
        <v>1346.4914747781525</v>
      </c>
      <c r="Y151" s="86">
        <f t="shared" si="117"/>
        <v>26958.56986</v>
      </c>
      <c r="Z151" s="85">
        <f t="shared" si="118"/>
        <v>-818.62113479844345</v>
      </c>
      <c r="AA151" s="85">
        <f t="shared" si="119"/>
        <v>2582.924274615114</v>
      </c>
      <c r="AB151" s="90">
        <f t="shared" si="120"/>
        <v>818.62113479844345</v>
      </c>
      <c r="AC151" s="86">
        <f t="shared" si="121"/>
        <v>8506.3852499999994</v>
      </c>
      <c r="AD151" s="85">
        <f t="shared" si="122"/>
        <v>3384.56104615708</v>
      </c>
      <c r="AE151" s="85">
        <f t="shared" si="123"/>
        <v>4798.0693380133707</v>
      </c>
      <c r="AF151" s="90">
        <f t="shared" si="124"/>
        <v>3384.56104615708</v>
      </c>
      <c r="AG151" s="86">
        <f t="shared" si="125"/>
        <v>-24513.312669999999</v>
      </c>
      <c r="AH151" s="85">
        <f t="shared" si="126"/>
        <v>6139.2748628683721</v>
      </c>
      <c r="AI151" s="85">
        <f t="shared" si="127"/>
        <v>-16846.748867546325</v>
      </c>
      <c r="AJ151" s="90">
        <f t="shared" si="128"/>
        <v>6139.2748628683721</v>
      </c>
      <c r="AL151" s="95">
        <f t="shared" si="129"/>
        <v>0</v>
      </c>
      <c r="AM151" s="95">
        <f t="shared" si="130"/>
        <v>0</v>
      </c>
      <c r="AN151" s="95">
        <f t="shared" si="131"/>
        <v>0</v>
      </c>
      <c r="AO151" s="95">
        <f t="shared" si="132"/>
        <v>0</v>
      </c>
      <c r="AP151"/>
      <c r="AQ151" s="95">
        <f t="shared" si="133"/>
        <v>0</v>
      </c>
      <c r="AR151" s="95">
        <f t="shared" si="134"/>
        <v>0</v>
      </c>
      <c r="AS151" s="95">
        <f>Geraetedaten!$B$94*ABS(SIN(RADIANS($A151)))</f>
        <v>142.78631360328527</v>
      </c>
      <c r="AT151" s="95">
        <f>Geraetedaten!$B$94*ABS(COS(RADIANS($A151)))</f>
        <v>57.689415386050456</v>
      </c>
      <c r="AU151" s="95">
        <f>((h_Aw_Sw+Geraetedaten!$B$18)/1000)*(AQ151*AS151+AR151*AT151)/100</f>
        <v>0</v>
      </c>
    </row>
    <row r="152" spans="1:47" ht="13.5" x14ac:dyDescent="0.25">
      <c r="A152" s="16">
        <v>113</v>
      </c>
      <c r="B152" s="16">
        <f t="shared" si="102"/>
        <v>337</v>
      </c>
      <c r="C152" s="19">
        <f t="shared" si="103"/>
        <v>70.19749706556874</v>
      </c>
      <c r="D152" s="17">
        <f t="shared" si="104"/>
        <v>-8842.8631470655691</v>
      </c>
      <c r="E152" s="17">
        <f t="shared" si="105"/>
        <v>25553.994152934432</v>
      </c>
      <c r="F152" s="17">
        <f t="shared" si="106"/>
        <v>8589.3670929344316</v>
      </c>
      <c r="G152" s="17">
        <f t="shared" si="107"/>
        <v>-23540.366297065568</v>
      </c>
      <c r="H152" s="17">
        <f t="shared" si="135"/>
        <v>8589.3670929344316</v>
      </c>
      <c r="I152" s="17">
        <f t="shared" si="108"/>
        <v>4884.4709139087545</v>
      </c>
      <c r="J152" s="20">
        <f>(Geraetedaten!$B$152+(Geraetedaten!$B$153*(Geraetedaten!$B$18+d_y_Sw)/1000))*10</f>
        <v>6051.0442000000003</v>
      </c>
      <c r="K152" s="20">
        <f>(Geraetedaten!$B$165+(Geraetedaten!$B$166*(Geraetedaten!$B$18+d_y_Sw)/1000))*10</f>
        <v>10816.164000000001</v>
      </c>
      <c r="L152" s="20">
        <f>(Geraetedaten!$B$158+(Geraetedaten!$B$159*(Geraetedaten!$B$18+d_y_Sw)/1000)-(Geraetedaten!$B$160*I152/1000))*10</f>
        <v>243.35834788307082</v>
      </c>
      <c r="M152" s="20">
        <f>(Geraetedaten!$B$171+(Geraetedaten!$B$172*(Geraetedaten!$B$18+d_y_Sw)/1000)-(Geraetedaten!$B$173*I152/1000))*10</f>
        <v>701.26698516863314</v>
      </c>
      <c r="N152" s="20">
        <f>IF((H152-J152)/(K152-J152)*(Geraetedaten!$B$174-Geraetedaten!$B$161)&lt;Geraetedaten!$B$174,(H152-J152)/(K152-J152)*(Geraetedaten!$B$174-Geraetedaten!$B$161),Geraetedaten!$B$174)</f>
        <v>213.07526353771263</v>
      </c>
      <c r="O152" s="20">
        <f>N152/Geraetedaten!$B$174*(M152-L152)+L152+C152</f>
        <v>557.47835386317968</v>
      </c>
      <c r="P152" s="20">
        <f t="shared" si="109"/>
        <v>185.3806955325891</v>
      </c>
      <c r="Q152" s="21">
        <f>(N152-Geraetedaten!$B$161)/(Geraetedaten!$B$174-Geraetedaten!$B$161)*(Geraetedaten!$B$175-Geraetedaten!$B$162)+Geraetedaten!$B$162</f>
        <v>35.53898909024695</v>
      </c>
      <c r="R152" s="21">
        <f t="shared" si="110"/>
        <v>35.53898909024695</v>
      </c>
      <c r="S152" s="21">
        <f t="shared" si="111"/>
        <v>32.713811944365645</v>
      </c>
      <c r="T152" s="88">
        <f t="shared" si="112"/>
        <v>-13.88618931260018</v>
      </c>
      <c r="U152" s="86">
        <f t="shared" si="113"/>
        <v>-8772.6656500000008</v>
      </c>
      <c r="V152" s="85">
        <f t="shared" si="114"/>
        <v>-1346.4914747781525</v>
      </c>
      <c r="W152" s="85">
        <f t="shared" si="115"/>
        <v>-1974.3053788040911</v>
      </c>
      <c r="X152" s="90">
        <f t="shared" si="116"/>
        <v>1346.4914747781525</v>
      </c>
      <c r="Y152" s="86">
        <f t="shared" si="117"/>
        <v>25624.191650000001</v>
      </c>
      <c r="Z152" s="85">
        <f t="shared" si="118"/>
        <v>-818.62113479844345</v>
      </c>
      <c r="AA152" s="85">
        <f t="shared" si="119"/>
        <v>2455.0763253601967</v>
      </c>
      <c r="AB152" s="90">
        <f t="shared" si="120"/>
        <v>818.62113479844345</v>
      </c>
      <c r="AC152" s="86">
        <f t="shared" si="121"/>
        <v>8659.56459</v>
      </c>
      <c r="AD152" s="85">
        <f t="shared" si="122"/>
        <v>3384.56104615708</v>
      </c>
      <c r="AE152" s="85">
        <f t="shared" si="123"/>
        <v>4884.4709139087545</v>
      </c>
      <c r="AF152" s="90">
        <f t="shared" si="124"/>
        <v>3384.56104615708</v>
      </c>
      <c r="AG152" s="86">
        <f t="shared" si="125"/>
        <v>-23470.168799999999</v>
      </c>
      <c r="AH152" s="85">
        <f t="shared" si="126"/>
        <v>6139.2748628683721</v>
      </c>
      <c r="AI152" s="85">
        <f t="shared" si="127"/>
        <v>-16129.849322083959</v>
      </c>
      <c r="AJ152" s="90">
        <f t="shared" si="128"/>
        <v>6139.2748628683721</v>
      </c>
      <c r="AL152" s="95">
        <f t="shared" si="129"/>
        <v>0</v>
      </c>
      <c r="AM152" s="95">
        <f t="shared" si="130"/>
        <v>0</v>
      </c>
      <c r="AN152" s="95">
        <f t="shared" si="131"/>
        <v>0</v>
      </c>
      <c r="AO152" s="95">
        <f t="shared" si="132"/>
        <v>0</v>
      </c>
      <c r="AP152"/>
      <c r="AQ152" s="95">
        <f t="shared" si="133"/>
        <v>0</v>
      </c>
      <c r="AR152" s="95">
        <f t="shared" si="134"/>
        <v>0</v>
      </c>
      <c r="AS152" s="95">
        <f>Geraetedaten!$B$94*ABS(SIN(RADIANS($A152)))</f>
        <v>141.7577474316758</v>
      </c>
      <c r="AT152" s="95">
        <f>Geraetedaten!$B$94*ABS(COS(RADIANS($A152)))</f>
        <v>60.172593787348163</v>
      </c>
      <c r="AU152" s="95">
        <f>((h_Aw_Sw+Geraetedaten!$B$18)/1000)*(AQ152*AS152+AR152*AT152)/100</f>
        <v>0</v>
      </c>
    </row>
    <row r="153" spans="1:47" ht="13.5" x14ac:dyDescent="0.25">
      <c r="A153" s="16">
        <v>114</v>
      </c>
      <c r="B153" s="16">
        <f t="shared" si="102"/>
        <v>336</v>
      </c>
      <c r="C153" s="19">
        <f t="shared" si="103"/>
        <v>70.234555269145858</v>
      </c>
      <c r="D153" s="17">
        <f t="shared" si="104"/>
        <v>-9011.5990852691466</v>
      </c>
      <c r="E153" s="17">
        <f t="shared" si="105"/>
        <v>24352.533794730851</v>
      </c>
      <c r="F153" s="17">
        <f t="shared" si="106"/>
        <v>8750.8635847308542</v>
      </c>
      <c r="G153" s="17">
        <f t="shared" si="107"/>
        <v>-22588.995435269149</v>
      </c>
      <c r="H153" s="17">
        <f t="shared" si="135"/>
        <v>8750.8635847308542</v>
      </c>
      <c r="I153" s="17">
        <f t="shared" si="108"/>
        <v>4975.5847220519499</v>
      </c>
      <c r="J153" s="20">
        <f>(Geraetedaten!$B$152+(Geraetedaten!$B$153*(Geraetedaten!$B$18+d_y_Sw)/1000))*10</f>
        <v>6051.0442000000003</v>
      </c>
      <c r="K153" s="20">
        <f>(Geraetedaten!$B$165+(Geraetedaten!$B$166*(Geraetedaten!$B$18+d_y_Sw)/1000))*10</f>
        <v>10816.164000000001</v>
      </c>
      <c r="L153" s="20">
        <f>(Geraetedaten!$B$158+(Geraetedaten!$B$159*(Geraetedaten!$B$18+d_y_Sw)/1000)-(Geraetedaten!$B$160*I153/1000))*10</f>
        <v>236.6769723319303</v>
      </c>
      <c r="M153" s="20">
        <f>(Geraetedaten!$B$171+(Geraetedaten!$B$172*(Geraetedaten!$B$18+d_y_Sw)/1000)-(Geraetedaten!$B$173*I153/1000))*10</f>
        <v>694.48447329045371</v>
      </c>
      <c r="N153" s="20">
        <f>IF((H153-J153)/(K153-J153)*(Geraetedaten!$B$174-Geraetedaten!$B$161)&lt;Geraetedaten!$B$174,(H153-J153)/(K153-J153)*(Geraetedaten!$B$174-Geraetedaten!$B$161),Geraetedaten!$B$174)</f>
        <v>226.63181603374198</v>
      </c>
      <c r="O153" s="20">
        <f>N153/Geraetedaten!$B$174*(M153-L153)+L153+C153</f>
        <v>566.29589094132416</v>
      </c>
      <c r="P153" s="20">
        <f t="shared" si="109"/>
        <v>186.41433703873409</v>
      </c>
      <c r="Q153" s="21">
        <f>(N153-Geraetedaten!$B$161)/(Geraetedaten!$B$174-Geraetedaten!$B$161)*(Geraetedaten!$B$175-Geraetedaten!$B$162)+Geraetedaten!$B$162</f>
        <v>35.942296527003826</v>
      </c>
      <c r="R153" s="21">
        <f t="shared" si="110"/>
        <v>35.942296527003826</v>
      </c>
      <c r="S153" s="21">
        <f t="shared" si="111"/>
        <v>32.834921729487775</v>
      </c>
      <c r="T153" s="88">
        <f t="shared" si="112"/>
        <v>-14.619049033828531</v>
      </c>
      <c r="U153" s="86">
        <f t="shared" si="113"/>
        <v>-8941.3645300000007</v>
      </c>
      <c r="V153" s="85">
        <f t="shared" si="114"/>
        <v>-1346.4914747781525</v>
      </c>
      <c r="W153" s="85">
        <f t="shared" si="115"/>
        <v>-2012.2713862488627</v>
      </c>
      <c r="X153" s="90">
        <f t="shared" si="116"/>
        <v>1346.4914747781525</v>
      </c>
      <c r="Y153" s="86">
        <f t="shared" si="117"/>
        <v>24422.768349999998</v>
      </c>
      <c r="Z153" s="85">
        <f t="shared" si="118"/>
        <v>-818.62113479844345</v>
      </c>
      <c r="AA153" s="85">
        <f t="shared" si="119"/>
        <v>2339.96690275114</v>
      </c>
      <c r="AB153" s="90">
        <f t="shared" si="120"/>
        <v>818.62113479844345</v>
      </c>
      <c r="AC153" s="86">
        <f t="shared" si="121"/>
        <v>8821.0981400000001</v>
      </c>
      <c r="AD153" s="85">
        <f t="shared" si="122"/>
        <v>3384.56104615708</v>
      </c>
      <c r="AE153" s="85">
        <f t="shared" si="123"/>
        <v>4975.5847220519499</v>
      </c>
      <c r="AF153" s="90">
        <f t="shared" si="124"/>
        <v>3384.56104615708</v>
      </c>
      <c r="AG153" s="86">
        <f t="shared" si="125"/>
        <v>-22518.760880000002</v>
      </c>
      <c r="AH153" s="85">
        <f t="shared" si="126"/>
        <v>6139.2748628683721</v>
      </c>
      <c r="AI153" s="85">
        <f t="shared" si="127"/>
        <v>-15475.995209469937</v>
      </c>
      <c r="AJ153" s="90">
        <f t="shared" si="128"/>
        <v>6139.2748628683721</v>
      </c>
      <c r="AL153" s="95">
        <f t="shared" si="129"/>
        <v>0</v>
      </c>
      <c r="AM153" s="95">
        <f t="shared" si="130"/>
        <v>0</v>
      </c>
      <c r="AN153" s="95">
        <f t="shared" si="131"/>
        <v>0</v>
      </c>
      <c r="AO153" s="95">
        <f t="shared" si="132"/>
        <v>0</v>
      </c>
      <c r="AP153"/>
      <c r="AQ153" s="95">
        <f t="shared" si="133"/>
        <v>0</v>
      </c>
      <c r="AR153" s="95">
        <f t="shared" si="134"/>
        <v>0</v>
      </c>
      <c r="AS153" s="95">
        <f>Geraetedaten!$B$94*ABS(SIN(RADIANS($A153)))</f>
        <v>140.68600047696054</v>
      </c>
      <c r="AT153" s="95">
        <f>Geraetedaten!$B$94*ABS(COS(RADIANS($A153)))</f>
        <v>62.637443033673243</v>
      </c>
      <c r="AU153" s="95">
        <f>((h_Aw_Sw+Geraetedaten!$B$18)/1000)*(AQ153*AS153+AR153*AT153)/100</f>
        <v>0</v>
      </c>
    </row>
    <row r="154" spans="1:47" ht="13.5" x14ac:dyDescent="0.25">
      <c r="A154" s="16">
        <v>115</v>
      </c>
      <c r="B154" s="16">
        <f t="shared" si="102"/>
        <v>335</v>
      </c>
      <c r="C154" s="19">
        <f t="shared" si="103"/>
        <v>70.250219346810582</v>
      </c>
      <c r="D154" s="17">
        <f t="shared" si="104"/>
        <v>-9189.7613693468102</v>
      </c>
      <c r="E154" s="17">
        <f t="shared" si="105"/>
        <v>23265.499670653189</v>
      </c>
      <c r="F154" s="17">
        <f t="shared" si="106"/>
        <v>8921.3134106531907</v>
      </c>
      <c r="G154" s="17">
        <f t="shared" si="107"/>
        <v>-21718.069709346812</v>
      </c>
      <c r="H154" s="17">
        <f t="shared" si="135"/>
        <v>8921.3134106531907</v>
      </c>
      <c r="I154" s="17">
        <f t="shared" si="108"/>
        <v>5071.7366425659739</v>
      </c>
      <c r="J154" s="20">
        <f>(Geraetedaten!$B$152+(Geraetedaten!$B$153*(Geraetedaten!$B$18+d_y_Sw)/1000))*10</f>
        <v>6051.0442000000003</v>
      </c>
      <c r="K154" s="20">
        <f>(Geraetedaten!$B$165+(Geraetedaten!$B$166*(Geraetedaten!$B$18+d_y_Sw)/1000))*10</f>
        <v>10816.164000000001</v>
      </c>
      <c r="L154" s="20">
        <f>(Geraetedaten!$B$158+(Geraetedaten!$B$159*(Geraetedaten!$B$18+d_y_Sw)/1000)-(Geraetedaten!$B$160*I154/1000))*10</f>
        <v>229.62615200063695</v>
      </c>
      <c r="M154" s="20">
        <f>(Geraetedaten!$B$171+(Geraetedaten!$B$172*(Geraetedaten!$B$18+d_y_Sw)/1000)-(Geraetedaten!$B$173*I154/1000))*10</f>
        <v>687.32692432738986</v>
      </c>
      <c r="N154" s="20">
        <f>IF((H154-J154)/(K154-J154)*(Geraetedaten!$B$174-Geraetedaten!$B$161)&lt;Geraetedaten!$B$174,(H154-J154)/(K154-J154)*(Geraetedaten!$B$174-Geraetedaten!$B$161),Geraetedaten!$B$174)</f>
        <v>240.93994116607016</v>
      </c>
      <c r="O154" s="20">
        <f>N154/Geraetedaten!$B$174*(M154-L154)+L154+C154</f>
        <v>575.57236423762936</v>
      </c>
      <c r="P154" s="20">
        <f t="shared" si="109"/>
        <v>187.4730945873379</v>
      </c>
      <c r="Q154" s="21">
        <f>(N154-Geraetedaten!$B$161)/(Geraetedaten!$B$174-Geraetedaten!$B$161)*(Geraetedaten!$B$175-Geraetedaten!$B$162)+Geraetedaten!$B$162</f>
        <v>36.36796324969059</v>
      </c>
      <c r="R154" s="21">
        <f t="shared" si="110"/>
        <v>36.36796324969059</v>
      </c>
      <c r="S154" s="21">
        <f t="shared" si="111"/>
        <v>32.960568291857292</v>
      </c>
      <c r="T154" s="88">
        <f t="shared" si="112"/>
        <v>-15.369765411633871</v>
      </c>
      <c r="U154" s="86">
        <f t="shared" si="113"/>
        <v>-9119.5111500000003</v>
      </c>
      <c r="V154" s="85">
        <f t="shared" si="114"/>
        <v>-1346.4914747781525</v>
      </c>
      <c r="W154" s="85">
        <f t="shared" si="115"/>
        <v>-2052.3636282199213</v>
      </c>
      <c r="X154" s="90">
        <f t="shared" si="116"/>
        <v>1346.4914747781525</v>
      </c>
      <c r="Y154" s="86">
        <f t="shared" si="117"/>
        <v>23335.749889999999</v>
      </c>
      <c r="Z154" s="85">
        <f t="shared" si="118"/>
        <v>-818.62113479844345</v>
      </c>
      <c r="AA154" s="85">
        <f t="shared" si="119"/>
        <v>2235.8187085679378</v>
      </c>
      <c r="AB154" s="90">
        <f t="shared" si="120"/>
        <v>818.62113479844345</v>
      </c>
      <c r="AC154" s="86">
        <f t="shared" si="121"/>
        <v>8991.5636300000006</v>
      </c>
      <c r="AD154" s="85">
        <f t="shared" si="122"/>
        <v>3384.56104615708</v>
      </c>
      <c r="AE154" s="85">
        <f t="shared" si="123"/>
        <v>5071.7366425659739</v>
      </c>
      <c r="AF154" s="90">
        <f t="shared" si="124"/>
        <v>3384.56104615708</v>
      </c>
      <c r="AG154" s="86">
        <f t="shared" si="125"/>
        <v>-21647.819490000002</v>
      </c>
      <c r="AH154" s="85">
        <f t="shared" si="126"/>
        <v>6139.2748628683721</v>
      </c>
      <c r="AI154" s="85">
        <f t="shared" si="127"/>
        <v>-14877.441636638323</v>
      </c>
      <c r="AJ154" s="90">
        <f t="shared" si="128"/>
        <v>6139.2748628683721</v>
      </c>
      <c r="AL154" s="95">
        <f t="shared" si="129"/>
        <v>0</v>
      </c>
      <c r="AM154" s="95">
        <f t="shared" si="130"/>
        <v>0</v>
      </c>
      <c r="AN154" s="95">
        <f t="shared" si="131"/>
        <v>0</v>
      </c>
      <c r="AO154" s="95">
        <f t="shared" si="132"/>
        <v>0</v>
      </c>
      <c r="AP154"/>
      <c r="AQ154" s="95">
        <f t="shared" si="133"/>
        <v>0</v>
      </c>
      <c r="AR154" s="95">
        <f t="shared" si="134"/>
        <v>0</v>
      </c>
      <c r="AS154" s="95">
        <f>Geraetedaten!$B$94*ABS(SIN(RADIANS($A154)))</f>
        <v>139.57139920364412</v>
      </c>
      <c r="AT154" s="95">
        <f>Geraetedaten!$B$94*ABS(COS(RADIANS($A154)))</f>
        <v>65.083212308067701</v>
      </c>
      <c r="AU154" s="95">
        <f>((h_Aw_Sw+Geraetedaten!$B$18)/1000)*(AQ154*AS154+AR154*AT154)/100</f>
        <v>0</v>
      </c>
    </row>
    <row r="155" spans="1:47" ht="13.5" x14ac:dyDescent="0.25">
      <c r="A155" s="16">
        <v>116</v>
      </c>
      <c r="B155" s="16">
        <f t="shared" si="102"/>
        <v>334</v>
      </c>
      <c r="C155" s="19">
        <f t="shared" si="103"/>
        <v>70.24448452713311</v>
      </c>
      <c r="D155" s="17">
        <f t="shared" si="104"/>
        <v>-9378.0381845271331</v>
      </c>
      <c r="E155" s="17">
        <f t="shared" si="105"/>
        <v>22277.643915472865</v>
      </c>
      <c r="F155" s="17">
        <f t="shared" si="106"/>
        <v>9101.3516954728675</v>
      </c>
      <c r="G155" s="17">
        <f t="shared" si="107"/>
        <v>-20918.097504527133</v>
      </c>
      <c r="H155" s="17">
        <f t="shared" si="135"/>
        <v>9101.3516954728675</v>
      </c>
      <c r="I155" s="17">
        <f t="shared" si="108"/>
        <v>5173.2849019156874</v>
      </c>
      <c r="J155" s="20">
        <f>(Geraetedaten!$B$152+(Geraetedaten!$B$153*(Geraetedaten!$B$18+d_y_Sw)/1000))*10</f>
        <v>6051.0442000000003</v>
      </c>
      <c r="K155" s="20">
        <f>(Geraetedaten!$B$165+(Geraetedaten!$B$166*(Geraetedaten!$B$18+d_y_Sw)/1000))*10</f>
        <v>10816.164000000001</v>
      </c>
      <c r="L155" s="20">
        <f>(Geraetedaten!$B$158+(Geraetedaten!$B$159*(Geraetedaten!$B$18+d_y_Sw)/1000)-(Geraetedaten!$B$160*I155/1000))*10</f>
        <v>222.17961814252243</v>
      </c>
      <c r="M155" s="20">
        <f>(Geraetedaten!$B$171+(Geraetedaten!$B$172*(Geraetedaten!$B$18+d_y_Sw)/1000)-(Geraetedaten!$B$173*I155/1000))*10</f>
        <v>679.76767190139708</v>
      </c>
      <c r="N155" s="20">
        <f>IF((H155-J155)/(K155-J155)*(Geraetedaten!$B$174-Geraetedaten!$B$161)&lt;Geraetedaten!$B$174,(H155-J155)/(K155-J155)*(Geraetedaten!$B$174-Geraetedaten!$B$161),Geraetedaten!$B$174)</f>
        <v>256.05295341979581</v>
      </c>
      <c r="O155" s="20">
        <f>N155/Geraetedaten!$B$174*(M155-L155)+L155+C155</f>
        <v>585.34103420609586</v>
      </c>
      <c r="P155" s="20">
        <f t="shared" si="109"/>
        <v>188.5578427784946</v>
      </c>
      <c r="Q155" s="21">
        <f>(N155-Geraetedaten!$B$161)/(Geraetedaten!$B$174-Geraetedaten!$B$161)*(Geraetedaten!$B$175-Geraetedaten!$B$162)+Geraetedaten!$B$162</f>
        <v>36.817575364238927</v>
      </c>
      <c r="R155" s="21">
        <f t="shared" si="110"/>
        <v>36.817575364238927</v>
      </c>
      <c r="S155" s="21">
        <f t="shared" si="111"/>
        <v>33.091417536548832</v>
      </c>
      <c r="T155" s="88">
        <f t="shared" si="112"/>
        <v>-16.139762734414706</v>
      </c>
      <c r="U155" s="86">
        <f t="shared" si="113"/>
        <v>-9307.7937000000002</v>
      </c>
      <c r="V155" s="85">
        <f t="shared" si="114"/>
        <v>-1346.4914747781525</v>
      </c>
      <c r="W155" s="85">
        <f t="shared" si="115"/>
        <v>-2094.7369815142401</v>
      </c>
      <c r="X155" s="90">
        <f t="shared" si="116"/>
        <v>1346.4914747781525</v>
      </c>
      <c r="Y155" s="86">
        <f t="shared" si="117"/>
        <v>22347.8884</v>
      </c>
      <c r="Z155" s="85">
        <f t="shared" si="118"/>
        <v>-818.62113479844345</v>
      </c>
      <c r="AA155" s="85">
        <f t="shared" si="119"/>
        <v>2141.1708317669322</v>
      </c>
      <c r="AB155" s="90">
        <f t="shared" si="120"/>
        <v>818.62113479844345</v>
      </c>
      <c r="AC155" s="86">
        <f t="shared" si="121"/>
        <v>9171.5961800000005</v>
      </c>
      <c r="AD155" s="85">
        <f t="shared" si="122"/>
        <v>3384.56104615708</v>
      </c>
      <c r="AE155" s="85">
        <f t="shared" si="123"/>
        <v>5173.2849019156874</v>
      </c>
      <c r="AF155" s="90">
        <f t="shared" si="124"/>
        <v>3384.56104615708</v>
      </c>
      <c r="AG155" s="86">
        <f t="shared" si="125"/>
        <v>-20847.853019999999</v>
      </c>
      <c r="AH155" s="85">
        <f t="shared" si="126"/>
        <v>6139.2748628683721</v>
      </c>
      <c r="AI155" s="85">
        <f t="shared" si="127"/>
        <v>-14327.665504653489</v>
      </c>
      <c r="AJ155" s="90">
        <f t="shared" si="128"/>
        <v>6139.2748628683721</v>
      </c>
      <c r="AL155" s="95">
        <f t="shared" si="129"/>
        <v>0</v>
      </c>
      <c r="AM155" s="95">
        <f t="shared" si="130"/>
        <v>0</v>
      </c>
      <c r="AN155" s="95">
        <f t="shared" si="131"/>
        <v>0</v>
      </c>
      <c r="AO155" s="95">
        <f t="shared" si="132"/>
        <v>0</v>
      </c>
      <c r="AP155"/>
      <c r="AQ155" s="95">
        <f t="shared" si="133"/>
        <v>0</v>
      </c>
      <c r="AR155" s="95">
        <f t="shared" si="134"/>
        <v>0</v>
      </c>
      <c r="AS155" s="95">
        <f>Geraetedaten!$B$94*ABS(SIN(RADIANS($A155)))</f>
        <v>138.41428313007171</v>
      </c>
      <c r="AT155" s="95">
        <f>Geraetedaten!$B$94*ABS(COS(RADIANS($A155)))</f>
        <v>67.509156605517944</v>
      </c>
      <c r="AU155" s="95">
        <f>((h_Aw_Sw+Geraetedaten!$B$18)/1000)*(AQ155*AS155+AR155*AT155)/100</f>
        <v>0</v>
      </c>
    </row>
    <row r="156" spans="1:47" ht="13.5" x14ac:dyDescent="0.25">
      <c r="A156" s="16">
        <v>117</v>
      </c>
      <c r="B156" s="16">
        <f t="shared" si="102"/>
        <v>333</v>
      </c>
      <c r="C156" s="19">
        <f t="shared" si="103"/>
        <v>70.217352556995067</v>
      </c>
      <c r="D156" s="17">
        <f t="shared" si="104"/>
        <v>-9577.1890825569935</v>
      </c>
      <c r="E156" s="17">
        <f t="shared" si="105"/>
        <v>21376.317647443004</v>
      </c>
      <c r="F156" s="17">
        <f t="shared" si="106"/>
        <v>9291.678017443006</v>
      </c>
      <c r="G156" s="17">
        <f t="shared" si="107"/>
        <v>-20181.027982556996</v>
      </c>
      <c r="H156" s="17">
        <f t="shared" si="135"/>
        <v>9291.678017443006</v>
      </c>
      <c r="I156" s="17">
        <f t="shared" si="108"/>
        <v>5280.6241157573431</v>
      </c>
      <c r="J156" s="20">
        <f>(Geraetedaten!$B$152+(Geraetedaten!$B$153*(Geraetedaten!$B$18+d_y_Sw)/1000))*10</f>
        <v>6051.0442000000003</v>
      </c>
      <c r="K156" s="20">
        <f>(Geraetedaten!$B$165+(Geraetedaten!$B$166*(Geraetedaten!$B$18+d_y_Sw)/1000))*10</f>
        <v>10816.164000000001</v>
      </c>
      <c r="L156" s="20">
        <f>(Geraetedaten!$B$158+(Geraetedaten!$B$159*(Geraetedaten!$B$18+d_y_Sw)/1000)-(Geraetedaten!$B$160*I156/1000))*10</f>
        <v>214.30843359151382</v>
      </c>
      <c r="M156" s="20">
        <f>(Geraetedaten!$B$171+(Geraetedaten!$B$172*(Geraetedaten!$B$18+d_y_Sw)/1000)-(Geraetedaten!$B$173*I156/1000))*10</f>
        <v>671.77734082302425</v>
      </c>
      <c r="N156" s="20">
        <f>IF((H156-J156)/(K156-J156)*(Geraetedaten!$B$174-Geraetedaten!$B$161)&lt;Geraetedaten!$B$174,(H156-J156)/(K156-J156)*(Geraetedaten!$B$174-Geraetedaten!$B$161),Geraetedaten!$B$174)</f>
        <v>272.02957771957847</v>
      </c>
      <c r="O156" s="20">
        <f>N156/Geraetedaten!$B$174*(M156-L156)+L156+C156</f>
        <v>595.63847028357088</v>
      </c>
      <c r="P156" s="20">
        <f t="shared" si="109"/>
        <v>189.66947993484726</v>
      </c>
      <c r="Q156" s="21">
        <f>(N156-Geraetedaten!$B$161)/(Geraetedaten!$B$174-Geraetedaten!$B$161)*(Geraetedaten!$B$175-Geraetedaten!$B$162)+Geraetedaten!$B$162</f>
        <v>37.292879937157458</v>
      </c>
      <c r="R156" s="21">
        <f t="shared" si="110"/>
        <v>37.292879937157458</v>
      </c>
      <c r="S156" s="21">
        <f t="shared" si="111"/>
        <v>33.228199329780786</v>
      </c>
      <c r="T156" s="88">
        <f t="shared" si="112"/>
        <v>-16.93061319939703</v>
      </c>
      <c r="U156" s="86">
        <f t="shared" si="113"/>
        <v>-9506.9717299999993</v>
      </c>
      <c r="V156" s="85">
        <f t="shared" si="114"/>
        <v>-1346.4914747781525</v>
      </c>
      <c r="W156" s="85">
        <f t="shared" si="115"/>
        <v>-2139.5623825018865</v>
      </c>
      <c r="X156" s="90">
        <f t="shared" si="116"/>
        <v>1346.4914747781525</v>
      </c>
      <c r="Y156" s="86">
        <f t="shared" si="117"/>
        <v>21446.535</v>
      </c>
      <c r="Z156" s="85">
        <f t="shared" si="118"/>
        <v>-818.62113479844345</v>
      </c>
      <c r="AA156" s="85">
        <f t="shared" si="119"/>
        <v>2054.8113701517309</v>
      </c>
      <c r="AB156" s="90">
        <f t="shared" si="120"/>
        <v>818.62113479844345</v>
      </c>
      <c r="AC156" s="86">
        <f t="shared" si="121"/>
        <v>9361.8953700000002</v>
      </c>
      <c r="AD156" s="85">
        <f t="shared" si="122"/>
        <v>3384.56104615708</v>
      </c>
      <c r="AE156" s="85">
        <f t="shared" si="123"/>
        <v>5280.6241157573431</v>
      </c>
      <c r="AF156" s="90">
        <f t="shared" si="124"/>
        <v>3384.56104615708</v>
      </c>
      <c r="AG156" s="86">
        <f t="shared" si="125"/>
        <v>-20110.81063</v>
      </c>
      <c r="AH156" s="85">
        <f t="shared" si="126"/>
        <v>6139.2748628683721</v>
      </c>
      <c r="AI156" s="85">
        <f t="shared" si="127"/>
        <v>-13821.133876805516</v>
      </c>
      <c r="AJ156" s="90">
        <f t="shared" si="128"/>
        <v>6139.2748628683721</v>
      </c>
      <c r="AL156" s="95">
        <f t="shared" si="129"/>
        <v>0</v>
      </c>
      <c r="AM156" s="95">
        <f t="shared" si="130"/>
        <v>0</v>
      </c>
      <c r="AN156" s="95">
        <f t="shared" si="131"/>
        <v>0</v>
      </c>
      <c r="AO156" s="95">
        <f t="shared" si="132"/>
        <v>0</v>
      </c>
      <c r="AP156"/>
      <c r="AQ156" s="95">
        <f t="shared" si="133"/>
        <v>0</v>
      </c>
      <c r="AR156" s="95">
        <f t="shared" si="134"/>
        <v>0</v>
      </c>
      <c r="AS156" s="95">
        <f>Geraetedaten!$B$94*ABS(SIN(RADIANS($A156)))</f>
        <v>137.21500472500867</v>
      </c>
      <c r="AT156" s="95">
        <f>Geraetedaten!$B$94*ABS(COS(RADIANS($A156)))</f>
        <v>69.914536959890185</v>
      </c>
      <c r="AU156" s="95">
        <f>((h_Aw_Sw+Geraetedaten!$B$18)/1000)*(AQ156*AS156+AR156*AT156)/100</f>
        <v>0</v>
      </c>
    </row>
    <row r="157" spans="1:47" ht="13.5" x14ac:dyDescent="0.25">
      <c r="A157" s="16">
        <v>118</v>
      </c>
      <c r="B157" s="16">
        <f t="shared" si="102"/>
        <v>332</v>
      </c>
      <c r="C157" s="19">
        <f t="shared" si="103"/>
        <v>70.1688317010574</v>
      </c>
      <c r="D157" s="17">
        <f t="shared" si="104"/>
        <v>-9788.0543317010579</v>
      </c>
      <c r="E157" s="17">
        <f t="shared" si="105"/>
        <v>20550.940048298944</v>
      </c>
      <c r="F157" s="17">
        <f t="shared" si="106"/>
        <v>9493.064768298942</v>
      </c>
      <c r="G157" s="17">
        <f t="shared" si="107"/>
        <v>-19499.987891701057</v>
      </c>
      <c r="H157" s="17">
        <f t="shared" si="135"/>
        <v>9493.064768298942</v>
      </c>
      <c r="I157" s="17">
        <f t="shared" si="108"/>
        <v>5394.1899566692337</v>
      </c>
      <c r="J157" s="20">
        <f>(Geraetedaten!$B$152+(Geraetedaten!$B$153*(Geraetedaten!$B$18+d_y_Sw)/1000))*10</f>
        <v>6051.0442000000003</v>
      </c>
      <c r="K157" s="20">
        <f>(Geraetedaten!$B$165+(Geraetedaten!$B$166*(Geraetedaten!$B$18+d_y_Sw)/1000))*10</f>
        <v>10816.164000000001</v>
      </c>
      <c r="L157" s="20">
        <f>(Geraetedaten!$B$158+(Geraetedaten!$B$159*(Geraetedaten!$B$18+d_y_Sw)/1000)-(Geraetedaten!$B$160*I157/1000))*10</f>
        <v>205.9806504774449</v>
      </c>
      <c r="M157" s="20">
        <f>(Geraetedaten!$B$171+(Geraetedaten!$B$172*(Geraetedaten!$B$18+d_y_Sw)/1000)-(Geraetedaten!$B$173*I157/1000))*10</f>
        <v>663.32349962554304</v>
      </c>
      <c r="N157" s="20">
        <f>IF((H157-J157)/(K157-J157)*(Geraetedaten!$B$174-Geraetedaten!$B$161)&lt;Geraetedaten!$B$174,(H157-J157)/(K157-J157)*(Geraetedaten!$B$174-Geraetedaten!$B$161),Geraetedaten!$B$174)</f>
        <v>288.93465119587898</v>
      </c>
      <c r="O157" s="20">
        <f>N157/Geraetedaten!$B$174*(M157-L157)+L157+C157</f>
        <v>606.50497366734044</v>
      </c>
      <c r="P157" s="20">
        <f t="shared" si="109"/>
        <v>190.80892713694351</v>
      </c>
      <c r="Q157" s="21">
        <f>(N157-Geraetedaten!$B$161)/(Geraetedaten!$B$174-Geraetedaten!$B$161)*(Geraetedaten!$B$175-Geraetedaten!$B$162)+Geraetedaten!$B$162</f>
        <v>37.795805873077398</v>
      </c>
      <c r="R157" s="21">
        <f t="shared" si="110"/>
        <v>37.795805873077398</v>
      </c>
      <c r="S157" s="21">
        <f t="shared" si="111"/>
        <v>33.371715815796982</v>
      </c>
      <c r="T157" s="88">
        <f t="shared" si="112"/>
        <v>-17.744056049985801</v>
      </c>
      <c r="U157" s="86">
        <f t="shared" si="113"/>
        <v>-9717.8855000000003</v>
      </c>
      <c r="V157" s="85">
        <f t="shared" si="114"/>
        <v>-1346.4914747781525</v>
      </c>
      <c r="W157" s="85">
        <f t="shared" si="115"/>
        <v>-2187.0289346723112</v>
      </c>
      <c r="X157" s="90">
        <f t="shared" si="116"/>
        <v>1346.4914747781525</v>
      </c>
      <c r="Y157" s="86">
        <f t="shared" si="117"/>
        <v>20621.10888</v>
      </c>
      <c r="Z157" s="85">
        <f t="shared" si="118"/>
        <v>-818.62113479844345</v>
      </c>
      <c r="AA157" s="85">
        <f t="shared" si="119"/>
        <v>1975.7265679979569</v>
      </c>
      <c r="AB157" s="90">
        <f t="shared" si="120"/>
        <v>818.62113479844345</v>
      </c>
      <c r="AC157" s="86">
        <f t="shared" si="121"/>
        <v>9563.2335999999996</v>
      </c>
      <c r="AD157" s="85">
        <f t="shared" si="122"/>
        <v>3384.56104615708</v>
      </c>
      <c r="AE157" s="85">
        <f t="shared" si="123"/>
        <v>5394.1899566692337</v>
      </c>
      <c r="AF157" s="90">
        <f t="shared" si="124"/>
        <v>3384.56104615708</v>
      </c>
      <c r="AG157" s="86">
        <f t="shared" si="125"/>
        <v>-19429.819060000002</v>
      </c>
      <c r="AH157" s="85">
        <f t="shared" si="126"/>
        <v>6139.2748628683721</v>
      </c>
      <c r="AI157" s="85">
        <f t="shared" si="127"/>
        <v>-13353.123122079416</v>
      </c>
      <c r="AJ157" s="90">
        <f t="shared" si="128"/>
        <v>6139.2748628683721</v>
      </c>
      <c r="AL157" s="95">
        <f t="shared" si="129"/>
        <v>0</v>
      </c>
      <c r="AM157" s="95">
        <f t="shared" si="130"/>
        <v>0</v>
      </c>
      <c r="AN157" s="95">
        <f t="shared" si="131"/>
        <v>0</v>
      </c>
      <c r="AO157" s="95">
        <f t="shared" si="132"/>
        <v>0</v>
      </c>
      <c r="AP157"/>
      <c r="AQ157" s="95">
        <f t="shared" si="133"/>
        <v>0</v>
      </c>
      <c r="AR157" s="95">
        <f t="shared" si="134"/>
        <v>0</v>
      </c>
      <c r="AS157" s="95">
        <f>Geraetedaten!$B$94*ABS(SIN(RADIANS($A157)))</f>
        <v>135.97392930027473</v>
      </c>
      <c r="AT157" s="95">
        <f>Geraetedaten!$B$94*ABS(COS(RADIANS($A157)))</f>
        <v>72.298620669027201</v>
      </c>
      <c r="AU157" s="95">
        <f>((h_Aw_Sw+Geraetedaten!$B$18)/1000)*(AQ157*AS157+AR157*AT157)/100</f>
        <v>0</v>
      </c>
    </row>
    <row r="158" spans="1:47" ht="13.5" x14ac:dyDescent="0.25">
      <c r="A158" s="16">
        <v>119</v>
      </c>
      <c r="B158" s="16">
        <f t="shared" si="102"/>
        <v>331</v>
      </c>
      <c r="C158" s="19">
        <f t="shared" si="103"/>
        <v>70.098936739242859</v>
      </c>
      <c r="D158" s="17">
        <f t="shared" si="104"/>
        <v>-10011.565826739243</v>
      </c>
      <c r="E158" s="17">
        <f t="shared" si="105"/>
        <v>19792.592563260758</v>
      </c>
      <c r="F158" s="17">
        <f t="shared" si="106"/>
        <v>9706.3667032607573</v>
      </c>
      <c r="G158" s="17">
        <f t="shared" si="107"/>
        <v>-18869.074096739245</v>
      </c>
      <c r="H158" s="17">
        <f t="shared" si="135"/>
        <v>9706.3667032607573</v>
      </c>
      <c r="I158" s="17">
        <f t="shared" si="108"/>
        <v>5514.46456225978</v>
      </c>
      <c r="J158" s="20">
        <f>(Geraetedaten!$B$152+(Geraetedaten!$B$153*(Geraetedaten!$B$18+d_y_Sw)/1000))*10</f>
        <v>6051.0442000000003</v>
      </c>
      <c r="K158" s="20">
        <f>(Geraetedaten!$B$165+(Geraetedaten!$B$166*(Geraetedaten!$B$18+d_y_Sw)/1000))*10</f>
        <v>10816.164000000001</v>
      </c>
      <c r="L158" s="20">
        <f>(Geraetedaten!$B$158+(Geraetedaten!$B$159*(Geraetedaten!$B$18+d_y_Sw)/1000)-(Geraetedaten!$B$160*I158/1000))*10</f>
        <v>197.16091364949017</v>
      </c>
      <c r="M158" s="20">
        <f>(Geraetedaten!$B$171+(Geraetedaten!$B$172*(Geraetedaten!$B$18+d_y_Sw)/1000)-(Geraetedaten!$B$173*I158/1000))*10</f>
        <v>654.37025798538286</v>
      </c>
      <c r="N158" s="20">
        <f>IF((H158-J158)/(K158-J158)*(Geraetedaten!$B$174-Geraetedaten!$B$161)&lt;Geraetedaten!$B$174,(H158-J158)/(K158-J158)*(Geraetedaten!$B$174-Geraetedaten!$B$161),Geraetedaten!$B$174)</f>
        <v>306.83992484392581</v>
      </c>
      <c r="O158" s="20">
        <f>N158/Geraetedaten!$B$174*(M158-L158)+L158+C158</f>
        <v>617.98505252364771</v>
      </c>
      <c r="P158" s="20">
        <f t="shared" si="109"/>
        <v>191.97712456844783</v>
      </c>
      <c r="Q158" s="21">
        <f>(N158-Geraetedaten!$B$161)/(Geraetedaten!$B$174-Geraetedaten!$B$161)*(Geraetedaten!$B$175-Geraetedaten!$B$162)+Geraetedaten!$B$162</f>
        <v>38.328487764106796</v>
      </c>
      <c r="R158" s="21">
        <f t="shared" si="110"/>
        <v>38.328487764106796</v>
      </c>
      <c r="S158" s="21">
        <f t="shared" si="111"/>
        <v>33.522850743339006</v>
      </c>
      <c r="T158" s="88">
        <f t="shared" si="112"/>
        <v>-18.582019597532991</v>
      </c>
      <c r="U158" s="86">
        <f t="shared" si="113"/>
        <v>-9941.4668899999997</v>
      </c>
      <c r="V158" s="85">
        <f t="shared" si="114"/>
        <v>-1346.4914747781525</v>
      </c>
      <c r="W158" s="85">
        <f t="shared" si="115"/>
        <v>-2237.3463582037143</v>
      </c>
      <c r="X158" s="90">
        <f t="shared" si="116"/>
        <v>1346.4914747781525</v>
      </c>
      <c r="Y158" s="86">
        <f t="shared" si="117"/>
        <v>19862.691500000001</v>
      </c>
      <c r="Z158" s="85">
        <f t="shared" si="118"/>
        <v>-818.62113479844345</v>
      </c>
      <c r="AA158" s="85">
        <f t="shared" si="119"/>
        <v>1903.0619318786428</v>
      </c>
      <c r="AB158" s="90">
        <f t="shared" si="120"/>
        <v>818.62113479844345</v>
      </c>
      <c r="AC158" s="86">
        <f t="shared" si="121"/>
        <v>9776.4656400000003</v>
      </c>
      <c r="AD158" s="85">
        <f t="shared" si="122"/>
        <v>3384.56104615708</v>
      </c>
      <c r="AE158" s="85">
        <f t="shared" si="123"/>
        <v>5514.46456225978</v>
      </c>
      <c r="AF158" s="90">
        <f t="shared" si="124"/>
        <v>3384.56104615708</v>
      </c>
      <c r="AG158" s="86">
        <f t="shared" si="125"/>
        <v>-18798.975160000002</v>
      </c>
      <c r="AH158" s="85">
        <f t="shared" si="126"/>
        <v>6139.2748628683721</v>
      </c>
      <c r="AI158" s="85">
        <f t="shared" si="127"/>
        <v>-12919.576306544821</v>
      </c>
      <c r="AJ158" s="90">
        <f t="shared" si="128"/>
        <v>6139.2748628683721</v>
      </c>
      <c r="AL158" s="95">
        <f t="shared" si="129"/>
        <v>0</v>
      </c>
      <c r="AM158" s="95">
        <f t="shared" si="130"/>
        <v>0</v>
      </c>
      <c r="AN158" s="95">
        <f t="shared" si="131"/>
        <v>0</v>
      </c>
      <c r="AO158" s="95">
        <f t="shared" si="132"/>
        <v>0</v>
      </c>
      <c r="AP158"/>
      <c r="AQ158" s="95">
        <f t="shared" si="133"/>
        <v>0</v>
      </c>
      <c r="AR158" s="95">
        <f t="shared" si="134"/>
        <v>0</v>
      </c>
      <c r="AS158" s="95">
        <f>Geraetedaten!$B$94*ABS(SIN(RADIANS($A158)))</f>
        <v>134.69143489946697</v>
      </c>
      <c r="AT158" s="95">
        <f>Geraetedaten!$B$94*ABS(COS(RADIANS($A158)))</f>
        <v>74.660681517935899</v>
      </c>
      <c r="AU158" s="95">
        <f>((h_Aw_Sw+Geraetedaten!$B$18)/1000)*(AQ158*AS158+AR158*AT158)/100</f>
        <v>0</v>
      </c>
    </row>
    <row r="159" spans="1:47" ht="13.5" x14ac:dyDescent="0.25">
      <c r="A159" s="16">
        <v>120</v>
      </c>
      <c r="B159" s="16">
        <f t="shared" si="102"/>
        <v>330</v>
      </c>
      <c r="C159" s="19">
        <f t="shared" si="103"/>
        <v>70.007688962233885</v>
      </c>
      <c r="D159" s="17">
        <f t="shared" si="104"/>
        <v>-10248.759758962235</v>
      </c>
      <c r="E159" s="17">
        <f t="shared" si="105"/>
        <v>19093.705001037768</v>
      </c>
      <c r="F159" s="17">
        <f t="shared" si="106"/>
        <v>9932.5321010377666</v>
      </c>
      <c r="G159" s="17">
        <f t="shared" si="107"/>
        <v>-18283.188458962231</v>
      </c>
      <c r="H159" s="17">
        <f t="shared" si="135"/>
        <v>9932.5321010377666</v>
      </c>
      <c r="I159" s="17">
        <f t="shared" si="108"/>
        <v>5641.982824217057</v>
      </c>
      <c r="J159" s="20">
        <f>(Geraetedaten!$B$152+(Geraetedaten!$B$153*(Geraetedaten!$B$18+d_y_Sw)/1000))*10</f>
        <v>6051.0442000000003</v>
      </c>
      <c r="K159" s="20">
        <f>(Geraetedaten!$B$165+(Geraetedaten!$B$166*(Geraetedaten!$B$18+d_y_Sw)/1000))*10</f>
        <v>10816.164000000001</v>
      </c>
      <c r="L159" s="20">
        <f>(Geraetedaten!$B$158+(Geraetedaten!$B$159*(Geraetedaten!$B$18+d_y_Sw)/1000)-(Geraetedaten!$B$160*I159/1000))*10</f>
        <v>187.80999950016303</v>
      </c>
      <c r="M159" s="20">
        <f>(Geraetedaten!$B$171+(Geraetedaten!$B$172*(Geraetedaten!$B$18+d_y_Sw)/1000)-(Geraetedaten!$B$173*I159/1000))*10</f>
        <v>644.877798565283</v>
      </c>
      <c r="N159" s="20">
        <f>IF((H159-J159)/(K159-J159)*(Geraetedaten!$B$174-Geraetedaten!$B$161)&lt;Geraetedaten!$B$174,(H159-J159)/(K159-J159)*(Geraetedaten!$B$174-Geraetedaten!$B$161),Geraetedaten!$B$174)</f>
        <v>325.82500033159846</v>
      </c>
      <c r="O159" s="20">
        <f>N159/Geraetedaten!$B$174*(M159-L159)+L159+C159</f>
        <v>630.12797791728622</v>
      </c>
      <c r="P159" s="20">
        <f t="shared" si="109"/>
        <v>193.17502780508406</v>
      </c>
      <c r="Q159" s="21">
        <f>(N159-Geraetedaten!$B$161)/(Geraetedaten!$B$174-Geraetedaten!$B$161)*(Geraetedaten!$B$175-Geraetedaten!$B$162)+Geraetedaten!$B$162</f>
        <v>38.89329375986506</v>
      </c>
      <c r="R159" s="21">
        <f t="shared" si="110"/>
        <v>38.89329375986506</v>
      </c>
      <c r="S159" s="21">
        <f t="shared" si="111"/>
        <v>33.682580432893928</v>
      </c>
      <c r="T159" s="88">
        <f t="shared" si="112"/>
        <v>-19.446646879932523</v>
      </c>
      <c r="U159" s="86">
        <f t="shared" si="113"/>
        <v>-10178.75207</v>
      </c>
      <c r="V159" s="85">
        <f t="shared" si="114"/>
        <v>-1346.4914747781525</v>
      </c>
      <c r="W159" s="85">
        <f t="shared" si="115"/>
        <v>-2290.7478480462364</v>
      </c>
      <c r="X159" s="90">
        <f t="shared" si="116"/>
        <v>1346.4914747781525</v>
      </c>
      <c r="Y159" s="86">
        <f t="shared" si="117"/>
        <v>19163.71269</v>
      </c>
      <c r="Z159" s="85">
        <f t="shared" si="118"/>
        <v>-818.62113479844345</v>
      </c>
      <c r="AA159" s="85">
        <f t="shared" si="119"/>
        <v>1836.0921579780161</v>
      </c>
      <c r="AB159" s="90">
        <f t="shared" si="120"/>
        <v>818.62113479844345</v>
      </c>
      <c r="AC159" s="86">
        <f t="shared" si="121"/>
        <v>10002.539790000001</v>
      </c>
      <c r="AD159" s="85">
        <f t="shared" si="122"/>
        <v>3384.56104615708</v>
      </c>
      <c r="AE159" s="85">
        <f t="shared" si="123"/>
        <v>5641.982824217057</v>
      </c>
      <c r="AF159" s="90">
        <f t="shared" si="124"/>
        <v>3384.56104615708</v>
      </c>
      <c r="AG159" s="86">
        <f t="shared" si="125"/>
        <v>-18213.180769999999</v>
      </c>
      <c r="AH159" s="85">
        <f t="shared" si="126"/>
        <v>6139.2748628683721</v>
      </c>
      <c r="AI159" s="85">
        <f t="shared" si="127"/>
        <v>-12516.989717314926</v>
      </c>
      <c r="AJ159" s="90">
        <f t="shared" si="128"/>
        <v>6139.2748628683721</v>
      </c>
      <c r="AL159" s="95">
        <f t="shared" si="129"/>
        <v>0</v>
      </c>
      <c r="AM159" s="95">
        <f t="shared" si="130"/>
        <v>0</v>
      </c>
      <c r="AN159" s="95">
        <f t="shared" si="131"/>
        <v>0</v>
      </c>
      <c r="AO159" s="95">
        <f t="shared" si="132"/>
        <v>0</v>
      </c>
      <c r="AP159"/>
      <c r="AQ159" s="95">
        <f t="shared" si="133"/>
        <v>0</v>
      </c>
      <c r="AR159" s="95">
        <f t="shared" si="134"/>
        <v>0</v>
      </c>
      <c r="AS159" s="95">
        <f>Geraetedaten!$B$94*ABS(SIN(RADIANS($A159)))</f>
        <v>133.36791218280356</v>
      </c>
      <c r="AT159" s="95">
        <f>Geraetedaten!$B$94*ABS(COS(RADIANS($A159)))</f>
        <v>76.999999999999972</v>
      </c>
      <c r="AU159" s="95">
        <f>((h_Aw_Sw+Geraetedaten!$B$18)/1000)*(AQ159*AS159+AR159*AT159)/100</f>
        <v>0</v>
      </c>
    </row>
    <row r="160" spans="1:47" ht="13.5" x14ac:dyDescent="0.25">
      <c r="A160" s="16">
        <v>121</v>
      </c>
      <c r="B160" s="16">
        <f t="shared" si="102"/>
        <v>329</v>
      </c>
      <c r="C160" s="19">
        <f t="shared" si="103"/>
        <v>69.895116164987314</v>
      </c>
      <c r="D160" s="17">
        <f t="shared" si="104"/>
        <v>-10500.791546164988</v>
      </c>
      <c r="E160" s="17">
        <f t="shared" si="105"/>
        <v>18447.810233835015</v>
      </c>
      <c r="F160" s="17">
        <f t="shared" si="106"/>
        <v>10172.615783835012</v>
      </c>
      <c r="G160" s="17">
        <f t="shared" si="107"/>
        <v>-17737.905316164986</v>
      </c>
      <c r="H160" s="17">
        <f t="shared" si="135"/>
        <v>10172.615783835012</v>
      </c>
      <c r="I160" s="17">
        <f t="shared" si="108"/>
        <v>5777.3397302222875</v>
      </c>
      <c r="J160" s="20">
        <f>(Geraetedaten!$B$152+(Geraetedaten!$B$153*(Geraetedaten!$B$18+d_y_Sw)/1000))*10</f>
        <v>6051.0442000000003</v>
      </c>
      <c r="K160" s="20">
        <f>(Geraetedaten!$B$165+(Geraetedaten!$B$166*(Geraetedaten!$B$18+d_y_Sw)/1000))*10</f>
        <v>10816.164000000001</v>
      </c>
      <c r="L160" s="20">
        <f>(Geraetedaten!$B$158+(Geraetedaten!$B$159*(Geraetedaten!$B$18+d_y_Sw)/1000)-(Geraetedaten!$B$160*I160/1000))*10</f>
        <v>177.88427758279943</v>
      </c>
      <c r="M160" s="20">
        <f>(Geraetedaten!$B$171+(Geraetedaten!$B$172*(Geraetedaten!$B$18+d_y_Sw)/1000)-(Geraetedaten!$B$173*I160/1000))*10</f>
        <v>634.80183048225376</v>
      </c>
      <c r="N160" s="20">
        <f>IF((H160-J160)/(K160-J160)*(Geraetedaten!$B$174-Geraetedaten!$B$161)&lt;Geraetedaten!$B$174,(H160-J160)/(K160-J160)*(Geraetedaten!$B$174-Geraetedaten!$B$161),Geraetedaten!$B$174)</f>
        <v>345.97842294206424</v>
      </c>
      <c r="O160" s="20">
        <f>N160/Geraetedaten!$B$174*(M160-L160)+L160+C160</f>
        <v>642.98842966453776</v>
      </c>
      <c r="P160" s="20">
        <f t="shared" si="109"/>
        <v>194.40360295749477</v>
      </c>
      <c r="Q160" s="21">
        <f>(N160-Geraetedaten!$B$161)/(Geraetedaten!$B$174-Geraetedaten!$B$161)*(Geraetedaten!$B$175-Geraetedaten!$B$162)+Geraetedaten!$B$162</f>
        <v>39.492858082526411</v>
      </c>
      <c r="R160" s="21">
        <f t="shared" si="110"/>
        <v>39.492858082526411</v>
      </c>
      <c r="S160" s="21">
        <f t="shared" si="111"/>
        <v>33.851986559610765</v>
      </c>
      <c r="T160" s="88">
        <f t="shared" si="112"/>
        <v>-20.34032559952038</v>
      </c>
      <c r="U160" s="86">
        <f t="shared" si="113"/>
        <v>-10430.896430000001</v>
      </c>
      <c r="V160" s="85">
        <f t="shared" si="114"/>
        <v>-1346.4914747781525</v>
      </c>
      <c r="W160" s="85">
        <f t="shared" si="115"/>
        <v>-2347.4934222079469</v>
      </c>
      <c r="X160" s="90">
        <f t="shared" si="116"/>
        <v>1346.4914747781525</v>
      </c>
      <c r="Y160" s="86">
        <f t="shared" si="117"/>
        <v>18517.70535</v>
      </c>
      <c r="Z160" s="85">
        <f t="shared" si="118"/>
        <v>-818.62113479844345</v>
      </c>
      <c r="AA160" s="85">
        <f t="shared" si="119"/>
        <v>1774.1976261541965</v>
      </c>
      <c r="AB160" s="90">
        <f t="shared" si="120"/>
        <v>818.62113479844345</v>
      </c>
      <c r="AC160" s="86">
        <f t="shared" si="121"/>
        <v>10242.510899999999</v>
      </c>
      <c r="AD160" s="85">
        <f t="shared" si="122"/>
        <v>3384.56104615708</v>
      </c>
      <c r="AE160" s="85">
        <f t="shared" si="123"/>
        <v>5777.3397302222875</v>
      </c>
      <c r="AF160" s="90">
        <f t="shared" si="124"/>
        <v>3384.56104615708</v>
      </c>
      <c r="AG160" s="86">
        <f t="shared" si="125"/>
        <v>-17668.010200000001</v>
      </c>
      <c r="AH160" s="85">
        <f t="shared" si="126"/>
        <v>6139.2748628683721</v>
      </c>
      <c r="AI160" s="85">
        <f t="shared" si="127"/>
        <v>-12142.3218047269</v>
      </c>
      <c r="AJ160" s="90">
        <f t="shared" si="128"/>
        <v>6139.2748628683721</v>
      </c>
      <c r="AL160" s="95">
        <f t="shared" si="129"/>
        <v>0</v>
      </c>
      <c r="AM160" s="95">
        <f t="shared" si="130"/>
        <v>0</v>
      </c>
      <c r="AN160" s="95">
        <f t="shared" si="131"/>
        <v>0</v>
      </c>
      <c r="AO160" s="95">
        <f t="shared" si="132"/>
        <v>0</v>
      </c>
      <c r="AP160"/>
      <c r="AQ160" s="95">
        <f t="shared" si="133"/>
        <v>0</v>
      </c>
      <c r="AR160" s="95">
        <f t="shared" si="134"/>
        <v>0</v>
      </c>
      <c r="AS160" s="95">
        <f>Geraetedaten!$B$94*ABS(SIN(RADIANS($A160)))</f>
        <v>132.00376430812531</v>
      </c>
      <c r="AT160" s="95">
        <f>Geraetedaten!$B$94*ABS(COS(RADIANS($A160)))</f>
        <v>79.315863536148356</v>
      </c>
      <c r="AU160" s="95">
        <f>((h_Aw_Sw+Geraetedaten!$B$18)/1000)*(AQ160*AS160+AR160*AT160)/100</f>
        <v>0</v>
      </c>
    </row>
    <row r="161" spans="1:47" ht="13.5" x14ac:dyDescent="0.25">
      <c r="A161" s="16">
        <v>122</v>
      </c>
      <c r="B161" s="16">
        <f t="shared" si="102"/>
        <v>328</v>
      </c>
      <c r="C161" s="19">
        <f t="shared" si="103"/>
        <v>69.761252638267678</v>
      </c>
      <c r="D161" s="17">
        <f t="shared" si="104"/>
        <v>-10768.953252638266</v>
      </c>
      <c r="E161" s="17">
        <f t="shared" si="105"/>
        <v>17849.350487361731</v>
      </c>
      <c r="F161" s="17">
        <f t="shared" si="106"/>
        <v>10427.794337361733</v>
      </c>
      <c r="G161" s="17">
        <f t="shared" si="107"/>
        <v>-17229.36434263827</v>
      </c>
      <c r="H161" s="17">
        <f t="shared" si="135"/>
        <v>10427.794337361733</v>
      </c>
      <c r="I161" s="17">
        <f t="shared" si="108"/>
        <v>5921.1989701041148</v>
      </c>
      <c r="J161" s="20">
        <f>(Geraetedaten!$B$152+(Geraetedaten!$B$153*(Geraetedaten!$B$18+d_y_Sw)/1000))*10</f>
        <v>6051.0442000000003</v>
      </c>
      <c r="K161" s="20">
        <f>(Geraetedaten!$B$165+(Geraetedaten!$B$166*(Geraetedaten!$B$18+d_y_Sw)/1000))*10</f>
        <v>10816.164000000001</v>
      </c>
      <c r="L161" s="20">
        <f>(Geraetedaten!$B$158+(Geraetedaten!$B$159*(Geraetedaten!$B$18+d_y_Sw)/1000)-(Geraetedaten!$B$160*I161/1000))*10</f>
        <v>167.33507952226512</v>
      </c>
      <c r="M161" s="20">
        <f>(Geraetedaten!$B$171+(Geraetedaten!$B$172*(Geraetedaten!$B$18+d_y_Sw)/1000)-(Geraetedaten!$B$173*I161/1000))*10</f>
        <v>624.09294866545054</v>
      </c>
      <c r="N161" s="20">
        <f>IF((H161-J161)/(K161-J161)*(Geraetedaten!$B$174-Geraetedaten!$B$161)&lt;Geraetedaten!$B$174,(H161-J161)/(K161-J161)*(Geraetedaten!$B$174-Geraetedaten!$B$161),Geraetedaten!$B$174)</f>
        <v>367.39895919189541</v>
      </c>
      <c r="O161" s="20">
        <f>N161/Geraetedaten!$B$174*(M161-L161)+L161+C161</f>
        <v>656.62724647531854</v>
      </c>
      <c r="P161" s="20">
        <f t="shared" si="109"/>
        <v>195.66381994572012</v>
      </c>
      <c r="Q161" s="21">
        <f>(N161-Geraetedaten!$B$161)/(Geraetedaten!$B$174-Geraetedaten!$B$161)*(Geraetedaten!$B$175-Geraetedaten!$B$162)+Geraetedaten!$B$162</f>
        <v>40.130119035958892</v>
      </c>
      <c r="R161" s="21">
        <f t="shared" si="110"/>
        <v>40.130119035958892</v>
      </c>
      <c r="S161" s="21">
        <f t="shared" si="111"/>
        <v>34.032271046975687</v>
      </c>
      <c r="T161" s="88">
        <f t="shared" si="112"/>
        <v>-21.26572315312626</v>
      </c>
      <c r="U161" s="86">
        <f t="shared" si="113"/>
        <v>-10699.191999999999</v>
      </c>
      <c r="V161" s="85">
        <f t="shared" si="114"/>
        <v>-1346.4914747781525</v>
      </c>
      <c r="W161" s="85">
        <f t="shared" si="115"/>
        <v>-2407.8738611539029</v>
      </c>
      <c r="X161" s="90">
        <f t="shared" si="116"/>
        <v>1346.4914747781525</v>
      </c>
      <c r="Y161" s="86">
        <f t="shared" si="117"/>
        <v>17919.11174</v>
      </c>
      <c r="Z161" s="85">
        <f t="shared" si="118"/>
        <v>-818.62113479844345</v>
      </c>
      <c r="AA161" s="85">
        <f t="shared" si="119"/>
        <v>1716.8458466069451</v>
      </c>
      <c r="AB161" s="90">
        <f t="shared" si="120"/>
        <v>818.62113479844345</v>
      </c>
      <c r="AC161" s="86">
        <f t="shared" si="121"/>
        <v>10497.55559</v>
      </c>
      <c r="AD161" s="85">
        <f t="shared" si="122"/>
        <v>3384.56104615708</v>
      </c>
      <c r="AE161" s="85">
        <f t="shared" si="123"/>
        <v>5921.1989701041148</v>
      </c>
      <c r="AF161" s="90">
        <f t="shared" si="124"/>
        <v>3384.56104615708</v>
      </c>
      <c r="AG161" s="86">
        <f t="shared" si="125"/>
        <v>-17159.603090000001</v>
      </c>
      <c r="AH161" s="85">
        <f t="shared" si="126"/>
        <v>6139.2748628683721</v>
      </c>
      <c r="AI161" s="85">
        <f t="shared" si="127"/>
        <v>-11792.919540595811</v>
      </c>
      <c r="AJ161" s="90">
        <f t="shared" si="128"/>
        <v>6139.2748628683721</v>
      </c>
      <c r="AL161" s="95">
        <f t="shared" si="129"/>
        <v>0</v>
      </c>
      <c r="AM161" s="95">
        <f t="shared" si="130"/>
        <v>0</v>
      </c>
      <c r="AN161" s="95">
        <f t="shared" si="131"/>
        <v>0</v>
      </c>
      <c r="AO161" s="95">
        <f t="shared" si="132"/>
        <v>0</v>
      </c>
      <c r="AP161"/>
      <c r="AQ161" s="95">
        <f t="shared" si="133"/>
        <v>0</v>
      </c>
      <c r="AR161" s="95">
        <f t="shared" si="134"/>
        <v>0</v>
      </c>
      <c r="AS161" s="95">
        <f>Geraetedaten!$B$94*ABS(SIN(RADIANS($A161)))</f>
        <v>130.59940680808961</v>
      </c>
      <c r="AT161" s="95">
        <f>Geraetedaten!$B$94*ABS(COS(RADIANS($A161)))</f>
        <v>81.607566691913533</v>
      </c>
      <c r="AU161" s="95">
        <f>((h_Aw_Sw+Geraetedaten!$B$18)/1000)*(AQ161*AS161+AR161*AT161)/100</f>
        <v>0</v>
      </c>
    </row>
    <row r="162" spans="1:47" ht="13.5" x14ac:dyDescent="0.25">
      <c r="A162" s="16">
        <v>123</v>
      </c>
      <c r="B162" s="16">
        <f t="shared" si="102"/>
        <v>327</v>
      </c>
      <c r="C162" s="19">
        <f t="shared" si="103"/>
        <v>69.606139158202012</v>
      </c>
      <c r="D162" s="17">
        <f t="shared" si="104"/>
        <v>-11054.694389158203</v>
      </c>
      <c r="E162" s="17">
        <f t="shared" si="105"/>
        <v>17293.523190841799</v>
      </c>
      <c r="F162" s="17">
        <f t="shared" si="106"/>
        <v>10699.384130841798</v>
      </c>
      <c r="G162" s="17">
        <f t="shared" si="107"/>
        <v>-16754.183249158199</v>
      </c>
      <c r="H162" s="17">
        <f t="shared" si="135"/>
        <v>10699.384130841798</v>
      </c>
      <c r="I162" s="17">
        <f t="shared" si="108"/>
        <v>6074.3030675505515</v>
      </c>
      <c r="J162" s="20">
        <f>(Geraetedaten!$B$152+(Geraetedaten!$B$153*(Geraetedaten!$B$18+d_y_Sw)/1000))*10</f>
        <v>6051.0442000000003</v>
      </c>
      <c r="K162" s="20">
        <f>(Geraetedaten!$B$165+(Geraetedaten!$B$166*(Geraetedaten!$B$18+d_y_Sw)/1000))*10</f>
        <v>10816.164000000001</v>
      </c>
      <c r="L162" s="20">
        <f>(Geraetedaten!$B$158+(Geraetedaten!$B$159*(Geraetedaten!$B$18+d_y_Sw)/1000)-(Geraetedaten!$B$160*I162/1000))*10</f>
        <v>156.10795605651788</v>
      </c>
      <c r="M162" s="20">
        <f>(Geraetedaten!$B$171+(Geraetedaten!$B$172*(Geraetedaten!$B$18+d_y_Sw)/1000)-(Geraetedaten!$B$173*I162/1000))*10</f>
        <v>612.69587965153778</v>
      </c>
      <c r="N162" s="20">
        <f>IF((H162-J162)/(K162-J162)*(Geraetedaten!$B$174-Geraetedaten!$B$161)&lt;Geraetedaten!$B$174,(H162-J162)/(K162-J162)*(Geraetedaten!$B$174-Geraetedaten!$B$161),Geraetedaten!$B$174)</f>
        <v>390.19710949066149</v>
      </c>
      <c r="O162" s="20">
        <f>N162/Geraetedaten!$B$174*(M162-L162)+L162+C162</f>
        <v>671.11231525251935</v>
      </c>
      <c r="P162" s="20">
        <f t="shared" si="109"/>
        <v>196.95664560708644</v>
      </c>
      <c r="Q162" s="21">
        <f>(N162-Geraetedaten!$B$161)/(Geraetedaten!$B$174-Geraetedaten!$B$161)*(Geraetedaten!$B$175-Geraetedaten!$B$162)+Geraetedaten!$B$162</f>
        <v>40.80836400734718</v>
      </c>
      <c r="R162" s="21">
        <f t="shared" si="110"/>
        <v>40.80836400734718</v>
      </c>
      <c r="S162" s="21">
        <f t="shared" si="111"/>
        <v>34.224773818965453</v>
      </c>
      <c r="T162" s="88">
        <f t="shared" si="112"/>
        <v>-22.225827993503533</v>
      </c>
      <c r="U162" s="86">
        <f t="shared" si="113"/>
        <v>-10985.088250000001</v>
      </c>
      <c r="V162" s="85">
        <f t="shared" si="114"/>
        <v>-1346.4914747781525</v>
      </c>
      <c r="W162" s="85">
        <f t="shared" si="115"/>
        <v>-2472.2153636917938</v>
      </c>
      <c r="X162" s="90">
        <f t="shared" si="116"/>
        <v>1346.4914747781525</v>
      </c>
      <c r="Y162" s="86">
        <f t="shared" si="117"/>
        <v>17363.12933</v>
      </c>
      <c r="Z162" s="85">
        <f t="shared" si="118"/>
        <v>-818.62113479844345</v>
      </c>
      <c r="AA162" s="85">
        <f t="shared" si="119"/>
        <v>1663.5766830717171</v>
      </c>
      <c r="AB162" s="90">
        <f t="shared" si="120"/>
        <v>818.62113479844345</v>
      </c>
      <c r="AC162" s="86">
        <f t="shared" si="121"/>
        <v>10768.99027</v>
      </c>
      <c r="AD162" s="85">
        <f t="shared" si="122"/>
        <v>3384.56104615708</v>
      </c>
      <c r="AE162" s="85">
        <f t="shared" si="123"/>
        <v>6074.3030675505515</v>
      </c>
      <c r="AF162" s="90">
        <f t="shared" si="124"/>
        <v>3384.56104615708</v>
      </c>
      <c r="AG162" s="86">
        <f t="shared" si="125"/>
        <v>-16684.577109999998</v>
      </c>
      <c r="AH162" s="85">
        <f t="shared" si="126"/>
        <v>6139.2748628683721</v>
      </c>
      <c r="AI162" s="85">
        <f t="shared" si="127"/>
        <v>-11466.458426569252</v>
      </c>
      <c r="AJ162" s="90">
        <f t="shared" si="128"/>
        <v>6139.2748628683721</v>
      </c>
      <c r="AL162" s="95">
        <f t="shared" si="129"/>
        <v>0</v>
      </c>
      <c r="AM162" s="95">
        <f t="shared" si="130"/>
        <v>0</v>
      </c>
      <c r="AN162" s="95">
        <f t="shared" si="131"/>
        <v>0</v>
      </c>
      <c r="AO162" s="95">
        <f t="shared" si="132"/>
        <v>0</v>
      </c>
      <c r="AP162"/>
      <c r="AQ162" s="95">
        <f t="shared" si="133"/>
        <v>0</v>
      </c>
      <c r="AR162" s="95">
        <f t="shared" si="134"/>
        <v>0</v>
      </c>
      <c r="AS162" s="95">
        <f>Geraetedaten!$B$94*ABS(SIN(RADIANS($A162)))</f>
        <v>129.15526746359529</v>
      </c>
      <c r="AT162" s="95">
        <f>Geraetedaten!$B$94*ABS(COS(RADIANS($A162)))</f>
        <v>83.874411392314173</v>
      </c>
      <c r="AU162" s="95">
        <f>((h_Aw_Sw+Geraetedaten!$B$18)/1000)*(AQ162*AS162+AR162*AT162)/100</f>
        <v>0</v>
      </c>
    </row>
    <row r="163" spans="1:47" ht="13.5" x14ac:dyDescent="0.25">
      <c r="A163" s="16">
        <v>124</v>
      </c>
      <c r="B163" s="16">
        <f t="shared" si="102"/>
        <v>326</v>
      </c>
      <c r="C163" s="19">
        <f t="shared" si="103"/>
        <v>69.429822973858933</v>
      </c>
      <c r="D163" s="17">
        <f t="shared" si="104"/>
        <v>-11359.646362973859</v>
      </c>
      <c r="E163" s="17">
        <f t="shared" si="105"/>
        <v>16776.157047026139</v>
      </c>
      <c r="F163" s="17">
        <f t="shared" si="106"/>
        <v>10988.86253702614</v>
      </c>
      <c r="G163" s="17">
        <f t="shared" si="107"/>
        <v>-16309.386212973859</v>
      </c>
      <c r="H163" s="17">
        <f t="shared" si="135"/>
        <v>10988.86253702614</v>
      </c>
      <c r="I163" s="17">
        <f t="shared" si="108"/>
        <v>6237.4853623132176</v>
      </c>
      <c r="J163" s="20">
        <f>(Geraetedaten!$B$152+(Geraetedaten!$B$153*(Geraetedaten!$B$18+d_y_Sw)/1000))*10</f>
        <v>6051.0442000000003</v>
      </c>
      <c r="K163" s="20">
        <f>(Geraetedaten!$B$165+(Geraetedaten!$B$166*(Geraetedaten!$B$18+d_y_Sw)/1000))*10</f>
        <v>10816.164000000001</v>
      </c>
      <c r="L163" s="20">
        <f>(Geraetedaten!$B$158+(Geraetedaten!$B$159*(Geraetedaten!$B$18+d_y_Sw)/1000)-(Geraetedaten!$B$160*I163/1000))*10</f>
        <v>144.14179838157153</v>
      </c>
      <c r="M163" s="20">
        <f>(Geraetedaten!$B$171+(Geraetedaten!$B$172*(Geraetedaten!$B$18+d_y_Sw)/1000)-(Geraetedaten!$B$173*I163/1000))*10</f>
        <v>600.54858962940489</v>
      </c>
      <c r="N163" s="20">
        <f>IF((H163-J163)/(K163-J163)*(Geraetedaten!$B$174-Geraetedaten!$B$161)&lt;Geraetedaten!$B$174,(H163-J163)/(K163-J163)*(Geraetedaten!$B$174-Geraetedaten!$B$161),Geraetedaten!$B$174)</f>
        <v>400</v>
      </c>
      <c r="O163" s="20">
        <f>N163/Geraetedaten!$B$174*(M163-L163)+L163+C163</f>
        <v>669.97841260326379</v>
      </c>
      <c r="P163" s="20">
        <f t="shared" si="109"/>
        <v>195.89939398595351</v>
      </c>
      <c r="Q163" s="21">
        <f>(N163-Geraetedaten!$B$161)/(Geraetedaten!$B$174-Geraetedaten!$B$161)*(Geraetedaten!$B$175-Geraetedaten!$B$162)+Geraetedaten!$B$162</f>
        <v>41.1</v>
      </c>
      <c r="R163" s="21">
        <f t="shared" si="110"/>
        <v>41.1</v>
      </c>
      <c r="S163" s="21">
        <f t="shared" si="111"/>
        <v>34.073444232012214</v>
      </c>
      <c r="T163" s="88">
        <f t="shared" si="112"/>
        <v>-22.982828332647689</v>
      </c>
      <c r="U163" s="86">
        <f t="shared" si="113"/>
        <v>-11290.216539999999</v>
      </c>
      <c r="V163" s="85">
        <f t="shared" si="114"/>
        <v>-1346.4914747781525</v>
      </c>
      <c r="W163" s="85">
        <f t="shared" si="115"/>
        <v>-2540.8850760609575</v>
      </c>
      <c r="X163" s="90">
        <f t="shared" si="116"/>
        <v>1346.4914747781525</v>
      </c>
      <c r="Y163" s="86">
        <f t="shared" si="117"/>
        <v>16845.586869999999</v>
      </c>
      <c r="Z163" s="85">
        <f t="shared" si="118"/>
        <v>-818.62113479844345</v>
      </c>
      <c r="AA163" s="85">
        <f t="shared" si="119"/>
        <v>1613.9904851667366</v>
      </c>
      <c r="AB163" s="90">
        <f t="shared" si="120"/>
        <v>818.62113479844345</v>
      </c>
      <c r="AC163" s="86">
        <f t="shared" si="121"/>
        <v>11058.292359999999</v>
      </c>
      <c r="AD163" s="85">
        <f t="shared" si="122"/>
        <v>3384.56104615708</v>
      </c>
      <c r="AE163" s="85">
        <f t="shared" si="123"/>
        <v>6237.4853623132176</v>
      </c>
      <c r="AF163" s="90">
        <f t="shared" si="124"/>
        <v>3384.56104615708</v>
      </c>
      <c r="AG163" s="86">
        <f t="shared" si="125"/>
        <v>-16239.956389999999</v>
      </c>
      <c r="AH163" s="85">
        <f t="shared" si="126"/>
        <v>6139.2748628683721</v>
      </c>
      <c r="AI163" s="85">
        <f t="shared" si="127"/>
        <v>-11160.89328940256</v>
      </c>
      <c r="AJ163" s="90">
        <f t="shared" si="128"/>
        <v>6139.2748628683721</v>
      </c>
      <c r="AL163" s="95">
        <f t="shared" si="129"/>
        <v>0</v>
      </c>
      <c r="AM163" s="95">
        <f t="shared" si="130"/>
        <v>0</v>
      </c>
      <c r="AN163" s="95">
        <f t="shared" si="131"/>
        <v>0</v>
      </c>
      <c r="AO163" s="95">
        <f t="shared" si="132"/>
        <v>0</v>
      </c>
      <c r="AP163"/>
      <c r="AQ163" s="95">
        <f t="shared" si="133"/>
        <v>0</v>
      </c>
      <c r="AR163" s="95">
        <f t="shared" si="134"/>
        <v>0</v>
      </c>
      <c r="AS163" s="95">
        <f>Geraetedaten!$B$94*ABS(SIN(RADIANS($A163)))</f>
        <v>127.67178617347643</v>
      </c>
      <c r="AT163" s="95">
        <f>Geraetedaten!$B$94*ABS(COS(RADIANS($A163)))</f>
        <v>86.115707134494983</v>
      </c>
      <c r="AU163" s="95">
        <f>((h_Aw_Sw+Geraetedaten!$B$18)/1000)*(AQ163*AS163+AR163*AT163)/100</f>
        <v>0</v>
      </c>
    </row>
    <row r="164" spans="1:47" ht="13.5" x14ac:dyDescent="0.25">
      <c r="A164" s="16">
        <v>125</v>
      </c>
      <c r="B164" s="16">
        <f t="shared" si="102"/>
        <v>325</v>
      </c>
      <c r="C164" s="19">
        <f t="shared" si="103"/>
        <v>69.232357792856234</v>
      </c>
      <c r="D164" s="17">
        <f t="shared" si="104"/>
        <v>-11685.651887792856</v>
      </c>
      <c r="E164" s="17">
        <f t="shared" si="105"/>
        <v>16293.611812207144</v>
      </c>
      <c r="F164" s="17">
        <f t="shared" si="106"/>
        <v>11297.893142207144</v>
      </c>
      <c r="G164" s="17">
        <f t="shared" si="107"/>
        <v>-15892.344727792857</v>
      </c>
      <c r="H164" s="17">
        <f t="shared" si="135"/>
        <v>11297.893142207144</v>
      </c>
      <c r="I164" s="17">
        <f t="shared" si="108"/>
        <v>6411.6842494256216</v>
      </c>
      <c r="J164" s="20">
        <f>(Geraetedaten!$B$152+(Geraetedaten!$B$153*(Geraetedaten!$B$18+d_y_Sw)/1000))*10</f>
        <v>6051.0442000000003</v>
      </c>
      <c r="K164" s="20">
        <f>(Geraetedaten!$B$165+(Geraetedaten!$B$166*(Geraetedaten!$B$18+d_y_Sw)/1000))*10</f>
        <v>10816.164000000001</v>
      </c>
      <c r="L164" s="20">
        <f>(Geraetedaten!$B$158+(Geraetedaten!$B$159*(Geraetedaten!$B$18+d_y_Sw)/1000)-(Geraetedaten!$B$160*I164/1000))*10</f>
        <v>131.36779398961897</v>
      </c>
      <c r="M164" s="20">
        <f>(Geraetedaten!$B$171+(Geraetedaten!$B$172*(Geraetedaten!$B$18+d_y_Sw)/1000)-(Geraetedaten!$B$173*I164/1000))*10</f>
        <v>587.58122447275753</v>
      </c>
      <c r="N164" s="20">
        <f>IF((H164-J164)/(K164-J164)*(Geraetedaten!$B$174-Geraetedaten!$B$161)&lt;Geraetedaten!$B$174,(H164-J164)/(K164-J164)*(Geraetedaten!$B$174-Geraetedaten!$B$161),Geraetedaten!$B$174)</f>
        <v>400</v>
      </c>
      <c r="O164" s="20">
        <f>N164/Geraetedaten!$B$174*(M164-L164)+L164+C164</f>
        <v>656.81358226561372</v>
      </c>
      <c r="P164" s="20">
        <f t="shared" si="109"/>
        <v>193.01448568011543</v>
      </c>
      <c r="Q164" s="21">
        <f>(N164-Geraetedaten!$B$161)/(Geraetedaten!$B$174-Geraetedaten!$B$161)*(Geraetedaten!$B$175-Geraetedaten!$B$162)+Geraetedaten!$B$162</f>
        <v>41.1</v>
      </c>
      <c r="R164" s="21">
        <f t="shared" si="110"/>
        <v>41.1</v>
      </c>
      <c r="S164" s="21">
        <f t="shared" si="111"/>
        <v>33.667149020277563</v>
      </c>
      <c r="T164" s="88">
        <f t="shared" si="112"/>
        <v>-23.573991534027996</v>
      </c>
      <c r="U164" s="86">
        <f t="shared" si="113"/>
        <v>-11616.419529999999</v>
      </c>
      <c r="V164" s="85">
        <f t="shared" si="114"/>
        <v>-1346.4914747781525</v>
      </c>
      <c r="W164" s="85">
        <f t="shared" si="115"/>
        <v>-2614.29769138442</v>
      </c>
      <c r="X164" s="90">
        <f t="shared" si="116"/>
        <v>1346.4914747781525</v>
      </c>
      <c r="Y164" s="86">
        <f t="shared" si="117"/>
        <v>16362.84417</v>
      </c>
      <c r="Z164" s="85">
        <f t="shared" si="118"/>
        <v>-818.62113479844345</v>
      </c>
      <c r="AA164" s="85">
        <f t="shared" si="119"/>
        <v>1567.7384829613159</v>
      </c>
      <c r="AB164" s="90">
        <f t="shared" si="120"/>
        <v>818.62113479844345</v>
      </c>
      <c r="AC164" s="86">
        <f t="shared" si="121"/>
        <v>11367.1255</v>
      </c>
      <c r="AD164" s="85">
        <f t="shared" si="122"/>
        <v>3384.56104615708</v>
      </c>
      <c r="AE164" s="85">
        <f t="shared" si="123"/>
        <v>6411.6842494256216</v>
      </c>
      <c r="AF164" s="90">
        <f t="shared" si="124"/>
        <v>3384.56104615708</v>
      </c>
      <c r="AG164" s="86">
        <f t="shared" si="125"/>
        <v>-15823.112370000001</v>
      </c>
      <c r="AH164" s="85">
        <f t="shared" si="126"/>
        <v>6139.2748628683721</v>
      </c>
      <c r="AI164" s="85">
        <f t="shared" si="127"/>
        <v>-10874.417666378336</v>
      </c>
      <c r="AJ164" s="90">
        <f t="shared" si="128"/>
        <v>6139.2748628683721</v>
      </c>
      <c r="AL164" s="95">
        <f t="shared" si="129"/>
        <v>0</v>
      </c>
      <c r="AM164" s="95">
        <f t="shared" si="130"/>
        <v>0</v>
      </c>
      <c r="AN164" s="95">
        <f t="shared" si="131"/>
        <v>0</v>
      </c>
      <c r="AO164" s="95">
        <f t="shared" si="132"/>
        <v>0</v>
      </c>
      <c r="AP164"/>
      <c r="AQ164" s="95">
        <f t="shared" si="133"/>
        <v>0</v>
      </c>
      <c r="AR164" s="95">
        <f t="shared" si="134"/>
        <v>0</v>
      </c>
      <c r="AS164" s="95">
        <f>Geraetedaten!$B$94*ABS(SIN(RADIANS($A164)))</f>
        <v>126.14941482050472</v>
      </c>
      <c r="AT164" s="95">
        <f>Geraetedaten!$B$94*ABS(COS(RADIANS($A164)))</f>
        <v>88.330771198061115</v>
      </c>
      <c r="AU164" s="95">
        <f>((h_Aw_Sw+Geraetedaten!$B$18)/1000)*(AQ164*AS164+AR164*AT164)/100</f>
        <v>0</v>
      </c>
    </row>
    <row r="165" spans="1:47" ht="13.5" x14ac:dyDescent="0.25">
      <c r="A165" s="16">
        <v>126</v>
      </c>
      <c r="B165" s="16">
        <f t="shared" si="102"/>
        <v>324</v>
      </c>
      <c r="C165" s="19">
        <f t="shared" si="103"/>
        <v>69.013803765000915</v>
      </c>
      <c r="D165" s="17">
        <f t="shared" si="104"/>
        <v>-12034.800153765002</v>
      </c>
      <c r="E165" s="17">
        <f t="shared" si="105"/>
        <v>15842.696556234998</v>
      </c>
      <c r="F165" s="17">
        <f t="shared" si="106"/>
        <v>11628.355966234998</v>
      </c>
      <c r="G165" s="17">
        <f t="shared" si="107"/>
        <v>-15500.728583765002</v>
      </c>
      <c r="H165" s="17">
        <f t="shared" si="135"/>
        <v>11628.355966234998</v>
      </c>
      <c r="I165" s="17">
        <f t="shared" si="108"/>
        <v>6597.9601873373795</v>
      </c>
      <c r="J165" s="20">
        <f>(Geraetedaten!$B$152+(Geraetedaten!$B$153*(Geraetedaten!$B$18+d_y_Sw)/1000))*10</f>
        <v>6051.0442000000003</v>
      </c>
      <c r="K165" s="20">
        <f>(Geraetedaten!$B$165+(Geraetedaten!$B$166*(Geraetedaten!$B$18+d_y_Sw)/1000))*10</f>
        <v>10816.164000000001</v>
      </c>
      <c r="L165" s="20">
        <f>(Geraetedaten!$B$158+(Geraetedaten!$B$159*(Geraetedaten!$B$18+d_y_Sw)/1000)-(Geraetedaten!$B$160*I165/1000))*10</f>
        <v>117.70817946254979</v>
      </c>
      <c r="M165" s="20">
        <f>(Geraetedaten!$B$171+(Geraetedaten!$B$172*(Geraetedaten!$B$18+d_y_Sw)/1000)-(Geraetedaten!$B$173*I165/1000))*10</f>
        <v>573.71484365460628</v>
      </c>
      <c r="N165" s="20">
        <f>IF((H165-J165)/(K165-J165)*(Geraetedaten!$B$174-Geraetedaten!$B$161)&lt;Geraetedaten!$B$174,(H165-J165)/(K165-J165)*(Geraetedaten!$B$174-Geraetedaten!$B$161),Geraetedaten!$B$174)</f>
        <v>400</v>
      </c>
      <c r="O165" s="20">
        <f>N165/Geraetedaten!$B$174*(M165-L165)+L165+C165</f>
        <v>642.72864741960723</v>
      </c>
      <c r="P165" s="20">
        <f t="shared" si="109"/>
        <v>189.8951523384878</v>
      </c>
      <c r="Q165" s="21">
        <f>(N165-Geraetedaten!$B$161)/(Geraetedaten!$B$174-Geraetedaten!$B$161)*(Geraetedaten!$B$175-Geraetedaten!$B$162)+Geraetedaten!$B$162</f>
        <v>41.1</v>
      </c>
      <c r="R165" s="21">
        <f t="shared" si="110"/>
        <v>41.1</v>
      </c>
      <c r="S165" s="21">
        <f t="shared" si="111"/>
        <v>33.250598468810338</v>
      </c>
      <c r="T165" s="88">
        <f t="shared" si="112"/>
        <v>-24.15797386922064</v>
      </c>
      <c r="U165" s="86">
        <f t="shared" si="113"/>
        <v>-11965.78635</v>
      </c>
      <c r="V165" s="85">
        <f t="shared" si="114"/>
        <v>-1346.4914747781525</v>
      </c>
      <c r="W165" s="85">
        <f t="shared" si="115"/>
        <v>-2692.9233692187154</v>
      </c>
      <c r="X165" s="90">
        <f t="shared" si="116"/>
        <v>1346.4914747781525</v>
      </c>
      <c r="Y165" s="86">
        <f t="shared" si="117"/>
        <v>15911.710359999999</v>
      </c>
      <c r="Z165" s="85">
        <f t="shared" si="118"/>
        <v>-818.62113479844345</v>
      </c>
      <c r="AA165" s="85">
        <f t="shared" si="119"/>
        <v>1524.5149561879007</v>
      </c>
      <c r="AB165" s="90">
        <f t="shared" si="120"/>
        <v>818.62113479844345</v>
      </c>
      <c r="AC165" s="86">
        <f t="shared" si="121"/>
        <v>11697.369769999999</v>
      </c>
      <c r="AD165" s="85">
        <f t="shared" si="122"/>
        <v>3384.56104615708</v>
      </c>
      <c r="AE165" s="85">
        <f t="shared" si="123"/>
        <v>6597.9601873373795</v>
      </c>
      <c r="AF165" s="90">
        <f t="shared" si="124"/>
        <v>3384.56104615708</v>
      </c>
      <c r="AG165" s="86">
        <f t="shared" si="125"/>
        <v>-15431.71478</v>
      </c>
      <c r="AH165" s="85">
        <f t="shared" si="126"/>
        <v>6139.2748628683721</v>
      </c>
      <c r="AI165" s="85">
        <f t="shared" si="127"/>
        <v>-10605.430080937929</v>
      </c>
      <c r="AJ165" s="90">
        <f t="shared" si="128"/>
        <v>6139.2748628683721</v>
      </c>
      <c r="AL165" s="95">
        <f t="shared" si="129"/>
        <v>0</v>
      </c>
      <c r="AM165" s="95">
        <f t="shared" si="130"/>
        <v>0</v>
      </c>
      <c r="AN165" s="95">
        <f t="shared" si="131"/>
        <v>0</v>
      </c>
      <c r="AO165" s="95">
        <f t="shared" si="132"/>
        <v>0</v>
      </c>
      <c r="AP165"/>
      <c r="AQ165" s="95">
        <f t="shared" si="133"/>
        <v>0</v>
      </c>
      <c r="AR165" s="95">
        <f t="shared" si="134"/>
        <v>0</v>
      </c>
      <c r="AS165" s="95">
        <f>Geraetedaten!$B$94*ABS(SIN(RADIANS($A165)))</f>
        <v>124.58861713374191</v>
      </c>
      <c r="AT165" s="95">
        <f>Geraetedaten!$B$94*ABS(COS(RADIANS($A165)))</f>
        <v>90.518928853040848</v>
      </c>
      <c r="AU165" s="95">
        <f>((h_Aw_Sw+Geraetedaten!$B$18)/1000)*(AQ165*AS165+AR165*AT165)/100</f>
        <v>0</v>
      </c>
    </row>
    <row r="166" spans="1:47" ht="13.5" x14ac:dyDescent="0.25">
      <c r="A166" s="16">
        <v>127</v>
      </c>
      <c r="B166" s="16">
        <f t="shared" si="102"/>
        <v>323</v>
      </c>
      <c r="C166" s="19">
        <f t="shared" si="103"/>
        <v>68.774227463967051</v>
      </c>
      <c r="D166" s="17">
        <f t="shared" si="104"/>
        <v>-12409.469257463968</v>
      </c>
      <c r="E166" s="17">
        <f t="shared" si="105"/>
        <v>15420.602582536032</v>
      </c>
      <c r="F166" s="17">
        <f t="shared" si="106"/>
        <v>11982.383612536032</v>
      </c>
      <c r="G166" s="17">
        <f t="shared" si="107"/>
        <v>-15132.464887463968</v>
      </c>
      <c r="H166" s="17">
        <f t="shared" si="135"/>
        <v>11982.383612536032</v>
      </c>
      <c r="I166" s="17">
        <f t="shared" si="108"/>
        <v>6797.516124005977</v>
      </c>
      <c r="J166" s="20">
        <f>(Geraetedaten!$B$152+(Geraetedaten!$B$153*(Geraetedaten!$B$18+d_y_Sw)/1000))*10</f>
        <v>6051.0442000000003</v>
      </c>
      <c r="K166" s="20">
        <f>(Geraetedaten!$B$165+(Geraetedaten!$B$166*(Geraetedaten!$B$18+d_y_Sw)/1000))*10</f>
        <v>10816.164000000001</v>
      </c>
      <c r="L166" s="20">
        <f>(Geraetedaten!$B$158+(Geraetedaten!$B$159*(Geraetedaten!$B$18+d_y_Sw)/1000)-(Geraetedaten!$B$160*I166/1000))*10</f>
        <v>103.07474262664151</v>
      </c>
      <c r="M166" s="20">
        <f>(Geraetedaten!$B$171+(Geraetedaten!$B$172*(Geraetedaten!$B$18+d_y_Sw)/1000)-(Geraetedaten!$B$173*I166/1000))*10</f>
        <v>558.85989972899586</v>
      </c>
      <c r="N166" s="20">
        <f>IF((H166-J166)/(K166-J166)*(Geraetedaten!$B$174-Geraetedaten!$B$161)&lt;Geraetedaten!$B$174,(H166-J166)/(K166-J166)*(Geraetedaten!$B$174-Geraetedaten!$B$161),Geraetedaten!$B$174)</f>
        <v>400</v>
      </c>
      <c r="O166" s="20">
        <f>N166/Geraetedaten!$B$174*(M166-L166)+L166+C166</f>
        <v>627.63412719296286</v>
      </c>
      <c r="P166" s="20">
        <f t="shared" si="109"/>
        <v>186.51423091196625</v>
      </c>
      <c r="Q166" s="21">
        <f>(N166-Geraetedaten!$B$161)/(Geraetedaten!$B$174-Geraetedaten!$B$161)*(Geraetedaten!$B$175-Geraetedaten!$B$162)+Geraetedaten!$B$162</f>
        <v>41.1</v>
      </c>
      <c r="R166" s="21">
        <f t="shared" si="110"/>
        <v>41.1</v>
      </c>
      <c r="S166" s="21">
        <f t="shared" si="111"/>
        <v>32.823919462943735</v>
      </c>
      <c r="T166" s="88">
        <f t="shared" si="112"/>
        <v>-24.734597451549188</v>
      </c>
      <c r="U166" s="86">
        <f t="shared" si="113"/>
        <v>-12340.695030000001</v>
      </c>
      <c r="V166" s="85">
        <f t="shared" si="114"/>
        <v>-1346.4914747781525</v>
      </c>
      <c r="W166" s="85">
        <f t="shared" si="115"/>
        <v>-2777.2972938276516</v>
      </c>
      <c r="X166" s="90">
        <f t="shared" si="116"/>
        <v>1346.4914747781525</v>
      </c>
      <c r="Y166" s="86">
        <f t="shared" si="117"/>
        <v>15489.37681</v>
      </c>
      <c r="Z166" s="85">
        <f t="shared" si="118"/>
        <v>-818.62113479844345</v>
      </c>
      <c r="AA166" s="85">
        <f t="shared" si="119"/>
        <v>1484.0508070345386</v>
      </c>
      <c r="AB166" s="90">
        <f t="shared" si="120"/>
        <v>818.62113479844345</v>
      </c>
      <c r="AC166" s="86">
        <f t="shared" si="121"/>
        <v>12051.15784</v>
      </c>
      <c r="AD166" s="85">
        <f t="shared" si="122"/>
        <v>3384.56104615708</v>
      </c>
      <c r="AE166" s="85">
        <f t="shared" si="123"/>
        <v>6797.516124005977</v>
      </c>
      <c r="AF166" s="90">
        <f t="shared" si="124"/>
        <v>3384.56104615708</v>
      </c>
      <c r="AG166" s="86">
        <f t="shared" si="125"/>
        <v>-15063.69066</v>
      </c>
      <c r="AH166" s="85">
        <f t="shared" si="126"/>
        <v>6139.2748628683721</v>
      </c>
      <c r="AI166" s="85">
        <f t="shared" si="127"/>
        <v>-10352.50588249572</v>
      </c>
      <c r="AJ166" s="90">
        <f t="shared" si="128"/>
        <v>6139.2748628683721</v>
      </c>
      <c r="AL166" s="95">
        <f t="shared" si="129"/>
        <v>0</v>
      </c>
      <c r="AM166" s="95">
        <f t="shared" si="130"/>
        <v>0</v>
      </c>
      <c r="AN166" s="95">
        <f t="shared" si="131"/>
        <v>0</v>
      </c>
      <c r="AO166" s="95">
        <f t="shared" si="132"/>
        <v>0</v>
      </c>
      <c r="AP166"/>
      <c r="AQ166" s="95">
        <f t="shared" si="133"/>
        <v>0</v>
      </c>
      <c r="AR166" s="95">
        <f t="shared" si="134"/>
        <v>0</v>
      </c>
      <c r="AS166" s="95">
        <f>Geraetedaten!$B$94*ABS(SIN(RADIANS($A166)))</f>
        <v>122.98986854728308</v>
      </c>
      <c r="AT166" s="95">
        <f>Geraetedaten!$B$94*ABS(COS(RADIANS($A166)))</f>
        <v>92.679513565415448</v>
      </c>
      <c r="AU166" s="95">
        <f>((h_Aw_Sw+Geraetedaten!$B$18)/1000)*(AQ166*AS166+AR166*AT166)/100</f>
        <v>0</v>
      </c>
    </row>
    <row r="167" spans="1:47" ht="13.5" x14ac:dyDescent="0.25">
      <c r="A167" s="16">
        <v>128</v>
      </c>
      <c r="B167" s="16">
        <f t="shared" ref="B167:B198" si="136">360-A167+90</f>
        <v>322</v>
      </c>
      <c r="C167" s="19">
        <f t="shared" ref="C167:C198" si="137">$AE$16*ABS(COS(RADIANS(A167)))+$AE$17*ABS(SIN(RADIANS(A167)))+AU167</f>
        <v>68.513701867016763</v>
      </c>
      <c r="D167" s="17">
        <f t="shared" ref="D167:D198" si="138">IF(ISNUMBER(U167),U167-C167,"unendlich")</f>
        <v>-12812.377841867017</v>
      </c>
      <c r="E167" s="17">
        <f t="shared" ref="E167:E198" si="139">IF(ISNUMBER(Y167),Y167-C167,"unendlich")</f>
        <v>15024.847998132982</v>
      </c>
      <c r="F167" s="17">
        <f t="shared" ref="F167:F198" si="140">IF(ISNUMBER(AC167),AC167-C167,"unendlich")</f>
        <v>12362.405038132982</v>
      </c>
      <c r="G167" s="17">
        <f t="shared" ref="G167:G198" si="141">IF(ISNUMBER(AG167),AG167-C167,"unendlich")</f>
        <v>-14785.703621867018</v>
      </c>
      <c r="H167" s="17">
        <f t="shared" si="135"/>
        <v>12362.405038132982</v>
      </c>
      <c r="I167" s="17">
        <f t="shared" ref="I167:I198" si="142">IF(H167+C167=U167,W167,IF(H167+C167=Y167,AA167,IF(H167+C167=AC167,AE167,IF(H167+C167=AG167,AI167,"???"))))</f>
        <v>7011.7221698919602</v>
      </c>
      <c r="J167" s="20">
        <f>(Geraetedaten!$B$152+(Geraetedaten!$B$153*(Geraetedaten!$B$18+d_y_Sw)/1000))*10</f>
        <v>6051.0442000000003</v>
      </c>
      <c r="K167" s="20">
        <f>(Geraetedaten!$B$165+(Geraetedaten!$B$166*(Geraetedaten!$B$18+d_y_Sw)/1000))*10</f>
        <v>10816.164000000001</v>
      </c>
      <c r="L167" s="20">
        <f>(Geraetedaten!$B$158+(Geraetedaten!$B$159*(Geraetedaten!$B$18+d_y_Sw)/1000)-(Geraetedaten!$B$160*I167/1000))*10</f>
        <v>87.367013281822423</v>
      </c>
      <c r="M167" s="20">
        <f>(Geraetedaten!$B$171+(Geraetedaten!$B$172*(Geraetedaten!$B$18+d_y_Sw)/1000)-(Geraetedaten!$B$173*I167/1000))*10</f>
        <v>542.91440167324322</v>
      </c>
      <c r="N167" s="20">
        <f>IF((H167-J167)/(K167-J167)*(Geraetedaten!$B$174-Geraetedaten!$B$161)&lt;Geraetedaten!$B$174,(H167-J167)/(K167-J167)*(Geraetedaten!$B$174-Geraetedaten!$B$161),Geraetedaten!$B$174)</f>
        <v>400</v>
      </c>
      <c r="O167" s="20">
        <f>N167/Geraetedaten!$B$174*(M167-L167)+L167+C167</f>
        <v>611.42810354025994</v>
      </c>
      <c r="P167" s="20">
        <f t="shared" ref="P167:P198" si="143">O167*100/9.81/(Q167-(I167/1000))</f>
        <v>182.84004876097617</v>
      </c>
      <c r="Q167" s="21">
        <f>(N167-Geraetedaten!$B$161)/(Geraetedaten!$B$174-Geraetedaten!$B$161)*(Geraetedaten!$B$175-Geraetedaten!$B$162)+Geraetedaten!$B$162</f>
        <v>41.1</v>
      </c>
      <c r="R167" s="21">
        <f t="shared" ref="R167:R198" si="144">SQRT((r_K_D/1000)^2+Q167^2-(2*(r_K_D/1000)*Q167*COS(RADIANS(2*A167))))</f>
        <v>41.1</v>
      </c>
      <c r="S167" s="21">
        <f t="shared" ref="S167:S198" si="145">R167*SIN(A167*Const_2)</f>
        <v>32.387241973236279</v>
      </c>
      <c r="T167" s="88">
        <f t="shared" ref="T167:T198" si="146">R167*COS(A167*Const_2)</f>
        <v>-25.303686635884556</v>
      </c>
      <c r="U167" s="86">
        <f t="shared" ref="U167:U198" si="147">ROUND((F_S*r_Su_L-F_G*V167+F_SSw*X167)/(SIN(RADIANS(270+g_L-A167)))/1000,5)</f>
        <v>-12743.86414</v>
      </c>
      <c r="V167" s="85">
        <f t="shared" ref="V167:V198" si="148">(SIN(RADIANS(g_L)))*(((VL_Z-HL_Z)/(VL_X-HL_X))*(-HL_X+AM167)+HL_Z-AL167)</f>
        <v>-1346.4914747781525</v>
      </c>
      <c r="W167" s="85">
        <f t="shared" ref="W167:W198" si="149">V167/(SIN(RADIANS(180-g_L-(90-$A167))))</f>
        <v>-2868.0312808402773</v>
      </c>
      <c r="X167" s="90">
        <f t="shared" ref="X167:X198" si="150">SIN(RADIANS(g_L))*(((VL_Z-HL_Z)/(VL_X-HL_X))*(-AO167+HL_X)-HL_Z+AN167)</f>
        <v>1346.4914747781525</v>
      </c>
      <c r="Y167" s="86">
        <f t="shared" ref="Y167:Y198" si="151">ROUND((F_S*r_Su_H-F_G*Z167+F_SSw*AB167)/(SIN(RADIANS(180+g_H-A167)))/1000,5)</f>
        <v>15093.361699999999</v>
      </c>
      <c r="Z167" s="85">
        <f t="shared" ref="Z167:Z198" si="152">(SIN(RADIANS(g_H)))*(((HL_X-HR_X)/(HL_Z-HR_Z))*(-HR_Z+AL167)+HR_X-AM167)</f>
        <v>-818.62113479844345</v>
      </c>
      <c r="AA167" s="85">
        <f t="shared" ref="AA167:AA198" si="153">Z167/(SIN(RADIANS(g_H-$A167)))</f>
        <v>1446.1082515540043</v>
      </c>
      <c r="AB167" s="90">
        <f t="shared" ref="AB167:AB198" si="154">SIN(RADIANS(g_H))*(((HL_X-HR_X)/(HL_Z-HR_Z))*(-AN167+HR_Z)-HR_X+AO167)</f>
        <v>818.62113479844345</v>
      </c>
      <c r="AC167" s="86">
        <f t="shared" ref="AC167:AC198" si="155">ROUND((F_S*r_Su_R+F_G*AD167+F_SSw*AF167)/(SIN(RADIANS(90+g_R-A167)))/1000,5)</f>
        <v>12430.918739999999</v>
      </c>
      <c r="AD167" s="85">
        <f t="shared" ref="AD167:AD198" si="156">(SIN(RADIANS(g_R)))*(((HR_Z-VR_Z)/(HR_X-VR_X))*(-VR_X+AM167)+VR_Z-AL167)</f>
        <v>3384.56104615708</v>
      </c>
      <c r="AE167" s="85">
        <f t="shared" ref="AE167:AE198" si="157">AD167/(SIN(RADIANS(180-g_R-(90-$A167))))</f>
        <v>7011.7221698919602</v>
      </c>
      <c r="AF167" s="90">
        <f t="shared" ref="AF167:AF198" si="158">(SIN(RADIANS(g_R)))*(((HR_Z-VR_Z)/(HR_X-VR_X))*(-VR_X+AO167)+VR_Z-AN167)</f>
        <v>3384.56104615708</v>
      </c>
      <c r="AG167" s="86">
        <f t="shared" ref="AG167:AG198" si="159">ROUND((F_S*r_Su_V+F_G*AH167+F_SSw*AJ167)/(SIN(RADIANS(g_V-A167)))/1000,5)</f>
        <v>-14717.189920000001</v>
      </c>
      <c r="AH167" s="85">
        <f t="shared" ref="AH167:AH198" si="160">(SIN(RADIANS(g_V)))*(((VR_X-VL_X)/(VR_Z-VL_Z))*(AL167-VL_Z)+VL_X-AM167)</f>
        <v>6139.2748628683721</v>
      </c>
      <c r="AI167" s="85">
        <f t="shared" ref="AI167:AI198" si="161">AH167/(SIN(RADIANS(g_V-$A167)))</f>
        <v>-10114.373608265634</v>
      </c>
      <c r="AJ167" s="90">
        <f t="shared" ref="AJ167:AJ198" si="162">(SIN(RADIANS(g_V)))*(((VR_X-VL_X)/(VR_Z-VL_Z))*(-VL_Z+AN167)+VL_X-AO167)</f>
        <v>6139.2748628683721</v>
      </c>
      <c r="AL167" s="95">
        <f t="shared" ref="AL167:AL198" si="163">SIN(RADIANS(A167))*r_K_D</f>
        <v>0</v>
      </c>
      <c r="AM167" s="95">
        <f t="shared" ref="AM167:AM198" si="164">COS(RADIANS(A167-180))*r_K_D</f>
        <v>0</v>
      </c>
      <c r="AN167" s="95">
        <f t="shared" ref="AN167:AN198" si="165">SIN(RADIANS(A167))*r_K_SSw</f>
        <v>0</v>
      </c>
      <c r="AO167" s="95">
        <f t="shared" ref="AO167:AO198" si="166">-COS(RADIANS(A167))*r_K_SSw</f>
        <v>0</v>
      </c>
      <c r="AP167"/>
      <c r="AQ167" s="95">
        <f t="shared" ref="AQ167:AQ198" si="167">MAX(d_y_Sw*(r_K_D*ABS(COS(RADIANS($A167)))+_r1_Sw+_r2_Sw), 2*_r1_Sw*d_y_Sw)/1000000</f>
        <v>0</v>
      </c>
      <c r="AR167" s="95">
        <f t="shared" ref="AR167:AR198" si="168">MAX(d_y_Sw*(r_K_D*ABS(SIN(RADIANS($A167)))+_r1_Sw+_r2_Sw), 2*_r1_Sw*d_y_Sw)/1000000</f>
        <v>0</v>
      </c>
      <c r="AS167" s="95">
        <f>Geraetedaten!$B$94*ABS(SIN(RADIANS($A167)))</f>
        <v>121.3536560554352</v>
      </c>
      <c r="AT167" s="95">
        <f>Geraetedaten!$B$94*ABS(COS(RADIANS($A167)))</f>
        <v>94.811867200151383</v>
      </c>
      <c r="AU167" s="95">
        <f>((h_Aw_Sw+Geraetedaten!$B$18)/1000)*(AQ167*AS167+AR167*AT167)/100</f>
        <v>0</v>
      </c>
    </row>
    <row r="168" spans="1:47" ht="13.5" x14ac:dyDescent="0.25">
      <c r="A168" s="16">
        <v>129</v>
      </c>
      <c r="B168" s="16">
        <f t="shared" si="136"/>
        <v>321</v>
      </c>
      <c r="C168" s="19">
        <f t="shared" si="137"/>
        <v>68.232306332770648</v>
      </c>
      <c r="D168" s="17">
        <f t="shared" si="138"/>
        <v>-13246.648066332771</v>
      </c>
      <c r="E168" s="17">
        <f t="shared" si="139"/>
        <v>14653.231723667228</v>
      </c>
      <c r="F168" s="17">
        <f t="shared" si="140"/>
        <v>12771.198733667228</v>
      </c>
      <c r="G168" s="17">
        <f t="shared" si="141"/>
        <v>-14458.788686332771</v>
      </c>
      <c r="H168" s="17">
        <f t="shared" ref="H168:H199" si="169">SMALL(D168:G168,COUNTIF(D168:G168,"&lt;0")+1)</f>
        <v>12771.198733667228</v>
      </c>
      <c r="I168" s="17">
        <f t="shared" si="142"/>
        <v>7242.1455848204869</v>
      </c>
      <c r="J168" s="20">
        <f>(Geraetedaten!$B$152+(Geraetedaten!$B$153*(Geraetedaten!$B$18+d_y_Sw)/1000))*10</f>
        <v>6051.0442000000003</v>
      </c>
      <c r="K168" s="20">
        <f>(Geraetedaten!$B$165+(Geraetedaten!$B$166*(Geraetedaten!$B$18+d_y_Sw)/1000))*10</f>
        <v>10816.164000000001</v>
      </c>
      <c r="L168" s="20">
        <f>(Geraetedaten!$B$158+(Geraetedaten!$B$159*(Geraetedaten!$B$18+d_y_Sw)/1000)-(Geraetedaten!$B$160*I168/1000))*10</f>
        <v>70.470064265113521</v>
      </c>
      <c r="M168" s="20">
        <f>(Geraetedaten!$B$171+(Geraetedaten!$B$172*(Geraetedaten!$B$18+d_y_Sw)/1000)-(Geraetedaten!$B$173*I168/1000))*10</f>
        <v>525.7616826659638</v>
      </c>
      <c r="N168" s="20">
        <f>IF((H168-J168)/(K168-J168)*(Geraetedaten!$B$174-Geraetedaten!$B$161)&lt;Geraetedaten!$B$174,(H168-J168)/(K168-J168)*(Geraetedaten!$B$174-Geraetedaten!$B$161),Geraetedaten!$B$174)</f>
        <v>400</v>
      </c>
      <c r="O168" s="20">
        <f>N168/Geraetedaten!$B$174*(M168-L168)+L168+C168</f>
        <v>593.99398899873449</v>
      </c>
      <c r="P168" s="20">
        <f t="shared" si="143"/>
        <v>178.83544902426266</v>
      </c>
      <c r="Q168" s="21">
        <f>(N168-Geraetedaten!$B$161)/(Geraetedaten!$B$174-Geraetedaten!$B$161)*(Geraetedaten!$B$175-Geraetedaten!$B$162)+Geraetedaten!$B$162</f>
        <v>41.1</v>
      </c>
      <c r="R168" s="21">
        <f t="shared" si="144"/>
        <v>41.1</v>
      </c>
      <c r="S168" s="21">
        <f t="shared" si="145"/>
        <v>31.94069901588151</v>
      </c>
      <c r="T168" s="88">
        <f t="shared" si="146"/>
        <v>-25.865068072148315</v>
      </c>
      <c r="U168" s="86">
        <f t="shared" si="147"/>
        <v>-13178.41576</v>
      </c>
      <c r="V168" s="85">
        <f t="shared" si="148"/>
        <v>-1346.4914747781525</v>
      </c>
      <c r="W168" s="85">
        <f t="shared" si="149"/>
        <v>-2965.8279633316229</v>
      </c>
      <c r="X168" s="90">
        <f t="shared" si="150"/>
        <v>1346.4914747781525</v>
      </c>
      <c r="Y168" s="86">
        <f t="shared" si="151"/>
        <v>14721.464029999999</v>
      </c>
      <c r="Z168" s="85">
        <f t="shared" si="152"/>
        <v>-818.62113479844345</v>
      </c>
      <c r="AA168" s="85">
        <f t="shared" si="153"/>
        <v>1410.4764089836497</v>
      </c>
      <c r="AB168" s="90">
        <f t="shared" si="154"/>
        <v>818.62113479844345</v>
      </c>
      <c r="AC168" s="86">
        <f t="shared" si="155"/>
        <v>12839.431039999999</v>
      </c>
      <c r="AD168" s="85">
        <f t="shared" si="156"/>
        <v>3384.56104615708</v>
      </c>
      <c r="AE168" s="85">
        <f t="shared" si="157"/>
        <v>7242.1455848204869</v>
      </c>
      <c r="AF168" s="90">
        <f t="shared" si="158"/>
        <v>3384.56104615708</v>
      </c>
      <c r="AG168" s="86">
        <f t="shared" si="159"/>
        <v>-14390.55638</v>
      </c>
      <c r="AH168" s="85">
        <f t="shared" si="160"/>
        <v>6139.2748628683721</v>
      </c>
      <c r="AI168" s="85">
        <f t="shared" si="161"/>
        <v>-9889.8950422099442</v>
      </c>
      <c r="AJ168" s="90">
        <f t="shared" si="162"/>
        <v>6139.2748628683721</v>
      </c>
      <c r="AL168" s="95">
        <f t="shared" si="163"/>
        <v>0</v>
      </c>
      <c r="AM168" s="95">
        <f t="shared" si="164"/>
        <v>0</v>
      </c>
      <c r="AN168" s="95">
        <f t="shared" si="165"/>
        <v>0</v>
      </c>
      <c r="AO168" s="95">
        <f t="shared" si="166"/>
        <v>0</v>
      </c>
      <c r="AP168"/>
      <c r="AQ168" s="95">
        <f t="shared" si="167"/>
        <v>0</v>
      </c>
      <c r="AR168" s="95">
        <f t="shared" si="168"/>
        <v>0</v>
      </c>
      <c r="AS168" s="95">
        <f>Geraetedaten!$B$94*ABS(SIN(RADIANS($A168)))</f>
        <v>119.68047806437353</v>
      </c>
      <c r="AT168" s="95">
        <f>Geraetedaten!$B$94*ABS(COS(RADIANS($A168)))</f>
        <v>96.915340221674938</v>
      </c>
      <c r="AU168" s="95">
        <f>((h_Aw_Sw+Geraetedaten!$B$18)/1000)*(AQ168*AS168+AR168*AT168)/100</f>
        <v>0</v>
      </c>
    </row>
    <row r="169" spans="1:47" ht="13.5" x14ac:dyDescent="0.25">
      <c r="A169" s="16">
        <v>130</v>
      </c>
      <c r="B169" s="16">
        <f t="shared" si="136"/>
        <v>320</v>
      </c>
      <c r="C169" s="19">
        <f t="shared" si="137"/>
        <v>67.930126577034372</v>
      </c>
      <c r="D169" s="17">
        <f t="shared" si="138"/>
        <v>-13715.883226577034</v>
      </c>
      <c r="E169" s="17">
        <f t="shared" si="139"/>
        <v>14303.794993422965</v>
      </c>
      <c r="F169" s="17">
        <f t="shared" si="140"/>
        <v>13211.957723422966</v>
      </c>
      <c r="G169" s="17">
        <f t="shared" si="141"/>
        <v>-14150.233256577034</v>
      </c>
      <c r="H169" s="17">
        <f t="shared" si="169"/>
        <v>13211.957723422966</v>
      </c>
      <c r="I169" s="17">
        <f t="shared" si="142"/>
        <v>7490.5874634356223</v>
      </c>
      <c r="J169" s="20">
        <f>(Geraetedaten!$B$152+(Geraetedaten!$B$153*(Geraetedaten!$B$18+d_y_Sw)/1000))*10</f>
        <v>6051.0442000000003</v>
      </c>
      <c r="K169" s="20">
        <f>(Geraetedaten!$B$165+(Geraetedaten!$B$166*(Geraetedaten!$B$18+d_y_Sw)/1000))*10</f>
        <v>10816.164000000001</v>
      </c>
      <c r="L169" s="20">
        <f>(Geraetedaten!$B$158+(Geraetedaten!$B$159*(Geraetedaten!$B$18+d_y_Sw)/1000)-(Geraetedaten!$B$160*I169/1000))*10</f>
        <v>52.251821306265711</v>
      </c>
      <c r="M169" s="20">
        <f>(Geraetedaten!$B$171+(Geraetedaten!$B$172*(Geraetedaten!$B$18+d_y_Sw)/1000)-(Geraetedaten!$B$173*I169/1000))*10</f>
        <v>507.26766922185305</v>
      </c>
      <c r="N169" s="20">
        <f>IF((H169-J169)/(K169-J169)*(Geraetedaten!$B$174-Geraetedaten!$B$161)&lt;Geraetedaten!$B$174,(H169-J169)/(K169-J169)*(Geraetedaten!$B$174-Geraetedaten!$B$161),Geraetedaten!$B$174)</f>
        <v>400</v>
      </c>
      <c r="O169" s="20">
        <f>N169/Geraetedaten!$B$174*(M169-L169)+L169+C169</f>
        <v>575.19779579888746</v>
      </c>
      <c r="P169" s="20">
        <f t="shared" si="143"/>
        <v>174.45655183033176</v>
      </c>
      <c r="Q169" s="21">
        <f>(N169-Geraetedaten!$B$161)/(Geraetedaten!$B$174-Geraetedaten!$B$161)*(Geraetedaten!$B$175-Geraetedaten!$B$162)+Geraetedaten!$B$162</f>
        <v>41.1</v>
      </c>
      <c r="R169" s="21">
        <f t="shared" si="144"/>
        <v>41.1</v>
      </c>
      <c r="S169" s="21">
        <f t="shared" si="145"/>
        <v>31.484426612189999</v>
      </c>
      <c r="T169" s="88">
        <f t="shared" si="146"/>
        <v>-26.418570758116768</v>
      </c>
      <c r="U169" s="86">
        <f t="shared" si="147"/>
        <v>-13647.953100000001</v>
      </c>
      <c r="V169" s="85">
        <f t="shared" si="148"/>
        <v>-1346.4914747781525</v>
      </c>
      <c r="W169" s="85">
        <f t="shared" si="149"/>
        <v>-3071.4982517570797</v>
      </c>
      <c r="X169" s="90">
        <f t="shared" si="150"/>
        <v>1346.4914747781525</v>
      </c>
      <c r="Y169" s="86">
        <f t="shared" si="151"/>
        <v>14371.725119999999</v>
      </c>
      <c r="Z169" s="85">
        <f t="shared" si="152"/>
        <v>-818.62113479844345</v>
      </c>
      <c r="AA169" s="85">
        <f t="shared" si="153"/>
        <v>1376.9676166737668</v>
      </c>
      <c r="AB169" s="90">
        <f t="shared" si="154"/>
        <v>818.62113479844345</v>
      </c>
      <c r="AC169" s="86">
        <f t="shared" si="155"/>
        <v>13279.887849999999</v>
      </c>
      <c r="AD169" s="85">
        <f t="shared" si="156"/>
        <v>3384.56104615708</v>
      </c>
      <c r="AE169" s="85">
        <f t="shared" si="157"/>
        <v>7490.5874634356223</v>
      </c>
      <c r="AF169" s="90">
        <f t="shared" si="158"/>
        <v>3384.56104615708</v>
      </c>
      <c r="AG169" s="86">
        <f t="shared" si="159"/>
        <v>-14082.30313</v>
      </c>
      <c r="AH169" s="85">
        <f t="shared" si="160"/>
        <v>6139.2748628683721</v>
      </c>
      <c r="AI169" s="85">
        <f t="shared" si="161"/>
        <v>-9678.0483138329892</v>
      </c>
      <c r="AJ169" s="90">
        <f t="shared" si="162"/>
        <v>6139.2748628683721</v>
      </c>
      <c r="AL169" s="95">
        <f t="shared" si="163"/>
        <v>0</v>
      </c>
      <c r="AM169" s="95">
        <f t="shared" si="164"/>
        <v>0</v>
      </c>
      <c r="AN169" s="95">
        <f t="shared" si="165"/>
        <v>0</v>
      </c>
      <c r="AO169" s="95">
        <f t="shared" si="166"/>
        <v>0</v>
      </c>
      <c r="AP169"/>
      <c r="AQ169" s="95">
        <f t="shared" si="167"/>
        <v>0</v>
      </c>
      <c r="AR169" s="95">
        <f t="shared" si="168"/>
        <v>0</v>
      </c>
      <c r="AS169" s="95">
        <f>Geraetedaten!$B$94*ABS(SIN(RADIANS($A169)))</f>
        <v>117.97084424032262</v>
      </c>
      <c r="AT169" s="95">
        <f>Geraetedaten!$B$94*ABS(COS(RADIANS($A169)))</f>
        <v>98.989291891727063</v>
      </c>
      <c r="AU169" s="95">
        <f>((h_Aw_Sw+Geraetedaten!$B$18)/1000)*(AQ169*AS169+AR169*AT169)/100</f>
        <v>0</v>
      </c>
    </row>
    <row r="170" spans="1:47" ht="13.5" x14ac:dyDescent="0.25">
      <c r="A170" s="16">
        <v>131</v>
      </c>
      <c r="B170" s="16">
        <f t="shared" si="136"/>
        <v>319</v>
      </c>
      <c r="C170" s="19">
        <f t="shared" si="137"/>
        <v>67.60725464668883</v>
      </c>
      <c r="D170" s="17">
        <f t="shared" si="138"/>
        <v>-14224.26397464669</v>
      </c>
      <c r="E170" s="17">
        <f t="shared" si="139"/>
        <v>13974.78906535331</v>
      </c>
      <c r="F170" s="17">
        <f t="shared" si="140"/>
        <v>13688.36973535331</v>
      </c>
      <c r="G170" s="17">
        <f t="shared" si="141"/>
        <v>-13858.69888464669</v>
      </c>
      <c r="H170" s="17">
        <f t="shared" si="169"/>
        <v>13688.36973535331</v>
      </c>
      <c r="I170" s="17">
        <f t="shared" si="142"/>
        <v>7759.1279323202007</v>
      </c>
      <c r="J170" s="20">
        <f>(Geraetedaten!$B$152+(Geraetedaten!$B$153*(Geraetedaten!$B$18+d_y_Sw)/1000))*10</f>
        <v>6051.0442000000003</v>
      </c>
      <c r="K170" s="20">
        <f>(Geraetedaten!$B$165+(Geraetedaten!$B$166*(Geraetedaten!$B$18+d_y_Sw)/1000))*10</f>
        <v>10816.164000000001</v>
      </c>
      <c r="L170" s="20">
        <f>(Geraetedaten!$B$158+(Geraetedaten!$B$159*(Geraetedaten!$B$18+d_y_Sw)/1000)-(Geraetedaten!$B$160*I170/1000))*10</f>
        <v>32.559748722959583</v>
      </c>
      <c r="M170" s="20">
        <f>(Geraetedaten!$B$171+(Geraetedaten!$B$172*(Geraetedaten!$B$18+d_y_Sw)/1000)-(Geraetedaten!$B$173*I170/1000))*10</f>
        <v>487.27751671808505</v>
      </c>
      <c r="N170" s="20">
        <f>IF((H170-J170)/(K170-J170)*(Geraetedaten!$B$174-Geraetedaten!$B$161)&lt;Geraetedaten!$B$174,(H170-J170)/(K170-J170)*(Geraetedaten!$B$174-Geraetedaten!$B$161),Geraetedaten!$B$174)</f>
        <v>400</v>
      </c>
      <c r="O170" s="20">
        <f>N170/Geraetedaten!$B$174*(M170-L170)+L170+C170</f>
        <v>554.88477136477388</v>
      </c>
      <c r="P170" s="20">
        <f t="shared" si="143"/>
        <v>169.65116387577297</v>
      </c>
      <c r="Q170" s="21">
        <f>(N170-Geraetedaten!$B$161)/(Geraetedaten!$B$174-Geraetedaten!$B$161)*(Geraetedaten!$B$175-Geraetedaten!$B$162)+Geraetedaten!$B$162</f>
        <v>41.1</v>
      </c>
      <c r="R170" s="21">
        <f t="shared" si="144"/>
        <v>41.1</v>
      </c>
      <c r="S170" s="21">
        <f t="shared" si="145"/>
        <v>31.018563747155934</v>
      </c>
      <c r="T170" s="88">
        <f t="shared" si="146"/>
        <v>-26.964026091509844</v>
      </c>
      <c r="U170" s="86">
        <f t="shared" si="147"/>
        <v>-14156.656720000001</v>
      </c>
      <c r="V170" s="85">
        <f t="shared" si="148"/>
        <v>-1346.4914747781525</v>
      </c>
      <c r="W170" s="85">
        <f t="shared" si="149"/>
        <v>-3185.9829843833513</v>
      </c>
      <c r="X170" s="90">
        <f t="shared" si="150"/>
        <v>1346.4914747781525</v>
      </c>
      <c r="Y170" s="86">
        <f t="shared" si="151"/>
        <v>14042.39632</v>
      </c>
      <c r="Z170" s="85">
        <f t="shared" si="152"/>
        <v>-818.62113479844345</v>
      </c>
      <c r="AA170" s="85">
        <f t="shared" si="153"/>
        <v>1345.4143351022317</v>
      </c>
      <c r="AB170" s="90">
        <f t="shared" si="154"/>
        <v>818.62113479844345</v>
      </c>
      <c r="AC170" s="86">
        <f t="shared" si="155"/>
        <v>13755.976989999999</v>
      </c>
      <c r="AD170" s="85">
        <f t="shared" si="156"/>
        <v>3384.56104615708</v>
      </c>
      <c r="AE170" s="85">
        <f t="shared" si="157"/>
        <v>7759.1279323202007</v>
      </c>
      <c r="AF170" s="90">
        <f t="shared" si="158"/>
        <v>3384.56104615708</v>
      </c>
      <c r="AG170" s="86">
        <f t="shared" si="159"/>
        <v>-13791.091630000001</v>
      </c>
      <c r="AH170" s="85">
        <f t="shared" si="160"/>
        <v>6139.2748628683721</v>
      </c>
      <c r="AI170" s="85">
        <f t="shared" si="161"/>
        <v>-9477.9135097897069</v>
      </c>
      <c r="AJ170" s="90">
        <f t="shared" si="162"/>
        <v>6139.2748628683721</v>
      </c>
      <c r="AL170" s="95">
        <f t="shared" si="163"/>
        <v>0</v>
      </c>
      <c r="AM170" s="95">
        <f t="shared" si="164"/>
        <v>0</v>
      </c>
      <c r="AN170" s="95">
        <f t="shared" si="165"/>
        <v>0</v>
      </c>
      <c r="AO170" s="95">
        <f t="shared" si="166"/>
        <v>0</v>
      </c>
      <c r="AP170"/>
      <c r="AQ170" s="95">
        <f t="shared" si="167"/>
        <v>0</v>
      </c>
      <c r="AR170" s="95">
        <f t="shared" si="168"/>
        <v>0</v>
      </c>
      <c r="AS170" s="95">
        <f>Geraetedaten!$B$94*ABS(SIN(RADIANS($A170)))</f>
        <v>116.2252753543069</v>
      </c>
      <c r="AT170" s="95">
        <f>Geraetedaten!$B$94*ABS(COS(RADIANS($A170)))</f>
        <v>101.03309046453811</v>
      </c>
      <c r="AU170" s="95">
        <f>((h_Aw_Sw+Geraetedaten!$B$18)/1000)*(AQ170*AS170+AR170*AT170)/100</f>
        <v>0</v>
      </c>
    </row>
    <row r="171" spans="1:47" ht="13.5" x14ac:dyDescent="0.25">
      <c r="A171" s="16">
        <v>132</v>
      </c>
      <c r="B171" s="16">
        <f t="shared" si="136"/>
        <v>318</v>
      </c>
      <c r="C171" s="19">
        <f t="shared" si="137"/>
        <v>67.2637888916517</v>
      </c>
      <c r="D171" s="17">
        <f t="shared" si="138"/>
        <v>-14776.668498891653</v>
      </c>
      <c r="E171" s="17">
        <f t="shared" si="139"/>
        <v>13664.647971108348</v>
      </c>
      <c r="F171" s="17">
        <f t="shared" si="140"/>
        <v>14204.716621108348</v>
      </c>
      <c r="G171" s="17">
        <f t="shared" si="141"/>
        <v>-13582.977578891652</v>
      </c>
      <c r="H171" s="17">
        <f t="shared" si="169"/>
        <v>13664.647971108348</v>
      </c>
      <c r="I171" s="17">
        <f t="shared" si="142"/>
        <v>1315.6665356302838</v>
      </c>
      <c r="J171" s="20">
        <f>(Geraetedaten!$B$152+(Geraetedaten!$B$153*(Geraetedaten!$B$18+d_y_Sw)/1000))*10</f>
        <v>6051.0442000000003</v>
      </c>
      <c r="K171" s="20">
        <f>(Geraetedaten!$B$165+(Geraetedaten!$B$166*(Geraetedaten!$B$18+d_y_Sw)/1000))*10</f>
        <v>10816.164000000001</v>
      </c>
      <c r="L171" s="20">
        <f>(Geraetedaten!$B$158+(Geraetedaten!$B$159*(Geraetedaten!$B$18+d_y_Sw)/1000)-(Geraetedaten!$B$160*I171/1000))*10</f>
        <v>505.05877294223103</v>
      </c>
      <c r="M171" s="20">
        <f>(Geraetedaten!$B$171+(Geraetedaten!$B$172*(Geraetedaten!$B$18+d_y_Sw)/1000)-(Geraetedaten!$B$173*I171/1000))*10</f>
        <v>966.92878308768263</v>
      </c>
      <c r="N171" s="20">
        <f>IF((H171-J171)/(K171-J171)*(Geraetedaten!$B$174-Geraetedaten!$B$161)&lt;Geraetedaten!$B$174,(H171-J171)/(K171-J171)*(Geraetedaten!$B$174-Geraetedaten!$B$161),Geraetedaten!$B$174)</f>
        <v>400</v>
      </c>
      <c r="O171" s="20">
        <f>N171/Geraetedaten!$B$174*(M171-L171)+L171+C171</f>
        <v>1034.1925719793344</v>
      </c>
      <c r="P171" s="20">
        <f t="shared" si="143"/>
        <v>264.98440805192695</v>
      </c>
      <c r="Q171" s="21">
        <f>(N171-Geraetedaten!$B$161)/(Geraetedaten!$B$174-Geraetedaten!$B$161)*(Geraetedaten!$B$175-Geraetedaten!$B$162)+Geraetedaten!$B$162</f>
        <v>41.1</v>
      </c>
      <c r="R171" s="21">
        <f t="shared" si="144"/>
        <v>41.1</v>
      </c>
      <c r="S171" s="21">
        <f t="shared" si="145"/>
        <v>30.543252327120904</v>
      </c>
      <c r="T171" s="88">
        <f t="shared" si="146"/>
        <v>-27.501267921349076</v>
      </c>
      <c r="U171" s="86">
        <f t="shared" si="147"/>
        <v>-14709.404710000001</v>
      </c>
      <c r="V171" s="85">
        <f t="shared" si="148"/>
        <v>-1346.4914747781525</v>
      </c>
      <c r="W171" s="85">
        <f t="shared" si="149"/>
        <v>-3310.3799903977952</v>
      </c>
      <c r="X171" s="90">
        <f t="shared" si="150"/>
        <v>1346.4914747781525</v>
      </c>
      <c r="Y171" s="86">
        <f t="shared" si="151"/>
        <v>13731.911760000001</v>
      </c>
      <c r="Z171" s="85">
        <f t="shared" si="152"/>
        <v>-818.62113479844345</v>
      </c>
      <c r="AA171" s="85">
        <f t="shared" si="153"/>
        <v>1315.6665356302838</v>
      </c>
      <c r="AB171" s="90">
        <f t="shared" si="154"/>
        <v>818.62113479844345</v>
      </c>
      <c r="AC171" s="86">
        <f t="shared" si="155"/>
        <v>14271.98041</v>
      </c>
      <c r="AD171" s="85">
        <f t="shared" si="156"/>
        <v>3384.56104615708</v>
      </c>
      <c r="AE171" s="85">
        <f t="shared" si="157"/>
        <v>8050.1822552606545</v>
      </c>
      <c r="AF171" s="90">
        <f t="shared" si="158"/>
        <v>3384.56104615708</v>
      </c>
      <c r="AG171" s="86">
        <f t="shared" si="159"/>
        <v>-13515.71379</v>
      </c>
      <c r="AH171" s="85">
        <f t="shared" si="160"/>
        <v>6139.2748628683721</v>
      </c>
      <c r="AI171" s="85">
        <f t="shared" si="161"/>
        <v>-9288.6603731923333</v>
      </c>
      <c r="AJ171" s="90">
        <f t="shared" si="162"/>
        <v>6139.2748628683721</v>
      </c>
      <c r="AL171" s="95">
        <f t="shared" si="163"/>
        <v>0</v>
      </c>
      <c r="AM171" s="95">
        <f t="shared" si="164"/>
        <v>0</v>
      </c>
      <c r="AN171" s="95">
        <f t="shared" si="165"/>
        <v>0</v>
      </c>
      <c r="AO171" s="95">
        <f t="shared" si="166"/>
        <v>0</v>
      </c>
      <c r="AP171"/>
      <c r="AQ171" s="95">
        <f t="shared" si="167"/>
        <v>0</v>
      </c>
      <c r="AR171" s="95">
        <f t="shared" si="168"/>
        <v>0</v>
      </c>
      <c r="AS171" s="95">
        <f>Geraetedaten!$B$94*ABS(SIN(RADIANS($A171)))</f>
        <v>114.44430312351871</v>
      </c>
      <c r="AT171" s="95">
        <f>Geraetedaten!$B$94*ABS(COS(RADIANS($A171)))</f>
        <v>103.04611337926417</v>
      </c>
      <c r="AU171" s="95">
        <f>((h_Aw_Sw+Geraetedaten!$B$18)/1000)*(AQ171*AS171+AR171*AT171)/100</f>
        <v>0</v>
      </c>
    </row>
    <row r="172" spans="1:47" ht="13.5" x14ac:dyDescent="0.25">
      <c r="A172" s="16">
        <v>133</v>
      </c>
      <c r="B172" s="16">
        <f t="shared" si="136"/>
        <v>317</v>
      </c>
      <c r="C172" s="19">
        <f t="shared" si="137"/>
        <v>66.899833934919229</v>
      </c>
      <c r="D172" s="17">
        <f t="shared" si="138"/>
        <v>-15378.82424393492</v>
      </c>
      <c r="E172" s="17">
        <f t="shared" si="139"/>
        <v>13371.965346065081</v>
      </c>
      <c r="F172" s="17">
        <f t="shared" si="140"/>
        <v>14765.998886065079</v>
      </c>
      <c r="G172" s="17">
        <f t="shared" si="141"/>
        <v>-13321.97645393492</v>
      </c>
      <c r="H172" s="17">
        <f t="shared" si="169"/>
        <v>13371.965346065081</v>
      </c>
      <c r="I172" s="17">
        <f t="shared" si="142"/>
        <v>1287.5894854076671</v>
      </c>
      <c r="J172" s="20">
        <f>(Geraetedaten!$B$152+(Geraetedaten!$B$153*(Geraetedaten!$B$18+d_y_Sw)/1000))*10</f>
        <v>6051.0442000000003</v>
      </c>
      <c r="K172" s="20">
        <f>(Geraetedaten!$B$165+(Geraetedaten!$B$166*(Geraetedaten!$B$18+d_y_Sw)/1000))*10</f>
        <v>10816.164000000001</v>
      </c>
      <c r="L172" s="20">
        <f>(Geraetedaten!$B$158+(Geraetedaten!$B$159*(Geraetedaten!$B$18+d_y_Sw)/1000)-(Geraetedaten!$B$160*I172/1000))*10</f>
        <v>507.11766303505556</v>
      </c>
      <c r="M172" s="20">
        <f>(Geraetedaten!$B$171+(Geraetedaten!$B$172*(Geraetedaten!$B$18+d_y_Sw)/1000)-(Geraetedaten!$B$173*I172/1000))*10</f>
        <v>969.0188387062542</v>
      </c>
      <c r="N172" s="20">
        <f>IF((H172-J172)/(K172-J172)*(Geraetedaten!$B$174-Geraetedaten!$B$161)&lt;Geraetedaten!$B$174,(H172-J172)/(K172-J172)*(Geraetedaten!$B$174-Geraetedaten!$B$161),Geraetedaten!$B$174)</f>
        <v>400</v>
      </c>
      <c r="O172" s="20">
        <f>N172/Geraetedaten!$B$174*(M172-L172)+L172+C172</f>
        <v>1035.9186726411735</v>
      </c>
      <c r="P172" s="20">
        <f t="shared" si="143"/>
        <v>265.23948773661482</v>
      </c>
      <c r="Q172" s="21">
        <f>(N172-Geraetedaten!$B$161)/(Geraetedaten!$B$174-Geraetedaten!$B$161)*(Geraetedaten!$B$175-Geraetedaten!$B$162)+Geraetedaten!$B$162</f>
        <v>41.1</v>
      </c>
      <c r="R172" s="21">
        <f t="shared" si="144"/>
        <v>41.1</v>
      </c>
      <c r="S172" s="21">
        <f t="shared" si="145"/>
        <v>30.058637136547912</v>
      </c>
      <c r="T172" s="88">
        <f t="shared" si="146"/>
        <v>-28.030132598568684</v>
      </c>
      <c r="U172" s="86">
        <f t="shared" si="147"/>
        <v>-15311.92441</v>
      </c>
      <c r="V172" s="85">
        <f t="shared" si="148"/>
        <v>-1346.4914747781525</v>
      </c>
      <c r="W172" s="85">
        <f t="shared" si="149"/>
        <v>-3445.9782129716273</v>
      </c>
      <c r="X172" s="90">
        <f t="shared" si="150"/>
        <v>1346.4914747781525</v>
      </c>
      <c r="Y172" s="86">
        <f t="shared" si="151"/>
        <v>13438.865180000001</v>
      </c>
      <c r="Z172" s="85">
        <f t="shared" si="152"/>
        <v>-818.62113479844345</v>
      </c>
      <c r="AA172" s="85">
        <f t="shared" si="153"/>
        <v>1287.5894854076671</v>
      </c>
      <c r="AB172" s="90">
        <f t="shared" si="154"/>
        <v>818.62113479844345</v>
      </c>
      <c r="AC172" s="86">
        <f t="shared" si="155"/>
        <v>14832.898719999999</v>
      </c>
      <c r="AD172" s="85">
        <f t="shared" si="156"/>
        <v>3384.56104615708</v>
      </c>
      <c r="AE172" s="85">
        <f t="shared" si="157"/>
        <v>8366.5710465871889</v>
      </c>
      <c r="AF172" s="90">
        <f t="shared" si="158"/>
        <v>3384.56104615708</v>
      </c>
      <c r="AG172" s="86">
        <f t="shared" si="159"/>
        <v>-13255.07662</v>
      </c>
      <c r="AH172" s="85">
        <f t="shared" si="160"/>
        <v>6139.2748628683721</v>
      </c>
      <c r="AI172" s="85">
        <f t="shared" si="161"/>
        <v>-9109.5377457653685</v>
      </c>
      <c r="AJ172" s="90">
        <f t="shared" si="162"/>
        <v>6139.2748628683721</v>
      </c>
      <c r="AL172" s="95">
        <f t="shared" si="163"/>
        <v>0</v>
      </c>
      <c r="AM172" s="95">
        <f t="shared" si="164"/>
        <v>0</v>
      </c>
      <c r="AN172" s="95">
        <f t="shared" si="165"/>
        <v>0</v>
      </c>
      <c r="AO172" s="95">
        <f t="shared" si="166"/>
        <v>0</v>
      </c>
      <c r="AP172"/>
      <c r="AQ172" s="95">
        <f t="shared" si="167"/>
        <v>0</v>
      </c>
      <c r="AR172" s="95">
        <f t="shared" si="168"/>
        <v>0</v>
      </c>
      <c r="AS172" s="95">
        <f>Geraetedaten!$B$94*ABS(SIN(RADIANS($A172)))</f>
        <v>112.62847004935227</v>
      </c>
      <c r="AT172" s="95">
        <f>Geraetedaten!$B$94*ABS(COS(RADIANS($A172)))</f>
        <v>105.02774744962475</v>
      </c>
      <c r="AU172" s="95">
        <f>((h_Aw_Sw+Geraetedaten!$B$18)/1000)*(AQ172*AS172+AR172*AT172)/100</f>
        <v>0</v>
      </c>
    </row>
    <row r="173" spans="1:47" ht="13.5" x14ac:dyDescent="0.25">
      <c r="A173" s="16">
        <v>134</v>
      </c>
      <c r="B173" s="16">
        <f t="shared" si="136"/>
        <v>316</v>
      </c>
      <c r="C173" s="19">
        <f t="shared" si="137"/>
        <v>66.515500640696956</v>
      </c>
      <c r="D173" s="17">
        <f t="shared" si="138"/>
        <v>-16037.500780640697</v>
      </c>
      <c r="E173" s="17">
        <f t="shared" si="139"/>
        <v>13095.474809359303</v>
      </c>
      <c r="F173" s="17">
        <f t="shared" si="140"/>
        <v>15378.092809359303</v>
      </c>
      <c r="G173" s="17">
        <f t="shared" si="141"/>
        <v>-13074.704480640698</v>
      </c>
      <c r="H173" s="17">
        <f t="shared" si="169"/>
        <v>13095.474809359303</v>
      </c>
      <c r="I173" s="17">
        <f t="shared" si="142"/>
        <v>1261.0618607520291</v>
      </c>
      <c r="J173" s="20">
        <f>(Geraetedaten!$B$152+(Geraetedaten!$B$153*(Geraetedaten!$B$18+d_y_Sw)/1000))*10</f>
        <v>6051.0442000000003</v>
      </c>
      <c r="K173" s="20">
        <f>(Geraetedaten!$B$165+(Geraetedaten!$B$166*(Geraetedaten!$B$18+d_y_Sw)/1000))*10</f>
        <v>10816.164000000001</v>
      </c>
      <c r="L173" s="20">
        <f>(Geraetedaten!$B$158+(Geraetedaten!$B$159*(Geraetedaten!$B$18+d_y_Sw)/1000)-(Geraetedaten!$B$160*I173/1000))*10</f>
        <v>509.06293375105349</v>
      </c>
      <c r="M173" s="20">
        <f>(Geraetedaten!$B$171+(Geraetedaten!$B$172*(Geraetedaten!$B$18+d_y_Sw)/1000)-(Geraetedaten!$B$173*I173/1000))*10</f>
        <v>970.99355508561985</v>
      </c>
      <c r="N173" s="20">
        <f>IF((H173-J173)/(K173-J173)*(Geraetedaten!$B$174-Geraetedaten!$B$161)&lt;Geraetedaten!$B$174,(H173-J173)/(K173-J173)*(Geraetedaten!$B$174-Geraetedaten!$B$161),Geraetedaten!$B$174)</f>
        <v>400</v>
      </c>
      <c r="O173" s="20">
        <f>N173/Geraetedaten!$B$174*(M173-L173)+L173+C173</f>
        <v>1037.5090557263168</v>
      </c>
      <c r="P173" s="20">
        <f t="shared" si="143"/>
        <v>265.46980719219539</v>
      </c>
      <c r="Q173" s="21">
        <f>(N173-Geraetedaten!$B$161)/(Geraetedaten!$B$174-Geraetedaten!$B$161)*(Geraetedaten!$B$175-Geraetedaten!$B$162)+Geraetedaten!$B$162</f>
        <v>41.1</v>
      </c>
      <c r="R173" s="21">
        <f t="shared" si="144"/>
        <v>41.1</v>
      </c>
      <c r="S173" s="21">
        <f t="shared" si="145"/>
        <v>29.56486579391856</v>
      </c>
      <c r="T173" s="88">
        <f t="shared" si="146"/>
        <v>-28.550459025864793</v>
      </c>
      <c r="U173" s="86">
        <f t="shared" si="147"/>
        <v>-15970.985280000001</v>
      </c>
      <c r="V173" s="85">
        <f t="shared" si="148"/>
        <v>-1346.4914747781525</v>
      </c>
      <c r="W173" s="85">
        <f t="shared" si="149"/>
        <v>-3594.3011385425461</v>
      </c>
      <c r="X173" s="90">
        <f t="shared" si="150"/>
        <v>1346.4914747781525</v>
      </c>
      <c r="Y173" s="86">
        <f t="shared" si="151"/>
        <v>13161.990309999999</v>
      </c>
      <c r="Z173" s="85">
        <f t="shared" si="152"/>
        <v>-818.62113479844345</v>
      </c>
      <c r="AA173" s="85">
        <f t="shared" si="153"/>
        <v>1261.0618607520291</v>
      </c>
      <c r="AB173" s="90">
        <f t="shared" si="154"/>
        <v>818.62113479844345</v>
      </c>
      <c r="AC173" s="86">
        <f t="shared" si="155"/>
        <v>15444.60831</v>
      </c>
      <c r="AD173" s="85">
        <f t="shared" si="156"/>
        <v>3384.56104615708</v>
      </c>
      <c r="AE173" s="85">
        <f t="shared" si="157"/>
        <v>8711.608912262287</v>
      </c>
      <c r="AF173" s="90">
        <f t="shared" si="158"/>
        <v>3384.56104615708</v>
      </c>
      <c r="AG173" s="86">
        <f t="shared" si="159"/>
        <v>-13008.188980000001</v>
      </c>
      <c r="AH173" s="85">
        <f t="shared" si="160"/>
        <v>6139.2748628683721</v>
      </c>
      <c r="AI173" s="85">
        <f t="shared" si="161"/>
        <v>-8939.8644716097369</v>
      </c>
      <c r="AJ173" s="90">
        <f t="shared" si="162"/>
        <v>6139.2748628683721</v>
      </c>
      <c r="AL173" s="95">
        <f t="shared" si="163"/>
        <v>0</v>
      </c>
      <c r="AM173" s="95">
        <f t="shared" si="164"/>
        <v>0</v>
      </c>
      <c r="AN173" s="95">
        <f t="shared" si="165"/>
        <v>0</v>
      </c>
      <c r="AO173" s="95">
        <f t="shared" si="166"/>
        <v>0</v>
      </c>
      <c r="AP173"/>
      <c r="AQ173" s="95">
        <f t="shared" si="167"/>
        <v>0</v>
      </c>
      <c r="AR173" s="95">
        <f t="shared" si="168"/>
        <v>0</v>
      </c>
      <c r="AS173" s="95">
        <f>Geraetedaten!$B$94*ABS(SIN(RADIANS($A173)))</f>
        <v>110.77832925215226</v>
      </c>
      <c r="AT173" s="95">
        <f>Geraetedaten!$B$94*ABS(COS(RADIANS($A173)))</f>
        <v>106.97738905068559</v>
      </c>
      <c r="AU173" s="95">
        <f>((h_Aw_Sw+Geraetedaten!$B$18)/1000)*(AQ173*AS173+AR173*AT173)/100</f>
        <v>0</v>
      </c>
    </row>
    <row r="174" spans="1:47" ht="13.5" x14ac:dyDescent="0.25">
      <c r="A174" s="16">
        <v>135</v>
      </c>
      <c r="B174" s="16">
        <f t="shared" si="136"/>
        <v>315</v>
      </c>
      <c r="C174" s="19">
        <f t="shared" si="137"/>
        <v>66.110906080629391</v>
      </c>
      <c r="D174" s="17">
        <f t="shared" si="138"/>
        <v>-16760.758026080632</v>
      </c>
      <c r="E174" s="17">
        <f t="shared" si="139"/>
        <v>12834.033073919371</v>
      </c>
      <c r="F174" s="17">
        <f t="shared" si="140"/>
        <v>16047.95072391937</v>
      </c>
      <c r="G174" s="17">
        <f t="shared" si="141"/>
        <v>-12840.261066080629</v>
      </c>
      <c r="H174" s="17">
        <f t="shared" si="169"/>
        <v>12834.033073919371</v>
      </c>
      <c r="I174" s="17">
        <f t="shared" si="142"/>
        <v>1235.9741335734986</v>
      </c>
      <c r="J174" s="20">
        <f>(Geraetedaten!$B$152+(Geraetedaten!$B$153*(Geraetedaten!$B$18+d_y_Sw)/1000))*10</f>
        <v>6051.0442000000003</v>
      </c>
      <c r="K174" s="20">
        <f>(Geraetedaten!$B$165+(Geraetedaten!$B$166*(Geraetedaten!$B$18+d_y_Sw)/1000))*10</f>
        <v>10816.164000000001</v>
      </c>
      <c r="L174" s="20">
        <f>(Geraetedaten!$B$158+(Geraetedaten!$B$159*(Geraetedaten!$B$18+d_y_Sw)/1000)-(Geraetedaten!$B$160*I174/1000))*10</f>
        <v>510.9026167850551</v>
      </c>
      <c r="M174" s="20">
        <f>(Geraetedaten!$B$171+(Geraetedaten!$B$172*(Geraetedaten!$B$18+d_y_Sw)/1000)-(Geraetedaten!$B$173*I174/1000))*10</f>
        <v>972.86108549678966</v>
      </c>
      <c r="N174" s="20">
        <f>IF((H174-J174)/(K174-J174)*(Geraetedaten!$B$174-Geraetedaten!$B$161)&lt;Geraetedaten!$B$174,(H174-J174)/(K174-J174)*(Geraetedaten!$B$174-Geraetedaten!$B$161),Geraetedaten!$B$174)</f>
        <v>400</v>
      </c>
      <c r="O174" s="20">
        <f>N174/Geraetedaten!$B$174*(M174-L174)+L174+C174</f>
        <v>1038.971991577419</v>
      </c>
      <c r="P174" s="20">
        <f t="shared" si="143"/>
        <v>265.67682757036891</v>
      </c>
      <c r="Q174" s="21">
        <f>(N174-Geraetedaten!$B$161)/(Geraetedaten!$B$174-Geraetedaten!$B$161)*(Geraetedaten!$B$175-Geraetedaten!$B$162)+Geraetedaten!$B$162</f>
        <v>41.1</v>
      </c>
      <c r="R174" s="21">
        <f t="shared" si="144"/>
        <v>41.1</v>
      </c>
      <c r="S174" s="21">
        <f t="shared" si="145"/>
        <v>29.062088706767106</v>
      </c>
      <c r="T174" s="88">
        <f t="shared" si="146"/>
        <v>-29.062088706767103</v>
      </c>
      <c r="U174" s="86">
        <f t="shared" si="147"/>
        <v>-16694.647120000001</v>
      </c>
      <c r="V174" s="85">
        <f t="shared" si="148"/>
        <v>-1346.4914747781525</v>
      </c>
      <c r="W174" s="85">
        <f t="shared" si="149"/>
        <v>-3757.162634273036</v>
      </c>
      <c r="X174" s="90">
        <f t="shared" si="150"/>
        <v>1346.4914747781525</v>
      </c>
      <c r="Y174" s="86">
        <f t="shared" si="151"/>
        <v>12900.143980000001</v>
      </c>
      <c r="Z174" s="85">
        <f t="shared" si="152"/>
        <v>-818.62113479844345</v>
      </c>
      <c r="AA174" s="85">
        <f t="shared" si="153"/>
        <v>1235.9741335734986</v>
      </c>
      <c r="AB174" s="90">
        <f t="shared" si="154"/>
        <v>818.62113479844345</v>
      </c>
      <c r="AC174" s="86">
        <f t="shared" si="155"/>
        <v>16114.06163</v>
      </c>
      <c r="AD174" s="85">
        <f t="shared" si="156"/>
        <v>3384.56104615708</v>
      </c>
      <c r="AE174" s="85">
        <f t="shared" si="157"/>
        <v>9089.2174191039212</v>
      </c>
      <c r="AF174" s="90">
        <f t="shared" si="158"/>
        <v>3384.56104615708</v>
      </c>
      <c r="AG174" s="86">
        <f t="shared" si="159"/>
        <v>-12774.150159999999</v>
      </c>
      <c r="AH174" s="85">
        <f t="shared" si="160"/>
        <v>6139.2748628683721</v>
      </c>
      <c r="AI174" s="85">
        <f t="shared" si="161"/>
        <v>-8779.0215320458774</v>
      </c>
      <c r="AJ174" s="90">
        <f t="shared" si="162"/>
        <v>6139.2748628683721</v>
      </c>
      <c r="AL174" s="95">
        <f t="shared" si="163"/>
        <v>0</v>
      </c>
      <c r="AM174" s="95">
        <f t="shared" si="164"/>
        <v>0</v>
      </c>
      <c r="AN174" s="95">
        <f t="shared" si="165"/>
        <v>0</v>
      </c>
      <c r="AO174" s="95">
        <f t="shared" si="166"/>
        <v>0</v>
      </c>
      <c r="AP174"/>
      <c r="AQ174" s="95">
        <f t="shared" si="167"/>
        <v>0</v>
      </c>
      <c r="AR174" s="95">
        <f t="shared" si="168"/>
        <v>0</v>
      </c>
      <c r="AS174" s="95">
        <f>Geraetedaten!$B$94*ABS(SIN(RADIANS($A174)))</f>
        <v>108.89444430272833</v>
      </c>
      <c r="AT174" s="95">
        <f>Geraetedaten!$B$94*ABS(COS(RADIANS($A174)))</f>
        <v>108.8944443027283</v>
      </c>
      <c r="AU174" s="95">
        <f>((h_Aw_Sw+Geraetedaten!$B$18)/1000)*(AQ174*AS174+AR174*AT174)/100</f>
        <v>0</v>
      </c>
    </row>
    <row r="175" spans="1:47" ht="13.5" x14ac:dyDescent="0.25">
      <c r="A175" s="16">
        <v>136</v>
      </c>
      <c r="B175" s="16">
        <f t="shared" si="136"/>
        <v>314</v>
      </c>
      <c r="C175" s="19">
        <f t="shared" si="137"/>
        <v>65.686173498138928</v>
      </c>
      <c r="D175" s="17">
        <f t="shared" si="138"/>
        <v>-17558.26867349814</v>
      </c>
      <c r="E175" s="17">
        <f t="shared" si="139"/>
        <v>12586.605496501861</v>
      </c>
      <c r="F175" s="17">
        <f t="shared" si="140"/>
        <v>16783.85890650186</v>
      </c>
      <c r="G175" s="17">
        <f t="shared" si="141"/>
        <v>-12617.826093498139</v>
      </c>
      <c r="H175" s="17">
        <f t="shared" si="169"/>
        <v>12586.605496501861</v>
      </c>
      <c r="I175" s="17">
        <f t="shared" si="142"/>
        <v>1212.2271858549138</v>
      </c>
      <c r="J175" s="20">
        <f>(Geraetedaten!$B$152+(Geraetedaten!$B$153*(Geraetedaten!$B$18+d_y_Sw)/1000))*10</f>
        <v>6051.0442000000003</v>
      </c>
      <c r="K175" s="20">
        <f>(Geraetedaten!$B$165+(Geraetedaten!$B$166*(Geraetedaten!$B$18+d_y_Sw)/1000))*10</f>
        <v>10816.164000000001</v>
      </c>
      <c r="L175" s="20">
        <f>(Geraetedaten!$B$158+(Geraetedaten!$B$159*(Geraetedaten!$B$18+d_y_Sw)/1000)-(Geraetedaten!$B$160*I175/1000))*10</f>
        <v>512.64398046125893</v>
      </c>
      <c r="M175" s="20">
        <f>(Geraetedaten!$B$171+(Geraetedaten!$B$172*(Geraetedaten!$B$18+d_y_Sw)/1000)-(Geraetedaten!$B$173*I175/1000))*10</f>
        <v>974.62880828496111</v>
      </c>
      <c r="N175" s="20">
        <f>IF((H175-J175)/(K175-J175)*(Geraetedaten!$B$174-Geraetedaten!$B$161)&lt;Geraetedaten!$B$174,(H175-J175)/(K175-J175)*(Geraetedaten!$B$174-Geraetedaten!$B$161),Geraetedaten!$B$174)</f>
        <v>400</v>
      </c>
      <c r="O175" s="20">
        <f>N175/Geraetedaten!$B$174*(M175-L175)+L175+C175</f>
        <v>1040.3149817830999</v>
      </c>
      <c r="P175" s="20">
        <f t="shared" si="143"/>
        <v>265.86187170884125</v>
      </c>
      <c r="Q175" s="21">
        <f>(N175-Geraetedaten!$B$161)/(Geraetedaten!$B$174-Geraetedaten!$B$161)*(Geraetedaten!$B$175-Geraetedaten!$B$162)+Geraetedaten!$B$162</f>
        <v>41.1</v>
      </c>
      <c r="R175" s="21">
        <f t="shared" si="144"/>
        <v>41.1</v>
      </c>
      <c r="S175" s="21">
        <f t="shared" si="145"/>
        <v>28.550459025864782</v>
      </c>
      <c r="T175" s="88">
        <f t="shared" si="146"/>
        <v>-29.564865793918564</v>
      </c>
      <c r="U175" s="86">
        <f t="shared" si="147"/>
        <v>-17492.5825</v>
      </c>
      <c r="V175" s="85">
        <f t="shared" si="148"/>
        <v>-1346.4914747781525</v>
      </c>
      <c r="W175" s="85">
        <f t="shared" si="149"/>
        <v>-3936.7395363785499</v>
      </c>
      <c r="X175" s="90">
        <f t="shared" si="150"/>
        <v>1346.4914747781525</v>
      </c>
      <c r="Y175" s="86">
        <f t="shared" si="151"/>
        <v>12652.291670000001</v>
      </c>
      <c r="Z175" s="85">
        <f t="shared" si="152"/>
        <v>-818.62113479844345</v>
      </c>
      <c r="AA175" s="85">
        <f t="shared" si="153"/>
        <v>1212.2271858549138</v>
      </c>
      <c r="AB175" s="90">
        <f t="shared" si="154"/>
        <v>818.62113479844345</v>
      </c>
      <c r="AC175" s="86">
        <f t="shared" si="155"/>
        <v>16849.54508</v>
      </c>
      <c r="AD175" s="85">
        <f t="shared" si="156"/>
        <v>3384.56104615708</v>
      </c>
      <c r="AE175" s="85">
        <f t="shared" si="157"/>
        <v>9504.0705551746087</v>
      </c>
      <c r="AF175" s="90">
        <f t="shared" si="158"/>
        <v>3384.56104615708</v>
      </c>
      <c r="AG175" s="86">
        <f t="shared" si="159"/>
        <v>-12552.13992</v>
      </c>
      <c r="AH175" s="85">
        <f t="shared" si="160"/>
        <v>6139.2748628683721</v>
      </c>
      <c r="AI175" s="85">
        <f t="shared" si="161"/>
        <v>-8626.4452216558111</v>
      </c>
      <c r="AJ175" s="90">
        <f t="shared" si="162"/>
        <v>6139.2748628683721</v>
      </c>
      <c r="AL175" s="95">
        <f t="shared" si="163"/>
        <v>0</v>
      </c>
      <c r="AM175" s="95">
        <f t="shared" si="164"/>
        <v>0</v>
      </c>
      <c r="AN175" s="95">
        <f t="shared" si="165"/>
        <v>0</v>
      </c>
      <c r="AO175" s="95">
        <f t="shared" si="166"/>
        <v>0</v>
      </c>
      <c r="AP175"/>
      <c r="AQ175" s="95">
        <f t="shared" si="167"/>
        <v>0</v>
      </c>
      <c r="AR175" s="95">
        <f t="shared" si="168"/>
        <v>0</v>
      </c>
      <c r="AS175" s="95">
        <f>Geraetedaten!$B$94*ABS(SIN(RADIANS($A175)))</f>
        <v>106.97738905068556</v>
      </c>
      <c r="AT175" s="95">
        <f>Geraetedaten!$B$94*ABS(COS(RADIANS($A175)))</f>
        <v>110.77832925215229</v>
      </c>
      <c r="AU175" s="95">
        <f>((h_Aw_Sw+Geraetedaten!$B$18)/1000)*(AQ175*AS175+AR175*AT175)/100</f>
        <v>0</v>
      </c>
    </row>
    <row r="176" spans="1:47" ht="13.5" x14ac:dyDescent="0.25">
      <c r="A176" s="16">
        <v>137</v>
      </c>
      <c r="B176" s="16">
        <f t="shared" si="136"/>
        <v>313</v>
      </c>
      <c r="C176" s="19">
        <f t="shared" si="137"/>
        <v>65.241432270884701</v>
      </c>
      <c r="D176" s="17">
        <f t="shared" si="138"/>
        <v>-18441.742682270888</v>
      </c>
      <c r="E176" s="17">
        <f t="shared" si="139"/>
        <v>12352.253617729115</v>
      </c>
      <c r="F176" s="17">
        <f t="shared" si="140"/>
        <v>17595.773377729114</v>
      </c>
      <c r="G176" s="17">
        <f t="shared" si="141"/>
        <v>-12406.651292270884</v>
      </c>
      <c r="H176" s="17">
        <f t="shared" si="169"/>
        <v>12352.253617729115</v>
      </c>
      <c r="I176" s="17">
        <f t="shared" si="142"/>
        <v>1189.7311154767096</v>
      </c>
      <c r="J176" s="20">
        <f>(Geraetedaten!$B$152+(Geraetedaten!$B$153*(Geraetedaten!$B$18+d_y_Sw)/1000))*10</f>
        <v>6051.0442000000003</v>
      </c>
      <c r="K176" s="20">
        <f>(Geraetedaten!$B$165+(Geraetedaten!$B$166*(Geraetedaten!$B$18+d_y_Sw)/1000))*10</f>
        <v>10816.164000000001</v>
      </c>
      <c r="L176" s="20">
        <f>(Geraetedaten!$B$158+(Geraetedaten!$B$159*(Geraetedaten!$B$18+d_y_Sw)/1000)-(Geraetedaten!$B$160*I176/1000))*10</f>
        <v>514.29361730209268</v>
      </c>
      <c r="M176" s="20">
        <f>(Geraetedaten!$B$171+(Geraetedaten!$B$172*(Geraetedaten!$B$18+d_y_Sw)/1000)-(Geraetedaten!$B$173*I176/1000))*10</f>
        <v>976.3034157639147</v>
      </c>
      <c r="N176" s="20">
        <f>IF((H176-J176)/(K176-J176)*(Geraetedaten!$B$174-Geraetedaten!$B$161)&lt;Geraetedaten!$B$174,(H176-J176)/(K176-J176)*(Geraetedaten!$B$174-Geraetedaten!$B$161),Geraetedaten!$B$174)</f>
        <v>400</v>
      </c>
      <c r="O176" s="20">
        <f>N176/Geraetedaten!$B$174*(M176-L176)+L176+C176</f>
        <v>1041.5448480347993</v>
      </c>
      <c r="P176" s="20">
        <f t="shared" si="143"/>
        <v>266.02614059799492</v>
      </c>
      <c r="Q176" s="21">
        <f>(N176-Geraetedaten!$B$161)/(Geraetedaten!$B$174-Geraetedaten!$B$161)*(Geraetedaten!$B$175-Geraetedaten!$B$162)+Geraetedaten!$B$162</f>
        <v>41.1</v>
      </c>
      <c r="R176" s="21">
        <f t="shared" si="144"/>
        <v>41.1</v>
      </c>
      <c r="S176" s="21">
        <f t="shared" si="145"/>
        <v>28.030132598568692</v>
      </c>
      <c r="T176" s="88">
        <f t="shared" si="146"/>
        <v>-30.058637136547908</v>
      </c>
      <c r="U176" s="86">
        <f t="shared" si="147"/>
        <v>-18376.501250000001</v>
      </c>
      <c r="V176" s="85">
        <f t="shared" si="148"/>
        <v>-1346.4914747781525</v>
      </c>
      <c r="W176" s="85">
        <f t="shared" si="149"/>
        <v>-4135.6671604524099</v>
      </c>
      <c r="X176" s="90">
        <f t="shared" si="150"/>
        <v>1346.4914747781525</v>
      </c>
      <c r="Y176" s="86">
        <f t="shared" si="151"/>
        <v>12417.49505</v>
      </c>
      <c r="Z176" s="85">
        <f t="shared" si="152"/>
        <v>-818.62113479844345</v>
      </c>
      <c r="AA176" s="85">
        <f t="shared" si="153"/>
        <v>1189.7311154767096</v>
      </c>
      <c r="AB176" s="90">
        <f t="shared" si="154"/>
        <v>818.62113479844345</v>
      </c>
      <c r="AC176" s="86">
        <f t="shared" si="155"/>
        <v>17661.014810000001</v>
      </c>
      <c r="AD176" s="85">
        <f t="shared" si="156"/>
        <v>3384.56104615708</v>
      </c>
      <c r="AE176" s="85">
        <f t="shared" si="157"/>
        <v>9961.784132281713</v>
      </c>
      <c r="AF176" s="90">
        <f t="shared" si="158"/>
        <v>3384.56104615708</v>
      </c>
      <c r="AG176" s="86">
        <f t="shared" si="159"/>
        <v>-12341.40986</v>
      </c>
      <c r="AH176" s="85">
        <f t="shared" si="160"/>
        <v>6139.2748628683721</v>
      </c>
      <c r="AI176" s="85">
        <f t="shared" si="161"/>
        <v>-8481.6212084051804</v>
      </c>
      <c r="AJ176" s="90">
        <f t="shared" si="162"/>
        <v>6139.2748628683721</v>
      </c>
      <c r="AL176" s="95">
        <f t="shared" si="163"/>
        <v>0</v>
      </c>
      <c r="AM176" s="95">
        <f t="shared" si="164"/>
        <v>0</v>
      </c>
      <c r="AN176" s="95">
        <f t="shared" si="165"/>
        <v>0</v>
      </c>
      <c r="AO176" s="95">
        <f t="shared" si="166"/>
        <v>0</v>
      </c>
      <c r="AP176"/>
      <c r="AQ176" s="95">
        <f t="shared" si="167"/>
        <v>0</v>
      </c>
      <c r="AR176" s="95">
        <f t="shared" si="168"/>
        <v>0</v>
      </c>
      <c r="AS176" s="95">
        <f>Geraetedaten!$B$94*ABS(SIN(RADIANS($A176)))</f>
        <v>105.02774744962478</v>
      </c>
      <c r="AT176" s="95">
        <f>Geraetedaten!$B$94*ABS(COS(RADIANS($A176)))</f>
        <v>112.62847004935225</v>
      </c>
      <c r="AU176" s="95">
        <f>((h_Aw_Sw+Geraetedaten!$B$18)/1000)*(AQ176*AS176+AR176*AT176)/100</f>
        <v>0</v>
      </c>
    </row>
    <row r="177" spans="1:47" ht="13.5" x14ac:dyDescent="0.25">
      <c r="A177" s="16">
        <v>138</v>
      </c>
      <c r="B177" s="16">
        <f t="shared" si="136"/>
        <v>312</v>
      </c>
      <c r="C177" s="19">
        <f t="shared" si="137"/>
        <v>64.776817871352804</v>
      </c>
      <c r="D177" s="17">
        <f t="shared" si="138"/>
        <v>-19425.493047871354</v>
      </c>
      <c r="E177" s="17">
        <f t="shared" si="139"/>
        <v>12130.124382128648</v>
      </c>
      <c r="F177" s="17">
        <f t="shared" si="140"/>
        <v>18495.762472128648</v>
      </c>
      <c r="G177" s="17">
        <f t="shared" si="141"/>
        <v>-12206.052717871353</v>
      </c>
      <c r="H177" s="17">
        <f t="shared" si="169"/>
        <v>12130.124382128648</v>
      </c>
      <c r="I177" s="17">
        <f t="shared" si="142"/>
        <v>1168.4042032789132</v>
      </c>
      <c r="J177" s="20">
        <f>(Geraetedaten!$B$152+(Geraetedaten!$B$153*(Geraetedaten!$B$18+d_y_Sw)/1000))*10</f>
        <v>6051.0442000000003</v>
      </c>
      <c r="K177" s="20">
        <f>(Geraetedaten!$B$165+(Geraetedaten!$B$166*(Geraetedaten!$B$18+d_y_Sw)/1000))*10</f>
        <v>10816.164000000001</v>
      </c>
      <c r="L177" s="20">
        <f>(Geraetedaten!$B$158+(Geraetedaten!$B$159*(Geraetedaten!$B$18+d_y_Sw)/1000)-(Geraetedaten!$B$160*I177/1000))*10</f>
        <v>515.8575197735571</v>
      </c>
      <c r="M177" s="20">
        <f>(Geraetedaten!$B$171+(Geraetedaten!$B$172*(Geraetedaten!$B$18+d_y_Sw)/1000)-(Geraetedaten!$B$173*I177/1000))*10</f>
        <v>977.89099110791869</v>
      </c>
      <c r="N177" s="20">
        <f>IF((H177-J177)/(K177-J177)*(Geraetedaten!$B$174-Geraetedaten!$B$161)&lt;Geraetedaten!$B$174,(H177-J177)/(K177-J177)*(Geraetedaten!$B$174-Geraetedaten!$B$161),Geraetedaten!$B$174)</f>
        <v>400</v>
      </c>
      <c r="O177" s="20">
        <f>N177/Geraetedaten!$B$174*(M177-L177)+L177+C177</f>
        <v>1042.6678089792715</v>
      </c>
      <c r="P177" s="20">
        <f t="shared" si="143"/>
        <v>266.17072756405076</v>
      </c>
      <c r="Q177" s="21">
        <f>(N177-Geraetedaten!$B$161)/(Geraetedaten!$B$174-Geraetedaten!$B$161)*(Geraetedaten!$B$175-Geraetedaten!$B$162)+Geraetedaten!$B$162</f>
        <v>41.1</v>
      </c>
      <c r="R177" s="21">
        <f t="shared" si="144"/>
        <v>41.1</v>
      </c>
      <c r="S177" s="21">
        <f t="shared" si="145"/>
        <v>27.501267921349079</v>
      </c>
      <c r="T177" s="88">
        <f t="shared" si="146"/>
        <v>-30.543252327120896</v>
      </c>
      <c r="U177" s="86">
        <f t="shared" si="147"/>
        <v>-19360.716230000002</v>
      </c>
      <c r="V177" s="85">
        <f t="shared" si="148"/>
        <v>-1346.4914747781525</v>
      </c>
      <c r="W177" s="85">
        <f t="shared" si="149"/>
        <v>-4357.1666475266711</v>
      </c>
      <c r="X177" s="90">
        <f t="shared" si="150"/>
        <v>1346.4914747781525</v>
      </c>
      <c r="Y177" s="86">
        <f t="shared" si="151"/>
        <v>12194.9012</v>
      </c>
      <c r="Z177" s="85">
        <f t="shared" si="152"/>
        <v>-818.62113479844345</v>
      </c>
      <c r="AA177" s="85">
        <f t="shared" si="153"/>
        <v>1168.4042032789132</v>
      </c>
      <c r="AB177" s="90">
        <f t="shared" si="154"/>
        <v>818.62113479844345</v>
      </c>
      <c r="AC177" s="86">
        <f t="shared" si="155"/>
        <v>18560.539290000001</v>
      </c>
      <c r="AD177" s="85">
        <f t="shared" si="156"/>
        <v>3384.56104615708</v>
      </c>
      <c r="AE177" s="85">
        <f t="shared" si="157"/>
        <v>10469.165438282869</v>
      </c>
      <c r="AF177" s="90">
        <f t="shared" si="158"/>
        <v>3384.56104615708</v>
      </c>
      <c r="AG177" s="86">
        <f t="shared" si="159"/>
        <v>-12141.275900000001</v>
      </c>
      <c r="AH177" s="85">
        <f t="shared" si="160"/>
        <v>6139.2748628683721</v>
      </c>
      <c r="AI177" s="85">
        <f t="shared" si="161"/>
        <v>-8344.0793472633104</v>
      </c>
      <c r="AJ177" s="90">
        <f t="shared" si="162"/>
        <v>6139.2748628683721</v>
      </c>
      <c r="AL177" s="95">
        <f t="shared" si="163"/>
        <v>0</v>
      </c>
      <c r="AM177" s="95">
        <f t="shared" si="164"/>
        <v>0</v>
      </c>
      <c r="AN177" s="95">
        <f t="shared" si="165"/>
        <v>0</v>
      </c>
      <c r="AO177" s="95">
        <f t="shared" si="166"/>
        <v>0</v>
      </c>
      <c r="AP177"/>
      <c r="AQ177" s="95">
        <f t="shared" si="167"/>
        <v>0</v>
      </c>
      <c r="AR177" s="95">
        <f t="shared" si="168"/>
        <v>0</v>
      </c>
      <c r="AS177" s="95">
        <f>Geraetedaten!$B$94*ABS(SIN(RADIANS($A177)))</f>
        <v>103.04611337926418</v>
      </c>
      <c r="AT177" s="95">
        <f>Geraetedaten!$B$94*ABS(COS(RADIANS($A177)))</f>
        <v>114.44430312351868</v>
      </c>
      <c r="AU177" s="95">
        <f>((h_Aw_Sw+Geraetedaten!$B$18)/1000)*(AQ177*AS177+AR177*AT177)/100</f>
        <v>0</v>
      </c>
    </row>
    <row r="178" spans="1:47" ht="13.5" x14ac:dyDescent="0.25">
      <c r="A178" s="16">
        <v>139</v>
      </c>
      <c r="B178" s="16">
        <f t="shared" si="136"/>
        <v>311</v>
      </c>
      <c r="C178" s="19">
        <f t="shared" si="137"/>
        <v>64.292471825590184</v>
      </c>
      <c r="D178" s="17">
        <f t="shared" si="138"/>
        <v>-20527.201441825589</v>
      </c>
      <c r="E178" s="17">
        <f t="shared" si="139"/>
        <v>11919.440778174408</v>
      </c>
      <c r="F178" s="17">
        <f t="shared" si="140"/>
        <v>19498.598168174412</v>
      </c>
      <c r="G178" s="17">
        <f t="shared" si="141"/>
        <v>-12015.404081825591</v>
      </c>
      <c r="H178" s="17">
        <f t="shared" si="169"/>
        <v>11919.440778174408</v>
      </c>
      <c r="I178" s="17">
        <f t="shared" si="142"/>
        <v>1148.1720165493157</v>
      </c>
      <c r="J178" s="20">
        <f>(Geraetedaten!$B$152+(Geraetedaten!$B$153*(Geraetedaten!$B$18+d_y_Sw)/1000))*10</f>
        <v>6051.0442000000003</v>
      </c>
      <c r="K178" s="20">
        <f>(Geraetedaten!$B$165+(Geraetedaten!$B$166*(Geraetedaten!$B$18+d_y_Sw)/1000))*10</f>
        <v>10816.164000000001</v>
      </c>
      <c r="L178" s="20">
        <f>(Geraetedaten!$B$158+(Geraetedaten!$B$159*(Geraetedaten!$B$18+d_y_Sw)/1000)-(Geraetedaten!$B$160*I178/1000))*10</f>
        <v>517.34114602643842</v>
      </c>
      <c r="M178" s="20">
        <f>(Geraetedaten!$B$171+(Geraetedaten!$B$172*(Geraetedaten!$B$18+d_y_Sw)/1000)-(Geraetedaten!$B$173*I178/1000))*10</f>
        <v>979.39707508806987</v>
      </c>
      <c r="N178" s="20">
        <f>IF((H178-J178)/(K178-J178)*(Geraetedaten!$B$174-Geraetedaten!$B$161)&lt;Geraetedaten!$B$174,(H178-J178)/(K178-J178)*(Geraetedaten!$B$174-Geraetedaten!$B$161),Geraetedaten!$B$174)</f>
        <v>400</v>
      </c>
      <c r="O178" s="20">
        <f>N178/Geraetedaten!$B$174*(M178-L178)+L178+C178</f>
        <v>1043.68954691366</v>
      </c>
      <c r="P178" s="20">
        <f t="shared" si="143"/>
        <v>266.29663052908535</v>
      </c>
      <c r="Q178" s="21">
        <f>(N178-Geraetedaten!$B$161)/(Geraetedaten!$B$174-Geraetedaten!$B$161)*(Geraetedaten!$B$175-Geraetedaten!$B$162)+Geraetedaten!$B$162</f>
        <v>41.1</v>
      </c>
      <c r="R178" s="21">
        <f t="shared" si="144"/>
        <v>41.1</v>
      </c>
      <c r="S178" s="21">
        <f t="shared" si="145"/>
        <v>26.964026091509851</v>
      </c>
      <c r="T178" s="88">
        <f t="shared" si="146"/>
        <v>-31.01856374715593</v>
      </c>
      <c r="U178" s="86">
        <f t="shared" si="147"/>
        <v>-20462.90897</v>
      </c>
      <c r="V178" s="85">
        <f t="shared" si="148"/>
        <v>-1346.4914747781525</v>
      </c>
      <c r="W178" s="85">
        <f t="shared" si="149"/>
        <v>-4605.2172541286955</v>
      </c>
      <c r="X178" s="90">
        <f t="shared" si="150"/>
        <v>1346.4914747781525</v>
      </c>
      <c r="Y178" s="86">
        <f t="shared" si="151"/>
        <v>11983.733249999999</v>
      </c>
      <c r="Z178" s="85">
        <f t="shared" si="152"/>
        <v>-818.62113479844345</v>
      </c>
      <c r="AA178" s="85">
        <f t="shared" si="153"/>
        <v>1148.1720165493157</v>
      </c>
      <c r="AB178" s="90">
        <f t="shared" si="154"/>
        <v>818.62113479844345</v>
      </c>
      <c r="AC178" s="86">
        <f t="shared" si="155"/>
        <v>19562.890640000001</v>
      </c>
      <c r="AD178" s="85">
        <f t="shared" si="156"/>
        <v>3384.56104615708</v>
      </c>
      <c r="AE178" s="85">
        <f t="shared" si="157"/>
        <v>11034.546750785035</v>
      </c>
      <c r="AF178" s="90">
        <f t="shared" si="158"/>
        <v>3384.56104615708</v>
      </c>
      <c r="AG178" s="86">
        <f t="shared" si="159"/>
        <v>-11951.11161</v>
      </c>
      <c r="AH178" s="85">
        <f t="shared" si="160"/>
        <v>6139.2748628683721</v>
      </c>
      <c r="AI178" s="85">
        <f t="shared" si="161"/>
        <v>-8213.3891383391074</v>
      </c>
      <c r="AJ178" s="90">
        <f t="shared" si="162"/>
        <v>6139.2748628683721</v>
      </c>
      <c r="AL178" s="95">
        <f t="shared" si="163"/>
        <v>0</v>
      </c>
      <c r="AM178" s="95">
        <f t="shared" si="164"/>
        <v>0</v>
      </c>
      <c r="AN178" s="95">
        <f t="shared" si="165"/>
        <v>0</v>
      </c>
      <c r="AO178" s="95">
        <f t="shared" si="166"/>
        <v>0</v>
      </c>
      <c r="AP178"/>
      <c r="AQ178" s="95">
        <f t="shared" si="167"/>
        <v>0</v>
      </c>
      <c r="AR178" s="95">
        <f t="shared" si="168"/>
        <v>0</v>
      </c>
      <c r="AS178" s="95">
        <f>Geraetedaten!$B$94*ABS(SIN(RADIANS($A178)))</f>
        <v>101.03309046453812</v>
      </c>
      <c r="AT178" s="95">
        <f>Geraetedaten!$B$94*ABS(COS(RADIANS($A178)))</f>
        <v>116.22527535430689</v>
      </c>
      <c r="AU178" s="95">
        <f>((h_Aw_Sw+Geraetedaten!$B$18)/1000)*(AQ178*AS178+AR178*AT178)/100</f>
        <v>0</v>
      </c>
    </row>
    <row r="179" spans="1:47" ht="13.5" x14ac:dyDescent="0.25">
      <c r="A179" s="16">
        <v>140</v>
      </c>
      <c r="B179" s="16">
        <f t="shared" si="136"/>
        <v>310</v>
      </c>
      <c r="C179" s="19">
        <f t="shared" si="137"/>
        <v>63.788541670094311</v>
      </c>
      <c r="D179" s="17">
        <f t="shared" si="138"/>
        <v>-21768.970741670095</v>
      </c>
      <c r="E179" s="17">
        <f t="shared" si="139"/>
        <v>11719.493688329907</v>
      </c>
      <c r="F179" s="17">
        <f t="shared" si="140"/>
        <v>20622.557698329903</v>
      </c>
      <c r="G179" s="17">
        <f t="shared" si="141"/>
        <v>-11834.131021670093</v>
      </c>
      <c r="H179" s="17">
        <f t="shared" si="169"/>
        <v>11719.493688329907</v>
      </c>
      <c r="I179" s="17">
        <f t="shared" si="142"/>
        <v>1128.9666283979125</v>
      </c>
      <c r="J179" s="20">
        <f>(Geraetedaten!$B$152+(Geraetedaten!$B$153*(Geraetedaten!$B$18+d_y_Sw)/1000))*10</f>
        <v>6051.0442000000003</v>
      </c>
      <c r="K179" s="20">
        <f>(Geraetedaten!$B$165+(Geraetedaten!$B$166*(Geraetedaten!$B$18+d_y_Sw)/1000))*10</f>
        <v>10816.164000000001</v>
      </c>
      <c r="L179" s="20">
        <f>(Geraetedaten!$B$158+(Geraetedaten!$B$159*(Geraetedaten!$B$18+d_y_Sw)/1000)-(Geraetedaten!$B$160*I179/1000))*10</f>
        <v>518.74947713958079</v>
      </c>
      <c r="M179" s="20">
        <f>(Geraetedaten!$B$171+(Geraetedaten!$B$172*(Geraetedaten!$B$18+d_y_Sw)/1000)-(Geraetedaten!$B$173*I179/1000))*10</f>
        <v>980.82672418206027</v>
      </c>
      <c r="N179" s="20">
        <f>IF((H179-J179)/(K179-J179)*(Geraetedaten!$B$174-Geraetedaten!$B$161)&lt;Geraetedaten!$B$174,(H179-J179)/(K179-J179)*(Geraetedaten!$B$174-Geraetedaten!$B$161),Geraetedaten!$B$174)</f>
        <v>400</v>
      </c>
      <c r="O179" s="20">
        <f>N179/Geraetedaten!$B$174*(M179-L179)+L179+C179</f>
        <v>1044.6152658521546</v>
      </c>
      <c r="P179" s="20">
        <f t="shared" si="143"/>
        <v>266.40476264467407</v>
      </c>
      <c r="Q179" s="21">
        <f>(N179-Geraetedaten!$B$161)/(Geraetedaten!$B$174-Geraetedaten!$B$161)*(Geraetedaten!$B$175-Geraetedaten!$B$162)+Geraetedaten!$B$162</f>
        <v>41.1</v>
      </c>
      <c r="R179" s="21">
        <f t="shared" si="144"/>
        <v>41.1</v>
      </c>
      <c r="S179" s="21">
        <f t="shared" si="145"/>
        <v>26.418570758116772</v>
      </c>
      <c r="T179" s="88">
        <f t="shared" si="146"/>
        <v>-31.484426612189992</v>
      </c>
      <c r="U179" s="86">
        <f t="shared" si="147"/>
        <v>-21705.182199999999</v>
      </c>
      <c r="V179" s="85">
        <f t="shared" si="148"/>
        <v>-1346.4914747781525</v>
      </c>
      <c r="W179" s="85">
        <f t="shared" si="149"/>
        <v>-4884.7932484240546</v>
      </c>
      <c r="X179" s="90">
        <f t="shared" si="150"/>
        <v>1346.4914747781525</v>
      </c>
      <c r="Y179" s="86">
        <f t="shared" si="151"/>
        <v>11783.282230000001</v>
      </c>
      <c r="Z179" s="85">
        <f t="shared" si="152"/>
        <v>-818.62113479844345</v>
      </c>
      <c r="AA179" s="85">
        <f t="shared" si="153"/>
        <v>1128.9666283979125</v>
      </c>
      <c r="AB179" s="90">
        <f t="shared" si="154"/>
        <v>818.62113479844345</v>
      </c>
      <c r="AC179" s="86">
        <f t="shared" si="155"/>
        <v>20686.346239999999</v>
      </c>
      <c r="AD179" s="85">
        <f t="shared" si="156"/>
        <v>3384.56104615708</v>
      </c>
      <c r="AE179" s="85">
        <f t="shared" si="157"/>
        <v>11668.237526154327</v>
      </c>
      <c r="AF179" s="90">
        <f t="shared" si="158"/>
        <v>3384.56104615708</v>
      </c>
      <c r="AG179" s="86">
        <f t="shared" si="159"/>
        <v>-11770.342479999999</v>
      </c>
      <c r="AH179" s="85">
        <f t="shared" si="160"/>
        <v>6139.2748628683721</v>
      </c>
      <c r="AI179" s="85">
        <f t="shared" si="161"/>
        <v>-8089.155738213266</v>
      </c>
      <c r="AJ179" s="90">
        <f t="shared" si="162"/>
        <v>6139.2748628683721</v>
      </c>
      <c r="AL179" s="95">
        <f t="shared" si="163"/>
        <v>0</v>
      </c>
      <c r="AM179" s="95">
        <f t="shared" si="164"/>
        <v>0</v>
      </c>
      <c r="AN179" s="95">
        <f t="shared" si="165"/>
        <v>0</v>
      </c>
      <c r="AO179" s="95">
        <f t="shared" si="166"/>
        <v>0</v>
      </c>
      <c r="AP179"/>
      <c r="AQ179" s="95">
        <f t="shared" si="167"/>
        <v>0</v>
      </c>
      <c r="AR179" s="95">
        <f t="shared" si="168"/>
        <v>0</v>
      </c>
      <c r="AS179" s="95">
        <f>Geraetedaten!$B$94*ABS(SIN(RADIANS($A179)))</f>
        <v>98.989291891727078</v>
      </c>
      <c r="AT179" s="95">
        <f>Geraetedaten!$B$94*ABS(COS(RADIANS($A179)))</f>
        <v>117.97084424032259</v>
      </c>
      <c r="AU179" s="95">
        <f>((h_Aw_Sw+Geraetedaten!$B$18)/1000)*(AQ179*AS179+AR179*AT179)/100</f>
        <v>0</v>
      </c>
    </row>
    <row r="180" spans="1:47" ht="13.5" x14ac:dyDescent="0.25">
      <c r="A180" s="16">
        <v>141</v>
      </c>
      <c r="B180" s="16">
        <f t="shared" si="136"/>
        <v>309</v>
      </c>
      <c r="C180" s="19">
        <f t="shared" si="137"/>
        <v>63.265180906872246</v>
      </c>
      <c r="D180" s="17">
        <f t="shared" si="138"/>
        <v>-23178.798780906873</v>
      </c>
      <c r="E180" s="17">
        <f t="shared" si="139"/>
        <v>11529.634789093128</v>
      </c>
      <c r="F180" s="17">
        <f t="shared" si="140"/>
        <v>21890.528519093124</v>
      </c>
      <c r="G180" s="17">
        <f t="shared" si="141"/>
        <v>-11661.705920906872</v>
      </c>
      <c r="H180" s="17">
        <f t="shared" si="169"/>
        <v>11529.634789093128</v>
      </c>
      <c r="I180" s="17">
        <f t="shared" si="142"/>
        <v>1110.7259359391214</v>
      </c>
      <c r="J180" s="20">
        <f>(Geraetedaten!$B$152+(Geraetedaten!$B$153*(Geraetedaten!$B$18+d_y_Sw)/1000))*10</f>
        <v>6051.0442000000003</v>
      </c>
      <c r="K180" s="20">
        <f>(Geraetedaten!$B$165+(Geraetedaten!$B$166*(Geraetedaten!$B$18+d_y_Sw)/1000))*10</f>
        <v>10816.164000000001</v>
      </c>
      <c r="L180" s="20">
        <f>(Geraetedaten!$B$158+(Geraetedaten!$B$159*(Geraetedaten!$B$18+d_y_Sw)/1000)-(Geraetedaten!$B$160*I180/1000))*10</f>
        <v>520.08706711758396</v>
      </c>
      <c r="M180" s="20">
        <f>(Geraetedaten!$B$171+(Geraetedaten!$B$172*(Geraetedaten!$B$18+d_y_Sw)/1000)-(Geraetedaten!$B$173*I180/1000))*10</f>
        <v>982.18456132869278</v>
      </c>
      <c r="N180" s="20">
        <f>IF((H180-J180)/(K180-J180)*(Geraetedaten!$B$174-Geraetedaten!$B$161)&lt;Geraetedaten!$B$174,(H180-J180)/(K180-J180)*(Geraetedaten!$B$174-Geraetedaten!$B$161),Geraetedaten!$B$174)</f>
        <v>400</v>
      </c>
      <c r="O180" s="20">
        <f>N180/Geraetedaten!$B$174*(M180-L180)+L180+C180</f>
        <v>1045.4497422355651</v>
      </c>
      <c r="P180" s="20">
        <f t="shared" si="143"/>
        <v>266.4959615446889</v>
      </c>
      <c r="Q180" s="21">
        <f>(N180-Geraetedaten!$B$161)/(Geraetedaten!$B$174-Geraetedaten!$B$161)*(Geraetedaten!$B$175-Geraetedaten!$B$162)+Geraetedaten!$B$162</f>
        <v>41.1</v>
      </c>
      <c r="R180" s="21">
        <f t="shared" si="144"/>
        <v>41.1</v>
      </c>
      <c r="S180" s="21">
        <f t="shared" si="145"/>
        <v>25.865068072148318</v>
      </c>
      <c r="T180" s="88">
        <f t="shared" si="146"/>
        <v>-31.940699015881506</v>
      </c>
      <c r="U180" s="86">
        <f t="shared" si="147"/>
        <v>-23115.533599999999</v>
      </c>
      <c r="V180" s="85">
        <f t="shared" si="148"/>
        <v>-1346.4914747781525</v>
      </c>
      <c r="W180" s="85">
        <f t="shared" si="149"/>
        <v>-5202.1955604736568</v>
      </c>
      <c r="X180" s="90">
        <f t="shared" si="150"/>
        <v>1346.4914747781525</v>
      </c>
      <c r="Y180" s="86">
        <f t="shared" si="151"/>
        <v>11592.89997</v>
      </c>
      <c r="Z180" s="85">
        <f t="shared" si="152"/>
        <v>-818.62113479844345</v>
      </c>
      <c r="AA180" s="85">
        <f t="shared" si="153"/>
        <v>1110.7259359391214</v>
      </c>
      <c r="AB180" s="90">
        <f t="shared" si="154"/>
        <v>818.62113479844345</v>
      </c>
      <c r="AC180" s="86">
        <f t="shared" si="155"/>
        <v>21953.793699999998</v>
      </c>
      <c r="AD180" s="85">
        <f t="shared" si="156"/>
        <v>3384.56104615708</v>
      </c>
      <c r="AE180" s="85">
        <f t="shared" si="157"/>
        <v>12383.147636244803</v>
      </c>
      <c r="AF180" s="90">
        <f t="shared" si="158"/>
        <v>3384.56104615708</v>
      </c>
      <c r="AG180" s="86">
        <f t="shared" si="159"/>
        <v>-11598.44074</v>
      </c>
      <c r="AH180" s="85">
        <f t="shared" si="160"/>
        <v>6139.2748628683721</v>
      </c>
      <c r="AI180" s="85">
        <f t="shared" si="161"/>
        <v>-7971.0164476542304</v>
      </c>
      <c r="AJ180" s="90">
        <f t="shared" si="162"/>
        <v>6139.2748628683721</v>
      </c>
      <c r="AL180" s="95">
        <f t="shared" si="163"/>
        <v>0</v>
      </c>
      <c r="AM180" s="95">
        <f t="shared" si="164"/>
        <v>0</v>
      </c>
      <c r="AN180" s="95">
        <f t="shared" si="165"/>
        <v>0</v>
      </c>
      <c r="AO180" s="95">
        <f t="shared" si="166"/>
        <v>0</v>
      </c>
      <c r="AP180"/>
      <c r="AQ180" s="95">
        <f t="shared" si="167"/>
        <v>0</v>
      </c>
      <c r="AR180" s="95">
        <f t="shared" si="168"/>
        <v>0</v>
      </c>
      <c r="AS180" s="95">
        <f>Geraetedaten!$B$94*ABS(SIN(RADIANS($A180)))</f>
        <v>96.915340221674953</v>
      </c>
      <c r="AT180" s="95">
        <f>Geraetedaten!$B$94*ABS(COS(RADIANS($A180)))</f>
        <v>119.68047806437352</v>
      </c>
      <c r="AU180" s="95">
        <f>((h_Aw_Sw+Geraetedaten!$B$18)/1000)*(AQ180*AS180+AR180*AT180)/100</f>
        <v>0</v>
      </c>
    </row>
    <row r="181" spans="1:47" ht="13.5" x14ac:dyDescent="0.25">
      <c r="A181" s="16">
        <v>142</v>
      </c>
      <c r="B181" s="16">
        <f t="shared" si="136"/>
        <v>308</v>
      </c>
      <c r="C181" s="19">
        <f t="shared" si="137"/>
        <v>62.722548956682395</v>
      </c>
      <c r="D181" s="17">
        <f t="shared" si="138"/>
        <v>-24792.683508956681</v>
      </c>
      <c r="E181" s="17">
        <f t="shared" si="139"/>
        <v>11349.270271043317</v>
      </c>
      <c r="F181" s="17">
        <f t="shared" si="140"/>
        <v>23331.559311043318</v>
      </c>
      <c r="G181" s="17">
        <f t="shared" si="141"/>
        <v>-11497.643458956683</v>
      </c>
      <c r="H181" s="17">
        <f t="shared" si="169"/>
        <v>11349.270271043317</v>
      </c>
      <c r="I181" s="17">
        <f t="shared" si="142"/>
        <v>1093.3930630221084</v>
      </c>
      <c r="J181" s="20">
        <f>(Geraetedaten!$B$152+(Geraetedaten!$B$153*(Geraetedaten!$B$18+d_y_Sw)/1000))*10</f>
        <v>6051.0442000000003</v>
      </c>
      <c r="K181" s="20">
        <f>(Geraetedaten!$B$165+(Geraetedaten!$B$166*(Geraetedaten!$B$18+d_y_Sw)/1000))*10</f>
        <v>10816.164000000001</v>
      </c>
      <c r="L181" s="20">
        <f>(Geraetedaten!$B$158+(Geraetedaten!$B$159*(Geraetedaten!$B$18+d_y_Sw)/1000)-(Geraetedaten!$B$160*I181/1000))*10</f>
        <v>521.35808668858863</v>
      </c>
      <c r="M181" s="20">
        <f>(Geraetedaten!$B$171+(Geraetedaten!$B$172*(Geraetedaten!$B$18+d_y_Sw)/1000)-(Geraetedaten!$B$173*I181/1000))*10</f>
        <v>983.47482038863518</v>
      </c>
      <c r="N181" s="20">
        <f>IF((H181-J181)/(K181-J181)*(Geraetedaten!$B$174-Geraetedaten!$B$161)&lt;Geraetedaten!$B$174,(H181-J181)/(K181-J181)*(Geraetedaten!$B$174-Geraetedaten!$B$161),Geraetedaten!$B$174)</f>
        <v>400</v>
      </c>
      <c r="O181" s="20">
        <f>N181/Geraetedaten!$B$174*(M181-L181)+L181+C181</f>
        <v>1046.1973693453176</v>
      </c>
      <c r="P181" s="20">
        <f t="shared" si="143"/>
        <v>266.57099742127673</v>
      </c>
      <c r="Q181" s="21">
        <f>(N181-Geraetedaten!$B$161)/(Geraetedaten!$B$174-Geraetedaten!$B$161)*(Geraetedaten!$B$175-Geraetedaten!$B$162)+Geraetedaten!$B$162</f>
        <v>41.1</v>
      </c>
      <c r="R181" s="21">
        <f t="shared" si="144"/>
        <v>41.1</v>
      </c>
      <c r="S181" s="21">
        <f t="shared" si="145"/>
        <v>25.30368663588456</v>
      </c>
      <c r="T181" s="88">
        <f t="shared" si="146"/>
        <v>-32.387241973236272</v>
      </c>
      <c r="U181" s="86">
        <f t="shared" si="147"/>
        <v>-24729.96096</v>
      </c>
      <c r="V181" s="85">
        <f t="shared" si="148"/>
        <v>-1346.4914747781525</v>
      </c>
      <c r="W181" s="85">
        <f t="shared" si="149"/>
        <v>-5565.5255611773</v>
      </c>
      <c r="X181" s="90">
        <f t="shared" si="150"/>
        <v>1346.4914747781525</v>
      </c>
      <c r="Y181" s="86">
        <f t="shared" si="151"/>
        <v>11411.992819999999</v>
      </c>
      <c r="Z181" s="85">
        <f t="shared" si="152"/>
        <v>-818.62113479844345</v>
      </c>
      <c r="AA181" s="85">
        <f t="shared" si="153"/>
        <v>1093.3930630221084</v>
      </c>
      <c r="AB181" s="90">
        <f t="shared" si="154"/>
        <v>818.62113479844345</v>
      </c>
      <c r="AC181" s="86">
        <f t="shared" si="155"/>
        <v>23394.281859999999</v>
      </c>
      <c r="AD181" s="85">
        <f t="shared" si="156"/>
        <v>3384.56104615708</v>
      </c>
      <c r="AE181" s="85">
        <f t="shared" si="157"/>
        <v>13195.662216723729</v>
      </c>
      <c r="AF181" s="90">
        <f t="shared" si="158"/>
        <v>3384.56104615708</v>
      </c>
      <c r="AG181" s="86">
        <f t="shared" si="159"/>
        <v>-11434.920910000001</v>
      </c>
      <c r="AH181" s="85">
        <f t="shared" si="160"/>
        <v>6139.2748628683721</v>
      </c>
      <c r="AI181" s="85">
        <f t="shared" si="161"/>
        <v>-7858.6376108711765</v>
      </c>
      <c r="AJ181" s="90">
        <f t="shared" si="162"/>
        <v>6139.2748628683721</v>
      </c>
      <c r="AL181" s="95">
        <f t="shared" si="163"/>
        <v>0</v>
      </c>
      <c r="AM181" s="95">
        <f t="shared" si="164"/>
        <v>0</v>
      </c>
      <c r="AN181" s="95">
        <f t="shared" si="165"/>
        <v>0</v>
      </c>
      <c r="AO181" s="95">
        <f t="shared" si="166"/>
        <v>0</v>
      </c>
      <c r="AP181"/>
      <c r="AQ181" s="95">
        <f t="shared" si="167"/>
        <v>0</v>
      </c>
      <c r="AR181" s="95">
        <f t="shared" si="168"/>
        <v>0</v>
      </c>
      <c r="AS181" s="95">
        <f>Geraetedaten!$B$94*ABS(SIN(RADIANS($A181)))</f>
        <v>94.811867200151397</v>
      </c>
      <c r="AT181" s="95">
        <f>Geraetedaten!$B$94*ABS(COS(RADIANS($A181)))</f>
        <v>121.35365605543517</v>
      </c>
      <c r="AU181" s="95">
        <f>((h_Aw_Sw+Geraetedaten!$B$18)/1000)*(AQ181*AS181+AR181*AT181)/100</f>
        <v>0</v>
      </c>
    </row>
    <row r="182" spans="1:47" ht="13.5" x14ac:dyDescent="0.25">
      <c r="A182" s="16">
        <v>143</v>
      </c>
      <c r="B182" s="16">
        <f t="shared" si="136"/>
        <v>307</v>
      </c>
      <c r="C182" s="19">
        <f t="shared" si="137"/>
        <v>62.160811110473347</v>
      </c>
      <c r="D182" s="17">
        <f t="shared" si="138"/>
        <v>-26657.699761110471</v>
      </c>
      <c r="E182" s="17">
        <f t="shared" si="139"/>
        <v>11177.855428889527</v>
      </c>
      <c r="F182" s="17">
        <f t="shared" si="140"/>
        <v>24983.082258889528</v>
      </c>
      <c r="G182" s="17">
        <f t="shared" si="141"/>
        <v>-11341.496561110474</v>
      </c>
      <c r="H182" s="17">
        <f t="shared" si="169"/>
        <v>11177.855428889527</v>
      </c>
      <c r="I182" s="17">
        <f t="shared" si="142"/>
        <v>1076.9158355556719</v>
      </c>
      <c r="J182" s="20">
        <f>(Geraetedaten!$B$152+(Geraetedaten!$B$153*(Geraetedaten!$B$18+d_y_Sw)/1000))*10</f>
        <v>6051.0442000000003</v>
      </c>
      <c r="K182" s="20">
        <f>(Geraetedaten!$B$165+(Geraetedaten!$B$166*(Geraetedaten!$B$18+d_y_Sw)/1000))*10</f>
        <v>10816.164000000001</v>
      </c>
      <c r="L182" s="20">
        <f>(Geraetedaten!$B$158+(Geraetedaten!$B$159*(Geraetedaten!$B$18+d_y_Sw)/1000)-(Geraetedaten!$B$160*I182/1000))*10</f>
        <v>522.56636177870234</v>
      </c>
      <c r="M182" s="20">
        <f>(Geraetedaten!$B$171+(Geraetedaten!$B$172*(Geraetedaten!$B$18+d_y_Sw)/1000)-(Geraetedaten!$B$173*I182/1000))*10</f>
        <v>984.70138520123669</v>
      </c>
      <c r="N182" s="20">
        <f>IF((H182-J182)/(K182-J182)*(Geraetedaten!$B$174-Geraetedaten!$B$161)&lt;Geraetedaten!$B$174,(H182-J182)/(K182-J182)*(Geraetedaten!$B$174-Geraetedaten!$B$161),Geraetedaten!$B$174)</f>
        <v>400</v>
      </c>
      <c r="O182" s="20">
        <f>N182/Geraetedaten!$B$174*(M182-L182)+L182+C182</f>
        <v>1046.86219631171</v>
      </c>
      <c r="P182" s="20">
        <f t="shared" si="143"/>
        <v>266.63058009427357</v>
      </c>
      <c r="Q182" s="21">
        <f>(N182-Geraetedaten!$B$161)/(Geraetedaten!$B$174-Geraetedaten!$B$161)*(Geraetedaten!$B$175-Geraetedaten!$B$162)+Geraetedaten!$B$162</f>
        <v>41.1</v>
      </c>
      <c r="R182" s="21">
        <f t="shared" si="144"/>
        <v>41.1</v>
      </c>
      <c r="S182" s="21">
        <f t="shared" si="145"/>
        <v>24.734597451549181</v>
      </c>
      <c r="T182" s="88">
        <f t="shared" si="146"/>
        <v>-32.823919462943742</v>
      </c>
      <c r="U182" s="86">
        <f t="shared" si="147"/>
        <v>-26595.538949999998</v>
      </c>
      <c r="V182" s="85">
        <f t="shared" si="148"/>
        <v>-1346.4914747781525</v>
      </c>
      <c r="W182" s="85">
        <f t="shared" si="149"/>
        <v>-5985.3774964186268</v>
      </c>
      <c r="X182" s="90">
        <f t="shared" si="150"/>
        <v>1346.4914747781525</v>
      </c>
      <c r="Y182" s="86">
        <f t="shared" si="151"/>
        <v>11240.016240000001</v>
      </c>
      <c r="Z182" s="85">
        <f t="shared" si="152"/>
        <v>-818.62113479844345</v>
      </c>
      <c r="AA182" s="85">
        <f t="shared" si="153"/>
        <v>1076.9158355556719</v>
      </c>
      <c r="AB182" s="90">
        <f t="shared" si="154"/>
        <v>818.62113479844345</v>
      </c>
      <c r="AC182" s="86">
        <f t="shared" si="155"/>
        <v>25045.24307</v>
      </c>
      <c r="AD182" s="85">
        <f t="shared" si="156"/>
        <v>3384.56104615708</v>
      </c>
      <c r="AE182" s="85">
        <f t="shared" si="157"/>
        <v>14126.895185953681</v>
      </c>
      <c r="AF182" s="90">
        <f t="shared" si="158"/>
        <v>3384.56104615708</v>
      </c>
      <c r="AG182" s="86">
        <f t="shared" si="159"/>
        <v>-11279.33575</v>
      </c>
      <c r="AH182" s="85">
        <f t="shared" si="160"/>
        <v>6139.2748628683721</v>
      </c>
      <c r="AI182" s="85">
        <f t="shared" si="161"/>
        <v>-7751.7118713669634</v>
      </c>
      <c r="AJ182" s="90">
        <f t="shared" si="162"/>
        <v>6139.2748628683721</v>
      </c>
      <c r="AL182" s="95">
        <f t="shared" si="163"/>
        <v>0</v>
      </c>
      <c r="AM182" s="95">
        <f t="shared" si="164"/>
        <v>0</v>
      </c>
      <c r="AN182" s="95">
        <f t="shared" si="165"/>
        <v>0</v>
      </c>
      <c r="AO182" s="95">
        <f t="shared" si="166"/>
        <v>0</v>
      </c>
      <c r="AP182"/>
      <c r="AQ182" s="95">
        <f t="shared" si="167"/>
        <v>0</v>
      </c>
      <c r="AR182" s="95">
        <f t="shared" si="168"/>
        <v>0</v>
      </c>
      <c r="AS182" s="95">
        <f>Geraetedaten!$B$94*ABS(SIN(RADIANS($A182)))</f>
        <v>92.679513565415419</v>
      </c>
      <c r="AT182" s="95">
        <f>Geraetedaten!$B$94*ABS(COS(RADIANS($A182)))</f>
        <v>122.98986854728311</v>
      </c>
      <c r="AU182" s="95">
        <f>((h_Aw_Sw+Geraetedaten!$B$18)/1000)*(AQ182*AS182+AR182*AT182)/100</f>
        <v>0</v>
      </c>
    </row>
    <row r="183" spans="1:47" ht="13.5" x14ac:dyDescent="0.25">
      <c r="A183" s="16">
        <v>144</v>
      </c>
      <c r="B183" s="16">
        <f t="shared" si="136"/>
        <v>306</v>
      </c>
      <c r="C183" s="19">
        <f t="shared" si="137"/>
        <v>61.580138479034765</v>
      </c>
      <c r="D183" s="17">
        <f t="shared" si="138"/>
        <v>-28836.614328479034</v>
      </c>
      <c r="E183" s="17">
        <f t="shared" si="139"/>
        <v>11014.889781520964</v>
      </c>
      <c r="F183" s="17">
        <f t="shared" si="140"/>
        <v>26894.172181520964</v>
      </c>
      <c r="G183" s="17">
        <f t="shared" si="141"/>
        <v>-11192.852908479035</v>
      </c>
      <c r="H183" s="17">
        <f t="shared" si="169"/>
        <v>11014.889781520964</v>
      </c>
      <c r="I183" s="17">
        <f t="shared" si="142"/>
        <v>1061.2463193691005</v>
      </c>
      <c r="J183" s="20">
        <f>(Geraetedaten!$B$152+(Geraetedaten!$B$153*(Geraetedaten!$B$18+d_y_Sw)/1000))*10</f>
        <v>6051.0442000000003</v>
      </c>
      <c r="K183" s="20">
        <f>(Geraetedaten!$B$165+(Geraetedaten!$B$166*(Geraetedaten!$B$18+d_y_Sw)/1000))*10</f>
        <v>10816.164000000001</v>
      </c>
      <c r="L183" s="20">
        <f>(Geraetedaten!$B$158+(Geraetedaten!$B$159*(Geraetedaten!$B$18+d_y_Sw)/1000)-(Geraetedaten!$B$160*I183/1000))*10</f>
        <v>523.71540740066359</v>
      </c>
      <c r="M183" s="20">
        <f>(Geraetedaten!$B$171+(Geraetedaten!$B$172*(Geraetedaten!$B$18+d_y_Sw)/1000)-(Geraetedaten!$B$173*I183/1000))*10</f>
        <v>985.86782398616504</v>
      </c>
      <c r="N183" s="20">
        <f>IF((H183-J183)/(K183-J183)*(Geraetedaten!$B$174-Geraetedaten!$B$161)&lt;Geraetedaten!$B$174,(H183-J183)/(K183-J183)*(Geraetedaten!$B$174-Geraetedaten!$B$161),Geraetedaten!$B$174)</f>
        <v>400</v>
      </c>
      <c r="O183" s="20">
        <f>N183/Geraetedaten!$B$174*(M183-L183)+L183+C183</f>
        <v>1047.4479624651999</v>
      </c>
      <c r="P183" s="20">
        <f t="shared" si="143"/>
        <v>266.67536521669319</v>
      </c>
      <c r="Q183" s="21">
        <f>(N183-Geraetedaten!$B$161)/(Geraetedaten!$B$174-Geraetedaten!$B$161)*(Geraetedaten!$B$175-Geraetedaten!$B$162)+Geraetedaten!$B$162</f>
        <v>41.1</v>
      </c>
      <c r="R183" s="21">
        <f t="shared" si="144"/>
        <v>41.1</v>
      </c>
      <c r="S183" s="21">
        <f t="shared" si="145"/>
        <v>24.157973869220651</v>
      </c>
      <c r="T183" s="88">
        <f t="shared" si="146"/>
        <v>-33.250598468810338</v>
      </c>
      <c r="U183" s="86">
        <f t="shared" si="147"/>
        <v>-28775.034189999998</v>
      </c>
      <c r="V183" s="85">
        <f t="shared" si="148"/>
        <v>-1346.4914747781525</v>
      </c>
      <c r="W183" s="85">
        <f t="shared" si="149"/>
        <v>-6475.8771174917183</v>
      </c>
      <c r="X183" s="90">
        <f t="shared" si="150"/>
        <v>1346.4914747781525</v>
      </c>
      <c r="Y183" s="86">
        <f t="shared" si="151"/>
        <v>11076.46992</v>
      </c>
      <c r="Z183" s="85">
        <f t="shared" si="152"/>
        <v>-818.62113479844345</v>
      </c>
      <c r="AA183" s="85">
        <f t="shared" si="153"/>
        <v>1061.2463193691005</v>
      </c>
      <c r="AB183" s="90">
        <f t="shared" si="154"/>
        <v>818.62113479844345</v>
      </c>
      <c r="AC183" s="86">
        <f t="shared" si="155"/>
        <v>26955.75232</v>
      </c>
      <c r="AD183" s="85">
        <f t="shared" si="156"/>
        <v>3384.56104615708</v>
      </c>
      <c r="AE183" s="85">
        <f t="shared" si="157"/>
        <v>15204.527522952201</v>
      </c>
      <c r="AF183" s="90">
        <f t="shared" si="158"/>
        <v>3384.56104615708</v>
      </c>
      <c r="AG183" s="86">
        <f t="shared" si="159"/>
        <v>-11131.27277</v>
      </c>
      <c r="AH183" s="85">
        <f t="shared" si="160"/>
        <v>6139.2748628683721</v>
      </c>
      <c r="AI183" s="85">
        <f t="shared" si="161"/>
        <v>-7649.9557376930106</v>
      </c>
      <c r="AJ183" s="90">
        <f t="shared" si="162"/>
        <v>6139.2748628683721</v>
      </c>
      <c r="AL183" s="95">
        <f t="shared" si="163"/>
        <v>0</v>
      </c>
      <c r="AM183" s="95">
        <f t="shared" si="164"/>
        <v>0</v>
      </c>
      <c r="AN183" s="95">
        <f t="shared" si="165"/>
        <v>0</v>
      </c>
      <c r="AO183" s="95">
        <f t="shared" si="166"/>
        <v>0</v>
      </c>
      <c r="AP183"/>
      <c r="AQ183" s="95">
        <f t="shared" si="167"/>
        <v>0</v>
      </c>
      <c r="AR183" s="95">
        <f t="shared" si="168"/>
        <v>0</v>
      </c>
      <c r="AS183" s="95">
        <f>Geraetedaten!$B$94*ABS(SIN(RADIANS($A183)))</f>
        <v>90.518928853040876</v>
      </c>
      <c r="AT183" s="95">
        <f>Geraetedaten!$B$94*ABS(COS(RADIANS($A183)))</f>
        <v>124.58861713374189</v>
      </c>
      <c r="AU183" s="95">
        <f>((h_Aw_Sw+Geraetedaten!$B$18)/1000)*(AQ183*AS183+AR183*AT183)/100</f>
        <v>0</v>
      </c>
    </row>
    <row r="184" spans="1:47" ht="13.5" x14ac:dyDescent="0.25">
      <c r="A184" s="16">
        <v>145</v>
      </c>
      <c r="B184" s="16">
        <f t="shared" si="136"/>
        <v>305</v>
      </c>
      <c r="C184" s="19">
        <f t="shared" si="137"/>
        <v>60.980707940875263</v>
      </c>
      <c r="D184" s="17">
        <f t="shared" si="138"/>
        <v>-31415.018197940874</v>
      </c>
      <c r="E184" s="17">
        <f t="shared" si="139"/>
        <v>10859.912862059125</v>
      </c>
      <c r="F184" s="17">
        <f t="shared" si="140"/>
        <v>29130.453962059124</v>
      </c>
      <c r="G184" s="17">
        <f t="shared" si="141"/>
        <v>-11051.331737940875</v>
      </c>
      <c r="H184" s="17">
        <f t="shared" si="169"/>
        <v>10859.912862059125</v>
      </c>
      <c r="I184" s="17">
        <f t="shared" si="142"/>
        <v>1046.3404121141305</v>
      </c>
      <c r="J184" s="20">
        <f>(Geraetedaten!$B$152+(Geraetedaten!$B$153*(Geraetedaten!$B$18+d_y_Sw)/1000))*10</f>
        <v>6051.0442000000003</v>
      </c>
      <c r="K184" s="20">
        <f>(Geraetedaten!$B$165+(Geraetedaten!$B$166*(Geraetedaten!$B$18+d_y_Sw)/1000))*10</f>
        <v>10816.164000000001</v>
      </c>
      <c r="L184" s="20">
        <f>(Geraetedaten!$B$158+(Geraetedaten!$B$159*(Geraetedaten!$B$18+d_y_Sw)/1000)-(Geraetedaten!$B$160*I184/1000))*10</f>
        <v>524.80845757967063</v>
      </c>
      <c r="M184" s="20">
        <f>(Geraetedaten!$B$171+(Geraetedaten!$B$172*(Geraetedaten!$B$18+d_y_Sw)/1000)-(Geraetedaten!$B$173*I184/1000))*10</f>
        <v>986.97741972222502</v>
      </c>
      <c r="N184" s="20">
        <f>IF((H184-J184)/(K184-J184)*(Geraetedaten!$B$174-Geraetedaten!$B$161)&lt;Geraetedaten!$B$174,(H184-J184)/(K184-J184)*(Geraetedaten!$B$174-Geraetedaten!$B$161),Geraetedaten!$B$174)</f>
        <v>400</v>
      </c>
      <c r="O184" s="20">
        <f>N184/Geraetedaten!$B$174*(M184-L184)+L184+C184</f>
        <v>1047.9581276631002</v>
      </c>
      <c r="P184" s="20">
        <f t="shared" si="143"/>
        <v>266.70595973625598</v>
      </c>
      <c r="Q184" s="21">
        <f>(N184-Geraetedaten!$B$161)/(Geraetedaten!$B$174-Geraetedaten!$B$161)*(Geraetedaten!$B$175-Geraetedaten!$B$162)+Geraetedaten!$B$162</f>
        <v>41.1</v>
      </c>
      <c r="R184" s="21">
        <f t="shared" si="144"/>
        <v>41.1</v>
      </c>
      <c r="S184" s="21">
        <f t="shared" si="145"/>
        <v>23.573991534027989</v>
      </c>
      <c r="T184" s="88">
        <f t="shared" si="146"/>
        <v>-33.66714902027757</v>
      </c>
      <c r="U184" s="86">
        <f t="shared" si="147"/>
        <v>-31354.037489999999</v>
      </c>
      <c r="V184" s="85">
        <f t="shared" si="148"/>
        <v>-1346.4914747781525</v>
      </c>
      <c r="W184" s="85">
        <f t="shared" si="149"/>
        <v>-7056.2867998691245</v>
      </c>
      <c r="X184" s="90">
        <f t="shared" si="150"/>
        <v>1346.4914747781525</v>
      </c>
      <c r="Y184" s="86">
        <f t="shared" si="151"/>
        <v>10920.89357</v>
      </c>
      <c r="Z184" s="85">
        <f t="shared" si="152"/>
        <v>-818.62113479844345</v>
      </c>
      <c r="AA184" s="85">
        <f t="shared" si="153"/>
        <v>1046.3404121141305</v>
      </c>
      <c r="AB184" s="90">
        <f t="shared" si="154"/>
        <v>818.62113479844345</v>
      </c>
      <c r="AC184" s="86">
        <f t="shared" si="155"/>
        <v>29191.434669999999</v>
      </c>
      <c r="AD184" s="85">
        <f t="shared" si="156"/>
        <v>3384.56104615708</v>
      </c>
      <c r="AE184" s="85">
        <f t="shared" si="157"/>
        <v>16465.575384651922</v>
      </c>
      <c r="AF184" s="90">
        <f t="shared" si="158"/>
        <v>3384.56104615708</v>
      </c>
      <c r="AG184" s="86">
        <f t="shared" si="159"/>
        <v>-10990.35103</v>
      </c>
      <c r="AH184" s="85">
        <f t="shared" si="160"/>
        <v>6139.2748628683721</v>
      </c>
      <c r="AI184" s="85">
        <f t="shared" si="161"/>
        <v>-7553.107419283504</v>
      </c>
      <c r="AJ184" s="90">
        <f t="shared" si="162"/>
        <v>6139.2748628683721</v>
      </c>
      <c r="AL184" s="95">
        <f t="shared" si="163"/>
        <v>0</v>
      </c>
      <c r="AM184" s="95">
        <f t="shared" si="164"/>
        <v>0</v>
      </c>
      <c r="AN184" s="95">
        <f t="shared" si="165"/>
        <v>0</v>
      </c>
      <c r="AO184" s="95">
        <f t="shared" si="166"/>
        <v>0</v>
      </c>
      <c r="AP184"/>
      <c r="AQ184" s="95">
        <f t="shared" si="167"/>
        <v>0</v>
      </c>
      <c r="AR184" s="95">
        <f t="shared" si="168"/>
        <v>0</v>
      </c>
      <c r="AS184" s="95">
        <f>Geraetedaten!$B$94*ABS(SIN(RADIANS($A184)))</f>
        <v>88.330771198061072</v>
      </c>
      <c r="AT184" s="95">
        <f>Geraetedaten!$B$94*ABS(COS(RADIANS($A184)))</f>
        <v>126.14941482050476</v>
      </c>
      <c r="AU184" s="95">
        <f>((h_Aw_Sw+Geraetedaten!$B$18)/1000)*(AQ184*AS184+AR184*AT184)/100</f>
        <v>0</v>
      </c>
    </row>
    <row r="185" spans="1:47" ht="13.5" x14ac:dyDescent="0.25">
      <c r="A185" s="16">
        <v>146</v>
      </c>
      <c r="B185" s="16">
        <f t="shared" si="136"/>
        <v>304</v>
      </c>
      <c r="C185" s="19">
        <f t="shared" si="137"/>
        <v>60.362702088343596</v>
      </c>
      <c r="D185" s="17">
        <f t="shared" si="138"/>
        <v>-34512.737752088346</v>
      </c>
      <c r="E185" s="17">
        <f t="shared" si="139"/>
        <v>10712.500387911658</v>
      </c>
      <c r="F185" s="17">
        <f t="shared" si="140"/>
        <v>31781.721017911656</v>
      </c>
      <c r="G185" s="17">
        <f t="shared" si="141"/>
        <v>-10916.581092088343</v>
      </c>
      <c r="H185" s="17">
        <f t="shared" si="169"/>
        <v>10712.500387911658</v>
      </c>
      <c r="I185" s="17">
        <f t="shared" si="142"/>
        <v>1032.157482008683</v>
      </c>
      <c r="J185" s="20">
        <f>(Geraetedaten!$B$152+(Geraetedaten!$B$153*(Geraetedaten!$B$18+d_y_Sw)/1000))*10</f>
        <v>6051.0442000000003</v>
      </c>
      <c r="K185" s="20">
        <f>(Geraetedaten!$B$165+(Geraetedaten!$B$166*(Geraetedaten!$B$18+d_y_Sw)/1000))*10</f>
        <v>10816.164000000001</v>
      </c>
      <c r="L185" s="20">
        <f>(Geraetedaten!$B$158+(Geraetedaten!$B$159*(Geraetedaten!$B$18+d_y_Sw)/1000)-(Geraetedaten!$B$160*I185/1000))*10</f>
        <v>525.848491844303</v>
      </c>
      <c r="M185" s="20">
        <f>(Geraetedaten!$B$171+(Geraetedaten!$B$172*(Geraetedaten!$B$18+d_y_Sw)/1000)-(Geraetedaten!$B$173*I185/1000))*10</f>
        <v>988.03319703927457</v>
      </c>
      <c r="N185" s="20">
        <f>IF((H185-J185)/(K185-J185)*(Geraetedaten!$B$174-Geraetedaten!$B$161)&lt;Geraetedaten!$B$174,(H185-J185)/(K185-J185)*(Geraetedaten!$B$174-Geraetedaten!$B$161),Geraetedaten!$B$174)</f>
        <v>391.29813172056299</v>
      </c>
      <c r="O185" s="20">
        <f>N185/Geraetedaten!$B$174*(M185-L185)+L185+C185</f>
        <v>1038.3412230641754</v>
      </c>
      <c r="P185" s="20">
        <f t="shared" si="143"/>
        <v>265.88279520789547</v>
      </c>
      <c r="Q185" s="21">
        <f>(N185-Geraetedaten!$B$161)/(Geraetedaten!$B$174-Geraetedaten!$B$161)*(Geraetedaten!$B$175-Geraetedaten!$B$162)+Geraetedaten!$B$162</f>
        <v>40.841119418686752</v>
      </c>
      <c r="R185" s="21">
        <f t="shared" si="144"/>
        <v>40.841119418686752</v>
      </c>
      <c r="S185" s="21">
        <f t="shared" si="145"/>
        <v>22.838064148730947</v>
      </c>
      <c r="T185" s="88">
        <f t="shared" si="146"/>
        <v>-33.85882250329864</v>
      </c>
      <c r="U185" s="86">
        <f t="shared" si="147"/>
        <v>-34452.375050000002</v>
      </c>
      <c r="V185" s="85">
        <f t="shared" si="148"/>
        <v>-1346.4914747781525</v>
      </c>
      <c r="W185" s="85">
        <f t="shared" si="149"/>
        <v>-7753.573663121414</v>
      </c>
      <c r="X185" s="90">
        <f t="shared" si="150"/>
        <v>1346.4914747781525</v>
      </c>
      <c r="Y185" s="86">
        <f t="shared" si="151"/>
        <v>10772.863090000001</v>
      </c>
      <c r="Z185" s="85">
        <f t="shared" si="152"/>
        <v>-818.62113479844345</v>
      </c>
      <c r="AA185" s="85">
        <f t="shared" si="153"/>
        <v>1032.157482008683</v>
      </c>
      <c r="AB185" s="90">
        <f t="shared" si="154"/>
        <v>818.62113479844345</v>
      </c>
      <c r="AC185" s="86">
        <f t="shared" si="155"/>
        <v>31842.083719999999</v>
      </c>
      <c r="AD185" s="85">
        <f t="shared" si="156"/>
        <v>3384.56104615708</v>
      </c>
      <c r="AE185" s="85">
        <f t="shared" si="157"/>
        <v>17960.687300543184</v>
      </c>
      <c r="AF185" s="90">
        <f t="shared" si="158"/>
        <v>3384.56104615708</v>
      </c>
      <c r="AG185" s="86">
        <f t="shared" si="159"/>
        <v>-10856.21839</v>
      </c>
      <c r="AH185" s="85">
        <f t="shared" si="160"/>
        <v>6139.2748628683721</v>
      </c>
      <c r="AI185" s="85">
        <f t="shared" si="161"/>
        <v>-7460.9248983046873</v>
      </c>
      <c r="AJ185" s="90">
        <f t="shared" si="162"/>
        <v>6139.2748628683721</v>
      </c>
      <c r="AL185" s="95">
        <f t="shared" si="163"/>
        <v>0</v>
      </c>
      <c r="AM185" s="95">
        <f t="shared" si="164"/>
        <v>0</v>
      </c>
      <c r="AN185" s="95">
        <f t="shared" si="165"/>
        <v>0</v>
      </c>
      <c r="AO185" s="95">
        <f t="shared" si="166"/>
        <v>0</v>
      </c>
      <c r="AP185"/>
      <c r="AQ185" s="95">
        <f t="shared" si="167"/>
        <v>0</v>
      </c>
      <c r="AR185" s="95">
        <f t="shared" si="168"/>
        <v>0</v>
      </c>
      <c r="AS185" s="95">
        <f>Geraetedaten!$B$94*ABS(SIN(RADIANS($A185)))</f>
        <v>86.115707134495025</v>
      </c>
      <c r="AT185" s="95">
        <f>Geraetedaten!$B$94*ABS(COS(RADIANS($A185)))</f>
        <v>127.67178617347641</v>
      </c>
      <c r="AU185" s="95">
        <f>((h_Aw_Sw+Geraetedaten!$B$18)/1000)*(AQ185*AS185+AR185*AT185)/100</f>
        <v>0</v>
      </c>
    </row>
    <row r="186" spans="1:47" ht="13.5" x14ac:dyDescent="0.25">
      <c r="A186" s="16">
        <v>147</v>
      </c>
      <c r="B186" s="16">
        <f t="shared" si="136"/>
        <v>303</v>
      </c>
      <c r="C186" s="19">
        <f t="shared" si="137"/>
        <v>59.726309172009195</v>
      </c>
      <c r="D186" s="17">
        <f t="shared" si="138"/>
        <v>-38302.852899172009</v>
      </c>
      <c r="E186" s="17">
        <f t="shared" si="139"/>
        <v>10572.26098082799</v>
      </c>
      <c r="F186" s="17">
        <f t="shared" si="140"/>
        <v>34974.188720827988</v>
      </c>
      <c r="G186" s="17">
        <f t="shared" si="141"/>
        <v>-10788.275259172009</v>
      </c>
      <c r="H186" s="17">
        <f t="shared" si="169"/>
        <v>10572.26098082799</v>
      </c>
      <c r="I186" s="17">
        <f t="shared" si="142"/>
        <v>1018.6600473006363</v>
      </c>
      <c r="J186" s="20">
        <f>(Geraetedaten!$B$152+(Geraetedaten!$B$153*(Geraetedaten!$B$18+d_y_Sw)/1000))*10</f>
        <v>6051.0442000000003</v>
      </c>
      <c r="K186" s="20">
        <f>(Geraetedaten!$B$165+(Geraetedaten!$B$166*(Geraetedaten!$B$18+d_y_Sw)/1000))*10</f>
        <v>10816.164000000001</v>
      </c>
      <c r="L186" s="20">
        <f>(Geraetedaten!$B$158+(Geraetedaten!$B$159*(Geraetedaten!$B$18+d_y_Sw)/1000)-(Geraetedaten!$B$160*I186/1000))*10</f>
        <v>526.83825873144406</v>
      </c>
      <c r="M186" s="20">
        <f>(Geraetedaten!$B$171+(Geraetedaten!$B$172*(Geraetedaten!$B$18+d_y_Sw)/1000)-(Geraetedaten!$B$173*I186/1000))*10</f>
        <v>989.03794607894156</v>
      </c>
      <c r="N186" s="20">
        <f>IF((H186-J186)/(K186-J186)*(Geraetedaten!$B$174-Geraetedaten!$B$161)&lt;Geraetedaten!$B$174,(H186-J186)/(K186-J186)*(Geraetedaten!$B$174-Geraetedaten!$B$161),Geraetedaten!$B$174)</f>
        <v>379.52596959497129</v>
      </c>
      <c r="O186" s="20">
        <f>N186/Geraetedaten!$B$174*(M186-L186)+L186+C186</f>
        <v>1025.1065291210821</v>
      </c>
      <c r="P186" s="20">
        <f t="shared" si="143"/>
        <v>264.73310076296769</v>
      </c>
      <c r="Q186" s="21">
        <f>(N186-Geraetedaten!$B$161)/(Geraetedaten!$B$174-Geraetedaten!$B$161)*(Geraetedaten!$B$175-Geraetedaten!$B$162)+Geraetedaten!$B$162</f>
        <v>40.490897595450399</v>
      </c>
      <c r="R186" s="21">
        <f t="shared" si="144"/>
        <v>40.490897595450399</v>
      </c>
      <c r="S186" s="21">
        <f t="shared" si="145"/>
        <v>22.052923393278395</v>
      </c>
      <c r="T186" s="88">
        <f t="shared" si="146"/>
        <v>-33.958524082996384</v>
      </c>
      <c r="U186" s="86">
        <f t="shared" si="147"/>
        <v>-38243.12659</v>
      </c>
      <c r="V186" s="85">
        <f t="shared" si="148"/>
        <v>-1346.4914747781525</v>
      </c>
      <c r="W186" s="85">
        <f t="shared" si="149"/>
        <v>-8606.6896319718508</v>
      </c>
      <c r="X186" s="90">
        <f t="shared" si="150"/>
        <v>1346.4914747781525</v>
      </c>
      <c r="Y186" s="86">
        <f t="shared" si="151"/>
        <v>10631.987289999999</v>
      </c>
      <c r="Z186" s="85">
        <f t="shared" si="152"/>
        <v>-818.62113479844345</v>
      </c>
      <c r="AA186" s="85">
        <f t="shared" si="153"/>
        <v>1018.6600473006363</v>
      </c>
      <c r="AB186" s="90">
        <f t="shared" si="154"/>
        <v>818.62113479844345</v>
      </c>
      <c r="AC186" s="86">
        <f t="shared" si="155"/>
        <v>35033.915029999996</v>
      </c>
      <c r="AD186" s="85">
        <f t="shared" si="156"/>
        <v>3384.56104615708</v>
      </c>
      <c r="AE186" s="85">
        <f t="shared" si="157"/>
        <v>19761.055785453696</v>
      </c>
      <c r="AF186" s="90">
        <f t="shared" si="158"/>
        <v>3384.56104615708</v>
      </c>
      <c r="AG186" s="86">
        <f t="shared" si="159"/>
        <v>-10728.54895</v>
      </c>
      <c r="AH186" s="85">
        <f t="shared" si="160"/>
        <v>6139.2748628683721</v>
      </c>
      <c r="AI186" s="85">
        <f t="shared" si="161"/>
        <v>-7373.1842082942076</v>
      </c>
      <c r="AJ186" s="90">
        <f t="shared" si="162"/>
        <v>6139.2748628683721</v>
      </c>
      <c r="AL186" s="95">
        <f t="shared" si="163"/>
        <v>0</v>
      </c>
      <c r="AM186" s="95">
        <f t="shared" si="164"/>
        <v>0</v>
      </c>
      <c r="AN186" s="95">
        <f t="shared" si="165"/>
        <v>0</v>
      </c>
      <c r="AO186" s="95">
        <f t="shared" si="166"/>
        <v>0</v>
      </c>
      <c r="AP186"/>
      <c r="AQ186" s="95">
        <f t="shared" si="167"/>
        <v>0</v>
      </c>
      <c r="AR186" s="95">
        <f t="shared" si="168"/>
        <v>0</v>
      </c>
      <c r="AS186" s="95">
        <f>Geraetedaten!$B$94*ABS(SIN(RADIANS($A186)))</f>
        <v>83.874411392314201</v>
      </c>
      <c r="AT186" s="95">
        <f>Geraetedaten!$B$94*ABS(COS(RADIANS($A186)))</f>
        <v>129.15526746359529</v>
      </c>
      <c r="AU186" s="95">
        <f>((h_Aw_Sw+Geraetedaten!$B$18)/1000)*(AQ186*AS186+AR186*AT186)/100</f>
        <v>0</v>
      </c>
    </row>
    <row r="187" spans="1:47" ht="13.5" x14ac:dyDescent="0.25">
      <c r="A187" s="16">
        <v>148</v>
      </c>
      <c r="B187" s="16">
        <f t="shared" si="136"/>
        <v>302</v>
      </c>
      <c r="C187" s="19">
        <f t="shared" si="137"/>
        <v>59.071723043319231</v>
      </c>
      <c r="D187" s="17">
        <f t="shared" si="138"/>
        <v>-43044.977443043324</v>
      </c>
      <c r="E187" s="17">
        <f t="shared" si="139"/>
        <v>10438.833126956682</v>
      </c>
      <c r="F187" s="17">
        <f t="shared" si="140"/>
        <v>38891.044046956675</v>
      </c>
      <c r="G187" s="17">
        <f t="shared" si="141"/>
        <v>-10666.112573043318</v>
      </c>
      <c r="H187" s="17">
        <f t="shared" si="169"/>
        <v>10438.833126956682</v>
      </c>
      <c r="I187" s="17">
        <f t="shared" si="142"/>
        <v>1005.8134912294654</v>
      </c>
      <c r="J187" s="20">
        <f>(Geraetedaten!$B$152+(Geraetedaten!$B$153*(Geraetedaten!$B$18+d_y_Sw)/1000))*10</f>
        <v>6051.0442000000003</v>
      </c>
      <c r="K187" s="20">
        <f>(Geraetedaten!$B$165+(Geraetedaten!$B$166*(Geraetedaten!$B$18+d_y_Sw)/1000))*10</f>
        <v>10816.164000000001</v>
      </c>
      <c r="L187" s="20">
        <f>(Geraetedaten!$B$158+(Geraetedaten!$B$159*(Geraetedaten!$B$18+d_y_Sw)/1000)-(Geraetedaten!$B$160*I187/1000))*10</f>
        <v>527.78029668814304</v>
      </c>
      <c r="M187" s="20">
        <f>(Geraetedaten!$B$171+(Geraetedaten!$B$172*(Geraetedaten!$B$18+d_y_Sw)/1000)-(Geraetedaten!$B$173*I187/1000))*10</f>
        <v>989.99424371287955</v>
      </c>
      <c r="N187" s="20">
        <f>IF((H187-J187)/(K187-J187)*(Geraetedaten!$B$174-Geraetedaten!$B$161)&lt;Geraetedaten!$B$174,(H187-J187)/(K187-J187)*(Geraetedaten!$B$174-Geraetedaten!$B$161),Geraetedaten!$B$174)</f>
        <v>368.32559189438905</v>
      </c>
      <c r="O187" s="20">
        <f>N187/Geraetedaten!$B$174*(M187-L187)+L187+C187</f>
        <v>1012.4650837807819</v>
      </c>
      <c r="P187" s="20">
        <f t="shared" si="143"/>
        <v>263.60795120996312</v>
      </c>
      <c r="Q187" s="21">
        <f>(N187-Geraetedaten!$B$161)/(Geraetedaten!$B$174-Geraetedaten!$B$161)*(Geraetedaten!$B$175-Geraetedaten!$B$162)+Geraetedaten!$B$162</f>
        <v>40.157686358858072</v>
      </c>
      <c r="R187" s="21">
        <f t="shared" si="144"/>
        <v>40.157686358858072</v>
      </c>
      <c r="S187" s="21">
        <f t="shared" si="145"/>
        <v>21.28033160859388</v>
      </c>
      <c r="T187" s="88">
        <f t="shared" si="146"/>
        <v>-34.055649462676463</v>
      </c>
      <c r="U187" s="86">
        <f t="shared" si="147"/>
        <v>-42985.905720000002</v>
      </c>
      <c r="V187" s="85">
        <f t="shared" si="148"/>
        <v>-1346.4914747781525</v>
      </c>
      <c r="W187" s="85">
        <f t="shared" si="149"/>
        <v>-9674.0612499421914</v>
      </c>
      <c r="X187" s="90">
        <f t="shared" si="150"/>
        <v>1346.4914747781525</v>
      </c>
      <c r="Y187" s="86">
        <f t="shared" si="151"/>
        <v>10497.904850000001</v>
      </c>
      <c r="Z187" s="85">
        <f t="shared" si="152"/>
        <v>-818.62113479844345</v>
      </c>
      <c r="AA187" s="85">
        <f t="shared" si="153"/>
        <v>1005.8134912294654</v>
      </c>
      <c r="AB187" s="90">
        <f t="shared" si="154"/>
        <v>818.62113479844345</v>
      </c>
      <c r="AC187" s="86">
        <f t="shared" si="155"/>
        <v>38950.115769999997</v>
      </c>
      <c r="AD187" s="85">
        <f t="shared" si="156"/>
        <v>3384.56104615708</v>
      </c>
      <c r="AE187" s="85">
        <f t="shared" si="157"/>
        <v>21970.008490775792</v>
      </c>
      <c r="AF187" s="90">
        <f t="shared" si="158"/>
        <v>3384.56104615708</v>
      </c>
      <c r="AG187" s="86">
        <f t="shared" si="159"/>
        <v>-10607.040849999999</v>
      </c>
      <c r="AH187" s="85">
        <f t="shared" si="160"/>
        <v>6139.2748628683721</v>
      </c>
      <c r="AI187" s="85">
        <f t="shared" si="161"/>
        <v>-7289.6778944460721</v>
      </c>
      <c r="AJ187" s="90">
        <f t="shared" si="162"/>
        <v>6139.2748628683721</v>
      </c>
      <c r="AL187" s="95">
        <f t="shared" si="163"/>
        <v>0</v>
      </c>
      <c r="AM187" s="95">
        <f t="shared" si="164"/>
        <v>0</v>
      </c>
      <c r="AN187" s="95">
        <f t="shared" si="165"/>
        <v>0</v>
      </c>
      <c r="AO187" s="95">
        <f t="shared" si="166"/>
        <v>0</v>
      </c>
      <c r="AP187"/>
      <c r="AQ187" s="95">
        <f t="shared" si="167"/>
        <v>0</v>
      </c>
      <c r="AR187" s="95">
        <f t="shared" si="168"/>
        <v>0</v>
      </c>
      <c r="AS187" s="95">
        <f>Geraetedaten!$B$94*ABS(SIN(RADIANS($A187)))</f>
        <v>81.607566691913561</v>
      </c>
      <c r="AT187" s="95">
        <f>Geraetedaten!$B$94*ABS(COS(RADIANS($A187)))</f>
        <v>130.59940680808961</v>
      </c>
      <c r="AU187" s="95">
        <f>((h_Aw_Sw+Geraetedaten!$B$18)/1000)*(AQ187*AS187+AR187*AT187)/100</f>
        <v>0</v>
      </c>
    </row>
    <row r="188" spans="1:47" ht="13.5" x14ac:dyDescent="0.25">
      <c r="A188" s="16">
        <v>149</v>
      </c>
      <c r="B188" s="16">
        <f t="shared" si="136"/>
        <v>301</v>
      </c>
      <c r="C188" s="19">
        <f t="shared" si="137"/>
        <v>58.399143095549675</v>
      </c>
      <c r="D188" s="17">
        <f t="shared" si="138"/>
        <v>-49147.062493095553</v>
      </c>
      <c r="E188" s="17">
        <f t="shared" si="139"/>
        <v>10311.88258690445</v>
      </c>
      <c r="F188" s="17">
        <f t="shared" si="140"/>
        <v>43808.678266904448</v>
      </c>
      <c r="G188" s="17">
        <f t="shared" si="141"/>
        <v>-10549.81339309555</v>
      </c>
      <c r="H188" s="17">
        <f t="shared" si="169"/>
        <v>10311.88258690445</v>
      </c>
      <c r="I188" s="17">
        <f t="shared" si="142"/>
        <v>993.58580801727692</v>
      </c>
      <c r="J188" s="20">
        <f>(Geraetedaten!$B$152+(Geraetedaten!$B$153*(Geraetedaten!$B$18+d_y_Sw)/1000))*10</f>
        <v>6051.0442000000003</v>
      </c>
      <c r="K188" s="20">
        <f>(Geraetedaten!$B$165+(Geraetedaten!$B$166*(Geraetedaten!$B$18+d_y_Sw)/1000))*10</f>
        <v>10816.164000000001</v>
      </c>
      <c r="L188" s="20">
        <f>(Geraetedaten!$B$158+(Geraetedaten!$B$159*(Geraetedaten!$B$18+d_y_Sw)/1000)-(Geraetedaten!$B$160*I188/1000))*10</f>
        <v>528.6769526980928</v>
      </c>
      <c r="M188" s="20">
        <f>(Geraetedaten!$B$171+(Geraetedaten!$B$172*(Geraetedaten!$B$18+d_y_Sw)/1000)-(Geraetedaten!$B$173*I188/1000))*10</f>
        <v>990.90447245119492</v>
      </c>
      <c r="N188" s="20">
        <f>IF((H188-J188)/(K188-J188)*(Geraetedaten!$B$174-Geraetedaten!$B$161)&lt;Geraetedaten!$B$174,(H188-J188)/(K188-J188)*(Geraetedaten!$B$174-Geraetedaten!$B$161),Geraetedaten!$B$174)</f>
        <v>357.66894145280037</v>
      </c>
      <c r="O188" s="20">
        <f>N188/Geraetedaten!$B$174*(M188-L188)+L188+C188</f>
        <v>1000.387165044756</v>
      </c>
      <c r="P188" s="20">
        <f t="shared" si="143"/>
        <v>262.50700026984248</v>
      </c>
      <c r="Q188" s="21">
        <f>(N188-Geraetedaten!$B$161)/(Geraetedaten!$B$174-Geraetedaten!$B$161)*(Geraetedaten!$B$175-Geraetedaten!$B$162)+Geraetedaten!$B$162</f>
        <v>39.84065100822081</v>
      </c>
      <c r="R188" s="21">
        <f t="shared" si="144"/>
        <v>39.84065100822081</v>
      </c>
      <c r="S188" s="21">
        <f t="shared" si="145"/>
        <v>20.519452198437364</v>
      </c>
      <c r="T188" s="88">
        <f t="shared" si="146"/>
        <v>-34.150103282931518</v>
      </c>
      <c r="U188" s="86">
        <f t="shared" si="147"/>
        <v>-49088.663350000003</v>
      </c>
      <c r="V188" s="85">
        <f t="shared" si="148"/>
        <v>-1346.4914747781525</v>
      </c>
      <c r="W188" s="85">
        <f t="shared" si="149"/>
        <v>-11047.498662611617</v>
      </c>
      <c r="X188" s="90">
        <f t="shared" si="150"/>
        <v>1346.4914747781525</v>
      </c>
      <c r="Y188" s="86">
        <f t="shared" si="151"/>
        <v>10370.281730000001</v>
      </c>
      <c r="Z188" s="85">
        <f t="shared" si="152"/>
        <v>-818.62113479844345</v>
      </c>
      <c r="AA188" s="85">
        <f t="shared" si="153"/>
        <v>993.58580801727692</v>
      </c>
      <c r="AB188" s="90">
        <f t="shared" si="154"/>
        <v>818.62113479844345</v>
      </c>
      <c r="AC188" s="86">
        <f t="shared" si="155"/>
        <v>43867.077409999998</v>
      </c>
      <c r="AD188" s="85">
        <f t="shared" si="156"/>
        <v>3384.56104615708</v>
      </c>
      <c r="AE188" s="85">
        <f t="shared" si="157"/>
        <v>24743.445405310515</v>
      </c>
      <c r="AF188" s="90">
        <f t="shared" si="158"/>
        <v>3384.56104615708</v>
      </c>
      <c r="AG188" s="86">
        <f t="shared" si="159"/>
        <v>-10491.41425</v>
      </c>
      <c r="AH188" s="85">
        <f t="shared" si="160"/>
        <v>6139.2748628683721</v>
      </c>
      <c r="AI188" s="85">
        <f t="shared" si="161"/>
        <v>-7210.2136338484879</v>
      </c>
      <c r="AJ188" s="90">
        <f t="shared" si="162"/>
        <v>6139.2748628683721</v>
      </c>
      <c r="AL188" s="95">
        <f t="shared" si="163"/>
        <v>0</v>
      </c>
      <c r="AM188" s="95">
        <f t="shared" si="164"/>
        <v>0</v>
      </c>
      <c r="AN188" s="95">
        <f t="shared" si="165"/>
        <v>0</v>
      </c>
      <c r="AO188" s="95">
        <f t="shared" si="166"/>
        <v>0</v>
      </c>
      <c r="AP188"/>
      <c r="AQ188" s="95">
        <f t="shared" si="167"/>
        <v>0</v>
      </c>
      <c r="AR188" s="95">
        <f t="shared" si="168"/>
        <v>0</v>
      </c>
      <c r="AS188" s="95">
        <f>Geraetedaten!$B$94*ABS(SIN(RADIANS($A188)))</f>
        <v>79.31586353614837</v>
      </c>
      <c r="AT188" s="95">
        <f>Geraetedaten!$B$94*ABS(COS(RADIANS($A188)))</f>
        <v>132.00376430812528</v>
      </c>
      <c r="AU188" s="95">
        <f>((h_Aw_Sw+Geraetedaten!$B$18)/1000)*(AQ188*AS188+AR188*AT188)/100</f>
        <v>0</v>
      </c>
    </row>
    <row r="189" spans="1:47" ht="13.5" x14ac:dyDescent="0.25">
      <c r="A189" s="16">
        <v>150</v>
      </c>
      <c r="B189" s="16">
        <f t="shared" si="136"/>
        <v>300</v>
      </c>
      <c r="C189" s="19">
        <f t="shared" si="137"/>
        <v>57.708774203067975</v>
      </c>
      <c r="D189" s="17">
        <f t="shared" si="138"/>
        <v>-57288.995854203073</v>
      </c>
      <c r="E189" s="17">
        <f t="shared" si="139"/>
        <v>10191.099985796933</v>
      </c>
      <c r="F189" s="17">
        <f t="shared" si="140"/>
        <v>50164.601025796932</v>
      </c>
      <c r="G189" s="17">
        <f t="shared" si="141"/>
        <v>-10439.118294203066</v>
      </c>
      <c r="H189" s="17">
        <f t="shared" si="169"/>
        <v>10191.099985796933</v>
      </c>
      <c r="I189" s="17">
        <f t="shared" si="142"/>
        <v>981.94737605440162</v>
      </c>
      <c r="J189" s="20">
        <f>(Geraetedaten!$B$152+(Geraetedaten!$B$153*(Geraetedaten!$B$18+d_y_Sw)/1000))*10</f>
        <v>6051.0442000000003</v>
      </c>
      <c r="K189" s="20">
        <f>(Geraetedaten!$B$165+(Geraetedaten!$B$166*(Geraetedaten!$B$18+d_y_Sw)/1000))*10</f>
        <v>10816.164000000001</v>
      </c>
      <c r="L189" s="20">
        <f>(Geraetedaten!$B$158+(Geraetedaten!$B$159*(Geraetedaten!$B$18+d_y_Sw)/1000)-(Geraetedaten!$B$160*I189/1000))*10</f>
        <v>529.53039891393041</v>
      </c>
      <c r="M189" s="20">
        <f>(Geraetedaten!$B$171+(Geraetedaten!$B$172*(Geraetedaten!$B$18+d_y_Sw)/1000)-(Geraetedaten!$B$173*I189/1000))*10</f>
        <v>991.77083732651124</v>
      </c>
      <c r="N189" s="20">
        <f>IF((H189-J189)/(K189-J189)*(Geraetedaten!$B$174-Geraetedaten!$B$161)&lt;Geraetedaten!$B$174,(H189-J189)/(K189-J189)*(Geraetedaten!$B$174-Geraetedaten!$B$161),Geraetedaten!$B$174)</f>
        <v>347.5300483145823</v>
      </c>
      <c r="O189" s="20">
        <f>N189/Geraetedaten!$B$174*(M189-L189)+L189+C189</f>
        <v>988.84527785319312</v>
      </c>
      <c r="P189" s="20">
        <f t="shared" si="143"/>
        <v>261.42992305004151</v>
      </c>
      <c r="Q189" s="21">
        <f>(N189-Geraetedaten!$B$161)/(Geraetedaten!$B$174-Geraetedaten!$B$161)*(Geraetedaten!$B$175-Geraetedaten!$B$162)+Geraetedaten!$B$162</f>
        <v>39.539018937358826</v>
      </c>
      <c r="R189" s="21">
        <f t="shared" si="144"/>
        <v>39.539018937358826</v>
      </c>
      <c r="S189" s="21">
        <f t="shared" si="145"/>
        <v>19.769509468679409</v>
      </c>
      <c r="T189" s="88">
        <f t="shared" si="146"/>
        <v>-34.241794840466746</v>
      </c>
      <c r="U189" s="86">
        <f t="shared" si="147"/>
        <v>-57231.287080000002</v>
      </c>
      <c r="V189" s="85">
        <f t="shared" si="148"/>
        <v>-1346.4914747781525</v>
      </c>
      <c r="W189" s="85">
        <f t="shared" si="149"/>
        <v>-12880.011888289055</v>
      </c>
      <c r="X189" s="90">
        <f t="shared" si="150"/>
        <v>1346.4914747781525</v>
      </c>
      <c r="Y189" s="86">
        <f t="shared" si="151"/>
        <v>10248.80876</v>
      </c>
      <c r="Z189" s="85">
        <f t="shared" si="152"/>
        <v>-818.62113479844345</v>
      </c>
      <c r="AA189" s="85">
        <f t="shared" si="153"/>
        <v>981.94737605440162</v>
      </c>
      <c r="AB189" s="90">
        <f t="shared" si="154"/>
        <v>818.62113479844345</v>
      </c>
      <c r="AC189" s="86">
        <f t="shared" si="155"/>
        <v>50222.309800000003</v>
      </c>
      <c r="AD189" s="85">
        <f t="shared" si="156"/>
        <v>3384.56104615708</v>
      </c>
      <c r="AE189" s="85">
        <f t="shared" si="157"/>
        <v>28328.146163950045</v>
      </c>
      <c r="AF189" s="90">
        <f t="shared" si="158"/>
        <v>3384.56104615708</v>
      </c>
      <c r="AG189" s="86">
        <f t="shared" si="159"/>
        <v>-10381.409519999999</v>
      </c>
      <c r="AH189" s="85">
        <f t="shared" si="160"/>
        <v>6139.2748628683721</v>
      </c>
      <c r="AI189" s="85">
        <f t="shared" si="161"/>
        <v>-7134.612996910766</v>
      </c>
      <c r="AJ189" s="90">
        <f t="shared" si="162"/>
        <v>6139.2748628683721</v>
      </c>
      <c r="AL189" s="95">
        <f t="shared" si="163"/>
        <v>0</v>
      </c>
      <c r="AM189" s="95">
        <f t="shared" si="164"/>
        <v>0</v>
      </c>
      <c r="AN189" s="95">
        <f t="shared" si="165"/>
        <v>0</v>
      </c>
      <c r="AO189" s="95">
        <f t="shared" si="166"/>
        <v>0</v>
      </c>
      <c r="AP189"/>
      <c r="AQ189" s="95">
        <f t="shared" si="167"/>
        <v>0</v>
      </c>
      <c r="AR189" s="95">
        <f t="shared" si="168"/>
        <v>0</v>
      </c>
      <c r="AS189" s="95">
        <f>Geraetedaten!$B$94*ABS(SIN(RADIANS($A189)))</f>
        <v>76.999999999999986</v>
      </c>
      <c r="AT189" s="95">
        <f>Geraetedaten!$B$94*ABS(COS(RADIANS($A189)))</f>
        <v>133.36791218280356</v>
      </c>
      <c r="AU189" s="95">
        <f>((h_Aw_Sw+Geraetedaten!$B$18)/1000)*(AQ189*AS189+AR189*AT189)/100</f>
        <v>0</v>
      </c>
    </row>
    <row r="190" spans="1:47" ht="13.5" x14ac:dyDescent="0.25">
      <c r="A190" s="16">
        <v>151</v>
      </c>
      <c r="B190" s="16">
        <f t="shared" si="136"/>
        <v>299</v>
      </c>
      <c r="C190" s="19">
        <f t="shared" si="137"/>
        <v>57.000826658926599</v>
      </c>
      <c r="D190" s="17">
        <f t="shared" si="138"/>
        <v>-68694.498846658928</v>
      </c>
      <c r="E190" s="17">
        <f t="shared" si="139"/>
        <v>10076.198713341073</v>
      </c>
      <c r="F190" s="17">
        <f t="shared" si="140"/>
        <v>58694.868423341075</v>
      </c>
      <c r="G190" s="17">
        <f t="shared" si="141"/>
        <v>-10333.786456658927</v>
      </c>
      <c r="H190" s="17">
        <f t="shared" si="169"/>
        <v>10076.198713341073</v>
      </c>
      <c r="I190" s="17">
        <f t="shared" si="142"/>
        <v>970.87075497917147</v>
      </c>
      <c r="J190" s="20">
        <f>(Geraetedaten!$B$152+(Geraetedaten!$B$153*(Geraetedaten!$B$18+d_y_Sw)/1000))*10</f>
        <v>6051.0442000000003</v>
      </c>
      <c r="K190" s="20">
        <f>(Geraetedaten!$B$165+(Geraetedaten!$B$166*(Geraetedaten!$B$18+d_y_Sw)/1000))*10</f>
        <v>10816.164000000001</v>
      </c>
      <c r="L190" s="20">
        <f>(Geraetedaten!$B$158+(Geraetedaten!$B$159*(Geraetedaten!$B$18+d_y_Sw)/1000)-(Geraetedaten!$B$160*I190/1000))*10</f>
        <v>530.34264753737705</v>
      </c>
      <c r="M190" s="20">
        <f>(Geraetedaten!$B$171+(Geraetedaten!$B$172*(Geraetedaten!$B$18+d_y_Sw)/1000)-(Geraetedaten!$B$173*I190/1000))*10</f>
        <v>992.59538099935139</v>
      </c>
      <c r="N190" s="20">
        <f>IF((H190-J190)/(K190-J190)*(Geraetedaten!$B$174-Geraetedaten!$B$161)&lt;Geraetedaten!$B$174,(H190-J190)/(K190-J190)*(Geraetedaten!$B$174-Geraetedaten!$B$161),Geraetedaten!$B$174)</f>
        <v>337.88485345875858</v>
      </c>
      <c r="O190" s="20">
        <f>N190/Geraetedaten!$B$174*(M190-L190)+L190+C190</f>
        <v>977.8139669630782</v>
      </c>
      <c r="P190" s="20">
        <f t="shared" si="143"/>
        <v>260.37641590218345</v>
      </c>
      <c r="Q190" s="21">
        <f>(N190-Geraetedaten!$B$161)/(Geraetedaten!$B$174-Geraetedaten!$B$161)*(Geraetedaten!$B$175-Geraetedaten!$B$162)+Geraetedaten!$B$162</f>
        <v>39.252074390398072</v>
      </c>
      <c r="R190" s="21">
        <f t="shared" si="144"/>
        <v>39.252074390398072</v>
      </c>
      <c r="S190" s="21">
        <f t="shared" si="145"/>
        <v>19.029783279089866</v>
      </c>
      <c r="T190" s="88">
        <f t="shared" si="146"/>
        <v>-34.330637807943738</v>
      </c>
      <c r="U190" s="86">
        <f t="shared" si="147"/>
        <v>-68637.498019999999</v>
      </c>
      <c r="V190" s="85">
        <f t="shared" si="148"/>
        <v>-1346.4914747781525</v>
      </c>
      <c r="W190" s="85">
        <f t="shared" si="149"/>
        <v>-15447.001728895577</v>
      </c>
      <c r="X190" s="90">
        <f t="shared" si="150"/>
        <v>1346.4914747781525</v>
      </c>
      <c r="Y190" s="86">
        <f t="shared" si="151"/>
        <v>10133.19954</v>
      </c>
      <c r="Z190" s="85">
        <f t="shared" si="152"/>
        <v>-818.62113479844345</v>
      </c>
      <c r="AA190" s="85">
        <f t="shared" si="153"/>
        <v>970.87075497917147</v>
      </c>
      <c r="AB190" s="90">
        <f t="shared" si="154"/>
        <v>818.62113479844345</v>
      </c>
      <c r="AC190" s="86">
        <f t="shared" si="155"/>
        <v>58751.869250000003</v>
      </c>
      <c r="AD190" s="85">
        <f t="shared" si="156"/>
        <v>3384.56104615708</v>
      </c>
      <c r="AE190" s="85">
        <f t="shared" si="157"/>
        <v>33139.287025018653</v>
      </c>
      <c r="AF190" s="90">
        <f t="shared" si="158"/>
        <v>3384.56104615708</v>
      </c>
      <c r="AG190" s="86">
        <f t="shared" si="159"/>
        <v>-10276.78563</v>
      </c>
      <c r="AH190" s="85">
        <f t="shared" si="160"/>
        <v>6139.2748628683721</v>
      </c>
      <c r="AI190" s="85">
        <f t="shared" si="161"/>
        <v>-7062.7103337082353</v>
      </c>
      <c r="AJ190" s="90">
        <f t="shared" si="162"/>
        <v>6139.2748628683721</v>
      </c>
      <c r="AL190" s="95">
        <f t="shared" si="163"/>
        <v>0</v>
      </c>
      <c r="AM190" s="95">
        <f t="shared" si="164"/>
        <v>0</v>
      </c>
      <c r="AN190" s="95">
        <f t="shared" si="165"/>
        <v>0</v>
      </c>
      <c r="AO190" s="95">
        <f t="shared" si="166"/>
        <v>0</v>
      </c>
      <c r="AP190"/>
      <c r="AQ190" s="95">
        <f t="shared" si="167"/>
        <v>0</v>
      </c>
      <c r="AR190" s="95">
        <f t="shared" si="168"/>
        <v>0</v>
      </c>
      <c r="AS190" s="95">
        <f>Geraetedaten!$B$94*ABS(SIN(RADIANS($A190)))</f>
        <v>74.660681517935927</v>
      </c>
      <c r="AT190" s="95">
        <f>Geraetedaten!$B$94*ABS(COS(RADIANS($A190)))</f>
        <v>134.69143489946694</v>
      </c>
      <c r="AU190" s="95">
        <f>((h_Aw_Sw+Geraetedaten!$B$18)/1000)*(AQ190*AS190+AR190*AT190)/100</f>
        <v>0</v>
      </c>
    </row>
    <row r="191" spans="1:47" ht="13.5" x14ac:dyDescent="0.25">
      <c r="A191" s="16">
        <v>152</v>
      </c>
      <c r="B191" s="16">
        <f t="shared" si="136"/>
        <v>298</v>
      </c>
      <c r="C191" s="19">
        <f t="shared" si="137"/>
        <v>56.275516110805491</v>
      </c>
      <c r="D191" s="17">
        <f t="shared" si="138"/>
        <v>-85810.793806110814</v>
      </c>
      <c r="E191" s="17">
        <f t="shared" si="139"/>
        <v>9966.9130138891942</v>
      </c>
      <c r="F191" s="17">
        <f t="shared" si="140"/>
        <v>70741.108363889187</v>
      </c>
      <c r="G191" s="17">
        <f t="shared" si="141"/>
        <v>-10233.594196110806</v>
      </c>
      <c r="H191" s="17">
        <f t="shared" si="169"/>
        <v>9966.9130138891942</v>
      </c>
      <c r="I191" s="17">
        <f t="shared" si="142"/>
        <v>960.33050380377006</v>
      </c>
      <c r="J191" s="20">
        <f>(Geraetedaten!$B$152+(Geraetedaten!$B$153*(Geraetedaten!$B$18+d_y_Sw)/1000))*10</f>
        <v>6051.0442000000003</v>
      </c>
      <c r="K191" s="20">
        <f>(Geraetedaten!$B$165+(Geraetedaten!$B$166*(Geraetedaten!$B$18+d_y_Sw)/1000))*10</f>
        <v>10816.164000000001</v>
      </c>
      <c r="L191" s="20">
        <f>(Geraetedaten!$B$158+(Geraetedaten!$B$159*(Geraetedaten!$B$18+d_y_Sw)/1000)-(Geraetedaten!$B$160*I191/1000))*10</f>
        <v>531.11556415606924</v>
      </c>
      <c r="M191" s="20">
        <f>(Geraetedaten!$B$171+(Geraetedaten!$B$172*(Geraetedaten!$B$18+d_y_Sw)/1000)-(Geraetedaten!$B$173*I191/1000))*10</f>
        <v>993.37999729684839</v>
      </c>
      <c r="N191" s="20">
        <f>IF((H191-J191)/(K191-J191)*(Geraetedaten!$B$174-Geraetedaten!$B$161)&lt;Geraetedaten!$B$174,(H191-J191)/(K191-J191)*(Geraetedaten!$B$174-Geraetedaten!$B$161),Geraetedaten!$B$174)</f>
        <v>328.71104847262757</v>
      </c>
      <c r="O191" s="20">
        <f>N191/Geraetedaten!$B$174*(M191-L191)+L191+C191</f>
        <v>967.26964649015065</v>
      </c>
      <c r="P191" s="20">
        <f t="shared" si="143"/>
        <v>259.34619602320959</v>
      </c>
      <c r="Q191" s="21">
        <f>(N191-Geraetedaten!$B$161)/(Geraetedaten!$B$174-Geraetedaten!$B$161)*(Geraetedaten!$B$175-Geraetedaten!$B$162)+Geraetedaten!$B$162</f>
        <v>38.97915369206067</v>
      </c>
      <c r="R191" s="21">
        <f t="shared" si="144"/>
        <v>38.97915369206067</v>
      </c>
      <c r="S191" s="21">
        <f t="shared" si="145"/>
        <v>18.299604199883145</v>
      </c>
      <c r="T191" s="88">
        <f t="shared" si="146"/>
        <v>-34.416549924083128</v>
      </c>
      <c r="U191" s="86">
        <f t="shared" si="147"/>
        <v>-85754.518290000007</v>
      </c>
      <c r="V191" s="85">
        <f t="shared" si="148"/>
        <v>-1346.4914747781525</v>
      </c>
      <c r="W191" s="85">
        <f t="shared" si="149"/>
        <v>-19299.220256828146</v>
      </c>
      <c r="X191" s="90">
        <f t="shared" si="150"/>
        <v>1346.4914747781525</v>
      </c>
      <c r="Y191" s="86">
        <f t="shared" si="151"/>
        <v>10023.188529999999</v>
      </c>
      <c r="Z191" s="85">
        <f t="shared" si="152"/>
        <v>-818.62113479844345</v>
      </c>
      <c r="AA191" s="85">
        <f t="shared" si="153"/>
        <v>960.33050380377006</v>
      </c>
      <c r="AB191" s="90">
        <f t="shared" si="154"/>
        <v>818.62113479844345</v>
      </c>
      <c r="AC191" s="86">
        <f t="shared" si="155"/>
        <v>70797.383879999994</v>
      </c>
      <c r="AD191" s="85">
        <f t="shared" si="156"/>
        <v>3384.56104615708</v>
      </c>
      <c r="AE191" s="85">
        <f t="shared" si="157"/>
        <v>39933.620069141361</v>
      </c>
      <c r="AF191" s="90">
        <f t="shared" si="158"/>
        <v>3384.56104615708</v>
      </c>
      <c r="AG191" s="86">
        <f t="shared" si="159"/>
        <v>-10177.31868</v>
      </c>
      <c r="AH191" s="85">
        <f t="shared" si="160"/>
        <v>6139.2748628683721</v>
      </c>
      <c r="AI191" s="85">
        <f t="shared" si="161"/>
        <v>-6994.3517711016966</v>
      </c>
      <c r="AJ191" s="90">
        <f t="shared" si="162"/>
        <v>6139.2748628683721</v>
      </c>
      <c r="AL191" s="95">
        <f t="shared" si="163"/>
        <v>0</v>
      </c>
      <c r="AM191" s="95">
        <f t="shared" si="164"/>
        <v>0</v>
      </c>
      <c r="AN191" s="95">
        <f t="shared" si="165"/>
        <v>0</v>
      </c>
      <c r="AO191" s="95">
        <f t="shared" si="166"/>
        <v>0</v>
      </c>
      <c r="AP191"/>
      <c r="AQ191" s="95">
        <f t="shared" si="167"/>
        <v>0</v>
      </c>
      <c r="AR191" s="95">
        <f t="shared" si="168"/>
        <v>0</v>
      </c>
      <c r="AS191" s="95">
        <f>Geraetedaten!$B$94*ABS(SIN(RADIANS($A191)))</f>
        <v>72.298620669027173</v>
      </c>
      <c r="AT191" s="95">
        <f>Geraetedaten!$B$94*ABS(COS(RADIANS($A191)))</f>
        <v>135.97392930027476</v>
      </c>
      <c r="AU191" s="95">
        <f>((h_Aw_Sw+Geraetedaten!$B$18)/1000)*(AQ191*AS191+AR191*AT191)/100</f>
        <v>0</v>
      </c>
    </row>
    <row r="192" spans="1:47" ht="13.5" x14ac:dyDescent="0.25">
      <c r="A192" s="16">
        <v>153</v>
      </c>
      <c r="B192" s="16">
        <f t="shared" si="136"/>
        <v>297</v>
      </c>
      <c r="C192" s="19">
        <f t="shared" si="137"/>
        <v>55.533063495323873</v>
      </c>
      <c r="D192" s="17">
        <f t="shared" si="138"/>
        <v>-114347.27504349533</v>
      </c>
      <c r="E192" s="17">
        <f t="shared" si="139"/>
        <v>9862.9963065046759</v>
      </c>
      <c r="F192" s="17">
        <f t="shared" si="140"/>
        <v>89034.55040650467</v>
      </c>
      <c r="G192" s="17">
        <f t="shared" si="141"/>
        <v>-10138.333643495323</v>
      </c>
      <c r="H192" s="17">
        <f t="shared" si="169"/>
        <v>9862.9963065046759</v>
      </c>
      <c r="I192" s="17">
        <f t="shared" si="142"/>
        <v>950.30301762192391</v>
      </c>
      <c r="J192" s="20">
        <f>(Geraetedaten!$B$152+(Geraetedaten!$B$153*(Geraetedaten!$B$18+d_y_Sw)/1000))*10</f>
        <v>6051.0442000000003</v>
      </c>
      <c r="K192" s="20">
        <f>(Geraetedaten!$B$165+(Geraetedaten!$B$166*(Geraetedaten!$B$18+d_y_Sw)/1000))*10</f>
        <v>10816.164000000001</v>
      </c>
      <c r="L192" s="20">
        <f>(Geraetedaten!$B$158+(Geraetedaten!$B$159*(Geraetedaten!$B$18+d_y_Sw)/1000)-(Geraetedaten!$B$160*I192/1000))*10</f>
        <v>531.8508797177841</v>
      </c>
      <c r="M192" s="20">
        <f>(Geraetedaten!$B$171+(Geraetedaten!$B$172*(Geraetedaten!$B$18+d_y_Sw)/1000)-(Geraetedaten!$B$173*I192/1000))*10</f>
        <v>994.12644336822495</v>
      </c>
      <c r="N192" s="20">
        <f>IF((H192-J192)/(K192-J192)*(Geraetedaten!$B$174-Geraetedaten!$B$161)&lt;Geraetedaten!$B$174,(H192-J192)/(K192-J192)*(Geraetedaten!$B$174-Geraetedaten!$B$161),Geraetedaten!$B$174)</f>
        <v>319.98793453248965</v>
      </c>
      <c r="O192" s="20">
        <f>N192/Geraetedaten!$B$174*(M192-L192)+L192+C192</f>
        <v>957.19045020647548</v>
      </c>
      <c r="P192" s="20">
        <f t="shared" si="143"/>
        <v>258.33900137283223</v>
      </c>
      <c r="Q192" s="21">
        <f>(N192-Geraetedaten!$B$161)/(Geraetedaten!$B$174-Geraetedaten!$B$161)*(Geraetedaten!$B$175-Geraetedaten!$B$162)+Geraetedaten!$B$162</f>
        <v>38.719641052341565</v>
      </c>
      <c r="R192" s="21">
        <f t="shared" si="144"/>
        <v>38.719641052341565</v>
      </c>
      <c r="S192" s="21">
        <f t="shared" si="145"/>
        <v>17.578349191088421</v>
      </c>
      <c r="T192" s="88">
        <f t="shared" si="146"/>
        <v>-34.499452791868094</v>
      </c>
      <c r="U192" s="86">
        <f t="shared" si="147"/>
        <v>-114291.74198000001</v>
      </c>
      <c r="V192" s="85">
        <f t="shared" si="148"/>
        <v>-1346.4914747781525</v>
      </c>
      <c r="W192" s="85">
        <f t="shared" si="149"/>
        <v>-25721.577661916192</v>
      </c>
      <c r="X192" s="90">
        <f t="shared" si="150"/>
        <v>1346.4914747781525</v>
      </c>
      <c r="Y192" s="86">
        <f t="shared" si="151"/>
        <v>9918.5293700000002</v>
      </c>
      <c r="Z192" s="85">
        <f t="shared" si="152"/>
        <v>-818.62113479844345</v>
      </c>
      <c r="AA192" s="85">
        <f t="shared" si="153"/>
        <v>950.30301762192391</v>
      </c>
      <c r="AB192" s="90">
        <f t="shared" si="154"/>
        <v>818.62113479844345</v>
      </c>
      <c r="AC192" s="86">
        <f t="shared" si="155"/>
        <v>89090.083469999998</v>
      </c>
      <c r="AD192" s="85">
        <f t="shared" si="156"/>
        <v>3384.56104615708</v>
      </c>
      <c r="AE192" s="85">
        <f t="shared" si="157"/>
        <v>50251.709175974254</v>
      </c>
      <c r="AF192" s="90">
        <f t="shared" si="158"/>
        <v>3384.56104615708</v>
      </c>
      <c r="AG192" s="86">
        <f t="shared" si="159"/>
        <v>-10082.800579999999</v>
      </c>
      <c r="AH192" s="85">
        <f t="shared" si="160"/>
        <v>6139.2748628683721</v>
      </c>
      <c r="AI192" s="85">
        <f t="shared" si="161"/>
        <v>-6929.3943083091681</v>
      </c>
      <c r="AJ192" s="90">
        <f t="shared" si="162"/>
        <v>6139.2748628683721</v>
      </c>
      <c r="AL192" s="95">
        <f t="shared" si="163"/>
        <v>0</v>
      </c>
      <c r="AM192" s="95">
        <f t="shared" si="164"/>
        <v>0</v>
      </c>
      <c r="AN192" s="95">
        <f t="shared" si="165"/>
        <v>0</v>
      </c>
      <c r="AO192" s="95">
        <f t="shared" si="166"/>
        <v>0</v>
      </c>
      <c r="AP192"/>
      <c r="AQ192" s="95">
        <f t="shared" si="167"/>
        <v>0</v>
      </c>
      <c r="AR192" s="95">
        <f t="shared" si="168"/>
        <v>0</v>
      </c>
      <c r="AS192" s="95">
        <f>Geraetedaten!$B$94*ABS(SIN(RADIANS($A192)))</f>
        <v>69.914536959890214</v>
      </c>
      <c r="AT192" s="95">
        <f>Geraetedaten!$B$94*ABS(COS(RADIANS($A192)))</f>
        <v>137.21500472500864</v>
      </c>
      <c r="AU192" s="95">
        <f>((h_Aw_Sw+Geraetedaten!$B$18)/1000)*(AQ192*AS192+AR192*AT192)/100</f>
        <v>0</v>
      </c>
    </row>
    <row r="193" spans="1:47" ht="13.5" x14ac:dyDescent="0.25">
      <c r="A193" s="16">
        <v>154</v>
      </c>
      <c r="B193" s="16">
        <f t="shared" si="136"/>
        <v>296</v>
      </c>
      <c r="C193" s="19">
        <f t="shared" si="137"/>
        <v>54.773694970740706</v>
      </c>
      <c r="D193" s="17">
        <f t="shared" si="138"/>
        <v>-171427.95549497072</v>
      </c>
      <c r="E193" s="17">
        <f t="shared" si="139"/>
        <v>9764.2196250292582</v>
      </c>
      <c r="F193" s="17">
        <f t="shared" si="140"/>
        <v>120123.77119502926</v>
      </c>
      <c r="G193" s="17">
        <f t="shared" si="141"/>
        <v>-10047.811594970741</v>
      </c>
      <c r="H193" s="17">
        <f t="shared" si="169"/>
        <v>9764.2196250292582</v>
      </c>
      <c r="I193" s="17">
        <f t="shared" si="142"/>
        <v>940.76638076102392</v>
      </c>
      <c r="J193" s="20">
        <f>(Geraetedaten!$B$152+(Geraetedaten!$B$153*(Geraetedaten!$B$18+d_y_Sw)/1000))*10</f>
        <v>6051.0442000000003</v>
      </c>
      <c r="K193" s="20">
        <f>(Geraetedaten!$B$165+(Geraetedaten!$B$166*(Geraetedaten!$B$18+d_y_Sw)/1000))*10</f>
        <v>10816.164000000001</v>
      </c>
      <c r="L193" s="20">
        <f>(Geraetedaten!$B$158+(Geraetedaten!$B$159*(Geraetedaten!$B$18+d_y_Sw)/1000)-(Geraetedaten!$B$160*I193/1000))*10</f>
        <v>532.55020129879381</v>
      </c>
      <c r="M193" s="20">
        <f>(Geraetedaten!$B$171+(Geraetedaten!$B$172*(Geraetedaten!$B$18+d_y_Sw)/1000)-(Geraetedaten!$B$173*I193/1000))*10</f>
        <v>994.8363506161503</v>
      </c>
      <c r="N193" s="20">
        <f>IF((H193-J193)/(K193-J193)*(Geraetedaten!$B$174-Geraetedaten!$B$161)&lt;Geraetedaten!$B$174,(H193-J193)/(K193-J193)*(Geraetedaten!$B$174-Geraetedaten!$B$161),Geraetedaten!$B$174)</f>
        <v>311.69629145770961</v>
      </c>
      <c r="O193" s="20">
        <f>N193/Geraetedaten!$B$174*(M193-L193)+L193+C193</f>
        <v>947.55609210574698</v>
      </c>
      <c r="P193" s="20">
        <f t="shared" si="143"/>
        <v>257.35459013201881</v>
      </c>
      <c r="Q193" s="21">
        <f>(N193-Geraetedaten!$B$161)/(Geraetedaten!$B$174-Geraetedaten!$B$161)*(Geraetedaten!$B$175-Geraetedaten!$B$162)+Geraetedaten!$B$162</f>
        <v>38.472964670866858</v>
      </c>
      <c r="R193" s="21">
        <f t="shared" si="144"/>
        <v>38.472964670866858</v>
      </c>
      <c r="S193" s="21">
        <f t="shared" si="145"/>
        <v>16.865437643143562</v>
      </c>
      <c r="T193" s="88">
        <f t="shared" si="146"/>
        <v>-34.579271589653324</v>
      </c>
      <c r="U193" s="86">
        <f t="shared" si="147"/>
        <v>-171373.18179999999</v>
      </c>
      <c r="V193" s="85">
        <f t="shared" si="148"/>
        <v>-1346.4914747781525</v>
      </c>
      <c r="W193" s="85">
        <f t="shared" si="149"/>
        <v>-38567.866134695993</v>
      </c>
      <c r="X193" s="90">
        <f t="shared" si="150"/>
        <v>1346.4914747781525</v>
      </c>
      <c r="Y193" s="86">
        <f t="shared" si="151"/>
        <v>9818.9933199999996</v>
      </c>
      <c r="Z193" s="85">
        <f t="shared" si="152"/>
        <v>-818.62113479844345</v>
      </c>
      <c r="AA193" s="85">
        <f t="shared" si="153"/>
        <v>940.76638076102392</v>
      </c>
      <c r="AB193" s="90">
        <f t="shared" si="154"/>
        <v>818.62113479844345</v>
      </c>
      <c r="AC193" s="86">
        <f t="shared" si="155"/>
        <v>120178.54489</v>
      </c>
      <c r="AD193" s="85">
        <f t="shared" si="156"/>
        <v>3384.56104615708</v>
      </c>
      <c r="AE193" s="85">
        <f t="shared" si="157"/>
        <v>67787.312030047469</v>
      </c>
      <c r="AF193" s="90">
        <f t="shared" si="158"/>
        <v>3384.56104615708</v>
      </c>
      <c r="AG193" s="86">
        <f t="shared" si="159"/>
        <v>-9993.0378999999994</v>
      </c>
      <c r="AH193" s="85">
        <f t="shared" si="160"/>
        <v>6139.2748628683721</v>
      </c>
      <c r="AI193" s="85">
        <f t="shared" si="161"/>
        <v>-6867.7050001706002</v>
      </c>
      <c r="AJ193" s="90">
        <f t="shared" si="162"/>
        <v>6139.2748628683721</v>
      </c>
      <c r="AL193" s="95">
        <f t="shared" si="163"/>
        <v>0</v>
      </c>
      <c r="AM193" s="95">
        <f t="shared" si="164"/>
        <v>0</v>
      </c>
      <c r="AN193" s="95">
        <f t="shared" si="165"/>
        <v>0</v>
      </c>
      <c r="AO193" s="95">
        <f t="shared" si="166"/>
        <v>0</v>
      </c>
      <c r="AP193"/>
      <c r="AQ193" s="95">
        <f t="shared" si="167"/>
        <v>0</v>
      </c>
      <c r="AR193" s="95">
        <f t="shared" si="168"/>
        <v>0</v>
      </c>
      <c r="AS193" s="95">
        <f>Geraetedaten!$B$94*ABS(SIN(RADIANS($A193)))</f>
        <v>67.509156605517902</v>
      </c>
      <c r="AT193" s="95">
        <f>Geraetedaten!$B$94*ABS(COS(RADIANS($A193)))</f>
        <v>138.41428313007174</v>
      </c>
      <c r="AU193" s="95">
        <f>((h_Aw_Sw+Geraetedaten!$B$18)/1000)*(AQ193*AS193+AR193*AT193)/100</f>
        <v>0</v>
      </c>
    </row>
    <row r="194" spans="1:47" ht="13.5" x14ac:dyDescent="0.25">
      <c r="A194" s="16">
        <v>155</v>
      </c>
      <c r="B194" s="16">
        <f t="shared" si="136"/>
        <v>295</v>
      </c>
      <c r="C194" s="19">
        <f t="shared" si="137"/>
        <v>53.997641848064774</v>
      </c>
      <c r="D194" s="17">
        <f t="shared" si="138"/>
        <v>-342622.81928184803</v>
      </c>
      <c r="E194" s="17">
        <f t="shared" si="139"/>
        <v>9670.3702381519342</v>
      </c>
      <c r="F194" s="17">
        <f t="shared" si="140"/>
        <v>184625.80960815196</v>
      </c>
      <c r="G194" s="17">
        <f t="shared" si="141"/>
        <v>-9961.8483918480651</v>
      </c>
      <c r="H194" s="17">
        <f t="shared" si="169"/>
        <v>9670.3702381519342</v>
      </c>
      <c r="I194" s="17">
        <f t="shared" si="142"/>
        <v>931.70023452028306</v>
      </c>
      <c r="J194" s="20">
        <f>(Geraetedaten!$B$152+(Geraetedaten!$B$153*(Geraetedaten!$B$18+d_y_Sw)/1000))*10</f>
        <v>6051.0442000000003</v>
      </c>
      <c r="K194" s="20">
        <f>(Geraetedaten!$B$165+(Geraetedaten!$B$166*(Geraetedaten!$B$18+d_y_Sw)/1000))*10</f>
        <v>10816.164000000001</v>
      </c>
      <c r="L194" s="20">
        <f>(Geraetedaten!$B$158+(Geraetedaten!$B$159*(Geraetedaten!$B$18+d_y_Sw)/1000)-(Geraetedaten!$B$160*I194/1000))*10</f>
        <v>533.21502180262746</v>
      </c>
      <c r="M194" s="20">
        <f>(Geraetedaten!$B$171+(Geraetedaten!$B$172*(Geraetedaten!$B$18+d_y_Sw)/1000)-(Geraetedaten!$B$173*I194/1000))*10</f>
        <v>995.51123454231106</v>
      </c>
      <c r="N194" s="20">
        <f>IF((H194-J194)/(K194-J194)*(Geraetedaten!$B$174-Geraetedaten!$B$161)&lt;Geraetedaten!$B$174,(H194-J194)/(K194-J194)*(Geraetedaten!$B$174-Geraetedaten!$B$161),Geraetedaten!$B$174)</f>
        <v>303.8182618747116</v>
      </c>
      <c r="O194" s="20">
        <f>N194/Geraetedaten!$B$174*(M194-L194)+L194+C194</f>
        <v>938.34774321527368</v>
      </c>
      <c r="P194" s="20">
        <f t="shared" si="143"/>
        <v>256.39274040092897</v>
      </c>
      <c r="Q194" s="21">
        <f>(N194-Geraetedaten!$B$161)/(Geraetedaten!$B$174-Geraetedaten!$B$161)*(Geraetedaten!$B$175-Geraetedaten!$B$162)+Geraetedaten!$B$162</f>
        <v>38.23859329077267</v>
      </c>
      <c r="R194" s="21">
        <f t="shared" si="144"/>
        <v>38.23859329077267</v>
      </c>
      <c r="S194" s="21">
        <f t="shared" si="145"/>
        <v>16.160327827955921</v>
      </c>
      <c r="T194" s="88">
        <f t="shared" si="146"/>
        <v>-34.65593486475467</v>
      </c>
      <c r="U194" s="86">
        <f t="shared" si="147"/>
        <v>-342568.82163999998</v>
      </c>
      <c r="V194" s="85">
        <f t="shared" si="148"/>
        <v>-1346.4914747781525</v>
      </c>
      <c r="W194" s="85">
        <f t="shared" si="149"/>
        <v>-77095.776108719932</v>
      </c>
      <c r="X194" s="90">
        <f t="shared" si="150"/>
        <v>1346.4914747781525</v>
      </c>
      <c r="Y194" s="86">
        <f t="shared" si="151"/>
        <v>9724.3678799999998</v>
      </c>
      <c r="Z194" s="85">
        <f t="shared" si="152"/>
        <v>-818.62113479844345</v>
      </c>
      <c r="AA194" s="85">
        <f t="shared" si="153"/>
        <v>931.70023452028306</v>
      </c>
      <c r="AB194" s="90">
        <f t="shared" si="154"/>
        <v>818.62113479844345</v>
      </c>
      <c r="AC194" s="86">
        <f t="shared" si="155"/>
        <v>184679.80725000001</v>
      </c>
      <c r="AD194" s="85">
        <f t="shared" si="156"/>
        <v>3384.56104615708</v>
      </c>
      <c r="AE194" s="85">
        <f t="shared" si="157"/>
        <v>104169.57312940276</v>
      </c>
      <c r="AF194" s="90">
        <f t="shared" si="158"/>
        <v>3384.56104615708</v>
      </c>
      <c r="AG194" s="86">
        <f t="shared" si="159"/>
        <v>-9907.8507499999996</v>
      </c>
      <c r="AH194" s="85">
        <f t="shared" si="160"/>
        <v>6139.2748628683721</v>
      </c>
      <c r="AI194" s="85">
        <f t="shared" si="161"/>
        <v>-6809.1602186913851</v>
      </c>
      <c r="AJ194" s="90">
        <f t="shared" si="162"/>
        <v>6139.2748628683721</v>
      </c>
      <c r="AL194" s="95">
        <f t="shared" si="163"/>
        <v>0</v>
      </c>
      <c r="AM194" s="95">
        <f t="shared" si="164"/>
        <v>0</v>
      </c>
      <c r="AN194" s="95">
        <f t="shared" si="165"/>
        <v>0</v>
      </c>
      <c r="AO194" s="95">
        <f t="shared" si="166"/>
        <v>0</v>
      </c>
      <c r="AP194"/>
      <c r="AQ194" s="95">
        <f t="shared" si="167"/>
        <v>0</v>
      </c>
      <c r="AR194" s="95">
        <f t="shared" si="168"/>
        <v>0</v>
      </c>
      <c r="AS194" s="95">
        <f>Geraetedaten!$B$94*ABS(SIN(RADIANS($A194)))</f>
        <v>65.083212308067729</v>
      </c>
      <c r="AT194" s="95">
        <f>Geraetedaten!$B$94*ABS(COS(RADIANS($A194)))</f>
        <v>139.57139920364409</v>
      </c>
      <c r="AU194" s="95">
        <f>((h_Aw_Sw+Geraetedaten!$B$18)/1000)*(AQ194*AS194+AR194*AT194)/100</f>
        <v>0</v>
      </c>
    </row>
    <row r="195" spans="1:47" ht="13.5" x14ac:dyDescent="0.25">
      <c r="A195" s="16">
        <v>156</v>
      </c>
      <c r="B195" s="16">
        <f t="shared" si="136"/>
        <v>294</v>
      </c>
      <c r="C195" s="19">
        <f t="shared" si="137"/>
        <v>53.205140520595016</v>
      </c>
      <c r="D195" s="17">
        <f t="shared" si="138"/>
        <v>-468382831.63939053</v>
      </c>
      <c r="E195" s="17">
        <f t="shared" si="139"/>
        <v>9581.250439479405</v>
      </c>
      <c r="F195" s="17">
        <f t="shared" si="140"/>
        <v>398837.54372947942</v>
      </c>
      <c r="G195" s="17">
        <f t="shared" si="141"/>
        <v>-9880.2769705205956</v>
      </c>
      <c r="H195" s="17">
        <f t="shared" si="169"/>
        <v>9581.250439479405</v>
      </c>
      <c r="I195" s="17">
        <f t="shared" si="142"/>
        <v>923.08565787545979</v>
      </c>
      <c r="J195" s="20">
        <f>(Geraetedaten!$B$152+(Geraetedaten!$B$153*(Geraetedaten!$B$18+d_y_Sw)/1000))*10</f>
        <v>6051.0442000000003</v>
      </c>
      <c r="K195" s="20">
        <f>(Geraetedaten!$B$165+(Geraetedaten!$B$166*(Geraetedaten!$B$18+d_y_Sw)/1000))*10</f>
        <v>10816.164000000001</v>
      </c>
      <c r="L195" s="20">
        <f>(Geraetedaten!$B$158+(Geraetedaten!$B$159*(Geraetedaten!$B$18+d_y_Sw)/1000)-(Geraetedaten!$B$160*I195/1000))*10</f>
        <v>533.84672870799227</v>
      </c>
      <c r="M195" s="20">
        <f>(Geraetedaten!$B$171+(Geraetedaten!$B$172*(Geraetedaten!$B$18+d_y_Sw)/1000)-(Geraetedaten!$B$173*I195/1000))*10</f>
        <v>996.15250362775168</v>
      </c>
      <c r="N195" s="20">
        <f>IF((H195-J195)/(K195-J195)*(Geraetedaten!$B$174-Geraetedaten!$B$161)&lt;Geraetedaten!$B$174,(H195-J195)/(K195-J195)*(Geraetedaten!$B$174-Geraetedaten!$B$161),Geraetedaten!$B$174)</f>
        <v>296.33724965146979</v>
      </c>
      <c r="O195" s="20">
        <f>N195/Geraetedaten!$B$174*(M195-L195)+L195+C195</f>
        <v>929.54792382286973</v>
      </c>
      <c r="P195" s="20">
        <f t="shared" si="143"/>
        <v>255.45325022746306</v>
      </c>
      <c r="Q195" s="21">
        <f>(N195-Geraetedaten!$B$161)/(Geraetedaten!$B$174-Geraetedaten!$B$161)*(Geraetedaten!$B$175-Geraetedaten!$B$162)+Geraetedaten!$B$162</f>
        <v>38.016033177131227</v>
      </c>
      <c r="R195" s="21">
        <f t="shared" si="144"/>
        <v>38.016033177131227</v>
      </c>
      <c r="S195" s="21">
        <f t="shared" si="145"/>
        <v>15.462513717524612</v>
      </c>
      <c r="T195" s="88">
        <f t="shared" si="146"/>
        <v>-34.729374426558643</v>
      </c>
      <c r="U195" s="86">
        <f t="shared" si="147"/>
        <v>-468382778.43425</v>
      </c>
      <c r="V195" s="85">
        <f t="shared" si="148"/>
        <v>-1346.4914747781525</v>
      </c>
      <c r="W195" s="85">
        <f t="shared" si="149"/>
        <v>-105410450.5130602</v>
      </c>
      <c r="X195" s="90">
        <f t="shared" si="150"/>
        <v>1346.4914747781525</v>
      </c>
      <c r="Y195" s="86">
        <f t="shared" si="151"/>
        <v>9634.4555799999998</v>
      </c>
      <c r="Z195" s="85">
        <f t="shared" si="152"/>
        <v>-818.62113479844345</v>
      </c>
      <c r="AA195" s="85">
        <f t="shared" si="153"/>
        <v>923.08565787545979</v>
      </c>
      <c r="AB195" s="90">
        <f t="shared" si="154"/>
        <v>818.62113479844345</v>
      </c>
      <c r="AC195" s="86">
        <f t="shared" si="155"/>
        <v>398890.74887000001</v>
      </c>
      <c r="AD195" s="85">
        <f t="shared" si="156"/>
        <v>3384.56104615708</v>
      </c>
      <c r="AE195" s="85">
        <f t="shared" si="157"/>
        <v>224996.33096516909</v>
      </c>
      <c r="AF195" s="90">
        <f t="shared" si="158"/>
        <v>3384.56104615708</v>
      </c>
      <c r="AG195" s="86">
        <f t="shared" si="159"/>
        <v>-9827.0718300000008</v>
      </c>
      <c r="AH195" s="85">
        <f t="shared" si="160"/>
        <v>6139.2748628683721</v>
      </c>
      <c r="AI195" s="85">
        <f t="shared" si="161"/>
        <v>-6753.6449846109726</v>
      </c>
      <c r="AJ195" s="90">
        <f t="shared" si="162"/>
        <v>6139.2748628683721</v>
      </c>
      <c r="AL195" s="95">
        <f t="shared" si="163"/>
        <v>0</v>
      </c>
      <c r="AM195" s="95">
        <f t="shared" si="164"/>
        <v>0</v>
      </c>
      <c r="AN195" s="95">
        <f t="shared" si="165"/>
        <v>0</v>
      </c>
      <c r="AO195" s="95">
        <f t="shared" si="166"/>
        <v>0</v>
      </c>
      <c r="AP195"/>
      <c r="AQ195" s="95">
        <f t="shared" si="167"/>
        <v>0</v>
      </c>
      <c r="AR195" s="95">
        <f t="shared" si="168"/>
        <v>0</v>
      </c>
      <c r="AS195" s="95">
        <f>Geraetedaten!$B$94*ABS(SIN(RADIANS($A195)))</f>
        <v>62.637443033673264</v>
      </c>
      <c r="AT195" s="95">
        <f>Geraetedaten!$B$94*ABS(COS(RADIANS($A195)))</f>
        <v>140.68600047696052</v>
      </c>
      <c r="AU195" s="95">
        <f>((h_Aw_Sw+Geraetedaten!$B$18)/1000)*(AQ195*AS195+AR195*AT195)/100</f>
        <v>0</v>
      </c>
    </row>
    <row r="196" spans="1:47" ht="13.5" x14ac:dyDescent="0.25">
      <c r="A196" s="16">
        <v>157</v>
      </c>
      <c r="B196" s="16">
        <f t="shared" si="136"/>
        <v>293</v>
      </c>
      <c r="C196" s="19">
        <f t="shared" si="137"/>
        <v>52.396432391912896</v>
      </c>
      <c r="D196" s="17">
        <f t="shared" si="138"/>
        <v>343018.18312760809</v>
      </c>
      <c r="E196" s="17">
        <f t="shared" si="139"/>
        <v>9496.6763776080861</v>
      </c>
      <c r="F196" s="17">
        <f t="shared" si="140"/>
        <v>-2489865.3725723918</v>
      </c>
      <c r="G196" s="17">
        <f t="shared" si="141"/>
        <v>-9802.9419523919132</v>
      </c>
      <c r="H196" s="17">
        <f t="shared" si="169"/>
        <v>9496.6763776080861</v>
      </c>
      <c r="I196" s="17">
        <f t="shared" si="142"/>
        <v>914.9050597357616</v>
      </c>
      <c r="J196" s="20">
        <f>(Geraetedaten!$B$152+(Geraetedaten!$B$153*(Geraetedaten!$B$18+d_y_Sw)/1000))*10</f>
        <v>6051.0442000000003</v>
      </c>
      <c r="K196" s="20">
        <f>(Geraetedaten!$B$165+(Geraetedaten!$B$166*(Geraetedaten!$B$18+d_y_Sw)/1000))*10</f>
        <v>10816.164000000001</v>
      </c>
      <c r="L196" s="20">
        <f>(Geraetedaten!$B$158+(Geraetedaten!$B$159*(Geraetedaten!$B$18+d_y_Sw)/1000)-(Geraetedaten!$B$160*I196/1000))*10</f>
        <v>534.44661196957634</v>
      </c>
      <c r="M196" s="20">
        <f>(Geraetedaten!$B$171+(Geraetedaten!$B$172*(Geraetedaten!$B$18+d_y_Sw)/1000)-(Geraetedaten!$B$173*I196/1000))*10</f>
        <v>996.76146735327075</v>
      </c>
      <c r="N196" s="20">
        <f>IF((H196-J196)/(K196-J196)*(Geraetedaten!$B$174-Geraetedaten!$B$161)&lt;Geraetedaten!$B$174,(H196-J196)/(K196-J196)*(Geraetedaten!$B$174-Geraetedaten!$B$161),Geraetedaten!$B$174)</f>
        <v>289.2378216898627</v>
      </c>
      <c r="O196" s="20">
        <f>N196/Geraetedaten!$B$174*(M196-L196)+L196+C196</f>
        <v>921.14039862659843</v>
      </c>
      <c r="P196" s="20">
        <f t="shared" si="143"/>
        <v>254.53593689154911</v>
      </c>
      <c r="Q196" s="21">
        <f>(N196-Geraetedaten!$B$161)/(Geraetedaten!$B$174-Geraetedaten!$B$161)*(Geraetedaten!$B$175-Geraetedaten!$B$162)+Geraetedaten!$B$162</f>
        <v>37.804825195273416</v>
      </c>
      <c r="R196" s="21">
        <f t="shared" si="144"/>
        <v>37.804825195273416</v>
      </c>
      <c r="S196" s="21">
        <f t="shared" si="145"/>
        <v>14.771522010888912</v>
      </c>
      <c r="T196" s="88">
        <f t="shared" si="146"/>
        <v>-34.799525076170283</v>
      </c>
      <c r="U196" s="86">
        <f t="shared" si="147"/>
        <v>343070.57955999998</v>
      </c>
      <c r="V196" s="85">
        <f t="shared" si="148"/>
        <v>-1346.4914747781525</v>
      </c>
      <c r="W196" s="85">
        <f t="shared" si="149"/>
        <v>77208.697699576573</v>
      </c>
      <c r="X196" s="90">
        <f t="shared" si="150"/>
        <v>1346.4914747781525</v>
      </c>
      <c r="Y196" s="86">
        <f t="shared" si="151"/>
        <v>9549.0728099999997</v>
      </c>
      <c r="Z196" s="85">
        <f t="shared" si="152"/>
        <v>-818.62113479844345</v>
      </c>
      <c r="AA196" s="85">
        <f t="shared" si="153"/>
        <v>914.9050597357616</v>
      </c>
      <c r="AB196" s="90">
        <f t="shared" si="154"/>
        <v>818.62113479844345</v>
      </c>
      <c r="AC196" s="86">
        <f t="shared" si="155"/>
        <v>-2489812.9761399999</v>
      </c>
      <c r="AD196" s="85">
        <f t="shared" si="156"/>
        <v>3384.56104615708</v>
      </c>
      <c r="AE196" s="85">
        <f t="shared" si="157"/>
        <v>-1404391.518233784</v>
      </c>
      <c r="AF196" s="90">
        <f t="shared" si="158"/>
        <v>3384.56104615708</v>
      </c>
      <c r="AG196" s="86">
        <f t="shared" si="159"/>
        <v>-9750.5455199999997</v>
      </c>
      <c r="AH196" s="85">
        <f t="shared" si="160"/>
        <v>6139.2748628683721</v>
      </c>
      <c r="AI196" s="85">
        <f t="shared" si="161"/>
        <v>-6701.0523617466733</v>
      </c>
      <c r="AJ196" s="90">
        <f t="shared" si="162"/>
        <v>6139.2748628683721</v>
      </c>
      <c r="AL196" s="95">
        <f t="shared" si="163"/>
        <v>0</v>
      </c>
      <c r="AM196" s="95">
        <f t="shared" si="164"/>
        <v>0</v>
      </c>
      <c r="AN196" s="95">
        <f t="shared" si="165"/>
        <v>0</v>
      </c>
      <c r="AO196" s="95">
        <f t="shared" si="166"/>
        <v>0</v>
      </c>
      <c r="AP196"/>
      <c r="AQ196" s="95">
        <f t="shared" si="167"/>
        <v>0</v>
      </c>
      <c r="AR196" s="95">
        <f t="shared" si="168"/>
        <v>0</v>
      </c>
      <c r="AS196" s="95">
        <f>Geraetedaten!$B$94*ABS(SIN(RADIANS($A196)))</f>
        <v>60.172593787348163</v>
      </c>
      <c r="AT196" s="95">
        <f>Geraetedaten!$B$94*ABS(COS(RADIANS($A196)))</f>
        <v>141.75774743167582</v>
      </c>
      <c r="AU196" s="95">
        <f>((h_Aw_Sw+Geraetedaten!$B$18)/1000)*(AQ196*AS196+AR196*AT196)/100</f>
        <v>0</v>
      </c>
    </row>
    <row r="197" spans="1:47" ht="13.5" x14ac:dyDescent="0.25">
      <c r="A197" s="16">
        <v>158</v>
      </c>
      <c r="B197" s="16">
        <f t="shared" si="136"/>
        <v>292</v>
      </c>
      <c r="C197" s="19">
        <f t="shared" si="137"/>
        <v>51.571763802348585</v>
      </c>
      <c r="D197" s="17">
        <f t="shared" si="138"/>
        <v>171447.03034619766</v>
      </c>
      <c r="E197" s="17">
        <f t="shared" si="139"/>
        <v>9416.4770761976506</v>
      </c>
      <c r="F197" s="17">
        <f t="shared" si="140"/>
        <v>-302156.97987380234</v>
      </c>
      <c r="G197" s="17">
        <f t="shared" si="141"/>
        <v>-9729.6989138023491</v>
      </c>
      <c r="H197" s="17">
        <f t="shared" si="169"/>
        <v>9416.4770761976506</v>
      </c>
      <c r="I197" s="17">
        <f t="shared" si="142"/>
        <v>907.14208151511059</v>
      </c>
      <c r="J197" s="20">
        <f>(Geraetedaten!$B$152+(Geraetedaten!$B$153*(Geraetedaten!$B$18+d_y_Sw)/1000))*10</f>
        <v>6051.0442000000003</v>
      </c>
      <c r="K197" s="20">
        <f>(Geraetedaten!$B$165+(Geraetedaten!$B$166*(Geraetedaten!$B$18+d_y_Sw)/1000))*10</f>
        <v>10816.164000000001</v>
      </c>
      <c r="L197" s="20">
        <f>(Geraetedaten!$B$158+(Geraetedaten!$B$159*(Geraetedaten!$B$18+d_y_Sw)/1000)-(Geraetedaten!$B$160*I197/1000))*10</f>
        <v>535.01587116249664</v>
      </c>
      <c r="M197" s="20">
        <f>(Geraetedaten!$B$171+(Geraetedaten!$B$172*(Geraetedaten!$B$18+d_y_Sw)/1000)-(Geraetedaten!$B$173*I197/1000))*10</f>
        <v>997.33934345201624</v>
      </c>
      <c r="N197" s="20">
        <f>IF((H197-J197)/(K197-J197)*(Geraetedaten!$B$174-Geraetedaten!$B$161)&lt;Geraetedaten!$B$174,(H197-J197)/(K197-J197)*(Geraetedaten!$B$174-Geraetedaten!$B$161),Geraetedaten!$B$174)</f>
        <v>282.50562566738824</v>
      </c>
      <c r="O197" s="20">
        <f>N197/Geraetedaten!$B$174*(M197-L197)+L197+C197</f>
        <v>913.1100894645208</v>
      </c>
      <c r="P197" s="20">
        <f t="shared" si="143"/>
        <v>253.6406369595577</v>
      </c>
      <c r="Q197" s="21">
        <f>(N197-Geraetedaten!$B$161)/(Geraetedaten!$B$174-Geraetedaten!$B$161)*(Geraetedaten!$B$175-Geraetedaten!$B$162)+Geraetedaten!$B$162</f>
        <v>37.6045423636048</v>
      </c>
      <c r="R197" s="21">
        <f t="shared" si="144"/>
        <v>37.6045423636048</v>
      </c>
      <c r="S197" s="21">
        <f t="shared" si="145"/>
        <v>14.086909511794351</v>
      </c>
      <c r="T197" s="88">
        <f t="shared" si="146"/>
        <v>-34.866324537907147</v>
      </c>
      <c r="U197" s="86">
        <f t="shared" si="147"/>
        <v>171498.60211000001</v>
      </c>
      <c r="V197" s="85">
        <f t="shared" si="148"/>
        <v>-1346.4914747781525</v>
      </c>
      <c r="W197" s="85">
        <f t="shared" si="149"/>
        <v>38596.092218824037</v>
      </c>
      <c r="X197" s="90">
        <f t="shared" si="150"/>
        <v>1346.4914747781525</v>
      </c>
      <c r="Y197" s="86">
        <f t="shared" si="151"/>
        <v>9468.0488399999995</v>
      </c>
      <c r="Z197" s="85">
        <f t="shared" si="152"/>
        <v>-818.62113479844345</v>
      </c>
      <c r="AA197" s="85">
        <f t="shared" si="153"/>
        <v>907.14208151511059</v>
      </c>
      <c r="AB197" s="90">
        <f t="shared" si="154"/>
        <v>818.62113479844345</v>
      </c>
      <c r="AC197" s="86">
        <f t="shared" si="155"/>
        <v>-302105.40811000002</v>
      </c>
      <c r="AD197" s="85">
        <f t="shared" si="156"/>
        <v>3384.56104615708</v>
      </c>
      <c r="AE197" s="85">
        <f t="shared" si="157"/>
        <v>-170404.07324730293</v>
      </c>
      <c r="AF197" s="90">
        <f t="shared" si="158"/>
        <v>3384.56104615708</v>
      </c>
      <c r="AG197" s="86">
        <f t="shared" si="159"/>
        <v>-9678.1271500000003</v>
      </c>
      <c r="AH197" s="85">
        <f t="shared" si="160"/>
        <v>6139.2748628683721</v>
      </c>
      <c r="AI197" s="85">
        <f t="shared" si="161"/>
        <v>-6651.2829077331489</v>
      </c>
      <c r="AJ197" s="90">
        <f t="shared" si="162"/>
        <v>6139.2748628683721</v>
      </c>
      <c r="AL197" s="95">
        <f t="shared" si="163"/>
        <v>0</v>
      </c>
      <c r="AM197" s="95">
        <f t="shared" si="164"/>
        <v>0</v>
      </c>
      <c r="AN197" s="95">
        <f t="shared" si="165"/>
        <v>0</v>
      </c>
      <c r="AO197" s="95">
        <f t="shared" si="166"/>
        <v>0</v>
      </c>
      <c r="AP197"/>
      <c r="AQ197" s="95">
        <f t="shared" si="167"/>
        <v>0</v>
      </c>
      <c r="AR197" s="95">
        <f t="shared" si="168"/>
        <v>0</v>
      </c>
      <c r="AS197" s="95">
        <f>Geraetedaten!$B$94*ABS(SIN(RADIANS($A197)))</f>
        <v>57.689415386050484</v>
      </c>
      <c r="AT197" s="95">
        <f>Geraetedaten!$B$94*ABS(COS(RADIANS($A197)))</f>
        <v>142.78631360328524</v>
      </c>
      <c r="AU197" s="95">
        <f>((h_Aw_Sw+Geraetedaten!$B$18)/1000)*(AQ197*AS197+AR197*AT197)/100</f>
        <v>0</v>
      </c>
    </row>
    <row r="198" spans="1:47" ht="13.5" x14ac:dyDescent="0.25">
      <c r="A198" s="16">
        <v>159</v>
      </c>
      <c r="B198" s="16">
        <f t="shared" si="136"/>
        <v>291</v>
      </c>
      <c r="C198" s="19">
        <f t="shared" si="137"/>
        <v>50.73138595394316</v>
      </c>
      <c r="D198" s="17">
        <f t="shared" si="138"/>
        <v>114296.73877404605</v>
      </c>
      <c r="E198" s="17">
        <f t="shared" si="139"/>
        <v>9340.4934740460576</v>
      </c>
      <c r="F198" s="17">
        <f t="shared" si="140"/>
        <v>-160885.50242595395</v>
      </c>
      <c r="G198" s="17">
        <f t="shared" si="141"/>
        <v>-9660.4135659539425</v>
      </c>
      <c r="H198" s="17">
        <f t="shared" si="169"/>
        <v>9340.4934740460576</v>
      </c>
      <c r="I198" s="17">
        <f t="shared" si="142"/>
        <v>899.78150893230713</v>
      </c>
      <c r="J198" s="20">
        <f>(Geraetedaten!$B$152+(Geraetedaten!$B$153*(Geraetedaten!$B$18+d_y_Sw)/1000))*10</f>
        <v>6051.0442000000003</v>
      </c>
      <c r="K198" s="20">
        <f>(Geraetedaten!$B$165+(Geraetedaten!$B$166*(Geraetedaten!$B$18+d_y_Sw)/1000))*10</f>
        <v>10816.164000000001</v>
      </c>
      <c r="L198" s="20">
        <f>(Geraetedaten!$B$158+(Geraetedaten!$B$159*(Geraetedaten!$B$18+d_y_Sw)/1000)-(Geraetedaten!$B$160*I198/1000))*10</f>
        <v>535.55562194999368</v>
      </c>
      <c r="M198" s="20">
        <f>(Geraetedaten!$B$171+(Geraetedaten!$B$172*(Geraetedaten!$B$18+d_y_Sw)/1000)-(Geraetedaten!$B$173*I198/1000))*10</f>
        <v>997.88726447507997</v>
      </c>
      <c r="N198" s="20">
        <f>IF((H198-J198)/(K198-J198)*(Geraetedaten!$B$174-Geraetedaten!$B$161)&lt;Geraetedaten!$B$174,(H198-J198)/(K198-J198)*(Geraetedaten!$B$174-Geraetedaten!$B$161),Geraetedaten!$B$174)</f>
        <v>276.12730945786984</v>
      </c>
      <c r="O198" s="20">
        <f>N198/Geraetedaten!$B$174*(M198-L198)+L198+C198</f>
        <v>905.44298922316125</v>
      </c>
      <c r="P198" s="20">
        <f t="shared" si="143"/>
        <v>252.76720562038528</v>
      </c>
      <c r="Q198" s="21">
        <f>(N198-Geraetedaten!$B$161)/(Geraetedaten!$B$174-Geraetedaten!$B$161)*(Geraetedaten!$B$175-Geraetedaten!$B$162)+Geraetedaten!$B$162</f>
        <v>37.414787456371627</v>
      </c>
      <c r="R198" s="21">
        <f t="shared" si="144"/>
        <v>37.414787456371627</v>
      </c>
      <c r="S198" s="21">
        <f t="shared" si="145"/>
        <v>13.408260663413119</v>
      </c>
      <c r="T198" s="88">
        <f t="shared" si="146"/>
        <v>-34.929713230821577</v>
      </c>
      <c r="U198" s="86">
        <f t="shared" si="147"/>
        <v>114347.47016</v>
      </c>
      <c r="V198" s="85">
        <f t="shared" si="148"/>
        <v>-1346.4914747781525</v>
      </c>
      <c r="W198" s="85">
        <f t="shared" si="149"/>
        <v>25734.119397695526</v>
      </c>
      <c r="X198" s="90">
        <f t="shared" si="150"/>
        <v>1346.4914747781525</v>
      </c>
      <c r="Y198" s="86">
        <f t="shared" si="151"/>
        <v>9391.2248600000003</v>
      </c>
      <c r="Z198" s="85">
        <f t="shared" si="152"/>
        <v>-818.62113479844345</v>
      </c>
      <c r="AA198" s="85">
        <f t="shared" si="153"/>
        <v>899.78150893230713</v>
      </c>
      <c r="AB198" s="90">
        <f t="shared" si="154"/>
        <v>818.62113479844345</v>
      </c>
      <c r="AC198" s="86">
        <f t="shared" si="155"/>
        <v>-160834.77103999999</v>
      </c>
      <c r="AD198" s="85">
        <f t="shared" si="156"/>
        <v>3384.56104615708</v>
      </c>
      <c r="AE198" s="85">
        <f t="shared" si="157"/>
        <v>-90719.660653638552</v>
      </c>
      <c r="AF198" s="90">
        <f t="shared" si="158"/>
        <v>3384.56104615708</v>
      </c>
      <c r="AG198" s="86">
        <f t="shared" si="159"/>
        <v>-9609.6821799999998</v>
      </c>
      <c r="AH198" s="85">
        <f t="shared" si="160"/>
        <v>6139.2748628683721</v>
      </c>
      <c r="AI198" s="85">
        <f t="shared" si="161"/>
        <v>-6604.2441755346881</v>
      </c>
      <c r="AJ198" s="90">
        <f t="shared" si="162"/>
        <v>6139.2748628683721</v>
      </c>
      <c r="AL198" s="95">
        <f t="shared" si="163"/>
        <v>0</v>
      </c>
      <c r="AM198" s="95">
        <f t="shared" si="164"/>
        <v>0</v>
      </c>
      <c r="AN198" s="95">
        <f t="shared" si="165"/>
        <v>0</v>
      </c>
      <c r="AO198" s="95">
        <f t="shared" si="166"/>
        <v>0</v>
      </c>
      <c r="AP198"/>
      <c r="AQ198" s="95">
        <f t="shared" si="167"/>
        <v>0</v>
      </c>
      <c r="AR198" s="95">
        <f t="shared" si="168"/>
        <v>0</v>
      </c>
      <c r="AS198" s="95">
        <f>Geraetedaten!$B$94*ABS(SIN(RADIANS($A198)))</f>
        <v>55.188664229976233</v>
      </c>
      <c r="AT198" s="95">
        <f>Geraetedaten!$B$94*ABS(COS(RADIANS($A198)))</f>
        <v>143.77138568056907</v>
      </c>
      <c r="AU198" s="95">
        <f>((h_Aw_Sw+Geraetedaten!$B$18)/1000)*(AQ198*AS198+AR198*AT198)/100</f>
        <v>0</v>
      </c>
    </row>
    <row r="199" spans="1:47" ht="13.5" x14ac:dyDescent="0.25">
      <c r="A199" s="16">
        <v>160</v>
      </c>
      <c r="B199" s="16">
        <f t="shared" ref="B199:B218" si="170">360-A199+90</f>
        <v>290</v>
      </c>
      <c r="C199" s="19">
        <f t="shared" ref="C199:C218" si="171">$AE$16*ABS(COS(RADIANS(A199)))+$AE$17*ABS(SIN(RADIANS(A199)))+AU199</f>
        <v>49.875554833930209</v>
      </c>
      <c r="D199" s="17">
        <f t="shared" ref="D199:D218" si="172">IF(ISNUMBER(U199),U199-C199,"unendlich")</f>
        <v>85735.97865516608</v>
      </c>
      <c r="E199" s="17">
        <f t="shared" ref="E199:E218" si="173">IF(ISNUMBER(Y199),Y199-C199,"unendlich")</f>
        <v>9268.5776451660695</v>
      </c>
      <c r="F199" s="17">
        <f t="shared" ref="F199:F218" si="174">IF(ISNUMBER(AC199),AC199-C199,"unendlich")</f>
        <v>-109661.43800483392</v>
      </c>
      <c r="G199" s="17">
        <f t="shared" ref="G199:G218" si="175">IF(ISNUMBER(AG199),AG199-C199,"unendlich")</f>
        <v>-9594.96118483393</v>
      </c>
      <c r="H199" s="17">
        <f t="shared" si="169"/>
        <v>9268.5776451660695</v>
      </c>
      <c r="I199" s="17">
        <f t="shared" ref="I199:I218" si="176">IF(H199+C199=U199,W199,IF(H199+C199=Y199,AA199,IF(H199+C199=AC199,AE199,IF(H199+C199=AG199,AI199,"???"))))</f>
        <v>892.80919208646276</v>
      </c>
      <c r="J199" s="20">
        <f>(Geraetedaten!$B$152+(Geraetedaten!$B$153*(Geraetedaten!$B$18+d_y_Sw)/1000))*10</f>
        <v>6051.0442000000003</v>
      </c>
      <c r="K199" s="20">
        <f>(Geraetedaten!$B$165+(Geraetedaten!$B$166*(Geraetedaten!$B$18+d_y_Sw)/1000))*10</f>
        <v>10816.164000000001</v>
      </c>
      <c r="L199" s="20">
        <f>(Geraetedaten!$B$158+(Geraetedaten!$B$159*(Geraetedaten!$B$18+d_y_Sw)/1000)-(Geraetedaten!$B$160*I199/1000))*10</f>
        <v>536.06690194429939</v>
      </c>
      <c r="M199" s="20">
        <f>(Geraetedaten!$B$171+(Geraetedaten!$B$172*(Geraetedaten!$B$18+d_y_Sw)/1000)-(Geraetedaten!$B$173*I199/1000))*10</f>
        <v>998.40628374108462</v>
      </c>
      <c r="N199" s="20">
        <f>IF((H199-J199)/(K199-J199)*(Geraetedaten!$B$174-Geraetedaten!$B$161)&lt;Geraetedaten!$B$174,(H199-J199)/(K199-J199)*(Geraetedaten!$B$174-Geraetedaten!$B$161),Geraetedaten!$B$174)</f>
        <v>270.09045566208584</v>
      </c>
      <c r="O199" s="20">
        <f>N199/Geraetedaten!$B$174*(M199-L199)+L199+C199</f>
        <v>898.12609252828156</v>
      </c>
      <c r="P199" s="20">
        <f t="shared" ref="P199:P218" si="177">O199*100/9.81/(Q199-(I199/1000))</f>
        <v>251.91551692835219</v>
      </c>
      <c r="Q199" s="21">
        <f>(N199-Geraetedaten!$B$161)/(Geraetedaten!$B$174-Geraetedaten!$B$161)*(Geraetedaten!$B$175-Geraetedaten!$B$162)+Geraetedaten!$B$162</f>
        <v>37.235191055947055</v>
      </c>
      <c r="R199" s="21">
        <f t="shared" ref="R199:R218" si="178">SQRT((r_K_D/1000)^2+Q199^2-(2*(r_K_D/1000)*Q199*COS(RADIANS(2*A199))))</f>
        <v>37.235191055947055</v>
      </c>
      <c r="S199" s="21">
        <f t="shared" ref="S199:S218" si="179">R199*SIN(A199*Const_2)</f>
        <v>12.735185381713675</v>
      </c>
      <c r="T199" s="88">
        <f t="shared" ref="T199:T218" si="180">R199*COS(A199*Const_2)</f>
        <v>-34.989634268826904</v>
      </c>
      <c r="U199" s="86">
        <f t="shared" ref="U199:U218" si="181">ROUND((F_S*r_Su_L-F_G*V199+F_SSw*X199)/(SIN(RADIANS(270+g_L-A199)))/1000,5)</f>
        <v>85785.854210000005</v>
      </c>
      <c r="V199" s="85">
        <f t="shared" ref="V199:V218" si="182">(SIN(RADIANS(g_L)))*(((VL_Z-HL_Z)/(VL_X-HL_X))*(-HL_X+AM199)+HL_Z-AL199)</f>
        <v>-1346.4914747781525</v>
      </c>
      <c r="W199" s="85">
        <f t="shared" ref="W199:W218" si="183">V199/(SIN(RADIANS(180-g_L-(90-$A199))))</f>
        <v>19306.272468022678</v>
      </c>
      <c r="X199" s="90">
        <f t="shared" ref="X199:X218" si="184">SIN(RADIANS(g_L))*(((VL_Z-HL_Z)/(VL_X-HL_X))*(-AO199+HL_X)-HL_Z+AN199)</f>
        <v>1346.4914747781525</v>
      </c>
      <c r="Y199" s="86">
        <f t="shared" ref="Y199:Y218" si="185">ROUND((F_S*r_Su_H-F_G*Z199+F_SSw*AB199)/(SIN(RADIANS(180+g_H-A199)))/1000,5)</f>
        <v>9318.4531999999999</v>
      </c>
      <c r="Z199" s="85">
        <f t="shared" ref="Z199:Z218" si="186">(SIN(RADIANS(g_H)))*(((HL_X-HR_X)/(HL_Z-HR_Z))*(-HR_Z+AL199)+HR_X-AM199)</f>
        <v>-818.62113479844345</v>
      </c>
      <c r="AA199" s="85">
        <f t="shared" ref="AA199:AA218" si="187">Z199/(SIN(RADIANS(g_H-$A199)))</f>
        <v>892.80919208646276</v>
      </c>
      <c r="AB199" s="90">
        <f t="shared" ref="AB199:AB218" si="188">SIN(RADIANS(g_H))*(((HL_X-HR_X)/(HL_Z-HR_Z))*(-AN199+HR_Z)-HR_X+AO199)</f>
        <v>818.62113479844345</v>
      </c>
      <c r="AC199" s="86">
        <f t="shared" ref="AC199:AC218" si="189">ROUND((F_S*r_Su_R+F_G*AD199+F_SSw*AF199)/(SIN(RADIANS(90+g_R-A199)))/1000,5)</f>
        <v>-109611.56245</v>
      </c>
      <c r="AD199" s="85">
        <f t="shared" ref="AD199:AD218" si="190">(SIN(RADIANS(g_R)))*(((HR_Z-VR_Z)/(HR_X-VR_X))*(-VR_X+AM199)+VR_Z-AL199)</f>
        <v>3384.56104615708</v>
      </c>
      <c r="AE199" s="85">
        <f t="shared" ref="AE199:AE218" si="191">AD199/(SIN(RADIANS(180-g_R-(90-$A199))))</f>
        <v>-61826.952496506492</v>
      </c>
      <c r="AF199" s="90">
        <f t="shared" ref="AF199:AF218" si="192">(SIN(RADIANS(g_R)))*(((HR_Z-VR_Z)/(HR_X-VR_X))*(-VR_X+AO199)+VR_Z-AN199)</f>
        <v>3384.56104615708</v>
      </c>
      <c r="AG199" s="86">
        <f t="shared" ref="AG199:AG218" si="193">ROUND((F_S*r_Su_V+F_G*AH199+F_SSw*AJ199)/(SIN(RADIANS(g_V-A199)))/1000,5)</f>
        <v>-9545.0856299999996</v>
      </c>
      <c r="AH199" s="85">
        <f t="shared" ref="AH199:AH218" si="194">(SIN(RADIANS(g_V)))*(((VR_X-VL_X)/(VR_Z-VL_Z))*(AL199-VL_Z)+VL_X-AM199)</f>
        <v>6139.2748628683721</v>
      </c>
      <c r="AI199" s="85">
        <f t="shared" ref="AI199:AI218" si="195">AH199/(SIN(RADIANS(g_V-$A199)))</f>
        <v>-6559.850260766576</v>
      </c>
      <c r="AJ199" s="90">
        <f t="shared" ref="AJ199:AJ218" si="196">(SIN(RADIANS(g_V)))*(((VR_X-VL_X)/(VR_Z-VL_Z))*(-VL_Z+AN199)+VL_X-AO199)</f>
        <v>6139.2748628683721</v>
      </c>
      <c r="AL199" s="95">
        <f t="shared" ref="AL199:AL218" si="197">SIN(RADIANS(A199))*r_K_D</f>
        <v>0</v>
      </c>
      <c r="AM199" s="95">
        <f t="shared" ref="AM199:AM218" si="198">COS(RADIANS(A199-180))*r_K_D</f>
        <v>0</v>
      </c>
      <c r="AN199" s="95">
        <f t="shared" ref="AN199:AN218" si="199">SIN(RADIANS(A199))*r_K_SSw</f>
        <v>0</v>
      </c>
      <c r="AO199" s="95">
        <f t="shared" ref="AO199:AO218" si="200">-COS(RADIANS(A199))*r_K_SSw</f>
        <v>0</v>
      </c>
      <c r="AP199"/>
      <c r="AQ199" s="95">
        <f t="shared" ref="AQ199:AQ218" si="201">MAX(d_y_Sw*(r_K_D*ABS(COS(RADIANS($A199)))+_r1_Sw+_r2_Sw), 2*_r1_Sw*d_y_Sw)/1000000</f>
        <v>0</v>
      </c>
      <c r="AR199" s="95">
        <f t="shared" ref="AR199:AR218" si="202">MAX(d_y_Sw*(r_K_D*ABS(SIN(RADIANS($A199)))+_r1_Sw+_r2_Sw), 2*_r1_Sw*d_y_Sw)/1000000</f>
        <v>0</v>
      </c>
      <c r="AS199" s="95">
        <f>Geraetedaten!$B$94*ABS(SIN(RADIANS($A199)))</f>
        <v>52.671102072153005</v>
      </c>
      <c r="AT199" s="95">
        <f>Geraetedaten!$B$94*ABS(COS(RADIANS($A199)))</f>
        <v>144.71266360102987</v>
      </c>
      <c r="AU199" s="95">
        <f>((h_Aw_Sw+Geraetedaten!$B$18)/1000)*(AQ199*AS199+AR199*AT199)/100</f>
        <v>0</v>
      </c>
    </row>
    <row r="200" spans="1:47" ht="13.5" x14ac:dyDescent="0.25">
      <c r="A200" s="16">
        <v>161</v>
      </c>
      <c r="B200" s="16">
        <f t="shared" si="170"/>
        <v>289</v>
      </c>
      <c r="C200" s="19">
        <f t="shared" si="171"/>
        <v>49.004531136759482</v>
      </c>
      <c r="D200" s="17">
        <f t="shared" si="172"/>
        <v>68608.539268863242</v>
      </c>
      <c r="E200" s="17">
        <f t="shared" si="173"/>
        <v>9200.5919888632397</v>
      </c>
      <c r="F200" s="17">
        <f t="shared" si="174"/>
        <v>-83202.793111136751</v>
      </c>
      <c r="G200" s="17">
        <f t="shared" si="175"/>
        <v>-9533.2259411367595</v>
      </c>
      <c r="H200" s="17">
        <f t="shared" ref="H200:H218" si="203">SMALL(D200:G200,COUNTIF(D200:G200,"&lt;0")+1)</f>
        <v>9200.5919888632397</v>
      </c>
      <c r="I200" s="17">
        <f t="shared" si="176"/>
        <v>886.21197296840546</v>
      </c>
      <c r="J200" s="20">
        <f>(Geraetedaten!$B$152+(Geraetedaten!$B$153*(Geraetedaten!$B$18+d_y_Sw)/1000))*10</f>
        <v>6051.0442000000003</v>
      </c>
      <c r="K200" s="20">
        <f>(Geraetedaten!$B$165+(Geraetedaten!$B$166*(Geraetedaten!$B$18+d_y_Sw)/1000))*10</f>
        <v>10816.164000000001</v>
      </c>
      <c r="L200" s="20">
        <f>(Geraetedaten!$B$158+(Geraetedaten!$B$159*(Geraetedaten!$B$18+d_y_Sw)/1000)-(Geraetedaten!$B$160*I200/1000))*10</f>
        <v>536.55067602222653</v>
      </c>
      <c r="M200" s="20">
        <f>(Geraetedaten!$B$171+(Geraetedaten!$B$172*(Geraetedaten!$B$18+d_y_Sw)/1000)-(Geraetedaten!$B$173*I200/1000))*10</f>
        <v>998.89738073223282</v>
      </c>
      <c r="N200" s="20">
        <f>IF((H200-J200)/(K200-J200)*(Geraetedaten!$B$174-Geraetedaten!$B$161)&lt;Geraetedaten!$B$174,(H200-J200)/(K200-J200)*(Geraetedaten!$B$174-Geraetedaten!$B$161),Geraetedaten!$B$174)</f>
        <v>264.38351362022325</v>
      </c>
      <c r="O200" s="20">
        <f>N200/Geraetedaten!$B$174*(M200-L200)+L200+C200</f>
        <v>891.1473229138943</v>
      </c>
      <c r="P200" s="20">
        <f t="shared" si="177"/>
        <v>251.08546300945196</v>
      </c>
      <c r="Q200" s="21">
        <f>(N200-Geraetedaten!$B$161)/(Geraetedaten!$B$174-Geraetedaten!$B$161)*(Geraetedaten!$B$175-Geraetedaten!$B$162)+Geraetedaten!$B$162</f>
        <v>37.065409530201642</v>
      </c>
      <c r="R200" s="21">
        <f t="shared" si="178"/>
        <v>37.065409530201642</v>
      </c>
      <c r="S200" s="21">
        <f t="shared" si="179"/>
        <v>12.067316974946452</v>
      </c>
      <c r="T200" s="88">
        <f t="shared" si="180"/>
        <v>-35.046033223001601</v>
      </c>
      <c r="U200" s="86">
        <f t="shared" si="181"/>
        <v>68657.543799999999</v>
      </c>
      <c r="V200" s="85">
        <f t="shared" si="182"/>
        <v>-1346.4914747781525</v>
      </c>
      <c r="W200" s="85">
        <f t="shared" si="183"/>
        <v>15451.513070991638</v>
      </c>
      <c r="X200" s="90">
        <f t="shared" si="184"/>
        <v>1346.4914747781525</v>
      </c>
      <c r="Y200" s="86">
        <f t="shared" si="185"/>
        <v>9249.5965199999991</v>
      </c>
      <c r="Z200" s="85">
        <f t="shared" si="186"/>
        <v>-818.62113479844345</v>
      </c>
      <c r="AA200" s="85">
        <f t="shared" si="187"/>
        <v>886.21197296840546</v>
      </c>
      <c r="AB200" s="90">
        <f t="shared" si="188"/>
        <v>818.62113479844345</v>
      </c>
      <c r="AC200" s="86">
        <f t="shared" si="189"/>
        <v>-83153.788579999993</v>
      </c>
      <c r="AD200" s="85">
        <f t="shared" si="190"/>
        <v>3384.56104615708</v>
      </c>
      <c r="AE200" s="85">
        <f t="shared" si="191"/>
        <v>-46903.312222159504</v>
      </c>
      <c r="AF200" s="90">
        <f t="shared" si="192"/>
        <v>3384.56104615708</v>
      </c>
      <c r="AG200" s="86">
        <f t="shared" si="193"/>
        <v>-9484.2214100000001</v>
      </c>
      <c r="AH200" s="85">
        <f t="shared" si="194"/>
        <v>6139.2748628683721</v>
      </c>
      <c r="AI200" s="85">
        <f t="shared" si="195"/>
        <v>-6518.0213904376851</v>
      </c>
      <c r="AJ200" s="90">
        <f t="shared" si="196"/>
        <v>6139.2748628683721</v>
      </c>
      <c r="AL200" s="95">
        <f t="shared" si="197"/>
        <v>0</v>
      </c>
      <c r="AM200" s="95">
        <f t="shared" si="198"/>
        <v>0</v>
      </c>
      <c r="AN200" s="95">
        <f t="shared" si="199"/>
        <v>0</v>
      </c>
      <c r="AO200" s="95">
        <f t="shared" si="200"/>
        <v>0</v>
      </c>
      <c r="AP200"/>
      <c r="AQ200" s="95">
        <f t="shared" si="201"/>
        <v>0</v>
      </c>
      <c r="AR200" s="95">
        <f t="shared" si="202"/>
        <v>0</v>
      </c>
      <c r="AS200" s="95">
        <f>Geraetedaten!$B$94*ABS(SIN(RADIANS($A200)))</f>
        <v>50.137495786402113</v>
      </c>
      <c r="AT200" s="95">
        <f>Geraetedaten!$B$94*ABS(COS(RADIANS($A200)))</f>
        <v>145.60986064229479</v>
      </c>
      <c r="AU200" s="95">
        <f>((h_Aw_Sw+Geraetedaten!$B$18)/1000)*(AQ200*AS200+AR200*AT200)/100</f>
        <v>0</v>
      </c>
    </row>
    <row r="201" spans="1:47" ht="13.5" x14ac:dyDescent="0.25">
      <c r="A201" s="16">
        <v>162</v>
      </c>
      <c r="B201" s="16">
        <f t="shared" si="170"/>
        <v>288</v>
      </c>
      <c r="C201" s="19">
        <f t="shared" si="171"/>
        <v>48.118580184686962</v>
      </c>
      <c r="D201" s="17">
        <f t="shared" si="172"/>
        <v>57197.081349815315</v>
      </c>
      <c r="E201" s="17">
        <f t="shared" si="173"/>
        <v>9136.4085698153121</v>
      </c>
      <c r="F201" s="17">
        <f t="shared" si="174"/>
        <v>-67049.649080184681</v>
      </c>
      <c r="G201" s="17">
        <f t="shared" si="175"/>
        <v>-9475.1004101846884</v>
      </c>
      <c r="H201" s="17">
        <f t="shared" si="203"/>
        <v>9136.4085698153121</v>
      </c>
      <c r="I201" s="17">
        <f t="shared" si="176"/>
        <v>879.97761966817734</v>
      </c>
      <c r="J201" s="20">
        <f>(Geraetedaten!$B$152+(Geraetedaten!$B$153*(Geraetedaten!$B$18+d_y_Sw)/1000))*10</f>
        <v>6051.0442000000003</v>
      </c>
      <c r="K201" s="20">
        <f>(Geraetedaten!$B$165+(Geraetedaten!$B$166*(Geraetedaten!$B$18+d_y_Sw)/1000))*10</f>
        <v>10816.164000000001</v>
      </c>
      <c r="L201" s="20">
        <f>(Geraetedaten!$B$158+(Geraetedaten!$B$159*(Geraetedaten!$B$18+d_y_Sw)/1000)-(Geraetedaten!$B$160*I201/1000))*10</f>
        <v>537.00784114973226</v>
      </c>
      <c r="M201" s="20">
        <f>(Geraetedaten!$B$171+(Geraetedaten!$B$172*(Geraetedaten!$B$18+d_y_Sw)/1000)-(Geraetedaten!$B$173*I201/1000))*10</f>
        <v>999.36146599190181</v>
      </c>
      <c r="N201" s="20">
        <f>IF((H201-J201)/(K201-J201)*(Geraetedaten!$B$174-Geraetedaten!$B$161)&lt;Geraetedaten!$B$174,(H201-J201)/(K201-J201)*(Geraetedaten!$B$174-Geraetedaten!$B$161),Geraetedaten!$B$174)</f>
        <v>258.99574401594788</v>
      </c>
      <c r="O201" s="20">
        <f>N201/Geraetedaten!$B$174*(M201-L201)+L201+C201</f>
        <v>884.49547399558958</v>
      </c>
      <c r="P201" s="20">
        <f t="shared" si="177"/>
        <v>250.27695405017428</v>
      </c>
      <c r="Q201" s="21">
        <f>(N201-Geraetedaten!$B$161)/(Geraetedaten!$B$174-Geraetedaten!$B$161)*(Geraetedaten!$B$175-Geraetedaten!$B$162)+Geraetedaten!$B$162</f>
        <v>36.90512338447445</v>
      </c>
      <c r="R201" s="21">
        <f t="shared" si="178"/>
        <v>36.90512338447445</v>
      </c>
      <c r="S201" s="21">
        <f t="shared" si="179"/>
        <v>11.404310305306884</v>
      </c>
      <c r="T201" s="88">
        <f t="shared" si="180"/>
        <v>-35.098858079481076</v>
      </c>
      <c r="U201" s="86">
        <f t="shared" si="181"/>
        <v>57245.199930000002</v>
      </c>
      <c r="V201" s="85">
        <f t="shared" si="182"/>
        <v>-1346.4914747781525</v>
      </c>
      <c r="W201" s="85">
        <f t="shared" si="183"/>
        <v>12883.143001470589</v>
      </c>
      <c r="X201" s="90">
        <f t="shared" si="184"/>
        <v>1346.4914747781525</v>
      </c>
      <c r="Y201" s="86">
        <f t="shared" si="185"/>
        <v>9184.5271499999999</v>
      </c>
      <c r="Z201" s="85">
        <f t="shared" si="186"/>
        <v>-818.62113479844345</v>
      </c>
      <c r="AA201" s="85">
        <f t="shared" si="187"/>
        <v>879.97761966817734</v>
      </c>
      <c r="AB201" s="90">
        <f t="shared" si="188"/>
        <v>818.62113479844345</v>
      </c>
      <c r="AC201" s="86">
        <f t="shared" si="189"/>
        <v>-67001.530499999993</v>
      </c>
      <c r="AD201" s="85">
        <f t="shared" si="190"/>
        <v>3384.56104615708</v>
      </c>
      <c r="AE201" s="85">
        <f t="shared" si="191"/>
        <v>-37792.549899794372</v>
      </c>
      <c r="AF201" s="90">
        <f t="shared" si="192"/>
        <v>3384.56104615708</v>
      </c>
      <c r="AG201" s="86">
        <f t="shared" si="193"/>
        <v>-9426.9818300000006</v>
      </c>
      <c r="AH201" s="85">
        <f t="shared" si="194"/>
        <v>6139.2748628683721</v>
      </c>
      <c r="AI201" s="85">
        <f t="shared" si="195"/>
        <v>-6478.6835492305645</v>
      </c>
      <c r="AJ201" s="90">
        <f t="shared" si="196"/>
        <v>6139.2748628683721</v>
      </c>
      <c r="AL201" s="95">
        <f t="shared" si="197"/>
        <v>0</v>
      </c>
      <c r="AM201" s="95">
        <f t="shared" si="198"/>
        <v>0</v>
      </c>
      <c r="AN201" s="95">
        <f t="shared" si="199"/>
        <v>0</v>
      </c>
      <c r="AO201" s="95">
        <f t="shared" si="200"/>
        <v>0</v>
      </c>
      <c r="AP201"/>
      <c r="AQ201" s="95">
        <f t="shared" si="201"/>
        <v>0</v>
      </c>
      <c r="AR201" s="95">
        <f t="shared" si="202"/>
        <v>0</v>
      </c>
      <c r="AS201" s="95">
        <f>Geraetedaten!$B$94*ABS(SIN(RADIANS($A201)))</f>
        <v>47.588617133741913</v>
      </c>
      <c r="AT201" s="95">
        <f>Geraetedaten!$B$94*ABS(COS(RADIANS($A201)))</f>
        <v>146.46270350945363</v>
      </c>
      <c r="AU201" s="95">
        <f>((h_Aw_Sw+Geraetedaten!$B$18)/1000)*(AQ201*AS201+AR201*AT201)/100</f>
        <v>0</v>
      </c>
    </row>
    <row r="202" spans="1:47" ht="13.5" x14ac:dyDescent="0.25">
      <c r="A202" s="16">
        <v>163</v>
      </c>
      <c r="B202" s="16">
        <f t="shared" si="170"/>
        <v>287</v>
      </c>
      <c r="C202" s="19">
        <f t="shared" si="171"/>
        <v>47.21797184695501</v>
      </c>
      <c r="D202" s="17">
        <f t="shared" si="172"/>
        <v>49051.660238153047</v>
      </c>
      <c r="E202" s="17">
        <f t="shared" si="173"/>
        <v>9075.908498153045</v>
      </c>
      <c r="F202" s="17">
        <f t="shared" si="174"/>
        <v>-56165.175801846955</v>
      </c>
      <c r="G202" s="17">
        <f t="shared" si="175"/>
        <v>-9420.4850518469539</v>
      </c>
      <c r="H202" s="17">
        <f t="shared" si="203"/>
        <v>9075.908498153045</v>
      </c>
      <c r="I202" s="17">
        <f t="shared" si="176"/>
        <v>874.094766625386</v>
      </c>
      <c r="J202" s="20">
        <f>(Geraetedaten!$B$152+(Geraetedaten!$B$153*(Geraetedaten!$B$18+d_y_Sw)/1000))*10</f>
        <v>6051.0442000000003</v>
      </c>
      <c r="K202" s="20">
        <f>(Geraetedaten!$B$165+(Geraetedaten!$B$166*(Geraetedaten!$B$18+d_y_Sw)/1000))*10</f>
        <v>10816.164000000001</v>
      </c>
      <c r="L202" s="20">
        <f>(Geraetedaten!$B$158+(Geraetedaten!$B$159*(Geraetedaten!$B$18+d_y_Sw)/1000)-(Geraetedaten!$B$160*I202/1000))*10</f>
        <v>537.43923076336023</v>
      </c>
      <c r="M202" s="20">
        <f>(Geraetedaten!$B$171+(Geraetedaten!$B$172*(Geraetedaten!$B$18+d_y_Sw)/1000)-(Geraetedaten!$B$173*I202/1000))*10</f>
        <v>999.79938557240735</v>
      </c>
      <c r="N202" s="20">
        <f>IF((H202-J202)/(K202-J202)*(Geraetedaten!$B$174-Geraetedaten!$B$161)&lt;Geraetedaten!$B$174,(H202-J202)/(K202-J202)*(Geraetedaten!$B$174-Geraetedaten!$B$161),Geraetedaten!$B$174)</f>
        <v>253.91716683832749</v>
      </c>
      <c r="O202" s="20">
        <f>N202/Geraetedaten!$B$174*(M202-L202)+L202+C202</f>
        <v>878.16015403042468</v>
      </c>
      <c r="P202" s="20">
        <f t="shared" si="177"/>
        <v>249.48991807407231</v>
      </c>
      <c r="Q202" s="21">
        <f>(N202-Geraetedaten!$B$161)/(Geraetedaten!$B$174-Geraetedaten!$B$161)*(Geraetedaten!$B$175-Geraetedaten!$B$162)+Geraetedaten!$B$162</f>
        <v>36.754035713440246</v>
      </c>
      <c r="R202" s="21">
        <f t="shared" si="178"/>
        <v>36.754035713440246</v>
      </c>
      <c r="S202" s="21">
        <f t="shared" si="179"/>
        <v>10.745840076978867</v>
      </c>
      <c r="T202" s="88">
        <f t="shared" si="180"/>
        <v>-35.148059153598169</v>
      </c>
      <c r="U202" s="86">
        <f t="shared" si="181"/>
        <v>49098.878210000003</v>
      </c>
      <c r="V202" s="85">
        <f t="shared" si="182"/>
        <v>-1346.4914747781525</v>
      </c>
      <c r="W202" s="85">
        <f t="shared" si="183"/>
        <v>11049.797537383603</v>
      </c>
      <c r="X202" s="90">
        <f t="shared" si="184"/>
        <v>1346.4914747781525</v>
      </c>
      <c r="Y202" s="86">
        <f t="shared" si="185"/>
        <v>9123.1264699999992</v>
      </c>
      <c r="Z202" s="85">
        <f t="shared" si="186"/>
        <v>-818.62113479844345</v>
      </c>
      <c r="AA202" s="85">
        <f t="shared" si="187"/>
        <v>874.094766625386</v>
      </c>
      <c r="AB202" s="90">
        <f t="shared" si="188"/>
        <v>818.62113479844345</v>
      </c>
      <c r="AC202" s="86">
        <f t="shared" si="189"/>
        <v>-56117.957829999999</v>
      </c>
      <c r="AD202" s="85">
        <f t="shared" si="190"/>
        <v>3384.56104615708</v>
      </c>
      <c r="AE202" s="85">
        <f t="shared" si="191"/>
        <v>-31653.616054280774</v>
      </c>
      <c r="AF202" s="90">
        <f t="shared" si="192"/>
        <v>3384.56104615708</v>
      </c>
      <c r="AG202" s="86">
        <f t="shared" si="193"/>
        <v>-9373.2670799999996</v>
      </c>
      <c r="AH202" s="85">
        <f t="shared" si="194"/>
        <v>6139.2748628683721</v>
      </c>
      <c r="AI202" s="85">
        <f t="shared" si="195"/>
        <v>-6441.7681398777004</v>
      </c>
      <c r="AJ202" s="90">
        <f t="shared" si="196"/>
        <v>6139.2748628683721</v>
      </c>
      <c r="AL202" s="95">
        <f t="shared" si="197"/>
        <v>0</v>
      </c>
      <c r="AM202" s="95">
        <f t="shared" si="198"/>
        <v>0</v>
      </c>
      <c r="AN202" s="95">
        <f t="shared" si="199"/>
        <v>0</v>
      </c>
      <c r="AO202" s="95">
        <f t="shared" si="200"/>
        <v>0</v>
      </c>
      <c r="AP202"/>
      <c r="AQ202" s="95">
        <f t="shared" si="201"/>
        <v>0</v>
      </c>
      <c r="AR202" s="95">
        <f t="shared" si="202"/>
        <v>0</v>
      </c>
      <c r="AS202" s="95">
        <f>Geraetedaten!$B$94*ABS(SIN(RADIANS($A202)))</f>
        <v>45.025242527301437</v>
      </c>
      <c r="AT202" s="95">
        <f>Geraetedaten!$B$94*ABS(COS(RADIANS($A202)))</f>
        <v>147.27093241830747</v>
      </c>
      <c r="AU202" s="95">
        <f>((h_Aw_Sw+Geraetedaten!$B$18)/1000)*(AQ202*AS202+AR202*AT202)/100</f>
        <v>0</v>
      </c>
    </row>
    <row r="203" spans="1:47" ht="13.5" x14ac:dyDescent="0.25">
      <c r="A203" s="16">
        <v>164</v>
      </c>
      <c r="B203" s="16">
        <f t="shared" si="170"/>
        <v>286</v>
      </c>
      <c r="C203" s="19">
        <f t="shared" si="171"/>
        <v>46.302980457587736</v>
      </c>
      <c r="D203" s="17">
        <f t="shared" si="172"/>
        <v>42947.417449542416</v>
      </c>
      <c r="E203" s="17">
        <f t="shared" si="173"/>
        <v>9018.9813495424132</v>
      </c>
      <c r="F203" s="17">
        <f t="shared" si="174"/>
        <v>-48335.057190457585</v>
      </c>
      <c r="G203" s="17">
        <f t="shared" si="175"/>
        <v>-9369.2877504575863</v>
      </c>
      <c r="H203" s="17">
        <f t="shared" si="203"/>
        <v>9018.9813495424132</v>
      </c>
      <c r="I203" s="17">
        <f t="shared" si="176"/>
        <v>868.55286034486869</v>
      </c>
      <c r="J203" s="20">
        <f>(Geraetedaten!$B$152+(Geraetedaten!$B$153*(Geraetedaten!$B$18+d_y_Sw)/1000))*10</f>
        <v>6051.0442000000003</v>
      </c>
      <c r="K203" s="20">
        <f>(Geraetedaten!$B$165+(Geraetedaten!$B$166*(Geraetedaten!$B$18+d_y_Sw)/1000))*10</f>
        <v>10816.164000000001</v>
      </c>
      <c r="L203" s="20">
        <f>(Geraetedaten!$B$158+(Geraetedaten!$B$159*(Geraetedaten!$B$18+d_y_Sw)/1000)-(Geraetedaten!$B$160*I203/1000))*10</f>
        <v>537.84561875091049</v>
      </c>
      <c r="M203" s="20">
        <f>(Geraetedaten!$B$171+(Geraetedaten!$B$172*(Geraetedaten!$B$18+d_y_Sw)/1000)-(Geraetedaten!$B$173*I203/1000))*10</f>
        <v>1000.211925075929</v>
      </c>
      <c r="N203" s="20">
        <f>IF((H203-J203)/(K203-J203)*(Geraetedaten!$B$174-Geraetedaten!$B$161)&lt;Geraetedaten!$B$174,(H203-J203)/(K203-J203)*(Geraetedaten!$B$174-Geraetedaten!$B$161),Geraetedaten!$B$174)</f>
        <v>249.1385127016041</v>
      </c>
      <c r="O203" s="20">
        <f>N203/Geraetedaten!$B$174*(M203-L203)+L203+C203</f>
        <v>872.13173391137173</v>
      </c>
      <c r="P203" s="20">
        <f t="shared" si="177"/>
        <v>248.72430055169337</v>
      </c>
      <c r="Q203" s="21">
        <f>(N203-Geraetedaten!$B$161)/(Geraetedaten!$B$174-Geraetedaten!$B$161)*(Geraetedaten!$B$175-Geraetedaten!$B$162)+Geraetedaten!$B$162</f>
        <v>36.611870752872726</v>
      </c>
      <c r="R203" s="21">
        <f t="shared" si="178"/>
        <v>36.611870752872726</v>
      </c>
      <c r="S203" s="21">
        <f t="shared" si="179"/>
        <v>10.091599245835566</v>
      </c>
      <c r="T203" s="88">
        <f t="shared" si="180"/>
        <v>-35.193588971380976</v>
      </c>
      <c r="U203" s="86">
        <f t="shared" si="181"/>
        <v>42993.720430000001</v>
      </c>
      <c r="V203" s="85">
        <f t="shared" si="182"/>
        <v>-1346.4914747781525</v>
      </c>
      <c r="W203" s="85">
        <f t="shared" si="183"/>
        <v>9675.819965937204</v>
      </c>
      <c r="X203" s="90">
        <f t="shared" si="184"/>
        <v>1346.4914747781525</v>
      </c>
      <c r="Y203" s="86">
        <f t="shared" si="185"/>
        <v>9065.2843300000004</v>
      </c>
      <c r="Z203" s="85">
        <f t="shared" si="186"/>
        <v>-818.62113479844345</v>
      </c>
      <c r="AA203" s="85">
        <f t="shared" si="187"/>
        <v>868.55286034486869</v>
      </c>
      <c r="AB203" s="90">
        <f t="shared" si="188"/>
        <v>818.62113479844345</v>
      </c>
      <c r="AC203" s="86">
        <f t="shared" si="189"/>
        <v>-48288.754209999999</v>
      </c>
      <c r="AD203" s="85">
        <f t="shared" si="190"/>
        <v>3384.56104615708</v>
      </c>
      <c r="AE203" s="85">
        <f t="shared" si="191"/>
        <v>-27237.514417033843</v>
      </c>
      <c r="AF203" s="90">
        <f t="shared" si="192"/>
        <v>3384.56104615708</v>
      </c>
      <c r="AG203" s="86">
        <f t="shared" si="193"/>
        <v>-9322.9847699999991</v>
      </c>
      <c r="AH203" s="85">
        <f t="shared" si="194"/>
        <v>6139.2748628683721</v>
      </c>
      <c r="AI203" s="85">
        <f t="shared" si="195"/>
        <v>-6407.2116745819721</v>
      </c>
      <c r="AJ203" s="90">
        <f t="shared" si="196"/>
        <v>6139.2748628683721</v>
      </c>
      <c r="AL203" s="95">
        <f t="shared" si="197"/>
        <v>0</v>
      </c>
      <c r="AM203" s="95">
        <f t="shared" si="198"/>
        <v>0</v>
      </c>
      <c r="AN203" s="95">
        <f t="shared" si="199"/>
        <v>0</v>
      </c>
      <c r="AO203" s="95">
        <f t="shared" si="200"/>
        <v>0</v>
      </c>
      <c r="AP203"/>
      <c r="AQ203" s="95">
        <f t="shared" si="201"/>
        <v>0</v>
      </c>
      <c r="AR203" s="95">
        <f t="shared" si="202"/>
        <v>0</v>
      </c>
      <c r="AS203" s="95">
        <f>Geraetedaten!$B$94*ABS(SIN(RADIANS($A203)))</f>
        <v>42.448152795817883</v>
      </c>
      <c r="AT203" s="95">
        <f>Geraetedaten!$B$94*ABS(COS(RADIANS($A203)))</f>
        <v>148.03430117450111</v>
      </c>
      <c r="AU203" s="95">
        <f>((h_Aw_Sw+Geraetedaten!$B$18)/1000)*(AQ203*AS203+AR203*AT203)/100</f>
        <v>0</v>
      </c>
    </row>
    <row r="204" spans="1:47" ht="13.5" x14ac:dyDescent="0.25">
      <c r="A204" s="16">
        <v>165</v>
      </c>
      <c r="B204" s="16">
        <f t="shared" si="170"/>
        <v>285</v>
      </c>
      <c r="C204" s="19">
        <f t="shared" si="171"/>
        <v>45.373884731826038</v>
      </c>
      <c r="D204" s="17">
        <f t="shared" si="172"/>
        <v>38203.921865268174</v>
      </c>
      <c r="E204" s="17">
        <f t="shared" si="173"/>
        <v>8965.5246552681747</v>
      </c>
      <c r="F204" s="17">
        <f t="shared" si="174"/>
        <v>-42433.351614731822</v>
      </c>
      <c r="G204" s="17">
        <f t="shared" si="175"/>
        <v>-9321.4234347318252</v>
      </c>
      <c r="H204" s="17">
        <f t="shared" si="203"/>
        <v>8965.5246552681747</v>
      </c>
      <c r="I204" s="17">
        <f t="shared" si="176"/>
        <v>863.34211006641851</v>
      </c>
      <c r="J204" s="20">
        <f>(Geraetedaten!$B$152+(Geraetedaten!$B$153*(Geraetedaten!$B$18+d_y_Sw)/1000))*10</f>
        <v>6051.0442000000003</v>
      </c>
      <c r="K204" s="20">
        <f>(Geraetedaten!$B$165+(Geraetedaten!$B$166*(Geraetedaten!$B$18+d_y_Sw)/1000))*10</f>
        <v>10816.164000000001</v>
      </c>
      <c r="L204" s="20">
        <f>(Geraetedaten!$B$158+(Geraetedaten!$B$159*(Geraetedaten!$B$18+d_y_Sw)/1000)-(Geraetedaten!$B$160*I204/1000))*10</f>
        <v>538.22772306882928</v>
      </c>
      <c r="M204" s="20">
        <f>(Geraetedaten!$B$171+(Geraetedaten!$B$172*(Geraetedaten!$B$18+d_y_Sw)/1000)-(Geraetedaten!$B$173*I204/1000))*10</f>
        <v>1000.5998133266567</v>
      </c>
      <c r="N204" s="20">
        <f>IF((H204-J204)/(K204-J204)*(Geraetedaten!$B$174-Geraetedaten!$B$161)&lt;Geraetedaten!$B$174,(H204-J204)/(K204-J204)*(Geraetedaten!$B$174-Geraetedaten!$B$161),Geraetedaten!$B$174)</f>
        <v>244.65118004111241</v>
      </c>
      <c r="O204" s="20">
        <f>N204/Geraetedaten!$B$174*(M204-L204)+L204+C204</f>
        <v>866.4013015497884</v>
      </c>
      <c r="P204" s="20">
        <f t="shared" si="177"/>
        <v>247.98006420015764</v>
      </c>
      <c r="Q204" s="21">
        <f>(N204-Geraetedaten!$B$161)/(Geraetedaten!$B$174-Geraetedaten!$B$161)*(Geraetedaten!$B$175-Geraetedaten!$B$162)+Geraetedaten!$B$162</f>
        <v>36.478372606223097</v>
      </c>
      <c r="R204" s="21">
        <f t="shared" si="178"/>
        <v>36.478372606223097</v>
      </c>
      <c r="S204" s="21">
        <f t="shared" si="179"/>
        <v>9.4412975648366224</v>
      </c>
      <c r="T204" s="88">
        <f t="shared" si="180"/>
        <v>-35.235402201346552</v>
      </c>
      <c r="U204" s="86">
        <f t="shared" si="181"/>
        <v>38249.295749999997</v>
      </c>
      <c r="V204" s="85">
        <f t="shared" si="182"/>
        <v>-1346.4914747781525</v>
      </c>
      <c r="W204" s="85">
        <f t="shared" si="183"/>
        <v>8608.0780127411472</v>
      </c>
      <c r="X204" s="90">
        <f t="shared" si="184"/>
        <v>1346.4914747781525</v>
      </c>
      <c r="Y204" s="86">
        <f t="shared" si="185"/>
        <v>9010.8985400000001</v>
      </c>
      <c r="Z204" s="85">
        <f t="shared" si="186"/>
        <v>-818.62113479844345</v>
      </c>
      <c r="AA204" s="85">
        <f t="shared" si="187"/>
        <v>863.34211006641851</v>
      </c>
      <c r="AB204" s="90">
        <f t="shared" si="188"/>
        <v>818.62113479844345</v>
      </c>
      <c r="AC204" s="86">
        <f t="shared" si="189"/>
        <v>-42387.977729999999</v>
      </c>
      <c r="AD204" s="85">
        <f t="shared" si="190"/>
        <v>3384.56104615708</v>
      </c>
      <c r="AE204" s="85">
        <f t="shared" si="191"/>
        <v>-23909.151798772222</v>
      </c>
      <c r="AF204" s="90">
        <f t="shared" si="192"/>
        <v>3384.56104615708</v>
      </c>
      <c r="AG204" s="86">
        <f t="shared" si="193"/>
        <v>-9276.0495499999997</v>
      </c>
      <c r="AH204" s="85">
        <f t="shared" si="194"/>
        <v>6139.2748628683721</v>
      </c>
      <c r="AI204" s="85">
        <f t="shared" si="195"/>
        <v>-6374.9554947726174</v>
      </c>
      <c r="AJ204" s="90">
        <f t="shared" si="196"/>
        <v>6139.2748628683721</v>
      </c>
      <c r="AL204" s="95">
        <f t="shared" si="197"/>
        <v>0</v>
      </c>
      <c r="AM204" s="95">
        <f t="shared" si="198"/>
        <v>0</v>
      </c>
      <c r="AN204" s="95">
        <f t="shared" si="199"/>
        <v>0</v>
      </c>
      <c r="AO204" s="95">
        <f t="shared" si="200"/>
        <v>0</v>
      </c>
      <c r="AP204"/>
      <c r="AQ204" s="95">
        <f t="shared" si="201"/>
        <v>0</v>
      </c>
      <c r="AR204" s="95">
        <f t="shared" si="202"/>
        <v>0</v>
      </c>
      <c r="AS204" s="95">
        <f>Geraetedaten!$B$94*ABS(SIN(RADIANS($A204)))</f>
        <v>39.858132945788235</v>
      </c>
      <c r="AT204" s="95">
        <f>Geraetedaten!$B$94*ABS(COS(RADIANS($A204)))</f>
        <v>148.7525772485165</v>
      </c>
      <c r="AU204" s="95">
        <f>((h_Aw_Sw+Geraetedaten!$B$18)/1000)*(AQ204*AS204+AR204*AT204)/100</f>
        <v>0</v>
      </c>
    </row>
    <row r="205" spans="1:47" ht="13.5" x14ac:dyDescent="0.25">
      <c r="A205" s="16">
        <v>166</v>
      </c>
      <c r="B205" s="16">
        <f t="shared" si="170"/>
        <v>284</v>
      </c>
      <c r="C205" s="19">
        <f t="shared" si="171"/>
        <v>44.43096768122831</v>
      </c>
      <c r="D205" s="17">
        <f t="shared" si="172"/>
        <v>34412.936162318772</v>
      </c>
      <c r="E205" s="17">
        <f t="shared" si="173"/>
        <v>8915.4434423187722</v>
      </c>
      <c r="F205" s="17">
        <f t="shared" si="174"/>
        <v>-37826.976117681224</v>
      </c>
      <c r="G205" s="17">
        <f t="shared" si="175"/>
        <v>-9276.8136976812275</v>
      </c>
      <c r="H205" s="17">
        <f t="shared" si="203"/>
        <v>8915.4434423187722</v>
      </c>
      <c r="I205" s="17">
        <f t="shared" si="176"/>
        <v>858.45344293552023</v>
      </c>
      <c r="J205" s="20">
        <f>(Geraetedaten!$B$152+(Geraetedaten!$B$153*(Geraetedaten!$B$18+d_y_Sw)/1000))*10</f>
        <v>6051.0442000000003</v>
      </c>
      <c r="K205" s="20">
        <f>(Geraetedaten!$B$165+(Geraetedaten!$B$166*(Geraetedaten!$B$18+d_y_Sw)/1000))*10</f>
        <v>10816.164000000001</v>
      </c>
      <c r="L205" s="20">
        <f>(Geraetedaten!$B$158+(Geraetedaten!$B$159*(Geraetedaten!$B$18+d_y_Sw)/1000)-(Geraetedaten!$B$160*I205/1000))*10</f>
        <v>538.58620902953805</v>
      </c>
      <c r="M205" s="20">
        <f>(Geraetedaten!$B$171+(Geraetedaten!$B$172*(Geraetedaten!$B$18+d_y_Sw)/1000)-(Geraetedaten!$B$173*I205/1000))*10</f>
        <v>1000.9637257078807</v>
      </c>
      <c r="N205" s="20">
        <f>IF((H205-J205)/(K205-J205)*(Geraetedaten!$B$174-Geraetedaten!$B$161)&lt;Geraetedaten!$B$174,(H205-J205)/(K205-J205)*(Geraetedaten!$B$174-Geraetedaten!$B$161),Geraetedaten!$B$174)</f>
        <v>240.44719650647792</v>
      </c>
      <c r="O205" s="20">
        <f>N205/Geraetedaten!$B$174*(M205-L205)+L205+C205</f>
        <v>860.96062074310316</v>
      </c>
      <c r="P205" s="20">
        <f t="shared" si="177"/>
        <v>247.25718882469062</v>
      </c>
      <c r="Q205" s="21">
        <f>(N205-Geraetedaten!$B$161)/(Geraetedaten!$B$174-Geraetedaten!$B$161)*(Geraetedaten!$B$175-Geraetedaten!$B$162)+Geraetedaten!$B$162</f>
        <v>36.353304096067717</v>
      </c>
      <c r="R205" s="21">
        <f t="shared" si="178"/>
        <v>36.353304096067717</v>
      </c>
      <c r="S205" s="21">
        <f t="shared" si="179"/>
        <v>8.7946602382318666</v>
      </c>
      <c r="T205" s="88">
        <f t="shared" si="180"/>
        <v>-35.273455600426182</v>
      </c>
      <c r="U205" s="86">
        <f t="shared" si="181"/>
        <v>34457.367129999999</v>
      </c>
      <c r="V205" s="85">
        <f t="shared" si="182"/>
        <v>-1346.4914747781525</v>
      </c>
      <c r="W205" s="85">
        <f t="shared" si="183"/>
        <v>7754.697141046755</v>
      </c>
      <c r="X205" s="90">
        <f t="shared" si="184"/>
        <v>1346.4914747781525</v>
      </c>
      <c r="Y205" s="86">
        <f t="shared" si="185"/>
        <v>8959.8744100000004</v>
      </c>
      <c r="Z205" s="85">
        <f t="shared" si="186"/>
        <v>-818.62113479844345</v>
      </c>
      <c r="AA205" s="85">
        <f t="shared" si="187"/>
        <v>858.45344293552023</v>
      </c>
      <c r="AB205" s="90">
        <f t="shared" si="188"/>
        <v>818.62113479844345</v>
      </c>
      <c r="AC205" s="86">
        <f t="shared" si="189"/>
        <v>-37782.545149999998</v>
      </c>
      <c r="AD205" s="85">
        <f t="shared" si="190"/>
        <v>3384.56104615708</v>
      </c>
      <c r="AE205" s="85">
        <f t="shared" si="191"/>
        <v>-21311.434414396175</v>
      </c>
      <c r="AF205" s="90">
        <f t="shared" si="192"/>
        <v>3384.56104615708</v>
      </c>
      <c r="AG205" s="86">
        <f t="shared" si="193"/>
        <v>-9232.3827299999994</v>
      </c>
      <c r="AH205" s="85">
        <f t="shared" si="194"/>
        <v>6139.2748628683721</v>
      </c>
      <c r="AI205" s="85">
        <f t="shared" si="195"/>
        <v>-6344.9455167916685</v>
      </c>
      <c r="AJ205" s="90">
        <f t="shared" si="196"/>
        <v>6139.2748628683721</v>
      </c>
      <c r="AL205" s="95">
        <f t="shared" si="197"/>
        <v>0</v>
      </c>
      <c r="AM205" s="95">
        <f t="shared" si="198"/>
        <v>0</v>
      </c>
      <c r="AN205" s="95">
        <f t="shared" si="199"/>
        <v>0</v>
      </c>
      <c r="AO205" s="95">
        <f t="shared" si="200"/>
        <v>0</v>
      </c>
      <c r="AP205"/>
      <c r="AQ205" s="95">
        <f t="shared" si="201"/>
        <v>0</v>
      </c>
      <c r="AR205" s="95">
        <f t="shared" si="202"/>
        <v>0</v>
      </c>
      <c r="AS205" s="95">
        <f>Geraetedaten!$B$94*ABS(SIN(RADIANS($A205)))</f>
        <v>37.255971922348827</v>
      </c>
      <c r="AT205" s="95">
        <f>Geraetedaten!$B$94*ABS(COS(RADIANS($A205)))</f>
        <v>149.42554184650345</v>
      </c>
      <c r="AU205" s="95">
        <f>((h_Aw_Sw+Geraetedaten!$B$18)/1000)*(AQ205*AS205+AR205*AT205)/100</f>
        <v>0</v>
      </c>
    </row>
    <row r="206" spans="1:47" ht="13.5" x14ac:dyDescent="0.25">
      <c r="A206" s="16">
        <v>167</v>
      </c>
      <c r="B206" s="16">
        <f t="shared" si="170"/>
        <v>283</v>
      </c>
      <c r="C206" s="19">
        <f t="shared" si="171"/>
        <v>43.474516527462455</v>
      </c>
      <c r="D206" s="17">
        <f t="shared" si="172"/>
        <v>31314.68413347254</v>
      </c>
      <c r="E206" s="17">
        <f t="shared" si="173"/>
        <v>8868.6497834725378</v>
      </c>
      <c r="F206" s="17">
        <f t="shared" si="174"/>
        <v>-34132.633486527462</v>
      </c>
      <c r="G206" s="17">
        <f t="shared" si="175"/>
        <v>-9235.3864465274619</v>
      </c>
      <c r="H206" s="17">
        <f t="shared" si="203"/>
        <v>8868.6497834725378</v>
      </c>
      <c r="I206" s="17">
        <f t="shared" si="176"/>
        <v>853.87846327325713</v>
      </c>
      <c r="J206" s="20">
        <f>(Geraetedaten!$B$152+(Geraetedaten!$B$153*(Geraetedaten!$B$18+d_y_Sw)/1000))*10</f>
        <v>6051.0442000000003</v>
      </c>
      <c r="K206" s="20">
        <f>(Geraetedaten!$B$165+(Geraetedaten!$B$166*(Geraetedaten!$B$18+d_y_Sw)/1000))*10</f>
        <v>10816.164000000001</v>
      </c>
      <c r="L206" s="20">
        <f>(Geraetedaten!$B$158+(Geraetedaten!$B$159*(Geraetedaten!$B$18+d_y_Sw)/1000)-(Geraetedaten!$B$160*I206/1000))*10</f>
        <v>538.92169228817181</v>
      </c>
      <c r="M206" s="20">
        <f>(Geraetedaten!$B$171+(Geraetedaten!$B$172*(Geraetedaten!$B$18+d_y_Sw)/1000)-(Geraetedaten!$B$173*I206/1000))*10</f>
        <v>1001.3042871939398</v>
      </c>
      <c r="N206" s="20">
        <f>IF((H206-J206)/(K206-J206)*(Geraetedaten!$B$174-Geraetedaten!$B$161)&lt;Geraetedaten!$B$174,(H206-J206)/(K206-J206)*(Geraetedaten!$B$174-Geraetedaten!$B$161),Geraetedaten!$B$174)</f>
        <v>236.51918119435632</v>
      </c>
      <c r="O206" s="20">
        <f>N206/Geraetedaten!$B$174*(M206-L206)+L206+C206</f>
        <v>855.8020906797193</v>
      </c>
      <c r="P206" s="20">
        <f t="shared" si="177"/>
        <v>246.55567082585287</v>
      </c>
      <c r="Q206" s="21">
        <f>(N206-Geraetedaten!$B$161)/(Geraetedaten!$B$174-Geraetedaten!$B$161)*(Geraetedaten!$B$175-Geraetedaten!$B$162)+Geraetedaten!$B$162</f>
        <v>36.236445640532104</v>
      </c>
      <c r="R206" s="21">
        <f t="shared" si="178"/>
        <v>36.236445640532104</v>
      </c>
      <c r="S206" s="21">
        <f t="shared" si="179"/>
        <v>8.1514266525118551</v>
      </c>
      <c r="T206" s="88">
        <f t="shared" si="180"/>
        <v>-35.30770788635192</v>
      </c>
      <c r="U206" s="86">
        <f t="shared" si="181"/>
        <v>31358.158650000001</v>
      </c>
      <c r="V206" s="85">
        <f t="shared" si="182"/>
        <v>-1346.4914747781525</v>
      </c>
      <c r="W206" s="85">
        <f t="shared" si="183"/>
        <v>7057.2142753362677</v>
      </c>
      <c r="X206" s="90">
        <f t="shared" si="184"/>
        <v>1346.4914747781525</v>
      </c>
      <c r="Y206" s="86">
        <f t="shared" si="185"/>
        <v>8912.1242999999995</v>
      </c>
      <c r="Z206" s="85">
        <f t="shared" si="186"/>
        <v>-818.62113479844345</v>
      </c>
      <c r="AA206" s="85">
        <f t="shared" si="187"/>
        <v>853.87846327325713</v>
      </c>
      <c r="AB206" s="90">
        <f t="shared" si="188"/>
        <v>818.62113479844345</v>
      </c>
      <c r="AC206" s="86">
        <f t="shared" si="189"/>
        <v>-34089.158969999997</v>
      </c>
      <c r="AD206" s="85">
        <f t="shared" si="190"/>
        <v>3384.56104615708</v>
      </c>
      <c r="AE206" s="85">
        <f t="shared" si="191"/>
        <v>-19228.161381775684</v>
      </c>
      <c r="AF206" s="90">
        <f t="shared" si="192"/>
        <v>3384.56104615708</v>
      </c>
      <c r="AG206" s="86">
        <f t="shared" si="193"/>
        <v>-9191.9119300000002</v>
      </c>
      <c r="AH206" s="85">
        <f t="shared" si="194"/>
        <v>6139.2748628683721</v>
      </c>
      <c r="AI206" s="85">
        <f t="shared" si="195"/>
        <v>-6317.1320013750401</v>
      </c>
      <c r="AJ206" s="90">
        <f t="shared" si="196"/>
        <v>6139.2748628683721</v>
      </c>
      <c r="AL206" s="95">
        <f t="shared" si="197"/>
        <v>0</v>
      </c>
      <c r="AM206" s="95">
        <f t="shared" si="198"/>
        <v>0</v>
      </c>
      <c r="AN206" s="95">
        <f t="shared" si="199"/>
        <v>0</v>
      </c>
      <c r="AO206" s="95">
        <f t="shared" si="200"/>
        <v>0</v>
      </c>
      <c r="AP206"/>
      <c r="AQ206" s="95">
        <f t="shared" si="201"/>
        <v>0</v>
      </c>
      <c r="AR206" s="95">
        <f t="shared" si="202"/>
        <v>0</v>
      </c>
      <c r="AS206" s="95">
        <f>Geraetedaten!$B$94*ABS(SIN(RADIANS($A206)))</f>
        <v>34.642462368955243</v>
      </c>
      <c r="AT206" s="95">
        <f>Geraetedaten!$B$94*ABS(COS(RADIANS($A206)))</f>
        <v>150.0529899769262</v>
      </c>
      <c r="AU206" s="95">
        <f>((h_Aw_Sw+Geraetedaten!$B$18)/1000)*(AQ206*AS206+AR206*AT206)/100</f>
        <v>0</v>
      </c>
    </row>
    <row r="207" spans="1:47" ht="13.5" x14ac:dyDescent="0.25">
      <c r="A207" s="16">
        <v>168</v>
      </c>
      <c r="B207" s="16">
        <f t="shared" si="170"/>
        <v>282</v>
      </c>
      <c r="C207" s="19">
        <f t="shared" si="171"/>
        <v>42.504822614815211</v>
      </c>
      <c r="D207" s="17">
        <f t="shared" si="172"/>
        <v>28735.988097385187</v>
      </c>
      <c r="E207" s="17">
        <f t="shared" si="173"/>
        <v>8825.0624573851837</v>
      </c>
      <c r="F207" s="17">
        <f t="shared" si="174"/>
        <v>-31104.680852614812</v>
      </c>
      <c r="G207" s="17">
        <f t="shared" si="175"/>
        <v>-9197.0756226148151</v>
      </c>
      <c r="H207" s="17">
        <f t="shared" si="203"/>
        <v>8825.0624573851837</v>
      </c>
      <c r="I207" s="17">
        <f t="shared" si="176"/>
        <v>849.60941558873378</v>
      </c>
      <c r="J207" s="20">
        <f>(Geraetedaten!$B$152+(Geraetedaten!$B$153*(Geraetedaten!$B$18+d_y_Sw)/1000))*10</f>
        <v>6051.0442000000003</v>
      </c>
      <c r="K207" s="20">
        <f>(Geraetedaten!$B$165+(Geraetedaten!$B$166*(Geraetedaten!$B$18+d_y_Sw)/1000))*10</f>
        <v>10816.164000000001</v>
      </c>
      <c r="L207" s="20">
        <f>(Geraetedaten!$B$158+(Geraetedaten!$B$159*(Geraetedaten!$B$18+d_y_Sw)/1000)-(Geraetedaten!$B$160*I207/1000))*10</f>
        <v>539.23474155487793</v>
      </c>
      <c r="M207" s="20">
        <f>(Geraetedaten!$B$171+(Geraetedaten!$B$172*(Geraetedaten!$B$18+d_y_Sw)/1000)-(Geraetedaten!$B$173*I207/1000))*10</f>
        <v>1001.6220751035756</v>
      </c>
      <c r="N207" s="20">
        <f>IF((H207-J207)/(K207-J207)*(Geraetedaten!$B$174-Geraetedaten!$B$161)&lt;Geraetedaten!$B$174,(H207-J207)/(K207-J207)*(Geraetedaten!$B$174-Geraetedaten!$B$161),Geraetedaten!$B$174)</f>
        <v>232.86031611504779</v>
      </c>
      <c r="O207" s="20">
        <f>N207/Geraetedaten!$B$174*(M207-L207)+L207+C207</f>
        <v>850.91871581405269</v>
      </c>
      <c r="P207" s="20">
        <f t="shared" si="177"/>
        <v>245.87552345670841</v>
      </c>
      <c r="Q207" s="21">
        <f>(N207-Geraetedaten!$B$161)/(Geraetedaten!$B$174-Geraetedaten!$B$161)*(Geraetedaten!$B$175-Geraetedaten!$B$162)+Geraetedaten!$B$162</f>
        <v>36.127594404422673</v>
      </c>
      <c r="R207" s="21">
        <f t="shared" si="178"/>
        <v>36.127594404422673</v>
      </c>
      <c r="S207" s="21">
        <f t="shared" si="179"/>
        <v>7.5113492378017384</v>
      </c>
      <c r="T207" s="88">
        <f t="shared" si="180"/>
        <v>-35.338119786970104</v>
      </c>
      <c r="U207" s="86">
        <f t="shared" si="181"/>
        <v>28778.492920000001</v>
      </c>
      <c r="V207" s="85">
        <f t="shared" si="182"/>
        <v>-1346.4914747781525</v>
      </c>
      <c r="W207" s="85">
        <f t="shared" si="183"/>
        <v>6476.6555126347384</v>
      </c>
      <c r="X207" s="90">
        <f t="shared" si="184"/>
        <v>1346.4914747781525</v>
      </c>
      <c r="Y207" s="86">
        <f t="shared" si="185"/>
        <v>8867.5672799999993</v>
      </c>
      <c r="Z207" s="85">
        <f t="shared" si="186"/>
        <v>-818.62113479844345</v>
      </c>
      <c r="AA207" s="85">
        <f t="shared" si="187"/>
        <v>849.60941558873378</v>
      </c>
      <c r="AB207" s="90">
        <f t="shared" si="188"/>
        <v>818.62113479844345</v>
      </c>
      <c r="AC207" s="86">
        <f t="shared" si="189"/>
        <v>-31062.176029999999</v>
      </c>
      <c r="AD207" s="85">
        <f t="shared" si="190"/>
        <v>3384.56104615708</v>
      </c>
      <c r="AE207" s="85">
        <f t="shared" si="191"/>
        <v>-17520.776449685669</v>
      </c>
      <c r="AF207" s="90">
        <f t="shared" si="192"/>
        <v>3384.56104615708</v>
      </c>
      <c r="AG207" s="86">
        <f t="shared" si="193"/>
        <v>-9154.5707999999995</v>
      </c>
      <c r="AH207" s="85">
        <f t="shared" si="194"/>
        <v>6139.2748628683721</v>
      </c>
      <c r="AI207" s="85">
        <f t="shared" si="195"/>
        <v>-6291.4693450318737</v>
      </c>
      <c r="AJ207" s="90">
        <f t="shared" si="196"/>
        <v>6139.2748628683721</v>
      </c>
      <c r="AL207" s="95">
        <f t="shared" si="197"/>
        <v>0</v>
      </c>
      <c r="AM207" s="95">
        <f t="shared" si="198"/>
        <v>0</v>
      </c>
      <c r="AN207" s="95">
        <f t="shared" si="199"/>
        <v>0</v>
      </c>
      <c r="AO207" s="95">
        <f t="shared" si="200"/>
        <v>0</v>
      </c>
      <c r="AP207"/>
      <c r="AQ207" s="95">
        <f t="shared" si="201"/>
        <v>0</v>
      </c>
      <c r="AR207" s="95">
        <f t="shared" si="202"/>
        <v>0</v>
      </c>
      <c r="AS207" s="95">
        <f>Geraetedaten!$B$94*ABS(SIN(RADIANS($A207)))</f>
        <v>32.018400385934932</v>
      </c>
      <c r="AT207" s="95">
        <f>Geraetedaten!$B$94*ABS(COS(RADIANS($A207)))</f>
        <v>150.63473051300608</v>
      </c>
      <c r="AU207" s="95">
        <f>((h_Aw_Sw+Geraetedaten!$B$18)/1000)*(AQ207*AS207+AR207*AT207)/100</f>
        <v>0</v>
      </c>
    </row>
    <row r="208" spans="1:47" ht="13.5" x14ac:dyDescent="0.25">
      <c r="A208" s="16">
        <v>169</v>
      </c>
      <c r="B208" s="16">
        <f t="shared" si="170"/>
        <v>281</v>
      </c>
      <c r="C208" s="19">
        <f t="shared" si="171"/>
        <v>41.522181321446062</v>
      </c>
      <c r="D208" s="17">
        <f t="shared" si="172"/>
        <v>26556.959958678555</v>
      </c>
      <c r="E208" s="17">
        <f t="shared" si="173"/>
        <v>8784.606538678554</v>
      </c>
      <c r="F208" s="17">
        <f t="shared" si="174"/>
        <v>-28578.426241321446</v>
      </c>
      <c r="G208" s="17">
        <f t="shared" si="175"/>
        <v>-9161.8208913214457</v>
      </c>
      <c r="H208" s="17">
        <f t="shared" si="203"/>
        <v>8784.606538678554</v>
      </c>
      <c r="I208" s="17">
        <f t="shared" si="176"/>
        <v>845.6391510173313</v>
      </c>
      <c r="J208" s="20">
        <f>(Geraetedaten!$B$152+(Geraetedaten!$B$153*(Geraetedaten!$B$18+d_y_Sw)/1000))*10</f>
        <v>6051.0442000000003</v>
      </c>
      <c r="K208" s="20">
        <f>(Geraetedaten!$B$165+(Geraetedaten!$B$166*(Geraetedaten!$B$18+d_y_Sw)/1000))*10</f>
        <v>10816.164000000001</v>
      </c>
      <c r="L208" s="20">
        <f>(Geraetedaten!$B$158+(Geraetedaten!$B$159*(Geraetedaten!$B$18+d_y_Sw)/1000)-(Geraetedaten!$B$160*I208/1000))*10</f>
        <v>539.52588105589882</v>
      </c>
      <c r="M208" s="20">
        <f>(Geraetedaten!$B$171+(Geraetedaten!$B$172*(Geraetedaten!$B$18+d_y_Sw)/1000)-(Geraetedaten!$B$173*I208/1000))*10</f>
        <v>1001.9176215982708</v>
      </c>
      <c r="N208" s="20">
        <f>IF((H208-J208)/(K208-J208)*(Geraetedaten!$B$174-Geraetedaten!$B$161)&lt;Geraetedaten!$B$174,(H208-J208)/(K208-J208)*(Geraetedaten!$B$174-Geraetedaten!$B$161),Geraetedaten!$B$174)</f>
        <v>229.46431178318358</v>
      </c>
      <c r="O208" s="20">
        <f>N208/Geraetedaten!$B$174*(M208-L208)+L208+C208</f>
        <v>846.3040686718042</v>
      </c>
      <c r="P208" s="20">
        <f t="shared" si="177"/>
        <v>245.21677597738324</v>
      </c>
      <c r="Q208" s="21">
        <f>(N208-Geraetedaten!$B$161)/(Geraetedaten!$B$174-Geraetedaten!$B$161)*(Geraetedaten!$B$175-Geraetedaten!$B$162)+Geraetedaten!$B$162</f>
        <v>36.026563275549712</v>
      </c>
      <c r="R208" s="21">
        <f t="shared" si="178"/>
        <v>36.026563275549712</v>
      </c>
      <c r="S208" s="21">
        <f t="shared" si="179"/>
        <v>6.8741923454771703</v>
      </c>
      <c r="T208" s="88">
        <f t="shared" si="180"/>
        <v>-35.364653837476908</v>
      </c>
      <c r="U208" s="86">
        <f t="shared" si="181"/>
        <v>26598.48214</v>
      </c>
      <c r="V208" s="85">
        <f t="shared" si="182"/>
        <v>-1346.4914747781525</v>
      </c>
      <c r="W208" s="85">
        <f t="shared" si="183"/>
        <v>5986.0398675720326</v>
      </c>
      <c r="X208" s="90">
        <f t="shared" si="184"/>
        <v>1346.4914747781525</v>
      </c>
      <c r="Y208" s="86">
        <f t="shared" si="185"/>
        <v>8826.1287200000006</v>
      </c>
      <c r="Z208" s="85">
        <f t="shared" si="186"/>
        <v>-818.62113479844345</v>
      </c>
      <c r="AA208" s="85">
        <f t="shared" si="187"/>
        <v>845.6391510173313</v>
      </c>
      <c r="AB208" s="90">
        <f t="shared" si="188"/>
        <v>818.62113479844345</v>
      </c>
      <c r="AC208" s="86">
        <f t="shared" si="189"/>
        <v>-28536.904060000001</v>
      </c>
      <c r="AD208" s="85">
        <f t="shared" si="190"/>
        <v>3384.56104615708</v>
      </c>
      <c r="AE208" s="85">
        <f t="shared" si="191"/>
        <v>-16096.384108343587</v>
      </c>
      <c r="AF208" s="90">
        <f t="shared" si="192"/>
        <v>3384.56104615708</v>
      </c>
      <c r="AG208" s="86">
        <f t="shared" si="193"/>
        <v>-9120.2987099999991</v>
      </c>
      <c r="AH208" s="85">
        <f t="shared" si="194"/>
        <v>6139.2748628683721</v>
      </c>
      <c r="AI208" s="85">
        <f t="shared" si="195"/>
        <v>-6267.9158916392562</v>
      </c>
      <c r="AJ208" s="90">
        <f t="shared" si="196"/>
        <v>6139.2748628683721</v>
      </c>
      <c r="AL208" s="95">
        <f t="shared" si="197"/>
        <v>0</v>
      </c>
      <c r="AM208" s="95">
        <f t="shared" si="198"/>
        <v>0</v>
      </c>
      <c r="AN208" s="95">
        <f t="shared" si="199"/>
        <v>0</v>
      </c>
      <c r="AO208" s="95">
        <f t="shared" si="200"/>
        <v>0</v>
      </c>
      <c r="AP208"/>
      <c r="AQ208" s="95">
        <f t="shared" si="201"/>
        <v>0</v>
      </c>
      <c r="AR208" s="95">
        <f t="shared" si="202"/>
        <v>0</v>
      </c>
      <c r="AS208" s="95">
        <f>Geraetedaten!$B$94*ABS(SIN(RADIANS($A208)))</f>
        <v>29.384585287987925</v>
      </c>
      <c r="AT208" s="95">
        <f>Geraetedaten!$B$94*ABS(COS(RADIANS($A208)))</f>
        <v>151.17058625094026</v>
      </c>
      <c r="AU208" s="95">
        <f>((h_Aw_Sw+Geraetedaten!$B$18)/1000)*(AQ208*AS208+AR208*AT208)/100</f>
        <v>0</v>
      </c>
    </row>
    <row r="209" spans="1:47" ht="13.5" x14ac:dyDescent="0.25">
      <c r="A209" s="16">
        <v>170</v>
      </c>
      <c r="B209" s="16">
        <f t="shared" si="170"/>
        <v>280</v>
      </c>
      <c r="C209" s="19">
        <f t="shared" si="171"/>
        <v>40.526891969411963</v>
      </c>
      <c r="D209" s="17">
        <f t="shared" si="172"/>
        <v>24691.968168030588</v>
      </c>
      <c r="E209" s="17">
        <f t="shared" si="173"/>
        <v>8747.2131380305891</v>
      </c>
      <c r="F209" s="17">
        <f t="shared" si="174"/>
        <v>-26439.320821969413</v>
      </c>
      <c r="G209" s="17">
        <f t="shared" si="175"/>
        <v>-9129.5674619694109</v>
      </c>
      <c r="H209" s="17">
        <f t="shared" si="203"/>
        <v>8747.2131380305891</v>
      </c>
      <c r="I209" s="17">
        <f t="shared" si="176"/>
        <v>841.96109690355877</v>
      </c>
      <c r="J209" s="20">
        <f>(Geraetedaten!$B$152+(Geraetedaten!$B$153*(Geraetedaten!$B$18+d_y_Sw)/1000))*10</f>
        <v>6051.0442000000003</v>
      </c>
      <c r="K209" s="20">
        <f>(Geraetedaten!$B$165+(Geraetedaten!$B$166*(Geraetedaten!$B$18+d_y_Sw)/1000))*10</f>
        <v>10816.164000000001</v>
      </c>
      <c r="L209" s="20">
        <f>(Geraetedaten!$B$158+(Geraetedaten!$B$159*(Geraetedaten!$B$18+d_y_Sw)/1000)-(Geraetedaten!$B$160*I209/1000))*10</f>
        <v>539.79559276406178</v>
      </c>
      <c r="M209" s="20">
        <f>(Geraetedaten!$B$171+(Geraetedaten!$B$172*(Geraetedaten!$B$18+d_y_Sw)/1000)-(Geraetedaten!$B$173*I209/1000))*10</f>
        <v>1002.1914159465001</v>
      </c>
      <c r="N209" s="20">
        <f>IF((H209-J209)/(K209-J209)*(Geraetedaten!$B$174-Geraetedaten!$B$161)&lt;Geraetedaten!$B$174,(H209-J209)/(K209-J209)*(Geraetedaten!$B$174-Geraetedaten!$B$161),Geraetedaten!$B$174)</f>
        <v>226.32538540001352</v>
      </c>
      <c r="O209" s="20">
        <f>N209/Geraetedaten!$B$174*(M209-L209)+L209+C209</f>
        <v>841.95226695627844</v>
      </c>
      <c r="P209" s="20">
        <f t="shared" si="177"/>
        <v>244.57947405369703</v>
      </c>
      <c r="Q209" s="21">
        <f>(N209-Geraetedaten!$B$161)/(Geraetedaten!$B$174-Geraetedaten!$B$161)*(Geraetedaten!$B$175-Geraetedaten!$B$162)+Geraetedaten!$B$162</f>
        <v>35.933180215650403</v>
      </c>
      <c r="R209" s="21">
        <f t="shared" si="178"/>
        <v>35.933180215650403</v>
      </c>
      <c r="S209" s="21">
        <f t="shared" si="179"/>
        <v>6.2397312622250851</v>
      </c>
      <c r="T209" s="88">
        <f t="shared" si="180"/>
        <v>-35.387274466757404</v>
      </c>
      <c r="U209" s="86">
        <f t="shared" si="181"/>
        <v>24732.495060000001</v>
      </c>
      <c r="V209" s="85">
        <f t="shared" si="182"/>
        <v>-1346.4914747781525</v>
      </c>
      <c r="W209" s="85">
        <f t="shared" si="183"/>
        <v>5566.0958663470801</v>
      </c>
      <c r="X209" s="90">
        <f t="shared" si="184"/>
        <v>1346.4914747781525</v>
      </c>
      <c r="Y209" s="86">
        <f t="shared" si="185"/>
        <v>8787.7400300000008</v>
      </c>
      <c r="Z209" s="85">
        <f t="shared" si="186"/>
        <v>-818.62113479844345</v>
      </c>
      <c r="AA209" s="85">
        <f t="shared" si="187"/>
        <v>841.96109690355877</v>
      </c>
      <c r="AB209" s="90">
        <f t="shared" si="188"/>
        <v>818.62113479844345</v>
      </c>
      <c r="AC209" s="86">
        <f t="shared" si="189"/>
        <v>-26398.79393</v>
      </c>
      <c r="AD209" s="85">
        <f t="shared" si="190"/>
        <v>3384.56104615708</v>
      </c>
      <c r="AE209" s="85">
        <f t="shared" si="191"/>
        <v>-14890.372348389459</v>
      </c>
      <c r="AF209" s="90">
        <f t="shared" si="192"/>
        <v>3384.56104615708</v>
      </c>
      <c r="AG209" s="86">
        <f t="shared" si="193"/>
        <v>-9089.0405699999992</v>
      </c>
      <c r="AH209" s="85">
        <f t="shared" si="194"/>
        <v>6139.2748628683721</v>
      </c>
      <c r="AI209" s="85">
        <f t="shared" si="195"/>
        <v>-6246.4337627605191</v>
      </c>
      <c r="AJ209" s="90">
        <f t="shared" si="196"/>
        <v>6139.2748628683721</v>
      </c>
      <c r="AL209" s="95">
        <f t="shared" si="197"/>
        <v>0</v>
      </c>
      <c r="AM209" s="95">
        <f t="shared" si="198"/>
        <v>0</v>
      </c>
      <c r="AN209" s="95">
        <f t="shared" si="199"/>
        <v>0</v>
      </c>
      <c r="AO209" s="95">
        <f t="shared" si="200"/>
        <v>0</v>
      </c>
      <c r="AP209"/>
      <c r="AQ209" s="95">
        <f t="shared" si="201"/>
        <v>0</v>
      </c>
      <c r="AR209" s="95">
        <f t="shared" si="202"/>
        <v>0</v>
      </c>
      <c r="AS209" s="95">
        <f>Geraetedaten!$B$94*ABS(SIN(RADIANS($A209)))</f>
        <v>26.741819360707261</v>
      </c>
      <c r="AT209" s="95">
        <f>Geraetedaten!$B$94*ABS(COS(RADIANS($A209)))</f>
        <v>151.66039396388004</v>
      </c>
      <c r="AU209" s="95">
        <f>((h_Aw_Sw+Geraetedaten!$B$18)/1000)*(AQ209*AS209+AR209*AT209)/100</f>
        <v>0</v>
      </c>
    </row>
    <row r="210" spans="1:47" ht="13.5" x14ac:dyDescent="0.25">
      <c r="A210" s="16">
        <v>171</v>
      </c>
      <c r="B210" s="16">
        <f t="shared" si="170"/>
        <v>279</v>
      </c>
      <c r="C210" s="19">
        <f t="shared" si="171"/>
        <v>39.519257733491195</v>
      </c>
      <c r="D210" s="17">
        <f t="shared" si="172"/>
        <v>23078.218392266506</v>
      </c>
      <c r="E210" s="17">
        <f t="shared" si="173"/>
        <v>8712.8190822665092</v>
      </c>
      <c r="F210" s="17">
        <f t="shared" si="174"/>
        <v>-24605.225587733494</v>
      </c>
      <c r="G210" s="17">
        <f t="shared" si="175"/>
        <v>-9100.2657777334916</v>
      </c>
      <c r="H210" s="17">
        <f t="shared" si="203"/>
        <v>8712.8190822665092</v>
      </c>
      <c r="I210" s="17">
        <f t="shared" si="176"/>
        <v>838.5692292788018</v>
      </c>
      <c r="J210" s="20">
        <f>(Geraetedaten!$B$152+(Geraetedaten!$B$153*(Geraetedaten!$B$18+d_y_Sw)/1000))*10</f>
        <v>6051.0442000000003</v>
      </c>
      <c r="K210" s="20">
        <f>(Geraetedaten!$B$165+(Geraetedaten!$B$166*(Geraetedaten!$B$18+d_y_Sw)/1000))*10</f>
        <v>10816.164000000001</v>
      </c>
      <c r="L210" s="20">
        <f>(Geraetedaten!$B$158+(Geraetedaten!$B$159*(Geraetedaten!$B$18+d_y_Sw)/1000)-(Geraetedaten!$B$160*I210/1000))*10</f>
        <v>540.04431841698522</v>
      </c>
      <c r="M210" s="20">
        <f>(Geraetedaten!$B$171+(Geraetedaten!$B$172*(Geraetedaten!$B$18+d_y_Sw)/1000)-(Geraetedaten!$B$173*I210/1000))*10</f>
        <v>1002.443906572487</v>
      </c>
      <c r="N210" s="20">
        <f>IF((H210-J210)/(K210-J210)*(Geraetedaten!$B$174-Geraetedaten!$B$161)&lt;Geraetedaten!$B$174,(H210-J210)/(K210-J210)*(Geraetedaten!$B$174-Geraetedaten!$B$161),Geraetedaten!$B$174)</f>
        <v>223.43823399919631</v>
      </c>
      <c r="O210" s="20">
        <f>N210/Geraetedaten!$B$174*(M210-L210)+L210+C210</f>
        <v>837.85794459902888</v>
      </c>
      <c r="P210" s="20">
        <f t="shared" si="177"/>
        <v>243.96367921058055</v>
      </c>
      <c r="Q210" s="21">
        <f>(N210-Geraetedaten!$B$161)/(Geraetedaten!$B$174-Geraetedaten!$B$161)*(Geraetedaten!$B$175-Geraetedaten!$B$162)+Geraetedaten!$B$162</f>
        <v>35.847287461476093</v>
      </c>
      <c r="R210" s="21">
        <f t="shared" si="178"/>
        <v>35.847287461476093</v>
      </c>
      <c r="S210" s="21">
        <f t="shared" si="179"/>
        <v>5.6077512371793921</v>
      </c>
      <c r="T210" s="88">
        <f t="shared" si="180"/>
        <v>-35.405947867662206</v>
      </c>
      <c r="U210" s="86">
        <f t="shared" si="181"/>
        <v>23117.737649999999</v>
      </c>
      <c r="V210" s="85">
        <f t="shared" si="182"/>
        <v>-1346.4914747781525</v>
      </c>
      <c r="W210" s="85">
        <f t="shared" si="183"/>
        <v>5202.6915869522118</v>
      </c>
      <c r="X210" s="90">
        <f t="shared" si="184"/>
        <v>1346.4914747781525</v>
      </c>
      <c r="Y210" s="86">
        <f t="shared" si="185"/>
        <v>8752.3383400000002</v>
      </c>
      <c r="Z210" s="85">
        <f t="shared" si="186"/>
        <v>-818.62113479844345</v>
      </c>
      <c r="AA210" s="85">
        <f t="shared" si="187"/>
        <v>838.5692292788018</v>
      </c>
      <c r="AB210" s="90">
        <f t="shared" si="188"/>
        <v>818.62113479844345</v>
      </c>
      <c r="AC210" s="86">
        <f t="shared" si="189"/>
        <v>-24565.706330000001</v>
      </c>
      <c r="AD210" s="85">
        <f t="shared" si="190"/>
        <v>3384.56104615708</v>
      </c>
      <c r="AE210" s="85">
        <f t="shared" si="191"/>
        <v>-13856.410073286936</v>
      </c>
      <c r="AF210" s="90">
        <f t="shared" si="192"/>
        <v>3384.56104615708</v>
      </c>
      <c r="AG210" s="86">
        <f t="shared" si="193"/>
        <v>-9060.7465200000006</v>
      </c>
      <c r="AH210" s="85">
        <f t="shared" si="194"/>
        <v>6139.2748628683721</v>
      </c>
      <c r="AI210" s="85">
        <f t="shared" si="195"/>
        <v>-6226.9887053669581</v>
      </c>
      <c r="AJ210" s="90">
        <f t="shared" si="196"/>
        <v>6139.2748628683721</v>
      </c>
      <c r="AL210" s="95">
        <f t="shared" si="197"/>
        <v>0</v>
      </c>
      <c r="AM210" s="95">
        <f t="shared" si="198"/>
        <v>0</v>
      </c>
      <c r="AN210" s="95">
        <f t="shared" si="199"/>
        <v>0</v>
      </c>
      <c r="AO210" s="95">
        <f t="shared" si="200"/>
        <v>0</v>
      </c>
      <c r="AP210"/>
      <c r="AQ210" s="95">
        <f t="shared" si="201"/>
        <v>0</v>
      </c>
      <c r="AR210" s="95">
        <f t="shared" si="202"/>
        <v>0</v>
      </c>
      <c r="AS210" s="95">
        <f>Geraetedaten!$B$94*ABS(SIN(RADIANS($A210)))</f>
        <v>24.090907616195572</v>
      </c>
      <c r="AT210" s="95">
        <f>Geraetedaten!$B$94*ABS(COS(RADIANS($A210)))</f>
        <v>152.10400445165121</v>
      </c>
      <c r="AU210" s="95">
        <f>((h_Aw_Sw+Geraetedaten!$B$18)/1000)*(AQ210*AS210+AR210*AT210)/100</f>
        <v>0</v>
      </c>
    </row>
    <row r="211" spans="1:47" ht="13.5" x14ac:dyDescent="0.25">
      <c r="A211" s="16">
        <v>172</v>
      </c>
      <c r="B211" s="16">
        <f t="shared" si="170"/>
        <v>278</v>
      </c>
      <c r="C211" s="19">
        <f t="shared" si="171"/>
        <v>38.499585548833139</v>
      </c>
      <c r="D211" s="17">
        <f t="shared" si="172"/>
        <v>21668.616524451165</v>
      </c>
      <c r="E211" s="17">
        <f t="shared" si="173"/>
        <v>8681.3666444511673</v>
      </c>
      <c r="F211" s="17">
        <f t="shared" si="174"/>
        <v>-23015.706595548832</v>
      </c>
      <c r="G211" s="17">
        <f t="shared" si="175"/>
        <v>-9073.8713855488331</v>
      </c>
      <c r="H211" s="17">
        <f t="shared" si="203"/>
        <v>8681.3666444511673</v>
      </c>
      <c r="I211" s="17">
        <f t="shared" si="176"/>
        <v>835.45804801240251</v>
      </c>
      <c r="J211" s="20">
        <f>(Geraetedaten!$B$152+(Geraetedaten!$B$153*(Geraetedaten!$B$18+d_y_Sw)/1000))*10</f>
        <v>6051.0442000000003</v>
      </c>
      <c r="K211" s="20">
        <f>(Geraetedaten!$B$165+(Geraetedaten!$B$166*(Geraetedaten!$B$18+d_y_Sw)/1000))*10</f>
        <v>10816.164000000001</v>
      </c>
      <c r="L211" s="20">
        <f>(Geraetedaten!$B$158+(Geraetedaten!$B$159*(Geraetedaten!$B$18+d_y_Sw)/1000)-(Geraetedaten!$B$160*I211/1000))*10</f>
        <v>540.2724613392503</v>
      </c>
      <c r="M211" s="20">
        <f>(Geraetedaten!$B$171+(Geraetedaten!$B$172*(Geraetedaten!$B$18+d_y_Sw)/1000)-(Geraetedaten!$B$173*I211/1000))*10</f>
        <v>1002.6755029059577</v>
      </c>
      <c r="N211" s="20">
        <f>IF((H211-J211)/(K211-J211)*(Geraetedaten!$B$174-Geraetedaten!$B$161)&lt;Geraetedaten!$B$174,(H211-J211)/(K211-J211)*(Geraetedaten!$B$174-Geraetedaten!$B$161),Geraetedaten!$B$174)</f>
        <v>220.798011789854</v>
      </c>
      <c r="O211" s="20">
        <f>N211/Geraetedaten!$B$174*(M211-L211)+L211+C211</f>
        <v>834.01622744685892</v>
      </c>
      <c r="P211" s="20">
        <f t="shared" si="177"/>
        <v>243.36946852075243</v>
      </c>
      <c r="Q211" s="21">
        <f>(N211-Geraetedaten!$B$161)/(Geraetedaten!$B$174-Geraetedaten!$B$161)*(Geraetedaten!$B$175-Geraetedaten!$B$162)+Geraetedaten!$B$162</f>
        <v>35.768740850748159</v>
      </c>
      <c r="R211" s="21">
        <f t="shared" si="178"/>
        <v>35.768740850748159</v>
      </c>
      <c r="S211" s="21">
        <f t="shared" si="179"/>
        <v>4.9780465816355868</v>
      </c>
      <c r="T211" s="88">
        <f t="shared" si="180"/>
        <v>-35.420641923588093</v>
      </c>
      <c r="U211" s="86">
        <f t="shared" si="181"/>
        <v>21707.116109999999</v>
      </c>
      <c r="V211" s="85">
        <f t="shared" si="182"/>
        <v>-1346.4914747781525</v>
      </c>
      <c r="W211" s="85">
        <f t="shared" si="183"/>
        <v>4885.228478631353</v>
      </c>
      <c r="X211" s="90">
        <f t="shared" si="184"/>
        <v>1346.4914747781525</v>
      </c>
      <c r="Y211" s="86">
        <f t="shared" si="185"/>
        <v>8719.8662299999996</v>
      </c>
      <c r="Z211" s="85">
        <f t="shared" si="186"/>
        <v>-818.62113479844345</v>
      </c>
      <c r="AA211" s="85">
        <f t="shared" si="187"/>
        <v>835.45804801240251</v>
      </c>
      <c r="AB211" s="90">
        <f t="shared" si="188"/>
        <v>818.62113479844345</v>
      </c>
      <c r="AC211" s="86">
        <f t="shared" si="189"/>
        <v>-22977.207009999998</v>
      </c>
      <c r="AD211" s="85">
        <f t="shared" si="190"/>
        <v>3384.56104615708</v>
      </c>
      <c r="AE211" s="85">
        <f t="shared" si="191"/>
        <v>-12960.409051921688</v>
      </c>
      <c r="AF211" s="90">
        <f t="shared" si="192"/>
        <v>3384.56104615708</v>
      </c>
      <c r="AG211" s="86">
        <f t="shared" si="193"/>
        <v>-9035.3718000000008</v>
      </c>
      <c r="AH211" s="85">
        <f t="shared" si="194"/>
        <v>6139.2748628683721</v>
      </c>
      <c r="AI211" s="85">
        <f t="shared" si="195"/>
        <v>-6209.5499557974681</v>
      </c>
      <c r="AJ211" s="90">
        <f t="shared" si="196"/>
        <v>6139.2748628683721</v>
      </c>
      <c r="AL211" s="95">
        <f t="shared" si="197"/>
        <v>0</v>
      </c>
      <c r="AM211" s="95">
        <f t="shared" si="198"/>
        <v>0</v>
      </c>
      <c r="AN211" s="95">
        <f t="shared" si="199"/>
        <v>0</v>
      </c>
      <c r="AO211" s="95">
        <f t="shared" si="200"/>
        <v>0</v>
      </c>
      <c r="AP211"/>
      <c r="AQ211" s="95">
        <f t="shared" si="201"/>
        <v>0</v>
      </c>
      <c r="AR211" s="95">
        <f t="shared" si="202"/>
        <v>0</v>
      </c>
      <c r="AS211" s="95">
        <f>Geraetedaten!$B$94*ABS(SIN(RADIANS($A211)))</f>
        <v>21.432657547850059</v>
      </c>
      <c r="AT211" s="95">
        <f>Geraetedaten!$B$94*ABS(COS(RADIANS($A211)))</f>
        <v>152.50128258620182</v>
      </c>
      <c r="AU211" s="95">
        <f>((h_Aw_Sw+Geraetedaten!$B$18)/1000)*(AQ211*AS211+AR211*AT211)/100</f>
        <v>0</v>
      </c>
    </row>
    <row r="212" spans="1:47" ht="13.5" x14ac:dyDescent="0.25">
      <c r="A212" s="16">
        <v>173</v>
      </c>
      <c r="B212" s="16">
        <f t="shared" si="170"/>
        <v>277</v>
      </c>
      <c r="C212" s="19">
        <f t="shared" si="171"/>
        <v>37.468186017463069</v>
      </c>
      <c r="D212" s="17">
        <f t="shared" si="172"/>
        <v>20427.150783982535</v>
      </c>
      <c r="E212" s="17">
        <f t="shared" si="173"/>
        <v>8652.8033439825376</v>
      </c>
      <c r="F212" s="17">
        <f t="shared" si="174"/>
        <v>-21625.310236017463</v>
      </c>
      <c r="G212" s="17">
        <f t="shared" si="175"/>
        <v>-9050.3447360174632</v>
      </c>
      <c r="H212" s="17">
        <f t="shared" si="203"/>
        <v>8652.8033439825376</v>
      </c>
      <c r="I212" s="17">
        <f t="shared" si="176"/>
        <v>832.6225544396932</v>
      </c>
      <c r="J212" s="20">
        <f>(Geraetedaten!$B$152+(Geraetedaten!$B$153*(Geraetedaten!$B$18+d_y_Sw)/1000))*10</f>
        <v>6051.0442000000003</v>
      </c>
      <c r="K212" s="20">
        <f>(Geraetedaten!$B$165+(Geraetedaten!$B$166*(Geraetedaten!$B$18+d_y_Sw)/1000))*10</f>
        <v>10816.164000000001</v>
      </c>
      <c r="L212" s="20">
        <f>(Geraetedaten!$B$158+(Geraetedaten!$B$159*(Geraetedaten!$B$18+d_y_Sw)/1000)-(Geraetedaten!$B$160*I212/1000))*10</f>
        <v>540.480388082937</v>
      </c>
      <c r="M212" s="20">
        <f>(Geraetedaten!$B$171+(Geraetedaten!$B$172*(Geraetedaten!$B$18+d_y_Sw)/1000)-(Geraetedaten!$B$173*I212/1000))*10</f>
        <v>1002.8865770475102</v>
      </c>
      <c r="N212" s="20">
        <f>IF((H212-J212)/(K212-J212)*(Geraetedaten!$B$174-Geraetedaten!$B$161)&lt;Geraetedaten!$B$174,(H212-J212)/(K212-J212)*(Geraetedaten!$B$174-Geraetedaten!$B$161),Geraetedaten!$B$174)</f>
        <v>218.40031337575496</v>
      </c>
      <c r="O212" s="20">
        <f>N212/Geraetedaten!$B$174*(M212-L212)+L212+C212</f>
        <v>830.42271554227841</v>
      </c>
      <c r="P212" s="20">
        <f t="shared" si="177"/>
        <v>242.79693478289894</v>
      </c>
      <c r="Q212" s="21">
        <f>(N212-Geraetedaten!$B$161)/(Geraetedaten!$B$174-Geraetedaten!$B$161)*(Geraetedaten!$B$175-Geraetedaten!$B$162)+Geraetedaten!$B$162</f>
        <v>35.697409322928713</v>
      </c>
      <c r="R212" s="21">
        <f t="shared" si="178"/>
        <v>35.697409322928713</v>
      </c>
      <c r="S212" s="21">
        <f t="shared" si="179"/>
        <v>4.3504198354501149</v>
      </c>
      <c r="T212" s="88">
        <f t="shared" si="180"/>
        <v>-35.431326247037944</v>
      </c>
      <c r="U212" s="86">
        <f t="shared" si="181"/>
        <v>20464.61897</v>
      </c>
      <c r="V212" s="85">
        <f t="shared" si="182"/>
        <v>-1346.4914747781525</v>
      </c>
      <c r="W212" s="85">
        <f t="shared" si="183"/>
        <v>4605.6020932185111</v>
      </c>
      <c r="X212" s="90">
        <f t="shared" si="184"/>
        <v>1346.4914747781525</v>
      </c>
      <c r="Y212" s="86">
        <f t="shared" si="185"/>
        <v>8690.27153</v>
      </c>
      <c r="Z212" s="85">
        <f t="shared" si="186"/>
        <v>-818.62113479844345</v>
      </c>
      <c r="AA212" s="85">
        <f t="shared" si="187"/>
        <v>832.6225544396932</v>
      </c>
      <c r="AB212" s="90">
        <f t="shared" si="188"/>
        <v>818.62113479844345</v>
      </c>
      <c r="AC212" s="86">
        <f t="shared" si="189"/>
        <v>-21587.842049999999</v>
      </c>
      <c r="AD212" s="85">
        <f t="shared" si="190"/>
        <v>3384.56104615708</v>
      </c>
      <c r="AE212" s="85">
        <f t="shared" si="191"/>
        <v>-12176.730765833006</v>
      </c>
      <c r="AF212" s="90">
        <f t="shared" si="192"/>
        <v>3384.56104615708</v>
      </c>
      <c r="AG212" s="86">
        <f t="shared" si="193"/>
        <v>-9012.8765500000009</v>
      </c>
      <c r="AH212" s="85">
        <f t="shared" si="194"/>
        <v>6139.2748628683721</v>
      </c>
      <c r="AI212" s="85">
        <f t="shared" si="195"/>
        <v>-6194.0901189306924</v>
      </c>
      <c r="AJ212" s="90">
        <f t="shared" si="196"/>
        <v>6139.2748628683721</v>
      </c>
      <c r="AL212" s="95">
        <f t="shared" si="197"/>
        <v>0</v>
      </c>
      <c r="AM212" s="95">
        <f t="shared" si="198"/>
        <v>0</v>
      </c>
      <c r="AN212" s="95">
        <f t="shared" si="199"/>
        <v>0</v>
      </c>
      <c r="AO212" s="95">
        <f t="shared" si="200"/>
        <v>0</v>
      </c>
      <c r="AP212"/>
      <c r="AQ212" s="95">
        <f t="shared" si="201"/>
        <v>0</v>
      </c>
      <c r="AR212" s="95">
        <f t="shared" si="202"/>
        <v>0</v>
      </c>
      <c r="AS212" s="95">
        <f>Geraetedaten!$B$94*ABS(SIN(RADIANS($A212)))</f>
        <v>18.767878884392722</v>
      </c>
      <c r="AT212" s="95">
        <f>Geraetedaten!$B$94*ABS(COS(RADIANS($A212)))</f>
        <v>152.8521073527636</v>
      </c>
      <c r="AU212" s="95">
        <f>((h_Aw_Sw+Geraetedaten!$B$18)/1000)*(AQ212*AS212+AR212*AT212)/100</f>
        <v>0</v>
      </c>
    </row>
    <row r="213" spans="1:47" ht="13.5" x14ac:dyDescent="0.25">
      <c r="A213" s="16">
        <v>174</v>
      </c>
      <c r="B213" s="16">
        <f t="shared" si="170"/>
        <v>276</v>
      </c>
      <c r="C213" s="19">
        <f t="shared" si="171"/>
        <v>36.42537331366961</v>
      </c>
      <c r="D213" s="17">
        <f t="shared" si="172"/>
        <v>19325.813206686333</v>
      </c>
      <c r="E213" s="17">
        <f t="shared" si="173"/>
        <v>8627.0817366863303</v>
      </c>
      <c r="F213" s="17">
        <f t="shared" si="174"/>
        <v>-20399.192723313667</v>
      </c>
      <c r="G213" s="17">
        <f t="shared" si="175"/>
        <v>-9029.6510233136705</v>
      </c>
      <c r="H213" s="17">
        <f t="shared" si="203"/>
        <v>8627.0817366863303</v>
      </c>
      <c r="I213" s="17">
        <f t="shared" si="176"/>
        <v>830.05823129323392</v>
      </c>
      <c r="J213" s="20">
        <f>(Geraetedaten!$B$152+(Geraetedaten!$B$153*(Geraetedaten!$B$18+d_y_Sw)/1000))*10</f>
        <v>6051.0442000000003</v>
      </c>
      <c r="K213" s="20">
        <f>(Geraetedaten!$B$165+(Geraetedaten!$B$166*(Geraetedaten!$B$18+d_y_Sw)/1000))*10</f>
        <v>10816.164000000001</v>
      </c>
      <c r="L213" s="20">
        <f>(Geraetedaten!$B$158+(Geraetedaten!$B$159*(Geraetedaten!$B$18+d_y_Sw)/1000)-(Geraetedaten!$B$160*I213/1000))*10</f>
        <v>540.66842989926693</v>
      </c>
      <c r="M213" s="20">
        <f>(Geraetedaten!$B$171+(Geraetedaten!$B$172*(Geraetedaten!$B$18+d_y_Sw)/1000)-(Geraetedaten!$B$173*I213/1000))*10</f>
        <v>1003.0774652625327</v>
      </c>
      <c r="N213" s="20">
        <f>IF((H213-J213)/(K213-J213)*(Geraetedaten!$B$174-Geraetedaten!$B$161)&lt;Geraetedaten!$B$174,(H213-J213)/(K213-J213)*(Geraetedaten!$B$174-Geraetedaten!$B$161),Geraetedaten!$B$174)</f>
        <v>216.24115613515781</v>
      </c>
      <c r="O213" s="20">
        <f>N213/Geraetedaten!$B$174*(M213-L213)+L213+C213</f>
        <v>827.07346424867569</v>
      </c>
      <c r="P213" s="20">
        <f t="shared" si="177"/>
        <v>242.24618634528733</v>
      </c>
      <c r="Q213" s="21">
        <f>(N213-Geraetedaten!$B$161)/(Geraetedaten!$B$174-Geraetedaten!$B$161)*(Geraetedaten!$B$175-Geraetedaten!$B$162)+Geraetedaten!$B$162</f>
        <v>35.633174395020944</v>
      </c>
      <c r="R213" s="21">
        <f t="shared" si="178"/>
        <v>35.633174395020944</v>
      </c>
      <c r="S213" s="21">
        <f t="shared" si="179"/>
        <v>3.7246809608598466</v>
      </c>
      <c r="T213" s="88">
        <f t="shared" si="180"/>
        <v>-35.437972137324458</v>
      </c>
      <c r="U213" s="86">
        <f t="shared" si="181"/>
        <v>19362.238580000001</v>
      </c>
      <c r="V213" s="85">
        <f t="shared" si="182"/>
        <v>-1346.4914747781525</v>
      </c>
      <c r="W213" s="85">
        <f t="shared" si="183"/>
        <v>4357.5092536655138</v>
      </c>
      <c r="X213" s="90">
        <f t="shared" si="184"/>
        <v>1346.4914747781525</v>
      </c>
      <c r="Y213" s="86">
        <f t="shared" si="185"/>
        <v>8663.5071100000005</v>
      </c>
      <c r="Z213" s="85">
        <f t="shared" si="186"/>
        <v>-818.62113479844345</v>
      </c>
      <c r="AA213" s="85">
        <f t="shared" si="187"/>
        <v>830.05823129323392</v>
      </c>
      <c r="AB213" s="90">
        <f t="shared" si="188"/>
        <v>818.62113479844345</v>
      </c>
      <c r="AC213" s="86">
        <f t="shared" si="189"/>
        <v>-20362.767349999998</v>
      </c>
      <c r="AD213" s="85">
        <f t="shared" si="190"/>
        <v>3384.56104615708</v>
      </c>
      <c r="AE213" s="85">
        <f t="shared" si="191"/>
        <v>-11485.721230376927</v>
      </c>
      <c r="AF213" s="90">
        <f t="shared" si="192"/>
        <v>3384.56104615708</v>
      </c>
      <c r="AG213" s="86">
        <f t="shared" si="193"/>
        <v>-8993.2256500000003</v>
      </c>
      <c r="AH213" s="85">
        <f t="shared" si="194"/>
        <v>6139.2748628683721</v>
      </c>
      <c r="AI213" s="85">
        <f t="shared" si="195"/>
        <v>-6180.585061671708</v>
      </c>
      <c r="AJ213" s="90">
        <f t="shared" si="196"/>
        <v>6139.2748628683721</v>
      </c>
      <c r="AL213" s="95">
        <f t="shared" si="197"/>
        <v>0</v>
      </c>
      <c r="AM213" s="95">
        <f t="shared" si="198"/>
        <v>0</v>
      </c>
      <c r="AN213" s="95">
        <f t="shared" si="199"/>
        <v>0</v>
      </c>
      <c r="AO213" s="95">
        <f t="shared" si="200"/>
        <v>0</v>
      </c>
      <c r="AP213"/>
      <c r="AQ213" s="95">
        <f t="shared" si="201"/>
        <v>0</v>
      </c>
      <c r="AR213" s="95">
        <f t="shared" si="202"/>
        <v>0</v>
      </c>
      <c r="AS213" s="95">
        <f>Geraetedaten!$B$94*ABS(SIN(RADIANS($A213)))</f>
        <v>16.097383343218674</v>
      </c>
      <c r="AT213" s="95">
        <f>Geraetedaten!$B$94*ABS(COS(RADIANS($A213)))</f>
        <v>153.15637188671408</v>
      </c>
      <c r="AU213" s="95">
        <f>((h_Aw_Sw+Geraetedaten!$B$18)/1000)*(AQ213*AS213+AR213*AT213)/100</f>
        <v>0</v>
      </c>
    </row>
    <row r="214" spans="1:47" ht="13.5" x14ac:dyDescent="0.25">
      <c r="A214" s="16">
        <v>175</v>
      </c>
      <c r="B214" s="16">
        <f t="shared" si="170"/>
        <v>275</v>
      </c>
      <c r="C214" s="19">
        <f t="shared" si="171"/>
        <v>35.371465088304269</v>
      </c>
      <c r="D214" s="17">
        <f t="shared" si="172"/>
        <v>18342.493284911696</v>
      </c>
      <c r="E214" s="17">
        <f t="shared" si="173"/>
        <v>8604.159174911696</v>
      </c>
      <c r="F214" s="17">
        <f t="shared" si="174"/>
        <v>-19310.195415088307</v>
      </c>
      <c r="G214" s="17">
        <f t="shared" si="175"/>
        <v>-9011.7600750883048</v>
      </c>
      <c r="H214" s="17">
        <f t="shared" si="203"/>
        <v>8604.159174911696</v>
      </c>
      <c r="I214" s="17">
        <f t="shared" si="176"/>
        <v>827.76102478391158</v>
      </c>
      <c r="J214" s="20">
        <f>(Geraetedaten!$B$152+(Geraetedaten!$B$153*(Geraetedaten!$B$18+d_y_Sw)/1000))*10</f>
        <v>6051.0442000000003</v>
      </c>
      <c r="K214" s="20">
        <f>(Geraetedaten!$B$165+(Geraetedaten!$B$166*(Geraetedaten!$B$18+d_y_Sw)/1000))*10</f>
        <v>10816.164000000001</v>
      </c>
      <c r="L214" s="20">
        <f>(Geraetedaten!$B$158+(Geraetedaten!$B$159*(Geraetedaten!$B$18+d_y_Sw)/1000)-(Geraetedaten!$B$160*I214/1000))*10</f>
        <v>540.83688405259545</v>
      </c>
      <c r="M214" s="20">
        <f>(Geraetedaten!$B$171+(Geraetedaten!$B$172*(Geraetedaten!$B$18+d_y_Sw)/1000)-(Geraetedaten!$B$173*I214/1000))*10</f>
        <v>1003.2484693150866</v>
      </c>
      <c r="N214" s="20">
        <f>IF((H214-J214)/(K214-J214)*(Geraetedaten!$B$174-Geraetedaten!$B$161)&lt;Geraetedaten!$B$174,(H214-J214)/(K214-J214)*(Geraetedaten!$B$174-Geraetedaten!$B$161),Geraetedaten!$B$174)</f>
        <v>214.31696008244708</v>
      </c>
      <c r="O214" s="20">
        <f>N214/Geraetedaten!$B$174*(M214-L214)+L214+C214</f>
        <v>823.9649622918057</v>
      </c>
      <c r="P214" s="20">
        <f t="shared" si="177"/>
        <v>241.71734635497782</v>
      </c>
      <c r="Q214" s="21">
        <f>(N214-Geraetedaten!$B$161)/(Geraetedaten!$B$174-Geraetedaten!$B$161)*(Geraetedaten!$B$175-Geraetedaten!$B$162)+Geraetedaten!$B$162</f>
        <v>35.575929562452799</v>
      </c>
      <c r="R214" s="21">
        <f t="shared" si="178"/>
        <v>35.575929562452799</v>
      </c>
      <c r="S214" s="21">
        <f t="shared" si="179"/>
        <v>3.1006465649539443</v>
      </c>
      <c r="T214" s="88">
        <f t="shared" si="180"/>
        <v>-35.440552409800873</v>
      </c>
      <c r="U214" s="86">
        <f t="shared" si="181"/>
        <v>18377.864750000001</v>
      </c>
      <c r="V214" s="85">
        <f t="shared" si="182"/>
        <v>-1346.4914747781525</v>
      </c>
      <c r="W214" s="85">
        <f t="shared" si="183"/>
        <v>4135.9740200937176</v>
      </c>
      <c r="X214" s="90">
        <f t="shared" si="184"/>
        <v>1346.4914747781525</v>
      </c>
      <c r="Y214" s="86">
        <f t="shared" si="185"/>
        <v>8639.5306400000009</v>
      </c>
      <c r="Z214" s="85">
        <f t="shared" si="186"/>
        <v>-818.62113479844345</v>
      </c>
      <c r="AA214" s="85">
        <f t="shared" si="187"/>
        <v>827.76102478391158</v>
      </c>
      <c r="AB214" s="90">
        <f t="shared" si="188"/>
        <v>818.62113479844345</v>
      </c>
      <c r="AC214" s="86">
        <f t="shared" si="189"/>
        <v>-19274.823950000002</v>
      </c>
      <c r="AD214" s="85">
        <f t="shared" si="190"/>
        <v>3384.56104615708</v>
      </c>
      <c r="AE214" s="85">
        <f t="shared" si="191"/>
        <v>-10872.061287050527</v>
      </c>
      <c r="AF214" s="90">
        <f t="shared" si="192"/>
        <v>3384.56104615708</v>
      </c>
      <c r="AG214" s="86">
        <f t="shared" si="193"/>
        <v>-8976.38861</v>
      </c>
      <c r="AH214" s="85">
        <f t="shared" si="194"/>
        <v>6139.2748628683721</v>
      </c>
      <c r="AI214" s="85">
        <f t="shared" si="195"/>
        <v>-6169.013819971774</v>
      </c>
      <c r="AJ214" s="90">
        <f t="shared" si="196"/>
        <v>6139.2748628683721</v>
      </c>
      <c r="AL214" s="95">
        <f t="shared" si="197"/>
        <v>0</v>
      </c>
      <c r="AM214" s="95">
        <f t="shared" si="198"/>
        <v>0</v>
      </c>
      <c r="AN214" s="95">
        <f t="shared" si="199"/>
        <v>0</v>
      </c>
      <c r="AO214" s="95">
        <f t="shared" si="200"/>
        <v>0</v>
      </c>
      <c r="AP214"/>
      <c r="AQ214" s="95">
        <f t="shared" si="201"/>
        <v>0</v>
      </c>
      <c r="AR214" s="95">
        <f t="shared" si="202"/>
        <v>0</v>
      </c>
      <c r="AS214" s="95">
        <f>Geraetedaten!$B$94*ABS(SIN(RADIANS($A214)))</f>
        <v>13.421984383139362</v>
      </c>
      <c r="AT214" s="95">
        <f>Geraetedaten!$B$94*ABS(COS(RADIANS($A214)))</f>
        <v>153.4139835061288</v>
      </c>
      <c r="AU214" s="95">
        <f>((h_Aw_Sw+Geraetedaten!$B$18)/1000)*(AQ214*AS214+AR214*AT214)/100</f>
        <v>0</v>
      </c>
    </row>
    <row r="215" spans="1:47" ht="13.5" x14ac:dyDescent="0.25">
      <c r="A215" s="16">
        <v>176</v>
      </c>
      <c r="B215" s="16">
        <f t="shared" si="170"/>
        <v>274</v>
      </c>
      <c r="C215" s="19">
        <f t="shared" si="171"/>
        <v>34.306782372021978</v>
      </c>
      <c r="D215" s="17">
        <f t="shared" si="172"/>
        <v>17459.503587627976</v>
      </c>
      <c r="E215" s="17">
        <f t="shared" si="173"/>
        <v>8583.9977076279793</v>
      </c>
      <c r="F215" s="17">
        <f t="shared" si="174"/>
        <v>-18336.836952372025</v>
      </c>
      <c r="G215" s="17">
        <f t="shared" si="175"/>
        <v>-8996.6461823720219</v>
      </c>
      <c r="H215" s="17">
        <f t="shared" si="203"/>
        <v>8583.9977076279793</v>
      </c>
      <c r="I215" s="17">
        <f t="shared" si="176"/>
        <v>825.72732869704544</v>
      </c>
      <c r="J215" s="20">
        <f>(Geraetedaten!$B$152+(Geraetedaten!$B$153*(Geraetedaten!$B$18+d_y_Sw)/1000))*10</f>
        <v>6051.0442000000003</v>
      </c>
      <c r="K215" s="20">
        <f>(Geraetedaten!$B$165+(Geraetedaten!$B$166*(Geraetedaten!$B$18+d_y_Sw)/1000))*10</f>
        <v>10816.164000000001</v>
      </c>
      <c r="L215" s="20">
        <f>(Geraetedaten!$B$158+(Geraetedaten!$B$159*(Geraetedaten!$B$18+d_y_Sw)/1000)-(Geraetedaten!$B$160*I215/1000))*10</f>
        <v>540.98601498664539</v>
      </c>
      <c r="M215" s="20">
        <f>(Geraetedaten!$B$171+(Geraetedaten!$B$172*(Geraetedaten!$B$18+d_y_Sw)/1000)-(Geraetedaten!$B$173*I215/1000))*10</f>
        <v>1003.3998576517929</v>
      </c>
      <c r="N215" s="20">
        <f>IF((H215-J215)/(K215-J215)*(Geraetedaten!$B$174-Geraetedaten!$B$161)&lt;Geraetedaten!$B$174,(H215-J215)/(K215-J215)*(Geraetedaten!$B$174-Geraetedaten!$B$161),Geraetedaten!$B$174)</f>
        <v>212.62453948192265</v>
      </c>
      <c r="O215" s="20">
        <f>N215/Geraetedaten!$B$174*(M215-L215)+L215+C215</f>
        <v>821.09412322552544</v>
      </c>
      <c r="P215" s="20">
        <f t="shared" si="177"/>
        <v>241.2105533244204</v>
      </c>
      <c r="Q215" s="21">
        <f>(N215-Geraetedaten!$B$161)/(Geraetedaten!$B$174-Geraetedaten!$B$161)*(Geraetedaten!$B$175-Geraetedaten!$B$162)+Geraetedaten!$B$162</f>
        <v>35.525580049587198</v>
      </c>
      <c r="R215" s="21">
        <f t="shared" si="178"/>
        <v>35.525580049587198</v>
      </c>
      <c r="S215" s="21">
        <f t="shared" si="179"/>
        <v>2.4781391919738591</v>
      </c>
      <c r="T215" s="88">
        <f t="shared" si="180"/>
        <v>-35.439041522095813</v>
      </c>
      <c r="U215" s="86">
        <f t="shared" si="181"/>
        <v>17493.810369999999</v>
      </c>
      <c r="V215" s="85">
        <f t="shared" si="182"/>
        <v>-1346.4914747781525</v>
      </c>
      <c r="W215" s="85">
        <f t="shared" si="183"/>
        <v>3937.0158714389031</v>
      </c>
      <c r="X215" s="90">
        <f t="shared" si="184"/>
        <v>1346.4914747781525</v>
      </c>
      <c r="Y215" s="86">
        <f t="shared" si="185"/>
        <v>8618.3044900000004</v>
      </c>
      <c r="Z215" s="85">
        <f t="shared" si="186"/>
        <v>-818.62113479844345</v>
      </c>
      <c r="AA215" s="85">
        <f t="shared" si="187"/>
        <v>825.72732869704544</v>
      </c>
      <c r="AB215" s="90">
        <f t="shared" si="188"/>
        <v>818.62113479844345</v>
      </c>
      <c r="AC215" s="86">
        <f t="shared" si="189"/>
        <v>-18302.530170000002</v>
      </c>
      <c r="AD215" s="85">
        <f t="shared" si="190"/>
        <v>3384.56104615708</v>
      </c>
      <c r="AE215" s="85">
        <f t="shared" si="191"/>
        <v>-10323.634097910022</v>
      </c>
      <c r="AF215" s="90">
        <f t="shared" si="192"/>
        <v>3384.56104615708</v>
      </c>
      <c r="AG215" s="86">
        <f t="shared" si="193"/>
        <v>-8962.3394000000008</v>
      </c>
      <c r="AH215" s="85">
        <f t="shared" si="194"/>
        <v>6139.2748628683721</v>
      </c>
      <c r="AI215" s="85">
        <f t="shared" si="195"/>
        <v>-6159.3585187068966</v>
      </c>
      <c r="AJ215" s="90">
        <f t="shared" si="196"/>
        <v>6139.2748628683721</v>
      </c>
      <c r="AL215" s="95">
        <f t="shared" si="197"/>
        <v>0</v>
      </c>
      <c r="AM215" s="95">
        <f t="shared" si="198"/>
        <v>0</v>
      </c>
      <c r="AN215" s="95">
        <f t="shared" si="199"/>
        <v>0</v>
      </c>
      <c r="AO215" s="95">
        <f t="shared" si="200"/>
        <v>0</v>
      </c>
      <c r="AP215"/>
      <c r="AQ215" s="95">
        <f t="shared" si="201"/>
        <v>0</v>
      </c>
      <c r="AR215" s="95">
        <f t="shared" si="202"/>
        <v>0</v>
      </c>
      <c r="AS215" s="95">
        <f>Geraetedaten!$B$94*ABS(SIN(RADIANS($A215)))</f>
        <v>10.74249695659533</v>
      </c>
      <c r="AT215" s="95">
        <f>Geraetedaten!$B$94*ABS(COS(RADIANS($A215)))</f>
        <v>153.62486374001293</v>
      </c>
      <c r="AU215" s="95">
        <f>((h_Aw_Sw+Geraetedaten!$B$18)/1000)*(AQ215*AS215+AR215*AT215)/100</f>
        <v>0</v>
      </c>
    </row>
    <row r="216" spans="1:47" ht="13.5" x14ac:dyDescent="0.25">
      <c r="A216" s="16">
        <v>177</v>
      </c>
      <c r="B216" s="16">
        <f t="shared" si="170"/>
        <v>273</v>
      </c>
      <c r="C216" s="19">
        <f t="shared" si="171"/>
        <v>33.231649477491878</v>
      </c>
      <c r="D216" s="17">
        <f t="shared" si="172"/>
        <v>16662.526600522506</v>
      </c>
      <c r="E216" s="17">
        <f t="shared" si="173"/>
        <v>8566.5639005225094</v>
      </c>
      <c r="F216" s="17">
        <f t="shared" si="174"/>
        <v>-17461.903749477493</v>
      </c>
      <c r="G216" s="17">
        <f t="shared" si="175"/>
        <v>-8984.2880794774919</v>
      </c>
      <c r="H216" s="17">
        <f t="shared" si="203"/>
        <v>8566.5639005225094</v>
      </c>
      <c r="I216" s="17">
        <f t="shared" si="176"/>
        <v>823.95397038547048</v>
      </c>
      <c r="J216" s="20">
        <f>(Geraetedaten!$B$152+(Geraetedaten!$B$153*(Geraetedaten!$B$18+d_y_Sw)/1000))*10</f>
        <v>6051.0442000000003</v>
      </c>
      <c r="K216" s="20">
        <f>(Geraetedaten!$B$165+(Geraetedaten!$B$166*(Geraetedaten!$B$18+d_y_Sw)/1000))*10</f>
        <v>10816.164000000001</v>
      </c>
      <c r="L216" s="20">
        <f>(Geraetedaten!$B$158+(Geraetedaten!$B$159*(Geraetedaten!$B$18+d_y_Sw)/1000)-(Geraetedaten!$B$160*I216/1000))*10</f>
        <v>541.11605535163324</v>
      </c>
      <c r="M216" s="20">
        <f>(Geraetedaten!$B$171+(Geraetedaten!$B$172*(Geraetedaten!$B$18+d_y_Sw)/1000)-(Geraetedaten!$B$173*I216/1000))*10</f>
        <v>1003.5318664445066</v>
      </c>
      <c r="N216" s="20">
        <f>IF((H216-J216)/(K216-J216)*(Geraetedaten!$B$174-Geraetedaten!$B$161)&lt;Geraetedaten!$B$174,(H216-J216)/(K216-J216)*(Geraetedaten!$B$174-Geraetedaten!$B$161),Geraetedaten!$B$174)</f>
        <v>211.16108774621017</v>
      </c>
      <c r="O216" s="20">
        <f>N216/Geraetedaten!$B$174*(M216-L216)+L216+C216</f>
        <v>818.45826898266796</v>
      </c>
      <c r="P216" s="20">
        <f t="shared" si="177"/>
        <v>240.7259606104015</v>
      </c>
      <c r="Q216" s="21">
        <f>(N216-Geraetedaten!$B$161)/(Geraetedaten!$B$174-Geraetedaten!$B$161)*(Geraetedaten!$B$175-Geraetedaten!$B$162)+Geraetedaten!$B$162</f>
        <v>35.482042360449753</v>
      </c>
      <c r="R216" s="21">
        <f t="shared" si="178"/>
        <v>35.482042360449753</v>
      </c>
      <c r="S216" s="21">
        <f t="shared" si="179"/>
        <v>1.856986616386777</v>
      </c>
      <c r="T216" s="88">
        <f t="shared" si="180"/>
        <v>-35.433415454558016</v>
      </c>
      <c r="U216" s="86">
        <f t="shared" si="181"/>
        <v>16695.758249999999</v>
      </c>
      <c r="V216" s="85">
        <f t="shared" si="182"/>
        <v>-1346.4914747781525</v>
      </c>
      <c r="W216" s="85">
        <f t="shared" si="183"/>
        <v>3757.4126958449674</v>
      </c>
      <c r="X216" s="90">
        <f t="shared" si="184"/>
        <v>1346.4914747781525</v>
      </c>
      <c r="Y216" s="86">
        <f t="shared" si="185"/>
        <v>8599.7955500000007</v>
      </c>
      <c r="Z216" s="85">
        <f t="shared" si="186"/>
        <v>-818.62113479844345</v>
      </c>
      <c r="AA216" s="85">
        <f t="shared" si="187"/>
        <v>823.95397038547048</v>
      </c>
      <c r="AB216" s="90">
        <f t="shared" si="188"/>
        <v>818.62113479844345</v>
      </c>
      <c r="AC216" s="86">
        <f t="shared" si="189"/>
        <v>-17428.6721</v>
      </c>
      <c r="AD216" s="85">
        <f t="shared" si="190"/>
        <v>3384.56104615708</v>
      </c>
      <c r="AE216" s="85">
        <f t="shared" si="191"/>
        <v>-9830.7300625795961</v>
      </c>
      <c r="AF216" s="90">
        <f t="shared" si="192"/>
        <v>3384.56104615708</v>
      </c>
      <c r="AG216" s="86">
        <f t="shared" si="193"/>
        <v>-8951.0564300000005</v>
      </c>
      <c r="AH216" s="85">
        <f t="shared" si="194"/>
        <v>6139.2748628683721</v>
      </c>
      <c r="AI216" s="85">
        <f t="shared" si="195"/>
        <v>-6151.6043038401813</v>
      </c>
      <c r="AJ216" s="90">
        <f t="shared" si="196"/>
        <v>6139.2748628683721</v>
      </c>
      <c r="AL216" s="95">
        <f t="shared" si="197"/>
        <v>0</v>
      </c>
      <c r="AM216" s="95">
        <f t="shared" si="198"/>
        <v>0</v>
      </c>
      <c r="AN216" s="95">
        <f t="shared" si="199"/>
        <v>0</v>
      </c>
      <c r="AO216" s="95">
        <f t="shared" si="200"/>
        <v>0</v>
      </c>
      <c r="AP216"/>
      <c r="AQ216" s="95">
        <f t="shared" si="201"/>
        <v>0</v>
      </c>
      <c r="AR216" s="95">
        <f t="shared" si="202"/>
        <v>0</v>
      </c>
      <c r="AS216" s="95">
        <f>Geraetedaten!$B$94*ABS(SIN(RADIANS($A216)))</f>
        <v>8.0597372614133462</v>
      </c>
      <c r="AT216" s="95">
        <f>Geraetedaten!$B$94*ABS(COS(RADIANS($A216)))</f>
        <v>153.78894835220436</v>
      </c>
      <c r="AU216" s="95">
        <f>((h_Aw_Sw+Geraetedaten!$B$18)/1000)*(AQ216*AS216+AR216*AT216)/100</f>
        <v>0</v>
      </c>
    </row>
    <row r="217" spans="1:47" ht="13.5" x14ac:dyDescent="0.25">
      <c r="A217" s="16">
        <v>178</v>
      </c>
      <c r="B217" s="16">
        <f t="shared" si="170"/>
        <v>272</v>
      </c>
      <c r="C217" s="19">
        <f t="shared" si="171"/>
        <v>32.14639390060875</v>
      </c>
      <c r="D217" s="17">
        <f t="shared" si="172"/>
        <v>15939.848806099391</v>
      </c>
      <c r="E217" s="17">
        <f t="shared" si="173"/>
        <v>8551.8286960993919</v>
      </c>
      <c r="F217" s="17">
        <f t="shared" si="174"/>
        <v>-16671.44046390061</v>
      </c>
      <c r="G217" s="17">
        <f t="shared" si="175"/>
        <v>-8974.6687639006086</v>
      </c>
      <c r="H217" s="17">
        <f t="shared" si="203"/>
        <v>8551.8286960993919</v>
      </c>
      <c r="I217" s="17">
        <f t="shared" si="176"/>
        <v>822.4381985569654</v>
      </c>
      <c r="J217" s="20">
        <f>(Geraetedaten!$B$152+(Geraetedaten!$B$153*(Geraetedaten!$B$18+d_y_Sw)/1000))*10</f>
        <v>6051.0442000000003</v>
      </c>
      <c r="K217" s="20">
        <f>(Geraetedaten!$B$165+(Geraetedaten!$B$166*(Geraetedaten!$B$18+d_y_Sw)/1000))*10</f>
        <v>10816.164000000001</v>
      </c>
      <c r="L217" s="20">
        <f>(Geraetedaten!$B$158+(Geraetedaten!$B$159*(Geraetedaten!$B$18+d_y_Sw)/1000)-(Geraetedaten!$B$160*I217/1000))*10</f>
        <v>541.22720689981747</v>
      </c>
      <c r="M217" s="20">
        <f>(Geraetedaten!$B$171+(Geraetedaten!$B$172*(Geraetedaten!$B$18+d_y_Sw)/1000)-(Geraetedaten!$B$173*I217/1000))*10</f>
        <v>1003.6447004994204</v>
      </c>
      <c r="N217" s="20">
        <f>IF((H217-J217)/(K217-J217)*(Geraetedaten!$B$174-Geraetedaten!$B$161)&lt;Geraetedaten!$B$174,(H217-J217)/(K217-J217)*(Geraetedaten!$B$174-Geraetedaten!$B$161),Geraetedaten!$B$174)</f>
        <v>209.92416569248826</v>
      </c>
      <c r="O217" s="20">
        <f>N217/Geraetedaten!$B$174*(M217-L217)+L217+C217</f>
        <v>816.05511716419664</v>
      </c>
      <c r="P217" s="20">
        <f t="shared" si="177"/>
        <v>240.26373613004662</v>
      </c>
      <c r="Q217" s="21">
        <f>(N217-Geraetedaten!$B$161)/(Geraetedaten!$B$174-Geraetedaten!$B$161)*(Geraetedaten!$B$175-Geraetedaten!$B$162)+Geraetedaten!$B$162</f>
        <v>35.445243929351527</v>
      </c>
      <c r="R217" s="21">
        <f t="shared" si="178"/>
        <v>35.445243929351527</v>
      </c>
      <c r="S217" s="21">
        <f t="shared" si="179"/>
        <v>1.2370211736317522</v>
      </c>
      <c r="T217" s="88">
        <f t="shared" si="180"/>
        <v>-35.423651644448206</v>
      </c>
      <c r="U217" s="86">
        <f t="shared" si="181"/>
        <v>15971.995199999999</v>
      </c>
      <c r="V217" s="85">
        <f t="shared" si="182"/>
        <v>-1346.4914747781525</v>
      </c>
      <c r="W217" s="85">
        <f t="shared" si="183"/>
        <v>3594.5284223882295</v>
      </c>
      <c r="X217" s="90">
        <f t="shared" si="184"/>
        <v>1346.4914747781525</v>
      </c>
      <c r="Y217" s="86">
        <f t="shared" si="185"/>
        <v>8583.9750899999999</v>
      </c>
      <c r="Z217" s="85">
        <f t="shared" si="186"/>
        <v>-818.62113479844345</v>
      </c>
      <c r="AA217" s="85">
        <f t="shared" si="187"/>
        <v>822.4381985569654</v>
      </c>
      <c r="AB217" s="90">
        <f t="shared" si="188"/>
        <v>818.62113479844345</v>
      </c>
      <c r="AC217" s="86">
        <f t="shared" si="189"/>
        <v>-16639.29407</v>
      </c>
      <c r="AD217" s="85">
        <f t="shared" si="190"/>
        <v>3384.56104615708</v>
      </c>
      <c r="AE217" s="85">
        <f t="shared" si="191"/>
        <v>-9385.4774183918016</v>
      </c>
      <c r="AF217" s="90">
        <f t="shared" si="192"/>
        <v>3384.56104615708</v>
      </c>
      <c r="AG217" s="86">
        <f t="shared" si="193"/>
        <v>-8942.5223700000006</v>
      </c>
      <c r="AH217" s="85">
        <f t="shared" si="194"/>
        <v>6139.2748628683721</v>
      </c>
      <c r="AI217" s="85">
        <f t="shared" si="195"/>
        <v>-6145.739286385533</v>
      </c>
      <c r="AJ217" s="90">
        <f t="shared" si="196"/>
        <v>6139.2748628683721</v>
      </c>
      <c r="AL217" s="95">
        <f t="shared" si="197"/>
        <v>0</v>
      </c>
      <c r="AM217" s="95">
        <f t="shared" si="198"/>
        <v>0</v>
      </c>
      <c r="AN217" s="95">
        <f t="shared" si="199"/>
        <v>0</v>
      </c>
      <c r="AO217" s="95">
        <f t="shared" si="200"/>
        <v>0</v>
      </c>
      <c r="AP217"/>
      <c r="AQ217" s="95">
        <f t="shared" si="201"/>
        <v>0</v>
      </c>
      <c r="AR217" s="95">
        <f t="shared" si="202"/>
        <v>0</v>
      </c>
      <c r="AS217" s="95">
        <f>Geraetedaten!$B$94*ABS(SIN(RADIANS($A217)))</f>
        <v>5.374522492185176</v>
      </c>
      <c r="AT217" s="95">
        <f>Geraetedaten!$B$94*ABS(COS(RADIANS($A217)))</f>
        <v>153.90618736094075</v>
      </c>
      <c r="AU217" s="95">
        <f>((h_Aw_Sw+Geraetedaten!$B$18)/1000)*(AQ217*AS217+AR217*AT217)/100</f>
        <v>0</v>
      </c>
    </row>
    <row r="218" spans="1:47" ht="13.5" x14ac:dyDescent="0.25">
      <c r="A218" s="16">
        <v>179</v>
      </c>
      <c r="B218" s="16">
        <f t="shared" si="170"/>
        <v>271</v>
      </c>
      <c r="C218" s="19">
        <f t="shared" si="171"/>
        <v>31.051346220734359</v>
      </c>
      <c r="D218" s="17">
        <f t="shared" si="172"/>
        <v>15281.794653779265</v>
      </c>
      <c r="E218" s="17">
        <f t="shared" si="173"/>
        <v>8539.7673437792655</v>
      </c>
      <c r="F218" s="17">
        <f t="shared" si="174"/>
        <v>-15954.014146220734</v>
      </c>
      <c r="G218" s="17">
        <f t="shared" si="175"/>
        <v>-8967.7755462207351</v>
      </c>
      <c r="H218" s="17">
        <f t="shared" si="203"/>
        <v>8539.7673437792655</v>
      </c>
      <c r="I218" s="17">
        <f t="shared" si="176"/>
        <v>821.17767276756888</v>
      </c>
      <c r="J218" s="20">
        <f>(Geraetedaten!$B$152+(Geraetedaten!$B$153*(Geraetedaten!$B$18+d_y_Sw)/1000))*10</f>
        <v>6051.0442000000003</v>
      </c>
      <c r="K218" s="20">
        <f>(Geraetedaten!$B$165+(Geraetedaten!$B$166*(Geraetedaten!$B$18+d_y_Sw)/1000))*10</f>
        <v>10816.164000000001</v>
      </c>
      <c r="L218" s="20">
        <f>(Geraetedaten!$B$158+(Geraetedaten!$B$159*(Geraetedaten!$B$18+d_y_Sw)/1000)-(Geraetedaten!$B$160*I218/1000))*10</f>
        <v>541.31964125595391</v>
      </c>
      <c r="M218" s="20">
        <f>(Geraetedaten!$B$171+(Geraetedaten!$B$172*(Geraetedaten!$B$18+d_y_Sw)/1000)-(Geraetedaten!$B$173*I218/1000))*10</f>
        <v>1003.7385340391832</v>
      </c>
      <c r="N218" s="20">
        <f>IF((H218-J218)/(K218-J218)*(Geraetedaten!$B$174-Geraetedaten!$B$161)&lt;Geraetedaten!$B$174,(H218-J218)/(K218-J218)*(Geraetedaten!$B$174-Geraetedaten!$B$161),Geraetedaten!$B$174)</f>
        <v>208.91169567482984</v>
      </c>
      <c r="O218" s="20">
        <f>N218/Geraetedaten!$B$174*(M218-L218)+L218+C218</f>
        <v>813.88277498524269</v>
      </c>
      <c r="P218" s="20">
        <f t="shared" si="177"/>
        <v>239.82406267148616</v>
      </c>
      <c r="Q218" s="21">
        <f>(N218-Geraetedaten!$B$161)/(Geraetedaten!$B$174-Geraetedaten!$B$161)*(Geraetedaten!$B$175-Geraetedaten!$B$162)+Geraetedaten!$B$162</f>
        <v>35.415122946326186</v>
      </c>
      <c r="R218" s="21">
        <f t="shared" si="178"/>
        <v>35.415122946326186</v>
      </c>
      <c r="S218" s="21">
        <f t="shared" si="179"/>
        <v>0.61807911968564755</v>
      </c>
      <c r="T218" s="88">
        <f t="shared" si="180"/>
        <v>-35.409729051564462</v>
      </c>
      <c r="U218" s="86">
        <f t="shared" si="181"/>
        <v>15312.846</v>
      </c>
      <c r="V218" s="85">
        <f t="shared" si="182"/>
        <v>-1346.4914747781525</v>
      </c>
      <c r="W218" s="85">
        <f t="shared" si="183"/>
        <v>3446.1856200635007</v>
      </c>
      <c r="X218" s="90">
        <f t="shared" si="184"/>
        <v>1346.4914747781525</v>
      </c>
      <c r="Y218" s="86">
        <f t="shared" si="185"/>
        <v>8570.8186900000001</v>
      </c>
      <c r="Z218" s="85">
        <f t="shared" si="186"/>
        <v>-818.62113479844345</v>
      </c>
      <c r="AA218" s="85">
        <f t="shared" si="187"/>
        <v>821.17767276756888</v>
      </c>
      <c r="AB218" s="90">
        <f t="shared" si="188"/>
        <v>818.62113479844345</v>
      </c>
      <c r="AC218" s="86">
        <f t="shared" si="189"/>
        <v>-15922.962799999999</v>
      </c>
      <c r="AD218" s="85">
        <f t="shared" si="190"/>
        <v>3384.56104615708</v>
      </c>
      <c r="AE218" s="85">
        <f t="shared" si="191"/>
        <v>-8981.427163295044</v>
      </c>
      <c r="AF218" s="90">
        <f t="shared" si="192"/>
        <v>3384.56104615708</v>
      </c>
      <c r="AG218" s="86">
        <f t="shared" si="193"/>
        <v>-8936.7242000000006</v>
      </c>
      <c r="AH218" s="85">
        <f t="shared" si="194"/>
        <v>6139.2748628683721</v>
      </c>
      <c r="AI218" s="85">
        <f t="shared" si="195"/>
        <v>-6141.7544977772695</v>
      </c>
      <c r="AJ218" s="90">
        <f t="shared" si="196"/>
        <v>6139.2748628683721</v>
      </c>
      <c r="AL218" s="95">
        <f t="shared" si="197"/>
        <v>0</v>
      </c>
      <c r="AM218" s="95">
        <f t="shared" si="198"/>
        <v>0</v>
      </c>
      <c r="AN218" s="95">
        <f t="shared" si="199"/>
        <v>0</v>
      </c>
      <c r="AO218" s="95">
        <f t="shared" si="200"/>
        <v>0</v>
      </c>
      <c r="AP218"/>
      <c r="AQ218" s="95">
        <f t="shared" si="201"/>
        <v>0</v>
      </c>
      <c r="AR218" s="95">
        <f t="shared" si="202"/>
        <v>0</v>
      </c>
      <c r="AS218" s="95">
        <f>Geraetedaten!$B$94*ABS(SIN(RADIANS($A218)))</f>
        <v>2.6876705913416497</v>
      </c>
      <c r="AT218" s="95">
        <f>Geraetedaten!$B$94*ABS(COS(RADIANS($A218)))</f>
        <v>153.97654505408426</v>
      </c>
      <c r="AU218" s="95">
        <f>((h_Aw_Sw+Geraetedaten!$B$18)/1000)*(AQ218*AS218+AR218*AT218)/100</f>
        <v>0</v>
      </c>
    </row>
    <row r="219" spans="1:47" s="3" customFormat="1" ht="13.5" x14ac:dyDescent="0.25">
      <c r="A219" s="59" t="s">
        <v>76</v>
      </c>
      <c r="B219" s="60"/>
      <c r="C219" s="22"/>
      <c r="D219" s="17"/>
      <c r="E219" s="17"/>
      <c r="F219" s="17"/>
      <c r="G219" s="17"/>
      <c r="H219" s="17"/>
      <c r="I219" s="17"/>
      <c r="J219" s="22"/>
      <c r="K219" s="22"/>
      <c r="L219" s="22"/>
      <c r="M219" s="22"/>
      <c r="N219" s="22"/>
      <c r="O219" s="22"/>
      <c r="P219" s="20"/>
      <c r="Q219" s="61"/>
      <c r="R219" s="61"/>
      <c r="S219" s="61">
        <f>Geraetedaten!B175*(-1)</f>
        <v>-41.1</v>
      </c>
      <c r="T219" s="87">
        <f>Geraetedaten!B175</f>
        <v>41.1</v>
      </c>
      <c r="U219" s="86"/>
      <c r="V219" s="85"/>
      <c r="W219" s="85"/>
      <c r="X219" s="90"/>
      <c r="Y219" s="86"/>
      <c r="Z219" s="85"/>
      <c r="AA219" s="85"/>
      <c r="AB219" s="90"/>
      <c r="AC219" s="86"/>
      <c r="AD219" s="85"/>
      <c r="AE219" s="85"/>
      <c r="AF219" s="90"/>
      <c r="AG219" s="86"/>
      <c r="AH219" s="85"/>
      <c r="AI219" s="85"/>
      <c r="AJ219" s="90"/>
      <c r="AL219" s="95"/>
      <c r="AM219" s="95"/>
      <c r="AN219" s="95"/>
      <c r="AO219" s="95"/>
      <c r="AQ219" s="95"/>
      <c r="AR219" s="95"/>
      <c r="AS219" s="95"/>
      <c r="AT219" s="95"/>
      <c r="AU219" s="95"/>
    </row>
    <row r="220" spans="1:47" s="3" customFormat="1" ht="13.5" x14ac:dyDescent="0.25">
      <c r="A220" s="59" t="s">
        <v>76</v>
      </c>
      <c r="B220" s="60"/>
      <c r="C220" s="22"/>
      <c r="D220" s="17"/>
      <c r="E220" s="17"/>
      <c r="F220" s="17"/>
      <c r="G220" s="17"/>
      <c r="H220" s="17"/>
      <c r="I220" s="17"/>
      <c r="J220" s="22"/>
      <c r="K220" s="22"/>
      <c r="L220" s="22"/>
      <c r="M220" s="22"/>
      <c r="N220" s="22"/>
      <c r="O220" s="22"/>
      <c r="P220" s="20"/>
      <c r="Q220" s="61"/>
      <c r="R220" s="61"/>
      <c r="S220" s="61">
        <f>Geraetedaten!B175*(-1)</f>
        <v>-41.1</v>
      </c>
      <c r="T220" s="87">
        <f>Geraetedaten!B175*(-1)</f>
        <v>-41.1</v>
      </c>
      <c r="U220" s="86"/>
      <c r="V220" s="85"/>
      <c r="W220" s="85"/>
      <c r="X220" s="90"/>
      <c r="Y220" s="86"/>
      <c r="Z220" s="85"/>
      <c r="AA220" s="85"/>
      <c r="AB220" s="90"/>
      <c r="AC220" s="86"/>
      <c r="AD220" s="85"/>
      <c r="AE220" s="85"/>
      <c r="AF220" s="90"/>
      <c r="AG220" s="86"/>
      <c r="AH220" s="85"/>
      <c r="AI220" s="85"/>
      <c r="AJ220" s="90"/>
      <c r="AL220" s="95"/>
      <c r="AM220" s="95"/>
      <c r="AN220" s="95"/>
      <c r="AO220" s="95"/>
      <c r="AQ220" s="95"/>
      <c r="AR220" s="95"/>
      <c r="AS220" s="95"/>
      <c r="AT220" s="95"/>
      <c r="AU220" s="95"/>
    </row>
    <row r="221" spans="1:47" ht="13.5" x14ac:dyDescent="0.25">
      <c r="A221" s="16">
        <v>180</v>
      </c>
      <c r="B221" s="16">
        <f t="shared" ref="B221:B252" si="204">360-A221+90</f>
        <v>270</v>
      </c>
      <c r="C221" s="19">
        <f t="shared" ref="C221:C252" si="205">$AE$16*ABS(COS(RADIANS(A221)))+$AE$17*ABS(SIN(RADIANS(A221)))+AU221</f>
        <v>29.946840000000009</v>
      </c>
      <c r="D221" s="17">
        <f t="shared" ref="D221:D252" si="206">IF(ISNUMBER(U221),U221-C221,"unendlich")</f>
        <v>14680.301939999999</v>
      </c>
      <c r="E221" s="17">
        <f t="shared" ref="E221:E252" si="207">IF(ISNUMBER(Y221),Y221-C221,"unendlich")</f>
        <v>8530.3592900000003</v>
      </c>
      <c r="F221" s="17">
        <f t="shared" ref="F221:F252" si="208">IF(ISNUMBER(AC221),AC221-C221,"unendlich")</f>
        <v>-15300.16915</v>
      </c>
      <c r="G221" s="17">
        <f t="shared" ref="G221:G252" si="209">IF(ISNUMBER(AG221),AG221-C221,"unendlich")</f>
        <v>-8963.5999000000011</v>
      </c>
      <c r="H221" s="17">
        <f t="shared" ref="H221:H252" si="210">SMALL(D221:G221,COUNTIF(D221:G221,"&lt;0")+1)</f>
        <v>8530.3592900000003</v>
      </c>
      <c r="I221" s="17">
        <f t="shared" ref="I221:I252" si="211">IF(H221+C221=U221,W221,IF(H221+C221=Y221,AA221,IF(H221+C221=AC221,AE221,IF(H221+C221=AG221,AI221,"???"))))</f>
        <v>820.1704545454545</v>
      </c>
      <c r="J221" s="20">
        <f>(Geraetedaten!$B$152+(Geraetedaten!$B$153*(Geraetedaten!$B$18+d_y_Sw)/1000))*10</f>
        <v>6051.0442000000003</v>
      </c>
      <c r="K221" s="20">
        <f>(Geraetedaten!$B$165+(Geraetedaten!$B$166*(Geraetedaten!$B$18+d_y_Sw)/1000))*10</f>
        <v>10816.164000000001</v>
      </c>
      <c r="L221" s="20">
        <f>(Geraetedaten!$B$158+(Geraetedaten!$B$159*(Geraetedaten!$B$18+d_y_Sw)/1000)-(Geraetedaten!$B$160*I221/1000))*10</f>
        <v>541.39350056818159</v>
      </c>
      <c r="M221" s="20">
        <f>(Geraetedaten!$B$171+(Geraetedaten!$B$172*(Geraetedaten!$B$18+d_y_Sw)/1000)-(Geraetedaten!$B$173*I221/1000))*10</f>
        <v>1003.8135113636373</v>
      </c>
      <c r="N221" s="20">
        <f>IF((H221-J221)/(K221-J221)*(Geraetedaten!$B$174-Geraetedaten!$B$161)&lt;Geraetedaten!$B$174,(H221-J221)/(K221-J221)*(Geraetedaten!$B$174-Geraetedaten!$B$161),Geraetedaten!$B$174)</f>
        <v>208.12195235888927</v>
      </c>
      <c r="O221" s="20">
        <f>N221/Geraetedaten!$B$174*(M221-L221)+L221+C221</f>
        <v>811.93972920960391</v>
      </c>
      <c r="P221" s="20">
        <f t="shared" ref="P221:P252" si="212">O221*100/9.81/(Q221-(I221/1000))</f>
        <v>239.40713757759644</v>
      </c>
      <c r="Q221" s="21">
        <f>(N221-Geraetedaten!$B$161)/(Geraetedaten!$B$174-Geraetedaten!$B$161)*(Geraetedaten!$B$175-Geraetedaten!$B$162)+Geraetedaten!$B$162</f>
        <v>35.391628082676959</v>
      </c>
      <c r="R221" s="21">
        <f t="shared" ref="R221:R252" si="213">SQRT((r_K_D/1000)^2+Q221^2-(2*(r_K_D/1000)*Q221*COS(RADIANS(2*A221))))</f>
        <v>35.391628082676959</v>
      </c>
      <c r="S221" s="21">
        <f t="shared" ref="S221:S252" si="214">R221*SIN(A221*Const_2)</f>
        <v>4.3359998462192203E-15</v>
      </c>
      <c r="T221" s="88">
        <f t="shared" ref="T221:T252" si="215">R221*COS(A221*Const_2)</f>
        <v>-35.391628082676959</v>
      </c>
      <c r="U221" s="86">
        <f t="shared" ref="U221:U252" si="216">ROUND((F_S*r_Su_L-F_G*V221+F_SSw*X221)/(SIN(RADIANS(270+g_L-A221)))/1000,5)</f>
        <v>14710.24878</v>
      </c>
      <c r="V221" s="85">
        <f t="shared" ref="V221:V252" si="217">(SIN(RADIANS(g_L)))*(((VL_Z-HL_Z)/(VL_X-HL_X))*(-HL_X+AM221)+HL_Z-AL221)</f>
        <v>-1346.4914747781525</v>
      </c>
      <c r="W221" s="85">
        <f t="shared" ref="W221:W252" si="218">V221/(SIN(RADIANS(180-g_L-(90-$A221))))</f>
        <v>3310.5699481865295</v>
      </c>
      <c r="X221" s="90">
        <f t="shared" ref="X221:X252" si="219">SIN(RADIANS(g_L))*(((VL_Z-HL_Z)/(VL_X-HL_X))*(-AO221+HL_X)-HL_Z+AN221)</f>
        <v>1346.4914747781525</v>
      </c>
      <c r="Y221" s="86">
        <f t="shared" ref="Y221:Y252" si="220">ROUND((F_S*r_Su_H-F_G*Z221+F_SSw*AB221)/(SIN(RADIANS(180+g_H-A221)))/1000,5)</f>
        <v>8560.3061300000008</v>
      </c>
      <c r="Z221" s="85">
        <f t="shared" ref="Z221:Z252" si="221">(SIN(RADIANS(g_H)))*(((HL_X-HR_X)/(HL_Z-HR_Z))*(-HR_Z+AL221)+HR_X-AM221)</f>
        <v>-818.62113479844345</v>
      </c>
      <c r="AA221" s="85">
        <f t="shared" ref="AA221:AA252" si="222">Z221/(SIN(RADIANS(g_H-$A221)))</f>
        <v>820.1704545454545</v>
      </c>
      <c r="AB221" s="90">
        <f t="shared" ref="AB221:AB252" si="223">SIN(RADIANS(g_H))*(((HL_X-HR_X)/(HL_Z-HR_Z))*(-AN221+HR_Z)-HR_X+AO221)</f>
        <v>818.62113479844345</v>
      </c>
      <c r="AC221" s="86">
        <f t="shared" ref="AC221:AC252" si="224">ROUND((F_S*r_Su_R+F_G*AD221+F_SSw*AF221)/(SIN(RADIANS(90+g_R-A221)))/1000,5)</f>
        <v>-15270.222309999999</v>
      </c>
      <c r="AD221" s="85">
        <f t="shared" ref="AD221:AD252" si="225">(SIN(RADIANS(g_R)))*(((HR_Z-VR_Z)/(HR_X-VR_X))*(-VR_X+AM221)+VR_Z-AL221)</f>
        <v>3384.56104615708</v>
      </c>
      <c r="AE221" s="85">
        <f t="shared" ref="AE221:AE252" si="226">AD221/(SIN(RADIANS(180-g_R-(90-$A221))))</f>
        <v>-8613.2456140350805</v>
      </c>
      <c r="AF221" s="90">
        <f t="shared" ref="AF221:AF252" si="227">(SIN(RADIANS(g_R)))*(((HR_Z-VR_Z)/(HR_X-VR_X))*(-VR_X+AO221)+VR_Z-AN221)</f>
        <v>3384.56104615708</v>
      </c>
      <c r="AG221" s="86">
        <f t="shared" ref="AG221:AG252" si="228">ROUND((F_S*r_Su_V+F_G*AH221+F_SSw*AJ221)/(SIN(RADIANS(g_V-A221)))/1000,5)</f>
        <v>-8933.6530600000006</v>
      </c>
      <c r="AH221" s="85">
        <f t="shared" ref="AH221:AH252" si="229">(SIN(RADIANS(g_V)))*(((VR_X-VL_X)/(VR_Z-VL_Z))*(AL221-VL_Z)+VL_X-AM221)</f>
        <v>6139.2748628683721</v>
      </c>
      <c r="AI221" s="85">
        <f t="shared" ref="AI221:AI252" si="230">AH221/(SIN(RADIANS(g_V-$A221)))</f>
        <v>-6139.6438563327029</v>
      </c>
      <c r="AJ221" s="90">
        <f t="shared" ref="AJ221:AJ252" si="231">(SIN(RADIANS(g_V)))*(((VR_X-VL_X)/(VR_Z-VL_Z))*(-VL_Z+AN221)+VL_X-AO221)</f>
        <v>6139.2748628683721</v>
      </c>
      <c r="AL221" s="95">
        <f t="shared" ref="AL221:AL252" si="232">SIN(RADIANS(A221))*r_K_D</f>
        <v>0</v>
      </c>
      <c r="AM221" s="95">
        <f t="shared" ref="AM221:AM252" si="233">COS(RADIANS(A221-180))*r_K_D</f>
        <v>0</v>
      </c>
      <c r="AN221" s="95">
        <f t="shared" ref="AN221:AN252" si="234">SIN(RADIANS(A221))*r_K_SSw</f>
        <v>0</v>
      </c>
      <c r="AO221" s="95">
        <f t="shared" ref="AO221:AO252" si="235">-COS(RADIANS(A221))*r_K_SSw</f>
        <v>0</v>
      </c>
      <c r="AP221"/>
      <c r="AQ221" s="95">
        <f t="shared" ref="AQ221:AQ252" si="236">MAX(d_y_Sw*(r_K_D*ABS(COS(RADIANS($A221)))+_r1_Sw+_r2_Sw), 2*_r1_Sw*d_y_Sw)/1000000</f>
        <v>0</v>
      </c>
      <c r="AR221" s="95">
        <f t="shared" ref="AR221:AR252" si="237">MAX(d_y_Sw*(r_K_D*ABS(SIN(RADIANS($A221)))+_r1_Sw+_r2_Sw), 2*_r1_Sw*d_y_Sw)/1000000</f>
        <v>0</v>
      </c>
      <c r="AS221" s="95">
        <f>Geraetedaten!$B$94*ABS(SIN(RADIANS($A221)))</f>
        <v>1.8867286205592748E-14</v>
      </c>
      <c r="AT221" s="95">
        <f>Geraetedaten!$B$94*ABS(COS(RADIANS($A221)))</f>
        <v>154</v>
      </c>
      <c r="AU221" s="95">
        <f>((h_Aw_Sw+Geraetedaten!$B$18)/1000)*(AQ221*AS221+AR221*AT221)/100</f>
        <v>0</v>
      </c>
    </row>
    <row r="222" spans="1:47" ht="13.5" x14ac:dyDescent="0.25">
      <c r="A222" s="16">
        <v>181</v>
      </c>
      <c r="B222" s="16">
        <f t="shared" si="204"/>
        <v>269</v>
      </c>
      <c r="C222" s="19">
        <f t="shared" si="205"/>
        <v>31.05134622073437</v>
      </c>
      <c r="D222" s="17">
        <f t="shared" si="206"/>
        <v>14126.380993779265</v>
      </c>
      <c r="E222" s="17">
        <f t="shared" si="207"/>
        <v>8521.3699337792659</v>
      </c>
      <c r="F222" s="17">
        <f t="shared" si="208"/>
        <v>-14704.235756220734</v>
      </c>
      <c r="G222" s="17">
        <f t="shared" si="209"/>
        <v>-8964.3556062207354</v>
      </c>
      <c r="H222" s="17">
        <f t="shared" si="210"/>
        <v>8521.3699337792659</v>
      </c>
      <c r="I222" s="17">
        <f t="shared" si="211"/>
        <v>819.41500008229627</v>
      </c>
      <c r="J222" s="20">
        <f>(Geraetedaten!$B$152+(Geraetedaten!$B$153*(Geraetedaten!$B$18+d_y_Sw)/1000))*10</f>
        <v>6051.0442000000003</v>
      </c>
      <c r="K222" s="20">
        <f>(Geraetedaten!$B$165+(Geraetedaten!$B$166*(Geraetedaten!$B$18+d_y_Sw)/1000))*10</f>
        <v>10816.164000000001</v>
      </c>
      <c r="L222" s="20">
        <f>(Geraetedaten!$B$158+(Geraetedaten!$B$159*(Geraetedaten!$B$18+d_y_Sw)/1000)-(Geraetedaten!$B$160*I222/1000))*10</f>
        <v>541.44889804396496</v>
      </c>
      <c r="M222" s="20">
        <f>(Geraetedaten!$B$171+(Geraetedaten!$B$172*(Geraetedaten!$B$18+d_y_Sw)/1000)-(Geraetedaten!$B$173*I222/1000))*10</f>
        <v>1003.8697473938748</v>
      </c>
      <c r="N222" s="20">
        <f>IF((H222-J222)/(K222-J222)*(Geraetedaten!$B$174-Geraetedaten!$B$161)&lt;Geraetedaten!$B$174,(H222-J222)/(K222-J222)*(Geraetedaten!$B$174-Geraetedaten!$B$161),Geraetedaten!$B$174)</f>
        <v>207.36735590817804</v>
      </c>
      <c r="O222" s="20">
        <f>N222/Geraetedaten!$B$174*(M222-L222)+L222+C222</f>
        <v>812.22771638096117</v>
      </c>
      <c r="P222" s="20">
        <f t="shared" si="212"/>
        <v>239.64242998762771</v>
      </c>
      <c r="Q222" s="21">
        <f>(N222-Geraetedaten!$B$161)/(Geraetedaten!$B$174-Geraetedaten!$B$161)*(Geraetedaten!$B$175-Geraetedaten!$B$162)+Geraetedaten!$B$162</f>
        <v>35.369178838268297</v>
      </c>
      <c r="R222" s="21">
        <f t="shared" si="213"/>
        <v>35.369178838268297</v>
      </c>
      <c r="S222" s="21">
        <f t="shared" si="214"/>
        <v>-0.61727728443842977</v>
      </c>
      <c r="T222" s="88">
        <f t="shared" si="215"/>
        <v>-35.363791941016764</v>
      </c>
      <c r="U222" s="86">
        <f t="shared" si="216"/>
        <v>14157.432339999999</v>
      </c>
      <c r="V222" s="85">
        <f t="shared" si="217"/>
        <v>-1346.4914747781525</v>
      </c>
      <c r="W222" s="85">
        <f t="shared" si="218"/>
        <v>3186.1575395610066</v>
      </c>
      <c r="X222" s="90">
        <f t="shared" si="219"/>
        <v>1346.4914747781525</v>
      </c>
      <c r="Y222" s="86">
        <f t="shared" si="220"/>
        <v>8552.4212800000005</v>
      </c>
      <c r="Z222" s="85">
        <f t="shared" si="221"/>
        <v>-818.62113479844345</v>
      </c>
      <c r="AA222" s="85">
        <f t="shared" si="222"/>
        <v>819.41500008229627</v>
      </c>
      <c r="AB222" s="90">
        <f t="shared" si="223"/>
        <v>818.62113479844345</v>
      </c>
      <c r="AC222" s="86">
        <f t="shared" si="224"/>
        <v>-14673.18441</v>
      </c>
      <c r="AD222" s="85">
        <f t="shared" si="225"/>
        <v>3384.56104615708</v>
      </c>
      <c r="AE222" s="85">
        <f t="shared" si="226"/>
        <v>-8276.4833855913421</v>
      </c>
      <c r="AF222" s="90">
        <f t="shared" si="227"/>
        <v>3384.56104615708</v>
      </c>
      <c r="AG222" s="86">
        <f t="shared" si="228"/>
        <v>-8933.3042600000008</v>
      </c>
      <c r="AH222" s="85">
        <f t="shared" si="229"/>
        <v>6139.2748628683721</v>
      </c>
      <c r="AI222" s="85">
        <f t="shared" si="230"/>
        <v>-6139.4041445737221</v>
      </c>
      <c r="AJ222" s="90">
        <f t="shared" si="231"/>
        <v>6139.2748628683721</v>
      </c>
      <c r="AL222" s="95">
        <f t="shared" si="232"/>
        <v>0</v>
      </c>
      <c r="AM222" s="95">
        <f t="shared" si="233"/>
        <v>0</v>
      </c>
      <c r="AN222" s="95">
        <f t="shared" si="234"/>
        <v>0</v>
      </c>
      <c r="AO222" s="95">
        <f t="shared" si="235"/>
        <v>0</v>
      </c>
      <c r="AP222"/>
      <c r="AQ222" s="95">
        <f t="shared" si="236"/>
        <v>0</v>
      </c>
      <c r="AR222" s="95">
        <f t="shared" si="237"/>
        <v>0</v>
      </c>
      <c r="AS222" s="95">
        <f>Geraetedaten!$B$94*ABS(SIN(RADIANS($A222)))</f>
        <v>2.6876705913416798</v>
      </c>
      <c r="AT222" s="95">
        <f>Geraetedaten!$B$94*ABS(COS(RADIANS($A222)))</f>
        <v>153.97654505408426</v>
      </c>
      <c r="AU222" s="95">
        <f>((h_Aw_Sw+Geraetedaten!$B$18)/1000)*(AQ222*AS222+AR222*AT222)/100</f>
        <v>0</v>
      </c>
    </row>
    <row r="223" spans="1:47" ht="13.5" x14ac:dyDescent="0.25">
      <c r="A223" s="16">
        <v>182</v>
      </c>
      <c r="B223" s="16">
        <f t="shared" si="204"/>
        <v>268</v>
      </c>
      <c r="C223" s="19">
        <f t="shared" si="205"/>
        <v>32.146393900608736</v>
      </c>
      <c r="D223" s="17">
        <f t="shared" si="206"/>
        <v>13616.521616099391</v>
      </c>
      <c r="E223" s="17">
        <f t="shared" si="207"/>
        <v>8515.0056960993916</v>
      </c>
      <c r="F223" s="17">
        <f t="shared" si="208"/>
        <v>-14157.363213900608</v>
      </c>
      <c r="G223" s="17">
        <f t="shared" si="209"/>
        <v>-8967.8236639006082</v>
      </c>
      <c r="H223" s="17">
        <f t="shared" si="210"/>
        <v>8515.0056960993916</v>
      </c>
      <c r="I223" s="17">
        <f t="shared" si="211"/>
        <v>818.91015444058792</v>
      </c>
      <c r="J223" s="20">
        <f>(Geraetedaten!$B$152+(Geraetedaten!$B$153*(Geraetedaten!$B$18+d_y_Sw)/1000))*10</f>
        <v>6051.0442000000003</v>
      </c>
      <c r="K223" s="20">
        <f>(Geraetedaten!$B$165+(Geraetedaten!$B$166*(Geraetedaten!$B$18+d_y_Sw)/1000))*10</f>
        <v>10816.164000000001</v>
      </c>
      <c r="L223" s="20">
        <f>(Geraetedaten!$B$158+(Geraetedaten!$B$159*(Geraetedaten!$B$18+d_y_Sw)/1000)-(Geraetedaten!$B$160*I223/1000))*10</f>
        <v>541.48591837487152</v>
      </c>
      <c r="M223" s="20">
        <f>(Geraetedaten!$B$171+(Geraetedaten!$B$172*(Geraetedaten!$B$18+d_y_Sw)/1000)-(Geraetedaten!$B$173*I223/1000))*10</f>
        <v>1003.9073281034437</v>
      </c>
      <c r="N223" s="20">
        <f>IF((H223-J223)/(K223-J223)*(Geraetedaten!$B$174-Geraetedaten!$B$161)&lt;Geraetedaten!$B$174,(H223-J223)/(K223-J223)*(Geraetedaten!$B$174-Geraetedaten!$B$161),Geraetedaten!$B$174)</f>
        <v>206.83312063628628</v>
      </c>
      <c r="O223" s="20">
        <f>N223/Geraetedaten!$B$174*(M223-L223)+L223+C223</f>
        <v>812.74247033345853</v>
      </c>
      <c r="P223" s="20">
        <f t="shared" si="212"/>
        <v>239.90115803314717</v>
      </c>
      <c r="Q223" s="21">
        <f>(N223-Geraetedaten!$B$161)/(Geraetedaten!$B$174-Geraetedaten!$B$161)*(Geraetedaten!$B$175-Geraetedaten!$B$162)+Geraetedaten!$B$162</f>
        <v>35.353285338929517</v>
      </c>
      <c r="R223" s="21">
        <f t="shared" si="213"/>
        <v>35.353285338929517</v>
      </c>
      <c r="S223" s="21">
        <f t="shared" si="214"/>
        <v>-1.2338118651085441</v>
      </c>
      <c r="T223" s="88">
        <f t="shared" si="215"/>
        <v>-35.331749072714842</v>
      </c>
      <c r="U223" s="86">
        <f t="shared" si="216"/>
        <v>13648.668009999999</v>
      </c>
      <c r="V223" s="85">
        <f t="shared" si="217"/>
        <v>-1346.4914747781525</v>
      </c>
      <c r="W223" s="85">
        <f t="shared" si="218"/>
        <v>3071.6591420367358</v>
      </c>
      <c r="X223" s="90">
        <f t="shared" si="219"/>
        <v>1346.4914747781525</v>
      </c>
      <c r="Y223" s="86">
        <f t="shared" si="220"/>
        <v>8547.1520899999996</v>
      </c>
      <c r="Z223" s="85">
        <f t="shared" si="221"/>
        <v>-818.62113479844345</v>
      </c>
      <c r="AA223" s="85">
        <f t="shared" si="222"/>
        <v>818.91015444058792</v>
      </c>
      <c r="AB223" s="90">
        <f t="shared" si="223"/>
        <v>818.62113479844345</v>
      </c>
      <c r="AC223" s="86">
        <f t="shared" si="224"/>
        <v>-14125.21682</v>
      </c>
      <c r="AD223" s="85">
        <f t="shared" si="225"/>
        <v>3384.56104615708</v>
      </c>
      <c r="AE223" s="85">
        <f t="shared" si="226"/>
        <v>-7967.399511469278</v>
      </c>
      <c r="AF223" s="90">
        <f t="shared" si="227"/>
        <v>3384.56104615708</v>
      </c>
      <c r="AG223" s="86">
        <f t="shared" si="228"/>
        <v>-8935.6772700000001</v>
      </c>
      <c r="AH223" s="85">
        <f t="shared" si="229"/>
        <v>6139.2748628683721</v>
      </c>
      <c r="AI223" s="85">
        <f t="shared" si="230"/>
        <v>-6141.0349972497588</v>
      </c>
      <c r="AJ223" s="90">
        <f t="shared" si="231"/>
        <v>6139.2748628683721</v>
      </c>
      <c r="AL223" s="95">
        <f t="shared" si="232"/>
        <v>0</v>
      </c>
      <c r="AM223" s="95">
        <f t="shared" si="233"/>
        <v>0</v>
      </c>
      <c r="AN223" s="95">
        <f t="shared" si="234"/>
        <v>0</v>
      </c>
      <c r="AO223" s="95">
        <f t="shared" si="235"/>
        <v>0</v>
      </c>
      <c r="AP223"/>
      <c r="AQ223" s="95">
        <f t="shared" si="236"/>
        <v>0</v>
      </c>
      <c r="AR223" s="95">
        <f t="shared" si="237"/>
        <v>0</v>
      </c>
      <c r="AS223" s="95">
        <f>Geraetedaten!$B$94*ABS(SIN(RADIANS($A223)))</f>
        <v>5.3745224921851387</v>
      </c>
      <c r="AT223" s="95">
        <f>Geraetedaten!$B$94*ABS(COS(RADIANS($A223)))</f>
        <v>153.90618736094075</v>
      </c>
      <c r="AU223" s="95">
        <f>((h_Aw_Sw+Geraetedaten!$B$18)/1000)*(AQ223*AS223+AR223*AT223)/100</f>
        <v>0</v>
      </c>
    </row>
    <row r="224" spans="1:47" ht="13.5" x14ac:dyDescent="0.25">
      <c r="A224" s="16">
        <v>183</v>
      </c>
      <c r="B224" s="16">
        <f t="shared" si="204"/>
        <v>267</v>
      </c>
      <c r="C224" s="19">
        <f t="shared" si="205"/>
        <v>33.231649477491864</v>
      </c>
      <c r="D224" s="17">
        <f t="shared" si="206"/>
        <v>13145.844890522509</v>
      </c>
      <c r="E224" s="17">
        <f t="shared" si="207"/>
        <v>8511.258870522508</v>
      </c>
      <c r="F224" s="17">
        <f t="shared" si="208"/>
        <v>-13653.934609477492</v>
      </c>
      <c r="G224" s="17">
        <f t="shared" si="209"/>
        <v>-8974.007369477491</v>
      </c>
      <c r="H224" s="17">
        <f t="shared" si="210"/>
        <v>8511.258870522508</v>
      </c>
      <c r="I224" s="17">
        <f t="shared" si="211"/>
        <v>818.65514723632157</v>
      </c>
      <c r="J224" s="20">
        <f>(Geraetedaten!$B$152+(Geraetedaten!$B$153*(Geraetedaten!$B$18+d_y_Sw)/1000))*10</f>
        <v>6051.0442000000003</v>
      </c>
      <c r="K224" s="20">
        <f>(Geraetedaten!$B$165+(Geraetedaten!$B$166*(Geraetedaten!$B$18+d_y_Sw)/1000))*10</f>
        <v>10816.164000000001</v>
      </c>
      <c r="L224" s="20">
        <f>(Geraetedaten!$B$158+(Geraetedaten!$B$159*(Geraetedaten!$B$18+d_y_Sw)/1000)-(Geraetedaten!$B$160*I224/1000))*10</f>
        <v>541.50461805316024</v>
      </c>
      <c r="M224" s="20">
        <f>(Geraetedaten!$B$171+(Geraetedaten!$B$172*(Geraetedaten!$B$18+d_y_Sw)/1000)-(Geraetedaten!$B$173*I224/1000))*10</f>
        <v>1003.9263108397291</v>
      </c>
      <c r="N224" s="20">
        <f>IF((H224-J224)/(K224-J224)*(Geraetedaten!$B$174-Geraetedaten!$B$161)&lt;Geraetedaten!$B$174,(H224-J224)/(K224-J224)*(Geraetedaten!$B$174-Geraetedaten!$B$161),Geraetedaten!$B$174)</f>
        <v>206.51859963919543</v>
      </c>
      <c r="O224" s="20">
        <f>N224/Geraetedaten!$B$174*(M224-L224)+L224+C224</f>
        <v>813.48296862332313</v>
      </c>
      <c r="P224" s="20">
        <f t="shared" si="212"/>
        <v>240.18303794831192</v>
      </c>
      <c r="Q224" s="21">
        <f>(N224-Geraetedaten!$B$161)/(Geraetedaten!$B$174-Geraetedaten!$B$161)*(Geraetedaten!$B$175-Geraetedaten!$B$162)+Geraetedaten!$B$162</f>
        <v>35.343928339266064</v>
      </c>
      <c r="R224" s="21">
        <f t="shared" si="213"/>
        <v>35.343928339266064</v>
      </c>
      <c r="S224" s="21">
        <f t="shared" si="214"/>
        <v>-1.8497582870175615</v>
      </c>
      <c r="T224" s="88">
        <f t="shared" si="215"/>
        <v>-35.295490713840266</v>
      </c>
      <c r="U224" s="86">
        <f t="shared" si="216"/>
        <v>13179.07654</v>
      </c>
      <c r="V224" s="85">
        <f t="shared" si="217"/>
        <v>-1346.4914747781525</v>
      </c>
      <c r="W224" s="85">
        <f t="shared" si="218"/>
        <v>2965.9766735793237</v>
      </c>
      <c r="X224" s="90">
        <f t="shared" si="219"/>
        <v>1346.4914747781525</v>
      </c>
      <c r="Y224" s="86">
        <f t="shared" si="220"/>
        <v>8544.4905199999994</v>
      </c>
      <c r="Z224" s="85">
        <f t="shared" si="221"/>
        <v>-818.62113479844345</v>
      </c>
      <c r="AA224" s="85">
        <f t="shared" si="222"/>
        <v>818.65514723632157</v>
      </c>
      <c r="AB224" s="90">
        <f t="shared" si="223"/>
        <v>818.62113479844345</v>
      </c>
      <c r="AC224" s="86">
        <f t="shared" si="224"/>
        <v>-13620.702960000001</v>
      </c>
      <c r="AD224" s="85">
        <f t="shared" si="225"/>
        <v>3384.56104615708</v>
      </c>
      <c r="AE224" s="85">
        <f t="shared" si="226"/>
        <v>-7682.8259376756359</v>
      </c>
      <c r="AF224" s="90">
        <f t="shared" si="227"/>
        <v>3384.56104615708</v>
      </c>
      <c r="AG224" s="86">
        <f t="shared" si="228"/>
        <v>-8940.7757199999996</v>
      </c>
      <c r="AH224" s="85">
        <f t="shared" si="229"/>
        <v>6139.2748628683721</v>
      </c>
      <c r="AI224" s="85">
        <f t="shared" si="230"/>
        <v>-6144.5388999790493</v>
      </c>
      <c r="AJ224" s="90">
        <f t="shared" si="231"/>
        <v>6139.2748628683721</v>
      </c>
      <c r="AL224" s="95">
        <f t="shared" si="232"/>
        <v>0</v>
      </c>
      <c r="AM224" s="95">
        <f t="shared" si="233"/>
        <v>0</v>
      </c>
      <c r="AN224" s="95">
        <f t="shared" si="234"/>
        <v>0</v>
      </c>
      <c r="AO224" s="95">
        <f t="shared" si="235"/>
        <v>0</v>
      </c>
      <c r="AP224"/>
      <c r="AQ224" s="95">
        <f t="shared" si="236"/>
        <v>0</v>
      </c>
      <c r="AR224" s="95">
        <f t="shared" si="237"/>
        <v>0</v>
      </c>
      <c r="AS224" s="95">
        <f>Geraetedaten!$B$94*ABS(SIN(RADIANS($A224)))</f>
        <v>8.0597372614133072</v>
      </c>
      <c r="AT224" s="95">
        <f>Geraetedaten!$B$94*ABS(COS(RADIANS($A224)))</f>
        <v>153.78894835220436</v>
      </c>
      <c r="AU224" s="95">
        <f>((h_Aw_Sw+Geraetedaten!$B$18)/1000)*(AQ224*AS224+AR224*AT224)/100</f>
        <v>0</v>
      </c>
    </row>
    <row r="225" spans="1:47" ht="13.5" x14ac:dyDescent="0.25">
      <c r="A225" s="16">
        <v>184</v>
      </c>
      <c r="B225" s="16">
        <f t="shared" si="204"/>
        <v>266</v>
      </c>
      <c r="C225" s="19">
        <f t="shared" si="205"/>
        <v>34.306782372021964</v>
      </c>
      <c r="D225" s="17">
        <f t="shared" si="206"/>
        <v>12710.169687627978</v>
      </c>
      <c r="E225" s="17">
        <f t="shared" si="207"/>
        <v>8510.1257276279794</v>
      </c>
      <c r="F225" s="17">
        <f t="shared" si="208"/>
        <v>-13189.161642372021</v>
      </c>
      <c r="G225" s="17">
        <f t="shared" si="209"/>
        <v>-8982.9141623720207</v>
      </c>
      <c r="H225" s="17">
        <f t="shared" si="210"/>
        <v>8510.1257276279794</v>
      </c>
      <c r="I225" s="17">
        <f t="shared" si="211"/>
        <v>818.64958976692321</v>
      </c>
      <c r="J225" s="20">
        <f>(Geraetedaten!$B$152+(Geraetedaten!$B$153*(Geraetedaten!$B$18+d_y_Sw)/1000))*10</f>
        <v>6051.0442000000003</v>
      </c>
      <c r="K225" s="20">
        <f>(Geraetedaten!$B$165+(Geraetedaten!$B$166*(Geraetedaten!$B$18+d_y_Sw)/1000))*10</f>
        <v>10816.164000000001</v>
      </c>
      <c r="L225" s="20">
        <f>(Geraetedaten!$B$158+(Geraetedaten!$B$159*(Geraetedaten!$B$18+d_y_Sw)/1000)-(Geraetedaten!$B$160*I225/1000))*10</f>
        <v>541.50502558239123</v>
      </c>
      <c r="M225" s="20">
        <f>(Geraetedaten!$B$171+(Geraetedaten!$B$172*(Geraetedaten!$B$18+d_y_Sw)/1000)-(Geraetedaten!$B$173*I225/1000))*10</f>
        <v>1003.9267245377512</v>
      </c>
      <c r="N225" s="20">
        <f>IF((H225-J225)/(K225-J225)*(Geraetedaten!$B$174-Geraetedaten!$B$161)&lt;Geraetedaten!$B$174,(H225-J225)/(K225-J225)*(Geraetedaten!$B$174-Geraetedaten!$B$161),Geraetedaten!$B$174)</f>
        <v>206.42347985693698</v>
      </c>
      <c r="O225" s="20">
        <f>N225/Geraetedaten!$B$174*(M225-L225)+L225+C225</f>
        <v>814.44854860371902</v>
      </c>
      <c r="P225" s="20">
        <f t="shared" si="212"/>
        <v>240.48780055869432</v>
      </c>
      <c r="Q225" s="21">
        <f>(N225-Geraetedaten!$B$161)/(Geraetedaten!$B$174-Geraetedaten!$B$161)*(Geraetedaten!$B$175-Geraetedaten!$B$162)+Geraetedaten!$B$162</f>
        <v>35.341098525743874</v>
      </c>
      <c r="R225" s="21">
        <f t="shared" si="213"/>
        <v>35.341098525743874</v>
      </c>
      <c r="S225" s="21">
        <f t="shared" si="214"/>
        <v>-2.4652704113995969</v>
      </c>
      <c r="T225" s="88">
        <f t="shared" si="215"/>
        <v>-35.255009385972564</v>
      </c>
      <c r="U225" s="86">
        <f t="shared" si="216"/>
        <v>12744.47647</v>
      </c>
      <c r="V225" s="85">
        <f t="shared" si="217"/>
        <v>-1346.4914747781525</v>
      </c>
      <c r="W225" s="85">
        <f t="shared" si="218"/>
        <v>2868.1690873989573</v>
      </c>
      <c r="X225" s="90">
        <f t="shared" si="219"/>
        <v>1346.4914747781525</v>
      </c>
      <c r="Y225" s="86">
        <f t="shared" si="220"/>
        <v>8544.4325100000005</v>
      </c>
      <c r="Z225" s="85">
        <f t="shared" si="221"/>
        <v>-818.62113479844345</v>
      </c>
      <c r="AA225" s="85">
        <f t="shared" si="222"/>
        <v>818.64958976692321</v>
      </c>
      <c r="AB225" s="90">
        <f t="shared" si="223"/>
        <v>818.62113479844345</v>
      </c>
      <c r="AC225" s="86">
        <f t="shared" si="224"/>
        <v>-13154.854859999999</v>
      </c>
      <c r="AD225" s="85">
        <f t="shared" si="225"/>
        <v>3384.56104615708</v>
      </c>
      <c r="AE225" s="85">
        <f t="shared" si="226"/>
        <v>-7420.061976400104</v>
      </c>
      <c r="AF225" s="90">
        <f t="shared" si="227"/>
        <v>3384.56104615708</v>
      </c>
      <c r="AG225" s="86">
        <f t="shared" si="228"/>
        <v>-8948.6073799999995</v>
      </c>
      <c r="AH225" s="85">
        <f t="shared" si="229"/>
        <v>6139.2748628683721</v>
      </c>
      <c r="AI225" s="85">
        <f t="shared" si="230"/>
        <v>-6149.9211984988033</v>
      </c>
      <c r="AJ225" s="90">
        <f t="shared" si="231"/>
        <v>6139.2748628683721</v>
      </c>
      <c r="AL225" s="95">
        <f t="shared" si="232"/>
        <v>0</v>
      </c>
      <c r="AM225" s="95">
        <f t="shared" si="233"/>
        <v>0</v>
      </c>
      <c r="AN225" s="95">
        <f t="shared" si="234"/>
        <v>0</v>
      </c>
      <c r="AO225" s="95">
        <f t="shared" si="235"/>
        <v>0</v>
      </c>
      <c r="AP225"/>
      <c r="AQ225" s="95">
        <f t="shared" si="236"/>
        <v>0</v>
      </c>
      <c r="AR225" s="95">
        <f t="shared" si="237"/>
        <v>0</v>
      </c>
      <c r="AS225" s="95">
        <f>Geraetedaten!$B$94*ABS(SIN(RADIANS($A225)))</f>
        <v>10.742496956595293</v>
      </c>
      <c r="AT225" s="95">
        <f>Geraetedaten!$B$94*ABS(COS(RADIANS($A225)))</f>
        <v>153.62486374001293</v>
      </c>
      <c r="AU225" s="95">
        <f>((h_Aw_Sw+Geraetedaten!$B$18)/1000)*(AQ225*AS225+AR225*AT225)/100</f>
        <v>0</v>
      </c>
    </row>
    <row r="226" spans="1:47" ht="13.5" x14ac:dyDescent="0.25">
      <c r="A226" s="16">
        <v>185</v>
      </c>
      <c r="B226" s="16">
        <f t="shared" si="204"/>
        <v>265</v>
      </c>
      <c r="C226" s="19">
        <f t="shared" si="205"/>
        <v>35.371465088304255</v>
      </c>
      <c r="D226" s="17">
        <f t="shared" si="206"/>
        <v>12305.892354911695</v>
      </c>
      <c r="E226" s="17">
        <f t="shared" si="207"/>
        <v>8511.6065249116946</v>
      </c>
      <c r="F226" s="17">
        <f t="shared" si="208"/>
        <v>-12758.937355088305</v>
      </c>
      <c r="G226" s="17">
        <f t="shared" si="209"/>
        <v>-8994.5556750883043</v>
      </c>
      <c r="H226" s="17">
        <f t="shared" si="210"/>
        <v>8511.6065249116946</v>
      </c>
      <c r="I226" s="17">
        <f t="shared" si="211"/>
        <v>818.89347356448513</v>
      </c>
      <c r="J226" s="20">
        <f>(Geraetedaten!$B$152+(Geraetedaten!$B$153*(Geraetedaten!$B$18+d_y_Sw)/1000))*10</f>
        <v>6051.0442000000003</v>
      </c>
      <c r="K226" s="20">
        <f>(Geraetedaten!$B$165+(Geraetedaten!$B$166*(Geraetedaten!$B$18+d_y_Sw)/1000))*10</f>
        <v>10816.164000000001</v>
      </c>
      <c r="L226" s="20">
        <f>(Geraetedaten!$B$158+(Geraetedaten!$B$159*(Geraetedaten!$B$18+d_y_Sw)/1000)-(Geraetedaten!$B$160*I226/1000))*10</f>
        <v>541.48714158351606</v>
      </c>
      <c r="M226" s="20">
        <f>(Geraetedaten!$B$171+(Geraetedaten!$B$172*(Geraetedaten!$B$18+d_y_Sw)/1000)-(Geraetedaten!$B$173*I226/1000))*10</f>
        <v>1003.9085698278607</v>
      </c>
      <c r="N226" s="20">
        <f>IF((H226-J226)/(K226-J226)*(Geraetedaten!$B$174-Geraetedaten!$B$161)&lt;Geraetedaten!$B$174,(H226-J226)/(K226-J226)*(Geraetedaten!$B$174-Geraetedaten!$B$161),Geraetedaten!$B$174)</f>
        <v>206.54778290457202</v>
      </c>
      <c r="O226" s="20">
        <f>N226/Geraetedaten!$B$174*(M226-L226)+L226+C226</f>
        <v>815.63890860040783</v>
      </c>
      <c r="P226" s="20">
        <f t="shared" si="212"/>
        <v>240.81519162492103</v>
      </c>
      <c r="Q226" s="21">
        <f>(N226-Geraetedaten!$B$161)/(Geraetedaten!$B$174-Geraetedaten!$B$161)*(Geraetedaten!$B$175-Geraetedaten!$B$162)+Geraetedaten!$B$162</f>
        <v>35.344796541411014</v>
      </c>
      <c r="R226" s="21">
        <f t="shared" si="213"/>
        <v>35.344796541411014</v>
      </c>
      <c r="S226" s="21">
        <f t="shared" si="214"/>
        <v>-3.0805019948315286</v>
      </c>
      <c r="T226" s="88">
        <f t="shared" si="215"/>
        <v>-35.210298919685115</v>
      </c>
      <c r="U226" s="86">
        <f t="shared" si="216"/>
        <v>12341.26382</v>
      </c>
      <c r="V226" s="85">
        <f t="shared" si="217"/>
        <v>-1346.4914747781525</v>
      </c>
      <c r="W226" s="85">
        <f t="shared" si="218"/>
        <v>2777.4252998324932</v>
      </c>
      <c r="X226" s="90">
        <f t="shared" si="219"/>
        <v>1346.4914747781525</v>
      </c>
      <c r="Y226" s="86">
        <f t="shared" si="220"/>
        <v>8546.9779899999994</v>
      </c>
      <c r="Z226" s="85">
        <f t="shared" si="221"/>
        <v>-818.62113479844345</v>
      </c>
      <c r="AA226" s="85">
        <f t="shared" si="222"/>
        <v>818.89347356448513</v>
      </c>
      <c r="AB226" s="90">
        <f t="shared" si="223"/>
        <v>818.62113479844345</v>
      </c>
      <c r="AC226" s="86">
        <f t="shared" si="224"/>
        <v>-12723.56589</v>
      </c>
      <c r="AD226" s="85">
        <f t="shared" si="225"/>
        <v>3384.56104615708</v>
      </c>
      <c r="AE226" s="85">
        <f t="shared" si="226"/>
        <v>-7176.7912662483286</v>
      </c>
      <c r="AF226" s="90">
        <f t="shared" si="227"/>
        <v>3384.56104615708</v>
      </c>
      <c r="AG226" s="86">
        <f t="shared" si="228"/>
        <v>-8959.1842099999994</v>
      </c>
      <c r="AH226" s="85">
        <f t="shared" si="229"/>
        <v>6139.2748628683721</v>
      </c>
      <c r="AI226" s="85">
        <f t="shared" si="230"/>
        <v>-6157.1901185883926</v>
      </c>
      <c r="AJ226" s="90">
        <f t="shared" si="231"/>
        <v>6139.2748628683721</v>
      </c>
      <c r="AL226" s="95">
        <f t="shared" si="232"/>
        <v>0</v>
      </c>
      <c r="AM226" s="95">
        <f t="shared" si="233"/>
        <v>0</v>
      </c>
      <c r="AN226" s="95">
        <f t="shared" si="234"/>
        <v>0</v>
      </c>
      <c r="AO226" s="95">
        <f t="shared" si="235"/>
        <v>0</v>
      </c>
      <c r="AP226"/>
      <c r="AQ226" s="95">
        <f t="shared" si="236"/>
        <v>0</v>
      </c>
      <c r="AR226" s="95">
        <f t="shared" si="237"/>
        <v>0</v>
      </c>
      <c r="AS226" s="95">
        <f>Geraetedaten!$B$94*ABS(SIN(RADIANS($A226)))</f>
        <v>13.421984383139323</v>
      </c>
      <c r="AT226" s="95">
        <f>Geraetedaten!$B$94*ABS(COS(RADIANS($A226)))</f>
        <v>153.4139835061288</v>
      </c>
      <c r="AU226" s="95">
        <f>((h_Aw_Sw+Geraetedaten!$B$18)/1000)*(AQ226*AS226+AR226*AT226)/100</f>
        <v>0</v>
      </c>
    </row>
    <row r="227" spans="1:47" ht="13.5" x14ac:dyDescent="0.25">
      <c r="A227" s="16">
        <v>186</v>
      </c>
      <c r="B227" s="16">
        <f t="shared" si="204"/>
        <v>264</v>
      </c>
      <c r="C227" s="19">
        <f t="shared" si="205"/>
        <v>36.425373313669596</v>
      </c>
      <c r="D227" s="17">
        <f t="shared" si="206"/>
        <v>11929.890466686329</v>
      </c>
      <c r="E227" s="17">
        <f t="shared" si="207"/>
        <v>8515.7054366863304</v>
      </c>
      <c r="F227" s="17">
        <f t="shared" si="208"/>
        <v>-12359.719263313671</v>
      </c>
      <c r="G227" s="17">
        <f t="shared" si="209"/>
        <v>-9008.9478133136708</v>
      </c>
      <c r="H227" s="17">
        <f t="shared" si="210"/>
        <v>8515.7054366863304</v>
      </c>
      <c r="I227" s="17">
        <f t="shared" si="211"/>
        <v>819.38717036426578</v>
      </c>
      <c r="J227" s="20">
        <f>(Geraetedaten!$B$152+(Geraetedaten!$B$153*(Geraetedaten!$B$18+d_y_Sw)/1000))*10</f>
        <v>6051.0442000000003</v>
      </c>
      <c r="K227" s="20">
        <f>(Geraetedaten!$B$165+(Geraetedaten!$B$166*(Geraetedaten!$B$18+d_y_Sw)/1000))*10</f>
        <v>10816.164000000001</v>
      </c>
      <c r="L227" s="20">
        <f>(Geraetedaten!$B$158+(Geraetedaten!$B$159*(Geraetedaten!$B$18+d_y_Sw)/1000)-(Geraetedaten!$B$160*I227/1000))*10</f>
        <v>541.4509387971882</v>
      </c>
      <c r="M227" s="20">
        <f>(Geraetedaten!$B$171+(Geraetedaten!$B$172*(Geraetedaten!$B$18+d_y_Sw)/1000)-(Geraetedaten!$B$173*I227/1000))*10</f>
        <v>1003.8718190380849</v>
      </c>
      <c r="N227" s="20">
        <f>IF((H227-J227)/(K227-J227)*(Geraetedaten!$B$174-Geraetedaten!$B$161)&lt;Geraetedaten!$B$174,(H227-J227)/(K227-J227)*(Geraetedaten!$B$174-Geraetedaten!$B$161),Geraetedaten!$B$174)</f>
        <v>206.8918591877862</v>
      </c>
      <c r="O227" s="20">
        <f>N227/Geraetedaten!$B$174*(M227-L227)+L227+C227</f>
        <v>817.05410121158718</v>
      </c>
      <c r="P227" s="20">
        <f t="shared" si="212"/>
        <v>241.16497112906751</v>
      </c>
      <c r="Q227" s="21">
        <f>(N227-Geraetedaten!$B$161)/(Geraetedaten!$B$174-Geraetedaten!$B$161)*(Geraetedaten!$B$175-Geraetedaten!$B$162)+Geraetedaten!$B$162</f>
        <v>35.35503281083664</v>
      </c>
      <c r="R227" s="21">
        <f t="shared" si="213"/>
        <v>35.35503281083664</v>
      </c>
      <c r="S227" s="21">
        <f t="shared" si="214"/>
        <v>-3.695607248494222</v>
      </c>
      <c r="T227" s="88">
        <f t="shared" si="215"/>
        <v>-35.161354241840748</v>
      </c>
      <c r="U227" s="86">
        <f t="shared" si="216"/>
        <v>11966.315839999999</v>
      </c>
      <c r="V227" s="85">
        <f t="shared" si="217"/>
        <v>-1346.4914747781525</v>
      </c>
      <c r="W227" s="85">
        <f t="shared" si="218"/>
        <v>2693.0425329697887</v>
      </c>
      <c r="X227" s="90">
        <f t="shared" si="219"/>
        <v>1346.4914747781525</v>
      </c>
      <c r="Y227" s="86">
        <f t="shared" si="220"/>
        <v>8552.1308100000006</v>
      </c>
      <c r="Z227" s="85">
        <f t="shared" si="221"/>
        <v>-818.62113479844345</v>
      </c>
      <c r="AA227" s="85">
        <f t="shared" si="222"/>
        <v>819.38717036426578</v>
      </c>
      <c r="AB227" s="90">
        <f t="shared" si="223"/>
        <v>818.62113479844345</v>
      </c>
      <c r="AC227" s="86">
        <f t="shared" si="224"/>
        <v>-12323.293890000001</v>
      </c>
      <c r="AD227" s="85">
        <f t="shared" si="225"/>
        <v>3384.56104615708</v>
      </c>
      <c r="AE227" s="85">
        <f t="shared" si="226"/>
        <v>-6951.0158321719719</v>
      </c>
      <c r="AF227" s="90">
        <f t="shared" si="227"/>
        <v>3384.56104615708</v>
      </c>
      <c r="AG227" s="86">
        <f t="shared" si="228"/>
        <v>-8972.5224400000006</v>
      </c>
      <c r="AH227" s="85">
        <f t="shared" si="229"/>
        <v>6139.2748628683721</v>
      </c>
      <c r="AI227" s="85">
        <f t="shared" si="230"/>
        <v>-6166.3567968039415</v>
      </c>
      <c r="AJ227" s="90">
        <f t="shared" si="231"/>
        <v>6139.2748628683721</v>
      </c>
      <c r="AL227" s="95">
        <f t="shared" si="232"/>
        <v>0</v>
      </c>
      <c r="AM227" s="95">
        <f t="shared" si="233"/>
        <v>0</v>
      </c>
      <c r="AN227" s="95">
        <f t="shared" si="234"/>
        <v>0</v>
      </c>
      <c r="AO227" s="95">
        <f t="shared" si="235"/>
        <v>0</v>
      </c>
      <c r="AP227"/>
      <c r="AQ227" s="95">
        <f t="shared" si="236"/>
        <v>0</v>
      </c>
      <c r="AR227" s="95">
        <f t="shared" si="237"/>
        <v>0</v>
      </c>
      <c r="AS227" s="95">
        <f>Geraetedaten!$B$94*ABS(SIN(RADIANS($A227)))</f>
        <v>16.097383343218638</v>
      </c>
      <c r="AT227" s="95">
        <f>Geraetedaten!$B$94*ABS(COS(RADIANS($A227)))</f>
        <v>153.15637188671408</v>
      </c>
      <c r="AU227" s="95">
        <f>((h_Aw_Sw+Geraetedaten!$B$18)/1000)*(AQ227*AS227+AR227*AT227)/100</f>
        <v>0</v>
      </c>
    </row>
    <row r="228" spans="1:47" ht="13.5" x14ac:dyDescent="0.25">
      <c r="A228" s="16">
        <v>187</v>
      </c>
      <c r="B228" s="16">
        <f t="shared" si="204"/>
        <v>263</v>
      </c>
      <c r="C228" s="19">
        <f t="shared" si="205"/>
        <v>37.468186017463054</v>
      </c>
      <c r="D228" s="17">
        <f t="shared" si="206"/>
        <v>11579.445273982537</v>
      </c>
      <c r="E228" s="17">
        <f t="shared" si="207"/>
        <v>8522.430673982537</v>
      </c>
      <c r="F228" s="17">
        <f t="shared" si="208"/>
        <v>-11988.435706017463</v>
      </c>
      <c r="G228" s="17">
        <f t="shared" si="209"/>
        <v>-9026.1107260174631</v>
      </c>
      <c r="H228" s="17">
        <f t="shared" si="210"/>
        <v>8522.430673982537</v>
      </c>
      <c r="I228" s="17">
        <f t="shared" si="211"/>
        <v>820.13143348823814</v>
      </c>
      <c r="J228" s="20">
        <f>(Geraetedaten!$B$152+(Geraetedaten!$B$153*(Geraetedaten!$B$18+d_y_Sw)/1000))*10</f>
        <v>6051.0442000000003</v>
      </c>
      <c r="K228" s="20">
        <f>(Geraetedaten!$B$165+(Geraetedaten!$B$166*(Geraetedaten!$B$18+d_y_Sw)/1000))*10</f>
        <v>10816.164000000001</v>
      </c>
      <c r="L228" s="20">
        <f>(Geraetedaten!$B$158+(Geraetedaten!$B$159*(Geraetedaten!$B$18+d_y_Sw)/1000)-(Geraetedaten!$B$160*I228/1000))*10</f>
        <v>541.39636198230721</v>
      </c>
      <c r="M228" s="20">
        <f>(Geraetedaten!$B$171+(Geraetedaten!$B$172*(Geraetedaten!$B$18+d_y_Sw)/1000)-(Geraetedaten!$B$173*I228/1000))*10</f>
        <v>1003.8164160911366</v>
      </c>
      <c r="N228" s="20">
        <f>IF((H228-J228)/(K228-J228)*(Geraetedaten!$B$174-Geraetedaten!$B$161)&lt;Geraetedaten!$B$174,(H228-J228)/(K228-J228)*(Geraetedaten!$B$174-Geraetedaten!$B$161),Geraetedaten!$B$174)</f>
        <v>207.45639796779392</v>
      </c>
      <c r="O228" s="20">
        <f>N228/Geraetedaten!$B$174*(M228-L228)+L228+C228</f>
        <v>818.69454493349554</v>
      </c>
      <c r="P228" s="20">
        <f t="shared" si="212"/>
        <v>241.53691453978553</v>
      </c>
      <c r="Q228" s="21">
        <f>(N228-Geraetedaten!$B$161)/(Geraetedaten!$B$174-Geraetedaten!$B$161)*(Geraetedaten!$B$175-Geraetedaten!$B$162)+Geraetedaten!$B$162</f>
        <v>35.371827839541872</v>
      </c>
      <c r="R228" s="21">
        <f t="shared" si="213"/>
        <v>35.371827839541872</v>
      </c>
      <c r="S228" s="21">
        <f t="shared" si="214"/>
        <v>-4.3107414338448784</v>
      </c>
      <c r="T228" s="88">
        <f t="shared" si="215"/>
        <v>-35.108171598656668</v>
      </c>
      <c r="U228" s="86">
        <f t="shared" si="216"/>
        <v>11616.91346</v>
      </c>
      <c r="V228" s="85">
        <f t="shared" si="217"/>
        <v>-1346.4914747781525</v>
      </c>
      <c r="W228" s="85">
        <f t="shared" si="218"/>
        <v>2614.4088493182489</v>
      </c>
      <c r="X228" s="90">
        <f t="shared" si="219"/>
        <v>1346.4914747781525</v>
      </c>
      <c r="Y228" s="86">
        <f t="shared" si="220"/>
        <v>8559.8988599999993</v>
      </c>
      <c r="Z228" s="85">
        <f t="shared" si="221"/>
        <v>-818.62113479844345</v>
      </c>
      <c r="AA228" s="85">
        <f t="shared" si="222"/>
        <v>820.13143348823814</v>
      </c>
      <c r="AB228" s="90">
        <f t="shared" si="223"/>
        <v>818.62113479844345</v>
      </c>
      <c r="AC228" s="86">
        <f t="shared" si="224"/>
        <v>-11950.96752</v>
      </c>
      <c r="AD228" s="85">
        <f t="shared" si="225"/>
        <v>3384.56104615708</v>
      </c>
      <c r="AE228" s="85">
        <f t="shared" si="226"/>
        <v>-6741.0032734640508</v>
      </c>
      <c r="AF228" s="90">
        <f t="shared" si="227"/>
        <v>3384.56104615708</v>
      </c>
      <c r="AG228" s="86">
        <f t="shared" si="228"/>
        <v>-8988.6425400000007</v>
      </c>
      <c r="AH228" s="85">
        <f t="shared" si="229"/>
        <v>6139.2748628683721</v>
      </c>
      <c r="AI228" s="85">
        <f t="shared" si="230"/>
        <v>-6177.4353222385189</v>
      </c>
      <c r="AJ228" s="90">
        <f t="shared" si="231"/>
        <v>6139.2748628683721</v>
      </c>
      <c r="AL228" s="95">
        <f t="shared" si="232"/>
        <v>0</v>
      </c>
      <c r="AM228" s="95">
        <f t="shared" si="233"/>
        <v>0</v>
      </c>
      <c r="AN228" s="95">
        <f t="shared" si="234"/>
        <v>0</v>
      </c>
      <c r="AO228" s="95">
        <f t="shared" si="235"/>
        <v>0</v>
      </c>
      <c r="AP228"/>
      <c r="AQ228" s="95">
        <f t="shared" si="236"/>
        <v>0</v>
      </c>
      <c r="AR228" s="95">
        <f t="shared" si="237"/>
        <v>0</v>
      </c>
      <c r="AS228" s="95">
        <f>Geraetedaten!$B$94*ABS(SIN(RADIANS($A228)))</f>
        <v>18.767878884392687</v>
      </c>
      <c r="AT228" s="95">
        <f>Geraetedaten!$B$94*ABS(COS(RADIANS($A228)))</f>
        <v>152.8521073527636</v>
      </c>
      <c r="AU228" s="95">
        <f>((h_Aw_Sw+Geraetedaten!$B$18)/1000)*(AQ228*AS228+AR228*AT228)/100</f>
        <v>0</v>
      </c>
    </row>
    <row r="229" spans="1:47" ht="13.5" x14ac:dyDescent="0.25">
      <c r="A229" s="16">
        <v>188</v>
      </c>
      <c r="B229" s="16">
        <f t="shared" si="204"/>
        <v>262</v>
      </c>
      <c r="C229" s="19">
        <f t="shared" si="205"/>
        <v>38.499585548833146</v>
      </c>
      <c r="D229" s="17">
        <f t="shared" si="206"/>
        <v>11252.178554451168</v>
      </c>
      <c r="E229" s="17">
        <f t="shared" si="207"/>
        <v>8531.7944044511678</v>
      </c>
      <c r="F229" s="17">
        <f t="shared" si="208"/>
        <v>-11642.410285548833</v>
      </c>
      <c r="G229" s="17">
        <f t="shared" si="209"/>
        <v>-9046.0689855488326</v>
      </c>
      <c r="H229" s="17">
        <f t="shared" si="210"/>
        <v>8531.7944044511678</v>
      </c>
      <c r="I229" s="17">
        <f t="shared" si="211"/>
        <v>821.12740065327841</v>
      </c>
      <c r="J229" s="20">
        <f>(Geraetedaten!$B$152+(Geraetedaten!$B$153*(Geraetedaten!$B$18+d_y_Sw)/1000))*10</f>
        <v>6051.0442000000003</v>
      </c>
      <c r="K229" s="20">
        <f>(Geraetedaten!$B$165+(Geraetedaten!$B$166*(Geraetedaten!$B$18+d_y_Sw)/1000))*10</f>
        <v>10816.164000000001</v>
      </c>
      <c r="L229" s="20">
        <f>(Geraetedaten!$B$158+(Geraetedaten!$B$159*(Geraetedaten!$B$18+d_y_Sw)/1000)-(Geraetedaten!$B$160*I229/1000))*10</f>
        <v>541.32332771009487</v>
      </c>
      <c r="M229" s="20">
        <f>(Geraetedaten!$B$171+(Geraetedaten!$B$172*(Geraetedaten!$B$18+d_y_Sw)/1000)-(Geraetedaten!$B$173*I229/1000))*10</f>
        <v>1003.7422762953709</v>
      </c>
      <c r="N229" s="20">
        <f>IF((H229-J229)/(K229-J229)*(Geraetedaten!$B$174-Geraetedaten!$B$161)&lt;Geraetedaten!$B$174,(H229-J229)/(K229-J229)*(Geraetedaten!$B$174-Geraetedaten!$B$161),Geraetedaten!$B$174)</f>
        <v>208.24242063766519</v>
      </c>
      <c r="O229" s="20">
        <f>N229/Geraetedaten!$B$174*(M229-L229)+L229+C229</f>
        <v>820.56101626423276</v>
      </c>
      <c r="P229" s="20">
        <f t="shared" si="212"/>
        <v>241.93081167315239</v>
      </c>
      <c r="Q229" s="21">
        <f>(N229-Geraetedaten!$B$161)/(Geraetedaten!$B$174-Geraetedaten!$B$161)*(Geraetedaten!$B$175-Geraetedaten!$B$162)+Geraetedaten!$B$162</f>
        <v>35.395212013970536</v>
      </c>
      <c r="R229" s="21">
        <f t="shared" si="213"/>
        <v>35.395212013970536</v>
      </c>
      <c r="S229" s="21">
        <f t="shared" si="214"/>
        <v>-4.9260614151232458</v>
      </c>
      <c r="T229" s="88">
        <f t="shared" si="215"/>
        <v>-35.050748243773029</v>
      </c>
      <c r="U229" s="86">
        <f t="shared" si="216"/>
        <v>11290.67814</v>
      </c>
      <c r="V229" s="85">
        <f t="shared" si="217"/>
        <v>-1346.4914747781525</v>
      </c>
      <c r="W229" s="85">
        <f t="shared" si="218"/>
        <v>2540.9889614834901</v>
      </c>
      <c r="X229" s="90">
        <f t="shared" si="219"/>
        <v>1346.4914747781525</v>
      </c>
      <c r="Y229" s="86">
        <f t="shared" si="220"/>
        <v>8570.2939900000001</v>
      </c>
      <c r="Z229" s="85">
        <f t="shared" si="221"/>
        <v>-818.62113479844345</v>
      </c>
      <c r="AA229" s="85">
        <f t="shared" si="222"/>
        <v>821.12740065327841</v>
      </c>
      <c r="AB229" s="90">
        <f t="shared" si="223"/>
        <v>818.62113479844345</v>
      </c>
      <c r="AC229" s="86">
        <f t="shared" si="224"/>
        <v>-11603.9107</v>
      </c>
      <c r="AD229" s="85">
        <f t="shared" si="225"/>
        <v>3384.56104615708</v>
      </c>
      <c r="AE229" s="85">
        <f t="shared" si="226"/>
        <v>-6545.2441285813356</v>
      </c>
      <c r="AF229" s="90">
        <f t="shared" si="227"/>
        <v>3384.56104615708</v>
      </c>
      <c r="AG229" s="86">
        <f t="shared" si="228"/>
        <v>-9007.5694000000003</v>
      </c>
      <c r="AH229" s="85">
        <f t="shared" si="229"/>
        <v>6139.2748628683721</v>
      </c>
      <c r="AI229" s="85">
        <f t="shared" si="230"/>
        <v>-6190.442789600299</v>
      </c>
      <c r="AJ229" s="90">
        <f t="shared" si="231"/>
        <v>6139.2748628683721</v>
      </c>
      <c r="AL229" s="95">
        <f t="shared" si="232"/>
        <v>0</v>
      </c>
      <c r="AM229" s="95">
        <f t="shared" si="233"/>
        <v>0</v>
      </c>
      <c r="AN229" s="95">
        <f t="shared" si="234"/>
        <v>0</v>
      </c>
      <c r="AO229" s="95">
        <f t="shared" si="235"/>
        <v>0</v>
      </c>
      <c r="AP229"/>
      <c r="AQ229" s="95">
        <f t="shared" si="236"/>
        <v>0</v>
      </c>
      <c r="AR229" s="95">
        <f t="shared" si="237"/>
        <v>0</v>
      </c>
      <c r="AS229" s="95">
        <f>Geraetedaten!$B$94*ABS(SIN(RADIANS($A229)))</f>
        <v>21.432657547850091</v>
      </c>
      <c r="AT229" s="95">
        <f>Geraetedaten!$B$94*ABS(COS(RADIANS($A229)))</f>
        <v>152.50128258620182</v>
      </c>
      <c r="AU229" s="95">
        <f>((h_Aw_Sw+Geraetedaten!$B$18)/1000)*(AQ229*AS229+AR229*AT229)/100</f>
        <v>0</v>
      </c>
    </row>
    <row r="230" spans="1:47" ht="13.5" x14ac:dyDescent="0.25">
      <c r="A230" s="16">
        <v>189</v>
      </c>
      <c r="B230" s="16">
        <f t="shared" si="204"/>
        <v>261</v>
      </c>
      <c r="C230" s="19">
        <f t="shared" si="205"/>
        <v>39.519257733491187</v>
      </c>
      <c r="D230" s="17">
        <f t="shared" si="206"/>
        <v>10946.001152266508</v>
      </c>
      <c r="E230" s="17">
        <f t="shared" si="207"/>
        <v>8543.8128922665092</v>
      </c>
      <c r="F230" s="17">
        <f t="shared" si="208"/>
        <v>-11319.300357733491</v>
      </c>
      <c r="G230" s="17">
        <f t="shared" si="209"/>
        <v>-9068.8516277334911</v>
      </c>
      <c r="H230" s="17">
        <f t="shared" si="210"/>
        <v>8543.8128922665092</v>
      </c>
      <c r="I230" s="17">
        <f t="shared" si="211"/>
        <v>822.37659822350713</v>
      </c>
      <c r="J230" s="20">
        <f>(Geraetedaten!$B$152+(Geraetedaten!$B$153*(Geraetedaten!$B$18+d_y_Sw)/1000))*10</f>
        <v>6051.0442000000003</v>
      </c>
      <c r="K230" s="20">
        <f>(Geraetedaten!$B$165+(Geraetedaten!$B$166*(Geraetedaten!$B$18+d_y_Sw)/1000))*10</f>
        <v>10816.164000000001</v>
      </c>
      <c r="L230" s="20">
        <f>(Geraetedaten!$B$158+(Geraetedaten!$B$159*(Geraetedaten!$B$18+d_y_Sw)/1000)-(Geraetedaten!$B$160*I230/1000))*10</f>
        <v>541.23172405227001</v>
      </c>
      <c r="M230" s="20">
        <f>(Geraetedaten!$B$171+(Geraetedaten!$B$172*(Geraetedaten!$B$18+d_y_Sw)/1000)-(Geraetedaten!$B$173*I230/1000))*10</f>
        <v>1003.6492860282431</v>
      </c>
      <c r="N230" s="20">
        <f>IF((H230-J230)/(K230-J230)*(Geraetedaten!$B$174-Geraetedaten!$B$161)&lt;Geraetedaten!$B$174,(H230-J230)/(K230-J230)*(Geraetedaten!$B$174-Geraetedaten!$B$161),Geraetedaten!$B$174)</f>
        <v>209.25129246626776</v>
      </c>
      <c r="O230" s="20">
        <f>N230/Geraetedaten!$B$174*(M230-L230)+L230+C230</f>
        <v>822.65466304219319</v>
      </c>
      <c r="P230" s="20">
        <f t="shared" si="212"/>
        <v>242.34646785904621</v>
      </c>
      <c r="Q230" s="21">
        <f>(N230-Geraetedaten!$B$161)/(Geraetedaten!$B$174-Geraetedaten!$B$161)*(Geraetedaten!$B$175-Geraetedaten!$B$162)+Geraetedaten!$B$162</f>
        <v>35.425225950871464</v>
      </c>
      <c r="R230" s="21">
        <f t="shared" si="213"/>
        <v>35.425225950871464</v>
      </c>
      <c r="S230" s="21">
        <f t="shared" si="214"/>
        <v>-5.5417262705538768</v>
      </c>
      <c r="T230" s="88">
        <f t="shared" si="215"/>
        <v>-34.989082634624047</v>
      </c>
      <c r="U230" s="86">
        <f t="shared" si="216"/>
        <v>10985.520409999999</v>
      </c>
      <c r="V230" s="85">
        <f t="shared" si="217"/>
        <v>-1346.4914747781525</v>
      </c>
      <c r="W230" s="85">
        <f t="shared" si="218"/>
        <v>2472.312622157845</v>
      </c>
      <c r="X230" s="90">
        <f t="shared" si="219"/>
        <v>1346.4914747781525</v>
      </c>
      <c r="Y230" s="86">
        <f t="shared" si="220"/>
        <v>8583.3321500000002</v>
      </c>
      <c r="Z230" s="85">
        <f t="shared" si="221"/>
        <v>-818.62113479844345</v>
      </c>
      <c r="AA230" s="85">
        <f t="shared" si="222"/>
        <v>822.37659822350713</v>
      </c>
      <c r="AB230" s="90">
        <f t="shared" si="223"/>
        <v>818.62113479844345</v>
      </c>
      <c r="AC230" s="86">
        <f t="shared" si="224"/>
        <v>-11279.7811</v>
      </c>
      <c r="AD230" s="85">
        <f t="shared" si="225"/>
        <v>3384.56104615708</v>
      </c>
      <c r="AE230" s="85">
        <f t="shared" si="226"/>
        <v>-6362.417200195875</v>
      </c>
      <c r="AF230" s="90">
        <f t="shared" si="227"/>
        <v>3384.56104615708</v>
      </c>
      <c r="AG230" s="86">
        <f t="shared" si="228"/>
        <v>-9029.3323700000001</v>
      </c>
      <c r="AH230" s="85">
        <f t="shared" si="229"/>
        <v>6139.2748628683721</v>
      </c>
      <c r="AI230" s="85">
        <f t="shared" si="230"/>
        <v>-6205.3993639826185</v>
      </c>
      <c r="AJ230" s="90">
        <f t="shared" si="231"/>
        <v>6139.2748628683721</v>
      </c>
      <c r="AL230" s="95">
        <f t="shared" si="232"/>
        <v>0</v>
      </c>
      <c r="AM230" s="95">
        <f t="shared" si="233"/>
        <v>0</v>
      </c>
      <c r="AN230" s="95">
        <f t="shared" si="234"/>
        <v>0</v>
      </c>
      <c r="AO230" s="95">
        <f t="shared" si="235"/>
        <v>0</v>
      </c>
      <c r="AP230"/>
      <c r="AQ230" s="95">
        <f t="shared" si="236"/>
        <v>0</v>
      </c>
      <c r="AR230" s="95">
        <f t="shared" si="237"/>
        <v>0</v>
      </c>
      <c r="AS230" s="95">
        <f>Geraetedaten!$B$94*ABS(SIN(RADIANS($A230)))</f>
        <v>24.090907616195533</v>
      </c>
      <c r="AT230" s="95">
        <f>Geraetedaten!$B$94*ABS(COS(RADIANS($A230)))</f>
        <v>152.10400445165121</v>
      </c>
      <c r="AU230" s="95">
        <f>((h_Aw_Sw+Geraetedaten!$B$18)/1000)*(AQ230*AS230+AR230*AT230)/100</f>
        <v>0</v>
      </c>
    </row>
    <row r="231" spans="1:47" ht="13.5" x14ac:dyDescent="0.25">
      <c r="A231" s="16">
        <v>190</v>
      </c>
      <c r="B231" s="16">
        <f t="shared" si="204"/>
        <v>260</v>
      </c>
      <c r="C231" s="19">
        <f t="shared" si="205"/>
        <v>40.526891969411977</v>
      </c>
      <c r="D231" s="17">
        <f t="shared" si="206"/>
        <v>10659.070358030589</v>
      </c>
      <c r="E231" s="17">
        <f t="shared" si="207"/>
        <v>8558.506488030589</v>
      </c>
      <c r="F231" s="17">
        <f t="shared" si="208"/>
        <v>-11017.046721969411</v>
      </c>
      <c r="G231" s="17">
        <f t="shared" si="209"/>
        <v>-9094.4922419694121</v>
      </c>
      <c r="H231" s="17">
        <f t="shared" si="210"/>
        <v>8558.506488030589</v>
      </c>
      <c r="I231" s="17">
        <f t="shared" si="211"/>
        <v>823.88094693642904</v>
      </c>
      <c r="J231" s="20">
        <f>(Geraetedaten!$B$152+(Geraetedaten!$B$153*(Geraetedaten!$B$18+d_y_Sw)/1000))*10</f>
        <v>6051.0442000000003</v>
      </c>
      <c r="K231" s="20">
        <f>(Geraetedaten!$B$165+(Geraetedaten!$B$166*(Geraetedaten!$B$18+d_y_Sw)/1000))*10</f>
        <v>10816.164000000001</v>
      </c>
      <c r="L231" s="20">
        <f>(Geraetedaten!$B$158+(Geraetedaten!$B$159*(Geraetedaten!$B$18+d_y_Sw)/1000)-(Geraetedaten!$B$160*I231/1000))*10</f>
        <v>541.1214101611514</v>
      </c>
      <c r="M231" s="20">
        <f>(Geraetedaten!$B$171+(Geraetedaten!$B$172*(Geraetedaten!$B$18+d_y_Sw)/1000)-(Geraetedaten!$B$173*I231/1000))*10</f>
        <v>1003.5373023100532</v>
      </c>
      <c r="N231" s="20">
        <f>IF((H231-J231)/(K231-J231)*(Geraetedaten!$B$174-Geraetedaten!$B$161)&lt;Geraetedaten!$B$174,(H231-J231)/(K231-J231)*(Geraetedaten!$B$174-Geraetedaten!$B$161),Geraetedaten!$B$174)</f>
        <v>210.48472175080158</v>
      </c>
      <c r="O231" s="20">
        <f>N231/Geraetedaten!$B$174*(M231-L231)+L231+C231</f>
        <v>824.97700311083906</v>
      </c>
      <c r="P231" s="20">
        <f t="shared" si="212"/>
        <v>242.78370326613009</v>
      </c>
      <c r="Q231" s="21">
        <f>(N231-Geraetedaten!$B$161)/(Geraetedaten!$B$174-Geraetedaten!$B$161)*(Geraetedaten!$B$175-Geraetedaten!$B$162)+Geraetedaten!$B$162</f>
        <v>35.461920472086348</v>
      </c>
      <c r="R231" s="21">
        <f t="shared" si="213"/>
        <v>35.461920472086348</v>
      </c>
      <c r="S231" s="21">
        <f t="shared" si="214"/>
        <v>-6.1578978665474091</v>
      </c>
      <c r="T231" s="88">
        <f t="shared" si="215"/>
        <v>-34.923174217612974</v>
      </c>
      <c r="U231" s="86">
        <f t="shared" si="216"/>
        <v>10699.597250000001</v>
      </c>
      <c r="V231" s="85">
        <f t="shared" si="217"/>
        <v>-1346.4914747781525</v>
      </c>
      <c r="W231" s="85">
        <f t="shared" si="218"/>
        <v>2407.9650631730665</v>
      </c>
      <c r="X231" s="90">
        <f t="shared" si="219"/>
        <v>1346.4914747781525</v>
      </c>
      <c r="Y231" s="86">
        <f t="shared" si="220"/>
        <v>8599.0333800000008</v>
      </c>
      <c r="Z231" s="85">
        <f t="shared" si="221"/>
        <v>-818.62113479844345</v>
      </c>
      <c r="AA231" s="85">
        <f t="shared" si="222"/>
        <v>823.88094693642904</v>
      </c>
      <c r="AB231" s="90">
        <f t="shared" si="223"/>
        <v>818.62113479844345</v>
      </c>
      <c r="AC231" s="86">
        <f t="shared" si="224"/>
        <v>-10976.519829999999</v>
      </c>
      <c r="AD231" s="85">
        <f t="shared" si="225"/>
        <v>3384.56104615708</v>
      </c>
      <c r="AE231" s="85">
        <f t="shared" si="226"/>
        <v>-6191.3611589971197</v>
      </c>
      <c r="AF231" s="90">
        <f t="shared" si="227"/>
        <v>3384.56104615708</v>
      </c>
      <c r="AG231" s="86">
        <f t="shared" si="228"/>
        <v>-9053.9653500000004</v>
      </c>
      <c r="AH231" s="85">
        <f t="shared" si="229"/>
        <v>6139.2748628683721</v>
      </c>
      <c r="AI231" s="85">
        <f t="shared" si="230"/>
        <v>-6222.3283577855664</v>
      </c>
      <c r="AJ231" s="90">
        <f t="shared" si="231"/>
        <v>6139.2748628683721</v>
      </c>
      <c r="AL231" s="95">
        <f t="shared" si="232"/>
        <v>0</v>
      </c>
      <c r="AM231" s="95">
        <f t="shared" si="233"/>
        <v>0</v>
      </c>
      <c r="AN231" s="95">
        <f t="shared" si="234"/>
        <v>0</v>
      </c>
      <c r="AO231" s="95">
        <f t="shared" si="235"/>
        <v>0</v>
      </c>
      <c r="AP231"/>
      <c r="AQ231" s="95">
        <f t="shared" si="236"/>
        <v>0</v>
      </c>
      <c r="AR231" s="95">
        <f t="shared" si="237"/>
        <v>0</v>
      </c>
      <c r="AS231" s="95">
        <f>Geraetedaten!$B$94*ABS(SIN(RADIANS($A231)))</f>
        <v>26.741819360707293</v>
      </c>
      <c r="AT231" s="95">
        <f>Geraetedaten!$B$94*ABS(COS(RADIANS($A231)))</f>
        <v>151.66039396388004</v>
      </c>
      <c r="AU231" s="95">
        <f>((h_Aw_Sw+Geraetedaten!$B$18)/1000)*(AQ231*AS231+AR231*AT231)/100</f>
        <v>0</v>
      </c>
    </row>
    <row r="232" spans="1:47" ht="13.5" x14ac:dyDescent="0.25">
      <c r="A232" s="16">
        <v>191</v>
      </c>
      <c r="B232" s="16">
        <f t="shared" si="204"/>
        <v>259</v>
      </c>
      <c r="C232" s="19">
        <f t="shared" si="205"/>
        <v>41.522181321446041</v>
      </c>
      <c r="D232" s="17">
        <f t="shared" si="206"/>
        <v>10389.754828678553</v>
      </c>
      <c r="E232" s="17">
        <f t="shared" si="207"/>
        <v>8575.8997386785541</v>
      </c>
      <c r="F232" s="17">
        <f t="shared" si="208"/>
        <v>-10733.832121321446</v>
      </c>
      <c r="G232" s="17">
        <f t="shared" si="209"/>
        <v>-9123.0291713214465</v>
      </c>
      <c r="H232" s="17">
        <f t="shared" si="210"/>
        <v>8575.8997386785541</v>
      </c>
      <c r="I232" s="17">
        <f t="shared" si="211"/>
        <v>825.64276914298694</v>
      </c>
      <c r="J232" s="20">
        <f>(Geraetedaten!$B$152+(Geraetedaten!$B$153*(Geraetedaten!$B$18+d_y_Sw)/1000))*10</f>
        <v>6051.0442000000003</v>
      </c>
      <c r="K232" s="20">
        <f>(Geraetedaten!$B$165+(Geraetedaten!$B$166*(Geraetedaten!$B$18+d_y_Sw)/1000))*10</f>
        <v>10816.164000000001</v>
      </c>
      <c r="L232" s="20">
        <f>(Geraetedaten!$B$158+(Geraetedaten!$B$159*(Geraetedaten!$B$18+d_y_Sw)/1000)-(Geraetedaten!$B$160*I232/1000))*10</f>
        <v>540.99221573874456</v>
      </c>
      <c r="M232" s="20">
        <f>(Geraetedaten!$B$171+(Geraetedaten!$B$172*(Geraetedaten!$B$18+d_y_Sw)/1000)-(Geraetedaten!$B$173*I232/1000))*10</f>
        <v>1003.4061522649971</v>
      </c>
      <c r="N232" s="20">
        <f>IF((H232-J232)/(K232-J232)*(Geraetedaten!$B$174-Geraetedaten!$B$161)&lt;Geraetedaten!$B$174,(H232-J232)/(K232-J232)*(Geraetedaten!$B$174-Geraetedaten!$B$161),Geraetedaten!$B$174)</f>
        <v>211.94476904262123</v>
      </c>
      <c r="O232" s="20">
        <f>N232/Geraetedaten!$B$174*(M232-L232)+L232+C232</f>
        <v>827.52993450805536</v>
      </c>
      <c r="P232" s="20">
        <f t="shared" si="212"/>
        <v>243.2423533996047</v>
      </c>
      <c r="Q232" s="21">
        <f>(N232-Geraetedaten!$B$161)/(Geraetedaten!$B$174-Geraetedaten!$B$161)*(Geraetedaten!$B$175-Geraetedaten!$B$162)+Geraetedaten!$B$162</f>
        <v>35.505356879017981</v>
      </c>
      <c r="R232" s="21">
        <f t="shared" si="213"/>
        <v>35.505356879017981</v>
      </c>
      <c r="S232" s="21">
        <f t="shared" si="214"/>
        <v>-6.774741476571112</v>
      </c>
      <c r="T232" s="88">
        <f t="shared" si="215"/>
        <v>-34.853023470454559</v>
      </c>
      <c r="U232" s="86">
        <f t="shared" si="216"/>
        <v>10431.27701</v>
      </c>
      <c r="V232" s="85">
        <f t="shared" si="217"/>
        <v>-1346.4914747781525</v>
      </c>
      <c r="W232" s="85">
        <f t="shared" si="218"/>
        <v>2347.5790738038245</v>
      </c>
      <c r="X232" s="90">
        <f t="shared" si="219"/>
        <v>1346.4914747781525</v>
      </c>
      <c r="Y232" s="86">
        <f t="shared" si="220"/>
        <v>8617.4219200000007</v>
      </c>
      <c r="Z232" s="85">
        <f t="shared" si="221"/>
        <v>-818.62113479844345</v>
      </c>
      <c r="AA232" s="85">
        <f t="shared" si="222"/>
        <v>825.64276914298694</v>
      </c>
      <c r="AB232" s="90">
        <f t="shared" si="223"/>
        <v>818.62113479844345</v>
      </c>
      <c r="AC232" s="86">
        <f t="shared" si="224"/>
        <v>-10692.309939999999</v>
      </c>
      <c r="AD232" s="85">
        <f t="shared" si="225"/>
        <v>3384.56104615708</v>
      </c>
      <c r="AE232" s="85">
        <f t="shared" si="226"/>
        <v>-6031.0511388086325</v>
      </c>
      <c r="AF232" s="90">
        <f t="shared" si="227"/>
        <v>3384.56104615708</v>
      </c>
      <c r="AG232" s="86">
        <f t="shared" si="228"/>
        <v>-9081.5069899999999</v>
      </c>
      <c r="AH232" s="85">
        <f t="shared" si="229"/>
        <v>6139.2748628683721</v>
      </c>
      <c r="AI232" s="85">
        <f t="shared" si="230"/>
        <v>-6241.2563203398149</v>
      </c>
      <c r="AJ232" s="90">
        <f t="shared" si="231"/>
        <v>6139.2748628683721</v>
      </c>
      <c r="AL232" s="95">
        <f t="shared" si="232"/>
        <v>0</v>
      </c>
      <c r="AM232" s="95">
        <f t="shared" si="233"/>
        <v>0</v>
      </c>
      <c r="AN232" s="95">
        <f t="shared" si="234"/>
        <v>0</v>
      </c>
      <c r="AO232" s="95">
        <f t="shared" si="235"/>
        <v>0</v>
      </c>
      <c r="AP232"/>
      <c r="AQ232" s="95">
        <f t="shared" si="236"/>
        <v>0</v>
      </c>
      <c r="AR232" s="95">
        <f t="shared" si="237"/>
        <v>0</v>
      </c>
      <c r="AS232" s="95">
        <f>Geraetedaten!$B$94*ABS(SIN(RADIANS($A232)))</f>
        <v>29.384585287987885</v>
      </c>
      <c r="AT232" s="95">
        <f>Geraetedaten!$B$94*ABS(COS(RADIANS($A232)))</f>
        <v>151.17058625094026</v>
      </c>
      <c r="AU232" s="95">
        <f>((h_Aw_Sw+Geraetedaten!$B$18)/1000)*(AQ232*AS232+AR232*AT232)/100</f>
        <v>0</v>
      </c>
    </row>
    <row r="233" spans="1:47" ht="13.5" x14ac:dyDescent="0.25">
      <c r="A233" s="16">
        <v>192</v>
      </c>
      <c r="B233" s="16">
        <f t="shared" si="204"/>
        <v>258</v>
      </c>
      <c r="C233" s="19">
        <f t="shared" si="205"/>
        <v>42.504822614815225</v>
      </c>
      <c r="D233" s="17">
        <f t="shared" si="206"/>
        <v>10136.605177385185</v>
      </c>
      <c r="E233" s="17">
        <f t="shared" si="207"/>
        <v>8596.021477385184</v>
      </c>
      <c r="F233" s="17">
        <f t="shared" si="208"/>
        <v>-10468.046792614816</v>
      </c>
      <c r="G233" s="17">
        <f t="shared" si="209"/>
        <v>-9154.5055926148161</v>
      </c>
      <c r="H233" s="17">
        <f t="shared" si="210"/>
        <v>8596.021477385184</v>
      </c>
      <c r="I233" s="17">
        <f t="shared" si="211"/>
        <v>827.66479761256824</v>
      </c>
      <c r="J233" s="20">
        <f>(Geraetedaten!$B$152+(Geraetedaten!$B$153*(Geraetedaten!$B$18+d_y_Sw)/1000))*10</f>
        <v>6051.0442000000003</v>
      </c>
      <c r="K233" s="20">
        <f>(Geraetedaten!$B$165+(Geraetedaten!$B$166*(Geraetedaten!$B$18+d_y_Sw)/1000))*10</f>
        <v>10816.164000000001</v>
      </c>
      <c r="L233" s="20">
        <f>(Geraetedaten!$B$158+(Geraetedaten!$B$159*(Geraetedaten!$B$18+d_y_Sw)/1000)-(Geraetedaten!$B$160*I233/1000))*10</f>
        <v>540.84394039107008</v>
      </c>
      <c r="M233" s="20">
        <f>(Geraetedaten!$B$171+(Geraetedaten!$B$172*(Geraetedaten!$B$18+d_y_Sw)/1000)-(Geraetedaten!$B$173*I233/1000))*10</f>
        <v>1003.2556324657214</v>
      </c>
      <c r="N233" s="20">
        <f>IF((H233-J233)/(K233-J233)*(Geraetedaten!$B$174-Geraetedaten!$B$161)&lt;Geraetedaten!$B$174,(H233-J233)/(K233-J233)*(Geraetedaten!$B$174-Geraetedaten!$B$161),Geraetedaten!$B$174)</f>
        <v>213.63385469428772</v>
      </c>
      <c r="O233" s="20">
        <f>N233/Geraetedaten!$B$174*(M233-L233)+L233+C233</f>
        <v>830.31574358992475</v>
      </c>
      <c r="P233" s="20">
        <f t="shared" si="212"/>
        <v>243.72226920049002</v>
      </c>
      <c r="Q233" s="21">
        <f>(N233-Geraetedaten!$B$161)/(Geraetedaten!$B$174-Geraetedaten!$B$161)*(Geraetedaten!$B$175-Geraetedaten!$B$162)+Geraetedaten!$B$162</f>
        <v>35.555607177155061</v>
      </c>
      <c r="R233" s="21">
        <f t="shared" si="213"/>
        <v>35.555607177155061</v>
      </c>
      <c r="S233" s="21">
        <f t="shared" si="214"/>
        <v>-7.3924264062543736</v>
      </c>
      <c r="T233" s="88">
        <f t="shared" si="215"/>
        <v>-34.778631852967898</v>
      </c>
      <c r="U233" s="86">
        <f t="shared" si="216"/>
        <v>10179.11</v>
      </c>
      <c r="V233" s="85">
        <f t="shared" si="217"/>
        <v>-1346.4914747781525</v>
      </c>
      <c r="W233" s="85">
        <f t="shared" si="218"/>
        <v>2290.8283995804395</v>
      </c>
      <c r="X233" s="90">
        <f t="shared" si="219"/>
        <v>1346.4914747781525</v>
      </c>
      <c r="Y233" s="86">
        <f t="shared" si="220"/>
        <v>8638.5262999999995</v>
      </c>
      <c r="Z233" s="85">
        <f t="shared" si="221"/>
        <v>-818.62113479844345</v>
      </c>
      <c r="AA233" s="85">
        <f t="shared" si="222"/>
        <v>827.66479761256824</v>
      </c>
      <c r="AB233" s="90">
        <f t="shared" si="223"/>
        <v>818.62113479844345</v>
      </c>
      <c r="AC233" s="86">
        <f t="shared" si="224"/>
        <v>-10425.54197</v>
      </c>
      <c r="AD233" s="85">
        <f t="shared" si="225"/>
        <v>3384.56104615708</v>
      </c>
      <c r="AE233" s="85">
        <f t="shared" si="226"/>
        <v>-5880.5793286995313</v>
      </c>
      <c r="AF233" s="90">
        <f t="shared" si="227"/>
        <v>3384.56104615708</v>
      </c>
      <c r="AG233" s="86">
        <f t="shared" si="228"/>
        <v>-9112.0007700000006</v>
      </c>
      <c r="AH233" s="85">
        <f t="shared" si="229"/>
        <v>6139.2748628683721</v>
      </c>
      <c r="AI233" s="85">
        <f t="shared" si="230"/>
        <v>-6262.2131408808045</v>
      </c>
      <c r="AJ233" s="90">
        <f t="shared" si="231"/>
        <v>6139.2748628683721</v>
      </c>
      <c r="AL233" s="95">
        <f t="shared" si="232"/>
        <v>0</v>
      </c>
      <c r="AM233" s="95">
        <f t="shared" si="233"/>
        <v>0</v>
      </c>
      <c r="AN233" s="95">
        <f t="shared" si="234"/>
        <v>0</v>
      </c>
      <c r="AO233" s="95">
        <f t="shared" si="235"/>
        <v>0</v>
      </c>
      <c r="AP233"/>
      <c r="AQ233" s="95">
        <f t="shared" si="236"/>
        <v>0</v>
      </c>
      <c r="AR233" s="95">
        <f t="shared" si="237"/>
        <v>0</v>
      </c>
      <c r="AS233" s="95">
        <f>Geraetedaten!$B$94*ABS(SIN(RADIANS($A233)))</f>
        <v>32.018400385934967</v>
      </c>
      <c r="AT233" s="95">
        <f>Geraetedaten!$B$94*ABS(COS(RADIANS($A233)))</f>
        <v>150.63473051300605</v>
      </c>
      <c r="AU233" s="95">
        <f>((h_Aw_Sw+Geraetedaten!$B$18)/1000)*(AQ233*AS233+AR233*AT233)/100</f>
        <v>0</v>
      </c>
    </row>
    <row r="234" spans="1:47" ht="13.5" x14ac:dyDescent="0.25">
      <c r="A234" s="16">
        <v>193</v>
      </c>
      <c r="B234" s="16">
        <f t="shared" si="204"/>
        <v>257</v>
      </c>
      <c r="C234" s="19">
        <f t="shared" si="205"/>
        <v>43.474516527462441</v>
      </c>
      <c r="D234" s="17">
        <f t="shared" si="206"/>
        <v>9898.3294234725381</v>
      </c>
      <c r="E234" s="17">
        <f t="shared" si="207"/>
        <v>8618.9049034725376</v>
      </c>
      <c r="F234" s="17">
        <f t="shared" si="208"/>
        <v>-10218.259856527462</v>
      </c>
      <c r="G234" s="17">
        <f t="shared" si="209"/>
        <v>-9188.9697365274624</v>
      </c>
      <c r="H234" s="17">
        <f t="shared" si="210"/>
        <v>8618.9049034725376</v>
      </c>
      <c r="I234" s="17">
        <f t="shared" si="211"/>
        <v>829.95018596550631</v>
      </c>
      <c r="J234" s="20">
        <f>(Geraetedaten!$B$152+(Geraetedaten!$B$153*(Geraetedaten!$B$18+d_y_Sw)/1000))*10</f>
        <v>6051.0442000000003</v>
      </c>
      <c r="K234" s="20">
        <f>(Geraetedaten!$B$165+(Geraetedaten!$B$166*(Geraetedaten!$B$18+d_y_Sw)/1000))*10</f>
        <v>10816.164000000001</v>
      </c>
      <c r="L234" s="20">
        <f>(Geraetedaten!$B$158+(Geraetedaten!$B$159*(Geraetedaten!$B$18+d_y_Sw)/1000)-(Geraetedaten!$B$160*I234/1000))*10</f>
        <v>540.67635286314919</v>
      </c>
      <c r="M234" s="20">
        <f>(Geraetedaten!$B$171+(Geraetedaten!$B$172*(Geraetedaten!$B$18+d_y_Sw)/1000)-(Geraetedaten!$B$173*I234/1000))*10</f>
        <v>1003.0855081567288</v>
      </c>
      <c r="N234" s="20">
        <f>IF((H234-J234)/(K234-J234)*(Geraetedaten!$B$174-Geraetedaten!$B$161)&lt;Geraetedaten!$B$174,(H234-J234)/(K234-J234)*(Geraetedaten!$B$174-Geraetedaten!$B$161),Geraetedaten!$B$174)</f>
        <v>215.55476556728226</v>
      </c>
      <c r="O234" s="20">
        <f>N234/Geraetedaten!$B$174*(M234-L234)+L234+C234</f>
        <v>833.33711205429302</v>
      </c>
      <c r="P234" s="20">
        <f t="shared" si="212"/>
        <v>244.22331685939088</v>
      </c>
      <c r="Q234" s="21">
        <f>(N234-Geraetedaten!$B$161)/(Geraetedaten!$B$174-Geraetedaten!$B$161)*(Geraetedaten!$B$175-Geraetedaten!$B$162)+Geraetedaten!$B$162</f>
        <v>35.612754275626649</v>
      </c>
      <c r="R234" s="21">
        <f t="shared" si="213"/>
        <v>35.612754275626649</v>
      </c>
      <c r="S234" s="21">
        <f t="shared" si="214"/>
        <v>-8.0111266223912008</v>
      </c>
      <c r="T234" s="88">
        <f t="shared" si="215"/>
        <v>-34.700001690722999</v>
      </c>
      <c r="U234" s="86">
        <f t="shared" si="216"/>
        <v>9941.8039399999998</v>
      </c>
      <c r="V234" s="85">
        <f t="shared" si="217"/>
        <v>-1346.4914747781525</v>
      </c>
      <c r="W234" s="85">
        <f t="shared" si="218"/>
        <v>2237.4222117883633</v>
      </c>
      <c r="X234" s="90">
        <f t="shared" si="219"/>
        <v>1346.4914747781525</v>
      </c>
      <c r="Y234" s="86">
        <f t="shared" si="220"/>
        <v>8662.3794199999993</v>
      </c>
      <c r="Z234" s="85">
        <f t="shared" si="221"/>
        <v>-818.62113479844345</v>
      </c>
      <c r="AA234" s="85">
        <f t="shared" si="222"/>
        <v>829.95018596550631</v>
      </c>
      <c r="AB234" s="90">
        <f t="shared" si="223"/>
        <v>818.62113479844345</v>
      </c>
      <c r="AC234" s="86">
        <f t="shared" si="224"/>
        <v>-10174.78534</v>
      </c>
      <c r="AD234" s="85">
        <f t="shared" si="225"/>
        <v>3384.56104615708</v>
      </c>
      <c r="AE234" s="85">
        <f t="shared" si="226"/>
        <v>-5739.1387878874893</v>
      </c>
      <c r="AF234" s="90">
        <f t="shared" si="227"/>
        <v>3384.56104615708</v>
      </c>
      <c r="AG234" s="86">
        <f t="shared" si="228"/>
        <v>-9145.4952200000007</v>
      </c>
      <c r="AH234" s="85">
        <f t="shared" si="229"/>
        <v>6139.2748628683721</v>
      </c>
      <c r="AI234" s="85">
        <f t="shared" si="230"/>
        <v>-6285.2321656264212</v>
      </c>
      <c r="AJ234" s="90">
        <f t="shared" si="231"/>
        <v>6139.2748628683721</v>
      </c>
      <c r="AL234" s="95">
        <f t="shared" si="232"/>
        <v>0</v>
      </c>
      <c r="AM234" s="95">
        <f t="shared" si="233"/>
        <v>0</v>
      </c>
      <c r="AN234" s="95">
        <f t="shared" si="234"/>
        <v>0</v>
      </c>
      <c r="AO234" s="95">
        <f t="shared" si="235"/>
        <v>0</v>
      </c>
      <c r="AP234"/>
      <c r="AQ234" s="95">
        <f t="shared" si="236"/>
        <v>0</v>
      </c>
      <c r="AR234" s="95">
        <f t="shared" si="237"/>
        <v>0</v>
      </c>
      <c r="AS234" s="95">
        <f>Geraetedaten!$B$94*ABS(SIN(RADIANS($A234)))</f>
        <v>34.642462368955208</v>
      </c>
      <c r="AT234" s="95">
        <f>Geraetedaten!$B$94*ABS(COS(RADIANS($A234)))</f>
        <v>150.05298997692623</v>
      </c>
      <c r="AU234" s="95">
        <f>((h_Aw_Sw+Geraetedaten!$B$18)/1000)*(AQ234*AS234+AR234*AT234)/100</f>
        <v>0</v>
      </c>
    </row>
    <row r="235" spans="1:47" ht="13.5" x14ac:dyDescent="0.25">
      <c r="A235" s="16">
        <v>194</v>
      </c>
      <c r="B235" s="16">
        <f t="shared" si="204"/>
        <v>256</v>
      </c>
      <c r="C235" s="19">
        <f t="shared" si="205"/>
        <v>44.430967681228296</v>
      </c>
      <c r="D235" s="17">
        <f t="shared" si="206"/>
        <v>9673.7723123187716</v>
      </c>
      <c r="E235" s="17">
        <f t="shared" si="207"/>
        <v>8644.5877523187719</v>
      </c>
      <c r="F235" s="17">
        <f t="shared" si="208"/>
        <v>-9983.195157681228</v>
      </c>
      <c r="G235" s="17">
        <f t="shared" si="209"/>
        <v>-9226.4750476812278</v>
      </c>
      <c r="H235" s="17">
        <f t="shared" si="210"/>
        <v>8644.5877523187719</v>
      </c>
      <c r="I235" s="17">
        <f t="shared" si="211"/>
        <v>832.50252080783719</v>
      </c>
      <c r="J235" s="20">
        <f>(Geraetedaten!$B$152+(Geraetedaten!$B$153*(Geraetedaten!$B$18+d_y_Sw)/1000))*10</f>
        <v>6051.0442000000003</v>
      </c>
      <c r="K235" s="20">
        <f>(Geraetedaten!$B$165+(Geraetedaten!$B$166*(Geraetedaten!$B$18+d_y_Sw)/1000))*10</f>
        <v>10816.164000000001</v>
      </c>
      <c r="L235" s="20">
        <f>(Geraetedaten!$B$158+(Geraetedaten!$B$159*(Geraetedaten!$B$18+d_y_Sw)/1000)-(Geraetedaten!$B$160*I235/1000))*10</f>
        <v>540.48919014916112</v>
      </c>
      <c r="M235" s="20">
        <f>(Geraetedaten!$B$171+(Geraetedaten!$B$172*(Geraetedaten!$B$18+d_y_Sw)/1000)-(Geraetedaten!$B$173*I235/1000))*10</f>
        <v>1002.8955123510656</v>
      </c>
      <c r="N235" s="20">
        <f>IF((H235-J235)/(K235-J235)*(Geraetedaten!$B$174-Geraetedaten!$B$161)&lt;Geraetedaten!$B$174,(H235-J235)/(K235-J235)*(Geraetedaten!$B$174-Geraetedaten!$B$161),Geraetedaten!$B$174)</f>
        <v>217.71066929471709</v>
      </c>
      <c r="O235" s="20">
        <f>N235/Geraetedaten!$B$174*(M235-L235)+L235+C235</f>
        <v>836.59713256210239</v>
      </c>
      <c r="P235" s="20">
        <f t="shared" si="212"/>
        <v>244.74537843193255</v>
      </c>
      <c r="Q235" s="21">
        <f>(N235-Geraetedaten!$B$161)/(Geraetedaten!$B$174-Geraetedaten!$B$161)*(Geraetedaten!$B$175-Geraetedaten!$B$162)+Geraetedaten!$B$162</f>
        <v>35.676892411517834</v>
      </c>
      <c r="R235" s="21">
        <f t="shared" si="213"/>
        <v>35.676892411517834</v>
      </c>
      <c r="S235" s="21">
        <f t="shared" si="214"/>
        <v>-8.6310214412997865</v>
      </c>
      <c r="T235" s="88">
        <f t="shared" si="215"/>
        <v>-34.617136233704286</v>
      </c>
      <c r="U235" s="86">
        <f t="shared" si="216"/>
        <v>9718.2032799999997</v>
      </c>
      <c r="V235" s="85">
        <f t="shared" si="217"/>
        <v>-1346.4914747781525</v>
      </c>
      <c r="W235" s="85">
        <f t="shared" si="218"/>
        <v>2187.1004504275293</v>
      </c>
      <c r="X235" s="90">
        <f t="shared" si="219"/>
        <v>1346.4914747781525</v>
      </c>
      <c r="Y235" s="86">
        <f t="shared" si="220"/>
        <v>8689.01872</v>
      </c>
      <c r="Z235" s="85">
        <f t="shared" si="221"/>
        <v>-818.62113479844345</v>
      </c>
      <c r="AA235" s="85">
        <f t="shared" si="222"/>
        <v>832.50252080783719</v>
      </c>
      <c r="AB235" s="90">
        <f t="shared" si="223"/>
        <v>818.62113479844345</v>
      </c>
      <c r="AC235" s="86">
        <f t="shared" si="224"/>
        <v>-9938.7641899999999</v>
      </c>
      <c r="AD235" s="85">
        <f t="shared" si="225"/>
        <v>3384.56104615708</v>
      </c>
      <c r="AE235" s="85">
        <f t="shared" si="226"/>
        <v>-5606.0098760042938</v>
      </c>
      <c r="AF235" s="90">
        <f t="shared" si="227"/>
        <v>3384.56104615708</v>
      </c>
      <c r="AG235" s="86">
        <f t="shared" si="228"/>
        <v>-9182.0440799999997</v>
      </c>
      <c r="AH235" s="85">
        <f t="shared" si="229"/>
        <v>6139.2748628683721</v>
      </c>
      <c r="AI235" s="85">
        <f t="shared" si="230"/>
        <v>-6310.3503298253281</v>
      </c>
      <c r="AJ235" s="90">
        <f t="shared" si="231"/>
        <v>6139.2748628683721</v>
      </c>
      <c r="AL235" s="95">
        <f t="shared" si="232"/>
        <v>0</v>
      </c>
      <c r="AM235" s="95">
        <f t="shared" si="233"/>
        <v>0</v>
      </c>
      <c r="AN235" s="95">
        <f t="shared" si="234"/>
        <v>0</v>
      </c>
      <c r="AO235" s="95">
        <f t="shared" si="235"/>
        <v>0</v>
      </c>
      <c r="AP235"/>
      <c r="AQ235" s="95">
        <f t="shared" si="236"/>
        <v>0</v>
      </c>
      <c r="AR235" s="95">
        <f t="shared" si="237"/>
        <v>0</v>
      </c>
      <c r="AS235" s="95">
        <f>Geraetedaten!$B$94*ABS(SIN(RADIANS($A235)))</f>
        <v>37.255971922348799</v>
      </c>
      <c r="AT235" s="95">
        <f>Geraetedaten!$B$94*ABS(COS(RADIANS($A235)))</f>
        <v>149.42554184650345</v>
      </c>
      <c r="AU235" s="95">
        <f>((h_Aw_Sw+Geraetedaten!$B$18)/1000)*(AQ235*AS235+AR235*AT235)/100</f>
        <v>0</v>
      </c>
    </row>
    <row r="236" spans="1:47" ht="13.5" x14ac:dyDescent="0.25">
      <c r="A236" s="16">
        <v>195</v>
      </c>
      <c r="B236" s="16">
        <f t="shared" si="204"/>
        <v>255</v>
      </c>
      <c r="C236" s="19">
        <f t="shared" si="205"/>
        <v>45.373884731826024</v>
      </c>
      <c r="D236" s="17">
        <f t="shared" si="206"/>
        <v>9461.8977852681746</v>
      </c>
      <c r="E236" s="17">
        <f t="shared" si="207"/>
        <v>8673.112415268175</v>
      </c>
      <c r="F236" s="17">
        <f t="shared" si="208"/>
        <v>-9761.7110947318251</v>
      </c>
      <c r="G236" s="17">
        <f t="shared" si="209"/>
        <v>-9267.0804047318252</v>
      </c>
      <c r="H236" s="17">
        <f t="shared" si="210"/>
        <v>8673.112415268175</v>
      </c>
      <c r="I236" s="17">
        <f t="shared" si="211"/>
        <v>835.32583565616744</v>
      </c>
      <c r="J236" s="20">
        <f>(Geraetedaten!$B$152+(Geraetedaten!$B$153*(Geraetedaten!$B$18+d_y_Sw)/1000))*10</f>
        <v>6051.0442000000003</v>
      </c>
      <c r="K236" s="20">
        <f>(Geraetedaten!$B$165+(Geraetedaten!$B$166*(Geraetedaten!$B$18+d_y_Sw)/1000))*10</f>
        <v>10816.164000000001</v>
      </c>
      <c r="L236" s="20">
        <f>(Geraetedaten!$B$158+(Geraetedaten!$B$159*(Geraetedaten!$B$18+d_y_Sw)/1000)-(Geraetedaten!$B$160*I236/1000))*10</f>
        <v>540.282156471333</v>
      </c>
      <c r="M236" s="20">
        <f>(Geraetedaten!$B$171+(Geraetedaten!$B$172*(Geraetedaten!$B$18+d_y_Sw)/1000)-(Geraetedaten!$B$173*I236/1000))*10</f>
        <v>1002.6853447937559</v>
      </c>
      <c r="N236" s="20">
        <f>IF((H236-J236)/(K236-J236)*(Geraetedaten!$B$174-Geraetedaten!$B$161)&lt;Geraetedaten!$B$174,(H236-J236)/(K236-J236)*(Geraetedaten!$B$174-Geraetedaten!$B$161),Geraetedaten!$B$174)</f>
        <v>220.10512434698279</v>
      </c>
      <c r="O236" s="20">
        <f>N236/Geraetedaten!$B$174*(M236-L236)+L236+C236</f>
        <v>840.0993193635295</v>
      </c>
      <c r="P236" s="20">
        <f t="shared" si="212"/>
        <v>245.28835170729306</v>
      </c>
      <c r="Q236" s="21">
        <f>(N236-Geraetedaten!$B$161)/(Geraetedaten!$B$174-Geraetedaten!$B$161)*(Geraetedaten!$B$175-Geraetedaten!$B$162)+Geraetedaten!$B$162</f>
        <v>35.748127449322737</v>
      </c>
      <c r="R236" s="21">
        <f t="shared" si="213"/>
        <v>35.748127449322737</v>
      </c>
      <c r="S236" s="21">
        <f t="shared" si="214"/>
        <v>-9.2522962106369224</v>
      </c>
      <c r="T236" s="88">
        <f t="shared" si="215"/>
        <v>-34.530039544773992</v>
      </c>
      <c r="U236" s="86">
        <f t="shared" si="216"/>
        <v>9507.2716700000001</v>
      </c>
      <c r="V236" s="85">
        <f t="shared" si="217"/>
        <v>-1346.4914747781525</v>
      </c>
      <c r="W236" s="85">
        <f t="shared" si="218"/>
        <v>2139.6298838628632</v>
      </c>
      <c r="X236" s="90">
        <f t="shared" si="219"/>
        <v>1346.4914747781525</v>
      </c>
      <c r="Y236" s="86">
        <f t="shared" si="220"/>
        <v>8718.4863000000005</v>
      </c>
      <c r="Z236" s="85">
        <f t="shared" si="221"/>
        <v>-818.62113479844345</v>
      </c>
      <c r="AA236" s="85">
        <f t="shared" si="222"/>
        <v>835.32583565616744</v>
      </c>
      <c r="AB236" s="90">
        <f t="shared" si="223"/>
        <v>818.62113479844345</v>
      </c>
      <c r="AC236" s="86">
        <f t="shared" si="224"/>
        <v>-9716.3372099999997</v>
      </c>
      <c r="AD236" s="85">
        <f t="shared" si="225"/>
        <v>3384.56104615708</v>
      </c>
      <c r="AE236" s="85">
        <f t="shared" si="226"/>
        <v>-5480.5488187131259</v>
      </c>
      <c r="AF236" s="90">
        <f t="shared" si="227"/>
        <v>3384.56104615708</v>
      </c>
      <c r="AG236" s="86">
        <f t="shared" si="228"/>
        <v>-9221.7065199999997</v>
      </c>
      <c r="AH236" s="85">
        <f t="shared" si="229"/>
        <v>6139.2748628683721</v>
      </c>
      <c r="AI236" s="85">
        <f t="shared" si="230"/>
        <v>-6337.6083057675405</v>
      </c>
      <c r="AJ236" s="90">
        <f t="shared" si="231"/>
        <v>6139.2748628683721</v>
      </c>
      <c r="AL236" s="95">
        <f t="shared" si="232"/>
        <v>0</v>
      </c>
      <c r="AM236" s="95">
        <f t="shared" si="233"/>
        <v>0</v>
      </c>
      <c r="AN236" s="95">
        <f t="shared" si="234"/>
        <v>0</v>
      </c>
      <c r="AO236" s="95">
        <f t="shared" si="235"/>
        <v>0</v>
      </c>
      <c r="AP236"/>
      <c r="AQ236" s="95">
        <f t="shared" si="236"/>
        <v>0</v>
      </c>
      <c r="AR236" s="95">
        <f t="shared" si="237"/>
        <v>0</v>
      </c>
      <c r="AS236" s="95">
        <f>Geraetedaten!$B$94*ABS(SIN(RADIANS($A236)))</f>
        <v>39.858132945788199</v>
      </c>
      <c r="AT236" s="95">
        <f>Geraetedaten!$B$94*ABS(COS(RADIANS($A236)))</f>
        <v>148.75257724851653</v>
      </c>
      <c r="AU236" s="95">
        <f>((h_Aw_Sw+Geraetedaten!$B$18)/1000)*(AQ236*AS236+AR236*AT236)/100</f>
        <v>0</v>
      </c>
    </row>
    <row r="237" spans="1:47" ht="13.5" x14ac:dyDescent="0.25">
      <c r="A237" s="16">
        <v>196</v>
      </c>
      <c r="B237" s="16">
        <f t="shared" si="204"/>
        <v>254</v>
      </c>
      <c r="C237" s="19">
        <f t="shared" si="205"/>
        <v>46.302980457587722</v>
      </c>
      <c r="D237" s="17">
        <f t="shared" si="206"/>
        <v>9261.7741195424132</v>
      </c>
      <c r="E237" s="17">
        <f t="shared" si="207"/>
        <v>8704.5261095424121</v>
      </c>
      <c r="F237" s="17">
        <f t="shared" si="208"/>
        <v>-9552.7833704575878</v>
      </c>
      <c r="G237" s="17">
        <f t="shared" si="209"/>
        <v>-9310.850400457588</v>
      </c>
      <c r="H237" s="17">
        <f t="shared" si="210"/>
        <v>8704.5261095424121</v>
      </c>
      <c r="I237" s="17">
        <f t="shared" si="211"/>
        <v>838.42462675462582</v>
      </c>
      <c r="J237" s="20">
        <f>(Geraetedaten!$B$152+(Geraetedaten!$B$153*(Geraetedaten!$B$18+d_y_Sw)/1000))*10</f>
        <v>6051.0442000000003</v>
      </c>
      <c r="K237" s="20">
        <f>(Geraetedaten!$B$165+(Geraetedaten!$B$166*(Geraetedaten!$B$18+d_y_Sw)/1000))*10</f>
        <v>10816.164000000001</v>
      </c>
      <c r="L237" s="20">
        <f>(Geraetedaten!$B$158+(Geraetedaten!$B$159*(Geraetedaten!$B$18+d_y_Sw)/1000)-(Geraetedaten!$B$160*I237/1000))*10</f>
        <v>540.05492212008312</v>
      </c>
      <c r="M237" s="20">
        <f>(Geraetedaten!$B$171+(Geraetedaten!$B$172*(Geraetedaten!$B$18+d_y_Sw)/1000)-(Geraetedaten!$B$173*I237/1000))*10</f>
        <v>1002.4546707843866</v>
      </c>
      <c r="N237" s="20">
        <f>IF((H237-J237)/(K237-J237)*(Geraetedaten!$B$174-Geraetedaten!$B$161)&lt;Geraetedaten!$B$174,(H237-J237)/(K237-J237)*(Geraetedaten!$B$174-Geraetedaten!$B$161),Geraetedaten!$B$174)</f>
        <v>222.74209429466279</v>
      </c>
      <c r="O237" s="20">
        <f>N237/Geraetedaten!$B$174*(M237-L237)+L237+C237</f>
        <v>843.84762362470258</v>
      </c>
      <c r="P237" s="20">
        <f t="shared" si="212"/>
        <v>245.85215041828505</v>
      </c>
      <c r="Q237" s="21">
        <f>(N237-Geraetedaten!$B$161)/(Geraetedaten!$B$174-Geraetedaten!$B$161)*(Geraetedaten!$B$175-Geraetedaten!$B$162)+Geraetedaten!$B$162</f>
        <v>35.82657730526622</v>
      </c>
      <c r="R237" s="21">
        <f t="shared" si="213"/>
        <v>35.82657730526622</v>
      </c>
      <c r="S237" s="21">
        <f t="shared" si="214"/>
        <v>-9.8751430363968868</v>
      </c>
      <c r="T237" s="88">
        <f t="shared" si="215"/>
        <v>-34.438716460125491</v>
      </c>
      <c r="U237" s="86">
        <f t="shared" si="216"/>
        <v>9308.0771000000004</v>
      </c>
      <c r="V237" s="85">
        <f t="shared" si="217"/>
        <v>-1346.4914747781525</v>
      </c>
      <c r="W237" s="85">
        <f t="shared" si="218"/>
        <v>2094.8007597520486</v>
      </c>
      <c r="X237" s="90">
        <f t="shared" si="219"/>
        <v>1346.4914747781525</v>
      </c>
      <c r="Y237" s="86">
        <f t="shared" si="220"/>
        <v>8750.8290899999993</v>
      </c>
      <c r="Z237" s="85">
        <f t="shared" si="221"/>
        <v>-818.62113479844345</v>
      </c>
      <c r="AA237" s="85">
        <f t="shared" si="222"/>
        <v>838.42462675462582</v>
      </c>
      <c r="AB237" s="90">
        <f t="shared" si="223"/>
        <v>818.62113479844345</v>
      </c>
      <c r="AC237" s="86">
        <f t="shared" si="224"/>
        <v>-9506.4803900000006</v>
      </c>
      <c r="AD237" s="85">
        <f t="shared" si="225"/>
        <v>3384.56104615708</v>
      </c>
      <c r="AE237" s="85">
        <f t="shared" si="226"/>
        <v>-5362.1780267842396</v>
      </c>
      <c r="AF237" s="90">
        <f t="shared" si="227"/>
        <v>3384.56104615708</v>
      </c>
      <c r="AG237" s="86">
        <f t="shared" si="228"/>
        <v>-9264.5474200000008</v>
      </c>
      <c r="AH237" s="85">
        <f t="shared" si="229"/>
        <v>6139.2748628683721</v>
      </c>
      <c r="AI237" s="85">
        <f t="shared" si="230"/>
        <v>-6367.0506678855354</v>
      </c>
      <c r="AJ237" s="90">
        <f t="shared" si="231"/>
        <v>6139.2748628683721</v>
      </c>
      <c r="AL237" s="95">
        <f t="shared" si="232"/>
        <v>0</v>
      </c>
      <c r="AM237" s="95">
        <f t="shared" si="233"/>
        <v>0</v>
      </c>
      <c r="AN237" s="95">
        <f t="shared" si="234"/>
        <v>0</v>
      </c>
      <c r="AO237" s="95">
        <f t="shared" si="235"/>
        <v>0</v>
      </c>
      <c r="AP237"/>
      <c r="AQ237" s="95">
        <f t="shared" si="236"/>
        <v>0</v>
      </c>
      <c r="AR237" s="95">
        <f t="shared" si="237"/>
        <v>0</v>
      </c>
      <c r="AS237" s="95">
        <f>Geraetedaten!$B$94*ABS(SIN(RADIANS($A237)))</f>
        <v>42.448152795817848</v>
      </c>
      <c r="AT237" s="95">
        <f>Geraetedaten!$B$94*ABS(COS(RADIANS($A237)))</f>
        <v>148.03430117450111</v>
      </c>
      <c r="AU237" s="95">
        <f>((h_Aw_Sw+Geraetedaten!$B$18)/1000)*(AQ237*AS237+AR237*AT237)/100</f>
        <v>0</v>
      </c>
    </row>
    <row r="238" spans="1:47" ht="13.5" x14ac:dyDescent="0.25">
      <c r="A238" s="16">
        <v>197</v>
      </c>
      <c r="B238" s="16">
        <f t="shared" si="204"/>
        <v>253</v>
      </c>
      <c r="C238" s="19">
        <f t="shared" si="205"/>
        <v>47.217971846955017</v>
      </c>
      <c r="D238" s="17">
        <f t="shared" si="206"/>
        <v>9072.5611981530456</v>
      </c>
      <c r="E238" s="17">
        <f t="shared" si="207"/>
        <v>8738.8810581530452</v>
      </c>
      <c r="F238" s="17">
        <f t="shared" si="208"/>
        <v>-9355.4904618469536</v>
      </c>
      <c r="G238" s="17">
        <f t="shared" si="209"/>
        <v>-9357.855541846955</v>
      </c>
      <c r="H238" s="17">
        <f t="shared" si="210"/>
        <v>8738.8810581530452</v>
      </c>
      <c r="I238" s="17">
        <f t="shared" si="211"/>
        <v>841.80387090121496</v>
      </c>
      <c r="J238" s="20">
        <f>(Geraetedaten!$B$152+(Geraetedaten!$B$153*(Geraetedaten!$B$18+d_y_Sw)/1000))*10</f>
        <v>6051.0442000000003</v>
      </c>
      <c r="K238" s="20">
        <f>(Geraetedaten!$B$165+(Geraetedaten!$B$166*(Geraetedaten!$B$18+d_y_Sw)/1000))*10</f>
        <v>10816.164000000001</v>
      </c>
      <c r="L238" s="20">
        <f>(Geraetedaten!$B$158+(Geraetedaten!$B$159*(Geraetedaten!$B$18+d_y_Sw)/1000)-(Geraetedaten!$B$160*I238/1000))*10</f>
        <v>539.80712214681364</v>
      </c>
      <c r="M238" s="20">
        <f>(Geraetedaten!$B$171+(Geraetedaten!$B$172*(Geraetedaten!$B$18+d_y_Sw)/1000)-(Geraetedaten!$B$173*I238/1000))*10</f>
        <v>1002.2031198501145</v>
      </c>
      <c r="N238" s="20">
        <f>IF((H238-J238)/(K238-J238)*(Geraetedaten!$B$174-Geraetedaten!$B$161)&lt;Geraetedaten!$B$174,(H238-J238)/(K238-J238)*(Geraetedaten!$B$174-Geraetedaten!$B$161),Geraetedaten!$B$174)</f>
        <v>225.62596291098868</v>
      </c>
      <c r="O238" s="20">
        <f>N238/Geraetedaten!$B$174*(M238-L238)+L238+C238</f>
        <v>847.84644956375507</v>
      </c>
      <c r="P238" s="20">
        <f t="shared" si="212"/>
        <v>246.43670434125016</v>
      </c>
      <c r="Q238" s="21">
        <f>(N238-Geraetedaten!$B$161)/(Geraetedaten!$B$174-Geraetedaten!$B$161)*(Geraetedaten!$B$175-Geraetedaten!$B$162)+Geraetedaten!$B$162</f>
        <v>35.91237239660191</v>
      </c>
      <c r="R238" s="21">
        <f t="shared" si="213"/>
        <v>35.91237239660191</v>
      </c>
      <c r="S238" s="21">
        <f t="shared" si="214"/>
        <v>-10.499761538232256</v>
      </c>
      <c r="T238" s="88">
        <f t="shared" si="215"/>
        <v>-34.343172520786041</v>
      </c>
      <c r="U238" s="86">
        <f t="shared" si="216"/>
        <v>9119.7791699999998</v>
      </c>
      <c r="V238" s="85">
        <f t="shared" si="217"/>
        <v>-1346.4914747781525</v>
      </c>
      <c r="W238" s="85">
        <f t="shared" si="218"/>
        <v>2052.4239463086415</v>
      </c>
      <c r="X238" s="90">
        <f t="shared" si="219"/>
        <v>1346.4914747781525</v>
      </c>
      <c r="Y238" s="86">
        <f t="shared" si="220"/>
        <v>8786.0990299999994</v>
      </c>
      <c r="Z238" s="85">
        <f t="shared" si="221"/>
        <v>-818.62113479844345</v>
      </c>
      <c r="AA238" s="85">
        <f t="shared" si="222"/>
        <v>841.80387090121496</v>
      </c>
      <c r="AB238" s="90">
        <f t="shared" si="223"/>
        <v>818.62113479844345</v>
      </c>
      <c r="AC238" s="86">
        <f t="shared" si="224"/>
        <v>-9308.2724899999994</v>
      </c>
      <c r="AD238" s="85">
        <f t="shared" si="225"/>
        <v>3384.56104615708</v>
      </c>
      <c r="AE238" s="85">
        <f t="shared" si="226"/>
        <v>-5250.3778628531845</v>
      </c>
      <c r="AF238" s="90">
        <f t="shared" si="227"/>
        <v>3384.56104615708</v>
      </c>
      <c r="AG238" s="86">
        <f t="shared" si="228"/>
        <v>-9310.6375700000008</v>
      </c>
      <c r="AH238" s="85">
        <f t="shared" si="229"/>
        <v>6139.2748628683721</v>
      </c>
      <c r="AI238" s="85">
        <f t="shared" si="230"/>
        <v>-6398.7260762248861</v>
      </c>
      <c r="AJ238" s="90">
        <f t="shared" si="231"/>
        <v>6139.2748628683721</v>
      </c>
      <c r="AL238" s="95">
        <f t="shared" si="232"/>
        <v>0</v>
      </c>
      <c r="AM238" s="95">
        <f t="shared" si="233"/>
        <v>0</v>
      </c>
      <c r="AN238" s="95">
        <f t="shared" si="234"/>
        <v>0</v>
      </c>
      <c r="AO238" s="95">
        <f t="shared" si="235"/>
        <v>0</v>
      </c>
      <c r="AP238"/>
      <c r="AQ238" s="95">
        <f t="shared" si="236"/>
        <v>0</v>
      </c>
      <c r="AR238" s="95">
        <f t="shared" si="237"/>
        <v>0</v>
      </c>
      <c r="AS238" s="95">
        <f>Geraetedaten!$B$94*ABS(SIN(RADIANS($A238)))</f>
        <v>45.025242527301465</v>
      </c>
      <c r="AT238" s="95">
        <f>Geraetedaten!$B$94*ABS(COS(RADIANS($A238)))</f>
        <v>147.27093241830747</v>
      </c>
      <c r="AU238" s="95">
        <f>((h_Aw_Sw+Geraetedaten!$B$18)/1000)*(AQ238*AS238+AR238*AT238)/100</f>
        <v>0</v>
      </c>
    </row>
    <row r="239" spans="1:47" ht="13.5" x14ac:dyDescent="0.25">
      <c r="A239" s="16">
        <v>198</v>
      </c>
      <c r="B239" s="16">
        <f t="shared" si="204"/>
        <v>252</v>
      </c>
      <c r="C239" s="19">
        <f t="shared" si="205"/>
        <v>48.118580184686948</v>
      </c>
      <c r="D239" s="17">
        <f t="shared" si="206"/>
        <v>8893.4996498153123</v>
      </c>
      <c r="E239" s="17">
        <f t="shared" si="207"/>
        <v>8776.2347098153114</v>
      </c>
      <c r="F239" s="17">
        <f t="shared" si="208"/>
        <v>-9169.0011001846869</v>
      </c>
      <c r="G239" s="17">
        <f t="shared" si="209"/>
        <v>-9408.1726001846873</v>
      </c>
      <c r="H239" s="17">
        <f t="shared" si="210"/>
        <v>8776.2347098153114</v>
      </c>
      <c r="I239" s="17">
        <f t="shared" si="211"/>
        <v>845.4690454176332</v>
      </c>
      <c r="J239" s="20">
        <f>(Geraetedaten!$B$152+(Geraetedaten!$B$153*(Geraetedaten!$B$18+d_y_Sw)/1000))*10</f>
        <v>6051.0442000000003</v>
      </c>
      <c r="K239" s="20">
        <f>(Geraetedaten!$B$165+(Geraetedaten!$B$166*(Geraetedaten!$B$18+d_y_Sw)/1000))*10</f>
        <v>10816.164000000001</v>
      </c>
      <c r="L239" s="20">
        <f>(Geraetedaten!$B$158+(Geraetedaten!$B$159*(Geraetedaten!$B$18+d_y_Sw)/1000)-(Geraetedaten!$B$160*I239/1000))*10</f>
        <v>539.53835489952462</v>
      </c>
      <c r="M239" s="20">
        <f>(Geraetedaten!$B$171+(Geraetedaten!$B$172*(Geraetedaten!$B$18+d_y_Sw)/1000)-(Geraetedaten!$B$173*I239/1000))*10</f>
        <v>1001.9302842591123</v>
      </c>
      <c r="N239" s="20">
        <f>IF((H239-J239)/(K239-J239)*(Geraetedaten!$B$174-Geraetedaten!$B$161)&lt;Geraetedaten!$B$174,(H239-J239)/(K239-J239)*(Geraetedaten!$B$174-Geraetedaten!$B$161),Geraetedaten!$B$174)</f>
        <v>228.76155263213408</v>
      </c>
      <c r="O239" s="20">
        <f>N239/Geraetedaten!$B$174*(M239-L239)+L239+C239</f>
        <v>852.10067429637991</v>
      </c>
      <c r="P239" s="20">
        <f t="shared" si="212"/>
        <v>247.04195959356423</v>
      </c>
      <c r="Q239" s="21">
        <f>(N239-Geraetedaten!$B$161)/(Geraetedaten!$B$174-Geraetedaten!$B$161)*(Geraetedaten!$B$175-Geraetedaten!$B$162)+Geraetedaten!$B$162</f>
        <v>36.005656190805993</v>
      </c>
      <c r="R239" s="21">
        <f t="shared" si="213"/>
        <v>36.005656190805993</v>
      </c>
      <c r="S239" s="21">
        <f t="shared" si="214"/>
        <v>-11.126359656580581</v>
      </c>
      <c r="T239" s="88">
        <f t="shared" si="215"/>
        <v>-34.243413943748983</v>
      </c>
      <c r="U239" s="86">
        <f t="shared" si="216"/>
        <v>8941.61823</v>
      </c>
      <c r="V239" s="85">
        <f t="shared" si="217"/>
        <v>-1346.4914747781525</v>
      </c>
      <c r="W239" s="85">
        <f t="shared" si="218"/>
        <v>2012.3284821866134</v>
      </c>
      <c r="X239" s="90">
        <f t="shared" si="219"/>
        <v>1346.4914747781525</v>
      </c>
      <c r="Y239" s="86">
        <f t="shared" si="220"/>
        <v>8824.3532899999991</v>
      </c>
      <c r="Z239" s="85">
        <f t="shared" si="221"/>
        <v>-818.62113479844345</v>
      </c>
      <c r="AA239" s="85">
        <f t="shared" si="222"/>
        <v>845.4690454176332</v>
      </c>
      <c r="AB239" s="90">
        <f t="shared" si="223"/>
        <v>818.62113479844345</v>
      </c>
      <c r="AC239" s="86">
        <f t="shared" si="224"/>
        <v>-9120.8825199999992</v>
      </c>
      <c r="AD239" s="85">
        <f t="shared" si="225"/>
        <v>3384.56104615708</v>
      </c>
      <c r="AE239" s="85">
        <f t="shared" si="226"/>
        <v>-5144.6796095502477</v>
      </c>
      <c r="AF239" s="90">
        <f t="shared" si="227"/>
        <v>3384.56104615708</v>
      </c>
      <c r="AG239" s="86">
        <f t="shared" si="228"/>
        <v>-9360.0540199999996</v>
      </c>
      <c r="AH239" s="85">
        <f t="shared" si="229"/>
        <v>6139.2748628683721</v>
      </c>
      <c r="AI239" s="85">
        <f t="shared" si="230"/>
        <v>-6432.6874797304781</v>
      </c>
      <c r="AJ239" s="90">
        <f t="shared" si="231"/>
        <v>6139.2748628683721</v>
      </c>
      <c r="AL239" s="95">
        <f t="shared" si="232"/>
        <v>0</v>
      </c>
      <c r="AM239" s="95">
        <f t="shared" si="233"/>
        <v>0</v>
      </c>
      <c r="AN239" s="95">
        <f t="shared" si="234"/>
        <v>0</v>
      </c>
      <c r="AO239" s="95">
        <f t="shared" si="235"/>
        <v>0</v>
      </c>
      <c r="AP239"/>
      <c r="AQ239" s="95">
        <f t="shared" si="236"/>
        <v>0</v>
      </c>
      <c r="AR239" s="95">
        <f t="shared" si="237"/>
        <v>0</v>
      </c>
      <c r="AS239" s="95">
        <f>Geraetedaten!$B$94*ABS(SIN(RADIANS($A239)))</f>
        <v>47.588617133741884</v>
      </c>
      <c r="AT239" s="95">
        <f>Geraetedaten!$B$94*ABS(COS(RADIANS($A239)))</f>
        <v>146.46270350945366</v>
      </c>
      <c r="AU239" s="95">
        <f>((h_Aw_Sw+Geraetedaten!$B$18)/1000)*(AQ239*AS239+AR239*AT239)/100</f>
        <v>0</v>
      </c>
    </row>
    <row r="240" spans="1:47" ht="13.5" x14ac:dyDescent="0.25">
      <c r="A240" s="16">
        <v>199</v>
      </c>
      <c r="B240" s="16">
        <f t="shared" si="204"/>
        <v>251</v>
      </c>
      <c r="C240" s="19">
        <f t="shared" si="205"/>
        <v>49.004531136759482</v>
      </c>
      <c r="D240" s="17">
        <f t="shared" si="206"/>
        <v>8723.9014688632415</v>
      </c>
      <c r="E240" s="17">
        <f t="shared" si="207"/>
        <v>8816.6499688632412</v>
      </c>
      <c r="F240" s="17">
        <f t="shared" si="208"/>
        <v>-8992.56362113676</v>
      </c>
      <c r="G240" s="17">
        <f t="shared" si="209"/>
        <v>-9461.8849111367599</v>
      </c>
      <c r="H240" s="17">
        <f t="shared" si="210"/>
        <v>8723.9014688632415</v>
      </c>
      <c r="I240" s="17">
        <f t="shared" si="211"/>
        <v>1974.3594684758057</v>
      </c>
      <c r="J240" s="20">
        <f>(Geraetedaten!$B$152+(Geraetedaten!$B$153*(Geraetedaten!$B$18+d_y_Sw)/1000))*10</f>
        <v>6051.0442000000003</v>
      </c>
      <c r="K240" s="20">
        <f>(Geraetedaten!$B$165+(Geraetedaten!$B$166*(Geraetedaten!$B$18+d_y_Sw)/1000))*10</f>
        <v>10816.164000000001</v>
      </c>
      <c r="L240" s="20">
        <f>(Geraetedaten!$B$158+(Geraetedaten!$B$159*(Geraetedaten!$B$18+d_y_Sw)/1000)-(Geraetedaten!$B$160*I240/1000))*10</f>
        <v>456.75682017666895</v>
      </c>
      <c r="M240" s="20">
        <f>(Geraetedaten!$B$171+(Geraetedaten!$B$172*(Geraetedaten!$B$18+d_y_Sw)/1000)-(Geraetedaten!$B$173*I240/1000))*10</f>
        <v>917.89568116666203</v>
      </c>
      <c r="N240" s="20">
        <f>IF((H240-J240)/(K240-J240)*(Geraetedaten!$B$174-Geraetedaten!$B$161)&lt;Geraetedaten!$B$174,(H240-J240)/(K240-J240)*(Geraetedaten!$B$174-Geraetedaten!$B$161),Geraetedaten!$B$174)</f>
        <v>224.36852637897928</v>
      </c>
      <c r="O240" s="20">
        <f>N240/Geraetedaten!$B$174*(M240-L240)+L240+C240</f>
        <v>764.42396805444275</v>
      </c>
      <c r="P240" s="20">
        <f t="shared" si="212"/>
        <v>229.85706120066413</v>
      </c>
      <c r="Q240" s="21">
        <f>(N240-Geraetedaten!$B$161)/(Geraetedaten!$B$174-Geraetedaten!$B$161)*(Geraetedaten!$B$175-Geraetedaten!$B$162)+Geraetedaten!$B$162</f>
        <v>35.874963659774636</v>
      </c>
      <c r="R240" s="21">
        <f t="shared" si="213"/>
        <v>35.874963659774636</v>
      </c>
      <c r="S240" s="21">
        <f t="shared" si="214"/>
        <v>-11.679745709930394</v>
      </c>
      <c r="T240" s="88">
        <f t="shared" si="215"/>
        <v>-33.920444539267365</v>
      </c>
      <c r="U240" s="86">
        <f t="shared" si="216"/>
        <v>8772.9060000000009</v>
      </c>
      <c r="V240" s="85">
        <f t="shared" si="217"/>
        <v>-1346.4914747781525</v>
      </c>
      <c r="W240" s="85">
        <f t="shared" si="218"/>
        <v>1974.3594684758057</v>
      </c>
      <c r="X240" s="90">
        <f t="shared" si="219"/>
        <v>1346.4914747781525</v>
      </c>
      <c r="Y240" s="86">
        <f t="shared" si="220"/>
        <v>8865.6545000000006</v>
      </c>
      <c r="Z240" s="85">
        <f t="shared" si="221"/>
        <v>-818.62113479844345</v>
      </c>
      <c r="AA240" s="85">
        <f t="shared" si="222"/>
        <v>849.42615041504712</v>
      </c>
      <c r="AB240" s="90">
        <f t="shared" si="223"/>
        <v>818.62113479844345</v>
      </c>
      <c r="AC240" s="86">
        <f t="shared" si="224"/>
        <v>-8943.5590900000007</v>
      </c>
      <c r="AD240" s="85">
        <f t="shared" si="225"/>
        <v>3384.56104615708</v>
      </c>
      <c r="AE240" s="85">
        <f t="shared" si="226"/>
        <v>-5044.6594394541507</v>
      </c>
      <c r="AF240" s="90">
        <f t="shared" si="227"/>
        <v>3384.56104615708</v>
      </c>
      <c r="AG240" s="86">
        <f t="shared" si="228"/>
        <v>-9412.8803800000005</v>
      </c>
      <c r="AH240" s="85">
        <f t="shared" si="229"/>
        <v>6139.2748628683721</v>
      </c>
      <c r="AI240" s="85">
        <f t="shared" si="230"/>
        <v>-6468.9923409801904</v>
      </c>
      <c r="AJ240" s="90">
        <f t="shared" si="231"/>
        <v>6139.2748628683721</v>
      </c>
      <c r="AL240" s="95">
        <f t="shared" si="232"/>
        <v>0</v>
      </c>
      <c r="AM240" s="95">
        <f t="shared" si="233"/>
        <v>0</v>
      </c>
      <c r="AN240" s="95">
        <f t="shared" si="234"/>
        <v>0</v>
      </c>
      <c r="AO240" s="95">
        <f t="shared" si="235"/>
        <v>0</v>
      </c>
      <c r="AP240"/>
      <c r="AQ240" s="95">
        <f t="shared" si="236"/>
        <v>0</v>
      </c>
      <c r="AR240" s="95">
        <f t="shared" si="237"/>
        <v>0</v>
      </c>
      <c r="AS240" s="95">
        <f>Geraetedaten!$B$94*ABS(SIN(RADIANS($A240)))</f>
        <v>50.137495786402141</v>
      </c>
      <c r="AT240" s="95">
        <f>Geraetedaten!$B$94*ABS(COS(RADIANS($A240)))</f>
        <v>145.60986064229479</v>
      </c>
      <c r="AU240" s="95">
        <f>((h_Aw_Sw+Geraetedaten!$B$18)/1000)*(AQ240*AS240+AR240*AT240)/100</f>
        <v>0</v>
      </c>
    </row>
    <row r="241" spans="1:47" ht="13.5" x14ac:dyDescent="0.25">
      <c r="A241" s="16">
        <v>200</v>
      </c>
      <c r="B241" s="16">
        <f t="shared" si="204"/>
        <v>250</v>
      </c>
      <c r="C241" s="19">
        <f t="shared" si="205"/>
        <v>49.875554833930195</v>
      </c>
      <c r="D241" s="17">
        <f t="shared" si="206"/>
        <v>8563.14192516607</v>
      </c>
      <c r="E241" s="17">
        <f t="shared" si="207"/>
        <v>8860.1954351660697</v>
      </c>
      <c r="F241" s="17">
        <f t="shared" si="208"/>
        <v>-8825.4967448339303</v>
      </c>
      <c r="G241" s="17">
        <f t="shared" si="209"/>
        <v>-9519.0827448339296</v>
      </c>
      <c r="H241" s="17">
        <f t="shared" si="210"/>
        <v>8563.14192516607</v>
      </c>
      <c r="I241" s="17">
        <f t="shared" si="211"/>
        <v>1938.3762483914643</v>
      </c>
      <c r="J241" s="20">
        <f>(Geraetedaten!$B$152+(Geraetedaten!$B$153*(Geraetedaten!$B$18+d_y_Sw)/1000))*10</f>
        <v>6051.0442000000003</v>
      </c>
      <c r="K241" s="20">
        <f>(Geraetedaten!$B$165+(Geraetedaten!$B$166*(Geraetedaten!$B$18+d_y_Sw)/1000))*10</f>
        <v>10816.164000000001</v>
      </c>
      <c r="L241" s="20">
        <f>(Geraetedaten!$B$158+(Geraetedaten!$B$159*(Geraetedaten!$B$18+d_y_Sw)/1000)-(Geraetedaten!$B$160*I241/1000))*10</f>
        <v>459.39546970545371</v>
      </c>
      <c r="M241" s="20">
        <f>(Geraetedaten!$B$171+(Geraetedaten!$B$172*(Geraetedaten!$B$18+d_y_Sw)/1000)-(Geraetedaten!$B$173*I241/1000))*10</f>
        <v>920.57427206974035</v>
      </c>
      <c r="N241" s="20">
        <f>IF((H241-J241)/(K241-J241)*(Geraetedaten!$B$174-Geraetedaten!$B$161)&lt;Geraetedaten!$B$174,(H241-J241)/(K241-J241)*(Geraetedaten!$B$174-Geraetedaten!$B$161),Geraetedaten!$B$174)</f>
        <v>210.87383575674798</v>
      </c>
      <c r="O241" s="20">
        <f>N241/Geraetedaten!$B$174*(M241-L241)+L241+C241</f>
        <v>752.39738210003475</v>
      </c>
      <c r="P241" s="20">
        <f t="shared" si="212"/>
        <v>228.70644270976263</v>
      </c>
      <c r="Q241" s="21">
        <f>(N241-Geraetedaten!$B$161)/(Geraetedaten!$B$174-Geraetedaten!$B$161)*(Geraetedaten!$B$175-Geraetedaten!$B$162)+Geraetedaten!$B$162</f>
        <v>35.473496613763253</v>
      </c>
      <c r="R241" s="21">
        <f t="shared" si="213"/>
        <v>35.473496613763253</v>
      </c>
      <c r="S241" s="21">
        <f t="shared" si="214"/>
        <v>-12.13265039610193</v>
      </c>
      <c r="T241" s="88">
        <f t="shared" si="215"/>
        <v>-33.334183001427242</v>
      </c>
      <c r="U241" s="86">
        <f t="shared" si="216"/>
        <v>8613.0174800000004</v>
      </c>
      <c r="V241" s="85">
        <f t="shared" si="217"/>
        <v>-1346.4914747781525</v>
      </c>
      <c r="W241" s="85">
        <f t="shared" si="218"/>
        <v>1938.3762483914643</v>
      </c>
      <c r="X241" s="90">
        <f t="shared" si="219"/>
        <v>1346.4914747781525</v>
      </c>
      <c r="Y241" s="86">
        <f t="shared" si="220"/>
        <v>8910.0709900000002</v>
      </c>
      <c r="Z241" s="85">
        <f t="shared" si="221"/>
        <v>-818.62113479844345</v>
      </c>
      <c r="AA241" s="85">
        <f t="shared" si="222"/>
        <v>853.68173352860833</v>
      </c>
      <c r="AB241" s="90">
        <f t="shared" si="223"/>
        <v>818.62113479844345</v>
      </c>
      <c r="AC241" s="86">
        <f t="shared" si="224"/>
        <v>-8775.6211899999998</v>
      </c>
      <c r="AD241" s="85">
        <f t="shared" si="225"/>
        <v>3384.56104615708</v>
      </c>
      <c r="AE241" s="85">
        <f t="shared" si="226"/>
        <v>-4949.9332243305735</v>
      </c>
      <c r="AF241" s="90">
        <f t="shared" si="227"/>
        <v>3384.56104615708</v>
      </c>
      <c r="AG241" s="86">
        <f t="shared" si="228"/>
        <v>-9469.2071899999992</v>
      </c>
      <c r="AH241" s="85">
        <f t="shared" si="229"/>
        <v>6139.2748628683721</v>
      </c>
      <c r="AI241" s="85">
        <f t="shared" si="230"/>
        <v>-6507.7028842053724</v>
      </c>
      <c r="AJ241" s="90">
        <f t="shared" si="231"/>
        <v>6139.2748628683721</v>
      </c>
      <c r="AL241" s="95">
        <f t="shared" si="232"/>
        <v>0</v>
      </c>
      <c r="AM241" s="95">
        <f t="shared" si="233"/>
        <v>0</v>
      </c>
      <c r="AN241" s="95">
        <f t="shared" si="234"/>
        <v>0</v>
      </c>
      <c r="AO241" s="95">
        <f t="shared" si="235"/>
        <v>0</v>
      </c>
      <c r="AP241"/>
      <c r="AQ241" s="95">
        <f t="shared" si="236"/>
        <v>0</v>
      </c>
      <c r="AR241" s="95">
        <f t="shared" si="237"/>
        <v>0</v>
      </c>
      <c r="AS241" s="95">
        <f>Geraetedaten!$B$94*ABS(SIN(RADIANS($A241)))</f>
        <v>52.671102072152976</v>
      </c>
      <c r="AT241" s="95">
        <f>Geraetedaten!$B$94*ABS(COS(RADIANS($A241)))</f>
        <v>144.7126636010299</v>
      </c>
      <c r="AU241" s="95">
        <f>((h_Aw_Sw+Geraetedaten!$B$18)/1000)*(AQ241*AS241+AR241*AT241)/100</f>
        <v>0</v>
      </c>
    </row>
    <row r="242" spans="1:47" ht="13.5" x14ac:dyDescent="0.25">
      <c r="A242" s="16">
        <v>201</v>
      </c>
      <c r="B242" s="16">
        <f t="shared" si="204"/>
        <v>249</v>
      </c>
      <c r="C242" s="19">
        <f t="shared" si="205"/>
        <v>50.731385953943175</v>
      </c>
      <c r="D242" s="17">
        <f t="shared" si="206"/>
        <v>8410.6525640460568</v>
      </c>
      <c r="E242" s="17">
        <f t="shared" si="207"/>
        <v>8906.9457240460579</v>
      </c>
      <c r="F242" s="17">
        <f t="shared" si="208"/>
        <v>-8667.1816359539425</v>
      </c>
      <c r="G242" s="17">
        <f t="shared" si="209"/>
        <v>-9579.8637059539433</v>
      </c>
      <c r="H242" s="17">
        <f t="shared" si="210"/>
        <v>8410.6525640460568</v>
      </c>
      <c r="I242" s="17">
        <f t="shared" si="211"/>
        <v>1904.2508299159042</v>
      </c>
      <c r="J242" s="20">
        <f>(Geraetedaten!$B$152+(Geraetedaten!$B$153*(Geraetedaten!$B$18+d_y_Sw)/1000))*10</f>
        <v>6051.0442000000003</v>
      </c>
      <c r="K242" s="20">
        <f>(Geraetedaten!$B$165+(Geraetedaten!$B$166*(Geraetedaten!$B$18+d_y_Sw)/1000))*10</f>
        <v>10816.164000000001</v>
      </c>
      <c r="L242" s="20">
        <f>(Geraetedaten!$B$158+(Geraetedaten!$B$159*(Geraetedaten!$B$18+d_y_Sw)/1000)-(Geraetedaten!$B$160*I242/1000))*10</f>
        <v>461.89788664226654</v>
      </c>
      <c r="M242" s="20">
        <f>(Geraetedaten!$B$171+(Geraetedaten!$B$172*(Geraetedaten!$B$18+d_y_Sw)/1000)-(Geraetedaten!$B$173*I242/1000))*10</f>
        <v>923.11456822106106</v>
      </c>
      <c r="N242" s="20">
        <f>IF((H242-J242)/(K242-J242)*(Geraetedaten!$B$174-Geraetedaten!$B$161)&lt;Geraetedaten!$B$174,(H242-J242)/(K242-J242)*(Geraetedaten!$B$174-Geraetedaten!$B$161),Geraetedaten!$B$174)</f>
        <v>198.07337175833914</v>
      </c>
      <c r="O242" s="20">
        <f>N242/Geraetedaten!$B$174*(M242-L242)+L242+C242</f>
        <v>741.01613067496987</v>
      </c>
      <c r="P242" s="20">
        <f t="shared" si="212"/>
        <v>227.59982318795122</v>
      </c>
      <c r="Q242" s="21">
        <f>(N242-Geraetedaten!$B$161)/(Geraetedaten!$B$174-Geraetedaten!$B$161)*(Geraetedaten!$B$175-Geraetedaten!$B$162)+Geraetedaten!$B$162</f>
        <v>35.09268280981059</v>
      </c>
      <c r="R242" s="21">
        <f t="shared" si="213"/>
        <v>35.09268280981059</v>
      </c>
      <c r="S242" s="21">
        <f t="shared" si="214"/>
        <v>-12.576092782595433</v>
      </c>
      <c r="T242" s="88">
        <f t="shared" si="215"/>
        <v>-32.76184178451399</v>
      </c>
      <c r="U242" s="86">
        <f t="shared" si="216"/>
        <v>8461.3839499999995</v>
      </c>
      <c r="V242" s="85">
        <f t="shared" si="217"/>
        <v>-1346.4914747781525</v>
      </c>
      <c r="W242" s="85">
        <f t="shared" si="218"/>
        <v>1904.2508299159042</v>
      </c>
      <c r="X242" s="90">
        <f t="shared" si="219"/>
        <v>1346.4914747781525</v>
      </c>
      <c r="Y242" s="86">
        <f t="shared" si="220"/>
        <v>8957.6771100000005</v>
      </c>
      <c r="Z242" s="85">
        <f t="shared" si="221"/>
        <v>-818.62113479844345</v>
      </c>
      <c r="AA242" s="85">
        <f t="shared" si="222"/>
        <v>858.24291731603535</v>
      </c>
      <c r="AB242" s="90">
        <f t="shared" si="223"/>
        <v>818.62113479844345</v>
      </c>
      <c r="AC242" s="86">
        <f t="shared" si="224"/>
        <v>-8616.4502499999999</v>
      </c>
      <c r="AD242" s="85">
        <f t="shared" si="225"/>
        <v>3384.56104615708</v>
      </c>
      <c r="AE242" s="85">
        <f t="shared" si="226"/>
        <v>-4860.1520505779563</v>
      </c>
      <c r="AF242" s="90">
        <f t="shared" si="227"/>
        <v>3384.56104615708</v>
      </c>
      <c r="AG242" s="86">
        <f t="shared" si="228"/>
        <v>-9529.1323200000006</v>
      </c>
      <c r="AH242" s="85">
        <f t="shared" si="229"/>
        <v>6139.2748628683721</v>
      </c>
      <c r="AI242" s="85">
        <f t="shared" si="230"/>
        <v>-6548.8863686699124</v>
      </c>
      <c r="AJ242" s="90">
        <f t="shared" si="231"/>
        <v>6139.2748628683721</v>
      </c>
      <c r="AL242" s="95">
        <f t="shared" si="232"/>
        <v>0</v>
      </c>
      <c r="AM242" s="95">
        <f t="shared" si="233"/>
        <v>0</v>
      </c>
      <c r="AN242" s="95">
        <f t="shared" si="234"/>
        <v>0</v>
      </c>
      <c r="AO242" s="95">
        <f t="shared" si="235"/>
        <v>0</v>
      </c>
      <c r="AP242"/>
      <c r="AQ242" s="95">
        <f t="shared" si="236"/>
        <v>0</v>
      </c>
      <c r="AR242" s="95">
        <f t="shared" si="237"/>
        <v>0</v>
      </c>
      <c r="AS242" s="95">
        <f>Geraetedaten!$B$94*ABS(SIN(RADIANS($A242)))</f>
        <v>55.188664229976268</v>
      </c>
      <c r="AT242" s="95">
        <f>Geraetedaten!$B$94*ABS(COS(RADIANS($A242)))</f>
        <v>143.77138568056907</v>
      </c>
      <c r="AU242" s="95">
        <f>((h_Aw_Sw+Geraetedaten!$B$18)/1000)*(AQ242*AS242+AR242*AT242)/100</f>
        <v>0</v>
      </c>
    </row>
    <row r="243" spans="1:47" ht="13.5" x14ac:dyDescent="0.25">
      <c r="A243" s="16">
        <v>202</v>
      </c>
      <c r="B243" s="16">
        <f t="shared" si="204"/>
        <v>248</v>
      </c>
      <c r="C243" s="19">
        <f t="shared" si="205"/>
        <v>51.57176380234857</v>
      </c>
      <c r="D243" s="17">
        <f t="shared" si="206"/>
        <v>8265.9151161976515</v>
      </c>
      <c r="E243" s="17">
        <f t="shared" si="207"/>
        <v>8956.9817361976511</v>
      </c>
      <c r="F243" s="17">
        <f t="shared" si="208"/>
        <v>-8517.0549638023494</v>
      </c>
      <c r="G243" s="17">
        <f t="shared" si="209"/>
        <v>-9644.333173802348</v>
      </c>
      <c r="H243" s="17">
        <f t="shared" si="210"/>
        <v>8265.9151161976515</v>
      </c>
      <c r="I243" s="17">
        <f t="shared" si="211"/>
        <v>1871.8665144324061</v>
      </c>
      <c r="J243" s="20">
        <f>(Geraetedaten!$B$152+(Geraetedaten!$B$153*(Geraetedaten!$B$18+d_y_Sw)/1000))*10</f>
        <v>6051.0442000000003</v>
      </c>
      <c r="K243" s="20">
        <f>(Geraetedaten!$B$165+(Geraetedaten!$B$166*(Geraetedaten!$B$18+d_y_Sw)/1000))*10</f>
        <v>10816.164000000001</v>
      </c>
      <c r="L243" s="20">
        <f>(Geraetedaten!$B$158+(Geraetedaten!$B$159*(Geraetedaten!$B$18+d_y_Sw)/1000)-(Geraetedaten!$B$160*I243/1000))*10</f>
        <v>464.27262849667147</v>
      </c>
      <c r="M243" s="20">
        <f>(Geraetedaten!$B$171+(Geraetedaten!$B$172*(Geraetedaten!$B$18+d_y_Sw)/1000)-(Geraetedaten!$B$173*I243/1000))*10</f>
        <v>925.52525666565259</v>
      </c>
      <c r="N243" s="20">
        <f>IF((H243-J243)/(K243-J243)*(Geraetedaten!$B$174-Geraetedaten!$B$161)&lt;Geraetedaten!$B$174,(H243-J243)/(K243-J243)*(Geraetedaten!$B$174-Geraetedaten!$B$161),Geraetedaten!$B$174)</f>
        <v>185.92362913500315</v>
      </c>
      <c r="O243" s="20">
        <f>N243/Geraetedaten!$B$174*(M243-L243)+L243+C243</f>
        <v>730.23879874210786</v>
      </c>
      <c r="P243" s="20">
        <f t="shared" si="212"/>
        <v>226.53576482942174</v>
      </c>
      <c r="Q243" s="21">
        <f>(N243-Geraetedaten!$B$161)/(Geraetedaten!$B$174-Geraetedaten!$B$161)*(Geraetedaten!$B$175-Geraetedaten!$B$162)+Geraetedaten!$B$162</f>
        <v>34.73122796676634</v>
      </c>
      <c r="R243" s="21">
        <f t="shared" si="213"/>
        <v>34.73122796676634</v>
      </c>
      <c r="S243" s="21">
        <f t="shared" si="214"/>
        <v>-13.010546993781791</v>
      </c>
      <c r="T243" s="88">
        <f t="shared" si="215"/>
        <v>-32.202233820064222</v>
      </c>
      <c r="U243" s="86">
        <f t="shared" si="216"/>
        <v>8317.4868800000004</v>
      </c>
      <c r="V243" s="85">
        <f t="shared" si="217"/>
        <v>-1346.4914747781525</v>
      </c>
      <c r="W243" s="85">
        <f t="shared" si="218"/>
        <v>1871.8665144324061</v>
      </c>
      <c r="X243" s="90">
        <f t="shared" si="219"/>
        <v>1346.4914747781525</v>
      </c>
      <c r="Y243" s="86">
        <f t="shared" si="220"/>
        <v>9008.5535</v>
      </c>
      <c r="Z243" s="85">
        <f t="shared" si="221"/>
        <v>-818.62113479844345</v>
      </c>
      <c r="AA243" s="85">
        <f t="shared" si="222"/>
        <v>863.11742954063914</v>
      </c>
      <c r="AB243" s="90">
        <f t="shared" si="223"/>
        <v>818.62113479844345</v>
      </c>
      <c r="AC243" s="86">
        <f t="shared" si="224"/>
        <v>-8465.4832000000006</v>
      </c>
      <c r="AD243" s="85">
        <f t="shared" si="225"/>
        <v>3384.56104615708</v>
      </c>
      <c r="AE243" s="85">
        <f t="shared" si="226"/>
        <v>-4774.9983313904795</v>
      </c>
      <c r="AF243" s="90">
        <f t="shared" si="227"/>
        <v>3384.56104615708</v>
      </c>
      <c r="AG243" s="86">
        <f t="shared" si="228"/>
        <v>-9592.7614099999992</v>
      </c>
      <c r="AH243" s="85">
        <f t="shared" si="229"/>
        <v>6139.2748628683721</v>
      </c>
      <c r="AI243" s="85">
        <f t="shared" si="230"/>
        <v>-6592.6153897408176</v>
      </c>
      <c r="AJ243" s="90">
        <f t="shared" si="231"/>
        <v>6139.2748628683721</v>
      </c>
      <c r="AL243" s="95">
        <f t="shared" si="232"/>
        <v>0</v>
      </c>
      <c r="AM243" s="95">
        <f t="shared" si="233"/>
        <v>0</v>
      </c>
      <c r="AN243" s="95">
        <f t="shared" si="234"/>
        <v>0</v>
      </c>
      <c r="AO243" s="95">
        <f t="shared" si="235"/>
        <v>0</v>
      </c>
      <c r="AP243"/>
      <c r="AQ243" s="95">
        <f t="shared" si="236"/>
        <v>0</v>
      </c>
      <c r="AR243" s="95">
        <f t="shared" si="237"/>
        <v>0</v>
      </c>
      <c r="AS243" s="95">
        <f>Geraetedaten!$B$94*ABS(SIN(RADIANS($A243)))</f>
        <v>57.689415386050449</v>
      </c>
      <c r="AT243" s="95">
        <f>Geraetedaten!$B$94*ABS(COS(RADIANS($A243)))</f>
        <v>142.78631360328527</v>
      </c>
      <c r="AU243" s="95">
        <f>((h_Aw_Sw+Geraetedaten!$B$18)/1000)*(AQ243*AS243+AR243*AT243)/100</f>
        <v>0</v>
      </c>
    </row>
    <row r="244" spans="1:47" ht="13.5" x14ac:dyDescent="0.25">
      <c r="A244" s="16">
        <v>203</v>
      </c>
      <c r="B244" s="16">
        <f t="shared" si="204"/>
        <v>247</v>
      </c>
      <c r="C244" s="19">
        <f t="shared" si="205"/>
        <v>52.396432391912882</v>
      </c>
      <c r="D244" s="17">
        <f t="shared" si="206"/>
        <v>8128.4561476080871</v>
      </c>
      <c r="E244" s="17">
        <f t="shared" si="207"/>
        <v>9010.3910676080868</v>
      </c>
      <c r="F244" s="17">
        <f t="shared" si="208"/>
        <v>-8374.6030023919138</v>
      </c>
      <c r="G244" s="17">
        <f t="shared" si="209"/>
        <v>-9712.6047523919133</v>
      </c>
      <c r="H244" s="17">
        <f t="shared" si="210"/>
        <v>8128.4561476080871</v>
      </c>
      <c r="I244" s="17">
        <f t="shared" si="211"/>
        <v>1841.1167006832534</v>
      </c>
      <c r="J244" s="20">
        <f>(Geraetedaten!$B$152+(Geraetedaten!$B$153*(Geraetedaten!$B$18+d_y_Sw)/1000))*10</f>
        <v>6051.0442000000003</v>
      </c>
      <c r="K244" s="20">
        <f>(Geraetedaten!$B$165+(Geraetedaten!$B$166*(Geraetedaten!$B$18+d_y_Sw)/1000))*10</f>
        <v>10816.164000000001</v>
      </c>
      <c r="L244" s="20">
        <f>(Geraetedaten!$B$158+(Geraetedaten!$B$159*(Geraetedaten!$B$18+d_y_Sw)/1000)-(Geraetedaten!$B$160*I244/1000))*10</f>
        <v>466.52751233889683</v>
      </c>
      <c r="M244" s="20">
        <f>(Geraetedaten!$B$171+(Geraetedaten!$B$172*(Geraetedaten!$B$18+d_y_Sw)/1000)-(Geraetedaten!$B$173*I244/1000))*10</f>
        <v>927.81427280113962</v>
      </c>
      <c r="N244" s="20">
        <f>IF((H244-J244)/(K244-J244)*(Geraetedaten!$B$174-Geraetedaten!$B$161)&lt;Geraetedaten!$B$174,(H244-J244)/(K244-J244)*(Geraetedaten!$B$174-Geraetedaten!$B$161),Geraetedaten!$B$174)</f>
        <v>174.38486626154386</v>
      </c>
      <c r="O244" s="20">
        <f>N244/Geraetedaten!$B$174*(M244-L244)+L244+C244</f>
        <v>720.02751980938228</v>
      </c>
      <c r="P244" s="20">
        <f t="shared" si="212"/>
        <v>225.51288026985534</v>
      </c>
      <c r="Q244" s="21">
        <f>(N244-Geraetedaten!$B$161)/(Geraetedaten!$B$174-Geraetedaten!$B$161)*(Geraetedaten!$B$175-Geraetedaten!$B$162)+Geraetedaten!$B$162</f>
        <v>34.38794977128093</v>
      </c>
      <c r="R244" s="21">
        <f t="shared" si="213"/>
        <v>34.38794977128093</v>
      </c>
      <c r="S244" s="21">
        <f t="shared" si="214"/>
        <v>-13.436442420565054</v>
      </c>
      <c r="T244" s="88">
        <f t="shared" si="215"/>
        <v>-31.654274664742832</v>
      </c>
      <c r="U244" s="86">
        <f t="shared" si="216"/>
        <v>8180.8525799999998</v>
      </c>
      <c r="V244" s="85">
        <f t="shared" si="217"/>
        <v>-1346.4914747781525</v>
      </c>
      <c r="W244" s="85">
        <f t="shared" si="218"/>
        <v>1841.1167006832534</v>
      </c>
      <c r="X244" s="90">
        <f t="shared" si="219"/>
        <v>1346.4914747781525</v>
      </c>
      <c r="Y244" s="86">
        <f t="shared" si="220"/>
        <v>9062.7875000000004</v>
      </c>
      <c r="Z244" s="85">
        <f t="shared" si="221"/>
        <v>-818.62113479844345</v>
      </c>
      <c r="AA244" s="85">
        <f t="shared" si="222"/>
        <v>868.31363658717407</v>
      </c>
      <c r="AB244" s="90">
        <f t="shared" si="223"/>
        <v>818.62113479844345</v>
      </c>
      <c r="AC244" s="86">
        <f t="shared" si="224"/>
        <v>-8322.2065700000003</v>
      </c>
      <c r="AD244" s="85">
        <f t="shared" si="225"/>
        <v>3384.56104615708</v>
      </c>
      <c r="AE244" s="85">
        <f t="shared" si="226"/>
        <v>-4694.1824251345843</v>
      </c>
      <c r="AF244" s="90">
        <f t="shared" si="227"/>
        <v>3384.56104615708</v>
      </c>
      <c r="AG244" s="86">
        <f t="shared" si="228"/>
        <v>-9660.2083199999997</v>
      </c>
      <c r="AH244" s="85">
        <f t="shared" si="229"/>
        <v>6139.2748628683721</v>
      </c>
      <c r="AI244" s="85">
        <f t="shared" si="230"/>
        <v>-6638.9682102775905</v>
      </c>
      <c r="AJ244" s="90">
        <f t="shared" si="231"/>
        <v>6139.2748628683721</v>
      </c>
      <c r="AL244" s="95">
        <f t="shared" si="232"/>
        <v>0</v>
      </c>
      <c r="AM244" s="95">
        <f t="shared" si="233"/>
        <v>0</v>
      </c>
      <c r="AN244" s="95">
        <f t="shared" si="234"/>
        <v>0</v>
      </c>
      <c r="AO244" s="95">
        <f t="shared" si="235"/>
        <v>0</v>
      </c>
      <c r="AP244"/>
      <c r="AQ244" s="95">
        <f t="shared" si="236"/>
        <v>0</v>
      </c>
      <c r="AR244" s="95">
        <f t="shared" si="237"/>
        <v>0</v>
      </c>
      <c r="AS244" s="95">
        <f>Geraetedaten!$B$94*ABS(SIN(RADIANS($A244)))</f>
        <v>60.172593787348127</v>
      </c>
      <c r="AT244" s="95">
        <f>Geraetedaten!$B$94*ABS(COS(RADIANS($A244)))</f>
        <v>141.75774743167582</v>
      </c>
      <c r="AU244" s="95">
        <f>((h_Aw_Sw+Geraetedaten!$B$18)/1000)*(AQ244*AS244+AR244*AT244)/100</f>
        <v>0</v>
      </c>
    </row>
    <row r="245" spans="1:47" ht="13.5" x14ac:dyDescent="0.25">
      <c r="A245" s="16">
        <v>204</v>
      </c>
      <c r="B245" s="16">
        <f t="shared" si="204"/>
        <v>246</v>
      </c>
      <c r="C245" s="19">
        <f t="shared" si="205"/>
        <v>53.205140520595009</v>
      </c>
      <c r="D245" s="17">
        <f t="shared" si="206"/>
        <v>7997.8424594794051</v>
      </c>
      <c r="E245" s="17">
        <f t="shared" si="207"/>
        <v>9067.268329479406</v>
      </c>
      <c r="F245" s="17">
        <f t="shared" si="208"/>
        <v>-8239.3562905205945</v>
      </c>
      <c r="G245" s="17">
        <f t="shared" si="209"/>
        <v>-9784.8008505205944</v>
      </c>
      <c r="H245" s="17">
        <f t="shared" si="210"/>
        <v>7997.8424594794051</v>
      </c>
      <c r="I245" s="17">
        <f t="shared" si="211"/>
        <v>1811.9038384960288</v>
      </c>
      <c r="J245" s="20">
        <f>(Geraetedaten!$B$152+(Geraetedaten!$B$153*(Geraetedaten!$B$18+d_y_Sw)/1000))*10</f>
        <v>6051.0442000000003</v>
      </c>
      <c r="K245" s="20">
        <f>(Geraetedaten!$B$165+(Geraetedaten!$B$166*(Geraetedaten!$B$18+d_y_Sw)/1000))*10</f>
        <v>10816.164000000001</v>
      </c>
      <c r="L245" s="20">
        <f>(Geraetedaten!$B$158+(Geraetedaten!$B$159*(Geraetedaten!$B$18+d_y_Sw)/1000)-(Geraetedaten!$B$160*I245/1000))*10</f>
        <v>468.66969152308599</v>
      </c>
      <c r="M245" s="20">
        <f>(Geraetedaten!$B$171+(Geraetedaten!$B$172*(Geraetedaten!$B$18+d_y_Sw)/1000)-(Geraetedaten!$B$173*I245/1000))*10</f>
        <v>929.98887826235659</v>
      </c>
      <c r="N245" s="20">
        <f>IF((H245-J245)/(K245-J245)*(Geraetedaten!$B$174-Geraetedaten!$B$161)&lt;Geraetedaten!$B$174,(H245-J245)/(K245-J245)*(Geraetedaten!$B$174-Geraetedaten!$B$161),Geraetedaten!$B$174)</f>
        <v>163.42071899047781</v>
      </c>
      <c r="O245" s="20">
        <f>N245/Geraetedaten!$B$174*(M245-L245)+L245+C245</f>
        <v>710.3476149962662</v>
      </c>
      <c r="P245" s="20">
        <f t="shared" si="212"/>
        <v>224.52983191943795</v>
      </c>
      <c r="Q245" s="21">
        <f>(N245-Geraetedaten!$B$161)/(Geraetedaten!$B$174-Geraetedaten!$B$161)*(Geraetedaten!$B$175-Geraetedaten!$B$162)+Geraetedaten!$B$162</f>
        <v>34.061766389966714</v>
      </c>
      <c r="R245" s="21">
        <f t="shared" si="213"/>
        <v>34.061766389966714</v>
      </c>
      <c r="S245" s="21">
        <f t="shared" si="214"/>
        <v>-13.854168518687178</v>
      </c>
      <c r="T245" s="88">
        <f t="shared" si="215"/>
        <v>-31.116971964837504</v>
      </c>
      <c r="U245" s="86">
        <f t="shared" si="216"/>
        <v>8051.0475999999999</v>
      </c>
      <c r="V245" s="85">
        <f t="shared" si="217"/>
        <v>-1346.4914747781525</v>
      </c>
      <c r="W245" s="85">
        <f t="shared" si="218"/>
        <v>1811.9038384960288</v>
      </c>
      <c r="X245" s="90">
        <f t="shared" si="219"/>
        <v>1346.4914747781525</v>
      </c>
      <c r="Y245" s="86">
        <f t="shared" si="220"/>
        <v>9120.4734700000008</v>
      </c>
      <c r="Z245" s="85">
        <f t="shared" si="221"/>
        <v>-818.62113479844345</v>
      </c>
      <c r="AA245" s="85">
        <f t="shared" si="222"/>
        <v>873.84058029026016</v>
      </c>
      <c r="AB245" s="90">
        <f t="shared" si="223"/>
        <v>818.62113479844345</v>
      </c>
      <c r="AC245" s="86">
        <f t="shared" si="224"/>
        <v>-8186.1511499999997</v>
      </c>
      <c r="AD245" s="85">
        <f t="shared" si="225"/>
        <v>3384.56104615708</v>
      </c>
      <c r="AE245" s="85">
        <f t="shared" si="226"/>
        <v>-4617.4396847970302</v>
      </c>
      <c r="AF245" s="90">
        <f t="shared" si="227"/>
        <v>3384.56104615708</v>
      </c>
      <c r="AG245" s="86">
        <f t="shared" si="228"/>
        <v>-9731.5957099999996</v>
      </c>
      <c r="AH245" s="85">
        <f t="shared" si="229"/>
        <v>6139.2748628683721</v>
      </c>
      <c r="AI245" s="85">
        <f t="shared" si="230"/>
        <v>-6688.0291253002952</v>
      </c>
      <c r="AJ245" s="90">
        <f t="shared" si="231"/>
        <v>6139.2748628683721</v>
      </c>
      <c r="AL245" s="95">
        <f t="shared" si="232"/>
        <v>0</v>
      </c>
      <c r="AM245" s="95">
        <f t="shared" si="233"/>
        <v>0</v>
      </c>
      <c r="AN245" s="95">
        <f t="shared" si="234"/>
        <v>0</v>
      </c>
      <c r="AO245" s="95">
        <f t="shared" si="235"/>
        <v>0</v>
      </c>
      <c r="AP245"/>
      <c r="AQ245" s="95">
        <f t="shared" si="236"/>
        <v>0</v>
      </c>
      <c r="AR245" s="95">
        <f t="shared" si="237"/>
        <v>0</v>
      </c>
      <c r="AS245" s="95">
        <f>Geraetedaten!$B$94*ABS(SIN(RADIANS($A245)))</f>
        <v>62.637443033673229</v>
      </c>
      <c r="AT245" s="95">
        <f>Geraetedaten!$B$94*ABS(COS(RADIANS($A245)))</f>
        <v>140.68600047696054</v>
      </c>
      <c r="AU245" s="95">
        <f>((h_Aw_Sw+Geraetedaten!$B$18)/1000)*(AQ245*AS245+AR245*AT245)/100</f>
        <v>0</v>
      </c>
    </row>
    <row r="246" spans="1:47" ht="13.5" x14ac:dyDescent="0.25">
      <c r="A246" s="16">
        <v>205</v>
      </c>
      <c r="B246" s="16">
        <f t="shared" si="204"/>
        <v>245</v>
      </c>
      <c r="C246" s="19">
        <f t="shared" si="205"/>
        <v>53.99764184806476</v>
      </c>
      <c r="D246" s="17">
        <f t="shared" si="206"/>
        <v>7873.6769781519351</v>
      </c>
      <c r="E246" s="17">
        <f t="shared" si="207"/>
        <v>9127.7156181519349</v>
      </c>
      <c r="F246" s="17">
        <f t="shared" si="208"/>
        <v>-8110.8851518480642</v>
      </c>
      <c r="G246" s="17">
        <f t="shared" si="209"/>
        <v>-9861.053251848065</v>
      </c>
      <c r="H246" s="17">
        <f t="shared" si="210"/>
        <v>7873.6769781519351</v>
      </c>
      <c r="I246" s="17">
        <f t="shared" si="211"/>
        <v>1784.1385108954951</v>
      </c>
      <c r="J246" s="20">
        <f>(Geraetedaten!$B$152+(Geraetedaten!$B$153*(Geraetedaten!$B$18+d_y_Sw)/1000))*10</f>
        <v>6051.0442000000003</v>
      </c>
      <c r="K246" s="20">
        <f>(Geraetedaten!$B$165+(Geraetedaten!$B$166*(Geraetedaten!$B$18+d_y_Sw)/1000))*10</f>
        <v>10816.164000000001</v>
      </c>
      <c r="L246" s="20">
        <f>(Geraetedaten!$B$158+(Geraetedaten!$B$159*(Geraetedaten!$B$18+d_y_Sw)/1000)-(Geraetedaten!$B$160*I246/1000))*10</f>
        <v>470.70572299603316</v>
      </c>
      <c r="M246" s="20">
        <f>(Geraetedaten!$B$171+(Geraetedaten!$B$172*(Geraetedaten!$B$18+d_y_Sw)/1000)-(Geraetedaten!$B$173*I246/1000))*10</f>
        <v>932.05572924894022</v>
      </c>
      <c r="N246" s="20">
        <f>IF((H246-J246)/(K246-J246)*(Geraetedaten!$B$174-Geraetedaten!$B$161)&lt;Geraetedaten!$B$174,(H246-J246)/(K246-J246)*(Geraetedaten!$B$174-Geraetedaten!$B$161),Geraetedaten!$B$174)</f>
        <v>152.9978556385453</v>
      </c>
      <c r="O246" s="20">
        <f>N246/Geraetedaten!$B$174*(M246-L246)+L246+C246</f>
        <v>701.16726898290847</v>
      </c>
      <c r="P246" s="20">
        <f t="shared" si="212"/>
        <v>223.58533027445452</v>
      </c>
      <c r="Q246" s="21">
        <f>(N246-Geraetedaten!$B$161)/(Geraetedaten!$B$174-Geraetedaten!$B$161)*(Geraetedaten!$B$175-Geraetedaten!$B$162)+Geraetedaten!$B$162</f>
        <v>33.75168620524672</v>
      </c>
      <c r="R246" s="21">
        <f t="shared" si="213"/>
        <v>33.75168620524672</v>
      </c>
      <c r="S246" s="21">
        <f t="shared" si="214"/>
        <v>-14.264078954878908</v>
      </c>
      <c r="T246" s="88">
        <f t="shared" si="215"/>
        <v>-30.589416033432585</v>
      </c>
      <c r="U246" s="86">
        <f t="shared" si="216"/>
        <v>7927.6746199999998</v>
      </c>
      <c r="V246" s="85">
        <f t="shared" si="217"/>
        <v>-1346.4914747781525</v>
      </c>
      <c r="W246" s="85">
        <f t="shared" si="218"/>
        <v>1784.1385108954951</v>
      </c>
      <c r="X246" s="90">
        <f t="shared" si="219"/>
        <v>1346.4914747781525</v>
      </c>
      <c r="Y246" s="86">
        <f t="shared" si="220"/>
        <v>9181.7132600000004</v>
      </c>
      <c r="Z246" s="85">
        <f t="shared" si="221"/>
        <v>-818.62113479844345</v>
      </c>
      <c r="AA246" s="85">
        <f t="shared" si="222"/>
        <v>879.70801849039412</v>
      </c>
      <c r="AB246" s="90">
        <f t="shared" si="223"/>
        <v>818.62113479844345</v>
      </c>
      <c r="AC246" s="86">
        <f t="shared" si="224"/>
        <v>-8056.8875099999996</v>
      </c>
      <c r="AD246" s="85">
        <f t="shared" si="225"/>
        <v>3384.56104615708</v>
      </c>
      <c r="AE246" s="85">
        <f t="shared" si="226"/>
        <v>-4544.5278758520026</v>
      </c>
      <c r="AF246" s="90">
        <f t="shared" si="227"/>
        <v>3384.56104615708</v>
      </c>
      <c r="AG246" s="86">
        <f t="shared" si="228"/>
        <v>-9807.0556099999994</v>
      </c>
      <c r="AH246" s="85">
        <f t="shared" si="229"/>
        <v>6139.2748628683721</v>
      </c>
      <c r="AI246" s="85">
        <f t="shared" si="230"/>
        <v>-6739.8888632730495</v>
      </c>
      <c r="AJ246" s="90">
        <f t="shared" si="231"/>
        <v>6139.2748628683721</v>
      </c>
      <c r="AL246" s="95">
        <f t="shared" si="232"/>
        <v>0</v>
      </c>
      <c r="AM246" s="95">
        <f t="shared" si="233"/>
        <v>0</v>
      </c>
      <c r="AN246" s="95">
        <f t="shared" si="234"/>
        <v>0</v>
      </c>
      <c r="AO246" s="95">
        <f t="shared" si="235"/>
        <v>0</v>
      </c>
      <c r="AP246"/>
      <c r="AQ246" s="95">
        <f t="shared" si="236"/>
        <v>0</v>
      </c>
      <c r="AR246" s="95">
        <f t="shared" si="237"/>
        <v>0</v>
      </c>
      <c r="AS246" s="95">
        <f>Geraetedaten!$B$94*ABS(SIN(RADIANS($A246)))</f>
        <v>65.083212308067687</v>
      </c>
      <c r="AT246" s="95">
        <f>Geraetedaten!$B$94*ABS(COS(RADIANS($A246)))</f>
        <v>139.57139920364412</v>
      </c>
      <c r="AU246" s="95">
        <f>((h_Aw_Sw+Geraetedaten!$B$18)/1000)*(AQ246*AS246+AR246*AT246)/100</f>
        <v>0</v>
      </c>
    </row>
    <row r="247" spans="1:47" ht="13.5" x14ac:dyDescent="0.25">
      <c r="A247" s="16">
        <v>206</v>
      </c>
      <c r="B247" s="16">
        <f t="shared" si="204"/>
        <v>244</v>
      </c>
      <c r="C247" s="19">
        <f t="shared" si="205"/>
        <v>54.773694970740721</v>
      </c>
      <c r="D247" s="17">
        <f t="shared" si="206"/>
        <v>7755.5951750292597</v>
      </c>
      <c r="E247" s="17">
        <f t="shared" si="207"/>
        <v>9191.8429650292583</v>
      </c>
      <c r="F247" s="17">
        <f t="shared" si="208"/>
        <v>-7988.7955849707405</v>
      </c>
      <c r="G247" s="17">
        <f t="shared" si="209"/>
        <v>-9941.5037349707418</v>
      </c>
      <c r="H247" s="17">
        <f t="shared" si="210"/>
        <v>7755.5951750292597</v>
      </c>
      <c r="I247" s="17">
        <f t="shared" si="211"/>
        <v>1757.7386266404669</v>
      </c>
      <c r="J247" s="20">
        <f>(Geraetedaten!$B$152+(Geraetedaten!$B$153*(Geraetedaten!$B$18+d_y_Sw)/1000))*10</f>
        <v>6051.0442000000003</v>
      </c>
      <c r="K247" s="20">
        <f>(Geraetedaten!$B$165+(Geraetedaten!$B$166*(Geraetedaten!$B$18+d_y_Sw)/1000))*10</f>
        <v>10816.164000000001</v>
      </c>
      <c r="L247" s="20">
        <f>(Geraetedaten!$B$158+(Geraetedaten!$B$159*(Geraetedaten!$B$18+d_y_Sw)/1000)-(Geraetedaten!$B$160*I247/1000))*10</f>
        <v>472.64162650845435</v>
      </c>
      <c r="M247" s="20">
        <f>(Geraetedaten!$B$171+(Geraetedaten!$B$172*(Geraetedaten!$B$18+d_y_Sw)/1000)-(Geraetedaten!$B$173*I247/1000))*10</f>
        <v>934.02093663288451</v>
      </c>
      <c r="N247" s="20">
        <f>IF((H247-J247)/(K247-J247)*(Geraetedaten!$B$174-Geraetedaten!$B$161)&lt;Geraetedaten!$B$174,(H247-J247)/(K247-J247)*(Geraetedaten!$B$174-Geraetedaten!$B$161),Geraetedaten!$B$174)</f>
        <v>143.08567646330818</v>
      </c>
      <c r="O247" s="20">
        <f>N247/Geraetedaten!$B$174*(M247-L247)+L247+C247</f>
        <v>692.45724821751639</v>
      </c>
      <c r="P247" s="20">
        <f t="shared" si="212"/>
        <v>222.67813273593677</v>
      </c>
      <c r="Q247" s="21">
        <f>(N247-Geraetedaten!$B$161)/(Geraetedaten!$B$174-Geraetedaten!$B$161)*(Geraetedaten!$B$175-Geraetedaten!$B$162)+Geraetedaten!$B$162</f>
        <v>33.456798874783416</v>
      </c>
      <c r="R247" s="21">
        <f t="shared" si="213"/>
        <v>33.456798874783416</v>
      </c>
      <c r="S247" s="21">
        <f t="shared" si="214"/>
        <v>-14.666495290630323</v>
      </c>
      <c r="T247" s="88">
        <f t="shared" si="215"/>
        <v>-30.070771636884</v>
      </c>
      <c r="U247" s="86">
        <f t="shared" si="216"/>
        <v>7810.3688700000002</v>
      </c>
      <c r="V247" s="85">
        <f t="shared" si="217"/>
        <v>-1346.4914747781525</v>
      </c>
      <c r="W247" s="85">
        <f t="shared" si="218"/>
        <v>1757.7386266404669</v>
      </c>
      <c r="X247" s="90">
        <f t="shared" si="219"/>
        <v>1346.4914747781525</v>
      </c>
      <c r="Y247" s="86">
        <f t="shared" si="220"/>
        <v>9246.6166599999997</v>
      </c>
      <c r="Z247" s="85">
        <f t="shared" si="221"/>
        <v>-818.62113479844345</v>
      </c>
      <c r="AA247" s="85">
        <f t="shared" si="222"/>
        <v>885.92646967231269</v>
      </c>
      <c r="AB247" s="90">
        <f t="shared" si="223"/>
        <v>818.62113479844345</v>
      </c>
      <c r="AC247" s="86">
        <f t="shared" si="224"/>
        <v>-7934.02189</v>
      </c>
      <c r="AD247" s="85">
        <f t="shared" si="225"/>
        <v>3384.56104615708</v>
      </c>
      <c r="AE247" s="85">
        <f t="shared" si="226"/>
        <v>-4475.2249100970521</v>
      </c>
      <c r="AF247" s="90">
        <f t="shared" si="227"/>
        <v>3384.56104615708</v>
      </c>
      <c r="AG247" s="86">
        <f t="shared" si="228"/>
        <v>-9886.7300400000004</v>
      </c>
      <c r="AH247" s="85">
        <f t="shared" si="229"/>
        <v>6139.2748628683721</v>
      </c>
      <c r="AI247" s="85">
        <f t="shared" si="230"/>
        <v>-6794.6450277677432</v>
      </c>
      <c r="AJ247" s="90">
        <f t="shared" si="231"/>
        <v>6139.2748628683721</v>
      </c>
      <c r="AL247" s="95">
        <f t="shared" si="232"/>
        <v>0</v>
      </c>
      <c r="AM247" s="95">
        <f t="shared" si="233"/>
        <v>0</v>
      </c>
      <c r="AN247" s="95">
        <f t="shared" si="234"/>
        <v>0</v>
      </c>
      <c r="AO247" s="95">
        <f t="shared" si="235"/>
        <v>0</v>
      </c>
      <c r="AP247"/>
      <c r="AQ247" s="95">
        <f t="shared" si="236"/>
        <v>0</v>
      </c>
      <c r="AR247" s="95">
        <f t="shared" si="237"/>
        <v>0</v>
      </c>
      <c r="AS247" s="95">
        <f>Geraetedaten!$B$94*ABS(SIN(RADIANS($A247)))</f>
        <v>67.50915660551793</v>
      </c>
      <c r="AT247" s="95">
        <f>Geraetedaten!$B$94*ABS(COS(RADIANS($A247)))</f>
        <v>138.41428313007171</v>
      </c>
      <c r="AU247" s="95">
        <f>((h_Aw_Sw+Geraetedaten!$B$18)/1000)*(AQ247*AS247+AR247*AT247)/100</f>
        <v>0</v>
      </c>
    </row>
    <row r="248" spans="1:47" ht="13.5" x14ac:dyDescent="0.25">
      <c r="A248" s="16">
        <v>207</v>
      </c>
      <c r="B248" s="16">
        <f t="shared" si="204"/>
        <v>243</v>
      </c>
      <c r="C248" s="19">
        <f t="shared" si="205"/>
        <v>55.533063495323873</v>
      </c>
      <c r="D248" s="17">
        <f t="shared" si="206"/>
        <v>7643.261926504676</v>
      </c>
      <c r="E248" s="17">
        <f t="shared" si="207"/>
        <v>9259.7688265046763</v>
      </c>
      <c r="F248" s="17">
        <f t="shared" si="208"/>
        <v>-7872.7258234953242</v>
      </c>
      <c r="G248" s="17">
        <f t="shared" si="209"/>
        <v>-10026.304773495325</v>
      </c>
      <c r="H248" s="17">
        <f t="shared" si="210"/>
        <v>7643.261926504676</v>
      </c>
      <c r="I248" s="17">
        <f t="shared" si="211"/>
        <v>1732.6287080433488</v>
      </c>
      <c r="J248" s="20">
        <f>(Geraetedaten!$B$152+(Geraetedaten!$B$153*(Geraetedaten!$B$18+d_y_Sw)/1000))*10</f>
        <v>6051.0442000000003</v>
      </c>
      <c r="K248" s="20">
        <f>(Geraetedaten!$B$165+(Geraetedaten!$B$166*(Geraetedaten!$B$18+d_y_Sw)/1000))*10</f>
        <v>10816.164000000001</v>
      </c>
      <c r="L248" s="20">
        <f>(Geraetedaten!$B$158+(Geraetedaten!$B$159*(Geraetedaten!$B$18+d_y_Sw)/1000)-(Geraetedaten!$B$160*I248/1000))*10</f>
        <v>474.48293683918098</v>
      </c>
      <c r="M248" s="20">
        <f>(Geraetedaten!$B$171+(Geraetedaten!$B$172*(Geraetedaten!$B$18+d_y_Sw)/1000)-(Geraetedaten!$B$173*I248/1000))*10</f>
        <v>935.89011897325406</v>
      </c>
      <c r="N248" s="20">
        <f>IF((H248-J248)/(K248-J248)*(Geraetedaten!$B$174-Geraetedaten!$B$161)&lt;Geraetedaten!$B$174,(H248-J248)/(K248-J248)*(Geraetedaten!$B$174-Geraetedaten!$B$161),Geraetedaten!$B$174)</f>
        <v>133.65605007493627</v>
      </c>
      <c r="O248" s="20">
        <f>N248/Geraetedaten!$B$174*(M248-L248)+L248+C248</f>
        <v>684.1906539351221</v>
      </c>
      <c r="P248" s="20">
        <f t="shared" si="212"/>
        <v>221.80704268464578</v>
      </c>
      <c r="Q248" s="21">
        <f>(N248-Geraetedaten!$B$161)/(Geraetedaten!$B$174-Geraetedaten!$B$161)*(Geraetedaten!$B$175-Geraetedaten!$B$162)+Geraetedaten!$B$162</f>
        <v>33.176267489729355</v>
      </c>
      <c r="R248" s="21">
        <f t="shared" si="213"/>
        <v>33.176267489729355</v>
      </c>
      <c r="S248" s="21">
        <f t="shared" si="214"/>
        <v>-15.061710257155106</v>
      </c>
      <c r="T248" s="88">
        <f t="shared" si="215"/>
        <v>-29.560270781567301</v>
      </c>
      <c r="U248" s="86">
        <f t="shared" si="216"/>
        <v>7698.7949900000003</v>
      </c>
      <c r="V248" s="85">
        <f t="shared" si="217"/>
        <v>-1346.4914747781525</v>
      </c>
      <c r="W248" s="85">
        <f t="shared" si="218"/>
        <v>1732.6287080433488</v>
      </c>
      <c r="X248" s="90">
        <f t="shared" si="219"/>
        <v>1346.4914747781525</v>
      </c>
      <c r="Y248" s="86">
        <f t="shared" si="220"/>
        <v>9315.3018900000006</v>
      </c>
      <c r="Z248" s="85">
        <f t="shared" si="221"/>
        <v>-818.62113479844345</v>
      </c>
      <c r="AA248" s="85">
        <f t="shared" si="222"/>
        <v>892.50726208541437</v>
      </c>
      <c r="AB248" s="90">
        <f t="shared" si="223"/>
        <v>818.62113479844345</v>
      </c>
      <c r="AC248" s="86">
        <f t="shared" si="224"/>
        <v>-7817.1927599999999</v>
      </c>
      <c r="AD248" s="85">
        <f t="shared" si="225"/>
        <v>3384.56104615708</v>
      </c>
      <c r="AE248" s="85">
        <f t="shared" si="226"/>
        <v>-4409.326851378577</v>
      </c>
      <c r="AF248" s="90">
        <f t="shared" si="227"/>
        <v>3384.56104615708</v>
      </c>
      <c r="AG248" s="86">
        <f t="shared" si="228"/>
        <v>-9970.7717100000009</v>
      </c>
      <c r="AH248" s="85">
        <f t="shared" si="229"/>
        <v>6139.2748628683721</v>
      </c>
      <c r="AI248" s="85">
        <f t="shared" si="230"/>
        <v>-6852.4025837602439</v>
      </c>
      <c r="AJ248" s="90">
        <f t="shared" si="231"/>
        <v>6139.2748628683721</v>
      </c>
      <c r="AL248" s="95">
        <f t="shared" si="232"/>
        <v>0</v>
      </c>
      <c r="AM248" s="95">
        <f t="shared" si="233"/>
        <v>0</v>
      </c>
      <c r="AN248" s="95">
        <f t="shared" si="234"/>
        <v>0</v>
      </c>
      <c r="AO248" s="95">
        <f t="shared" si="235"/>
        <v>0</v>
      </c>
      <c r="AP248"/>
      <c r="AQ248" s="95">
        <f t="shared" si="236"/>
        <v>0</v>
      </c>
      <c r="AR248" s="95">
        <f t="shared" si="237"/>
        <v>0</v>
      </c>
      <c r="AS248" s="95">
        <f>Geraetedaten!$B$94*ABS(SIN(RADIANS($A248)))</f>
        <v>69.914536959890185</v>
      </c>
      <c r="AT248" s="95">
        <f>Geraetedaten!$B$94*ABS(COS(RADIANS($A248)))</f>
        <v>137.21500472500867</v>
      </c>
      <c r="AU248" s="95">
        <f>((h_Aw_Sw+Geraetedaten!$B$18)/1000)*(AQ248*AS248+AR248*AT248)/100</f>
        <v>0</v>
      </c>
    </row>
    <row r="249" spans="1:47" ht="13.5" x14ac:dyDescent="0.25">
      <c r="A249" s="16">
        <v>208</v>
      </c>
      <c r="B249" s="16">
        <f t="shared" si="204"/>
        <v>242</v>
      </c>
      <c r="C249" s="19">
        <f t="shared" si="205"/>
        <v>56.275516110805498</v>
      </c>
      <c r="D249" s="17">
        <f t="shared" si="206"/>
        <v>7536.3686538891943</v>
      </c>
      <c r="E249" s="17">
        <f t="shared" si="207"/>
        <v>9331.6206938891955</v>
      </c>
      <c r="F249" s="17">
        <f t="shared" si="208"/>
        <v>-7762.3431361108051</v>
      </c>
      <c r="G249" s="17">
        <f t="shared" si="209"/>
        <v>-10115.620386110806</v>
      </c>
      <c r="H249" s="17">
        <f t="shared" si="210"/>
        <v>7536.3686538891943</v>
      </c>
      <c r="I249" s="17">
        <f t="shared" si="211"/>
        <v>1708.7392612604888</v>
      </c>
      <c r="J249" s="20">
        <f>(Geraetedaten!$B$152+(Geraetedaten!$B$153*(Geraetedaten!$B$18+d_y_Sw)/1000))*10</f>
        <v>6051.0442000000003</v>
      </c>
      <c r="K249" s="20">
        <f>(Geraetedaten!$B$165+(Geraetedaten!$B$166*(Geraetedaten!$B$18+d_y_Sw)/1000))*10</f>
        <v>10816.164000000001</v>
      </c>
      <c r="L249" s="20">
        <f>(Geraetedaten!$B$158+(Geraetedaten!$B$159*(Geraetedaten!$B$18+d_y_Sw)/1000)-(Geraetedaten!$B$160*I249/1000))*10</f>
        <v>476.23474997176811</v>
      </c>
      <c r="M249" s="20">
        <f>(Geraetedaten!$B$171+(Geraetedaten!$B$172*(Geraetedaten!$B$18+d_y_Sw)/1000)-(Geraetedaten!$B$173*I249/1000))*10</f>
        <v>937.6684493917702</v>
      </c>
      <c r="N249" s="20">
        <f>IF((H249-J249)/(K249-J249)*(Geraetedaten!$B$174-Geraetedaten!$B$161)&lt;Geraetedaten!$B$174,(H249-J249)/(K249-J249)*(Geraetedaten!$B$174-Geraetedaten!$B$161),Geraetedaten!$B$174)</f>
        <v>124.68307335225393</v>
      </c>
      <c r="O249" s="20">
        <f>N249/Geraetedaten!$B$174*(M249-L249)+L249+C249</f>
        <v>676.34269556253867</v>
      </c>
      <c r="P249" s="20">
        <f t="shared" si="212"/>
        <v>220.97090740061779</v>
      </c>
      <c r="Q249" s="21">
        <f>(N249-Geraetedaten!$B$161)/(Geraetedaten!$B$174-Geraetedaten!$B$161)*(Geraetedaten!$B$175-Geraetedaten!$B$162)+Geraetedaten!$B$162</f>
        <v>32.909321432229554</v>
      </c>
      <c r="R249" s="21">
        <f t="shared" si="213"/>
        <v>32.909321432229554</v>
      </c>
      <c r="S249" s="21">
        <f t="shared" si="214"/>
        <v>-15.449990563012021</v>
      </c>
      <c r="T249" s="88">
        <f t="shared" si="215"/>
        <v>-29.057206141207775</v>
      </c>
      <c r="U249" s="86">
        <f t="shared" si="216"/>
        <v>7592.6441699999996</v>
      </c>
      <c r="V249" s="85">
        <f t="shared" si="217"/>
        <v>-1346.4914747781525</v>
      </c>
      <c r="W249" s="85">
        <f t="shared" si="218"/>
        <v>1708.7392612604888</v>
      </c>
      <c r="X249" s="90">
        <f t="shared" si="219"/>
        <v>1346.4914747781525</v>
      </c>
      <c r="Y249" s="86">
        <f t="shared" si="220"/>
        <v>9387.8962100000008</v>
      </c>
      <c r="Z249" s="85">
        <f t="shared" si="221"/>
        <v>-818.62113479844345</v>
      </c>
      <c r="AA249" s="85">
        <f t="shared" si="222"/>
        <v>899.46258779686696</v>
      </c>
      <c r="AB249" s="90">
        <f t="shared" si="223"/>
        <v>818.62113479844345</v>
      </c>
      <c r="AC249" s="86">
        <f t="shared" si="224"/>
        <v>-7706.0676199999998</v>
      </c>
      <c r="AD249" s="85">
        <f t="shared" si="225"/>
        <v>3384.56104615708</v>
      </c>
      <c r="AE249" s="85">
        <f t="shared" si="226"/>
        <v>-4346.6461560254847</v>
      </c>
      <c r="AF249" s="90">
        <f t="shared" si="227"/>
        <v>3384.56104615708</v>
      </c>
      <c r="AG249" s="86">
        <f t="shared" si="228"/>
        <v>-10059.344870000001</v>
      </c>
      <c r="AH249" s="85">
        <f t="shared" si="229"/>
        <v>6139.2748628683721</v>
      </c>
      <c r="AI249" s="85">
        <f t="shared" si="230"/>
        <v>-6913.2743933676938</v>
      </c>
      <c r="AJ249" s="90">
        <f t="shared" si="231"/>
        <v>6139.2748628683721</v>
      </c>
      <c r="AL249" s="95">
        <f t="shared" si="232"/>
        <v>0</v>
      </c>
      <c r="AM249" s="95">
        <f t="shared" si="233"/>
        <v>0</v>
      </c>
      <c r="AN249" s="95">
        <f t="shared" si="234"/>
        <v>0</v>
      </c>
      <c r="AO249" s="95">
        <f t="shared" si="235"/>
        <v>0</v>
      </c>
      <c r="AP249"/>
      <c r="AQ249" s="95">
        <f t="shared" si="236"/>
        <v>0</v>
      </c>
      <c r="AR249" s="95">
        <f t="shared" si="237"/>
        <v>0</v>
      </c>
      <c r="AS249" s="95">
        <f>Geraetedaten!$B$94*ABS(SIN(RADIANS($A249)))</f>
        <v>72.298620669027187</v>
      </c>
      <c r="AT249" s="95">
        <f>Geraetedaten!$B$94*ABS(COS(RADIANS($A249)))</f>
        <v>135.97392930027473</v>
      </c>
      <c r="AU249" s="95">
        <f>((h_Aw_Sw+Geraetedaten!$B$18)/1000)*(AQ249*AS249+AR249*AT249)/100</f>
        <v>0</v>
      </c>
    </row>
    <row r="250" spans="1:47" ht="13.5" x14ac:dyDescent="0.25">
      <c r="A250" s="16">
        <v>209</v>
      </c>
      <c r="B250" s="16">
        <f t="shared" si="204"/>
        <v>241</v>
      </c>
      <c r="C250" s="19">
        <f t="shared" si="205"/>
        <v>57.000826658926592</v>
      </c>
      <c r="D250" s="17">
        <f t="shared" si="206"/>
        <v>7434.6309133410732</v>
      </c>
      <c r="E250" s="17">
        <f t="shared" si="207"/>
        <v>9407.5356833410733</v>
      </c>
      <c r="F250" s="17">
        <f t="shared" si="208"/>
        <v>-7657.3410966589263</v>
      </c>
      <c r="G250" s="17">
        <f t="shared" si="209"/>
        <v>-10209.626896658927</v>
      </c>
      <c r="H250" s="17">
        <f t="shared" si="210"/>
        <v>7434.6309133410732</v>
      </c>
      <c r="I250" s="17">
        <f t="shared" si="211"/>
        <v>1686.0062181763624</v>
      </c>
      <c r="J250" s="20">
        <f>(Geraetedaten!$B$152+(Geraetedaten!$B$153*(Geraetedaten!$B$18+d_y_Sw)/1000))*10</f>
        <v>6051.0442000000003</v>
      </c>
      <c r="K250" s="20">
        <f>(Geraetedaten!$B$165+(Geraetedaten!$B$166*(Geraetedaten!$B$18+d_y_Sw)/1000))*10</f>
        <v>10816.164000000001</v>
      </c>
      <c r="L250" s="20">
        <f>(Geraetedaten!$B$158+(Geraetedaten!$B$159*(Geraetedaten!$B$18+d_y_Sw)/1000)-(Geraetedaten!$B$160*I250/1000))*10</f>
        <v>477.90176402112706</v>
      </c>
      <c r="M250" s="20">
        <f>(Geraetedaten!$B$171+(Geraetedaten!$B$172*(Geraetedaten!$B$18+d_y_Sw)/1000)-(Geraetedaten!$B$173*I250/1000))*10</f>
        <v>939.36069711895254</v>
      </c>
      <c r="N250" s="20">
        <f>IF((H250-J250)/(K250-J250)*(Geraetedaten!$B$174-Geraetedaten!$B$161)&lt;Geraetedaten!$B$174,(H250-J250)/(K250-J250)*(Geraetedaten!$B$174-Geraetedaten!$B$161),Geraetedaten!$B$174)</f>
        <v>116.14286913341174</v>
      </c>
      <c r="O250" s="20">
        <f>N250/Geraetedaten!$B$174*(M250-L250)+L250+C250</f>
        <v>668.890501873115</v>
      </c>
      <c r="P250" s="20">
        <f t="shared" si="212"/>
        <v>220.16861780944822</v>
      </c>
      <c r="Q250" s="21">
        <f>(N250-Geraetedaten!$B$161)/(Geraetedaten!$B$174-Geraetedaten!$B$161)*(Geraetedaten!$B$175-Geraetedaten!$B$162)+Geraetedaten!$B$162</f>
        <v>32.655250356719002</v>
      </c>
      <c r="R250" s="21">
        <f t="shared" si="213"/>
        <v>32.655250356719002</v>
      </c>
      <c r="S250" s="21">
        <f t="shared" si="214"/>
        <v>-15.831579524489998</v>
      </c>
      <c r="T250" s="88">
        <f t="shared" si="215"/>
        <v>-28.560925503557225</v>
      </c>
      <c r="U250" s="86">
        <f t="shared" si="216"/>
        <v>7491.6317399999998</v>
      </c>
      <c r="V250" s="85">
        <f t="shared" si="217"/>
        <v>-1346.4914747781525</v>
      </c>
      <c r="W250" s="85">
        <f t="shared" si="218"/>
        <v>1686.0062181763624</v>
      </c>
      <c r="X250" s="90">
        <f t="shared" si="219"/>
        <v>1346.4914747781525</v>
      </c>
      <c r="Y250" s="86">
        <f t="shared" si="220"/>
        <v>9464.5365099999999</v>
      </c>
      <c r="Z250" s="85">
        <f t="shared" si="221"/>
        <v>-818.62113479844345</v>
      </c>
      <c r="AA250" s="85">
        <f t="shared" si="222"/>
        <v>906.80556218589413</v>
      </c>
      <c r="AB250" s="90">
        <f t="shared" si="223"/>
        <v>818.62113479844345</v>
      </c>
      <c r="AC250" s="86">
        <f t="shared" si="224"/>
        <v>-7600.3402699999997</v>
      </c>
      <c r="AD250" s="85">
        <f t="shared" si="225"/>
        <v>3384.56104615708</v>
      </c>
      <c r="AE250" s="85">
        <f t="shared" si="226"/>
        <v>-4287.0101165169235</v>
      </c>
      <c r="AF250" s="90">
        <f t="shared" si="227"/>
        <v>3384.56104615708</v>
      </c>
      <c r="AG250" s="86">
        <f t="shared" si="228"/>
        <v>-10152.62607</v>
      </c>
      <c r="AH250" s="85">
        <f t="shared" si="229"/>
        <v>6139.2748628683721</v>
      </c>
      <c r="AI250" s="85">
        <f t="shared" si="230"/>
        <v>-6977.3818064721463</v>
      </c>
      <c r="AJ250" s="90">
        <f t="shared" si="231"/>
        <v>6139.2748628683721</v>
      </c>
      <c r="AL250" s="95">
        <f t="shared" si="232"/>
        <v>0</v>
      </c>
      <c r="AM250" s="95">
        <f t="shared" si="233"/>
        <v>0</v>
      </c>
      <c r="AN250" s="95">
        <f t="shared" si="234"/>
        <v>0</v>
      </c>
      <c r="AO250" s="95">
        <f t="shared" si="235"/>
        <v>0</v>
      </c>
      <c r="AP250"/>
      <c r="AQ250" s="95">
        <f t="shared" si="236"/>
        <v>0</v>
      </c>
      <c r="AR250" s="95">
        <f t="shared" si="237"/>
        <v>0</v>
      </c>
      <c r="AS250" s="95">
        <f>Geraetedaten!$B$94*ABS(SIN(RADIANS($A250)))</f>
        <v>74.660681517935885</v>
      </c>
      <c r="AT250" s="95">
        <f>Geraetedaten!$B$94*ABS(COS(RADIANS($A250)))</f>
        <v>134.69143489946697</v>
      </c>
      <c r="AU250" s="95">
        <f>((h_Aw_Sw+Geraetedaten!$B$18)/1000)*(AQ250*AS250+AR250*AT250)/100</f>
        <v>0</v>
      </c>
    </row>
    <row r="251" spans="1:47" ht="13.5" x14ac:dyDescent="0.25">
      <c r="A251" s="16">
        <v>210</v>
      </c>
      <c r="B251" s="16">
        <f t="shared" si="204"/>
        <v>240</v>
      </c>
      <c r="C251" s="19">
        <f t="shared" si="205"/>
        <v>57.708774203067989</v>
      </c>
      <c r="D251" s="17">
        <f t="shared" si="206"/>
        <v>7337.786145796932</v>
      </c>
      <c r="E251" s="17">
        <f t="shared" si="207"/>
        <v>9487.6612157969321</v>
      </c>
      <c r="F251" s="17">
        <f t="shared" si="208"/>
        <v>-7557.437174203068</v>
      </c>
      <c r="G251" s="17">
        <f t="shared" si="209"/>
        <v>-10308.513974203068</v>
      </c>
      <c r="H251" s="17">
        <f t="shared" si="210"/>
        <v>7337.786145796932</v>
      </c>
      <c r="I251" s="17">
        <f t="shared" si="211"/>
        <v>1664.3704406169907</v>
      </c>
      <c r="J251" s="20">
        <f>(Geraetedaten!$B$152+(Geraetedaten!$B$153*(Geraetedaten!$B$18+d_y_Sw)/1000))*10</f>
        <v>6051.0442000000003</v>
      </c>
      <c r="K251" s="20">
        <f>(Geraetedaten!$B$165+(Geraetedaten!$B$166*(Geraetedaten!$B$18+d_y_Sw)/1000))*10</f>
        <v>10816.164000000001</v>
      </c>
      <c r="L251" s="20">
        <f>(Geraetedaten!$B$158+(Geraetedaten!$B$159*(Geraetedaten!$B$18+d_y_Sw)/1000)-(Geraetedaten!$B$160*I251/1000))*10</f>
        <v>479.48831558955584</v>
      </c>
      <c r="M251" s="20">
        <f>(Geraetedaten!$B$171+(Geraetedaten!$B$172*(Geraetedaten!$B$18+d_y_Sw)/1000)-(Geraetedaten!$B$173*I251/1000))*10</f>
        <v>940.97126440047214</v>
      </c>
      <c r="N251" s="20">
        <f>IF((H251-J251)/(K251-J251)*(Geraetedaten!$B$174-Geraetedaten!$B$161)&lt;Geraetedaten!$B$174,(H251-J251)/(K251-J251)*(Geraetedaten!$B$174-Geraetedaten!$B$161),Geraetedaten!$B$174)</f>
        <v>108.01339733762259</v>
      </c>
      <c r="O251" s="20">
        <f>N251/Geraetedaten!$B$174*(M251-L251)+L251+C251</f>
        <v>661.81294257875186</v>
      </c>
      <c r="P251" s="20">
        <f t="shared" si="212"/>
        <v>219.39910666362911</v>
      </c>
      <c r="Q251" s="21">
        <f>(N251-Geraetedaten!$B$161)/(Geraetedaten!$B$174-Geraetedaten!$B$161)*(Geraetedaten!$B$175-Geraetedaten!$B$162)+Geraetedaten!$B$162</f>
        <v>32.413398570794271</v>
      </c>
      <c r="R251" s="21">
        <f t="shared" si="213"/>
        <v>32.413398570794271</v>
      </c>
      <c r="S251" s="21">
        <f t="shared" si="214"/>
        <v>-16.206699285397139</v>
      </c>
      <c r="T251" s="88">
        <f t="shared" si="215"/>
        <v>-28.070826585298054</v>
      </c>
      <c r="U251" s="86">
        <f t="shared" si="216"/>
        <v>7395.4949200000001</v>
      </c>
      <c r="V251" s="85">
        <f t="shared" si="217"/>
        <v>-1346.4914747781525</v>
      </c>
      <c r="W251" s="85">
        <f t="shared" si="218"/>
        <v>1664.3704406169907</v>
      </c>
      <c r="X251" s="90">
        <f t="shared" si="219"/>
        <v>1346.4914747781525</v>
      </c>
      <c r="Y251" s="86">
        <f t="shared" si="220"/>
        <v>9545.3699899999992</v>
      </c>
      <c r="Z251" s="85">
        <f t="shared" si="221"/>
        <v>-818.62113479844345</v>
      </c>
      <c r="AA251" s="85">
        <f t="shared" si="222"/>
        <v>914.55028945363802</v>
      </c>
      <c r="AB251" s="90">
        <f t="shared" si="223"/>
        <v>818.62113479844345</v>
      </c>
      <c r="AC251" s="86">
        <f t="shared" si="224"/>
        <v>-7499.7284</v>
      </c>
      <c r="AD251" s="85">
        <f t="shared" si="225"/>
        <v>3384.56104615708</v>
      </c>
      <c r="AE251" s="85">
        <f t="shared" si="226"/>
        <v>-4230.2594816508881</v>
      </c>
      <c r="AF251" s="90">
        <f t="shared" si="227"/>
        <v>3384.56104615708</v>
      </c>
      <c r="AG251" s="86">
        <f t="shared" si="228"/>
        <v>-10250.805200000001</v>
      </c>
      <c r="AH251" s="85">
        <f t="shared" si="229"/>
        <v>6139.2748628683721</v>
      </c>
      <c r="AI251" s="85">
        <f t="shared" si="230"/>
        <v>-7044.8553124059881</v>
      </c>
      <c r="AJ251" s="90">
        <f t="shared" si="231"/>
        <v>6139.2748628683721</v>
      </c>
      <c r="AL251" s="95">
        <f t="shared" si="232"/>
        <v>0</v>
      </c>
      <c r="AM251" s="95">
        <f t="shared" si="233"/>
        <v>0</v>
      </c>
      <c r="AN251" s="95">
        <f t="shared" si="234"/>
        <v>0</v>
      </c>
      <c r="AO251" s="95">
        <f t="shared" si="235"/>
        <v>0</v>
      </c>
      <c r="AP251"/>
      <c r="AQ251" s="95">
        <f t="shared" si="236"/>
        <v>0</v>
      </c>
      <c r="AR251" s="95">
        <f t="shared" si="237"/>
        <v>0</v>
      </c>
      <c r="AS251" s="95">
        <f>Geraetedaten!$B$94*ABS(SIN(RADIANS($A251)))</f>
        <v>77.000000000000014</v>
      </c>
      <c r="AT251" s="95">
        <f>Geraetedaten!$B$94*ABS(COS(RADIANS($A251)))</f>
        <v>133.36791218280354</v>
      </c>
      <c r="AU251" s="95">
        <f>((h_Aw_Sw+Geraetedaten!$B$18)/1000)*(AQ251*AS251+AR251*AT251)/100</f>
        <v>0</v>
      </c>
    </row>
    <row r="252" spans="1:47" ht="13.5" x14ac:dyDescent="0.25">
      <c r="A252" s="16">
        <v>211</v>
      </c>
      <c r="B252" s="16">
        <f t="shared" si="204"/>
        <v>239</v>
      </c>
      <c r="C252" s="19">
        <f t="shared" si="205"/>
        <v>58.399143095549661</v>
      </c>
      <c r="D252" s="17">
        <f t="shared" si="206"/>
        <v>7245.591736904451</v>
      </c>
      <c r="E252" s="17">
        <f t="shared" si="207"/>
        <v>9572.1558069044495</v>
      </c>
      <c r="F252" s="17">
        <f t="shared" si="208"/>
        <v>-7462.3704830955494</v>
      </c>
      <c r="G252" s="17">
        <f t="shared" si="209"/>
        <v>-10412.48562309555</v>
      </c>
      <c r="H252" s="17">
        <f t="shared" si="210"/>
        <v>7245.591736904451</v>
      </c>
      <c r="I252" s="17">
        <f t="shared" si="211"/>
        <v>1643.7772789766218</v>
      </c>
      <c r="J252" s="20">
        <f>(Geraetedaten!$B$152+(Geraetedaten!$B$153*(Geraetedaten!$B$18+d_y_Sw)/1000))*10</f>
        <v>6051.0442000000003</v>
      </c>
      <c r="K252" s="20">
        <f>(Geraetedaten!$B$165+(Geraetedaten!$B$166*(Geraetedaten!$B$18+d_y_Sw)/1000))*10</f>
        <v>10816.164000000001</v>
      </c>
      <c r="L252" s="20">
        <f>(Geraetedaten!$B$158+(Geraetedaten!$B$159*(Geraetedaten!$B$18+d_y_Sw)/1000)-(Geraetedaten!$B$160*I252/1000))*10</f>
        <v>480.99841213264415</v>
      </c>
      <c r="M252" s="20">
        <f>(Geraetedaten!$B$171+(Geraetedaten!$B$172*(Geraetedaten!$B$18+d_y_Sw)/1000)-(Geraetedaten!$B$173*I252/1000))*10</f>
        <v>942.50421935298118</v>
      </c>
      <c r="N252" s="20">
        <f>IF((H252-J252)/(K252-J252)*(Geraetedaten!$B$174-Geraetedaten!$B$161)&lt;Geraetedaten!$B$174,(H252-J252)/(K252-J252)*(Geraetedaten!$B$174-Geraetedaten!$B$161),Geraetedaten!$B$174)</f>
        <v>100.27429210946181</v>
      </c>
      <c r="O252" s="20">
        <f>N252/Geraetedaten!$B$174*(M252-L252)+L252+C252</f>
        <v>655.09047553675646</v>
      </c>
      <c r="P252" s="20">
        <f t="shared" si="212"/>
        <v>218.66134769805026</v>
      </c>
      <c r="Q252" s="21">
        <f>(N252-Geraetedaten!$B$161)/(Geraetedaten!$B$174-Geraetedaten!$B$161)*(Geraetedaten!$B$175-Geraetedaten!$B$162)+Geraetedaten!$B$162</f>
        <v>32.183160190256487</v>
      </c>
      <c r="R252" s="21">
        <f t="shared" si="213"/>
        <v>32.183160190256487</v>
      </c>
      <c r="S252" s="21">
        <f t="shared" si="214"/>
        <v>-16.575552868911593</v>
      </c>
      <c r="T252" s="88">
        <f t="shared" si="215"/>
        <v>-27.586352548345833</v>
      </c>
      <c r="U252" s="86">
        <f t="shared" si="216"/>
        <v>7303.9908800000003</v>
      </c>
      <c r="V252" s="85">
        <f t="shared" si="217"/>
        <v>-1346.4914747781525</v>
      </c>
      <c r="W252" s="85">
        <f t="shared" si="218"/>
        <v>1643.7772789766218</v>
      </c>
      <c r="X252" s="90">
        <f t="shared" si="219"/>
        <v>1346.4914747781525</v>
      </c>
      <c r="Y252" s="86">
        <f t="shared" si="220"/>
        <v>9630.5549499999997</v>
      </c>
      <c r="Z252" s="85">
        <f t="shared" si="221"/>
        <v>-818.62113479844345</v>
      </c>
      <c r="AA252" s="85">
        <f t="shared" si="222"/>
        <v>922.71193479824194</v>
      </c>
      <c r="AB252" s="90">
        <f t="shared" si="223"/>
        <v>818.62113479844345</v>
      </c>
      <c r="AC252" s="86">
        <f t="shared" si="224"/>
        <v>-7403.9713400000001</v>
      </c>
      <c r="AD252" s="85">
        <f t="shared" si="225"/>
        <v>3384.56104615708</v>
      </c>
      <c r="AE252" s="85">
        <f t="shared" si="226"/>
        <v>-4176.2472304332996</v>
      </c>
      <c r="AF252" s="90">
        <f t="shared" si="227"/>
        <v>3384.56104615708</v>
      </c>
      <c r="AG252" s="86">
        <f t="shared" si="228"/>
        <v>-10354.08648</v>
      </c>
      <c r="AH252" s="85">
        <f t="shared" si="229"/>
        <v>6139.2748628683721</v>
      </c>
      <c r="AI252" s="85">
        <f t="shared" si="230"/>
        <v>-7115.835259713991</v>
      </c>
      <c r="AJ252" s="90">
        <f t="shared" si="231"/>
        <v>6139.2748628683721</v>
      </c>
      <c r="AL252" s="95">
        <f t="shared" si="232"/>
        <v>0</v>
      </c>
      <c r="AM252" s="95">
        <f t="shared" si="233"/>
        <v>0</v>
      </c>
      <c r="AN252" s="95">
        <f t="shared" si="234"/>
        <v>0</v>
      </c>
      <c r="AO252" s="95">
        <f t="shared" si="235"/>
        <v>0</v>
      </c>
      <c r="AP252"/>
      <c r="AQ252" s="95">
        <f t="shared" si="236"/>
        <v>0</v>
      </c>
      <c r="AR252" s="95">
        <f t="shared" si="237"/>
        <v>0</v>
      </c>
      <c r="AS252" s="95">
        <f>Geraetedaten!$B$94*ABS(SIN(RADIANS($A252)))</f>
        <v>79.315863536148342</v>
      </c>
      <c r="AT252" s="95">
        <f>Geraetedaten!$B$94*ABS(COS(RADIANS($A252)))</f>
        <v>132.00376430812531</v>
      </c>
      <c r="AU252" s="95">
        <f>((h_Aw_Sw+Geraetedaten!$B$18)/1000)*(AQ252*AS252+AR252*AT252)/100</f>
        <v>0</v>
      </c>
    </row>
    <row r="253" spans="1:47" ht="13.5" x14ac:dyDescent="0.25">
      <c r="A253" s="16">
        <v>212</v>
      </c>
      <c r="B253" s="16">
        <f t="shared" ref="B253:B284" si="238">360-A253+90</f>
        <v>238</v>
      </c>
      <c r="C253" s="19">
        <f t="shared" ref="C253:C284" si="239">$AE$16*ABS(COS(RADIANS(A253)))+$AE$17*ABS(SIN(RADIANS(A253)))+AU253</f>
        <v>59.071723043319224</v>
      </c>
      <c r="D253" s="17">
        <f t="shared" ref="D253:D284" si="240">IF(ISNUMBER(U253),U253-C253,"unendlich")</f>
        <v>7157.8232569566808</v>
      </c>
      <c r="E253" s="17">
        <f t="shared" ref="E253:E284" si="241">IF(ISNUMBER(Y253),Y253-C253,"unendlich")</f>
        <v>9661.1898369566825</v>
      </c>
      <c r="F253" s="17">
        <f t="shared" ref="F253:F284" si="242">IF(ISNUMBER(AC253),AC253-C253,"unendlich")</f>
        <v>-7371.8999130433194</v>
      </c>
      <c r="G253" s="17">
        <f t="shared" ref="G253:G284" si="243">IF(ISNUMBER(AG253),AG253-C253,"unendlich")</f>
        <v>-10521.761333043318</v>
      </c>
      <c r="H253" s="17">
        <f t="shared" ref="H253:H284" si="244">SMALL(D253:G253,COUNTIF(D253:G253,"&lt;0")+1)</f>
        <v>7157.8232569566808</v>
      </c>
      <c r="I253" s="17">
        <f t="shared" ref="I253:I284" si="245">IF(H253+C253=U253,W253,IF(H253+C253=Y253,AA253,IF(H253+C253=AC253,AE253,IF(H253+C253=AG253,AI253,"???"))))</f>
        <v>1624.1761784736923</v>
      </c>
      <c r="J253" s="20">
        <f>(Geraetedaten!$B$152+(Geraetedaten!$B$153*(Geraetedaten!$B$18+d_y_Sw)/1000))*10</f>
        <v>6051.0442000000003</v>
      </c>
      <c r="K253" s="20">
        <f>(Geraetedaten!$B$165+(Geraetedaten!$B$166*(Geraetedaten!$B$18+d_y_Sw)/1000))*10</f>
        <v>10816.164000000001</v>
      </c>
      <c r="L253" s="20">
        <f>(Geraetedaten!$B$158+(Geraetedaten!$B$159*(Geraetedaten!$B$18+d_y_Sw)/1000)-(Geraetedaten!$B$160*I253/1000))*10</f>
        <v>482.4357608325239</v>
      </c>
      <c r="M253" s="20">
        <f>(Geraetedaten!$B$171+(Geraetedaten!$B$172*(Geraetedaten!$B$18+d_y_Sw)/1000)-(Geraetedaten!$B$173*I253/1000))*10</f>
        <v>943.96332527441928</v>
      </c>
      <c r="N253" s="20">
        <f>IF((H253-J253)/(K253-J253)*(Geraetedaten!$B$174-Geraetedaten!$B$161)&lt;Geraetedaten!$B$174,(H253-J253)/(K253-J253)*(Geraetedaten!$B$174-Geraetedaten!$B$161),Geraetedaten!$B$174)</f>
        <v>92.906714073101</v>
      </c>
      <c r="O253" s="20">
        <f>N253/Geraetedaten!$B$174*(M253-L253)+L253+C253</f>
        <v>648.70500754198781</v>
      </c>
      <c r="P253" s="20">
        <f t="shared" ref="P253:P284" si="246">O253*100/9.81/(Q253-(I253/1000))</f>
        <v>217.95435438268402</v>
      </c>
      <c r="Q253" s="21">
        <f>(N253-Geraetedaten!$B$161)/(Geraetedaten!$B$174-Geraetedaten!$B$161)*(Geraetedaten!$B$175-Geraetedaten!$B$162)+Geraetedaten!$B$162</f>
        <v>31.963974743674754</v>
      </c>
      <c r="R253" s="21">
        <f t="shared" ref="R253:R284" si="247">SQRT((r_K_D/1000)^2+Q253^2-(2*(r_K_D/1000)*Q253*COS(RADIANS(2*A253))))</f>
        <v>31.963974743674754</v>
      </c>
      <c r="S253" s="21">
        <f t="shared" ref="S253:S284" si="248">R253*SIN(A253*Const_2)</f>
        <v>-16.938325978136866</v>
      </c>
      <c r="T253" s="88">
        <f t="shared" ref="T253:T284" si="249">R253*COS(A253*Const_2)</f>
        <v>-27.106987926965463</v>
      </c>
      <c r="U253" s="86">
        <f t="shared" ref="U253:U284" si="250">ROUND((F_S*r_Su_L-F_G*V253+F_SSw*X253)/(SIN(RADIANS(270+g_L-A253)))/1000,5)</f>
        <v>7216.89498</v>
      </c>
      <c r="V253" s="85">
        <f t="shared" ref="V253:V284" si="251">(SIN(RADIANS(g_L)))*(((VL_Z-HL_Z)/(VL_X-HL_X))*(-HL_X+AM253)+HL_Z-AL253)</f>
        <v>-1346.4914747781525</v>
      </c>
      <c r="W253" s="85">
        <f t="shared" ref="W253:W284" si="252">V253/(SIN(RADIANS(180-g_L-(90-$A253))))</f>
        <v>1624.1761784736923</v>
      </c>
      <c r="X253" s="90">
        <f t="shared" ref="X253:X284" si="253">SIN(RADIANS(g_L))*(((VL_Z-HL_Z)/(VL_X-HL_X))*(-AO253+HL_X)-HL_Z+AN253)</f>
        <v>1346.4914747781525</v>
      </c>
      <c r="Y253" s="86">
        <f t="shared" ref="Y253:Y284" si="254">ROUND((F_S*r_Su_H-F_G*Z253+F_SSw*AB253)/(SIN(RADIANS(180+g_H-A253)))/1000,5)</f>
        <v>9720.2615600000008</v>
      </c>
      <c r="Z253" s="85">
        <f t="shared" ref="Z253:Z284" si="255">(SIN(RADIANS(g_H)))*(((HL_X-HR_X)/(HL_Z-HR_Z))*(-HR_Z+AL253)+HR_X-AM253)</f>
        <v>-818.62113479844345</v>
      </c>
      <c r="AA253" s="85">
        <f t="shared" ref="AA253:AA284" si="256">Z253/(SIN(RADIANS(g_H-$A253)))</f>
        <v>931.30680399091477</v>
      </c>
      <c r="AB253" s="90">
        <f t="shared" ref="AB253:AB284" si="257">SIN(RADIANS(g_H))*(((HL_X-HR_X)/(HL_Z-HR_Z))*(-AN253+HR_Z)-HR_X+AO253)</f>
        <v>818.62113479844345</v>
      </c>
      <c r="AC253" s="86">
        <f t="shared" ref="AC253:AC284" si="258">ROUND((F_S*r_Su_R+F_G*AD253+F_SSw*AF253)/(SIN(RADIANS(90+g_R-A253)))/1000,5)</f>
        <v>-7312.8281900000002</v>
      </c>
      <c r="AD253" s="85">
        <f t="shared" ref="AD253:AD284" si="259">(SIN(RADIANS(g_R)))*(((HR_Z-VR_Z)/(HR_X-VR_X))*(-VR_X+AM253)+VR_Z-AL253)</f>
        <v>3384.56104615708</v>
      </c>
      <c r="AE253" s="85">
        <f t="shared" ref="AE253:AE284" si="260">AD253/(SIN(RADIANS(180-g_R-(90-$A253))))</f>
        <v>-4124.8374802150392</v>
      </c>
      <c r="AF253" s="90">
        <f t="shared" ref="AF253:AF284" si="261">(SIN(RADIANS(g_R)))*(((HR_Z-VR_Z)/(HR_X-VR_X))*(-VR_X+AO253)+VR_Z-AN253)</f>
        <v>3384.56104615708</v>
      </c>
      <c r="AG253" s="86">
        <f t="shared" ref="AG253:AG284" si="262">ROUND((F_S*r_Su_V+F_G*AH253+F_SSw*AJ253)/(SIN(RADIANS(g_V-A253)))/1000,5)</f>
        <v>-10462.689609999999</v>
      </c>
      <c r="AH253" s="85">
        <f t="shared" ref="AH253:AH284" si="263">(SIN(RADIANS(g_V)))*(((VR_X-VL_X)/(VR_Z-VL_Z))*(AL253-VL_Z)+VL_X-AM253)</f>
        <v>6139.2748628683721</v>
      </c>
      <c r="AI253" s="85">
        <f t="shared" ref="AI253:AI284" si="264">AH253/(SIN(RADIANS(g_V-$A253)))</f>
        <v>-7190.4726519745236</v>
      </c>
      <c r="AJ253" s="90">
        <f t="shared" ref="AJ253:AJ284" si="265">(SIN(RADIANS(g_V)))*(((VR_X-VL_X)/(VR_Z-VL_Z))*(-VL_Z+AN253)+VL_X-AO253)</f>
        <v>6139.2748628683721</v>
      </c>
      <c r="AL253" s="95">
        <f t="shared" ref="AL253:AL284" si="266">SIN(RADIANS(A253))*r_K_D</f>
        <v>0</v>
      </c>
      <c r="AM253" s="95">
        <f t="shared" ref="AM253:AM284" si="267">COS(RADIANS(A253-180))*r_K_D</f>
        <v>0</v>
      </c>
      <c r="AN253" s="95">
        <f t="shared" ref="AN253:AN284" si="268">SIN(RADIANS(A253))*r_K_SSw</f>
        <v>0</v>
      </c>
      <c r="AO253" s="95">
        <f t="shared" ref="AO253:AO284" si="269">-COS(RADIANS(A253))*r_K_SSw</f>
        <v>0</v>
      </c>
      <c r="AP253"/>
      <c r="AQ253" s="95">
        <f t="shared" ref="AQ253:AQ284" si="270">MAX(d_y_Sw*(r_K_D*ABS(COS(RADIANS($A253)))+_r1_Sw+_r2_Sw), 2*_r1_Sw*d_y_Sw)/1000000</f>
        <v>0</v>
      </c>
      <c r="AR253" s="95">
        <f t="shared" ref="AR253:AR284" si="271">MAX(d_y_Sw*(r_K_D*ABS(SIN(RADIANS($A253)))+_r1_Sw+_r2_Sw), 2*_r1_Sw*d_y_Sw)/1000000</f>
        <v>0</v>
      </c>
      <c r="AS253" s="95">
        <f>Geraetedaten!$B$94*ABS(SIN(RADIANS($A253)))</f>
        <v>81.607566691913533</v>
      </c>
      <c r="AT253" s="95">
        <f>Geraetedaten!$B$94*ABS(COS(RADIANS($A253)))</f>
        <v>130.59940680808961</v>
      </c>
      <c r="AU253" s="95">
        <f>((h_Aw_Sw+Geraetedaten!$B$18)/1000)*(AQ253*AS253+AR253*AT253)/100</f>
        <v>0</v>
      </c>
    </row>
    <row r="254" spans="1:47" ht="13.5" x14ac:dyDescent="0.25">
      <c r="A254" s="16">
        <v>213</v>
      </c>
      <c r="B254" s="16">
        <f t="shared" si="238"/>
        <v>237</v>
      </c>
      <c r="C254" s="19">
        <f t="shared" si="239"/>
        <v>59.726309172009181</v>
      </c>
      <c r="D254" s="17">
        <f t="shared" si="240"/>
        <v>7074.2729108279909</v>
      </c>
      <c r="E254" s="17">
        <f t="shared" si="241"/>
        <v>9754.9465208279908</v>
      </c>
      <c r="F254" s="17">
        <f t="shared" si="242"/>
        <v>-7285.8023791720088</v>
      </c>
      <c r="G254" s="17">
        <f t="shared" si="243"/>
        <v>-10636.577429172008</v>
      </c>
      <c r="H254" s="17">
        <f t="shared" si="244"/>
        <v>7074.2729108279909</v>
      </c>
      <c r="I254" s="17">
        <f t="shared" si="245"/>
        <v>1605.5203272053543</v>
      </c>
      <c r="J254" s="20">
        <f>(Geraetedaten!$B$152+(Geraetedaten!$B$153*(Geraetedaten!$B$18+d_y_Sw)/1000))*10</f>
        <v>6051.0442000000003</v>
      </c>
      <c r="K254" s="20">
        <f>(Geraetedaten!$B$165+(Geraetedaten!$B$166*(Geraetedaten!$B$18+d_y_Sw)/1000))*10</f>
        <v>10816.164000000001</v>
      </c>
      <c r="L254" s="20">
        <f>(Geraetedaten!$B$158+(Geraetedaten!$B$159*(Geraetedaten!$B$18+d_y_Sw)/1000)-(Geraetedaten!$B$160*I254/1000))*10</f>
        <v>483.80379440603116</v>
      </c>
      <c r="M254" s="20">
        <f>(Geraetedaten!$B$171+(Geraetedaten!$B$172*(Geraetedaten!$B$18+d_y_Sw)/1000)-(Geraetedaten!$B$173*I254/1000))*10</f>
        <v>945.35206684283435</v>
      </c>
      <c r="N254" s="20">
        <f>IF((H254-J254)/(K254-J254)*(Geraetedaten!$B$174-Geraetedaten!$B$161)&lt;Geraetedaten!$B$174,(H254-J254)/(K254-J254)*(Geraetedaten!$B$174-Geraetedaten!$B$161),Geraetedaten!$B$174)</f>
        <v>85.893220214777443</v>
      </c>
      <c r="O254" s="20">
        <f>N254/Geraetedaten!$B$174*(M254-L254)+L254+C254</f>
        <v>642.63977208845142</v>
      </c>
      <c r="P254" s="20">
        <f t="shared" si="246"/>
        <v>217.27717906298955</v>
      </c>
      <c r="Q254" s="21">
        <f>(N254-Geraetedaten!$B$161)/(Geraetedaten!$B$174-Geraetedaten!$B$161)*(Geraetedaten!$B$175-Geraetedaten!$B$162)+Geraetedaten!$B$162</f>
        <v>31.75532330138963</v>
      </c>
      <c r="R254" s="21">
        <f t="shared" si="247"/>
        <v>31.75532330138963</v>
      </c>
      <c r="S254" s="21">
        <f t="shared" si="248"/>
        <v>-17.295188639459052</v>
      </c>
      <c r="T254" s="88">
        <f t="shared" si="249"/>
        <v>-26.632255028467</v>
      </c>
      <c r="U254" s="86">
        <f t="shared" si="250"/>
        <v>7133.9992199999997</v>
      </c>
      <c r="V254" s="85">
        <f t="shared" si="251"/>
        <v>-1346.4914747781525</v>
      </c>
      <c r="W254" s="85">
        <f t="shared" si="252"/>
        <v>1605.5203272053543</v>
      </c>
      <c r="X254" s="90">
        <f t="shared" si="253"/>
        <v>1346.4914747781525</v>
      </c>
      <c r="Y254" s="86">
        <f t="shared" si="254"/>
        <v>9814.6728299999995</v>
      </c>
      <c r="Z254" s="85">
        <f t="shared" si="255"/>
        <v>-818.62113479844345</v>
      </c>
      <c r="AA254" s="85">
        <f t="shared" si="256"/>
        <v>940.35243118754124</v>
      </c>
      <c r="AB254" s="90">
        <f t="shared" si="257"/>
        <v>818.62113479844345</v>
      </c>
      <c r="AC254" s="86">
        <f t="shared" si="258"/>
        <v>-7226.0760700000001</v>
      </c>
      <c r="AD254" s="85">
        <f t="shared" si="259"/>
        <v>3384.56104615708</v>
      </c>
      <c r="AE254" s="85">
        <f t="shared" si="260"/>
        <v>-4075.9045123820788</v>
      </c>
      <c r="AF254" s="90">
        <f t="shared" si="261"/>
        <v>3384.56104615708</v>
      </c>
      <c r="AG254" s="86">
        <f t="shared" si="262"/>
        <v>-10576.851119999999</v>
      </c>
      <c r="AH254" s="85">
        <f t="shared" si="263"/>
        <v>6139.2748628683721</v>
      </c>
      <c r="AI254" s="85">
        <f t="shared" si="264"/>
        <v>-7268.9300287801734</v>
      </c>
      <c r="AJ254" s="90">
        <f t="shared" si="265"/>
        <v>6139.2748628683721</v>
      </c>
      <c r="AL254" s="95">
        <f t="shared" si="266"/>
        <v>0</v>
      </c>
      <c r="AM254" s="95">
        <f t="shared" si="267"/>
        <v>0</v>
      </c>
      <c r="AN254" s="95">
        <f t="shared" si="268"/>
        <v>0</v>
      </c>
      <c r="AO254" s="95">
        <f t="shared" si="269"/>
        <v>0</v>
      </c>
      <c r="AP254"/>
      <c r="AQ254" s="95">
        <f t="shared" si="270"/>
        <v>0</v>
      </c>
      <c r="AR254" s="95">
        <f t="shared" si="271"/>
        <v>0</v>
      </c>
      <c r="AS254" s="95">
        <f>Geraetedaten!$B$94*ABS(SIN(RADIANS($A254)))</f>
        <v>83.874411392314173</v>
      </c>
      <c r="AT254" s="95">
        <f>Geraetedaten!$B$94*ABS(COS(RADIANS($A254)))</f>
        <v>129.15526746359529</v>
      </c>
      <c r="AU254" s="95">
        <f>((h_Aw_Sw+Geraetedaten!$B$18)/1000)*(AQ254*AS254+AR254*AT254)/100</f>
        <v>0</v>
      </c>
    </row>
    <row r="255" spans="1:47" ht="13.5" x14ac:dyDescent="0.25">
      <c r="A255" s="16">
        <v>214</v>
      </c>
      <c r="B255" s="16">
        <f t="shared" si="238"/>
        <v>236</v>
      </c>
      <c r="C255" s="19">
        <f t="shared" si="239"/>
        <v>60.362702088343582</v>
      </c>
      <c r="D255" s="17">
        <f t="shared" si="240"/>
        <v>6994.7481179116567</v>
      </c>
      <c r="E255" s="17">
        <f t="shared" si="241"/>
        <v>9853.6229079116565</v>
      </c>
      <c r="F255" s="17">
        <f t="shared" si="242"/>
        <v>-7203.8712720883432</v>
      </c>
      <c r="G255" s="17">
        <f t="shared" si="243"/>
        <v>-10757.188412088342</v>
      </c>
      <c r="H255" s="17">
        <f t="shared" si="244"/>
        <v>6994.7481179116567</v>
      </c>
      <c r="I255" s="17">
        <f t="shared" si="245"/>
        <v>1587.7663409753245</v>
      </c>
      <c r="J255" s="20">
        <f>(Geraetedaten!$B$152+(Geraetedaten!$B$153*(Geraetedaten!$B$18+d_y_Sw)/1000))*10</f>
        <v>6051.0442000000003</v>
      </c>
      <c r="K255" s="20">
        <f>(Geraetedaten!$B$165+(Geraetedaten!$B$166*(Geraetedaten!$B$18+d_y_Sw)/1000))*10</f>
        <v>10816.164000000001</v>
      </c>
      <c r="L255" s="20">
        <f>(Geraetedaten!$B$158+(Geraetedaten!$B$159*(Geraetedaten!$B$18+d_y_Sw)/1000)-(Geraetedaten!$B$160*I255/1000))*10</f>
        <v>485.10569421627918</v>
      </c>
      <c r="M255" s="20">
        <f>(Geraetedaten!$B$171+(Geraetedaten!$B$172*(Geraetedaten!$B$18+d_y_Sw)/1000)-(Geraetedaten!$B$173*I255/1000))*10</f>
        <v>946.67367357779779</v>
      </c>
      <c r="N255" s="20">
        <f>IF((H255-J255)/(K255-J255)*(Geraetedaten!$B$174-Geraetedaten!$B$161)&lt;Geraetedaten!$B$174,(H255-J255)/(K255-J255)*(Geraetedaten!$B$174-Geraetedaten!$B$161),Geraetedaten!$B$174)</f>
        <v>79.217644678033594</v>
      </c>
      <c r="O255" s="20">
        <f>N255/Geraetedaten!$B$174*(M255-L255)+L255+C255</f>
        <v>636.87921676416954</v>
      </c>
      <c r="P255" s="20">
        <f t="shared" si="246"/>
        <v>216.6289116554249</v>
      </c>
      <c r="Q255" s="21">
        <f>(N255-Geraetedaten!$B$161)/(Geraetedaten!$B$174-Geraetedaten!$B$161)*(Geraetedaten!$B$175-Geraetedaten!$B$162)+Geraetedaten!$B$162</f>
        <v>31.556724929171498</v>
      </c>
      <c r="R255" s="21">
        <f t="shared" si="247"/>
        <v>31.556724929171498</v>
      </c>
      <c r="S255" s="21">
        <f t="shared" si="248"/>
        <v>-17.646296637171101</v>
      </c>
      <c r="T255" s="88">
        <f t="shared" si="249"/>
        <v>-26.161710633067514</v>
      </c>
      <c r="U255" s="86">
        <f t="shared" si="250"/>
        <v>7055.1108199999999</v>
      </c>
      <c r="V255" s="85">
        <f t="shared" si="251"/>
        <v>-1346.4914747781525</v>
      </c>
      <c r="W255" s="85">
        <f t="shared" si="252"/>
        <v>1587.7663409753245</v>
      </c>
      <c r="X255" s="90">
        <f t="shared" si="253"/>
        <v>1346.4914747781525</v>
      </c>
      <c r="Y255" s="86">
        <f t="shared" si="254"/>
        <v>9913.9856099999997</v>
      </c>
      <c r="Z255" s="85">
        <f t="shared" si="255"/>
        <v>-818.62113479844345</v>
      </c>
      <c r="AA255" s="85">
        <f t="shared" si="256"/>
        <v>949.86767592402236</v>
      </c>
      <c r="AB255" s="90">
        <f t="shared" si="257"/>
        <v>818.62113479844345</v>
      </c>
      <c r="AC255" s="86">
        <f t="shared" si="258"/>
        <v>-7143.50857</v>
      </c>
      <c r="AD255" s="85">
        <f t="shared" si="259"/>
        <v>3384.56104615708</v>
      </c>
      <c r="AE255" s="85">
        <f t="shared" si="260"/>
        <v>-4029.3319012442998</v>
      </c>
      <c r="AF255" s="90">
        <f t="shared" si="261"/>
        <v>3384.56104615708</v>
      </c>
      <c r="AG255" s="86">
        <f t="shared" si="262"/>
        <v>-10696.825709999999</v>
      </c>
      <c r="AH255" s="85">
        <f t="shared" si="263"/>
        <v>6139.2748628683721</v>
      </c>
      <c r="AI255" s="85">
        <f t="shared" si="264"/>
        <v>-7351.382442272964</v>
      </c>
      <c r="AJ255" s="90">
        <f t="shared" si="265"/>
        <v>6139.2748628683721</v>
      </c>
      <c r="AL255" s="95">
        <f t="shared" si="266"/>
        <v>0</v>
      </c>
      <c r="AM255" s="95">
        <f t="shared" si="267"/>
        <v>0</v>
      </c>
      <c r="AN255" s="95">
        <f t="shared" si="268"/>
        <v>0</v>
      </c>
      <c r="AO255" s="95">
        <f t="shared" si="269"/>
        <v>0</v>
      </c>
      <c r="AP255"/>
      <c r="AQ255" s="95">
        <f t="shared" si="270"/>
        <v>0</v>
      </c>
      <c r="AR255" s="95">
        <f t="shared" si="271"/>
        <v>0</v>
      </c>
      <c r="AS255" s="95">
        <f>Geraetedaten!$B$94*ABS(SIN(RADIANS($A255)))</f>
        <v>86.115707134494983</v>
      </c>
      <c r="AT255" s="95">
        <f>Geraetedaten!$B$94*ABS(COS(RADIANS($A255)))</f>
        <v>127.67178617347645</v>
      </c>
      <c r="AU255" s="95">
        <f>((h_Aw_Sw+Geraetedaten!$B$18)/1000)*(AQ255*AS255+AR255*AT255)/100</f>
        <v>0</v>
      </c>
    </row>
    <row r="256" spans="1:47" ht="13.5" x14ac:dyDescent="0.25">
      <c r="A256" s="16">
        <v>215</v>
      </c>
      <c r="B256" s="16">
        <f t="shared" si="238"/>
        <v>235</v>
      </c>
      <c r="C256" s="19">
        <f t="shared" si="239"/>
        <v>60.98070794087527</v>
      </c>
      <c r="D256" s="17">
        <f t="shared" si="240"/>
        <v>6919.0702820591241</v>
      </c>
      <c r="E256" s="17">
        <f t="shared" si="241"/>
        <v>9957.4309820591261</v>
      </c>
      <c r="F256" s="17">
        <f t="shared" si="242"/>
        <v>-7125.9150879408753</v>
      </c>
      <c r="G256" s="17">
        <f t="shared" si="243"/>
        <v>-10883.868587940875</v>
      </c>
      <c r="H256" s="17">
        <f t="shared" si="244"/>
        <v>6919.0702820591241</v>
      </c>
      <c r="I256" s="17">
        <f t="shared" si="245"/>
        <v>1570.8739805524979</v>
      </c>
      <c r="J256" s="20">
        <f>(Geraetedaten!$B$152+(Geraetedaten!$B$153*(Geraetedaten!$B$18+d_y_Sw)/1000))*10</f>
        <v>6051.0442000000003</v>
      </c>
      <c r="K256" s="20">
        <f>(Geraetedaten!$B$165+(Geraetedaten!$B$166*(Geraetedaten!$B$18+d_y_Sw)/1000))*10</f>
        <v>10816.164000000001</v>
      </c>
      <c r="L256" s="20">
        <f>(Geraetedaten!$B$158+(Geraetedaten!$B$159*(Geraetedaten!$B$18+d_y_Sw)/1000)-(Geraetedaten!$B$160*I256/1000))*10</f>
        <v>486.34441100608512</v>
      </c>
      <c r="M256" s="20">
        <f>(Geraetedaten!$B$171+(Geraetedaten!$B$172*(Geraetedaten!$B$18+d_y_Sw)/1000)-(Geraetedaten!$B$173*I256/1000))*10</f>
        <v>947.931140887673</v>
      </c>
      <c r="N256" s="20">
        <f>IF((H256-J256)/(K256-J256)*(Geraetedaten!$B$174-Geraetedaten!$B$161)&lt;Geraetedaten!$B$174,(H256-J256)/(K256-J256)*(Geraetedaten!$B$174-Geraetedaten!$B$161),Geraetedaten!$B$174)</f>
        <v>72.864995508328988</v>
      </c>
      <c r="O256" s="20">
        <f>N256/Geraetedaten!$B$174*(M256-L256)+L256+C256</f>
        <v>631.40890644577587</v>
      </c>
      <c r="P256" s="20">
        <f t="shared" si="246"/>
        <v>216.00867905655534</v>
      </c>
      <c r="Q256" s="21">
        <f>(N256-Geraetedaten!$B$161)/(Geraetedaten!$B$174-Geraetedaten!$B$161)*(Geraetedaten!$B$175-Geraetedaten!$B$162)+Geraetedaten!$B$162</f>
        <v>31.367733616372789</v>
      </c>
      <c r="R256" s="21">
        <f t="shared" si="247"/>
        <v>31.367733616372789</v>
      </c>
      <c r="S256" s="21">
        <f t="shared" si="248"/>
        <v>-17.991792864088019</v>
      </c>
      <c r="T256" s="88">
        <f t="shared" si="249"/>
        <v>-25.6949431165643</v>
      </c>
      <c r="U256" s="86">
        <f t="shared" si="250"/>
        <v>6980.0509899999997</v>
      </c>
      <c r="V256" s="85">
        <f t="shared" si="251"/>
        <v>-1346.4914747781525</v>
      </c>
      <c r="W256" s="85">
        <f t="shared" si="252"/>
        <v>1570.8739805524979</v>
      </c>
      <c r="X256" s="90">
        <f t="shared" si="253"/>
        <v>1346.4914747781525</v>
      </c>
      <c r="Y256" s="86">
        <f t="shared" si="254"/>
        <v>10018.411690000001</v>
      </c>
      <c r="Z256" s="85">
        <f t="shared" si="255"/>
        <v>-818.62113479844345</v>
      </c>
      <c r="AA256" s="85">
        <f t="shared" si="256"/>
        <v>959.87283037451414</v>
      </c>
      <c r="AB256" s="90">
        <f t="shared" si="257"/>
        <v>818.62113479844345</v>
      </c>
      <c r="AC256" s="86">
        <f t="shared" si="258"/>
        <v>-7064.9343799999997</v>
      </c>
      <c r="AD256" s="85">
        <f t="shared" si="259"/>
        <v>3384.56104615708</v>
      </c>
      <c r="AE256" s="85">
        <f t="shared" si="260"/>
        <v>-3985.0117337468146</v>
      </c>
      <c r="AF256" s="90">
        <f t="shared" si="261"/>
        <v>3384.56104615708</v>
      </c>
      <c r="AG256" s="86">
        <f t="shared" si="262"/>
        <v>-10822.88788</v>
      </c>
      <c r="AH256" s="85">
        <f t="shared" si="263"/>
        <v>6139.2748628683721</v>
      </c>
      <c r="AI256" s="85">
        <f t="shared" si="264"/>
        <v>-7438.0185411329148</v>
      </c>
      <c r="AJ256" s="90">
        <f t="shared" si="265"/>
        <v>6139.2748628683721</v>
      </c>
      <c r="AL256" s="95">
        <f t="shared" si="266"/>
        <v>0</v>
      </c>
      <c r="AM256" s="95">
        <f t="shared" si="267"/>
        <v>0</v>
      </c>
      <c r="AN256" s="95">
        <f t="shared" si="268"/>
        <v>0</v>
      </c>
      <c r="AO256" s="95">
        <f t="shared" si="269"/>
        <v>0</v>
      </c>
      <c r="AP256"/>
      <c r="AQ256" s="95">
        <f t="shared" si="270"/>
        <v>0</v>
      </c>
      <c r="AR256" s="95">
        <f t="shared" si="271"/>
        <v>0</v>
      </c>
      <c r="AS256" s="95">
        <f>Geraetedaten!$B$94*ABS(SIN(RADIANS($A256)))</f>
        <v>88.330771198061115</v>
      </c>
      <c r="AT256" s="95">
        <f>Geraetedaten!$B$94*ABS(COS(RADIANS($A256)))</f>
        <v>126.14941482050473</v>
      </c>
      <c r="AU256" s="95">
        <f>((h_Aw_Sw+Geraetedaten!$B$18)/1000)*(AQ256*AS256+AR256*AT256)/100</f>
        <v>0</v>
      </c>
    </row>
    <row r="257" spans="1:47" ht="13.5" x14ac:dyDescent="0.25">
      <c r="A257" s="16">
        <v>216</v>
      </c>
      <c r="B257" s="16">
        <f t="shared" si="238"/>
        <v>234</v>
      </c>
      <c r="C257" s="19">
        <f t="shared" si="239"/>
        <v>61.580138479034758</v>
      </c>
      <c r="D257" s="17">
        <f t="shared" si="240"/>
        <v>6847.0736315209651</v>
      </c>
      <c r="E257" s="17">
        <f t="shared" si="241"/>
        <v>10066.598921520967</v>
      </c>
      <c r="F257" s="17">
        <f t="shared" si="242"/>
        <v>-7051.7561684790344</v>
      </c>
      <c r="G257" s="17">
        <f t="shared" si="243"/>
        <v>-11016.913808479036</v>
      </c>
      <c r="H257" s="17">
        <f t="shared" si="244"/>
        <v>6847.0736315209651</v>
      </c>
      <c r="I257" s="17">
        <f t="shared" si="245"/>
        <v>1554.8058975981064</v>
      </c>
      <c r="J257" s="20">
        <f>(Geraetedaten!$B$152+(Geraetedaten!$B$153*(Geraetedaten!$B$18+d_y_Sw)/1000))*10</f>
        <v>6051.0442000000003</v>
      </c>
      <c r="K257" s="20">
        <f>(Geraetedaten!$B$165+(Geraetedaten!$B$166*(Geraetedaten!$B$18+d_y_Sw)/1000))*10</f>
        <v>10816.164000000001</v>
      </c>
      <c r="L257" s="20">
        <f>(Geraetedaten!$B$158+(Geraetedaten!$B$159*(Geraetedaten!$B$18+d_y_Sw)/1000)-(Geraetedaten!$B$160*I257/1000))*10</f>
        <v>487.52268352913063</v>
      </c>
      <c r="M257" s="20">
        <f>(Geraetedaten!$B$171+(Geraetedaten!$B$172*(Geraetedaten!$B$18+d_y_Sw)/1000)-(Geraetedaten!$B$173*I257/1000))*10</f>
        <v>949.12724898279794</v>
      </c>
      <c r="N257" s="20">
        <f>IF((H257-J257)/(K257-J257)*(Geraetedaten!$B$174-Geraetedaten!$B$161)&lt;Geraetedaten!$B$174,(H257-J257)/(K257-J257)*(Geraetedaten!$B$174-Geraetedaten!$B$161),Geraetedaten!$B$174)</f>
        <v>66.821357273826763</v>
      </c>
      <c r="O257" s="20">
        <f>N257/Geraetedaten!$B$174*(M257-L257)+L257+C257</f>
        <v>626.21543097668803</v>
      </c>
      <c r="P257" s="20">
        <f t="shared" si="246"/>
        <v>215.41564374426196</v>
      </c>
      <c r="Q257" s="21">
        <f>(N257-Geraetedaten!$B$161)/(Geraetedaten!$B$174-Geraetedaten!$B$161)*(Geraetedaten!$B$175-Geraetedaten!$B$162)+Geraetedaten!$B$162</f>
        <v>31.187935378896345</v>
      </c>
      <c r="R257" s="21">
        <f t="shared" si="247"/>
        <v>31.187935378896345</v>
      </c>
      <c r="S257" s="21">
        <f t="shared" si="248"/>
        <v>-18.331808465165935</v>
      </c>
      <c r="T257" s="88">
        <f t="shared" si="249"/>
        <v>-25.231569740994811</v>
      </c>
      <c r="U257" s="86">
        <f t="shared" si="250"/>
        <v>6908.6537699999999</v>
      </c>
      <c r="V257" s="85">
        <f t="shared" si="251"/>
        <v>-1346.4914747781525</v>
      </c>
      <c r="W257" s="85">
        <f t="shared" si="252"/>
        <v>1554.8058975981064</v>
      </c>
      <c r="X257" s="90">
        <f t="shared" si="253"/>
        <v>1346.4914747781525</v>
      </c>
      <c r="Y257" s="86">
        <f t="shared" si="254"/>
        <v>10128.17906</v>
      </c>
      <c r="Z257" s="85">
        <f t="shared" si="255"/>
        <v>-818.62113479844345</v>
      </c>
      <c r="AA257" s="85">
        <f t="shared" si="256"/>
        <v>970.38973810311961</v>
      </c>
      <c r="AB257" s="90">
        <f t="shared" si="257"/>
        <v>818.62113479844345</v>
      </c>
      <c r="AC257" s="86">
        <f t="shared" si="258"/>
        <v>-6990.1760299999996</v>
      </c>
      <c r="AD257" s="85">
        <f t="shared" si="259"/>
        <v>3384.56104615708</v>
      </c>
      <c r="AE257" s="85">
        <f t="shared" si="260"/>
        <v>-3942.8439093050906</v>
      </c>
      <c r="AF257" s="90">
        <f t="shared" si="261"/>
        <v>3384.56104615708</v>
      </c>
      <c r="AG257" s="86">
        <f t="shared" si="262"/>
        <v>-10955.33367</v>
      </c>
      <c r="AH257" s="85">
        <f t="shared" si="263"/>
        <v>6139.2748628683721</v>
      </c>
      <c r="AI257" s="85">
        <f t="shared" si="264"/>
        <v>-7529.0417756694123</v>
      </c>
      <c r="AJ257" s="90">
        <f t="shared" si="265"/>
        <v>6139.2748628683721</v>
      </c>
      <c r="AL257" s="95">
        <f t="shared" si="266"/>
        <v>0</v>
      </c>
      <c r="AM257" s="95">
        <f t="shared" si="267"/>
        <v>0</v>
      </c>
      <c r="AN257" s="95">
        <f t="shared" si="268"/>
        <v>0</v>
      </c>
      <c r="AO257" s="95">
        <f t="shared" si="269"/>
        <v>0</v>
      </c>
      <c r="AP257"/>
      <c r="AQ257" s="95">
        <f t="shared" si="270"/>
        <v>0</v>
      </c>
      <c r="AR257" s="95">
        <f t="shared" si="271"/>
        <v>0</v>
      </c>
      <c r="AS257" s="95">
        <f>Geraetedaten!$B$94*ABS(SIN(RADIANS($A257)))</f>
        <v>90.518928853040848</v>
      </c>
      <c r="AT257" s="95">
        <f>Geraetedaten!$B$94*ABS(COS(RADIANS($A257)))</f>
        <v>124.58861713374192</v>
      </c>
      <c r="AU257" s="95">
        <f>((h_Aw_Sw+Geraetedaten!$B$18)/1000)*(AQ257*AS257+AR257*AT257)/100</f>
        <v>0</v>
      </c>
    </row>
    <row r="258" spans="1:47" ht="13.5" x14ac:dyDescent="0.25">
      <c r="A258" s="16">
        <v>217</v>
      </c>
      <c r="B258" s="16">
        <f t="shared" si="238"/>
        <v>233</v>
      </c>
      <c r="C258" s="19">
        <f t="shared" si="239"/>
        <v>62.160811110473361</v>
      </c>
      <c r="D258" s="17">
        <f t="shared" si="240"/>
        <v>6778.6042188895262</v>
      </c>
      <c r="E258" s="17">
        <f t="shared" si="241"/>
        <v>10181.372448889526</v>
      </c>
      <c r="F258" s="17">
        <f t="shared" si="242"/>
        <v>-6981.2296011104736</v>
      </c>
      <c r="G258" s="17">
        <f t="shared" si="243"/>
        <v>-11156.643421110473</v>
      </c>
      <c r="H258" s="17">
        <f t="shared" si="244"/>
        <v>6778.6042188895262</v>
      </c>
      <c r="I258" s="17">
        <f t="shared" si="245"/>
        <v>1539.5274059940896</v>
      </c>
      <c r="J258" s="20">
        <f>(Geraetedaten!$B$152+(Geraetedaten!$B$153*(Geraetedaten!$B$18+d_y_Sw)/1000))*10</f>
        <v>6051.0442000000003</v>
      </c>
      <c r="K258" s="20">
        <f>(Geraetedaten!$B$165+(Geraetedaten!$B$166*(Geraetedaten!$B$18+d_y_Sw)/1000))*10</f>
        <v>10816.164000000001</v>
      </c>
      <c r="L258" s="20">
        <f>(Geraetedaten!$B$158+(Geraetedaten!$B$159*(Geraetedaten!$B$18+d_y_Sw)/1000)-(Geraetedaten!$B$160*I258/1000))*10</f>
        <v>488.64305531845321</v>
      </c>
      <c r="M258" s="20">
        <f>(Geraetedaten!$B$171+(Geraetedaten!$B$172*(Geraetedaten!$B$18+d_y_Sw)/1000)-(Geraetedaten!$B$173*I258/1000))*10</f>
        <v>950.26457989780079</v>
      </c>
      <c r="N258" s="20">
        <f>IF((H258-J258)/(K258-J258)*(Geraetedaten!$B$174-Geraetedaten!$B$161)&lt;Geraetedaten!$B$174,(H258-J258)/(K258-J258)*(Geraetedaten!$B$174-Geraetedaten!$B$161),Geraetedaten!$B$174)</f>
        <v>61.073807117254511</v>
      </c>
      <c r="O258" s="20">
        <f>N258/Geraetedaten!$B$174*(M258-L258)+L258+C258</f>
        <v>621.28632631225662</v>
      </c>
      <c r="P258" s="20">
        <f t="shared" si="246"/>
        <v>214.84900311505842</v>
      </c>
      <c r="Q258" s="21">
        <f>(N258-Geraetedaten!$B$161)/(Geraetedaten!$B$174-Geraetedaten!$B$161)*(Geraetedaten!$B$175-Geraetedaten!$B$162)+Geraetedaten!$B$162</f>
        <v>31.01694576173832</v>
      </c>
      <c r="R258" s="21">
        <f t="shared" si="247"/>
        <v>31.01694576173832</v>
      </c>
      <c r="S258" s="21">
        <f t="shared" si="248"/>
        <v>-18.666463931706375</v>
      </c>
      <c r="T258" s="88">
        <f t="shared" si="249"/>
        <v>-24.771234298535102</v>
      </c>
      <c r="U258" s="86">
        <f t="shared" si="250"/>
        <v>6840.7650299999996</v>
      </c>
      <c r="V258" s="85">
        <f t="shared" si="251"/>
        <v>-1346.4914747781525</v>
      </c>
      <c r="W258" s="85">
        <f t="shared" si="252"/>
        <v>1539.5274059940896</v>
      </c>
      <c r="X258" s="90">
        <f t="shared" si="253"/>
        <v>1346.4914747781525</v>
      </c>
      <c r="Y258" s="86">
        <f t="shared" si="254"/>
        <v>10243.53326</v>
      </c>
      <c r="Z258" s="85">
        <f t="shared" si="255"/>
        <v>-818.62113479844345</v>
      </c>
      <c r="AA258" s="85">
        <f t="shared" si="256"/>
        <v>981.4419257149616</v>
      </c>
      <c r="AB258" s="90">
        <f t="shared" si="257"/>
        <v>818.62113479844345</v>
      </c>
      <c r="AC258" s="86">
        <f t="shared" si="258"/>
        <v>-6919.0687900000003</v>
      </c>
      <c r="AD258" s="85">
        <f t="shared" si="259"/>
        <v>3384.56104615708</v>
      </c>
      <c r="AE258" s="85">
        <f t="shared" si="260"/>
        <v>-3902.7355104917992</v>
      </c>
      <c r="AF258" s="90">
        <f t="shared" si="261"/>
        <v>3384.56104615708</v>
      </c>
      <c r="AG258" s="86">
        <f t="shared" si="262"/>
        <v>-11094.482609999999</v>
      </c>
      <c r="AH258" s="85">
        <f t="shared" si="263"/>
        <v>6139.2748628683721</v>
      </c>
      <c r="AI258" s="85">
        <f t="shared" si="264"/>
        <v>-7624.6717397088369</v>
      </c>
      <c r="AJ258" s="90">
        <f t="shared" si="265"/>
        <v>6139.2748628683721</v>
      </c>
      <c r="AL258" s="95">
        <f t="shared" si="266"/>
        <v>0</v>
      </c>
      <c r="AM258" s="95">
        <f t="shared" si="267"/>
        <v>0</v>
      </c>
      <c r="AN258" s="95">
        <f t="shared" si="268"/>
        <v>0</v>
      </c>
      <c r="AO258" s="95">
        <f t="shared" si="269"/>
        <v>0</v>
      </c>
      <c r="AP258"/>
      <c r="AQ258" s="95">
        <f t="shared" si="270"/>
        <v>0</v>
      </c>
      <c r="AR258" s="95">
        <f t="shared" si="271"/>
        <v>0</v>
      </c>
      <c r="AS258" s="95">
        <f>Geraetedaten!$B$94*ABS(SIN(RADIANS($A258)))</f>
        <v>92.679513565415448</v>
      </c>
      <c r="AT258" s="95">
        <f>Geraetedaten!$B$94*ABS(COS(RADIANS($A258)))</f>
        <v>122.98986854728309</v>
      </c>
      <c r="AU258" s="95">
        <f>((h_Aw_Sw+Geraetedaten!$B$18)/1000)*(AQ258*AS258+AR258*AT258)/100</f>
        <v>0</v>
      </c>
    </row>
    <row r="259" spans="1:47" ht="13.5" x14ac:dyDescent="0.25">
      <c r="A259" s="16">
        <v>218</v>
      </c>
      <c r="B259" s="16">
        <f t="shared" si="238"/>
        <v>232</v>
      </c>
      <c r="C259" s="19">
        <f t="shared" si="239"/>
        <v>62.722548956682388</v>
      </c>
      <c r="D259" s="17">
        <f t="shared" si="240"/>
        <v>6713.5190210433175</v>
      </c>
      <c r="E259" s="17">
        <f t="shared" si="241"/>
        <v>10302.016401043318</v>
      </c>
      <c r="F259" s="17">
        <f t="shared" si="242"/>
        <v>-6914.1821989566824</v>
      </c>
      <c r="G259" s="17">
        <f t="shared" si="243"/>
        <v>-11303.402438956682</v>
      </c>
      <c r="H259" s="17">
        <f t="shared" si="244"/>
        <v>6713.5190210433175</v>
      </c>
      <c r="I259" s="17">
        <f t="shared" si="245"/>
        <v>1525.0062757284104</v>
      </c>
      <c r="J259" s="20">
        <f>(Geraetedaten!$B$152+(Geraetedaten!$B$153*(Geraetedaten!$B$18+d_y_Sw)/1000))*10</f>
        <v>6051.0442000000003</v>
      </c>
      <c r="K259" s="20">
        <f>(Geraetedaten!$B$165+(Geraetedaten!$B$166*(Geraetedaten!$B$18+d_y_Sw)/1000))*10</f>
        <v>10816.164000000001</v>
      </c>
      <c r="L259" s="20">
        <f>(Geraetedaten!$B$158+(Geraetedaten!$B$159*(Geraetedaten!$B$18+d_y_Sw)/1000)-(Geraetedaten!$B$160*I259/1000))*10</f>
        <v>489.7078898008354</v>
      </c>
      <c r="M259" s="20">
        <f>(Geraetedaten!$B$171+(Geraetedaten!$B$172*(Geraetedaten!$B$18+d_y_Sw)/1000)-(Geraetedaten!$B$173*I259/1000))*10</f>
        <v>951.34553283477794</v>
      </c>
      <c r="N259" s="20">
        <f>IF((H259-J259)/(K259-J259)*(Geraetedaten!$B$174-Geraetedaten!$B$161)&lt;Geraetedaten!$B$174,(H259-J259)/(K259-J259)*(Geraetedaten!$B$174-Geraetedaten!$B$161),Geraetedaten!$B$174)</f>
        <v>55.61033920224353</v>
      </c>
      <c r="O259" s="20">
        <f>N259/Geraetedaten!$B$174*(M259-L259)+L259+C259</f>
        <v>616.61000355162219</v>
      </c>
      <c r="P259" s="20">
        <f t="shared" si="246"/>
        <v>214.30798887087786</v>
      </c>
      <c r="Q259" s="21">
        <f>(N259-Geraetedaten!$B$161)/(Geraetedaten!$B$174-Geraetedaten!$B$161)*(Geraetedaten!$B$175-Geraetedaten!$B$162)+Geraetedaten!$B$162</f>
        <v>30.854407591266746</v>
      </c>
      <c r="R259" s="21">
        <f t="shared" si="247"/>
        <v>30.854407591266746</v>
      </c>
      <c r="S259" s="21">
        <f t="shared" si="248"/>
        <v>-18.995870097938472</v>
      </c>
      <c r="T259" s="88">
        <f t="shared" si="249"/>
        <v>-24.313604978083074</v>
      </c>
      <c r="U259" s="86">
        <f t="shared" si="250"/>
        <v>6776.2415700000001</v>
      </c>
      <c r="V259" s="85">
        <f t="shared" si="251"/>
        <v>-1346.4914747781525</v>
      </c>
      <c r="W259" s="85">
        <f t="shared" si="252"/>
        <v>1525.0062757284104</v>
      </c>
      <c r="X259" s="90">
        <f t="shared" si="253"/>
        <v>1346.4914747781525</v>
      </c>
      <c r="Y259" s="86">
        <f t="shared" si="254"/>
        <v>10364.738950000001</v>
      </c>
      <c r="Z259" s="85">
        <f t="shared" si="255"/>
        <v>-818.62113479844345</v>
      </c>
      <c r="AA259" s="85">
        <f t="shared" si="256"/>
        <v>993.05474901630384</v>
      </c>
      <c r="AB259" s="90">
        <f t="shared" si="257"/>
        <v>818.62113479844345</v>
      </c>
      <c r="AC259" s="86">
        <f t="shared" si="258"/>
        <v>-6851.4596499999998</v>
      </c>
      <c r="AD259" s="85">
        <f t="shared" si="259"/>
        <v>3384.56104615708</v>
      </c>
      <c r="AE259" s="85">
        <f t="shared" si="260"/>
        <v>-3864.6002365202239</v>
      </c>
      <c r="AF259" s="90">
        <f t="shared" si="261"/>
        <v>3384.56104615708</v>
      </c>
      <c r="AG259" s="86">
        <f t="shared" si="262"/>
        <v>-11240.679889999999</v>
      </c>
      <c r="AH259" s="85">
        <f t="shared" si="263"/>
        <v>6139.2748628683721</v>
      </c>
      <c r="AI259" s="85">
        <f t="shared" si="264"/>
        <v>-7725.1456673647272</v>
      </c>
      <c r="AJ259" s="90">
        <f t="shared" si="265"/>
        <v>6139.2748628683721</v>
      </c>
      <c r="AL259" s="95">
        <f t="shared" si="266"/>
        <v>0</v>
      </c>
      <c r="AM259" s="95">
        <f t="shared" si="267"/>
        <v>0</v>
      </c>
      <c r="AN259" s="95">
        <f t="shared" si="268"/>
        <v>0</v>
      </c>
      <c r="AO259" s="95">
        <f t="shared" si="269"/>
        <v>0</v>
      </c>
      <c r="AP259"/>
      <c r="AQ259" s="95">
        <f t="shared" si="270"/>
        <v>0</v>
      </c>
      <c r="AR259" s="95">
        <f t="shared" si="271"/>
        <v>0</v>
      </c>
      <c r="AS259" s="95">
        <f>Geraetedaten!$B$94*ABS(SIN(RADIANS($A259)))</f>
        <v>94.811867200151354</v>
      </c>
      <c r="AT259" s="95">
        <f>Geraetedaten!$B$94*ABS(COS(RADIANS($A259)))</f>
        <v>121.3536560554352</v>
      </c>
      <c r="AU259" s="95">
        <f>((h_Aw_Sw+Geraetedaten!$B$18)/1000)*(AQ259*AS259+AR259*AT259)/100</f>
        <v>0</v>
      </c>
    </row>
    <row r="260" spans="1:47" ht="13.5" x14ac:dyDescent="0.25">
      <c r="A260" s="16">
        <v>219</v>
      </c>
      <c r="B260" s="16">
        <f t="shared" si="238"/>
        <v>231</v>
      </c>
      <c r="C260" s="19">
        <f t="shared" si="239"/>
        <v>63.26518090687226</v>
      </c>
      <c r="D260" s="17">
        <f t="shared" si="240"/>
        <v>6651.6850690931278</v>
      </c>
      <c r="E260" s="17">
        <f t="shared" si="241"/>
        <v>10428.816369093129</v>
      </c>
      <c r="F260" s="17">
        <f t="shared" si="242"/>
        <v>-6850.471620906872</v>
      </c>
      <c r="G260" s="17">
        <f t="shared" si="243"/>
        <v>-11457.563980906873</v>
      </c>
      <c r="H260" s="17">
        <f t="shared" si="244"/>
        <v>6651.6850690931278</v>
      </c>
      <c r="I260" s="17">
        <f t="shared" si="245"/>
        <v>1511.2125468558636</v>
      </c>
      <c r="J260" s="20">
        <f>(Geraetedaten!$B$152+(Geraetedaten!$B$153*(Geraetedaten!$B$18+d_y_Sw)/1000))*10</f>
        <v>6051.0442000000003</v>
      </c>
      <c r="K260" s="20">
        <f>(Geraetedaten!$B$165+(Geraetedaten!$B$166*(Geraetedaten!$B$18+d_y_Sw)/1000))*10</f>
        <v>10816.164000000001</v>
      </c>
      <c r="L260" s="20">
        <f>(Geraetedaten!$B$158+(Geraetedaten!$B$159*(Geraetedaten!$B$18+d_y_Sw)/1000)-(Geraetedaten!$B$160*I260/1000))*10</f>
        <v>490.7193839390593</v>
      </c>
      <c r="M260" s="20">
        <f>(Geraetedaten!$B$171+(Geraetedaten!$B$172*(Geraetedaten!$B$18+d_y_Sw)/1000)-(Geraetedaten!$B$173*I260/1000))*10</f>
        <v>952.37233801205048</v>
      </c>
      <c r="N260" s="20">
        <f>IF((H260-J260)/(K260-J260)*(Geraetedaten!$B$174-Geraetedaten!$B$161)&lt;Geraetedaten!$B$174,(H260-J260)/(K260-J260)*(Geraetedaten!$B$174-Geraetedaten!$B$161),Geraetedaten!$B$174)</f>
        <v>50.419791678112901</v>
      </c>
      <c r="O260" s="20">
        <f>N260/Geraetedaten!$B$174*(M260-L260)+L260+C260</f>
        <v>612.17567927579569</v>
      </c>
      <c r="P260" s="20">
        <f t="shared" si="246"/>
        <v>213.79186553623046</v>
      </c>
      <c r="Q260" s="21">
        <f>(N260-Geraetedaten!$B$161)/(Geraetedaten!$B$174-Geraetedaten!$B$161)*(Geraetedaten!$B$175-Geraetedaten!$B$162)+Geraetedaten!$B$162</f>
        <v>30.69998880242386</v>
      </c>
      <c r="R260" s="21">
        <f t="shared" si="247"/>
        <v>30.69998880242386</v>
      </c>
      <c r="S260" s="21">
        <f t="shared" si="248"/>
        <v>-19.320128958367018</v>
      </c>
      <c r="T260" s="88">
        <f t="shared" si="249"/>
        <v>-23.858372314577927</v>
      </c>
      <c r="U260" s="86">
        <f t="shared" si="250"/>
        <v>6714.9502499999999</v>
      </c>
      <c r="V260" s="85">
        <f t="shared" si="251"/>
        <v>-1346.4914747781525</v>
      </c>
      <c r="W260" s="85">
        <f t="shared" si="252"/>
        <v>1511.2125468558636</v>
      </c>
      <c r="X260" s="90">
        <f t="shared" si="253"/>
        <v>1346.4914747781525</v>
      </c>
      <c r="Y260" s="86">
        <f t="shared" si="254"/>
        <v>10492.081550000001</v>
      </c>
      <c r="Z260" s="85">
        <f t="shared" si="255"/>
        <v>-818.62113479844345</v>
      </c>
      <c r="AA260" s="85">
        <f t="shared" si="256"/>
        <v>1005.2555555306513</v>
      </c>
      <c r="AB260" s="90">
        <f t="shared" si="257"/>
        <v>818.62113479844345</v>
      </c>
      <c r="AC260" s="86">
        <f t="shared" si="258"/>
        <v>-6787.2064399999999</v>
      </c>
      <c r="AD260" s="85">
        <f t="shared" si="259"/>
        <v>3384.56104615708</v>
      </c>
      <c r="AE260" s="85">
        <f t="shared" si="260"/>
        <v>-3828.3578925099414</v>
      </c>
      <c r="AF260" s="90">
        <f t="shared" si="261"/>
        <v>3384.56104615708</v>
      </c>
      <c r="AG260" s="86">
        <f t="shared" si="262"/>
        <v>-11394.2988</v>
      </c>
      <c r="AH260" s="85">
        <f t="shared" si="263"/>
        <v>6139.2748628683721</v>
      </c>
      <c r="AI260" s="85">
        <f t="shared" si="264"/>
        <v>-7830.7201055863752</v>
      </c>
      <c r="AJ260" s="90">
        <f t="shared" si="265"/>
        <v>6139.2748628683721</v>
      </c>
      <c r="AL260" s="95">
        <f t="shared" si="266"/>
        <v>0</v>
      </c>
      <c r="AM260" s="95">
        <f t="shared" si="267"/>
        <v>0</v>
      </c>
      <c r="AN260" s="95">
        <f t="shared" si="268"/>
        <v>0</v>
      </c>
      <c r="AO260" s="95">
        <f t="shared" si="269"/>
        <v>0</v>
      </c>
      <c r="AP260"/>
      <c r="AQ260" s="95">
        <f t="shared" si="270"/>
        <v>0</v>
      </c>
      <c r="AR260" s="95">
        <f t="shared" si="271"/>
        <v>0</v>
      </c>
      <c r="AS260" s="95">
        <f>Geraetedaten!$B$94*ABS(SIN(RADIANS($A260)))</f>
        <v>96.915340221674995</v>
      </c>
      <c r="AT260" s="95">
        <f>Geraetedaten!$B$94*ABS(COS(RADIANS($A260)))</f>
        <v>119.6804780643735</v>
      </c>
      <c r="AU260" s="95">
        <f>((h_Aw_Sw+Geraetedaten!$B$18)/1000)*(AQ260*AS260+AR260*AT260)/100</f>
        <v>0</v>
      </c>
    </row>
    <row r="261" spans="1:47" ht="13.5" x14ac:dyDescent="0.25">
      <c r="A261" s="16">
        <v>220</v>
      </c>
      <c r="B261" s="16">
        <f t="shared" si="238"/>
        <v>230</v>
      </c>
      <c r="C261" s="19">
        <f t="shared" si="239"/>
        <v>63.788541670094304</v>
      </c>
      <c r="D261" s="17">
        <f t="shared" si="240"/>
        <v>6592.9787583299058</v>
      </c>
      <c r="E261" s="17">
        <f t="shared" si="241"/>
        <v>10562.080628329906</v>
      </c>
      <c r="F261" s="17">
        <f t="shared" si="242"/>
        <v>-6789.9655416700944</v>
      </c>
      <c r="G261" s="17">
        <f t="shared" si="243"/>
        <v>-11619.532001670093</v>
      </c>
      <c r="H261" s="17">
        <f t="shared" si="244"/>
        <v>6592.9787583299058</v>
      </c>
      <c r="I261" s="17">
        <f t="shared" si="245"/>
        <v>1498.1183613647936</v>
      </c>
      <c r="J261" s="20">
        <f>(Geraetedaten!$B$152+(Geraetedaten!$B$153*(Geraetedaten!$B$18+d_y_Sw)/1000))*10</f>
        <v>6051.0442000000003</v>
      </c>
      <c r="K261" s="20">
        <f>(Geraetedaten!$B$165+(Geraetedaten!$B$166*(Geraetedaten!$B$18+d_y_Sw)/1000))*10</f>
        <v>10816.164000000001</v>
      </c>
      <c r="L261" s="20">
        <f>(Geraetedaten!$B$158+(Geraetedaten!$B$159*(Geraetedaten!$B$18+d_y_Sw)/1000)-(Geraetedaten!$B$160*I261/1000))*10</f>
        <v>491.67958056111945</v>
      </c>
      <c r="M261" s="20">
        <f>(Geraetedaten!$B$171+(Geraetedaten!$B$172*(Geraetedaten!$B$18+d_y_Sw)/1000)-(Geraetedaten!$B$173*I261/1000))*10</f>
        <v>953.34706918000563</v>
      </c>
      <c r="N261" s="20">
        <f>IF((H261-J261)/(K261-J261)*(Geraetedaten!$B$174-Geraetedaten!$B$161)&lt;Geraetedaten!$B$174,(H261-J261)/(K261-J261)*(Geraetedaten!$B$174-Geraetedaten!$B$161),Geraetedaten!$B$174)</f>
        <v>45.49178875460008</v>
      </c>
      <c r="O261" s="20">
        <f>N261/Geraetedaten!$B$174*(M261-L261)+L261+C261</f>
        <v>607.97332189900658</v>
      </c>
      <c r="P261" s="20">
        <f t="shared" si="246"/>
        <v>213.29993055541436</v>
      </c>
      <c r="Q261" s="21">
        <f>(N261-Geraetedaten!$B$161)/(Geraetedaten!$B$174-Geraetedaten!$B$161)*(Geraetedaten!$B$175-Geraetedaten!$B$162)+Geraetedaten!$B$162</f>
        <v>30.55338071544935</v>
      </c>
      <c r="R261" s="21">
        <f t="shared" si="247"/>
        <v>30.55338071544935</v>
      </c>
      <c r="S261" s="21">
        <f t="shared" si="248"/>
        <v>-19.639334557926492</v>
      </c>
      <c r="T261" s="88">
        <f t="shared" si="249"/>
        <v>-23.405247515568519</v>
      </c>
      <c r="U261" s="86">
        <f t="shared" si="250"/>
        <v>6656.7673000000004</v>
      </c>
      <c r="V261" s="85">
        <f t="shared" si="251"/>
        <v>-1346.4914747781525</v>
      </c>
      <c r="W261" s="85">
        <f t="shared" si="252"/>
        <v>1498.1183613647936</v>
      </c>
      <c r="X261" s="90">
        <f t="shared" si="253"/>
        <v>1346.4914747781525</v>
      </c>
      <c r="Y261" s="86">
        <f t="shared" si="254"/>
        <v>10625.86917</v>
      </c>
      <c r="Z261" s="85">
        <f t="shared" si="255"/>
        <v>-818.62113479844345</v>
      </c>
      <c r="AA261" s="85">
        <f t="shared" si="256"/>
        <v>1018.0738654948572</v>
      </c>
      <c r="AB261" s="90">
        <f t="shared" si="257"/>
        <v>818.62113479844345</v>
      </c>
      <c r="AC261" s="86">
        <f t="shared" si="258"/>
        <v>-6726.1769999999997</v>
      </c>
      <c r="AD261" s="85">
        <f t="shared" si="259"/>
        <v>3384.56104615708</v>
      </c>
      <c r="AE261" s="85">
        <f t="shared" si="260"/>
        <v>-3793.9339284133207</v>
      </c>
      <c r="AF261" s="90">
        <f t="shared" si="261"/>
        <v>3384.56104615708</v>
      </c>
      <c r="AG261" s="86">
        <f t="shared" si="262"/>
        <v>-11555.74346</v>
      </c>
      <c r="AH261" s="85">
        <f t="shared" si="263"/>
        <v>6139.2748628683721</v>
      </c>
      <c r="AI261" s="85">
        <f t="shared" si="264"/>
        <v>-7941.6727866901392</v>
      </c>
      <c r="AJ261" s="90">
        <f t="shared" si="265"/>
        <v>6139.2748628683721</v>
      </c>
      <c r="AL261" s="95">
        <f t="shared" si="266"/>
        <v>0</v>
      </c>
      <c r="AM261" s="95">
        <f t="shared" si="267"/>
        <v>0</v>
      </c>
      <c r="AN261" s="95">
        <f t="shared" si="268"/>
        <v>0</v>
      </c>
      <c r="AO261" s="95">
        <f t="shared" si="269"/>
        <v>0</v>
      </c>
      <c r="AP261"/>
      <c r="AQ261" s="95">
        <f t="shared" si="270"/>
        <v>0</v>
      </c>
      <c r="AR261" s="95">
        <f t="shared" si="271"/>
        <v>0</v>
      </c>
      <c r="AS261" s="95">
        <f>Geraetedaten!$B$94*ABS(SIN(RADIANS($A261)))</f>
        <v>98.989291891727049</v>
      </c>
      <c r="AT261" s="95">
        <f>Geraetedaten!$B$94*ABS(COS(RADIANS($A261)))</f>
        <v>117.97084424032262</v>
      </c>
      <c r="AU261" s="95">
        <f>((h_Aw_Sw+Geraetedaten!$B$18)/1000)*(AQ261*AS261+AR261*AT261)/100</f>
        <v>0</v>
      </c>
    </row>
    <row r="262" spans="1:47" ht="13.5" x14ac:dyDescent="0.25">
      <c r="A262" s="16">
        <v>221</v>
      </c>
      <c r="B262" s="16">
        <f t="shared" si="238"/>
        <v>229</v>
      </c>
      <c r="C262" s="19">
        <f t="shared" si="239"/>
        <v>64.292471825590169</v>
      </c>
      <c r="D262" s="17">
        <f t="shared" si="240"/>
        <v>6537.2851281744097</v>
      </c>
      <c r="E262" s="17">
        <f t="shared" si="241"/>
        <v>10702.142248174408</v>
      </c>
      <c r="F262" s="17">
        <f t="shared" si="242"/>
        <v>-6732.5408918255898</v>
      </c>
      <c r="G262" s="17">
        <f t="shared" si="243"/>
        <v>-11789.744361825591</v>
      </c>
      <c r="H262" s="17">
        <f t="shared" si="244"/>
        <v>6537.2851281744097</v>
      </c>
      <c r="I262" s="17">
        <f t="shared" si="245"/>
        <v>1485.6978110489895</v>
      </c>
      <c r="J262" s="20">
        <f>(Geraetedaten!$B$152+(Geraetedaten!$B$153*(Geraetedaten!$B$18+d_y_Sw)/1000))*10</f>
        <v>6051.0442000000003</v>
      </c>
      <c r="K262" s="20">
        <f>(Geraetedaten!$B$165+(Geraetedaten!$B$166*(Geraetedaten!$B$18+d_y_Sw)/1000))*10</f>
        <v>10816.164000000001</v>
      </c>
      <c r="L262" s="20">
        <f>(Geraetedaten!$B$158+(Geraetedaten!$B$159*(Geraetedaten!$B$18+d_y_Sw)/1000)-(Geraetedaten!$B$160*I262/1000))*10</f>
        <v>492.59037951577739</v>
      </c>
      <c r="M262" s="20">
        <f>(Geraetedaten!$B$171+(Geraetedaten!$B$172*(Geraetedaten!$B$18+d_y_Sw)/1000)-(Geraetedaten!$B$173*I262/1000))*10</f>
        <v>954.27165494551423</v>
      </c>
      <c r="N262" s="20">
        <f>IF((H262-J262)/(K262-J262)*(Geraetedaten!$B$174-Geraetedaten!$B$161)&lt;Geraetedaten!$B$174,(H262-J262)/(K262-J262)*(Geraetedaten!$B$174-Geraetedaten!$B$161),Geraetedaten!$B$174)</f>
        <v>40.816680258440456</v>
      </c>
      <c r="O262" s="20">
        <f>N262/Geraetedaten!$B$174*(M262-L262)+L262+C262</f>
        <v>603.99359384267893</v>
      </c>
      <c r="P262" s="20">
        <f t="shared" si="246"/>
        <v>212.83151287264411</v>
      </c>
      <c r="Q262" s="21">
        <f>(N262-Geraetedaten!$B$161)/(Geraetedaten!$B$174-Geraetedaten!$B$161)*(Geraetedaten!$B$175-Geraetedaten!$B$162)+Geraetedaten!$B$162</f>
        <v>30.414296237688603</v>
      </c>
      <c r="R262" s="21">
        <f t="shared" si="247"/>
        <v>30.414296237688603</v>
      </c>
      <c r="S262" s="21">
        <f t="shared" si="248"/>
        <v>-19.953573657127617</v>
      </c>
      <c r="T262" s="88">
        <f t="shared" si="249"/>
        <v>-22.953960746317005</v>
      </c>
      <c r="U262" s="86">
        <f t="shared" si="250"/>
        <v>6601.5775999999996</v>
      </c>
      <c r="V262" s="85">
        <f t="shared" si="251"/>
        <v>-1346.4914747781525</v>
      </c>
      <c r="W262" s="85">
        <f t="shared" si="252"/>
        <v>1485.6978110489895</v>
      </c>
      <c r="X262" s="90">
        <f t="shared" si="253"/>
        <v>1346.4914747781525</v>
      </c>
      <c r="Y262" s="86">
        <f t="shared" si="254"/>
        <v>10766.434719999999</v>
      </c>
      <c r="Z262" s="85">
        <f t="shared" si="255"/>
        <v>-818.62113479844345</v>
      </c>
      <c r="AA262" s="85">
        <f t="shared" si="256"/>
        <v>1031.5415737837559</v>
      </c>
      <c r="AB262" s="90">
        <f t="shared" si="257"/>
        <v>818.62113479844345</v>
      </c>
      <c r="AC262" s="86">
        <f t="shared" si="258"/>
        <v>-6668.2484199999999</v>
      </c>
      <c r="AD262" s="85">
        <f t="shared" si="259"/>
        <v>3384.56104615708</v>
      </c>
      <c r="AE262" s="85">
        <f t="shared" si="260"/>
        <v>-3761.2590222492358</v>
      </c>
      <c r="AF262" s="90">
        <f t="shared" si="261"/>
        <v>3384.56104615708</v>
      </c>
      <c r="AG262" s="86">
        <f t="shared" si="262"/>
        <v>-11725.45189</v>
      </c>
      <c r="AH262" s="85">
        <f t="shared" si="263"/>
        <v>6139.2748628683721</v>
      </c>
      <c r="AI262" s="85">
        <f t="shared" si="264"/>
        <v>-8058.3047289858141</v>
      </c>
      <c r="AJ262" s="90">
        <f t="shared" si="265"/>
        <v>6139.2748628683721</v>
      </c>
      <c r="AL262" s="95">
        <f t="shared" si="266"/>
        <v>0</v>
      </c>
      <c r="AM262" s="95">
        <f t="shared" si="267"/>
        <v>0</v>
      </c>
      <c r="AN262" s="95">
        <f t="shared" si="268"/>
        <v>0</v>
      </c>
      <c r="AO262" s="95">
        <f t="shared" si="269"/>
        <v>0</v>
      </c>
      <c r="AP262"/>
      <c r="AQ262" s="95">
        <f t="shared" si="270"/>
        <v>0</v>
      </c>
      <c r="AR262" s="95">
        <f t="shared" si="271"/>
        <v>0</v>
      </c>
      <c r="AS262" s="95">
        <f>Geraetedaten!$B$94*ABS(SIN(RADIANS($A262)))</f>
        <v>101.03309046453809</v>
      </c>
      <c r="AT262" s="95">
        <f>Geraetedaten!$B$94*ABS(COS(RADIANS($A262)))</f>
        <v>116.2252753543069</v>
      </c>
      <c r="AU262" s="95">
        <f>((h_Aw_Sw+Geraetedaten!$B$18)/1000)*(AQ262*AS262+AR262*AT262)/100</f>
        <v>0</v>
      </c>
    </row>
    <row r="263" spans="1:47" ht="13.5" x14ac:dyDescent="0.25">
      <c r="A263" s="16">
        <v>222</v>
      </c>
      <c r="B263" s="16">
        <f t="shared" si="238"/>
        <v>228</v>
      </c>
      <c r="C263" s="19">
        <f t="shared" si="239"/>
        <v>64.776817871352804</v>
      </c>
      <c r="D263" s="17">
        <f t="shared" si="240"/>
        <v>6484.4972421286466</v>
      </c>
      <c r="E263" s="17">
        <f t="shared" si="241"/>
        <v>10849.361392128647</v>
      </c>
      <c r="F263" s="17">
        <f t="shared" si="242"/>
        <v>-6678.0832178713536</v>
      </c>
      <c r="G263" s="17">
        <f t="shared" si="243"/>
        <v>-11968.676217871352</v>
      </c>
      <c r="H263" s="17">
        <f t="shared" si="244"/>
        <v>6484.4972421286466</v>
      </c>
      <c r="I263" s="17">
        <f t="shared" si="245"/>
        <v>1473.9267997163215</v>
      </c>
      <c r="J263" s="20">
        <f>(Geraetedaten!$B$152+(Geraetedaten!$B$153*(Geraetedaten!$B$18+d_y_Sw)/1000))*10</f>
        <v>6051.0442000000003</v>
      </c>
      <c r="K263" s="20">
        <f>(Geraetedaten!$B$165+(Geraetedaten!$B$166*(Geraetedaten!$B$18+d_y_Sw)/1000))*10</f>
        <v>10816.164000000001</v>
      </c>
      <c r="L263" s="20">
        <f>(Geraetedaten!$B$158+(Geraetedaten!$B$159*(Geraetedaten!$B$18+d_y_Sw)/1000)-(Geraetedaten!$B$160*I263/1000))*10</f>
        <v>493.45354777680194</v>
      </c>
      <c r="M263" s="20">
        <f>(Geraetedaten!$B$171+(Geraetedaten!$B$172*(Geraetedaten!$B$18+d_y_Sw)/1000)-(Geraetedaten!$B$173*I263/1000))*10</f>
        <v>955.14788902911801</v>
      </c>
      <c r="N263" s="20">
        <f>IF((H263-J263)/(K263-J263)*(Geraetedaten!$B$174-Geraetedaten!$B$161)&lt;Geraetedaten!$B$174,(H263-J263)/(K263-J263)*(Geraetedaten!$B$174-Geraetedaten!$B$161),Geraetedaten!$B$174)</f>
        <v>36.385489584429443</v>
      </c>
      <c r="O263" s="20">
        <f>N263/Geraetedaten!$B$174*(M263-L263)+L263+C263</f>
        <v>600.22780226022019</v>
      </c>
      <c r="P263" s="20">
        <f t="shared" si="246"/>
        <v>212.38597209513824</v>
      </c>
      <c r="Q263" s="21">
        <f>(N263-Geraetedaten!$B$161)/(Geraetedaten!$B$174-Geraetedaten!$B$161)*(Geraetedaten!$B$175-Geraetedaten!$B$162)+Geraetedaten!$B$162</f>
        <v>30.282468315136775</v>
      </c>
      <c r="R263" s="21">
        <f t="shared" si="247"/>
        <v>30.282468315136775</v>
      </c>
      <c r="S263" s="21">
        <f t="shared" si="248"/>
        <v>-20.262926385750383</v>
      </c>
      <c r="T263" s="88">
        <f t="shared" si="249"/>
        <v>-22.504259631077041</v>
      </c>
      <c r="U263" s="86">
        <f t="shared" si="250"/>
        <v>6549.2740599999997</v>
      </c>
      <c r="V263" s="85">
        <f t="shared" si="251"/>
        <v>-1346.4914747781525</v>
      </c>
      <c r="W263" s="85">
        <f t="shared" si="252"/>
        <v>1473.9267997163215</v>
      </c>
      <c r="X263" s="90">
        <f t="shared" si="253"/>
        <v>1346.4914747781525</v>
      </c>
      <c r="Y263" s="86">
        <f t="shared" si="254"/>
        <v>10914.138209999999</v>
      </c>
      <c r="Z263" s="85">
        <f t="shared" si="255"/>
        <v>-818.62113479844345</v>
      </c>
      <c r="AA263" s="85">
        <f t="shared" si="256"/>
        <v>1045.6931755929697</v>
      </c>
      <c r="AB263" s="90">
        <f t="shared" si="257"/>
        <v>818.62113479844345</v>
      </c>
      <c r="AC263" s="86">
        <f t="shared" si="258"/>
        <v>-6613.3064000000004</v>
      </c>
      <c r="AD263" s="85">
        <f t="shared" si="259"/>
        <v>3384.56104615708</v>
      </c>
      <c r="AE263" s="85">
        <f t="shared" si="260"/>
        <v>-3730.2687029524486</v>
      </c>
      <c r="AF263" s="90">
        <f t="shared" si="261"/>
        <v>3384.56104615708</v>
      </c>
      <c r="AG263" s="86">
        <f t="shared" si="262"/>
        <v>-11903.8994</v>
      </c>
      <c r="AH263" s="85">
        <f t="shared" si="263"/>
        <v>6139.2748628683721</v>
      </c>
      <c r="AI263" s="85">
        <f t="shared" si="264"/>
        <v>-8180.9425982412149</v>
      </c>
      <c r="AJ263" s="90">
        <f t="shared" si="265"/>
        <v>6139.2748628683721</v>
      </c>
      <c r="AL263" s="95">
        <f t="shared" si="266"/>
        <v>0</v>
      </c>
      <c r="AM263" s="95">
        <f t="shared" si="267"/>
        <v>0</v>
      </c>
      <c r="AN263" s="95">
        <f t="shared" si="268"/>
        <v>0</v>
      </c>
      <c r="AO263" s="95">
        <f t="shared" si="269"/>
        <v>0</v>
      </c>
      <c r="AP263"/>
      <c r="AQ263" s="95">
        <f t="shared" si="270"/>
        <v>0</v>
      </c>
      <c r="AR263" s="95">
        <f t="shared" si="271"/>
        <v>0</v>
      </c>
      <c r="AS263" s="95">
        <f>Geraetedaten!$B$94*ABS(SIN(RADIANS($A263)))</f>
        <v>103.04611337926417</v>
      </c>
      <c r="AT263" s="95">
        <f>Geraetedaten!$B$94*ABS(COS(RADIANS($A263)))</f>
        <v>114.44430312351871</v>
      </c>
      <c r="AU263" s="95">
        <f>((h_Aw_Sw+Geraetedaten!$B$18)/1000)*(AQ263*AS263+AR263*AT263)/100</f>
        <v>0</v>
      </c>
    </row>
    <row r="264" spans="1:47" ht="13.5" x14ac:dyDescent="0.25">
      <c r="A264" s="16">
        <v>223</v>
      </c>
      <c r="B264" s="16">
        <f t="shared" si="238"/>
        <v>227</v>
      </c>
      <c r="C264" s="19">
        <f t="shared" si="239"/>
        <v>65.241432270884687</v>
      </c>
      <c r="D264" s="17">
        <f t="shared" si="240"/>
        <v>6434.5156977291153</v>
      </c>
      <c r="E264" s="17">
        <f t="shared" si="241"/>
        <v>11004.128037729115</v>
      </c>
      <c r="F264" s="17">
        <f t="shared" si="242"/>
        <v>-6626.4860822708843</v>
      </c>
      <c r="G264" s="17">
        <f t="shared" si="243"/>
        <v>-12156.843952270885</v>
      </c>
      <c r="H264" s="17">
        <f t="shared" si="244"/>
        <v>6434.5156977291153</v>
      </c>
      <c r="I264" s="17">
        <f t="shared" si="245"/>
        <v>1462.7829182669525</v>
      </c>
      <c r="J264" s="20">
        <f>(Geraetedaten!$B$152+(Geraetedaten!$B$153*(Geraetedaten!$B$18+d_y_Sw)/1000))*10</f>
        <v>6051.0442000000003</v>
      </c>
      <c r="K264" s="20">
        <f>(Geraetedaten!$B$165+(Geraetedaten!$B$166*(Geraetedaten!$B$18+d_y_Sw)/1000))*10</f>
        <v>10816.164000000001</v>
      </c>
      <c r="L264" s="20">
        <f>(Geraetedaten!$B$158+(Geraetedaten!$B$159*(Geraetedaten!$B$18+d_y_Sw)/1000)-(Geraetedaten!$B$160*I264/1000))*10</f>
        <v>494.27072860348414</v>
      </c>
      <c r="M264" s="20">
        <f>(Geraetedaten!$B$171+(Geraetedaten!$B$172*(Geraetedaten!$B$18+d_y_Sw)/1000)-(Geraetedaten!$B$173*I264/1000))*10</f>
        <v>955.97743956420902</v>
      </c>
      <c r="N264" s="20">
        <f>IF((H264-J264)/(K264-J264)*(Geraetedaten!$B$174-Geraetedaten!$B$161)&lt;Geraetedaten!$B$174,(H264-J264)/(K264-J264)*(Geraetedaten!$B$174-Geraetedaten!$B$161),Geraetedaten!$B$174)</f>
        <v>32.189872559268295</v>
      </c>
      <c r="O264" s="20">
        <f>N264/Geraetedaten!$B$174*(M264-L264)+L264+C264</f>
        <v>596.66786133833045</v>
      </c>
      <c r="P264" s="20">
        <f t="shared" si="246"/>
        <v>211.96269885152461</v>
      </c>
      <c r="Q264" s="21">
        <f>(N264-Geraetedaten!$B$161)/(Geraetedaten!$B$174-Geraetedaten!$B$161)*(Geraetedaten!$B$175-Geraetedaten!$B$162)+Geraetedaten!$B$162</f>
        <v>30.157648708638231</v>
      </c>
      <c r="R264" s="21">
        <f t="shared" si="247"/>
        <v>30.157648708638231</v>
      </c>
      <c r="S264" s="21">
        <f t="shared" si="248"/>
        <v>-20.567466962632196</v>
      </c>
      <c r="T264" s="88">
        <f t="shared" si="249"/>
        <v>-22.055908015193168</v>
      </c>
      <c r="U264" s="86">
        <f t="shared" si="250"/>
        <v>6499.75713</v>
      </c>
      <c r="V264" s="85">
        <f t="shared" si="251"/>
        <v>-1346.4914747781525</v>
      </c>
      <c r="W264" s="85">
        <f t="shared" si="252"/>
        <v>1462.7829182669525</v>
      </c>
      <c r="X264" s="90">
        <f t="shared" si="253"/>
        <v>1346.4914747781525</v>
      </c>
      <c r="Y264" s="86">
        <f t="shared" si="254"/>
        <v>11069.36947</v>
      </c>
      <c r="Z264" s="85">
        <f t="shared" si="255"/>
        <v>-818.62113479844345</v>
      </c>
      <c r="AA264" s="85">
        <f t="shared" si="256"/>
        <v>1060.5660191584554</v>
      </c>
      <c r="AB264" s="90">
        <f t="shared" si="257"/>
        <v>818.62113479844345</v>
      </c>
      <c r="AC264" s="86">
        <f t="shared" si="258"/>
        <v>-6561.2446499999996</v>
      </c>
      <c r="AD264" s="85">
        <f t="shared" si="259"/>
        <v>3384.56104615708</v>
      </c>
      <c r="AE264" s="85">
        <f t="shared" si="260"/>
        <v>-3700.9030087195174</v>
      </c>
      <c r="AF264" s="90">
        <f t="shared" si="261"/>
        <v>3384.56104615708</v>
      </c>
      <c r="AG264" s="86">
        <f t="shared" si="262"/>
        <v>-12091.60252</v>
      </c>
      <c r="AH264" s="85">
        <f t="shared" si="263"/>
        <v>6139.2748628683721</v>
      </c>
      <c r="AI264" s="85">
        <f t="shared" si="264"/>
        <v>-8309.9413682336617</v>
      </c>
      <c r="AJ264" s="90">
        <f t="shared" si="265"/>
        <v>6139.2748628683721</v>
      </c>
      <c r="AL264" s="95">
        <f t="shared" si="266"/>
        <v>0</v>
      </c>
      <c r="AM264" s="95">
        <f t="shared" si="267"/>
        <v>0</v>
      </c>
      <c r="AN264" s="95">
        <f t="shared" si="268"/>
        <v>0</v>
      </c>
      <c r="AO264" s="95">
        <f t="shared" si="269"/>
        <v>0</v>
      </c>
      <c r="AP264"/>
      <c r="AQ264" s="95">
        <f t="shared" si="270"/>
        <v>0</v>
      </c>
      <c r="AR264" s="95">
        <f t="shared" si="271"/>
        <v>0</v>
      </c>
      <c r="AS264" s="95">
        <f>Geraetedaten!$B$94*ABS(SIN(RADIANS($A264)))</f>
        <v>105.02774744962475</v>
      </c>
      <c r="AT264" s="95">
        <f>Geraetedaten!$B$94*ABS(COS(RADIANS($A264)))</f>
        <v>112.62847004935227</v>
      </c>
      <c r="AU264" s="95">
        <f>((h_Aw_Sw+Geraetedaten!$B$18)/1000)*(AQ264*AS264+AR264*AT264)/100</f>
        <v>0</v>
      </c>
    </row>
    <row r="265" spans="1:47" ht="13.5" x14ac:dyDescent="0.25">
      <c r="A265" s="16">
        <v>224</v>
      </c>
      <c r="B265" s="16">
        <f t="shared" si="238"/>
        <v>226</v>
      </c>
      <c r="C265" s="19">
        <f t="shared" si="239"/>
        <v>65.686173498138942</v>
      </c>
      <c r="D265" s="17">
        <f t="shared" si="240"/>
        <v>6387.2480465018616</v>
      </c>
      <c r="E265" s="17">
        <f t="shared" si="241"/>
        <v>11166.864876501861</v>
      </c>
      <c r="F265" s="17">
        <f t="shared" si="242"/>
        <v>-6577.6504634981393</v>
      </c>
      <c r="G265" s="17">
        <f t="shared" si="243"/>
        <v>-12354.809473498139</v>
      </c>
      <c r="H265" s="17">
        <f t="shared" si="244"/>
        <v>6387.2480465018616</v>
      </c>
      <c r="I265" s="17">
        <f t="shared" si="245"/>
        <v>1452.2453313487397</v>
      </c>
      <c r="J265" s="20">
        <f>(Geraetedaten!$B$152+(Geraetedaten!$B$153*(Geraetedaten!$B$18+d_y_Sw)/1000))*10</f>
        <v>6051.0442000000003</v>
      </c>
      <c r="K265" s="20">
        <f>(Geraetedaten!$B$165+(Geraetedaten!$B$166*(Geraetedaten!$B$18+d_y_Sw)/1000))*10</f>
        <v>10816.164000000001</v>
      </c>
      <c r="L265" s="20">
        <f>(Geraetedaten!$B$158+(Geraetedaten!$B$159*(Geraetedaten!$B$18+d_y_Sw)/1000)-(Geraetedaten!$B$160*I265/1000))*10</f>
        <v>495.04344985219666</v>
      </c>
      <c r="M265" s="20">
        <f>(Geraetedaten!$B$171+(Geraetedaten!$B$172*(Geraetedaten!$B$18+d_y_Sw)/1000)-(Geraetedaten!$B$173*I265/1000))*10</f>
        <v>956.76185753440086</v>
      </c>
      <c r="N265" s="20">
        <f>IF((H265-J265)/(K265-J265)*(Geraetedaten!$B$174-Geraetedaten!$B$161)&lt;Geraetedaten!$B$174,(H265-J265)/(K265-J265)*(Geraetedaten!$B$174-Geraetedaten!$B$161),Geraetedaten!$B$174)</f>
        <v>28.222068750662789</v>
      </c>
      <c r="O265" s="20">
        <f>N265/Geraetedaten!$B$174*(M265-L265)+L265+C265</f>
        <v>593.30624496296991</v>
      </c>
      <c r="P265" s="20">
        <f t="shared" si="246"/>
        <v>211.56111295127079</v>
      </c>
      <c r="Q265" s="21">
        <f>(N265-Geraetedaten!$B$161)/(Geraetedaten!$B$174-Geraetedaten!$B$161)*(Geraetedaten!$B$175-Geraetedaten!$B$162)+Geraetedaten!$B$162</f>
        <v>30.039606545332216</v>
      </c>
      <c r="R265" s="21">
        <f t="shared" si="247"/>
        <v>30.039606545332216</v>
      </c>
      <c r="S265" s="21">
        <f t="shared" si="248"/>
        <v>-20.867264132009907</v>
      </c>
      <c r="T265" s="88">
        <f t="shared" si="249"/>
        <v>-21.608684574570912</v>
      </c>
      <c r="U265" s="86">
        <f t="shared" si="250"/>
        <v>6452.9342200000001</v>
      </c>
      <c r="V265" s="85">
        <f t="shared" si="251"/>
        <v>-1346.4914747781525</v>
      </c>
      <c r="W265" s="85">
        <f t="shared" si="252"/>
        <v>1452.2453313487397</v>
      </c>
      <c r="X265" s="90">
        <f t="shared" si="253"/>
        <v>1346.4914747781525</v>
      </c>
      <c r="Y265" s="86">
        <f t="shared" si="254"/>
        <v>11232.55105</v>
      </c>
      <c r="Z265" s="85">
        <f t="shared" si="255"/>
        <v>-818.62113479844345</v>
      </c>
      <c r="AA265" s="85">
        <f t="shared" si="256"/>
        <v>1076.2005893218463</v>
      </c>
      <c r="AB265" s="90">
        <f t="shared" si="257"/>
        <v>818.62113479844345</v>
      </c>
      <c r="AC265" s="86">
        <f t="shared" si="258"/>
        <v>-6511.9642899999999</v>
      </c>
      <c r="AD265" s="85">
        <f t="shared" si="259"/>
        <v>3384.56104615708</v>
      </c>
      <c r="AE265" s="85">
        <f t="shared" si="260"/>
        <v>-3673.106177228025</v>
      </c>
      <c r="AF265" s="90">
        <f t="shared" si="261"/>
        <v>3384.56104615708</v>
      </c>
      <c r="AG265" s="86">
        <f t="shared" si="262"/>
        <v>-12289.123299999999</v>
      </c>
      <c r="AH265" s="85">
        <f t="shared" si="263"/>
        <v>6139.2748628683721</v>
      </c>
      <c r="AI265" s="85">
        <f t="shared" si="264"/>
        <v>-8445.6873252047208</v>
      </c>
      <c r="AJ265" s="90">
        <f t="shared" si="265"/>
        <v>6139.2748628683721</v>
      </c>
      <c r="AL265" s="95">
        <f t="shared" si="266"/>
        <v>0</v>
      </c>
      <c r="AM265" s="95">
        <f t="shared" si="267"/>
        <v>0</v>
      </c>
      <c r="AN265" s="95">
        <f t="shared" si="268"/>
        <v>0</v>
      </c>
      <c r="AO265" s="95">
        <f t="shared" si="269"/>
        <v>0</v>
      </c>
      <c r="AP265"/>
      <c r="AQ265" s="95">
        <f t="shared" si="270"/>
        <v>0</v>
      </c>
      <c r="AR265" s="95">
        <f t="shared" si="271"/>
        <v>0</v>
      </c>
      <c r="AS265" s="95">
        <f>Geraetedaten!$B$94*ABS(SIN(RADIANS($A265)))</f>
        <v>106.97738905068559</v>
      </c>
      <c r="AT265" s="95">
        <f>Geraetedaten!$B$94*ABS(COS(RADIANS($A265)))</f>
        <v>110.77832925215226</v>
      </c>
      <c r="AU265" s="95">
        <f>((h_Aw_Sw+Geraetedaten!$B$18)/1000)*(AQ265*AS265+AR265*AT265)/100</f>
        <v>0</v>
      </c>
    </row>
    <row r="266" spans="1:47" ht="13.5" x14ac:dyDescent="0.25">
      <c r="A266" s="16">
        <v>225</v>
      </c>
      <c r="B266" s="16">
        <f t="shared" si="238"/>
        <v>225</v>
      </c>
      <c r="C266" s="19">
        <f t="shared" si="239"/>
        <v>66.110906080629391</v>
      </c>
      <c r="D266" s="17">
        <f t="shared" si="240"/>
        <v>6342.6083739193709</v>
      </c>
      <c r="E266" s="17">
        <f t="shared" si="241"/>
        <v>11338.03064391937</v>
      </c>
      <c r="F266" s="17">
        <f t="shared" si="242"/>
        <v>-6531.484336080629</v>
      </c>
      <c r="G266" s="17">
        <f t="shared" si="243"/>
        <v>-12563.185256080631</v>
      </c>
      <c r="H266" s="17">
        <f t="shared" si="244"/>
        <v>6342.6083739193709</v>
      </c>
      <c r="I266" s="17">
        <f t="shared" si="245"/>
        <v>1442.2946744495857</v>
      </c>
      <c r="J266" s="20">
        <f>(Geraetedaten!$B$152+(Geraetedaten!$B$153*(Geraetedaten!$B$18+d_y_Sw)/1000))*10</f>
        <v>6051.0442000000003</v>
      </c>
      <c r="K266" s="20">
        <f>(Geraetedaten!$B$165+(Geraetedaten!$B$166*(Geraetedaten!$B$18+d_y_Sw)/1000))*10</f>
        <v>10816.164000000001</v>
      </c>
      <c r="L266" s="20">
        <f>(Geraetedaten!$B$158+(Geraetedaten!$B$159*(Geraetedaten!$B$18+d_y_Sw)/1000)-(Geraetedaten!$B$160*I266/1000))*10</f>
        <v>495.77313152261161</v>
      </c>
      <c r="M266" s="20">
        <f>(Geraetedaten!$B$171+(Geraetedaten!$B$172*(Geraetedaten!$B$18+d_y_Sw)/1000)-(Geraetedaten!$B$173*I266/1000))*10</f>
        <v>957.50258443397365</v>
      </c>
      <c r="N266" s="20">
        <f>IF((H266-J266)/(K266-J266)*(Geraetedaten!$B$174-Geraetedaten!$B$161)&lt;Geraetedaten!$B$174,(H266-J266)/(K266-J266)*(Geraetedaten!$B$174-Geraetedaten!$B$161),Geraetedaten!$B$174)</f>
        <v>24.474866207508207</v>
      </c>
      <c r="O266" s="20">
        <f>N266/Geraetedaten!$B$174*(M266-L266)+L266+C266</f>
        <v>590.13595406341994</v>
      </c>
      <c r="P266" s="20">
        <f t="shared" si="246"/>
        <v>211.18066336950216</v>
      </c>
      <c r="Q266" s="21">
        <f>(N266-Geraetedaten!$B$161)/(Geraetedaten!$B$174-Geraetedaten!$B$161)*(Geraetedaten!$B$175-Geraetedaten!$B$162)+Geraetedaten!$B$162</f>
        <v>29.928127269673368</v>
      </c>
      <c r="R266" s="21">
        <f t="shared" si="247"/>
        <v>29.928127269673368</v>
      </c>
      <c r="S266" s="21">
        <f t="shared" si="248"/>
        <v>-21.162381740600072</v>
      </c>
      <c r="T266" s="88">
        <f t="shared" si="249"/>
        <v>-21.162381740600075</v>
      </c>
      <c r="U266" s="86">
        <f t="shared" si="250"/>
        <v>6408.7192800000003</v>
      </c>
      <c r="V266" s="85">
        <f t="shared" si="251"/>
        <v>-1346.4914747781525</v>
      </c>
      <c r="W266" s="85">
        <f t="shared" si="252"/>
        <v>1442.2946744495857</v>
      </c>
      <c r="X266" s="90">
        <f t="shared" si="253"/>
        <v>1346.4914747781525</v>
      </c>
      <c r="Y266" s="86">
        <f t="shared" si="254"/>
        <v>11404.14155</v>
      </c>
      <c r="Z266" s="85">
        <f t="shared" si="255"/>
        <v>-818.62113479844345</v>
      </c>
      <c r="AA266" s="85">
        <f t="shared" si="256"/>
        <v>1092.6408263794272</v>
      </c>
      <c r="AB266" s="90">
        <f t="shared" si="257"/>
        <v>818.62113479844345</v>
      </c>
      <c r="AC266" s="86">
        <f t="shared" si="258"/>
        <v>-6465.3734299999996</v>
      </c>
      <c r="AD266" s="85">
        <f t="shared" si="259"/>
        <v>3384.56104615708</v>
      </c>
      <c r="AE266" s="85">
        <f t="shared" si="260"/>
        <v>-3646.8263645368811</v>
      </c>
      <c r="AF266" s="90">
        <f t="shared" si="261"/>
        <v>3384.56104615708</v>
      </c>
      <c r="AG266" s="86">
        <f t="shared" si="262"/>
        <v>-12497.074350000001</v>
      </c>
      <c r="AH266" s="85">
        <f t="shared" si="263"/>
        <v>6139.2748628683721</v>
      </c>
      <c r="AI266" s="85">
        <f t="shared" si="264"/>
        <v>-8588.6014688975374</v>
      </c>
      <c r="AJ266" s="90">
        <f t="shared" si="265"/>
        <v>6139.2748628683721</v>
      </c>
      <c r="AL266" s="95">
        <f t="shared" si="266"/>
        <v>0</v>
      </c>
      <c r="AM266" s="95">
        <f t="shared" si="267"/>
        <v>0</v>
      </c>
      <c r="AN266" s="95">
        <f t="shared" si="268"/>
        <v>0</v>
      </c>
      <c r="AO266" s="95">
        <f t="shared" si="269"/>
        <v>0</v>
      </c>
      <c r="AP266"/>
      <c r="AQ266" s="95">
        <f t="shared" si="270"/>
        <v>0</v>
      </c>
      <c r="AR266" s="95">
        <f t="shared" si="271"/>
        <v>0</v>
      </c>
      <c r="AS266" s="95">
        <f>Geraetedaten!$B$94*ABS(SIN(RADIANS($A266)))</f>
        <v>108.8944443027283</v>
      </c>
      <c r="AT266" s="95">
        <f>Geraetedaten!$B$94*ABS(COS(RADIANS($A266)))</f>
        <v>108.89444430272835</v>
      </c>
      <c r="AU266" s="95">
        <f>((h_Aw_Sw+Geraetedaten!$B$18)/1000)*(AQ266*AS266+AR266*AT266)/100</f>
        <v>0</v>
      </c>
    </row>
    <row r="267" spans="1:47" ht="13.5" x14ac:dyDescent="0.25">
      <c r="A267" s="16">
        <v>226</v>
      </c>
      <c r="B267" s="16">
        <f t="shared" si="238"/>
        <v>224</v>
      </c>
      <c r="C267" s="19">
        <f t="shared" si="239"/>
        <v>66.515500640696956</v>
      </c>
      <c r="D267" s="17">
        <f t="shared" si="240"/>
        <v>6300.5168993593034</v>
      </c>
      <c r="E267" s="17">
        <f t="shared" si="241"/>
        <v>11518.123919359303</v>
      </c>
      <c r="F267" s="17">
        <f t="shared" si="242"/>
        <v>-6487.9021306406967</v>
      </c>
      <c r="G267" s="17">
        <f t="shared" si="243"/>
        <v>-12782.639880640696</v>
      </c>
      <c r="H267" s="17">
        <f t="shared" si="244"/>
        <v>6300.5168993593034</v>
      </c>
      <c r="I267" s="17">
        <f t="shared" si="245"/>
        <v>1432.9129604192992</v>
      </c>
      <c r="J267" s="20">
        <f>(Geraetedaten!$B$152+(Geraetedaten!$B$153*(Geraetedaten!$B$18+d_y_Sw)/1000))*10</f>
        <v>6051.0442000000003</v>
      </c>
      <c r="K267" s="20">
        <f>(Geraetedaten!$B$165+(Geraetedaten!$B$166*(Geraetedaten!$B$18+d_y_Sw)/1000))*10</f>
        <v>10816.164000000001</v>
      </c>
      <c r="L267" s="20">
        <f>(Geraetedaten!$B$158+(Geraetedaten!$B$159*(Geraetedaten!$B$18+d_y_Sw)/1000)-(Geraetedaten!$B$160*I267/1000))*10</f>
        <v>496.4610926124526</v>
      </c>
      <c r="M267" s="20">
        <f>(Geraetedaten!$B$171+(Geraetedaten!$B$172*(Geraetedaten!$B$18+d_y_Sw)/1000)-(Geraetedaten!$B$173*I267/1000))*10</f>
        <v>958.20095922638825</v>
      </c>
      <c r="N267" s="20">
        <f>IF((H267-J267)/(K267-J267)*(Geraetedaten!$B$174-Geraetedaten!$B$161)&lt;Geraetedaten!$B$174,(H267-J267)/(K267-J267)*(Geraetedaten!$B$174-Geraetedaten!$B$161),Geraetedaten!$B$174)</f>
        <v>20.941567879095345</v>
      </c>
      <c r="O267" s="20">
        <f>N267/Geraetedaten!$B$174*(M267-L267)+L267+C267</f>
        <v>587.15048515109993</v>
      </c>
      <c r="P267" s="20">
        <f t="shared" si="246"/>
        <v>210.82082793075401</v>
      </c>
      <c r="Q267" s="21">
        <f>(N267-Geraetedaten!$B$161)/(Geraetedaten!$B$174-Geraetedaten!$B$161)*(Geraetedaten!$B$175-Geraetedaten!$B$162)+Geraetedaten!$B$162</f>
        <v>29.823011644403085</v>
      </c>
      <c r="R267" s="21">
        <f t="shared" si="247"/>
        <v>29.823011644403085</v>
      </c>
      <c r="S267" s="21">
        <f t="shared" si="248"/>
        <v>-21.452879241782185</v>
      </c>
      <c r="T267" s="88">
        <f t="shared" si="249"/>
        <v>-20.716804671080748</v>
      </c>
      <c r="U267" s="86">
        <f t="shared" si="250"/>
        <v>6367.0324000000001</v>
      </c>
      <c r="V267" s="85">
        <f t="shared" si="251"/>
        <v>-1346.4914747781525</v>
      </c>
      <c r="W267" s="85">
        <f t="shared" si="252"/>
        <v>1432.9129604192992</v>
      </c>
      <c r="X267" s="90">
        <f t="shared" si="253"/>
        <v>1346.4914747781525</v>
      </c>
      <c r="Y267" s="86">
        <f t="shared" si="254"/>
        <v>11584.63942</v>
      </c>
      <c r="Z267" s="85">
        <f t="shared" si="255"/>
        <v>-818.62113479844345</v>
      </c>
      <c r="AA267" s="85">
        <f t="shared" si="256"/>
        <v>1109.9344854004289</v>
      </c>
      <c r="AB267" s="90">
        <f t="shared" si="257"/>
        <v>818.62113479844345</v>
      </c>
      <c r="AC267" s="86">
        <f t="shared" si="258"/>
        <v>-6421.38663</v>
      </c>
      <c r="AD267" s="85">
        <f t="shared" si="259"/>
        <v>3384.56104615708</v>
      </c>
      <c r="AE267" s="85">
        <f t="shared" si="260"/>
        <v>-3622.0153898506337</v>
      </c>
      <c r="AF267" s="90">
        <f t="shared" si="261"/>
        <v>3384.56104615708</v>
      </c>
      <c r="AG267" s="86">
        <f t="shared" si="262"/>
        <v>-12716.124379999999</v>
      </c>
      <c r="AH267" s="85">
        <f t="shared" si="263"/>
        <v>6139.2748628683721</v>
      </c>
      <c r="AI267" s="85">
        <f t="shared" si="264"/>
        <v>-8739.1433723041373</v>
      </c>
      <c r="AJ267" s="90">
        <f t="shared" si="265"/>
        <v>6139.2748628683721</v>
      </c>
      <c r="AL267" s="95">
        <f t="shared" si="266"/>
        <v>0</v>
      </c>
      <c r="AM267" s="95">
        <f t="shared" si="267"/>
        <v>0</v>
      </c>
      <c r="AN267" s="95">
        <f t="shared" si="268"/>
        <v>0</v>
      </c>
      <c r="AO267" s="95">
        <f t="shared" si="269"/>
        <v>0</v>
      </c>
      <c r="AP267"/>
      <c r="AQ267" s="95">
        <f t="shared" si="270"/>
        <v>0</v>
      </c>
      <c r="AR267" s="95">
        <f t="shared" si="271"/>
        <v>0</v>
      </c>
      <c r="AS267" s="95">
        <f>Geraetedaten!$B$94*ABS(SIN(RADIANS($A267)))</f>
        <v>110.77832925215229</v>
      </c>
      <c r="AT267" s="95">
        <f>Geraetedaten!$B$94*ABS(COS(RADIANS($A267)))</f>
        <v>106.97738905068557</v>
      </c>
      <c r="AU267" s="95">
        <f>((h_Aw_Sw+Geraetedaten!$B$18)/1000)*(AQ267*AS267+AR267*AT267)/100</f>
        <v>0</v>
      </c>
    </row>
    <row r="268" spans="1:47" ht="13.5" x14ac:dyDescent="0.25">
      <c r="A268" s="16">
        <v>227</v>
      </c>
      <c r="B268" s="16">
        <f t="shared" si="238"/>
        <v>223</v>
      </c>
      <c r="C268" s="19">
        <f t="shared" si="239"/>
        <v>66.899833934919243</v>
      </c>
      <c r="D268" s="17">
        <f t="shared" si="240"/>
        <v>6260.8995460650813</v>
      </c>
      <c r="E268" s="17">
        <f t="shared" si="241"/>
        <v>11707.68728606508</v>
      </c>
      <c r="F268" s="17">
        <f t="shared" si="242"/>
        <v>-6446.8243939349195</v>
      </c>
      <c r="G268" s="17">
        <f t="shared" si="243"/>
        <v>-13013.90444393492</v>
      </c>
      <c r="H268" s="17">
        <f t="shared" si="244"/>
        <v>6260.8995460650813</v>
      </c>
      <c r="I268" s="17">
        <f t="shared" si="245"/>
        <v>1424.0834945296583</v>
      </c>
      <c r="J268" s="20">
        <f>(Geraetedaten!$B$152+(Geraetedaten!$B$153*(Geraetedaten!$B$18+d_y_Sw)/1000))*10</f>
        <v>6051.0442000000003</v>
      </c>
      <c r="K268" s="20">
        <f>(Geraetedaten!$B$165+(Geraetedaten!$B$166*(Geraetedaten!$B$18+d_y_Sw)/1000))*10</f>
        <v>10816.164000000001</v>
      </c>
      <c r="L268" s="20">
        <f>(Geraetedaten!$B$158+(Geraetedaten!$B$159*(Geraetedaten!$B$18+d_y_Sw)/1000)-(Geraetedaten!$B$160*I268/1000))*10</f>
        <v>497.10855734613995</v>
      </c>
      <c r="M268" s="20">
        <f>(Geraetedaten!$B$171+(Geraetedaten!$B$172*(Geraetedaten!$B$18+d_y_Sw)/1000)-(Geraetedaten!$B$173*I268/1000))*10</f>
        <v>958.85822466721322</v>
      </c>
      <c r="N268" s="20">
        <f>IF((H268-J268)/(K268-J268)*(Geraetedaten!$B$174-Geraetedaten!$B$161)&lt;Geraetedaten!$B$174,(H268-J268)/(K268-J268)*(Geraetedaten!$B$174-Geraetedaten!$B$161),Geraetedaten!$B$174)</f>
        <v>17.615955516172413</v>
      </c>
      <c r="O268" s="20">
        <f>N268/Geraetedaten!$B$174*(M268-L268)+L268+C268</f>
        <v>584.3437952788978</v>
      </c>
      <c r="P268" s="20">
        <f t="shared" si="246"/>
        <v>210.48111192268675</v>
      </c>
      <c r="Q268" s="21">
        <f>(N268-Geraetedaten!$B$161)/(Geraetedaten!$B$174-Geraetedaten!$B$161)*(Geraetedaten!$B$175-Geraetedaten!$B$162)+Geraetedaten!$B$162</f>
        <v>29.724074676606129</v>
      </c>
      <c r="R268" s="21">
        <f t="shared" si="247"/>
        <v>29.724074676606129</v>
      </c>
      <c r="S268" s="21">
        <f t="shared" si="248"/>
        <v>-21.738812041940541</v>
      </c>
      <c r="T268" s="88">
        <f t="shared" si="249"/>
        <v>-20.271770183820625</v>
      </c>
      <c r="U268" s="86">
        <f t="shared" si="250"/>
        <v>6327.7993800000004</v>
      </c>
      <c r="V268" s="85">
        <f t="shared" si="251"/>
        <v>-1346.4914747781525</v>
      </c>
      <c r="W268" s="85">
        <f t="shared" si="252"/>
        <v>1424.0834945296583</v>
      </c>
      <c r="X268" s="90">
        <f t="shared" si="253"/>
        <v>1346.4914747781525</v>
      </c>
      <c r="Y268" s="86">
        <f t="shared" si="254"/>
        <v>11774.58712</v>
      </c>
      <c r="Z268" s="85">
        <f t="shared" si="255"/>
        <v>-818.62113479844345</v>
      </c>
      <c r="AA268" s="85">
        <f t="shared" si="256"/>
        <v>1128.1335420927614</v>
      </c>
      <c r="AB268" s="90">
        <f t="shared" si="257"/>
        <v>818.62113479844345</v>
      </c>
      <c r="AC268" s="86">
        <f t="shared" si="258"/>
        <v>-6379.9245600000004</v>
      </c>
      <c r="AD268" s="85">
        <f t="shared" si="259"/>
        <v>3384.56104615708</v>
      </c>
      <c r="AE268" s="85">
        <f t="shared" si="260"/>
        <v>-3598.6285036583681</v>
      </c>
      <c r="AF268" s="90">
        <f t="shared" si="261"/>
        <v>3384.56104615708</v>
      </c>
      <c r="AG268" s="86">
        <f t="shared" si="262"/>
        <v>-12947.00461</v>
      </c>
      <c r="AH268" s="85">
        <f t="shared" si="263"/>
        <v>6139.2748628683721</v>
      </c>
      <c r="AI268" s="85">
        <f t="shared" si="264"/>
        <v>-8897.8155736471053</v>
      </c>
      <c r="AJ268" s="90">
        <f t="shared" si="265"/>
        <v>6139.2748628683721</v>
      </c>
      <c r="AL268" s="95">
        <f t="shared" si="266"/>
        <v>0</v>
      </c>
      <c r="AM268" s="95">
        <f t="shared" si="267"/>
        <v>0</v>
      </c>
      <c r="AN268" s="95">
        <f t="shared" si="268"/>
        <v>0</v>
      </c>
      <c r="AO268" s="95">
        <f t="shared" si="269"/>
        <v>0</v>
      </c>
      <c r="AP268"/>
      <c r="AQ268" s="95">
        <f t="shared" si="270"/>
        <v>0</v>
      </c>
      <c r="AR268" s="95">
        <f t="shared" si="271"/>
        <v>0</v>
      </c>
      <c r="AS268" s="95">
        <f>Geraetedaten!$B$94*ABS(SIN(RADIANS($A268)))</f>
        <v>112.62847004935225</v>
      </c>
      <c r="AT268" s="95">
        <f>Geraetedaten!$B$94*ABS(COS(RADIANS($A268)))</f>
        <v>105.02774744962478</v>
      </c>
      <c r="AU268" s="95">
        <f>((h_Aw_Sw+Geraetedaten!$B$18)/1000)*(AQ268*AS268+AR268*AT268)/100</f>
        <v>0</v>
      </c>
    </row>
    <row r="269" spans="1:47" ht="13.5" x14ac:dyDescent="0.25">
      <c r="A269" s="16">
        <v>228</v>
      </c>
      <c r="B269" s="16">
        <f t="shared" si="238"/>
        <v>222</v>
      </c>
      <c r="C269" s="19">
        <f t="shared" si="239"/>
        <v>67.263788891651714</v>
      </c>
      <c r="D269" s="17">
        <f t="shared" si="240"/>
        <v>6223.6876711083487</v>
      </c>
      <c r="E269" s="17">
        <f t="shared" si="241"/>
        <v>11907.312211108347</v>
      </c>
      <c r="F269" s="17">
        <f t="shared" si="242"/>
        <v>-6408.1773988916511</v>
      </c>
      <c r="G269" s="17">
        <f t="shared" si="243"/>
        <v>-13257.779878891652</v>
      </c>
      <c r="H269" s="17">
        <f t="shared" si="244"/>
        <v>6223.6876711083487</v>
      </c>
      <c r="I269" s="17">
        <f t="shared" si="245"/>
        <v>1415.7907972832224</v>
      </c>
      <c r="J269" s="20">
        <f>(Geraetedaten!$B$152+(Geraetedaten!$B$153*(Geraetedaten!$B$18+d_y_Sw)/1000))*10</f>
        <v>6051.0442000000003</v>
      </c>
      <c r="K269" s="20">
        <f>(Geraetedaten!$B$165+(Geraetedaten!$B$166*(Geraetedaten!$B$18+d_y_Sw)/1000))*10</f>
        <v>10816.164000000001</v>
      </c>
      <c r="L269" s="20">
        <f>(Geraetedaten!$B$158+(Geraetedaten!$B$159*(Geraetedaten!$B$18+d_y_Sw)/1000)-(Geraetedaten!$B$160*I269/1000))*10</f>
        <v>497.71666083522109</v>
      </c>
      <c r="M269" s="20">
        <f>(Geraetedaten!$B$171+(Geraetedaten!$B$172*(Geraetedaten!$B$18+d_y_Sw)/1000)-(Geraetedaten!$B$173*I269/1000))*10</f>
        <v>959.47553305023791</v>
      </c>
      <c r="N269" s="20">
        <f>IF((H269-J269)/(K269-J269)*(Geraetedaten!$B$174-Geraetedaten!$B$161)&lt;Geraetedaten!$B$174,(H269-J269)/(K269-J269)*(Geraetedaten!$B$174-Geraetedaten!$B$161),Geraetedaten!$B$174)</f>
        <v>14.492267003095991</v>
      </c>
      <c r="O269" s="20">
        <f>N269/Geraetedaten!$B$174*(M269-L269)+L269+C269</f>
        <v>581.71028189484412</v>
      </c>
      <c r="P269" s="20">
        <f t="shared" si="246"/>
        <v>210.1610487754929</v>
      </c>
      <c r="Q269" s="21">
        <f>(N269-Geraetedaten!$B$161)/(Geraetedaten!$B$174-Geraetedaten!$B$161)*(Geraetedaten!$B$175-Geraetedaten!$B$162)+Geraetedaten!$B$162</f>
        <v>29.631144943342104</v>
      </c>
      <c r="R269" s="21">
        <f t="shared" si="247"/>
        <v>29.631144943342104</v>
      </c>
      <c r="S269" s="21">
        <f t="shared" si="248"/>
        <v>-22.020232037615344</v>
      </c>
      <c r="T269" s="88">
        <f t="shared" si="249"/>
        <v>-19.827105983045715</v>
      </c>
      <c r="U269" s="86">
        <f t="shared" si="250"/>
        <v>6290.9514600000002</v>
      </c>
      <c r="V269" s="85">
        <f t="shared" si="251"/>
        <v>-1346.4914747781525</v>
      </c>
      <c r="W269" s="85">
        <f t="shared" si="252"/>
        <v>1415.7907972832224</v>
      </c>
      <c r="X269" s="90">
        <f t="shared" si="253"/>
        <v>1346.4914747781525</v>
      </c>
      <c r="Y269" s="86">
        <f t="shared" si="254"/>
        <v>11974.575999999999</v>
      </c>
      <c r="Z269" s="85">
        <f t="shared" si="255"/>
        <v>-818.62113479844345</v>
      </c>
      <c r="AA269" s="85">
        <f t="shared" si="256"/>
        <v>1147.2946523631756</v>
      </c>
      <c r="AB269" s="90">
        <f t="shared" si="257"/>
        <v>818.62113479844345</v>
      </c>
      <c r="AC269" s="86">
        <f t="shared" si="258"/>
        <v>-6340.9136099999996</v>
      </c>
      <c r="AD269" s="85">
        <f t="shared" si="259"/>
        <v>3384.56104615708</v>
      </c>
      <c r="AE269" s="85">
        <f t="shared" si="260"/>
        <v>-3576.6241770443421</v>
      </c>
      <c r="AF269" s="90">
        <f t="shared" si="261"/>
        <v>3384.56104615708</v>
      </c>
      <c r="AG269" s="86">
        <f t="shared" si="262"/>
        <v>-13190.516089999999</v>
      </c>
      <c r="AH269" s="85">
        <f t="shared" si="263"/>
        <v>6139.2748628683721</v>
      </c>
      <c r="AI269" s="85">
        <f t="shared" si="264"/>
        <v>-9065.1685879226861</v>
      </c>
      <c r="AJ269" s="90">
        <f t="shared" si="265"/>
        <v>6139.2748628683721</v>
      </c>
      <c r="AL269" s="95">
        <f t="shared" si="266"/>
        <v>0</v>
      </c>
      <c r="AM269" s="95">
        <f t="shared" si="267"/>
        <v>0</v>
      </c>
      <c r="AN269" s="95">
        <f t="shared" si="268"/>
        <v>0</v>
      </c>
      <c r="AO269" s="95">
        <f t="shared" si="269"/>
        <v>0</v>
      </c>
      <c r="AP269"/>
      <c r="AQ269" s="95">
        <f t="shared" si="270"/>
        <v>0</v>
      </c>
      <c r="AR269" s="95">
        <f t="shared" si="271"/>
        <v>0</v>
      </c>
      <c r="AS269" s="95">
        <f>Geraetedaten!$B$94*ABS(SIN(RADIANS($A269)))</f>
        <v>114.44430312351874</v>
      </c>
      <c r="AT269" s="95">
        <f>Geraetedaten!$B$94*ABS(COS(RADIANS($A269)))</f>
        <v>103.04611337926416</v>
      </c>
      <c r="AU269" s="95">
        <f>((h_Aw_Sw+Geraetedaten!$B$18)/1000)*(AQ269*AS269+AR269*AT269)/100</f>
        <v>0</v>
      </c>
    </row>
    <row r="270" spans="1:47" ht="13.5" x14ac:dyDescent="0.25">
      <c r="A270" s="16">
        <v>229</v>
      </c>
      <c r="B270" s="16">
        <f t="shared" si="238"/>
        <v>221</v>
      </c>
      <c r="C270" s="19">
        <f t="shared" si="239"/>
        <v>67.60725464668883</v>
      </c>
      <c r="D270" s="17">
        <f t="shared" si="240"/>
        <v>6188.8176753533116</v>
      </c>
      <c r="E270" s="17">
        <f t="shared" si="241"/>
        <v>12117.64442535331</v>
      </c>
      <c r="F270" s="17">
        <f t="shared" si="242"/>
        <v>-6371.8927546466884</v>
      </c>
      <c r="G270" s="17">
        <f t="shared" si="243"/>
        <v>-13515.14526464669</v>
      </c>
      <c r="H270" s="17">
        <f t="shared" si="244"/>
        <v>6188.8176753533116</v>
      </c>
      <c r="I270" s="17">
        <f t="shared" si="245"/>
        <v>1408.0205342709573</v>
      </c>
      <c r="J270" s="20">
        <f>(Geraetedaten!$B$152+(Geraetedaten!$B$153*(Geraetedaten!$B$18+d_y_Sw)/1000))*10</f>
        <v>6051.0442000000003</v>
      </c>
      <c r="K270" s="20">
        <f>(Geraetedaten!$B$165+(Geraetedaten!$B$166*(Geraetedaten!$B$18+d_y_Sw)/1000))*10</f>
        <v>10816.164000000001</v>
      </c>
      <c r="L270" s="20">
        <f>(Geraetedaten!$B$158+(Geraetedaten!$B$159*(Geraetedaten!$B$18+d_y_Sw)/1000)-(Geraetedaten!$B$160*I270/1000))*10</f>
        <v>498.28645422191045</v>
      </c>
      <c r="M270" s="20">
        <f>(Geraetedaten!$B$171+(Geraetedaten!$B$172*(Geraetedaten!$B$18+d_y_Sw)/1000)-(Geraetedaten!$B$173*I270/1000))*10</f>
        <v>960.05395142887096</v>
      </c>
      <c r="N270" s="20">
        <f>IF((H270-J270)/(K270-J270)*(Geraetedaten!$B$174-Geraetedaten!$B$161)&lt;Geraetedaten!$B$174,(H270-J270)/(K270-J270)*(Geraetedaten!$B$174-Geraetedaten!$B$161),Geraetedaten!$B$174)</f>
        <v>11.565163616940866</v>
      </c>
      <c r="O270" s="20">
        <f>N270/Geraetedaten!$B$174*(M270-L270)+L270+C270</f>
        <v>579.24475051405875</v>
      </c>
      <c r="P270" s="20">
        <f t="shared" si="246"/>
        <v>209.86019831199357</v>
      </c>
      <c r="Q270" s="21">
        <f>(N270-Geraetedaten!$B$161)/(Geraetedaten!$B$174-Geraetedaten!$B$161)*(Geraetedaten!$B$175-Geraetedaten!$B$162)+Geraetedaten!$B$162</f>
        <v>29.544063617603989</v>
      </c>
      <c r="R270" s="21">
        <f t="shared" si="247"/>
        <v>29.544063617603989</v>
      </c>
      <c r="S270" s="21">
        <f t="shared" si="248"/>
        <v>-22.297187850916778</v>
      </c>
      <c r="T270" s="88">
        <f t="shared" si="249"/>
        <v>-19.382649689399045</v>
      </c>
      <c r="U270" s="86">
        <f t="shared" si="250"/>
        <v>6256.4249300000001</v>
      </c>
      <c r="V270" s="85">
        <f t="shared" si="251"/>
        <v>-1346.4914747781525</v>
      </c>
      <c r="W270" s="85">
        <f t="shared" si="252"/>
        <v>1408.0205342709573</v>
      </c>
      <c r="X270" s="90">
        <f t="shared" si="253"/>
        <v>1346.4914747781525</v>
      </c>
      <c r="Y270" s="86">
        <f t="shared" si="254"/>
        <v>12185.251679999999</v>
      </c>
      <c r="Z270" s="85">
        <f t="shared" si="255"/>
        <v>-818.62113479844345</v>
      </c>
      <c r="AA270" s="85">
        <f t="shared" si="256"/>
        <v>1167.479674003677</v>
      </c>
      <c r="AB270" s="90">
        <f t="shared" si="257"/>
        <v>818.62113479844345</v>
      </c>
      <c r="AC270" s="86">
        <f t="shared" si="258"/>
        <v>-6304.2855</v>
      </c>
      <c r="AD270" s="85">
        <f t="shared" si="259"/>
        <v>3384.56104615708</v>
      </c>
      <c r="AE270" s="85">
        <f t="shared" si="260"/>
        <v>-3555.9639102189653</v>
      </c>
      <c r="AF270" s="90">
        <f t="shared" si="261"/>
        <v>3384.56104615708</v>
      </c>
      <c r="AG270" s="86">
        <f t="shared" si="262"/>
        <v>-13447.53801</v>
      </c>
      <c r="AH270" s="85">
        <f t="shared" si="263"/>
        <v>6139.2748628683721</v>
      </c>
      <c r="AI270" s="85">
        <f t="shared" si="264"/>
        <v>-9241.8066421192107</v>
      </c>
      <c r="AJ270" s="90">
        <f t="shared" si="265"/>
        <v>6139.2748628683721</v>
      </c>
      <c r="AL270" s="95">
        <f t="shared" si="266"/>
        <v>0</v>
      </c>
      <c r="AM270" s="95">
        <f t="shared" si="267"/>
        <v>0</v>
      </c>
      <c r="AN270" s="95">
        <f t="shared" si="268"/>
        <v>0</v>
      </c>
      <c r="AO270" s="95">
        <f t="shared" si="269"/>
        <v>0</v>
      </c>
      <c r="AP270"/>
      <c r="AQ270" s="95">
        <f t="shared" si="270"/>
        <v>0</v>
      </c>
      <c r="AR270" s="95">
        <f t="shared" si="271"/>
        <v>0</v>
      </c>
      <c r="AS270" s="95">
        <f>Geraetedaten!$B$94*ABS(SIN(RADIANS($A270)))</f>
        <v>116.22527535430689</v>
      </c>
      <c r="AT270" s="95">
        <f>Geraetedaten!$B$94*ABS(COS(RADIANS($A270)))</f>
        <v>101.03309046453812</v>
      </c>
      <c r="AU270" s="95">
        <f>((h_Aw_Sw+Geraetedaten!$B$18)/1000)*(AQ270*AS270+AR270*AT270)/100</f>
        <v>0</v>
      </c>
    </row>
    <row r="271" spans="1:47" ht="13.5" x14ac:dyDescent="0.25">
      <c r="A271" s="16">
        <v>230</v>
      </c>
      <c r="B271" s="16">
        <f t="shared" si="238"/>
        <v>220</v>
      </c>
      <c r="C271" s="19">
        <f t="shared" si="239"/>
        <v>67.930126577034372</v>
      </c>
      <c r="D271" s="17">
        <f t="shared" si="240"/>
        <v>6156.2307734229653</v>
      </c>
      <c r="E271" s="17">
        <f t="shared" si="241"/>
        <v>12339.390133422967</v>
      </c>
      <c r="F271" s="17">
        <f t="shared" si="242"/>
        <v>-6337.907176577035</v>
      </c>
      <c r="G271" s="17">
        <f t="shared" si="243"/>
        <v>-13786.967446577033</v>
      </c>
      <c r="H271" s="17">
        <f t="shared" si="244"/>
        <v>6156.2307734229653</v>
      </c>
      <c r="I271" s="17">
        <f t="shared" si="245"/>
        <v>1400.7594524576357</v>
      </c>
      <c r="J271" s="20">
        <f>(Geraetedaten!$B$152+(Geraetedaten!$B$153*(Geraetedaten!$B$18+d_y_Sw)/1000))*10</f>
        <v>6051.0442000000003</v>
      </c>
      <c r="K271" s="20">
        <f>(Geraetedaten!$B$165+(Geraetedaten!$B$166*(Geraetedaten!$B$18+d_y_Sw)/1000))*10</f>
        <v>10816.164000000001</v>
      </c>
      <c r="L271" s="20">
        <f>(Geraetedaten!$B$158+(Geraetedaten!$B$159*(Geraetedaten!$B$18+d_y_Sw)/1000)-(Geraetedaten!$B$160*I271/1000))*10</f>
        <v>498.81890935128132</v>
      </c>
      <c r="M271" s="20">
        <f>(Geraetedaten!$B$171+(Geraetedaten!$B$172*(Geraetedaten!$B$18+d_y_Sw)/1000)-(Geraetedaten!$B$173*I271/1000))*10</f>
        <v>960.59446635905465</v>
      </c>
      <c r="N271" s="20">
        <f>IF((H271-J271)/(K271-J271)*(Geraetedaten!$B$174-Geraetedaten!$B$161)&lt;Geraetedaten!$B$174,(H271-J271)/(K271-J271)*(Geraetedaten!$B$174-Geraetedaten!$B$161),Geraetedaten!$B$174)</f>
        <v>8.8297107177003191</v>
      </c>
      <c r="O271" s="20">
        <f>N271/Geraetedaten!$B$174*(M271-L271)+L271+C271</f>
        <v>576.94239739052466</v>
      </c>
      <c r="P271" s="20">
        <f t="shared" si="246"/>
        <v>209.57814716752807</v>
      </c>
      <c r="Q271" s="21">
        <f>(N271-Geraetedaten!$B$161)/(Geraetedaten!$B$174-Geraetedaten!$B$161)*(Geraetedaten!$B$175-Geraetedaten!$B$162)+Geraetedaten!$B$162</f>
        <v>29.462683893851583</v>
      </c>
      <c r="R271" s="21">
        <f t="shared" si="247"/>
        <v>29.462683893851583</v>
      </c>
      <c r="S271" s="21">
        <f t="shared" si="248"/>
        <v>-22.569725276256015</v>
      </c>
      <c r="T271" s="88">
        <f t="shared" si="249"/>
        <v>-18.938248155078963</v>
      </c>
      <c r="U271" s="86">
        <f t="shared" si="250"/>
        <v>6224.1608999999999</v>
      </c>
      <c r="V271" s="85">
        <f t="shared" si="251"/>
        <v>-1346.4914747781525</v>
      </c>
      <c r="W271" s="85">
        <f t="shared" si="252"/>
        <v>1400.7594524576357</v>
      </c>
      <c r="X271" s="90">
        <f t="shared" si="253"/>
        <v>1346.4914747781525</v>
      </c>
      <c r="Y271" s="86">
        <f t="shared" si="254"/>
        <v>12407.32026</v>
      </c>
      <c r="Z271" s="85">
        <f t="shared" si="255"/>
        <v>-818.62113479844345</v>
      </c>
      <c r="AA271" s="85">
        <f t="shared" si="256"/>
        <v>1188.7562604865645</v>
      </c>
      <c r="AB271" s="90">
        <f t="shared" si="257"/>
        <v>818.62113479844345</v>
      </c>
      <c r="AC271" s="86">
        <f t="shared" si="258"/>
        <v>-6269.9770500000004</v>
      </c>
      <c r="AD271" s="85">
        <f t="shared" si="259"/>
        <v>3384.56104615708</v>
      </c>
      <c r="AE271" s="85">
        <f t="shared" si="260"/>
        <v>-3536.6120585398025</v>
      </c>
      <c r="AF271" s="90">
        <f t="shared" si="261"/>
        <v>3384.56104615708</v>
      </c>
      <c r="AG271" s="86">
        <f t="shared" si="262"/>
        <v>-13719.037319999999</v>
      </c>
      <c r="AH271" s="85">
        <f t="shared" si="263"/>
        <v>6139.2748628683721</v>
      </c>
      <c r="AI271" s="85">
        <f t="shared" si="264"/>
        <v>-9428.3942587294587</v>
      </c>
      <c r="AJ271" s="90">
        <f t="shared" si="265"/>
        <v>6139.2748628683721</v>
      </c>
      <c r="AL271" s="95">
        <f t="shared" si="266"/>
        <v>0</v>
      </c>
      <c r="AM271" s="95">
        <f t="shared" si="267"/>
        <v>0</v>
      </c>
      <c r="AN271" s="95">
        <f t="shared" si="268"/>
        <v>0</v>
      </c>
      <c r="AO271" s="95">
        <f t="shared" si="269"/>
        <v>0</v>
      </c>
      <c r="AP271"/>
      <c r="AQ271" s="95">
        <f t="shared" si="270"/>
        <v>0</v>
      </c>
      <c r="AR271" s="95">
        <f t="shared" si="271"/>
        <v>0</v>
      </c>
      <c r="AS271" s="95">
        <f>Geraetedaten!$B$94*ABS(SIN(RADIANS($A271)))</f>
        <v>117.97084424032259</v>
      </c>
      <c r="AT271" s="95">
        <f>Geraetedaten!$B$94*ABS(COS(RADIANS($A271)))</f>
        <v>98.989291891727078</v>
      </c>
      <c r="AU271" s="95">
        <f>((h_Aw_Sw+Geraetedaten!$B$18)/1000)*(AQ271*AS271+AR271*AT271)/100</f>
        <v>0</v>
      </c>
    </row>
    <row r="272" spans="1:47" ht="13.5" x14ac:dyDescent="0.25">
      <c r="A272" s="16">
        <v>231</v>
      </c>
      <c r="B272" s="16">
        <f t="shared" si="238"/>
        <v>219</v>
      </c>
      <c r="C272" s="19">
        <f t="shared" si="239"/>
        <v>68.232306332770634</v>
      </c>
      <c r="D272" s="17">
        <f t="shared" si="240"/>
        <v>6125.8727236672294</v>
      </c>
      <c r="E272" s="17">
        <f t="shared" si="241"/>
        <v>12573.323133667229</v>
      </c>
      <c r="F272" s="17">
        <f t="shared" si="242"/>
        <v>-6306.1621563327708</v>
      </c>
      <c r="G272" s="17">
        <f t="shared" si="243"/>
        <v>-14074.312006332771</v>
      </c>
      <c r="H272" s="17">
        <f t="shared" si="244"/>
        <v>6125.8727236672294</v>
      </c>
      <c r="I272" s="17">
        <f t="shared" si="245"/>
        <v>1393.9953223436535</v>
      </c>
      <c r="J272" s="20">
        <f>(Geraetedaten!$B$152+(Geraetedaten!$B$153*(Geraetedaten!$B$18+d_y_Sw)/1000))*10</f>
        <v>6051.0442000000003</v>
      </c>
      <c r="K272" s="20">
        <f>(Geraetedaten!$B$165+(Geraetedaten!$B$166*(Geraetedaten!$B$18+d_y_Sw)/1000))*10</f>
        <v>10816.164000000001</v>
      </c>
      <c r="L272" s="20">
        <f>(Geraetedaten!$B$158+(Geraetedaten!$B$159*(Geraetedaten!$B$18+d_y_Sw)/1000)-(Geraetedaten!$B$160*I272/1000))*10</f>
        <v>499.31492301253968</v>
      </c>
      <c r="M272" s="20">
        <f>(Geraetedaten!$B$171+(Geraetedaten!$B$172*(Geraetedaten!$B$18+d_y_Sw)/1000)-(Geraetedaten!$B$173*I272/1000))*10</f>
        <v>961.09798820473941</v>
      </c>
      <c r="N272" s="20">
        <f>IF((H272-J272)/(K272-J272)*(Geraetedaten!$B$174-Geraetedaten!$B$161)&lt;Geraetedaten!$B$174,(H272-J272)/(K272-J272)*(Geraetedaten!$B$174-Geraetedaten!$B$161),Geraetedaten!$B$174)</f>
        <v>6.2813550809135243</v>
      </c>
      <c r="O272" s="20">
        <f>N272/Geraetedaten!$B$174*(M272-L272)+L272+C272</f>
        <v>574.79878785237247</v>
      </c>
      <c r="P272" s="20">
        <f t="shared" si="246"/>
        <v>209.31450816319006</v>
      </c>
      <c r="Q272" s="21">
        <f>(N272-Geraetedaten!$B$161)/(Geraetedaten!$B$174-Geraetedaten!$B$161)*(Geraetedaten!$B$175-Geraetedaten!$B$162)+Geraetedaten!$B$162</f>
        <v>29.386870313657177</v>
      </c>
      <c r="R272" s="21">
        <f t="shared" si="247"/>
        <v>29.386870313657177</v>
      </c>
      <c r="S272" s="21">
        <f t="shared" si="248"/>
        <v>-22.837887584118413</v>
      </c>
      <c r="T272" s="88">
        <f t="shared" si="249"/>
        <v>-18.493756717521606</v>
      </c>
      <c r="U272" s="86">
        <f t="shared" si="250"/>
        <v>6194.1050299999997</v>
      </c>
      <c r="V272" s="85">
        <f t="shared" si="251"/>
        <v>-1346.4914747781525</v>
      </c>
      <c r="W272" s="85">
        <f t="shared" si="252"/>
        <v>1393.9953223436535</v>
      </c>
      <c r="X272" s="90">
        <f t="shared" si="253"/>
        <v>1346.4914747781525</v>
      </c>
      <c r="Y272" s="86">
        <f t="shared" si="254"/>
        <v>12641.55544</v>
      </c>
      <c r="Z272" s="85">
        <f t="shared" si="255"/>
        <v>-818.62113479844345</v>
      </c>
      <c r="AA272" s="85">
        <f t="shared" si="256"/>
        <v>1211.1985387290808</v>
      </c>
      <c r="AB272" s="90">
        <f t="shared" si="257"/>
        <v>818.62113479844345</v>
      </c>
      <c r="AC272" s="86">
        <f t="shared" si="258"/>
        <v>-6237.9298500000004</v>
      </c>
      <c r="AD272" s="85">
        <f t="shared" si="259"/>
        <v>3384.56104615708</v>
      </c>
      <c r="AE272" s="85">
        <f t="shared" si="260"/>
        <v>-3518.5356744871438</v>
      </c>
      <c r="AF272" s="90">
        <f t="shared" si="261"/>
        <v>3384.56104615708</v>
      </c>
      <c r="AG272" s="86">
        <f t="shared" si="262"/>
        <v>-14006.0797</v>
      </c>
      <c r="AH272" s="85">
        <f t="shared" si="263"/>
        <v>6139.2748628683721</v>
      </c>
      <c r="AI272" s="85">
        <f t="shared" si="264"/>
        <v>-9625.6638373374208</v>
      </c>
      <c r="AJ272" s="90">
        <f t="shared" si="265"/>
        <v>6139.2748628683721</v>
      </c>
      <c r="AL272" s="95">
        <f t="shared" si="266"/>
        <v>0</v>
      </c>
      <c r="AM272" s="95">
        <f t="shared" si="267"/>
        <v>0</v>
      </c>
      <c r="AN272" s="95">
        <f t="shared" si="268"/>
        <v>0</v>
      </c>
      <c r="AO272" s="95">
        <f t="shared" si="269"/>
        <v>0</v>
      </c>
      <c r="AP272"/>
      <c r="AQ272" s="95">
        <f t="shared" si="270"/>
        <v>0</v>
      </c>
      <c r="AR272" s="95">
        <f t="shared" si="271"/>
        <v>0</v>
      </c>
      <c r="AS272" s="95">
        <f>Geraetedaten!$B$94*ABS(SIN(RADIANS($A272)))</f>
        <v>119.68047806437347</v>
      </c>
      <c r="AT272" s="95">
        <f>Geraetedaten!$B$94*ABS(COS(RADIANS($A272)))</f>
        <v>96.915340221675024</v>
      </c>
      <c r="AU272" s="95">
        <f>((h_Aw_Sw+Geraetedaten!$B$18)/1000)*(AQ272*AS272+AR272*AT272)/100</f>
        <v>0</v>
      </c>
    </row>
    <row r="273" spans="1:47" ht="13.5" x14ac:dyDescent="0.25">
      <c r="A273" s="16">
        <v>232</v>
      </c>
      <c r="B273" s="16">
        <f t="shared" si="238"/>
        <v>218</v>
      </c>
      <c r="C273" s="19">
        <f t="shared" si="239"/>
        <v>68.513701867016778</v>
      </c>
      <c r="D273" s="17">
        <f t="shared" si="240"/>
        <v>6097.6936081329832</v>
      </c>
      <c r="E273" s="17">
        <f t="shared" si="241"/>
        <v>12820.292848132982</v>
      </c>
      <c r="F273" s="17">
        <f t="shared" si="242"/>
        <v>-6276.6037218670162</v>
      </c>
      <c r="G273" s="17">
        <f t="shared" si="243"/>
        <v>-14378.356061867018</v>
      </c>
      <c r="H273" s="17">
        <f t="shared" si="244"/>
        <v>6097.6936081329832</v>
      </c>
      <c r="I273" s="17">
        <f t="shared" si="245"/>
        <v>1387.7168855136449</v>
      </c>
      <c r="J273" s="20">
        <f>(Geraetedaten!$B$152+(Geraetedaten!$B$153*(Geraetedaten!$B$18+d_y_Sw)/1000))*10</f>
        <v>6051.0442000000003</v>
      </c>
      <c r="K273" s="20">
        <f>(Geraetedaten!$B$165+(Geraetedaten!$B$166*(Geraetedaten!$B$18+d_y_Sw)/1000))*10</f>
        <v>10816.164000000001</v>
      </c>
      <c r="L273" s="20">
        <f>(Geraetedaten!$B$158+(Geraetedaten!$B$159*(Geraetedaten!$B$18+d_y_Sw)/1000)-(Geraetedaten!$B$160*I273/1000))*10</f>
        <v>499.77532078528418</v>
      </c>
      <c r="M273" s="20">
        <f>(Geraetedaten!$B$171+(Geraetedaten!$B$172*(Geraetedaten!$B$18+d_y_Sw)/1000)-(Geraetedaten!$B$173*I273/1000))*10</f>
        <v>961.56535504236535</v>
      </c>
      <c r="N273" s="20">
        <f>IF((H273-J273)/(K273-J273)*(Geraetedaten!$B$174-Geraetedaten!$B$161)&lt;Geraetedaten!$B$174,(H273-J273)/(K273-J273)*(Geraetedaten!$B$174-Geraetedaten!$B$161),Geraetedaten!$B$174)</f>
        <v>3.9159064276187054</v>
      </c>
      <c r="O273" s="20">
        <f>N273/Geraetedaten!$B$174*(M273-L273)+L273+C273</f>
        <v>572.80983906069491</v>
      </c>
      <c r="P273" s="20">
        <f t="shared" si="246"/>
        <v>209.06892013593921</v>
      </c>
      <c r="Q273" s="21">
        <f>(N273-Geraetedaten!$B$161)/(Geraetedaten!$B$174-Geraetedaten!$B$161)*(Geraetedaten!$B$175-Geraetedaten!$B$162)+Geraetedaten!$B$162</f>
        <v>29.316498216221657</v>
      </c>
      <c r="R273" s="21">
        <f t="shared" si="247"/>
        <v>29.316498216221657</v>
      </c>
      <c r="S273" s="21">
        <f t="shared" si="248"/>
        <v>-23.101715852474953</v>
      </c>
      <c r="T273" s="88">
        <f t="shared" si="249"/>
        <v>-18.049038543181048</v>
      </c>
      <c r="U273" s="86">
        <f t="shared" si="250"/>
        <v>6166.2073099999998</v>
      </c>
      <c r="V273" s="85">
        <f t="shared" si="251"/>
        <v>-1346.4914747781525</v>
      </c>
      <c r="W273" s="85">
        <f t="shared" si="252"/>
        <v>1387.7168855136449</v>
      </c>
      <c r="X273" s="90">
        <f t="shared" si="253"/>
        <v>1346.4914747781525</v>
      </c>
      <c r="Y273" s="86">
        <f t="shared" si="254"/>
        <v>12888.806549999999</v>
      </c>
      <c r="Z273" s="85">
        <f t="shared" si="255"/>
        <v>-818.62113479844345</v>
      </c>
      <c r="AA273" s="85">
        <f t="shared" si="256"/>
        <v>1234.887884974501</v>
      </c>
      <c r="AB273" s="90">
        <f t="shared" si="257"/>
        <v>818.62113479844345</v>
      </c>
      <c r="AC273" s="86">
        <f t="shared" si="258"/>
        <v>-6208.0900199999996</v>
      </c>
      <c r="AD273" s="85">
        <f t="shared" si="259"/>
        <v>3384.56104615708</v>
      </c>
      <c r="AE273" s="85">
        <f t="shared" si="260"/>
        <v>-3501.7043642309382</v>
      </c>
      <c r="AF273" s="90">
        <f t="shared" si="261"/>
        <v>3384.56104615708</v>
      </c>
      <c r="AG273" s="86">
        <f t="shared" si="262"/>
        <v>-14309.842360000001</v>
      </c>
      <c r="AH273" s="85">
        <f t="shared" si="263"/>
        <v>6139.2748628683721</v>
      </c>
      <c r="AI273" s="85">
        <f t="shared" si="264"/>
        <v>-9834.4244150835657</v>
      </c>
      <c r="AJ273" s="90">
        <f t="shared" si="265"/>
        <v>6139.2748628683721</v>
      </c>
      <c r="AL273" s="95">
        <f t="shared" si="266"/>
        <v>0</v>
      </c>
      <c r="AM273" s="95">
        <f t="shared" si="267"/>
        <v>0</v>
      </c>
      <c r="AN273" s="95">
        <f t="shared" si="268"/>
        <v>0</v>
      </c>
      <c r="AO273" s="95">
        <f t="shared" si="269"/>
        <v>0</v>
      </c>
      <c r="AP273"/>
      <c r="AQ273" s="95">
        <f t="shared" si="270"/>
        <v>0</v>
      </c>
      <c r="AR273" s="95">
        <f t="shared" si="271"/>
        <v>0</v>
      </c>
      <c r="AS273" s="95">
        <f>Geraetedaten!$B$94*ABS(SIN(RADIANS($A273)))</f>
        <v>121.35365605543521</v>
      </c>
      <c r="AT273" s="95">
        <f>Geraetedaten!$B$94*ABS(COS(RADIANS($A273)))</f>
        <v>94.81186720015134</v>
      </c>
      <c r="AU273" s="95">
        <f>((h_Aw_Sw+Geraetedaten!$B$18)/1000)*(AQ273*AS273+AR273*AT273)/100</f>
        <v>0</v>
      </c>
    </row>
    <row r="274" spans="1:47" ht="13.5" x14ac:dyDescent="0.25">
      <c r="A274" s="16">
        <v>233</v>
      </c>
      <c r="B274" s="16">
        <f t="shared" si="238"/>
        <v>217</v>
      </c>
      <c r="C274" s="19">
        <f t="shared" si="239"/>
        <v>68.774227463967051</v>
      </c>
      <c r="D274" s="17">
        <f t="shared" si="240"/>
        <v>6071.6475725360333</v>
      </c>
      <c r="E274" s="17">
        <f t="shared" si="241"/>
        <v>13081.233672536033</v>
      </c>
      <c r="F274" s="17">
        <f t="shared" si="242"/>
        <v>-6249.1821774639666</v>
      </c>
      <c r="G274" s="17">
        <f t="shared" si="243"/>
        <v>-14700.403047463968</v>
      </c>
      <c r="H274" s="17">
        <f t="shared" si="244"/>
        <v>6071.6475725360333</v>
      </c>
      <c r="I274" s="17">
        <f t="shared" si="245"/>
        <v>1381.9138071371128</v>
      </c>
      <c r="J274" s="20">
        <f>(Geraetedaten!$B$152+(Geraetedaten!$B$153*(Geraetedaten!$B$18+d_y_Sw)/1000))*10</f>
        <v>6051.0442000000003</v>
      </c>
      <c r="K274" s="20">
        <f>(Geraetedaten!$B$165+(Geraetedaten!$B$166*(Geraetedaten!$B$18+d_y_Sw)/1000))*10</f>
        <v>10816.164000000001</v>
      </c>
      <c r="L274" s="20">
        <f>(Geraetedaten!$B$158+(Geraetedaten!$B$159*(Geraetedaten!$B$18+d_y_Sw)/1000)-(Geraetedaten!$B$160*I274/1000))*10</f>
        <v>500.20086052263531</v>
      </c>
      <c r="M274" s="20">
        <f>(Geraetedaten!$B$171+(Geraetedaten!$B$172*(Geraetedaten!$B$18+d_y_Sw)/1000)-(Geraetedaten!$B$173*I274/1000))*10</f>
        <v>961.99733619671429</v>
      </c>
      <c r="N274" s="20">
        <f>IF((H274-J274)/(K274-J274)*(Geraetedaten!$B$174-Geraetedaten!$B$161)&lt;Geraetedaten!$B$174,(H274-J274)/(K274-J274)*(Geraetedaten!$B$174-Geraetedaten!$B$161),Geraetedaten!$B$174)</f>
        <v>1.7295155967355129</v>
      </c>
      <c r="O274" s="20">
        <f>N274/Geraetedaten!$B$174*(M274-L274)+L274+C274</f>
        <v>570.9717985045919</v>
      </c>
      <c r="P274" s="20">
        <f t="shared" si="246"/>
        <v>208.84104676265787</v>
      </c>
      <c r="Q274" s="21">
        <f>(N274-Geraetedaten!$B$161)/(Geraetedaten!$B$174-Geraetedaten!$B$161)*(Geraetedaten!$B$175-Geraetedaten!$B$162)+Geraetedaten!$B$162</f>
        <v>29.251453089002879</v>
      </c>
      <c r="R274" s="21">
        <f t="shared" si="247"/>
        <v>29.251453089002879</v>
      </c>
      <c r="S274" s="21">
        <f t="shared" si="248"/>
        <v>-23.361249157360273</v>
      </c>
      <c r="T274" s="88">
        <f t="shared" si="249"/>
        <v>-17.603963917989322</v>
      </c>
      <c r="U274" s="86">
        <f t="shared" si="250"/>
        <v>6140.4218000000001</v>
      </c>
      <c r="V274" s="85">
        <f t="shared" si="251"/>
        <v>-1346.4914747781525</v>
      </c>
      <c r="W274" s="85">
        <f t="shared" si="252"/>
        <v>1381.9138071371128</v>
      </c>
      <c r="X274" s="90">
        <f t="shared" si="253"/>
        <v>1346.4914747781525</v>
      </c>
      <c r="Y274" s="86">
        <f t="shared" si="254"/>
        <v>13150.007900000001</v>
      </c>
      <c r="Z274" s="85">
        <f t="shared" si="255"/>
        <v>-818.62113479844345</v>
      </c>
      <c r="AA274" s="85">
        <f t="shared" si="256"/>
        <v>1259.9138157299039</v>
      </c>
      <c r="AB274" s="90">
        <f t="shared" si="257"/>
        <v>818.62113479844345</v>
      </c>
      <c r="AC274" s="86">
        <f t="shared" si="258"/>
        <v>-6180.4079499999998</v>
      </c>
      <c r="AD274" s="85">
        <f t="shared" si="259"/>
        <v>3384.56104615708</v>
      </c>
      <c r="AE274" s="85">
        <f t="shared" si="260"/>
        <v>-3486.0901575784792</v>
      </c>
      <c r="AF274" s="90">
        <f t="shared" si="261"/>
        <v>3384.56104615708</v>
      </c>
      <c r="AG274" s="86">
        <f t="shared" si="262"/>
        <v>-14631.62882</v>
      </c>
      <c r="AH274" s="85">
        <f t="shared" si="263"/>
        <v>6139.2748628683721</v>
      </c>
      <c r="AI274" s="85">
        <f t="shared" si="264"/>
        <v>-10055.571825256518</v>
      </c>
      <c r="AJ274" s="90">
        <f t="shared" si="265"/>
        <v>6139.2748628683721</v>
      </c>
      <c r="AL274" s="95">
        <f t="shared" si="266"/>
        <v>0</v>
      </c>
      <c r="AM274" s="95">
        <f t="shared" si="267"/>
        <v>0</v>
      </c>
      <c r="AN274" s="95">
        <f t="shared" si="268"/>
        <v>0</v>
      </c>
      <c r="AO274" s="95">
        <f t="shared" si="269"/>
        <v>0</v>
      </c>
      <c r="AP274"/>
      <c r="AQ274" s="95">
        <f t="shared" si="270"/>
        <v>0</v>
      </c>
      <c r="AR274" s="95">
        <f t="shared" si="271"/>
        <v>0</v>
      </c>
      <c r="AS274" s="95">
        <f>Geraetedaten!$B$94*ABS(SIN(RADIANS($A274)))</f>
        <v>122.98986854728309</v>
      </c>
      <c r="AT274" s="95">
        <f>Geraetedaten!$B$94*ABS(COS(RADIANS($A274)))</f>
        <v>92.679513565415434</v>
      </c>
      <c r="AU274" s="95">
        <f>((h_Aw_Sw+Geraetedaten!$B$18)/1000)*(AQ274*AS274+AR274*AT274)/100</f>
        <v>0</v>
      </c>
    </row>
    <row r="275" spans="1:47" ht="13.5" x14ac:dyDescent="0.25">
      <c r="A275" s="16">
        <v>234</v>
      </c>
      <c r="B275" s="16">
        <f t="shared" si="238"/>
        <v>216</v>
      </c>
      <c r="C275" s="19">
        <f t="shared" si="239"/>
        <v>69.013803765000915</v>
      </c>
      <c r="D275" s="17">
        <f t="shared" si="240"/>
        <v>6047.6926962349989</v>
      </c>
      <c r="E275" s="17">
        <f t="shared" si="241"/>
        <v>13357.175656234998</v>
      </c>
      <c r="F275" s="17">
        <f t="shared" si="242"/>
        <v>-6223.8519737650013</v>
      </c>
      <c r="G275" s="17">
        <f t="shared" si="243"/>
        <v>-15041.899873765002</v>
      </c>
      <c r="H275" s="17">
        <f t="shared" si="244"/>
        <v>6047.6926962349989</v>
      </c>
      <c r="I275" s="17">
        <f t="shared" si="245"/>
        <v>1376.5766330351398</v>
      </c>
      <c r="J275" s="20">
        <f>(Geraetedaten!$B$152+(Geraetedaten!$B$153*(Geraetedaten!$B$18+d_y_Sw)/1000))*10</f>
        <v>6051.0442000000003</v>
      </c>
      <c r="K275" s="20">
        <f>(Geraetedaten!$B$165+(Geraetedaten!$B$166*(Geraetedaten!$B$18+d_y_Sw)/1000))*10</f>
        <v>10816.164000000001</v>
      </c>
      <c r="L275" s="20">
        <f>(Geraetedaten!$B$158+(Geraetedaten!$B$159*(Geraetedaten!$B$18+d_y_Sw)/1000)-(Geraetedaten!$B$160*I275/1000))*10</f>
        <v>500.59223549953293</v>
      </c>
      <c r="M275" s="20">
        <f>(Geraetedaten!$B$171+(Geraetedaten!$B$172*(Geraetedaten!$B$18+d_y_Sw)/1000)-(Geraetedaten!$B$173*I275/1000))*10</f>
        <v>962.39463543686509</v>
      </c>
      <c r="N275" s="20">
        <f>IF((H275-J275)/(K275-J275)*(Geraetedaten!$B$174-Geraetedaten!$B$161)&lt;Geraetedaten!$B$174,(H275-J275)/(K275-J275)*(Geraetedaten!$B$174-Geraetedaten!$B$161),Geraetedaten!$B$174)</f>
        <v>-0.28133636975937731</v>
      </c>
      <c r="O275" s="20">
        <f>N275/Geraetedaten!$B$174*(M275-L275)+L275+C275</f>
        <v>569.28123473767255</v>
      </c>
      <c r="P275" s="20">
        <f t="shared" si="246"/>
        <v>208.63057723596296</v>
      </c>
      <c r="Q275" s="21">
        <f>(N275-Geraetedaten!$B$161)/(Geraetedaten!$B$174-Geraetedaten!$B$161)*(Geraetedaten!$B$175-Geraetedaten!$B$162)+Geraetedaten!$B$162</f>
        <v>29.191630242999658</v>
      </c>
      <c r="R275" s="21">
        <f t="shared" si="247"/>
        <v>29.191630242999658</v>
      </c>
      <c r="S275" s="21">
        <f t="shared" si="248"/>
        <v>-23.616524960096395</v>
      </c>
      <c r="T275" s="88">
        <f t="shared" si="249"/>
        <v>-17.158409747210147</v>
      </c>
      <c r="U275" s="86">
        <f t="shared" si="250"/>
        <v>6116.7065000000002</v>
      </c>
      <c r="V275" s="85">
        <f t="shared" si="251"/>
        <v>-1346.4914747781525</v>
      </c>
      <c r="W275" s="85">
        <f t="shared" si="252"/>
        <v>1376.5766330351398</v>
      </c>
      <c r="X275" s="90">
        <f t="shared" si="253"/>
        <v>1346.4914747781525</v>
      </c>
      <c r="Y275" s="86">
        <f t="shared" si="254"/>
        <v>13426.18946</v>
      </c>
      <c r="Z275" s="85">
        <f t="shared" si="255"/>
        <v>-818.62113479844345</v>
      </c>
      <c r="AA275" s="85">
        <f t="shared" si="256"/>
        <v>1286.3750141304267</v>
      </c>
      <c r="AB275" s="90">
        <f t="shared" si="257"/>
        <v>818.62113479844345</v>
      </c>
      <c r="AC275" s="86">
        <f t="shared" si="258"/>
        <v>-6154.83817</v>
      </c>
      <c r="AD275" s="85">
        <f t="shared" si="259"/>
        <v>3384.56104615708</v>
      </c>
      <c r="AE275" s="85">
        <f t="shared" si="260"/>
        <v>-3471.6673902278644</v>
      </c>
      <c r="AF275" s="90">
        <f t="shared" si="261"/>
        <v>3384.56104615708</v>
      </c>
      <c r="AG275" s="86">
        <f t="shared" si="262"/>
        <v>-14972.88607</v>
      </c>
      <c r="AH275" s="85">
        <f t="shared" si="263"/>
        <v>6139.2748628683721</v>
      </c>
      <c r="AI275" s="85">
        <f t="shared" si="264"/>
        <v>-10290.100521149057</v>
      </c>
      <c r="AJ275" s="90">
        <f t="shared" si="265"/>
        <v>6139.2748628683721</v>
      </c>
      <c r="AL275" s="95">
        <f t="shared" si="266"/>
        <v>0</v>
      </c>
      <c r="AM275" s="95">
        <f t="shared" si="267"/>
        <v>0</v>
      </c>
      <c r="AN275" s="95">
        <f t="shared" si="268"/>
        <v>0</v>
      </c>
      <c r="AO275" s="95">
        <f t="shared" si="269"/>
        <v>0</v>
      </c>
      <c r="AP275"/>
      <c r="AQ275" s="95">
        <f t="shared" si="270"/>
        <v>0</v>
      </c>
      <c r="AR275" s="95">
        <f t="shared" si="271"/>
        <v>0</v>
      </c>
      <c r="AS275" s="95">
        <f>Geraetedaten!$B$94*ABS(SIN(RADIANS($A275)))</f>
        <v>124.58861713374189</v>
      </c>
      <c r="AT275" s="95">
        <f>Geraetedaten!$B$94*ABS(COS(RADIANS($A275)))</f>
        <v>90.518928853040876</v>
      </c>
      <c r="AU275" s="95">
        <f>((h_Aw_Sw+Geraetedaten!$B$18)/1000)*(AQ275*AS275+AR275*AT275)/100</f>
        <v>0</v>
      </c>
    </row>
    <row r="276" spans="1:47" ht="13.5" x14ac:dyDescent="0.25">
      <c r="A276" s="16">
        <v>235</v>
      </c>
      <c r="B276" s="16">
        <f t="shared" si="238"/>
        <v>215</v>
      </c>
      <c r="C276" s="19">
        <f t="shared" si="239"/>
        <v>69.232357792856234</v>
      </c>
      <c r="D276" s="17">
        <f t="shared" si="240"/>
        <v>6025.7907822071438</v>
      </c>
      <c r="E276" s="17">
        <f t="shared" si="241"/>
        <v>13649.256922207143</v>
      </c>
      <c r="F276" s="17">
        <f t="shared" si="242"/>
        <v>-6200.571407792856</v>
      </c>
      <c r="G276" s="17">
        <f t="shared" si="243"/>
        <v>-15404.457087792856</v>
      </c>
      <c r="H276" s="17">
        <f t="shared" si="244"/>
        <v>6025.7907822071438</v>
      </c>
      <c r="I276" s="17">
        <f t="shared" si="245"/>
        <v>1371.6967509709257</v>
      </c>
      <c r="J276" s="20">
        <f>(Geraetedaten!$B$152+(Geraetedaten!$B$153*(Geraetedaten!$B$18+d_y_Sw)/1000))*10</f>
        <v>6051.0442000000003</v>
      </c>
      <c r="K276" s="20">
        <f>(Geraetedaten!$B$165+(Geraetedaten!$B$166*(Geraetedaten!$B$18+d_y_Sw)/1000))*10</f>
        <v>10816.164000000001</v>
      </c>
      <c r="L276" s="20">
        <f>(Geraetedaten!$B$158+(Geraetedaten!$B$159*(Geraetedaten!$B$18+d_y_Sw)/1000)-(Geraetedaten!$B$160*I276/1000))*10</f>
        <v>500.95007725130182</v>
      </c>
      <c r="M276" s="20">
        <f>(Geraetedaten!$B$171+(Geraetedaten!$B$172*(Geraetedaten!$B$18+d_y_Sw)/1000)-(Geraetedaten!$B$173*I276/1000))*10</f>
        <v>962.75789385772532</v>
      </c>
      <c r="N276" s="20">
        <f>IF((H276-J276)/(K276-J276)*(Geraetedaten!$B$174-Geraetedaten!$B$161)&lt;Geraetedaten!$B$174,(H276-J276)/(K276-J276)*(Geraetedaten!$B$174-Geraetedaten!$B$161),Geraetedaten!$B$174)</f>
        <v>-2.1198558569592687</v>
      </c>
      <c r="O276" s="20">
        <f>N276/Geraetedaten!$B$174*(M276-L276)+L276+C276</f>
        <v>567.73502003210126</v>
      </c>
      <c r="P276" s="20">
        <f t="shared" si="246"/>
        <v>208.43722532288342</v>
      </c>
      <c r="Q276" s="21">
        <f>(N276-Geraetedaten!$B$161)/(Geraetedaten!$B$174-Geraetedaten!$B$161)*(Geraetedaten!$B$175-Geraetedaten!$B$162)+Geraetedaten!$B$162</f>
        <v>29.136934288255461</v>
      </c>
      <c r="R276" s="21">
        <f t="shared" si="247"/>
        <v>29.136934288255461</v>
      </c>
      <c r="S276" s="21">
        <f t="shared" si="248"/>
        <v>-23.867579286538476</v>
      </c>
      <c r="T276" s="88">
        <f t="shared" si="249"/>
        <v>-16.71225893525218</v>
      </c>
      <c r="U276" s="86">
        <f t="shared" si="250"/>
        <v>6095.0231400000002</v>
      </c>
      <c r="V276" s="85">
        <f t="shared" si="251"/>
        <v>-1346.4914747781525</v>
      </c>
      <c r="W276" s="85">
        <f t="shared" si="252"/>
        <v>1371.6967509709257</v>
      </c>
      <c r="X276" s="90">
        <f t="shared" si="253"/>
        <v>1346.4914747781525</v>
      </c>
      <c r="Y276" s="86">
        <f t="shared" si="254"/>
        <v>13718.48928</v>
      </c>
      <c r="Z276" s="85">
        <f t="shared" si="255"/>
        <v>-818.62113479844345</v>
      </c>
      <c r="AA276" s="85">
        <f t="shared" si="256"/>
        <v>1314.3805163305444</v>
      </c>
      <c r="AB276" s="90">
        <f t="shared" si="257"/>
        <v>818.62113479844345</v>
      </c>
      <c r="AC276" s="86">
        <f t="shared" si="258"/>
        <v>-6131.3390499999996</v>
      </c>
      <c r="AD276" s="85">
        <f t="shared" si="259"/>
        <v>3384.56104615708</v>
      </c>
      <c r="AE276" s="85">
        <f t="shared" si="260"/>
        <v>-3458.4125973731161</v>
      </c>
      <c r="AF276" s="90">
        <f t="shared" si="261"/>
        <v>3384.56104615708</v>
      </c>
      <c r="AG276" s="86">
        <f t="shared" si="262"/>
        <v>-15335.22473</v>
      </c>
      <c r="AH276" s="85">
        <f t="shared" si="263"/>
        <v>6139.2748628683721</v>
      </c>
      <c r="AI276" s="85">
        <f t="shared" si="264"/>
        <v>-10539.117392302953</v>
      </c>
      <c r="AJ276" s="90">
        <f t="shared" si="265"/>
        <v>6139.2748628683721</v>
      </c>
      <c r="AL276" s="95">
        <f t="shared" si="266"/>
        <v>0</v>
      </c>
      <c r="AM276" s="95">
        <f t="shared" si="267"/>
        <v>0</v>
      </c>
      <c r="AN276" s="95">
        <f t="shared" si="268"/>
        <v>0</v>
      </c>
      <c r="AO276" s="95">
        <f t="shared" si="269"/>
        <v>0</v>
      </c>
      <c r="AP276"/>
      <c r="AQ276" s="95">
        <f t="shared" si="270"/>
        <v>0</v>
      </c>
      <c r="AR276" s="95">
        <f t="shared" si="271"/>
        <v>0</v>
      </c>
      <c r="AS276" s="95">
        <f>Geraetedaten!$B$94*ABS(SIN(RADIANS($A276)))</f>
        <v>126.1494148205047</v>
      </c>
      <c r="AT276" s="95">
        <f>Geraetedaten!$B$94*ABS(COS(RADIANS($A276)))</f>
        <v>88.330771198061143</v>
      </c>
      <c r="AU276" s="95">
        <f>((h_Aw_Sw+Geraetedaten!$B$18)/1000)*(AQ276*AS276+AR276*AT276)/100</f>
        <v>0</v>
      </c>
    </row>
    <row r="277" spans="1:47" ht="13.5" x14ac:dyDescent="0.25">
      <c r="A277" s="16">
        <v>236</v>
      </c>
      <c r="B277" s="16">
        <f t="shared" si="238"/>
        <v>214</v>
      </c>
      <c r="C277" s="19">
        <f t="shared" si="239"/>
        <v>69.429822973858947</v>
      </c>
      <c r="D277" s="17">
        <f t="shared" si="240"/>
        <v>6005.9072170261416</v>
      </c>
      <c r="E277" s="17">
        <f t="shared" si="241"/>
        <v>13958.73797702614</v>
      </c>
      <c r="F277" s="17">
        <f t="shared" si="242"/>
        <v>-6179.3025629738586</v>
      </c>
      <c r="G277" s="17">
        <f t="shared" si="243"/>
        <v>-15789.87242297386</v>
      </c>
      <c r="H277" s="17">
        <f t="shared" si="244"/>
        <v>6005.9072170261416</v>
      </c>
      <c r="I277" s="17">
        <f t="shared" si="245"/>
        <v>1367.2663558610245</v>
      </c>
      <c r="J277" s="20">
        <f>(Geraetedaten!$B$152+(Geraetedaten!$B$153*(Geraetedaten!$B$18+d_y_Sw)/1000))*10</f>
        <v>6051.0442000000003</v>
      </c>
      <c r="K277" s="20">
        <f>(Geraetedaten!$B$165+(Geraetedaten!$B$166*(Geraetedaten!$B$18+d_y_Sw)/1000))*10</f>
        <v>10816.164000000001</v>
      </c>
      <c r="L277" s="20">
        <f>(Geraetedaten!$B$158+(Geraetedaten!$B$159*(Geraetedaten!$B$18+d_y_Sw)/1000)-(Geraetedaten!$B$160*I277/1000))*10</f>
        <v>501.27495812471079</v>
      </c>
      <c r="M277" s="20">
        <f>(Geraetedaten!$B$171+(Geraetedaten!$B$172*(Geraetedaten!$B$18+d_y_Sw)/1000)-(Geraetedaten!$B$173*I277/1000))*10</f>
        <v>963.08769246970633</v>
      </c>
      <c r="N277" s="20">
        <f>IF((H277-J277)/(K277-J277)*(Geraetedaten!$B$174-Geraetedaten!$B$161)&lt;Geraetedaten!$B$174,(H277-J277)/(K277-J277)*(Geraetedaten!$B$174-Geraetedaten!$B$161),Geraetedaten!$B$174)</f>
        <v>-3.7889484309593824</v>
      </c>
      <c r="O277" s="20">
        <f>N277/Geraetedaten!$B$174*(M277-L277)+L277+C277</f>
        <v>566.33031951058592</v>
      </c>
      <c r="P277" s="20">
        <f t="shared" si="246"/>
        <v>208.26072932446579</v>
      </c>
      <c r="Q277" s="21">
        <f>(N277-Geraetedaten!$B$161)/(Geraetedaten!$B$174-Geraetedaten!$B$161)*(Geraetedaten!$B$175-Geraetedaten!$B$162)+Geraetedaten!$B$162</f>
        <v>29.087278784178956</v>
      </c>
      <c r="R277" s="21">
        <f t="shared" si="247"/>
        <v>29.087278784178956</v>
      </c>
      <c r="S277" s="21">
        <f t="shared" si="248"/>
        <v>-24.114446995467489</v>
      </c>
      <c r="T277" s="88">
        <f t="shared" si="249"/>
        <v>-16.265399877388077</v>
      </c>
      <c r="U277" s="86">
        <f t="shared" si="250"/>
        <v>6075.3370400000003</v>
      </c>
      <c r="V277" s="85">
        <f t="shared" si="251"/>
        <v>-1346.4914747781525</v>
      </c>
      <c r="W277" s="85">
        <f t="shared" si="252"/>
        <v>1367.2663558610245</v>
      </c>
      <c r="X277" s="90">
        <f t="shared" si="253"/>
        <v>1346.4914747781525</v>
      </c>
      <c r="Y277" s="86">
        <f t="shared" si="254"/>
        <v>14028.167799999999</v>
      </c>
      <c r="Z277" s="85">
        <f t="shared" si="255"/>
        <v>-818.62113479844345</v>
      </c>
      <c r="AA277" s="85">
        <f t="shared" si="256"/>
        <v>1344.051087768388</v>
      </c>
      <c r="AB277" s="90">
        <f t="shared" si="257"/>
        <v>818.62113479844345</v>
      </c>
      <c r="AC277" s="86">
        <f t="shared" si="258"/>
        <v>-6109.8727399999998</v>
      </c>
      <c r="AD277" s="85">
        <f t="shared" si="259"/>
        <v>3384.56104615708</v>
      </c>
      <c r="AE277" s="85">
        <f t="shared" si="260"/>
        <v>-3446.304417814958</v>
      </c>
      <c r="AF277" s="90">
        <f t="shared" si="261"/>
        <v>3384.56104615708</v>
      </c>
      <c r="AG277" s="86">
        <f t="shared" si="262"/>
        <v>-15720.4426</v>
      </c>
      <c r="AH277" s="85">
        <f t="shared" si="263"/>
        <v>6139.2748628683721</v>
      </c>
      <c r="AI277" s="85">
        <f t="shared" si="264"/>
        <v>-10803.857975845109</v>
      </c>
      <c r="AJ277" s="90">
        <f t="shared" si="265"/>
        <v>6139.2748628683721</v>
      </c>
      <c r="AL277" s="95">
        <f t="shared" si="266"/>
        <v>0</v>
      </c>
      <c r="AM277" s="95">
        <f t="shared" si="267"/>
        <v>0</v>
      </c>
      <c r="AN277" s="95">
        <f t="shared" si="268"/>
        <v>0</v>
      </c>
      <c r="AO277" s="95">
        <f t="shared" si="269"/>
        <v>0</v>
      </c>
      <c r="AP277"/>
      <c r="AQ277" s="95">
        <f t="shared" si="270"/>
        <v>0</v>
      </c>
      <c r="AR277" s="95">
        <f t="shared" si="271"/>
        <v>0</v>
      </c>
      <c r="AS277" s="95">
        <f>Geraetedaten!$B$94*ABS(SIN(RADIANS($A277)))</f>
        <v>127.67178617347645</v>
      </c>
      <c r="AT277" s="95">
        <f>Geraetedaten!$B$94*ABS(COS(RADIANS($A277)))</f>
        <v>86.115707134494968</v>
      </c>
      <c r="AU277" s="95">
        <f>((h_Aw_Sw+Geraetedaten!$B$18)/1000)*(AQ277*AS277+AR277*AT277)/100</f>
        <v>0</v>
      </c>
    </row>
    <row r="278" spans="1:47" ht="13.5" x14ac:dyDescent="0.25">
      <c r="A278" s="16">
        <v>237</v>
      </c>
      <c r="B278" s="16">
        <f t="shared" si="238"/>
        <v>213</v>
      </c>
      <c r="C278" s="19">
        <f t="shared" si="239"/>
        <v>69.606139158202012</v>
      </c>
      <c r="D278" s="17">
        <f t="shared" si="240"/>
        <v>5988.0108308417985</v>
      </c>
      <c r="E278" s="17">
        <f t="shared" si="241"/>
        <v>14287.018490841798</v>
      </c>
      <c r="F278" s="17">
        <f t="shared" si="242"/>
        <v>-6160.0110791582019</v>
      </c>
      <c r="G278" s="17">
        <f t="shared" si="243"/>
        <v>-16200.158609158203</v>
      </c>
      <c r="H278" s="17">
        <f t="shared" si="244"/>
        <v>5988.0108308417985</v>
      </c>
      <c r="I278" s="17">
        <f t="shared" si="245"/>
        <v>1363.2784186394417</v>
      </c>
      <c r="J278" s="20">
        <f>(Geraetedaten!$B$152+(Geraetedaten!$B$153*(Geraetedaten!$B$18+d_y_Sw)/1000))*10</f>
        <v>6051.0442000000003</v>
      </c>
      <c r="K278" s="20">
        <f>(Geraetedaten!$B$165+(Geraetedaten!$B$166*(Geraetedaten!$B$18+d_y_Sw)/1000))*10</f>
        <v>10816.164000000001</v>
      </c>
      <c r="L278" s="20">
        <f>(Geraetedaten!$B$158+(Geraetedaten!$B$159*(Geraetedaten!$B$18+d_y_Sw)/1000)-(Geraetedaten!$B$160*I278/1000))*10</f>
        <v>501.56739356116952</v>
      </c>
      <c r="M278" s="20">
        <f>(Geraetedaten!$B$171+(Geraetedaten!$B$172*(Geraetedaten!$B$18+d_y_Sw)/1000)-(Geraetedaten!$B$173*I278/1000))*10</f>
        <v>963.38455451648088</v>
      </c>
      <c r="N278" s="20">
        <f>IF((H278-J278)/(K278-J278)*(Geraetedaten!$B$174-Geraetedaten!$B$161)&lt;Geraetedaten!$B$174,(H278-J278)/(K278-J278)*(Geraetedaten!$B$174-Geraetedaten!$B$161),Geraetedaten!$B$174)</f>
        <v>-5.2912305926244976</v>
      </c>
      <c r="O278" s="20">
        <f>N278/Geraetedaten!$B$174*(M278-L278)+L278+C278</f>
        <v>565.06457999375721</v>
      </c>
      <c r="P278" s="20">
        <f t="shared" si="246"/>
        <v>208.10085178963126</v>
      </c>
      <c r="Q278" s="21">
        <f>(N278-Geraetedaten!$B$161)/(Geraetedaten!$B$174-Geraetedaten!$B$161)*(Geraetedaten!$B$175-Geraetedaten!$B$162)+Geraetedaten!$B$162</f>
        <v>29.042585889869422</v>
      </c>
      <c r="R278" s="21">
        <f t="shared" si="247"/>
        <v>29.042585889869422</v>
      </c>
      <c r="S278" s="21">
        <f t="shared" si="248"/>
        <v>-24.357162002860548</v>
      </c>
      <c r="T278" s="88">
        <f t="shared" si="249"/>
        <v>-15.81772595339952</v>
      </c>
      <c r="U278" s="86">
        <f t="shared" si="250"/>
        <v>6057.61697</v>
      </c>
      <c r="V278" s="85">
        <f t="shared" si="251"/>
        <v>-1346.4914747781525</v>
      </c>
      <c r="W278" s="85">
        <f t="shared" si="252"/>
        <v>1363.2784186394417</v>
      </c>
      <c r="X278" s="90">
        <f t="shared" si="253"/>
        <v>1346.4914747781525</v>
      </c>
      <c r="Y278" s="86">
        <f t="shared" si="254"/>
        <v>14356.62463</v>
      </c>
      <c r="Z278" s="85">
        <f t="shared" si="255"/>
        <v>-818.62113479844345</v>
      </c>
      <c r="AA278" s="85">
        <f t="shared" si="256"/>
        <v>1375.5208256872338</v>
      </c>
      <c r="AB278" s="90">
        <f t="shared" si="257"/>
        <v>818.62113479844345</v>
      </c>
      <c r="AC278" s="86">
        <f t="shared" si="258"/>
        <v>-6090.4049400000004</v>
      </c>
      <c r="AD278" s="85">
        <f t="shared" si="259"/>
        <v>3384.56104615708</v>
      </c>
      <c r="AE278" s="85">
        <f t="shared" si="260"/>
        <v>-3435.3235078281828</v>
      </c>
      <c r="AF278" s="90">
        <f t="shared" si="261"/>
        <v>3384.56104615708</v>
      </c>
      <c r="AG278" s="86">
        <f t="shared" si="262"/>
        <v>-16130.552470000001</v>
      </c>
      <c r="AH278" s="85">
        <f t="shared" si="263"/>
        <v>6139.2748628683721</v>
      </c>
      <c r="AI278" s="85">
        <f t="shared" si="264"/>
        <v>-11085.705561421451</v>
      </c>
      <c r="AJ278" s="90">
        <f t="shared" si="265"/>
        <v>6139.2748628683721</v>
      </c>
      <c r="AL278" s="95">
        <f t="shared" si="266"/>
        <v>0</v>
      </c>
      <c r="AM278" s="95">
        <f t="shared" si="267"/>
        <v>0</v>
      </c>
      <c r="AN278" s="95">
        <f t="shared" si="268"/>
        <v>0</v>
      </c>
      <c r="AO278" s="95">
        <f t="shared" si="269"/>
        <v>0</v>
      </c>
      <c r="AP278"/>
      <c r="AQ278" s="95">
        <f t="shared" si="270"/>
        <v>0</v>
      </c>
      <c r="AR278" s="95">
        <f t="shared" si="271"/>
        <v>0</v>
      </c>
      <c r="AS278" s="95">
        <f>Geraetedaten!$B$94*ABS(SIN(RADIANS($A278)))</f>
        <v>129.15526746359529</v>
      </c>
      <c r="AT278" s="95">
        <f>Geraetedaten!$B$94*ABS(COS(RADIANS($A278)))</f>
        <v>83.874411392314158</v>
      </c>
      <c r="AU278" s="95">
        <f>((h_Aw_Sw+Geraetedaten!$B$18)/1000)*(AQ278*AS278+AR278*AT278)/100</f>
        <v>0</v>
      </c>
    </row>
    <row r="279" spans="1:47" ht="13.5" x14ac:dyDescent="0.25">
      <c r="A279" s="16">
        <v>238</v>
      </c>
      <c r="B279" s="16">
        <f t="shared" si="238"/>
        <v>212</v>
      </c>
      <c r="C279" s="19">
        <f t="shared" si="239"/>
        <v>69.761252638267678</v>
      </c>
      <c r="D279" s="17">
        <f t="shared" si="240"/>
        <v>5972.0737573617325</v>
      </c>
      <c r="E279" s="17">
        <f t="shared" si="241"/>
        <v>14635.656827361732</v>
      </c>
      <c r="F279" s="17">
        <f t="shared" si="242"/>
        <v>-6142.6660526382675</v>
      </c>
      <c r="G279" s="17">
        <f t="shared" si="243"/>
        <v>-16637.57629263827</v>
      </c>
      <c r="H279" s="17">
        <f t="shared" si="244"/>
        <v>5972.0737573617325</v>
      </c>
      <c r="I279" s="17">
        <f t="shared" si="245"/>
        <v>1359.7266585385796</v>
      </c>
      <c r="J279" s="20">
        <f>(Geraetedaten!$B$152+(Geraetedaten!$B$153*(Geraetedaten!$B$18+d_y_Sw)/1000))*10</f>
        <v>6051.0442000000003</v>
      </c>
      <c r="K279" s="20">
        <f>(Geraetedaten!$B$165+(Geraetedaten!$B$166*(Geraetedaten!$B$18+d_y_Sw)/1000))*10</f>
        <v>10816.164000000001</v>
      </c>
      <c r="L279" s="20">
        <f>(Geraetedaten!$B$158+(Geraetedaten!$B$159*(Geraetedaten!$B$18+d_y_Sw)/1000)-(Geraetedaten!$B$160*I279/1000))*10</f>
        <v>501.8278441293657</v>
      </c>
      <c r="M279" s="20">
        <f>(Geraetedaten!$B$171+(Geraetedaten!$B$172*(Geraetedaten!$B$18+d_y_Sw)/1000)-(Geraetedaten!$B$173*I279/1000))*10</f>
        <v>963.64894753838917</v>
      </c>
      <c r="N279" s="20">
        <f>IF((H279-J279)/(K279-J279)*(Geraetedaten!$B$174-Geraetedaten!$B$161)&lt;Geraetedaten!$B$174,(H279-J279)/(K279-J279)*(Geraetedaten!$B$174-Geraetedaten!$B$161),Geraetedaten!$B$174)</f>
        <v>-6.6290415311923727</v>
      </c>
      <c r="O279" s="20">
        <f>N279/Geraetedaten!$B$174*(M279-L279)+L279+C279</f>
        <v>563.93551858143462</v>
      </c>
      <c r="P279" s="20">
        <f t="shared" si="246"/>
        <v>207.95737899524019</v>
      </c>
      <c r="Q279" s="21">
        <f>(N279-Geraetedaten!$B$161)/(Geraetedaten!$B$174-Geraetedaten!$B$161)*(Geraetedaten!$B$175-Geraetedaten!$B$162)+Geraetedaten!$B$162</f>
        <v>29.002786014447025</v>
      </c>
      <c r="R279" s="21">
        <f t="shared" si="247"/>
        <v>29.002786014447025</v>
      </c>
      <c r="S279" s="21">
        <f t="shared" si="248"/>
        <v>-24.595757462784018</v>
      </c>
      <c r="T279" s="88">
        <f t="shared" si="249"/>
        <v>-15.369135025488855</v>
      </c>
      <c r="U279" s="86">
        <f t="shared" si="250"/>
        <v>6041.8350099999998</v>
      </c>
      <c r="V279" s="85">
        <f t="shared" si="251"/>
        <v>-1346.4914747781525</v>
      </c>
      <c r="W279" s="85">
        <f t="shared" si="252"/>
        <v>1359.7266585385796</v>
      </c>
      <c r="X279" s="90">
        <f t="shared" si="253"/>
        <v>1346.4914747781525</v>
      </c>
      <c r="Y279" s="86">
        <f t="shared" si="254"/>
        <v>14705.418079999999</v>
      </c>
      <c r="Z279" s="85">
        <f t="shared" si="255"/>
        <v>-818.62113479844345</v>
      </c>
      <c r="AA279" s="85">
        <f t="shared" si="256"/>
        <v>1408.9390324927883</v>
      </c>
      <c r="AB279" s="90">
        <f t="shared" si="257"/>
        <v>818.62113479844345</v>
      </c>
      <c r="AC279" s="86">
        <f t="shared" si="258"/>
        <v>-6072.9048000000003</v>
      </c>
      <c r="AD279" s="85">
        <f t="shared" si="259"/>
        <v>3384.56104615708</v>
      </c>
      <c r="AE279" s="85">
        <f t="shared" si="260"/>
        <v>-3425.4524641239341</v>
      </c>
      <c r="AF279" s="90">
        <f t="shared" si="261"/>
        <v>3384.56104615708</v>
      </c>
      <c r="AG279" s="86">
        <f t="shared" si="262"/>
        <v>-16567.815040000001</v>
      </c>
      <c r="AH279" s="85">
        <f t="shared" si="263"/>
        <v>6139.2748628683721</v>
      </c>
      <c r="AI279" s="85">
        <f t="shared" si="264"/>
        <v>-11386.21381046591</v>
      </c>
      <c r="AJ279" s="90">
        <f t="shared" si="265"/>
        <v>6139.2748628683721</v>
      </c>
      <c r="AL279" s="95">
        <f t="shared" si="266"/>
        <v>0</v>
      </c>
      <c r="AM279" s="95">
        <f t="shared" si="267"/>
        <v>0</v>
      </c>
      <c r="AN279" s="95">
        <f t="shared" si="268"/>
        <v>0</v>
      </c>
      <c r="AO279" s="95">
        <f t="shared" si="269"/>
        <v>0</v>
      </c>
      <c r="AP279"/>
      <c r="AQ279" s="95">
        <f t="shared" si="270"/>
        <v>0</v>
      </c>
      <c r="AR279" s="95">
        <f t="shared" si="271"/>
        <v>0</v>
      </c>
      <c r="AS279" s="95">
        <f>Geraetedaten!$B$94*ABS(SIN(RADIANS($A279)))</f>
        <v>130.59940680808961</v>
      </c>
      <c r="AT279" s="95">
        <f>Geraetedaten!$B$94*ABS(COS(RADIANS($A279)))</f>
        <v>81.607566691913576</v>
      </c>
      <c r="AU279" s="95">
        <f>((h_Aw_Sw+Geraetedaten!$B$18)/1000)*(AQ279*AS279+AR279*AT279)/100</f>
        <v>0</v>
      </c>
    </row>
    <row r="280" spans="1:47" ht="13.5" x14ac:dyDescent="0.25">
      <c r="A280" s="16">
        <v>239</v>
      </c>
      <c r="B280" s="16">
        <f t="shared" si="238"/>
        <v>211</v>
      </c>
      <c r="C280" s="19">
        <f t="shared" si="239"/>
        <v>69.8951161649873</v>
      </c>
      <c r="D280" s="17">
        <f t="shared" si="240"/>
        <v>5958.0713638350126</v>
      </c>
      <c r="E280" s="17">
        <f t="shared" si="241"/>
        <v>15006.392983835012</v>
      </c>
      <c r="F280" s="17">
        <f t="shared" si="242"/>
        <v>-6127.2398961649878</v>
      </c>
      <c r="G280" s="17">
        <f t="shared" si="243"/>
        <v>-17104.673176164986</v>
      </c>
      <c r="H280" s="17">
        <f t="shared" si="244"/>
        <v>5958.0713638350126</v>
      </c>
      <c r="I280" s="17">
        <f t="shared" si="245"/>
        <v>1356.605518579978</v>
      </c>
      <c r="J280" s="20">
        <f>(Geraetedaten!$B$152+(Geraetedaten!$B$153*(Geraetedaten!$B$18+d_y_Sw)/1000))*10</f>
        <v>6051.0442000000003</v>
      </c>
      <c r="K280" s="20">
        <f>(Geraetedaten!$B$165+(Geraetedaten!$B$166*(Geraetedaten!$B$18+d_y_Sw)/1000))*10</f>
        <v>10816.164000000001</v>
      </c>
      <c r="L280" s="20">
        <f>(Geraetedaten!$B$158+(Geraetedaten!$B$159*(Geraetedaten!$B$18+d_y_Sw)/1000)-(Geraetedaten!$B$160*I280/1000))*10</f>
        <v>502.05671732252995</v>
      </c>
      <c r="M280" s="20">
        <f>(Geraetedaten!$B$171+(Geraetedaten!$B$172*(Geraetedaten!$B$18+d_y_Sw)/1000)-(Geraetedaten!$B$173*I280/1000))*10</f>
        <v>963.88128519690736</v>
      </c>
      <c r="N280" s="20">
        <f>IF((H280-J280)/(K280-J280)*(Geraetedaten!$B$174-Geraetedaten!$B$161)&lt;Geraetedaten!$B$174,(H280-J280)/(K280-J280)*(Geraetedaten!$B$174-Geraetedaten!$B$161),Geraetedaten!$B$174)</f>
        <v>-7.80444900167989</v>
      </c>
      <c r="O280" s="20">
        <f>N280/Geraetedaten!$B$174*(M280-L280)+L280+C280</f>
        <v>562.94111776827117</v>
      </c>
      <c r="P280" s="20">
        <f t="shared" si="246"/>
        <v>207.8301213931706</v>
      </c>
      <c r="Q280" s="21">
        <f>(N280-Geraetedaten!$B$161)/(Geraetedaten!$B$174-Geraetedaten!$B$161)*(Geraetedaten!$B$175-Geraetedaten!$B$162)+Geraetedaten!$B$162</f>
        <v>28.967817642200021</v>
      </c>
      <c r="R280" s="21">
        <f t="shared" si="247"/>
        <v>28.967817642200021</v>
      </c>
      <c r="S280" s="21">
        <f t="shared" si="248"/>
        <v>-24.830266055595615</v>
      </c>
      <c r="T280" s="88">
        <f t="shared" si="249"/>
        <v>-14.919529032784213</v>
      </c>
      <c r="U280" s="86">
        <f t="shared" si="250"/>
        <v>6027.96648</v>
      </c>
      <c r="V280" s="85">
        <f t="shared" si="251"/>
        <v>-1346.4914747781525</v>
      </c>
      <c r="W280" s="85">
        <f t="shared" si="252"/>
        <v>1356.605518579978</v>
      </c>
      <c r="X280" s="90">
        <f t="shared" si="253"/>
        <v>1346.4914747781525</v>
      </c>
      <c r="Y280" s="86">
        <f t="shared" si="254"/>
        <v>15076.2881</v>
      </c>
      <c r="Z280" s="85">
        <f t="shared" si="255"/>
        <v>-818.62113479844345</v>
      </c>
      <c r="AA280" s="85">
        <f t="shared" si="256"/>
        <v>1444.4724148558071</v>
      </c>
      <c r="AB280" s="90">
        <f t="shared" si="257"/>
        <v>818.62113479844345</v>
      </c>
      <c r="AC280" s="86">
        <f t="shared" si="258"/>
        <v>-6057.3447800000004</v>
      </c>
      <c r="AD280" s="85">
        <f t="shared" si="259"/>
        <v>3384.56104615708</v>
      </c>
      <c r="AE280" s="85">
        <f t="shared" si="260"/>
        <v>-3416.6757553242037</v>
      </c>
      <c r="AF280" s="90">
        <f t="shared" si="261"/>
        <v>3384.56104615708</v>
      </c>
      <c r="AG280" s="86">
        <f t="shared" si="262"/>
        <v>-17034.778060000001</v>
      </c>
      <c r="AH280" s="85">
        <f t="shared" si="263"/>
        <v>6139.2748628683721</v>
      </c>
      <c r="AI280" s="85">
        <f t="shared" si="264"/>
        <v>-11707.133667553104</v>
      </c>
      <c r="AJ280" s="90">
        <f t="shared" si="265"/>
        <v>6139.2748628683721</v>
      </c>
      <c r="AL280" s="95">
        <f t="shared" si="266"/>
        <v>0</v>
      </c>
      <c r="AM280" s="95">
        <f t="shared" si="267"/>
        <v>0</v>
      </c>
      <c r="AN280" s="95">
        <f t="shared" si="268"/>
        <v>0</v>
      </c>
      <c r="AO280" s="95">
        <f t="shared" si="269"/>
        <v>0</v>
      </c>
      <c r="AP280"/>
      <c r="AQ280" s="95">
        <f t="shared" si="270"/>
        <v>0</v>
      </c>
      <c r="AR280" s="95">
        <f t="shared" si="271"/>
        <v>0</v>
      </c>
      <c r="AS280" s="95">
        <f>Geraetedaten!$B$94*ABS(SIN(RADIANS($A280)))</f>
        <v>132.00376430812526</v>
      </c>
      <c r="AT280" s="95">
        <f>Geraetedaten!$B$94*ABS(COS(RADIANS($A280)))</f>
        <v>79.315863536148385</v>
      </c>
      <c r="AU280" s="95">
        <f>((h_Aw_Sw+Geraetedaten!$B$18)/1000)*(AQ280*AS280+AR280*AT280)/100</f>
        <v>0</v>
      </c>
    </row>
    <row r="281" spans="1:47" ht="13.5" x14ac:dyDescent="0.25">
      <c r="A281" s="16">
        <v>240</v>
      </c>
      <c r="B281" s="16">
        <f t="shared" si="238"/>
        <v>210</v>
      </c>
      <c r="C281" s="19">
        <f t="shared" si="239"/>
        <v>70.007688962233885</v>
      </c>
      <c r="D281" s="17">
        <f t="shared" si="240"/>
        <v>5945.9821110377661</v>
      </c>
      <c r="E281" s="17">
        <f t="shared" si="241"/>
        <v>15401.175671037767</v>
      </c>
      <c r="F281" s="17">
        <f t="shared" si="242"/>
        <v>-6113.7082389622337</v>
      </c>
      <c r="G281" s="17">
        <f t="shared" si="243"/>
        <v>-17604.330878962232</v>
      </c>
      <c r="H281" s="17">
        <f t="shared" si="244"/>
        <v>5945.9821110377661</v>
      </c>
      <c r="I281" s="17">
        <f t="shared" si="245"/>
        <v>1353.9101440941863</v>
      </c>
      <c r="J281" s="20">
        <f>(Geraetedaten!$B$152+(Geraetedaten!$B$153*(Geraetedaten!$B$18+d_y_Sw)/1000))*10</f>
        <v>6051.0442000000003</v>
      </c>
      <c r="K281" s="20">
        <f>(Geraetedaten!$B$165+(Geraetedaten!$B$166*(Geraetedaten!$B$18+d_y_Sw)/1000))*10</f>
        <v>10816.164000000001</v>
      </c>
      <c r="L281" s="20">
        <f>(Geraetedaten!$B$158+(Geraetedaten!$B$159*(Geraetedaten!$B$18+d_y_Sw)/1000)-(Geraetedaten!$B$160*I281/1000))*10</f>
        <v>502.25436913357305</v>
      </c>
      <c r="M281" s="20">
        <f>(Geraetedaten!$B$171+(Geraetedaten!$B$172*(Geraetedaten!$B$18+d_y_Sw)/1000)-(Geraetedaten!$B$173*I281/1000))*10</f>
        <v>964.08192887362975</v>
      </c>
      <c r="N281" s="20">
        <f>IF((H281-J281)/(K281-J281)*(Geraetedaten!$B$174-Geraetedaten!$B$161)&lt;Geraetedaten!$B$174,(H281-J281)/(K281-J281)*(Geraetedaten!$B$174-Geraetedaten!$B$161),Geraetedaten!$B$174)</f>
        <v>-8.8192610781566625</v>
      </c>
      <c r="O281" s="20">
        <f>N281/Geraetedaten!$B$174*(M281-L281)+L281+C281</f>
        <v>562.07961353971814</v>
      </c>
      <c r="P281" s="20">
        <f t="shared" si="246"/>
        <v>207.71891266823096</v>
      </c>
      <c r="Q281" s="21">
        <f>(N281-Geraetedaten!$B$161)/(Geraetedaten!$B$174-Geraetedaten!$B$161)*(Geraetedaten!$B$175-Geraetedaten!$B$162)+Geraetedaten!$B$162</f>
        <v>28.93762698292484</v>
      </c>
      <c r="R281" s="21">
        <f t="shared" si="247"/>
        <v>28.93762698292484</v>
      </c>
      <c r="S281" s="21">
        <f t="shared" si="248"/>
        <v>-25.060720092450943</v>
      </c>
      <c r="T281" s="88">
        <f t="shared" si="249"/>
        <v>-14.468813491462432</v>
      </c>
      <c r="U281" s="86">
        <f t="shared" si="250"/>
        <v>6015.9898000000003</v>
      </c>
      <c r="V281" s="85">
        <f t="shared" si="251"/>
        <v>-1346.4914747781525</v>
      </c>
      <c r="W281" s="85">
        <f t="shared" si="252"/>
        <v>1353.9101440941863</v>
      </c>
      <c r="X281" s="90">
        <f t="shared" si="253"/>
        <v>1346.4914747781525</v>
      </c>
      <c r="Y281" s="86">
        <f t="shared" si="254"/>
        <v>15471.183360000001</v>
      </c>
      <c r="Z281" s="85">
        <f t="shared" si="255"/>
        <v>-818.62113479844345</v>
      </c>
      <c r="AA281" s="85">
        <f t="shared" si="256"/>
        <v>1482.3076765739543</v>
      </c>
      <c r="AB281" s="90">
        <f t="shared" si="257"/>
        <v>818.62113479844345</v>
      </c>
      <c r="AC281" s="86">
        <f t="shared" si="258"/>
        <v>-6043.7005499999996</v>
      </c>
      <c r="AD281" s="85">
        <f t="shared" si="259"/>
        <v>3384.56104615708</v>
      </c>
      <c r="AE281" s="85">
        <f t="shared" si="260"/>
        <v>-3408.9796614376287</v>
      </c>
      <c r="AF281" s="90">
        <f t="shared" si="261"/>
        <v>3384.56104615708</v>
      </c>
      <c r="AG281" s="86">
        <f t="shared" si="262"/>
        <v>-17534.323189999999</v>
      </c>
      <c r="AH281" s="85">
        <f t="shared" si="263"/>
        <v>6139.2748628683721</v>
      </c>
      <c r="AI281" s="85">
        <f t="shared" si="264"/>
        <v>-12050.445544732604</v>
      </c>
      <c r="AJ281" s="90">
        <f t="shared" si="265"/>
        <v>6139.2748628683721</v>
      </c>
      <c r="AL281" s="95">
        <f t="shared" si="266"/>
        <v>0</v>
      </c>
      <c r="AM281" s="95">
        <f t="shared" si="267"/>
        <v>0</v>
      </c>
      <c r="AN281" s="95">
        <f t="shared" si="268"/>
        <v>0</v>
      </c>
      <c r="AO281" s="95">
        <f t="shared" si="269"/>
        <v>0</v>
      </c>
      <c r="AP281"/>
      <c r="AQ281" s="95">
        <f t="shared" si="270"/>
        <v>0</v>
      </c>
      <c r="AR281" s="95">
        <f t="shared" si="271"/>
        <v>0</v>
      </c>
      <c r="AS281" s="95">
        <f>Geraetedaten!$B$94*ABS(SIN(RADIANS($A281)))</f>
        <v>133.36791218280351</v>
      </c>
      <c r="AT281" s="95">
        <f>Geraetedaten!$B$94*ABS(COS(RADIANS($A281)))</f>
        <v>77.000000000000071</v>
      </c>
      <c r="AU281" s="95">
        <f>((h_Aw_Sw+Geraetedaten!$B$18)/1000)*(AQ281*AS281+AR281*AT281)/100</f>
        <v>0</v>
      </c>
    </row>
    <row r="282" spans="1:47" ht="13.5" x14ac:dyDescent="0.25">
      <c r="A282" s="16">
        <v>241</v>
      </c>
      <c r="B282" s="16">
        <f t="shared" si="238"/>
        <v>209</v>
      </c>
      <c r="C282" s="19">
        <f t="shared" si="239"/>
        <v>70.098936739242859</v>
      </c>
      <c r="D282" s="17">
        <f t="shared" si="240"/>
        <v>5935.7875032607571</v>
      </c>
      <c r="E282" s="17">
        <f t="shared" si="241"/>
        <v>15822.194363260756</v>
      </c>
      <c r="F282" s="17">
        <f t="shared" si="242"/>
        <v>-6102.0498567392433</v>
      </c>
      <c r="G282" s="17">
        <f t="shared" si="243"/>
        <v>-18139.821226739245</v>
      </c>
      <c r="H282" s="17">
        <f t="shared" si="244"/>
        <v>5935.7875032607571</v>
      </c>
      <c r="I282" s="17">
        <f t="shared" si="245"/>
        <v>1351.636364113348</v>
      </c>
      <c r="J282" s="20">
        <f>(Geraetedaten!$B$152+(Geraetedaten!$B$153*(Geraetedaten!$B$18+d_y_Sw)/1000))*10</f>
        <v>6051.0442000000003</v>
      </c>
      <c r="K282" s="20">
        <f>(Geraetedaten!$B$165+(Geraetedaten!$B$166*(Geraetedaten!$B$18+d_y_Sw)/1000))*10</f>
        <v>10816.164000000001</v>
      </c>
      <c r="L282" s="20">
        <f>(Geraetedaten!$B$158+(Geraetedaten!$B$159*(Geraetedaten!$B$18+d_y_Sw)/1000)-(Geraetedaten!$B$160*I282/1000))*10</f>
        <v>502.42110541956788</v>
      </c>
      <c r="M282" s="20">
        <f>(Geraetedaten!$B$171+(Geraetedaten!$B$172*(Geraetedaten!$B$18+d_y_Sw)/1000)-(Geraetedaten!$B$173*I282/1000))*10</f>
        <v>964.2511890554033</v>
      </c>
      <c r="N282" s="20">
        <f>IF((H282-J282)/(K282-J282)*(Geraetedaten!$B$174-Geraetedaten!$B$161)&lt;Geraetedaten!$B$174,(H282-J282)/(K282-J282)*(Geraetedaten!$B$174-Geraetedaten!$B$161),Geraetedaten!$B$174)</f>
        <v>-9.6750303519540566</v>
      </c>
      <c r="O282" s="20">
        <f>N282/Geraetedaten!$B$174*(M282-L282)+L282+C282</f>
        <v>561.34949196725529</v>
      </c>
      <c r="P282" s="20">
        <f t="shared" si="246"/>
        <v>207.62361012689732</v>
      </c>
      <c r="Q282" s="21">
        <f>(N282-Geraetedaten!$B$161)/(Geraetedaten!$B$174-Geraetedaten!$B$161)*(Geraetedaten!$B$175-Geraetedaten!$B$162)+Geraetedaten!$B$162</f>
        <v>28.912167847029366</v>
      </c>
      <c r="R282" s="21">
        <f t="shared" si="247"/>
        <v>28.912167847029366</v>
      </c>
      <c r="S282" s="21">
        <f t="shared" si="248"/>
        <v>-25.287151775133886</v>
      </c>
      <c r="T282" s="88">
        <f t="shared" si="249"/>
        <v>-14.016897114416658</v>
      </c>
      <c r="U282" s="86">
        <f t="shared" si="250"/>
        <v>6005.8864400000002</v>
      </c>
      <c r="V282" s="85">
        <f t="shared" si="251"/>
        <v>-1346.4914747781525</v>
      </c>
      <c r="W282" s="85">
        <f t="shared" si="252"/>
        <v>1351.636364113348</v>
      </c>
      <c r="X282" s="90">
        <f t="shared" si="253"/>
        <v>1346.4914747781525</v>
      </c>
      <c r="Y282" s="86">
        <f t="shared" si="254"/>
        <v>15892.293299999999</v>
      </c>
      <c r="Z282" s="85">
        <f t="shared" si="255"/>
        <v>-818.62113479844345</v>
      </c>
      <c r="AA282" s="85">
        <f t="shared" si="256"/>
        <v>1522.6545899377013</v>
      </c>
      <c r="AB282" s="90">
        <f t="shared" si="257"/>
        <v>818.62113479844345</v>
      </c>
      <c r="AC282" s="86">
        <f t="shared" si="258"/>
        <v>-6031.9509200000002</v>
      </c>
      <c r="AD282" s="85">
        <f t="shared" si="259"/>
        <v>3384.56104615708</v>
      </c>
      <c r="AE282" s="85">
        <f t="shared" si="260"/>
        <v>-3402.3522208912677</v>
      </c>
      <c r="AF282" s="90">
        <f t="shared" si="261"/>
        <v>3384.56104615708</v>
      </c>
      <c r="AG282" s="86">
        <f t="shared" si="262"/>
        <v>-18069.722290000002</v>
      </c>
      <c r="AH282" s="85">
        <f t="shared" si="263"/>
        <v>6139.2748628683721</v>
      </c>
      <c r="AI282" s="85">
        <f t="shared" si="264"/>
        <v>-12418.39802460092</v>
      </c>
      <c r="AJ282" s="90">
        <f t="shared" si="265"/>
        <v>6139.2748628683721</v>
      </c>
      <c r="AL282" s="95">
        <f t="shared" si="266"/>
        <v>0</v>
      </c>
      <c r="AM282" s="95">
        <f t="shared" si="267"/>
        <v>0</v>
      </c>
      <c r="AN282" s="95">
        <f t="shared" si="268"/>
        <v>0</v>
      </c>
      <c r="AO282" s="95">
        <f t="shared" si="269"/>
        <v>0</v>
      </c>
      <c r="AP282"/>
      <c r="AQ282" s="95">
        <f t="shared" si="270"/>
        <v>0</v>
      </c>
      <c r="AR282" s="95">
        <f t="shared" si="271"/>
        <v>0</v>
      </c>
      <c r="AS282" s="95">
        <f>Geraetedaten!$B$94*ABS(SIN(RADIANS($A282)))</f>
        <v>134.69143489946697</v>
      </c>
      <c r="AT282" s="95">
        <f>Geraetedaten!$B$94*ABS(COS(RADIANS($A282)))</f>
        <v>74.66068151793587</v>
      </c>
      <c r="AU282" s="95">
        <f>((h_Aw_Sw+Geraetedaten!$B$18)/1000)*(AQ282*AS282+AR282*AT282)/100</f>
        <v>0</v>
      </c>
    </row>
    <row r="283" spans="1:47" ht="13.5" x14ac:dyDescent="0.25">
      <c r="A283" s="16">
        <v>242</v>
      </c>
      <c r="B283" s="16">
        <f t="shared" si="238"/>
        <v>208</v>
      </c>
      <c r="C283" s="19">
        <f t="shared" si="239"/>
        <v>70.1688317010574</v>
      </c>
      <c r="D283" s="17">
        <f t="shared" si="240"/>
        <v>5927.4720082989425</v>
      </c>
      <c r="E283" s="17">
        <f t="shared" si="241"/>
        <v>16271.917458298942</v>
      </c>
      <c r="F283" s="17">
        <f t="shared" si="242"/>
        <v>-6092.2465317010574</v>
      </c>
      <c r="G283" s="17">
        <f t="shared" si="243"/>
        <v>-18714.874381701055</v>
      </c>
      <c r="H283" s="17">
        <f t="shared" si="244"/>
        <v>5927.4720082989425</v>
      </c>
      <c r="I283" s="17">
        <f t="shared" si="245"/>
        <v>1349.7806755024596</v>
      </c>
      <c r="J283" s="20">
        <f>(Geraetedaten!$B$152+(Geraetedaten!$B$153*(Geraetedaten!$B$18+d_y_Sw)/1000))*10</f>
        <v>6051.0442000000003</v>
      </c>
      <c r="K283" s="20">
        <f>(Geraetedaten!$B$165+(Geraetedaten!$B$166*(Geraetedaten!$B$18+d_y_Sw)/1000))*10</f>
        <v>10816.164000000001</v>
      </c>
      <c r="L283" s="20">
        <f>(Geraetedaten!$B$158+(Geraetedaten!$B$159*(Geraetedaten!$B$18+d_y_Sw)/1000)-(Geraetedaten!$B$160*I283/1000))*10</f>
        <v>502.55718306540439</v>
      </c>
      <c r="M283" s="20">
        <f>(Geraetedaten!$B$171+(Geraetedaten!$B$172*(Geraetedaten!$B$18+d_y_Sw)/1000)-(Geraetedaten!$B$173*I283/1000))*10</f>
        <v>964.38932651559776</v>
      </c>
      <c r="N283" s="20">
        <f>IF((H283-J283)/(K283-J283)*(Geraetedaten!$B$174-Geraetedaten!$B$161)&lt;Geraetedaten!$B$174,(H283-J283)/(K283-J283)*(Geraetedaten!$B$174-Geraetedaten!$B$161),Geraetedaten!$B$174)</f>
        <v>-10.373060648007868</v>
      </c>
      <c r="O283" s="20">
        <f>N283/Geraetedaten!$B$174*(M283-L283)+L283+C283</f>
        <v>560.74948268344099</v>
      </c>
      <c r="P283" s="20">
        <f t="shared" si="246"/>
        <v>207.5440943944933</v>
      </c>
      <c r="Q283" s="21">
        <f>(N283-Geraetedaten!$B$161)/(Geraetedaten!$B$174-Geraetedaten!$B$161)*(Geraetedaten!$B$175-Geraetedaten!$B$162)+Geraetedaten!$B$162</f>
        <v>28.891401445721765</v>
      </c>
      <c r="R283" s="21">
        <f t="shared" si="247"/>
        <v>28.891401445721765</v>
      </c>
      <c r="S283" s="21">
        <f t="shared" si="248"/>
        <v>-25.509593360820954</v>
      </c>
      <c r="T283" s="88">
        <f t="shared" si="249"/>
        <v>-13.56369138779754</v>
      </c>
      <c r="U283" s="86">
        <f t="shared" si="250"/>
        <v>5997.64084</v>
      </c>
      <c r="V283" s="85">
        <f t="shared" si="251"/>
        <v>-1346.4914747781525</v>
      </c>
      <c r="W283" s="85">
        <f t="shared" si="252"/>
        <v>1349.7806755024596</v>
      </c>
      <c r="X283" s="90">
        <f t="shared" si="253"/>
        <v>1346.4914747781525</v>
      </c>
      <c r="Y283" s="86">
        <f t="shared" si="254"/>
        <v>16342.086289999999</v>
      </c>
      <c r="Z283" s="85">
        <f t="shared" si="255"/>
        <v>-818.62113479844345</v>
      </c>
      <c r="AA283" s="85">
        <f t="shared" si="256"/>
        <v>1565.7496518526877</v>
      </c>
      <c r="AB283" s="90">
        <f t="shared" si="257"/>
        <v>818.62113479844345</v>
      </c>
      <c r="AC283" s="86">
        <f t="shared" si="258"/>
        <v>-6022.0776999999998</v>
      </c>
      <c r="AD283" s="85">
        <f t="shared" si="259"/>
        <v>3384.56104615708</v>
      </c>
      <c r="AE283" s="85">
        <f t="shared" si="260"/>
        <v>-3396.783184733225</v>
      </c>
      <c r="AF283" s="90">
        <f t="shared" si="261"/>
        <v>3384.56104615708</v>
      </c>
      <c r="AG283" s="86">
        <f t="shared" si="262"/>
        <v>-18644.705549999999</v>
      </c>
      <c r="AH283" s="85">
        <f t="shared" si="263"/>
        <v>6139.2748628683721</v>
      </c>
      <c r="AI283" s="85">
        <f t="shared" si="264"/>
        <v>-12813.554675990346</v>
      </c>
      <c r="AJ283" s="90">
        <f t="shared" si="265"/>
        <v>6139.2748628683721</v>
      </c>
      <c r="AL283" s="95">
        <f t="shared" si="266"/>
        <v>0</v>
      </c>
      <c r="AM283" s="95">
        <f t="shared" si="267"/>
        <v>0</v>
      </c>
      <c r="AN283" s="95">
        <f t="shared" si="268"/>
        <v>0</v>
      </c>
      <c r="AO283" s="95">
        <f t="shared" si="269"/>
        <v>0</v>
      </c>
      <c r="AP283"/>
      <c r="AQ283" s="95">
        <f t="shared" si="270"/>
        <v>0</v>
      </c>
      <c r="AR283" s="95">
        <f t="shared" si="271"/>
        <v>0</v>
      </c>
      <c r="AS283" s="95">
        <f>Geraetedaten!$B$94*ABS(SIN(RADIANS($A283)))</f>
        <v>135.97392930027476</v>
      </c>
      <c r="AT283" s="95">
        <f>Geraetedaten!$B$94*ABS(COS(RADIANS($A283)))</f>
        <v>72.298620669027173</v>
      </c>
      <c r="AU283" s="95">
        <f>((h_Aw_Sw+Geraetedaten!$B$18)/1000)*(AQ283*AS283+AR283*AT283)/100</f>
        <v>0</v>
      </c>
    </row>
    <row r="284" spans="1:47" ht="13.5" x14ac:dyDescent="0.25">
      <c r="A284" s="16">
        <v>243</v>
      </c>
      <c r="B284" s="16">
        <f t="shared" si="238"/>
        <v>207</v>
      </c>
      <c r="C284" s="19">
        <f t="shared" si="239"/>
        <v>70.217352556995067</v>
      </c>
      <c r="D284" s="17">
        <f t="shared" si="240"/>
        <v>5921.0229874430051</v>
      </c>
      <c r="E284" s="17">
        <f t="shared" si="241"/>
        <v>16753.137947443003</v>
      </c>
      <c r="F284" s="17">
        <f t="shared" si="242"/>
        <v>-6084.283062556995</v>
      </c>
      <c r="G284" s="17">
        <f t="shared" si="243"/>
        <v>-19333.761752556995</v>
      </c>
      <c r="H284" s="17">
        <f t="shared" si="244"/>
        <v>5921.0229874430051</v>
      </c>
      <c r="I284" s="17">
        <f t="shared" si="245"/>
        <v>1348.3402297160781</v>
      </c>
      <c r="J284" s="20">
        <f>(Geraetedaten!$B$152+(Geraetedaten!$B$153*(Geraetedaten!$B$18+d_y_Sw)/1000))*10</f>
        <v>6051.0442000000003</v>
      </c>
      <c r="K284" s="20">
        <f>(Geraetedaten!$B$165+(Geraetedaten!$B$166*(Geraetedaten!$B$18+d_y_Sw)/1000))*10</f>
        <v>10816.164000000001</v>
      </c>
      <c r="L284" s="20">
        <f>(Geraetedaten!$B$158+(Geraetedaten!$B$159*(Geraetedaten!$B$18+d_y_Sw)/1000)-(Geraetedaten!$B$160*I284/1000))*10</f>
        <v>502.66281095491979</v>
      </c>
      <c r="M284" s="20">
        <f>(Geraetedaten!$B$171+(Geraetedaten!$B$172*(Geraetedaten!$B$18+d_y_Sw)/1000)-(Geraetedaten!$B$173*I284/1000))*10</f>
        <v>964.49655329993607</v>
      </c>
      <c r="N284" s="20">
        <f>IF((H284-J284)/(K284-J284)*(Geraetedaten!$B$174-Geraetedaten!$B$161)&lt;Geraetedaten!$B$174,(H284-J284)/(K284-J284)*(Geraetedaten!$B$174-Geraetedaten!$B$161),Geraetedaten!$B$174)</f>
        <v>-10.91441290160177</v>
      </c>
      <c r="O284" s="20">
        <f>N284/Geraetedaten!$B$174*(M284-L284)+L284+C284</f>
        <v>560.2785531223011</v>
      </c>
      <c r="P284" s="20">
        <f t="shared" si="246"/>
        <v>207.48026910459535</v>
      </c>
      <c r="Q284" s="21">
        <f>(N284-Geraetedaten!$B$161)/(Geraetedaten!$B$174-Geraetedaten!$B$161)*(Geraetedaten!$B$175-Geraetedaten!$B$162)+Geraetedaten!$B$162</f>
        <v>28.875296216177347</v>
      </c>
      <c r="R284" s="21">
        <f t="shared" si="247"/>
        <v>28.875296216177347</v>
      </c>
      <c r="S284" s="21">
        <f t="shared" si="248"/>
        <v>-25.728077316485706</v>
      </c>
      <c r="T284" s="88">
        <f t="shared" si="249"/>
        <v>-13.109110159309802</v>
      </c>
      <c r="U284" s="86">
        <f t="shared" si="250"/>
        <v>5991.2403400000003</v>
      </c>
      <c r="V284" s="85">
        <f t="shared" si="251"/>
        <v>-1346.4914747781525</v>
      </c>
      <c r="W284" s="85">
        <f t="shared" si="252"/>
        <v>1348.3402297160781</v>
      </c>
      <c r="X284" s="90">
        <f t="shared" si="253"/>
        <v>1346.4914747781525</v>
      </c>
      <c r="Y284" s="86">
        <f t="shared" si="254"/>
        <v>16823.355299999999</v>
      </c>
      <c r="Z284" s="85">
        <f t="shared" si="255"/>
        <v>-818.62113479844345</v>
      </c>
      <c r="AA284" s="85">
        <f t="shared" si="256"/>
        <v>1611.860458820531</v>
      </c>
      <c r="AB284" s="90">
        <f t="shared" si="257"/>
        <v>818.62113479844345</v>
      </c>
      <c r="AC284" s="86">
        <f t="shared" si="258"/>
        <v>-6014.0657099999999</v>
      </c>
      <c r="AD284" s="85">
        <f t="shared" si="259"/>
        <v>3384.56104615708</v>
      </c>
      <c r="AE284" s="85">
        <f t="shared" si="260"/>
        <v>-3392.2639776766982</v>
      </c>
      <c r="AF284" s="90">
        <f t="shared" si="261"/>
        <v>3384.56104615708</v>
      </c>
      <c r="AG284" s="86">
        <f t="shared" si="262"/>
        <v>-19263.544399999999</v>
      </c>
      <c r="AH284" s="85">
        <f t="shared" si="263"/>
        <v>6139.2748628683721</v>
      </c>
      <c r="AI284" s="85">
        <f t="shared" si="264"/>
        <v>-13238.851037679842</v>
      </c>
      <c r="AJ284" s="90">
        <f t="shared" si="265"/>
        <v>6139.2748628683721</v>
      </c>
      <c r="AL284" s="95">
        <f t="shared" si="266"/>
        <v>0</v>
      </c>
      <c r="AM284" s="95">
        <f t="shared" si="267"/>
        <v>0</v>
      </c>
      <c r="AN284" s="95">
        <f t="shared" si="268"/>
        <v>0</v>
      </c>
      <c r="AO284" s="95">
        <f t="shared" si="269"/>
        <v>0</v>
      </c>
      <c r="AP284"/>
      <c r="AQ284" s="95">
        <f t="shared" si="270"/>
        <v>0</v>
      </c>
      <c r="AR284" s="95">
        <f t="shared" si="271"/>
        <v>0</v>
      </c>
      <c r="AS284" s="95">
        <f>Geraetedaten!$B$94*ABS(SIN(RADIANS($A284)))</f>
        <v>137.21500472500864</v>
      </c>
      <c r="AT284" s="95">
        <f>Geraetedaten!$B$94*ABS(COS(RADIANS($A284)))</f>
        <v>69.914536959890228</v>
      </c>
      <c r="AU284" s="95">
        <f>((h_Aw_Sw+Geraetedaten!$B$18)/1000)*(AQ284*AS284+AR284*AT284)/100</f>
        <v>0</v>
      </c>
    </row>
    <row r="285" spans="1:47" ht="13.5" x14ac:dyDescent="0.25">
      <c r="A285" s="16">
        <v>244</v>
      </c>
      <c r="B285" s="16">
        <f t="shared" ref="B285:B316" si="272">360-A285+90</f>
        <v>206</v>
      </c>
      <c r="C285" s="19">
        <f t="shared" ref="C285:C316" si="273">$AE$16*ABS(COS(RADIANS(A285)))+$AE$17*ABS(SIN(RADIANS(A285)))+AU285</f>
        <v>70.24448452713311</v>
      </c>
      <c r="D285" s="17">
        <f t="shared" ref="D285:D316" si="274">IF(ISNUMBER(U285),U285-C285,"unendlich")</f>
        <v>5916.4306554728673</v>
      </c>
      <c r="E285" s="17">
        <f t="shared" ref="E285:E316" si="275">IF(ISNUMBER(Y285),Y285-C285,"unendlich")</f>
        <v>17269.028345472867</v>
      </c>
      <c r="F285" s="17">
        <f t="shared" ref="F285:F316" si="276">IF(ISNUMBER(AC285),AC285-C285,"unendlich")</f>
        <v>-6078.1471245271332</v>
      </c>
      <c r="G285" s="17">
        <f t="shared" ref="G285:G316" si="277">IF(ISNUMBER(AG285),AG285-C285,"unendlich")</f>
        <v>-20001.397604527134</v>
      </c>
      <c r="H285" s="17">
        <f t="shared" ref="H285:H316" si="278">SMALL(D285:G285,COUNTIF(D285:G285,"&lt;0")+1)</f>
        <v>5916.4306554728673</v>
      </c>
      <c r="I285" s="17">
        <f t="shared" ref="I285:I316" si="279">IF(H285+C285=U285,W285,IF(H285+C285=Y285,AA285,IF(H285+C285=AC285,AE285,IF(H285+C285=AG285,AI285,"???"))))</f>
        <v>1347.3128220867732</v>
      </c>
      <c r="J285" s="20">
        <f>(Geraetedaten!$B$152+(Geraetedaten!$B$153*(Geraetedaten!$B$18+d_y_Sw)/1000))*10</f>
        <v>6051.0442000000003</v>
      </c>
      <c r="K285" s="20">
        <f>(Geraetedaten!$B$165+(Geraetedaten!$B$166*(Geraetedaten!$B$18+d_y_Sw)/1000))*10</f>
        <v>10816.164000000001</v>
      </c>
      <c r="L285" s="20">
        <f>(Geraetedaten!$B$158+(Geraetedaten!$B$159*(Geraetedaten!$B$18+d_y_Sw)/1000)-(Geraetedaten!$B$160*I285/1000))*10</f>
        <v>502.73815075637674</v>
      </c>
      <c r="M285" s="20">
        <f>(Geraetedaten!$B$171+(Geraetedaten!$B$172*(Geraetedaten!$B$18+d_y_Sw)/1000)-(Geraetedaten!$B$173*I285/1000))*10</f>
        <v>964.57303352386157</v>
      </c>
      <c r="N285" s="20">
        <f>IF((H285-J285)/(K285-J285)*(Geraetedaten!$B$174-Geraetedaten!$B$161)&lt;Geraetedaten!$B$174,(H285-J285)/(K285-J285)*(Geraetedaten!$B$174-Geraetedaten!$B$161),Geraetedaten!$B$174)</f>
        <v>-11.299908516644885</v>
      </c>
      <c r="O285" s="20">
        <f>N285/Geraetedaten!$B$174*(M285-L285)+L285+C285</f>
        <v>559.93590547083988</v>
      </c>
      <c r="P285" s="20">
        <f t="shared" ref="P285:P316" si="280">O285*100/9.81/(Q285-(I285/1000))</f>
        <v>207.43206092979165</v>
      </c>
      <c r="Q285" s="21">
        <f>(N285-Geraetedaten!$B$161)/(Geraetedaten!$B$174-Geraetedaten!$B$161)*(Geraetedaten!$B$175-Geraetedaten!$B$162)+Geraetedaten!$B$162</f>
        <v>28.863827721629814</v>
      </c>
      <c r="R285" s="21">
        <f t="shared" ref="R285:R316" si="281">SQRT((r_K_D/1000)^2+Q285^2-(2*(r_K_D/1000)*Q285*COS(RADIANS(2*A285))))</f>
        <v>28.863827721629814</v>
      </c>
      <c r="S285" s="21">
        <f t="shared" ref="S285:S316" si="282">R285*SIN(A285*Const_2)</f>
        <v>-25.942636509605723</v>
      </c>
      <c r="T285" s="88">
        <f t="shared" ref="T285:T316" si="283">R285*COS(A285*Const_2)</f>
        <v>-12.653069259053234</v>
      </c>
      <c r="U285" s="86">
        <f t="shared" ref="U285:U316" si="284">ROUND((F_S*r_Su_L-F_G*V285+F_SSw*X285)/(SIN(RADIANS(270+g_L-A285)))/1000,5)</f>
        <v>5986.6751400000003</v>
      </c>
      <c r="V285" s="85">
        <f t="shared" ref="V285:V316" si="285">(SIN(RADIANS(g_L)))*(((VL_Z-HL_Z)/(VL_X-HL_X))*(-HL_X+AM285)+HL_Z-AL285)</f>
        <v>-1346.4914747781525</v>
      </c>
      <c r="W285" s="85">
        <f t="shared" ref="W285:W316" si="286">V285/(SIN(RADIANS(180-g_L-(90-$A285))))</f>
        <v>1347.3128220867732</v>
      </c>
      <c r="X285" s="90">
        <f t="shared" ref="X285:X316" si="287">SIN(RADIANS(g_L))*(((VL_Z-HL_Z)/(VL_X-HL_X))*(-AO285+HL_X)-HL_Z+AN285)</f>
        <v>1346.4914747781525</v>
      </c>
      <c r="Y285" s="86">
        <f t="shared" ref="Y285:Y316" si="288">ROUND((F_S*r_Su_H-F_G*Z285+F_SSw*AB285)/(SIN(RADIANS(180+g_H-A285)))/1000,5)</f>
        <v>17339.272830000002</v>
      </c>
      <c r="Z285" s="85">
        <f t="shared" ref="Z285:Z316" si="289">(SIN(RADIANS(g_H)))*(((HL_X-HR_X)/(HL_Z-HR_Z))*(-HR_Z+AL285)+HR_X-AM285)</f>
        <v>-818.62113479844345</v>
      </c>
      <c r="AA285" s="85">
        <f t="shared" ref="AA285:AA316" si="290">Z285/(SIN(RADIANS(g_H-$A285)))</f>
        <v>1661.2909712196565</v>
      </c>
      <c r="AB285" s="90">
        <f t="shared" ref="AB285:AB316" si="291">SIN(RADIANS(g_H))*(((HL_X-HR_X)/(HL_Z-HR_Z))*(-AN285+HR_Z)-HR_X+AO285)</f>
        <v>818.62113479844345</v>
      </c>
      <c r="AC285" s="86">
        <f t="shared" ref="AC285:AC316" si="292">ROUND((F_S*r_Su_R+F_G*AD285+F_SSw*AF285)/(SIN(RADIANS(90+g_R-A285)))/1000,5)</f>
        <v>-6007.9026400000002</v>
      </c>
      <c r="AD285" s="85">
        <f t="shared" ref="AD285:AD316" si="293">(SIN(RADIANS(g_R)))*(((HR_Z-VR_Z)/(HR_X-VR_X))*(-VR_X+AM285)+VR_Z-AL285)</f>
        <v>3384.56104615708</v>
      </c>
      <c r="AE285" s="85">
        <f t="shared" ref="AE285:AE316" si="294">AD285/(SIN(RADIANS(180-g_R-(90-$A285))))</f>
        <v>-3388.7876657078309</v>
      </c>
      <c r="AF285" s="90">
        <f t="shared" ref="AF285:AF316" si="295">(SIN(RADIANS(g_R)))*(((HR_Z-VR_Z)/(HR_X-VR_X))*(-VR_X+AO285)+VR_Z-AN285)</f>
        <v>3384.56104615708</v>
      </c>
      <c r="AG285" s="86">
        <f t="shared" ref="AG285:AG316" si="296">ROUND((F_S*r_Su_V+F_G*AH285+F_SSw*AJ285)/(SIN(RADIANS(g_V-A285)))/1000,5)</f>
        <v>-19931.153119999999</v>
      </c>
      <c r="AH285" s="85">
        <f t="shared" ref="AH285:AH316" si="297">(SIN(RADIANS(g_V)))*(((VR_X-VL_X)/(VR_Z-VL_Z))*(AL285-VL_Z)+VL_X-AM285)</f>
        <v>6139.2748628683721</v>
      </c>
      <c r="AI285" s="85">
        <f t="shared" ref="AI285:AI316" si="298">AH285/(SIN(RADIANS(g_V-$A285)))</f>
        <v>-13697.664443048305</v>
      </c>
      <c r="AJ285" s="90">
        <f t="shared" ref="AJ285:AJ316" si="299">(SIN(RADIANS(g_V)))*(((VR_X-VL_X)/(VR_Z-VL_Z))*(-VL_Z+AN285)+VL_X-AO285)</f>
        <v>6139.2748628683721</v>
      </c>
      <c r="AL285" s="95">
        <f t="shared" ref="AL285:AL316" si="300">SIN(RADIANS(A285))*r_K_D</f>
        <v>0</v>
      </c>
      <c r="AM285" s="95">
        <f t="shared" ref="AM285:AM316" si="301">COS(RADIANS(A285-180))*r_K_D</f>
        <v>0</v>
      </c>
      <c r="AN285" s="95">
        <f t="shared" ref="AN285:AN316" si="302">SIN(RADIANS(A285))*r_K_SSw</f>
        <v>0</v>
      </c>
      <c r="AO285" s="95">
        <f t="shared" ref="AO285:AO316" si="303">-COS(RADIANS(A285))*r_K_SSw</f>
        <v>0</v>
      </c>
      <c r="AP285"/>
      <c r="AQ285" s="95">
        <f t="shared" ref="AQ285:AQ316" si="304">MAX(d_y_Sw*(r_K_D*ABS(COS(RADIANS($A285)))+_r1_Sw+_r2_Sw), 2*_r1_Sw*d_y_Sw)/1000000</f>
        <v>0</v>
      </c>
      <c r="AR285" s="95">
        <f t="shared" ref="AR285:AR316" si="305">MAX(d_y_Sw*(r_K_D*ABS(SIN(RADIANS($A285)))+_r1_Sw+_r2_Sw), 2*_r1_Sw*d_y_Sw)/1000000</f>
        <v>0</v>
      </c>
      <c r="AS285" s="95">
        <f>Geraetedaten!$B$94*ABS(SIN(RADIANS($A285)))</f>
        <v>138.41428313007168</v>
      </c>
      <c r="AT285" s="95">
        <f>Geraetedaten!$B$94*ABS(COS(RADIANS($A285)))</f>
        <v>67.509156605517973</v>
      </c>
      <c r="AU285" s="95">
        <f>((h_Aw_Sw+Geraetedaten!$B$18)/1000)*(AQ285*AS285+AR285*AT285)/100</f>
        <v>0</v>
      </c>
    </row>
    <row r="286" spans="1:47" ht="13.5" x14ac:dyDescent="0.25">
      <c r="A286" s="16">
        <v>245</v>
      </c>
      <c r="B286" s="16">
        <f t="shared" si="272"/>
        <v>205</v>
      </c>
      <c r="C286" s="19">
        <f t="shared" si="273"/>
        <v>70.250219346810582</v>
      </c>
      <c r="D286" s="17">
        <f t="shared" si="274"/>
        <v>5913.6880406531891</v>
      </c>
      <c r="E286" s="17">
        <f t="shared" si="275"/>
        <v>17823.207210653189</v>
      </c>
      <c r="F286" s="17">
        <f t="shared" si="276"/>
        <v>-6073.8292793468108</v>
      </c>
      <c r="G286" s="17">
        <f t="shared" si="277"/>
        <v>-20723.464449346811</v>
      </c>
      <c r="H286" s="17">
        <f t="shared" si="278"/>
        <v>5913.6880406531891</v>
      </c>
      <c r="I286" s="17">
        <f t="shared" si="279"/>
        <v>1346.6968835700425</v>
      </c>
      <c r="J286" s="20">
        <f>(Geraetedaten!$B$152+(Geraetedaten!$B$153*(Geraetedaten!$B$18+d_y_Sw)/1000))*10</f>
        <v>6051.0442000000003</v>
      </c>
      <c r="K286" s="20">
        <f>(Geraetedaten!$B$165+(Geraetedaten!$B$166*(Geraetedaten!$B$18+d_y_Sw)/1000))*10</f>
        <v>10816.164000000001</v>
      </c>
      <c r="L286" s="20">
        <f>(Geraetedaten!$B$158+(Geraetedaten!$B$159*(Geraetedaten!$B$18+d_y_Sw)/1000)-(Geraetedaten!$B$160*I286/1000))*10</f>
        <v>502.78331752780855</v>
      </c>
      <c r="M286" s="20">
        <f>(Geraetedaten!$B$171+(Geraetedaten!$B$172*(Geraetedaten!$B$18+d_y_Sw)/1000)-(Geraetedaten!$B$173*I286/1000))*10</f>
        <v>964.61888398704696</v>
      </c>
      <c r="N286" s="20">
        <f>IF((H286-J286)/(K286-J286)*(Geraetedaten!$B$174-Geraetedaten!$B$161)&lt;Geraetedaten!$B$174,(H286-J286)/(K286-J286)*(Geraetedaten!$B$174-Geraetedaten!$B$161),Geraetedaten!$B$174)</f>
        <v>-11.530132723782614</v>
      </c>
      <c r="O286" s="20">
        <f>N286/Geraetedaten!$B$174*(M286-L286)+L286+C286</f>
        <v>559.72097343002326</v>
      </c>
      <c r="P286" s="20">
        <f t="shared" si="280"/>
        <v>207.39941944859413</v>
      </c>
      <c r="Q286" s="21">
        <f>(N286-Geraetedaten!$B$161)/(Geraetedaten!$B$174-Geraetedaten!$B$161)*(Geraetedaten!$B$175-Geraetedaten!$B$162)+Geraetedaten!$B$162</f>
        <v>28.856978551467467</v>
      </c>
      <c r="R286" s="21">
        <f t="shared" si="281"/>
        <v>28.856978551467467</v>
      </c>
      <c r="S286" s="21">
        <f t="shared" si="282"/>
        <v>-26.153304371544554</v>
      </c>
      <c r="T286" s="88">
        <f t="shared" si="283"/>
        <v>-12.195486114509819</v>
      </c>
      <c r="U286" s="86">
        <f t="shared" si="284"/>
        <v>5983.9382599999999</v>
      </c>
      <c r="V286" s="85">
        <f t="shared" si="285"/>
        <v>-1346.4914747781525</v>
      </c>
      <c r="W286" s="85">
        <f t="shared" si="286"/>
        <v>1346.6968835700425</v>
      </c>
      <c r="X286" s="90">
        <f t="shared" si="287"/>
        <v>1346.4914747781525</v>
      </c>
      <c r="Y286" s="86">
        <f t="shared" si="288"/>
        <v>17893.457429999999</v>
      </c>
      <c r="Z286" s="85">
        <f t="shared" si="289"/>
        <v>-818.62113479844345</v>
      </c>
      <c r="AA286" s="85">
        <f t="shared" si="290"/>
        <v>1714.3878851339007</v>
      </c>
      <c r="AB286" s="90">
        <f t="shared" si="291"/>
        <v>818.62113479844345</v>
      </c>
      <c r="AC286" s="86">
        <f t="shared" si="292"/>
        <v>-6003.57906</v>
      </c>
      <c r="AD286" s="85">
        <f t="shared" si="293"/>
        <v>3384.56104615708</v>
      </c>
      <c r="AE286" s="85">
        <f t="shared" si="294"/>
        <v>-3386.3489300284136</v>
      </c>
      <c r="AF286" s="90">
        <f t="shared" si="295"/>
        <v>3384.56104615708</v>
      </c>
      <c r="AG286" s="86">
        <f t="shared" si="296"/>
        <v>-20653.214230000001</v>
      </c>
      <c r="AH286" s="85">
        <f t="shared" si="297"/>
        <v>6139.2748628683721</v>
      </c>
      <c r="AI286" s="85">
        <f t="shared" si="298"/>
        <v>-14193.900192963354</v>
      </c>
      <c r="AJ286" s="90">
        <f t="shared" si="299"/>
        <v>6139.2748628683721</v>
      </c>
      <c r="AL286" s="95">
        <f t="shared" si="300"/>
        <v>0</v>
      </c>
      <c r="AM286" s="95">
        <f t="shared" si="301"/>
        <v>0</v>
      </c>
      <c r="AN286" s="95">
        <f t="shared" si="302"/>
        <v>0</v>
      </c>
      <c r="AO286" s="95">
        <f t="shared" si="303"/>
        <v>0</v>
      </c>
      <c r="AP286"/>
      <c r="AQ286" s="95">
        <f t="shared" si="304"/>
        <v>0</v>
      </c>
      <c r="AR286" s="95">
        <f t="shared" si="305"/>
        <v>0</v>
      </c>
      <c r="AS286" s="95">
        <f>Geraetedaten!$B$94*ABS(SIN(RADIANS($A286)))</f>
        <v>139.57139920364412</v>
      </c>
      <c r="AT286" s="95">
        <f>Geraetedaten!$B$94*ABS(COS(RADIANS($A286)))</f>
        <v>65.083212308067672</v>
      </c>
      <c r="AU286" s="95">
        <f>((h_Aw_Sw+Geraetedaten!$B$18)/1000)*(AQ286*AS286+AR286*AT286)/100</f>
        <v>0</v>
      </c>
    </row>
    <row r="287" spans="1:47" ht="13.5" x14ac:dyDescent="0.25">
      <c r="A287" s="16">
        <v>246</v>
      </c>
      <c r="B287" s="16">
        <f t="shared" si="272"/>
        <v>204</v>
      </c>
      <c r="C287" s="19">
        <f t="shared" si="273"/>
        <v>70.234555269145858</v>
      </c>
      <c r="D287" s="17">
        <f t="shared" si="274"/>
        <v>5912.7909947308544</v>
      </c>
      <c r="E287" s="17">
        <f t="shared" si="275"/>
        <v>18419.820144730853</v>
      </c>
      <c r="F287" s="17">
        <f t="shared" si="276"/>
        <v>-6071.3229252691463</v>
      </c>
      <c r="G287" s="17">
        <f t="shared" si="277"/>
        <v>-21506.568955269147</v>
      </c>
      <c r="H287" s="17">
        <f t="shared" si="278"/>
        <v>5912.7909947308544</v>
      </c>
      <c r="I287" s="17">
        <f t="shared" si="279"/>
        <v>1346.491474888006</v>
      </c>
      <c r="J287" s="20">
        <f>(Geraetedaten!$B$152+(Geraetedaten!$B$153*(Geraetedaten!$B$18+d_y_Sw)/1000))*10</f>
        <v>6051.0442000000003</v>
      </c>
      <c r="K287" s="20">
        <f>(Geraetedaten!$B$165+(Geraetedaten!$B$166*(Geraetedaten!$B$18+d_y_Sw)/1000))*10</f>
        <v>10816.164000000001</v>
      </c>
      <c r="L287" s="20">
        <f>(Geraetedaten!$B$158+(Geraetedaten!$B$159*(Geraetedaten!$B$18+d_y_Sw)/1000)-(Geraetedaten!$B$160*I287/1000))*10</f>
        <v>502.79838014646231</v>
      </c>
      <c r="M287" s="20">
        <f>(Geraetedaten!$B$171+(Geraetedaten!$B$172*(Geraetedaten!$B$18+d_y_Sw)/1000)-(Geraetedaten!$B$173*I287/1000))*10</f>
        <v>964.63417460933783</v>
      </c>
      <c r="N287" s="20">
        <f>IF((H287-J287)/(K287-J287)*(Geraetedaten!$B$174-Geraetedaten!$B$161)&lt;Geraetedaten!$B$174,(H287-J287)/(K287-J287)*(Geraetedaten!$B$174-Geraetedaten!$B$161),Geraetedaten!$B$174)</f>
        <v>-11.605433741174426</v>
      </c>
      <c r="O287" s="20">
        <f>N287/Geraetedaten!$B$174*(M287-L287)+L287+C287</f>
        <v>559.6334236357543</v>
      </c>
      <c r="P287" s="20">
        <f t="shared" si="280"/>
        <v>207.38231770629102</v>
      </c>
      <c r="Q287" s="21">
        <f>(N287-Geraetedaten!$B$161)/(Geraetedaten!$B$174-Geraetedaten!$B$161)*(Geraetedaten!$B$175-Geraetedaten!$B$162)+Geraetedaten!$B$162</f>
        <v>28.854738346200062</v>
      </c>
      <c r="R287" s="21">
        <f t="shared" si="281"/>
        <v>28.854738346200062</v>
      </c>
      <c r="S287" s="21">
        <f t="shared" si="282"/>
        <v>-26.360115147636844</v>
      </c>
      <c r="T287" s="88">
        <f t="shared" si="283"/>
        <v>-11.736279411763977</v>
      </c>
      <c r="U287" s="86">
        <f t="shared" si="284"/>
        <v>5983.0255500000003</v>
      </c>
      <c r="V287" s="85">
        <f t="shared" si="285"/>
        <v>-1346.4914747781525</v>
      </c>
      <c r="W287" s="85">
        <f t="shared" si="286"/>
        <v>1346.491474888006</v>
      </c>
      <c r="X287" s="90">
        <f t="shared" si="287"/>
        <v>1346.4914747781525</v>
      </c>
      <c r="Y287" s="86">
        <f t="shared" si="288"/>
        <v>18490.054700000001</v>
      </c>
      <c r="Z287" s="85">
        <f t="shared" si="289"/>
        <v>-818.62113479844345</v>
      </c>
      <c r="AA287" s="85">
        <f t="shared" si="290"/>
        <v>1771.5483934159511</v>
      </c>
      <c r="AB287" s="90">
        <f t="shared" si="291"/>
        <v>818.62113479844345</v>
      </c>
      <c r="AC287" s="86">
        <f t="shared" si="292"/>
        <v>-6001.0883700000004</v>
      </c>
      <c r="AD287" s="85">
        <f t="shared" si="293"/>
        <v>3384.56104615708</v>
      </c>
      <c r="AE287" s="85">
        <f t="shared" si="294"/>
        <v>-3384.9440471504577</v>
      </c>
      <c r="AF287" s="90">
        <f t="shared" si="295"/>
        <v>3384.56104615708</v>
      </c>
      <c r="AG287" s="86">
        <f t="shared" si="296"/>
        <v>-21436.3344</v>
      </c>
      <c r="AH287" s="85">
        <f t="shared" si="297"/>
        <v>6139.2748628683721</v>
      </c>
      <c r="AI287" s="85">
        <f t="shared" si="298"/>
        <v>-14732.09872347911</v>
      </c>
      <c r="AJ287" s="90">
        <f t="shared" si="299"/>
        <v>6139.2748628683721</v>
      </c>
      <c r="AL287" s="95">
        <f t="shared" si="300"/>
        <v>0</v>
      </c>
      <c r="AM287" s="95">
        <f t="shared" si="301"/>
        <v>0</v>
      </c>
      <c r="AN287" s="95">
        <f t="shared" si="302"/>
        <v>0</v>
      </c>
      <c r="AO287" s="95">
        <f t="shared" si="303"/>
        <v>0</v>
      </c>
      <c r="AP287"/>
      <c r="AQ287" s="95">
        <f t="shared" si="304"/>
        <v>0</v>
      </c>
      <c r="AR287" s="95">
        <f t="shared" si="305"/>
        <v>0</v>
      </c>
      <c r="AS287" s="95">
        <f>Geraetedaten!$B$94*ABS(SIN(RADIANS($A287)))</f>
        <v>140.68600047696054</v>
      </c>
      <c r="AT287" s="95">
        <f>Geraetedaten!$B$94*ABS(COS(RADIANS($A287)))</f>
        <v>62.637443033673215</v>
      </c>
      <c r="AU287" s="95">
        <f>((h_Aw_Sw+Geraetedaten!$B$18)/1000)*(AQ287*AS287+AR287*AT287)/100</f>
        <v>0</v>
      </c>
    </row>
    <row r="288" spans="1:47" ht="13.5" x14ac:dyDescent="0.25">
      <c r="A288" s="16">
        <v>247</v>
      </c>
      <c r="B288" s="16">
        <f t="shared" si="272"/>
        <v>203</v>
      </c>
      <c r="C288" s="19">
        <f t="shared" si="273"/>
        <v>70.19749706556874</v>
      </c>
      <c r="D288" s="17">
        <f t="shared" si="274"/>
        <v>5913.7380929344317</v>
      </c>
      <c r="E288" s="17">
        <f t="shared" si="275"/>
        <v>19063.639092934431</v>
      </c>
      <c r="F288" s="17">
        <f t="shared" si="276"/>
        <v>-6070.6242870655688</v>
      </c>
      <c r="G288" s="17">
        <f t="shared" si="277"/>
        <v>-22358.437527065569</v>
      </c>
      <c r="H288" s="17">
        <f t="shared" si="278"/>
        <v>5913.7380929344317</v>
      </c>
      <c r="I288" s="17">
        <f t="shared" si="279"/>
        <v>1346.696283031119</v>
      </c>
      <c r="J288" s="20">
        <f>(Geraetedaten!$B$152+(Geraetedaten!$B$153*(Geraetedaten!$B$18+d_y_Sw)/1000))*10</f>
        <v>6051.0442000000003</v>
      </c>
      <c r="K288" s="20">
        <f>(Geraetedaten!$B$165+(Geraetedaten!$B$166*(Geraetedaten!$B$18+d_y_Sw)/1000))*10</f>
        <v>10816.164000000001</v>
      </c>
      <c r="L288" s="20">
        <f>(Geraetedaten!$B$158+(Geraetedaten!$B$159*(Geraetedaten!$B$18+d_y_Sw)/1000)-(Geraetedaten!$B$160*I288/1000))*10</f>
        <v>502.78336156532782</v>
      </c>
      <c r="M288" s="20">
        <f>(Geraetedaten!$B$171+(Geraetedaten!$B$172*(Geraetedaten!$B$18+d_y_Sw)/1000)-(Geraetedaten!$B$173*I288/1000))*10</f>
        <v>964.61892869116446</v>
      </c>
      <c r="N288" s="20">
        <f>IF((H288-J288)/(K288-J288)*(Geraetedaten!$B$174-Geraetedaten!$B$161)&lt;Geraetedaten!$B$174,(H288-J288)/(K288-J288)*(Geraetedaten!$B$174-Geraetedaten!$B$161),Geraetedaten!$B$174)</f>
        <v>-11.525931168871644</v>
      </c>
      <c r="O288" s="20">
        <f>N288/Geraetedaten!$B$174*(M288-L288)+L288+C288</f>
        <v>559.67314623582354</v>
      </c>
      <c r="P288" s="20">
        <f t="shared" si="280"/>
        <v>207.38075073871209</v>
      </c>
      <c r="Q288" s="21">
        <f>(N288-Geraetedaten!$B$161)/(Geraetedaten!$B$174-Geraetedaten!$B$161)*(Geraetedaten!$B$175-Geraetedaten!$B$162)+Geraetedaten!$B$162</f>
        <v>28.857103547726069</v>
      </c>
      <c r="R288" s="21">
        <f t="shared" si="281"/>
        <v>28.857103547726069</v>
      </c>
      <c r="S288" s="21">
        <f t="shared" si="282"/>
        <v>-26.563103872261479</v>
      </c>
      <c r="T288" s="88">
        <f t="shared" si="283"/>
        <v>-11.275368634134834</v>
      </c>
      <c r="U288" s="86">
        <f t="shared" si="284"/>
        <v>5983.93559</v>
      </c>
      <c r="V288" s="85">
        <f t="shared" si="285"/>
        <v>-1346.4914747781525</v>
      </c>
      <c r="W288" s="85">
        <f t="shared" si="286"/>
        <v>1346.696283031119</v>
      </c>
      <c r="X288" s="90">
        <f t="shared" si="287"/>
        <v>1346.4914747781525</v>
      </c>
      <c r="Y288" s="86">
        <f t="shared" si="288"/>
        <v>19133.836589999999</v>
      </c>
      <c r="Z288" s="85">
        <f t="shared" si="289"/>
        <v>-818.62113479844345</v>
      </c>
      <c r="AA288" s="85">
        <f t="shared" si="290"/>
        <v>1833.2297026390875</v>
      </c>
      <c r="AB288" s="90">
        <f t="shared" si="291"/>
        <v>818.62113479844345</v>
      </c>
      <c r="AC288" s="86">
        <f t="shared" si="292"/>
        <v>-6000.4267900000004</v>
      </c>
      <c r="AD288" s="85">
        <f t="shared" si="293"/>
        <v>3384.56104615708</v>
      </c>
      <c r="AE288" s="85">
        <f t="shared" si="294"/>
        <v>-3384.5708750036456</v>
      </c>
      <c r="AF288" s="90">
        <f t="shared" si="295"/>
        <v>3384.56104615708</v>
      </c>
      <c r="AG288" s="86">
        <f t="shared" si="296"/>
        <v>-22288.240030000001</v>
      </c>
      <c r="AH288" s="85">
        <f t="shared" si="297"/>
        <v>6139.2748628683721</v>
      </c>
      <c r="AI288" s="85">
        <f t="shared" si="298"/>
        <v>-15317.569988151614</v>
      </c>
      <c r="AJ288" s="90">
        <f t="shared" si="299"/>
        <v>6139.2748628683721</v>
      </c>
      <c r="AL288" s="95">
        <f t="shared" si="300"/>
        <v>0</v>
      </c>
      <c r="AM288" s="95">
        <f t="shared" si="301"/>
        <v>0</v>
      </c>
      <c r="AN288" s="95">
        <f t="shared" si="302"/>
        <v>0</v>
      </c>
      <c r="AO288" s="95">
        <f t="shared" si="303"/>
        <v>0</v>
      </c>
      <c r="AP288"/>
      <c r="AQ288" s="95">
        <f t="shared" si="304"/>
        <v>0</v>
      </c>
      <c r="AR288" s="95">
        <f t="shared" si="305"/>
        <v>0</v>
      </c>
      <c r="AS288" s="95">
        <f>Geraetedaten!$B$94*ABS(SIN(RADIANS($A288)))</f>
        <v>141.7577474316758</v>
      </c>
      <c r="AT288" s="95">
        <f>Geraetedaten!$B$94*ABS(COS(RADIANS($A288)))</f>
        <v>60.17259378734817</v>
      </c>
      <c r="AU288" s="95">
        <f>((h_Aw_Sw+Geraetedaten!$B$18)/1000)*(AQ288*AS288+AR288*AT288)/100</f>
        <v>0</v>
      </c>
    </row>
    <row r="289" spans="1:47" ht="13.5" x14ac:dyDescent="0.25">
      <c r="A289" s="16">
        <v>248</v>
      </c>
      <c r="B289" s="16">
        <f t="shared" si="272"/>
        <v>202</v>
      </c>
      <c r="C289" s="19">
        <f t="shared" si="273"/>
        <v>70.139056024367036</v>
      </c>
      <c r="D289" s="17">
        <f t="shared" si="274"/>
        <v>5916.5307339756328</v>
      </c>
      <c r="E289" s="17">
        <f t="shared" si="275"/>
        <v>19760.185093975633</v>
      </c>
      <c r="F289" s="17">
        <f t="shared" si="276"/>
        <v>-6071.732346024367</v>
      </c>
      <c r="G289" s="17">
        <f t="shared" si="277"/>
        <v>-23288.163646024368</v>
      </c>
      <c r="H289" s="17">
        <f t="shared" si="278"/>
        <v>5916.5307339756328</v>
      </c>
      <c r="I289" s="17">
        <f t="shared" si="279"/>
        <v>1347.3116200936349</v>
      </c>
      <c r="J289" s="20">
        <f>(Geraetedaten!$B$152+(Geraetedaten!$B$153*(Geraetedaten!$B$18+d_y_Sw)/1000))*10</f>
        <v>6051.0442000000003</v>
      </c>
      <c r="K289" s="20">
        <f>(Geraetedaten!$B$165+(Geraetedaten!$B$166*(Geraetedaten!$B$18+d_y_Sw)/1000))*10</f>
        <v>10816.164000000001</v>
      </c>
      <c r="L289" s="20">
        <f>(Geraetedaten!$B$158+(Geraetedaten!$B$159*(Geraetedaten!$B$18+d_y_Sw)/1000)-(Geraetedaten!$B$160*I289/1000))*10</f>
        <v>502.7382388985335</v>
      </c>
      <c r="M289" s="20">
        <f>(Geraetedaten!$B$171+(Geraetedaten!$B$172*(Geraetedaten!$B$18+d_y_Sw)/1000)-(Geraetedaten!$B$173*I289/1000))*10</f>
        <v>964.57312300023079</v>
      </c>
      <c r="N289" s="20">
        <f>IF((H289-J289)/(K289-J289)*(Geraetedaten!$B$174-Geraetedaten!$B$161)&lt;Geraetedaten!$B$174,(H289-J289)/(K289-J289)*(Geraetedaten!$B$174-Geraetedaten!$B$161),Geraetedaten!$B$174)</f>
        <v>-11.291507594362477</v>
      </c>
      <c r="O289" s="20">
        <f>N289/Geraetedaten!$B$174*(M289-L289)+L289+C289</f>
        <v>559.8402646699609</v>
      </c>
      <c r="P289" s="20">
        <f t="shared" si="280"/>
        <v>207.39473735747708</v>
      </c>
      <c r="Q289" s="21">
        <f>(N289-Geraetedaten!$B$161)/(Geraetedaten!$B$174-Geraetedaten!$B$161)*(Geraetedaten!$B$175-Geraetedaten!$B$162)+Geraetedaten!$B$162</f>
        <v>28.864077649067717</v>
      </c>
      <c r="R289" s="21">
        <f t="shared" si="281"/>
        <v>28.864077649067717</v>
      </c>
      <c r="S289" s="21">
        <f t="shared" si="282"/>
        <v>-26.762306773177659</v>
      </c>
      <c r="T289" s="88">
        <f t="shared" si="283"/>
        <v>-10.812673800209632</v>
      </c>
      <c r="U289" s="86">
        <f t="shared" si="284"/>
        <v>5986.6697899999999</v>
      </c>
      <c r="V289" s="85">
        <f t="shared" si="285"/>
        <v>-1346.4914747781525</v>
      </c>
      <c r="W289" s="85">
        <f t="shared" si="286"/>
        <v>1347.3116200936349</v>
      </c>
      <c r="X289" s="90">
        <f t="shared" si="287"/>
        <v>1346.4914747781525</v>
      </c>
      <c r="Y289" s="86">
        <f t="shared" si="288"/>
        <v>19830.32415</v>
      </c>
      <c r="Z289" s="85">
        <f t="shared" si="289"/>
        <v>-818.62113479844345</v>
      </c>
      <c r="AA289" s="85">
        <f t="shared" si="290"/>
        <v>1899.9607875192562</v>
      </c>
      <c r="AB289" s="90">
        <f t="shared" si="291"/>
        <v>818.62113479844345</v>
      </c>
      <c r="AC289" s="86">
        <f t="shared" si="292"/>
        <v>-6001.5932899999998</v>
      </c>
      <c r="AD289" s="85">
        <f t="shared" si="293"/>
        <v>3384.56104615708</v>
      </c>
      <c r="AE289" s="85">
        <f t="shared" si="294"/>
        <v>-3385.2288449590069</v>
      </c>
      <c r="AF289" s="90">
        <f t="shared" si="295"/>
        <v>3384.56104615708</v>
      </c>
      <c r="AG289" s="86">
        <f t="shared" si="296"/>
        <v>-23218.024590000001</v>
      </c>
      <c r="AH289" s="85">
        <f t="shared" si="297"/>
        <v>6139.2748628683721</v>
      </c>
      <c r="AI289" s="85">
        <f t="shared" si="298"/>
        <v>-15956.56347374345</v>
      </c>
      <c r="AJ289" s="90">
        <f t="shared" si="299"/>
        <v>6139.2748628683721</v>
      </c>
      <c r="AL289" s="95">
        <f t="shared" si="300"/>
        <v>0</v>
      </c>
      <c r="AM289" s="95">
        <f t="shared" si="301"/>
        <v>0</v>
      </c>
      <c r="AN289" s="95">
        <f t="shared" si="302"/>
        <v>0</v>
      </c>
      <c r="AO289" s="95">
        <f t="shared" si="303"/>
        <v>0</v>
      </c>
      <c r="AP289"/>
      <c r="AQ289" s="95">
        <f t="shared" si="304"/>
        <v>0</v>
      </c>
      <c r="AR289" s="95">
        <f t="shared" si="305"/>
        <v>0</v>
      </c>
      <c r="AS289" s="95">
        <f>Geraetedaten!$B$94*ABS(SIN(RADIANS($A289)))</f>
        <v>142.78631360328524</v>
      </c>
      <c r="AT289" s="95">
        <f>Geraetedaten!$B$94*ABS(COS(RADIANS($A289)))</f>
        <v>57.689415386050491</v>
      </c>
      <c r="AU289" s="95">
        <f>((h_Aw_Sw+Geraetedaten!$B$18)/1000)*(AQ289*AS289+AR289*AT289)/100</f>
        <v>0</v>
      </c>
    </row>
    <row r="290" spans="1:47" ht="13.5" x14ac:dyDescent="0.25">
      <c r="A290" s="16">
        <v>249</v>
      </c>
      <c r="B290" s="16">
        <f t="shared" si="272"/>
        <v>201</v>
      </c>
      <c r="C290" s="19">
        <f t="shared" si="273"/>
        <v>70.05924994724802</v>
      </c>
      <c r="D290" s="17">
        <f t="shared" si="274"/>
        <v>5921.1730700527523</v>
      </c>
      <c r="E290" s="17">
        <f t="shared" si="275"/>
        <v>20515.880910052751</v>
      </c>
      <c r="F290" s="17">
        <f t="shared" si="276"/>
        <v>-6074.6488999472476</v>
      </c>
      <c r="G290" s="17">
        <f t="shared" si="277"/>
        <v>-24306.523939947248</v>
      </c>
      <c r="H290" s="17">
        <f t="shared" si="278"/>
        <v>5921.1730700527523</v>
      </c>
      <c r="I290" s="17">
        <f t="shared" si="279"/>
        <v>1348.3384244347367</v>
      </c>
      <c r="J290" s="20">
        <f>(Geraetedaten!$B$152+(Geraetedaten!$B$153*(Geraetedaten!$B$18+d_y_Sw)/1000))*10</f>
        <v>6051.0442000000003</v>
      </c>
      <c r="K290" s="20">
        <f>(Geraetedaten!$B$165+(Geraetedaten!$B$166*(Geraetedaten!$B$18+d_y_Sw)/1000))*10</f>
        <v>10816.164000000001</v>
      </c>
      <c r="L290" s="20">
        <f>(Geraetedaten!$B$158+(Geraetedaten!$B$159*(Geraetedaten!$B$18+d_y_Sw)/1000)-(Geraetedaten!$B$160*I290/1000))*10</f>
        <v>502.66294333620056</v>
      </c>
      <c r="M290" s="20">
        <f>(Geraetedaten!$B$171+(Geraetedaten!$B$172*(Geraetedaten!$B$18+d_y_Sw)/1000)-(Geraetedaten!$B$173*I290/1000))*10</f>
        <v>964.49668768507922</v>
      </c>
      <c r="N290" s="20">
        <f>IF((H290-J290)/(K290-J290)*(Geraetedaten!$B$174-Geraetedaten!$B$161)&lt;Geraetedaten!$B$174,(H290-J290)/(K290-J290)*(Geraetedaten!$B$174-Geraetedaten!$B$161),Geraetedaten!$B$174)</f>
        <v>-10.901814468316026</v>
      </c>
      <c r="O290" s="20">
        <f>N290/Geraetedaten!$B$174*(M290-L290)+L290+C290</f>
        <v>560.13512879320069</v>
      </c>
      <c r="P290" s="20">
        <f t="shared" si="280"/>
        <v>207.42431887525242</v>
      </c>
      <c r="Q290" s="21">
        <f>(N290-Geraetedaten!$B$161)/(Geraetedaten!$B$174-Geraetedaten!$B$161)*(Geraetedaten!$B$175-Geraetedaten!$B$162)+Geraetedaten!$B$162</f>
        <v>28.875671019567598</v>
      </c>
      <c r="R290" s="21">
        <f t="shared" si="281"/>
        <v>28.875671019567598</v>
      </c>
      <c r="S290" s="21">
        <f t="shared" si="282"/>
        <v>-26.957761265840801</v>
      </c>
      <c r="T290" s="88">
        <f t="shared" si="283"/>
        <v>-10.348115015027103</v>
      </c>
      <c r="U290" s="86">
        <f t="shared" si="284"/>
        <v>5991.2323200000001</v>
      </c>
      <c r="V290" s="85">
        <f t="shared" si="285"/>
        <v>-1346.4914747781525</v>
      </c>
      <c r="W290" s="85">
        <f t="shared" si="286"/>
        <v>1348.3384244347367</v>
      </c>
      <c r="X290" s="90">
        <f t="shared" si="287"/>
        <v>1346.4914747781525</v>
      </c>
      <c r="Y290" s="86">
        <f t="shared" si="288"/>
        <v>20585.940159999998</v>
      </c>
      <c r="Z290" s="85">
        <f t="shared" si="289"/>
        <v>-818.62113479844345</v>
      </c>
      <c r="AA290" s="85">
        <f t="shared" si="290"/>
        <v>1972.3570214981196</v>
      </c>
      <c r="AB290" s="90">
        <f t="shared" si="291"/>
        <v>818.62113479844345</v>
      </c>
      <c r="AC290" s="86">
        <f t="shared" si="292"/>
        <v>-6004.5896499999999</v>
      </c>
      <c r="AD290" s="85">
        <f t="shared" si="293"/>
        <v>3384.56104615708</v>
      </c>
      <c r="AE290" s="85">
        <f t="shared" si="294"/>
        <v>-3386.9189597134905</v>
      </c>
      <c r="AF290" s="90">
        <f t="shared" si="295"/>
        <v>3384.56104615708</v>
      </c>
      <c r="AG290" s="86">
        <f t="shared" si="296"/>
        <v>-24236.464690000001</v>
      </c>
      <c r="AH290" s="85">
        <f t="shared" si="297"/>
        <v>6139.2748628683721</v>
      </c>
      <c r="AI290" s="85">
        <f t="shared" si="298"/>
        <v>-16656.485382094652</v>
      </c>
      <c r="AJ290" s="90">
        <f t="shared" si="299"/>
        <v>6139.2748628683721</v>
      </c>
      <c r="AL290" s="95">
        <f t="shared" si="300"/>
        <v>0</v>
      </c>
      <c r="AM290" s="95">
        <f t="shared" si="301"/>
        <v>0</v>
      </c>
      <c r="AN290" s="95">
        <f t="shared" si="302"/>
        <v>0</v>
      </c>
      <c r="AO290" s="95">
        <f t="shared" si="303"/>
        <v>0</v>
      </c>
      <c r="AP290"/>
      <c r="AQ290" s="95">
        <f t="shared" si="304"/>
        <v>0</v>
      </c>
      <c r="AR290" s="95">
        <f t="shared" si="305"/>
        <v>0</v>
      </c>
      <c r="AS290" s="95">
        <f>Geraetedaten!$B$94*ABS(SIN(RADIANS($A290)))</f>
        <v>143.77138568056904</v>
      </c>
      <c r="AT290" s="95">
        <f>Geraetedaten!$B$94*ABS(COS(RADIANS($A290)))</f>
        <v>55.188664229976311</v>
      </c>
      <c r="AU290" s="95">
        <f>((h_Aw_Sw+Geraetedaten!$B$18)/1000)*(AQ290*AS290+AR290*AT290)/100</f>
        <v>0</v>
      </c>
    </row>
    <row r="291" spans="1:47" ht="13.5" x14ac:dyDescent="0.25">
      <c r="A291" s="16">
        <v>250</v>
      </c>
      <c r="B291" s="16">
        <f t="shared" si="272"/>
        <v>200</v>
      </c>
      <c r="C291" s="19">
        <f t="shared" si="273"/>
        <v>69.958103143915849</v>
      </c>
      <c r="D291" s="17">
        <f t="shared" si="274"/>
        <v>5927.6720268560839</v>
      </c>
      <c r="E291" s="17">
        <f t="shared" si="275"/>
        <v>21338.242726856086</v>
      </c>
      <c r="F291" s="17">
        <f t="shared" si="276"/>
        <v>-6079.3785531439153</v>
      </c>
      <c r="G291" s="17">
        <f t="shared" si="277"/>
        <v>-25426.386063143917</v>
      </c>
      <c r="H291" s="17">
        <f t="shared" si="278"/>
        <v>5927.6720268560839</v>
      </c>
      <c r="I291" s="17">
        <f t="shared" si="279"/>
        <v>1349.7782641733934</v>
      </c>
      <c r="J291" s="20">
        <f>(Geraetedaten!$B$152+(Geraetedaten!$B$153*(Geraetedaten!$B$18+d_y_Sw)/1000))*10</f>
        <v>6051.0442000000003</v>
      </c>
      <c r="K291" s="20">
        <f>(Geraetedaten!$B$165+(Geraetedaten!$B$166*(Geraetedaten!$B$18+d_y_Sw)/1000))*10</f>
        <v>10816.164000000001</v>
      </c>
      <c r="L291" s="20">
        <f>(Geraetedaten!$B$158+(Geraetedaten!$B$159*(Geraetedaten!$B$18+d_y_Sw)/1000)-(Geraetedaten!$B$160*I291/1000))*10</f>
        <v>502.5573598881648</v>
      </c>
      <c r="M291" s="20">
        <f>(Geraetedaten!$B$171+(Geraetedaten!$B$172*(Geraetedaten!$B$18+d_y_Sw)/1000)-(Geraetedaten!$B$173*I291/1000))*10</f>
        <v>964.38950601493366</v>
      </c>
      <c r="N291" s="20">
        <f>IF((H291-J291)/(K291-J291)*(Geraetedaten!$B$174-Geraetedaten!$B$161)&lt;Geraetedaten!$B$174,(H291-J291)/(K291-J291)*(Geraetedaten!$B$174-Geraetedaten!$B$161),Geraetedaten!$B$174)</f>
        <v>-10.356270425261195</v>
      </c>
      <c r="O291" s="20">
        <f>N291/Geraetedaten!$B$174*(M291-L291)+L291+C291</f>
        <v>560.55831654116173</v>
      </c>
      <c r="P291" s="20">
        <f t="shared" si="280"/>
        <v>207.46955921377582</v>
      </c>
      <c r="Q291" s="21">
        <f>(N291-Geraetedaten!$B$161)/(Geraetedaten!$B$174-Geraetedaten!$B$161)*(Geraetedaten!$B$175-Geraetedaten!$B$162)+Geraetedaten!$B$162</f>
        <v>28.891900954848477</v>
      </c>
      <c r="R291" s="21">
        <f t="shared" si="281"/>
        <v>28.891900954848477</v>
      </c>
      <c r="S291" s="21">
        <f t="shared" si="282"/>
        <v>-27.149506127748456</v>
      </c>
      <c r="T291" s="88">
        <f t="shared" si="283"/>
        <v>-9.8816121055282959</v>
      </c>
      <c r="U291" s="86">
        <f t="shared" si="284"/>
        <v>5997.6301299999996</v>
      </c>
      <c r="V291" s="85">
        <f t="shared" si="285"/>
        <v>-1346.4914747781525</v>
      </c>
      <c r="W291" s="85">
        <f t="shared" si="286"/>
        <v>1349.7782641733934</v>
      </c>
      <c r="X291" s="90">
        <f t="shared" si="287"/>
        <v>1346.4914747781525</v>
      </c>
      <c r="Y291" s="86">
        <f t="shared" si="288"/>
        <v>21408.200830000002</v>
      </c>
      <c r="Z291" s="85">
        <f t="shared" si="289"/>
        <v>-818.62113479844345</v>
      </c>
      <c r="AA291" s="85">
        <f t="shared" si="290"/>
        <v>2051.1385393987848</v>
      </c>
      <c r="AB291" s="90">
        <f t="shared" si="291"/>
        <v>818.62113479844345</v>
      </c>
      <c r="AC291" s="86">
        <f t="shared" si="292"/>
        <v>-6009.4204499999996</v>
      </c>
      <c r="AD291" s="85">
        <f t="shared" si="293"/>
        <v>3384.56104615708</v>
      </c>
      <c r="AE291" s="85">
        <f t="shared" si="294"/>
        <v>-3389.6437970207744</v>
      </c>
      <c r="AF291" s="90">
        <f t="shared" si="295"/>
        <v>3384.56104615708</v>
      </c>
      <c r="AG291" s="86">
        <f t="shared" si="296"/>
        <v>-25356.427960000001</v>
      </c>
      <c r="AH291" s="85">
        <f t="shared" si="297"/>
        <v>6139.2748628683721</v>
      </c>
      <c r="AI291" s="85">
        <f t="shared" si="298"/>
        <v>-17426.178983571357</v>
      </c>
      <c r="AJ291" s="90">
        <f t="shared" si="299"/>
        <v>6139.2748628683721</v>
      </c>
      <c r="AL291" s="95">
        <f t="shared" si="300"/>
        <v>0</v>
      </c>
      <c r="AM291" s="95">
        <f t="shared" si="301"/>
        <v>0</v>
      </c>
      <c r="AN291" s="95">
        <f t="shared" si="302"/>
        <v>0</v>
      </c>
      <c r="AO291" s="95">
        <f t="shared" si="303"/>
        <v>0</v>
      </c>
      <c r="AP291"/>
      <c r="AQ291" s="95">
        <f t="shared" si="304"/>
        <v>0</v>
      </c>
      <c r="AR291" s="95">
        <f t="shared" si="305"/>
        <v>0</v>
      </c>
      <c r="AS291" s="95">
        <f>Geraetedaten!$B$94*ABS(SIN(RADIANS($A291)))</f>
        <v>144.7126636010299</v>
      </c>
      <c r="AT291" s="95">
        <f>Geraetedaten!$B$94*ABS(COS(RADIANS($A291)))</f>
        <v>52.671102072152955</v>
      </c>
      <c r="AU291" s="95">
        <f>((h_Aw_Sw+Geraetedaten!$B$18)/1000)*(AQ291*AS291+AR291*AT291)/100</f>
        <v>0</v>
      </c>
    </row>
    <row r="292" spans="1:47" ht="13.5" x14ac:dyDescent="0.25">
      <c r="A292" s="16">
        <v>251</v>
      </c>
      <c r="B292" s="16">
        <f t="shared" si="272"/>
        <v>199</v>
      </c>
      <c r="C292" s="19">
        <f t="shared" si="273"/>
        <v>69.835646424666706</v>
      </c>
      <c r="D292" s="17">
        <f t="shared" si="274"/>
        <v>5936.0373735753337</v>
      </c>
      <c r="E292" s="17">
        <f t="shared" si="275"/>
        <v>22236.122863575332</v>
      </c>
      <c r="F292" s="17">
        <f t="shared" si="276"/>
        <v>-6085.9287164246662</v>
      </c>
      <c r="G292" s="17">
        <f t="shared" si="277"/>
        <v>-26663.241356424667</v>
      </c>
      <c r="H292" s="17">
        <f t="shared" si="278"/>
        <v>5936.0373735753337</v>
      </c>
      <c r="I292" s="17">
        <f t="shared" si="279"/>
        <v>1351.6333430411885</v>
      </c>
      <c r="J292" s="20">
        <f>(Geraetedaten!$B$152+(Geraetedaten!$B$153*(Geraetedaten!$B$18+d_y_Sw)/1000))*10</f>
        <v>6051.0442000000003</v>
      </c>
      <c r="K292" s="20">
        <f>(Geraetedaten!$B$165+(Geraetedaten!$B$166*(Geraetedaten!$B$18+d_y_Sw)/1000))*10</f>
        <v>10816.164000000001</v>
      </c>
      <c r="L292" s="20">
        <f>(Geraetedaten!$B$158+(Geraetedaten!$B$159*(Geraetedaten!$B$18+d_y_Sw)/1000)-(Geraetedaten!$B$160*I292/1000))*10</f>
        <v>502.42132695478944</v>
      </c>
      <c r="M292" s="20">
        <f>(Geraetedaten!$B$171+(Geraetedaten!$B$172*(Geraetedaten!$B$18+d_y_Sw)/1000)-(Geraetedaten!$B$173*I292/1000))*10</f>
        <v>964.25141394401498</v>
      </c>
      <c r="N292" s="20">
        <f>IF((H292-J292)/(K292-J292)*(Geraetedaten!$B$174-Geraetedaten!$B$161)&lt;Geraetedaten!$B$174,(H292-J292)/(K292-J292)*(Geraetedaten!$B$174-Geraetedaten!$B$161),Geraetedaten!$B$174)</f>
        <v>-9.6540554069315547</v>
      </c>
      <c r="O292" s="20">
        <f>N292/Geraetedaten!$B$174*(M292-L292)+L292+C292</f>
        <v>561.11064025850112</v>
      </c>
      <c r="P292" s="20">
        <f t="shared" si="280"/>
        <v>207.53054570789243</v>
      </c>
      <c r="Q292" s="21">
        <f>(N292-Geraetedaten!$B$161)/(Geraetedaten!$B$174-Geraetedaten!$B$161)*(Geraetedaten!$B$175-Geraetedaten!$B$162)+Geraetedaten!$B$162</f>
        <v>28.912791851643785</v>
      </c>
      <c r="R292" s="21">
        <f t="shared" si="281"/>
        <v>28.912791851643785</v>
      </c>
      <c r="S292" s="21">
        <f t="shared" si="282"/>
        <v>-27.337581768165766</v>
      </c>
      <c r="T292" s="88">
        <f t="shared" si="283"/>
        <v>-9.4130842833435846</v>
      </c>
      <c r="U292" s="86">
        <f t="shared" si="284"/>
        <v>6005.87302</v>
      </c>
      <c r="V292" s="85">
        <f t="shared" si="285"/>
        <v>-1346.4914747781525</v>
      </c>
      <c r="W292" s="85">
        <f t="shared" si="286"/>
        <v>1351.6333430411885</v>
      </c>
      <c r="X292" s="90">
        <f t="shared" si="287"/>
        <v>1346.4914747781525</v>
      </c>
      <c r="Y292" s="86">
        <f t="shared" si="288"/>
        <v>22305.95851</v>
      </c>
      <c r="Z292" s="85">
        <f t="shared" si="289"/>
        <v>-818.62113479844345</v>
      </c>
      <c r="AA292" s="85">
        <f t="shared" si="290"/>
        <v>2137.1534920892113</v>
      </c>
      <c r="AB292" s="90">
        <f t="shared" si="291"/>
        <v>818.62113479844345</v>
      </c>
      <c r="AC292" s="86">
        <f t="shared" si="292"/>
        <v>-6016.0930699999999</v>
      </c>
      <c r="AD292" s="85">
        <f t="shared" si="293"/>
        <v>3384.56104615708</v>
      </c>
      <c r="AE292" s="85">
        <f t="shared" si="294"/>
        <v>-3393.407519294165</v>
      </c>
      <c r="AF292" s="90">
        <f t="shared" si="295"/>
        <v>3384.56104615708</v>
      </c>
      <c r="AG292" s="86">
        <f t="shared" si="296"/>
        <v>-26593.405709999999</v>
      </c>
      <c r="AH292" s="85">
        <f t="shared" si="297"/>
        <v>6139.2748628683721</v>
      </c>
      <c r="AI292" s="85">
        <f t="shared" si="298"/>
        <v>-18276.29067095085</v>
      </c>
      <c r="AJ292" s="90">
        <f t="shared" si="299"/>
        <v>6139.2748628683721</v>
      </c>
      <c r="AL292" s="95">
        <f t="shared" si="300"/>
        <v>0</v>
      </c>
      <c r="AM292" s="95">
        <f t="shared" si="301"/>
        <v>0</v>
      </c>
      <c r="AN292" s="95">
        <f t="shared" si="302"/>
        <v>0</v>
      </c>
      <c r="AO292" s="95">
        <f t="shared" si="303"/>
        <v>0</v>
      </c>
      <c r="AP292"/>
      <c r="AQ292" s="95">
        <f t="shared" si="304"/>
        <v>0</v>
      </c>
      <c r="AR292" s="95">
        <f t="shared" si="305"/>
        <v>0</v>
      </c>
      <c r="AS292" s="95">
        <f>Geraetedaten!$B$94*ABS(SIN(RADIANS($A292)))</f>
        <v>145.60986064229479</v>
      </c>
      <c r="AT292" s="95">
        <f>Geraetedaten!$B$94*ABS(COS(RADIANS($A292)))</f>
        <v>50.13749578640212</v>
      </c>
      <c r="AU292" s="95">
        <f>((h_Aw_Sw+Geraetedaten!$B$18)/1000)*(AQ292*AS292+AR292*AT292)/100</f>
        <v>0</v>
      </c>
    </row>
    <row r="293" spans="1:47" ht="13.5" x14ac:dyDescent="0.25">
      <c r="A293" s="16">
        <v>252</v>
      </c>
      <c r="B293" s="16">
        <f t="shared" si="272"/>
        <v>198</v>
      </c>
      <c r="C293" s="19">
        <f t="shared" si="273"/>
        <v>69.691917091003504</v>
      </c>
      <c r="D293" s="17">
        <f t="shared" si="274"/>
        <v>5946.2817329089967</v>
      </c>
      <c r="E293" s="17">
        <f t="shared" si="275"/>
        <v>23220.020142908998</v>
      </c>
      <c r="F293" s="17">
        <f t="shared" si="276"/>
        <v>-6094.3096270910037</v>
      </c>
      <c r="G293" s="17">
        <f t="shared" si="277"/>
        <v>-28035.909067091005</v>
      </c>
      <c r="H293" s="17">
        <f t="shared" si="278"/>
        <v>5946.2817329089967</v>
      </c>
      <c r="I293" s="17">
        <f t="shared" si="279"/>
        <v>1353.9065086338558</v>
      </c>
      <c r="J293" s="20">
        <f>(Geraetedaten!$B$152+(Geraetedaten!$B$153*(Geraetedaten!$B$18+d_y_Sw)/1000))*10</f>
        <v>6051.0442000000003</v>
      </c>
      <c r="K293" s="20">
        <f>(Geraetedaten!$B$165+(Geraetedaten!$B$166*(Geraetedaten!$B$18+d_y_Sw)/1000))*10</f>
        <v>10816.164000000001</v>
      </c>
      <c r="L293" s="20">
        <f>(Geraetedaten!$B$158+(Geraetedaten!$B$159*(Geraetedaten!$B$18+d_y_Sw)/1000)-(Geraetedaten!$B$160*I293/1000))*10</f>
        <v>502.25463572187914</v>
      </c>
      <c r="M293" s="20">
        <f>(Geraetedaten!$B$171+(Geraetedaten!$B$172*(Geraetedaten!$B$18+d_y_Sw)/1000)-(Geraetedaten!$B$173*I293/1000))*10</f>
        <v>964.08219949729664</v>
      </c>
      <c r="N293" s="20">
        <f>IF((H293-J293)/(K293-J293)*(Geraetedaten!$B$174-Geraetedaten!$B$161)&lt;Geraetedaten!$B$174,(H293-J293)/(K293-J293)*(Geraetedaten!$B$174-Geraetedaten!$B$161),Geraetedaten!$B$174)</f>
        <v>-8.7941098220450691</v>
      </c>
      <c r="O293" s="20">
        <f>N293/Geraetedaten!$B$174*(M293-L293)+L293+C293</f>
        <v>561.79314702616125</v>
      </c>
      <c r="P293" s="20">
        <f t="shared" si="280"/>
        <v>207.60738872407086</v>
      </c>
      <c r="Q293" s="21">
        <f>(N293-Geraetedaten!$B$161)/(Geraetedaten!$B$174-Geraetedaten!$B$161)*(Geraetedaten!$B$175-Geraetedaten!$B$162)+Geraetedaten!$B$162</f>
        <v>28.938375232794158</v>
      </c>
      <c r="R293" s="21">
        <f t="shared" si="281"/>
        <v>28.938375232794158</v>
      </c>
      <c r="S293" s="21">
        <f t="shared" si="282"/>
        <v>-27.522030336143164</v>
      </c>
      <c r="T293" s="88">
        <f t="shared" si="283"/>
        <v>-8.942449736532474</v>
      </c>
      <c r="U293" s="86">
        <f t="shared" si="284"/>
        <v>6015.9736499999999</v>
      </c>
      <c r="V293" s="85">
        <f t="shared" si="285"/>
        <v>-1346.4914747781525</v>
      </c>
      <c r="W293" s="85">
        <f t="shared" si="286"/>
        <v>1353.9065086338558</v>
      </c>
      <c r="X293" s="90">
        <f t="shared" si="287"/>
        <v>1346.4914747781525</v>
      </c>
      <c r="Y293" s="86">
        <f t="shared" si="288"/>
        <v>23289.712060000002</v>
      </c>
      <c r="Z293" s="85">
        <f t="shared" si="289"/>
        <v>-818.62113479844345</v>
      </c>
      <c r="AA293" s="85">
        <f t="shared" si="290"/>
        <v>2231.4077842455085</v>
      </c>
      <c r="AB293" s="90">
        <f t="shared" si="291"/>
        <v>818.62113479844345</v>
      </c>
      <c r="AC293" s="86">
        <f t="shared" si="292"/>
        <v>-6024.6177100000004</v>
      </c>
      <c r="AD293" s="85">
        <f t="shared" si="293"/>
        <v>3384.56104615708</v>
      </c>
      <c r="AE293" s="85">
        <f t="shared" si="294"/>
        <v>-3398.2158891482527</v>
      </c>
      <c r="AF293" s="90">
        <f t="shared" si="295"/>
        <v>3384.56104615708</v>
      </c>
      <c r="AG293" s="86">
        <f t="shared" si="296"/>
        <v>-27966.21715</v>
      </c>
      <c r="AH293" s="85">
        <f t="shared" si="297"/>
        <v>6139.2748628683721</v>
      </c>
      <c r="AI293" s="85">
        <f t="shared" si="298"/>
        <v>-19219.753917783255</v>
      </c>
      <c r="AJ293" s="90">
        <f t="shared" si="299"/>
        <v>6139.2748628683721</v>
      </c>
      <c r="AL293" s="95">
        <f t="shared" si="300"/>
        <v>0</v>
      </c>
      <c r="AM293" s="95">
        <f t="shared" si="301"/>
        <v>0</v>
      </c>
      <c r="AN293" s="95">
        <f t="shared" si="302"/>
        <v>0</v>
      </c>
      <c r="AO293" s="95">
        <f t="shared" si="303"/>
        <v>0</v>
      </c>
      <c r="AP293"/>
      <c r="AQ293" s="95">
        <f t="shared" si="304"/>
        <v>0</v>
      </c>
      <c r="AR293" s="95">
        <f t="shared" si="305"/>
        <v>0</v>
      </c>
      <c r="AS293" s="95">
        <f>Geraetedaten!$B$94*ABS(SIN(RADIANS($A293)))</f>
        <v>146.46270350945363</v>
      </c>
      <c r="AT293" s="95">
        <f>Geraetedaten!$B$94*ABS(COS(RADIANS($A293)))</f>
        <v>47.588617133741927</v>
      </c>
      <c r="AU293" s="95">
        <f>((h_Aw_Sw+Geraetedaten!$B$18)/1000)*(AQ293*AS293+AR293*AT293)/100</f>
        <v>0</v>
      </c>
    </row>
    <row r="294" spans="1:47" ht="13.5" x14ac:dyDescent="0.25">
      <c r="A294" s="16">
        <v>253</v>
      </c>
      <c r="B294" s="16">
        <f t="shared" si="272"/>
        <v>197</v>
      </c>
      <c r="C294" s="19">
        <f t="shared" si="273"/>
        <v>69.526958924273615</v>
      </c>
      <c r="D294" s="17">
        <f t="shared" si="274"/>
        <v>5958.4206110757268</v>
      </c>
      <c r="E294" s="17">
        <f t="shared" si="275"/>
        <v>24302.481011075724</v>
      </c>
      <c r="F294" s="17">
        <f t="shared" si="276"/>
        <v>-6104.5344389242737</v>
      </c>
      <c r="G294" s="17">
        <f t="shared" si="277"/>
        <v>-29567.480188924274</v>
      </c>
      <c r="H294" s="17">
        <f t="shared" si="278"/>
        <v>5958.4206110757268</v>
      </c>
      <c r="I294" s="17">
        <f t="shared" si="279"/>
        <v>1356.6012631191804</v>
      </c>
      <c r="J294" s="20">
        <f>(Geraetedaten!$B$152+(Geraetedaten!$B$153*(Geraetedaten!$B$18+d_y_Sw)/1000))*10</f>
        <v>6051.0442000000003</v>
      </c>
      <c r="K294" s="20">
        <f>(Geraetedaten!$B$165+(Geraetedaten!$B$166*(Geraetedaten!$B$18+d_y_Sw)/1000))*10</f>
        <v>10816.164000000001</v>
      </c>
      <c r="L294" s="20">
        <f>(Geraetedaten!$B$158+(Geraetedaten!$B$159*(Geraetedaten!$B$18+d_y_Sw)/1000)-(Geraetedaten!$B$160*I294/1000))*10</f>
        <v>502.05702937547022</v>
      </c>
      <c r="M294" s="20">
        <f>(Geraetedaten!$B$171+(Geraetedaten!$B$172*(Geraetedaten!$B$18+d_y_Sw)/1000)-(Geraetedaten!$B$173*I294/1000))*10</f>
        <v>963.88160197340903</v>
      </c>
      <c r="N294" s="20">
        <f>IF((H294-J294)/(K294-J294)*(Geraetedaten!$B$174-Geraetedaten!$B$161)&lt;Geraetedaten!$B$174,(H294-J294)/(K294-J294)*(Geraetedaten!$B$174-Geraetedaten!$B$161),Geraetedaten!$B$174)</f>
        <v>-7.7751320270498514</v>
      </c>
      <c r="O294" s="20">
        <f>N294/Geraetedaten!$B$174*(M294-L294)+L294+C294</f>
        <v>562.60712073653167</v>
      </c>
      <c r="P294" s="20">
        <f t="shared" si="280"/>
        <v>207.70022145768351</v>
      </c>
      <c r="Q294" s="21">
        <f>(N294-Geraetedaten!$B$161)/(Geraetedaten!$B$174-Geraetedaten!$B$161)*(Geraetedaten!$B$175-Geraetedaten!$B$162)+Geraetedaten!$B$162</f>
        <v>28.968689822195266</v>
      </c>
      <c r="R294" s="21">
        <f t="shared" si="281"/>
        <v>28.968689822195266</v>
      </c>
      <c r="S294" s="21">
        <f t="shared" si="282"/>
        <v>-27.70289585098331</v>
      </c>
      <c r="T294" s="88">
        <f t="shared" si="283"/>
        <v>-8.4696252268994332</v>
      </c>
      <c r="U294" s="86">
        <f t="shared" si="284"/>
        <v>6027.9475700000003</v>
      </c>
      <c r="V294" s="85">
        <f t="shared" si="285"/>
        <v>-1346.4914747781525</v>
      </c>
      <c r="W294" s="85">
        <f t="shared" si="286"/>
        <v>1356.6012631191804</v>
      </c>
      <c r="X294" s="90">
        <f t="shared" si="287"/>
        <v>1346.4914747781525</v>
      </c>
      <c r="Y294" s="86">
        <f t="shared" si="288"/>
        <v>24372.007969999999</v>
      </c>
      <c r="Z294" s="85">
        <f t="shared" si="289"/>
        <v>-818.62113479844345</v>
      </c>
      <c r="AA294" s="85">
        <f t="shared" si="290"/>
        <v>2335.1035065474862</v>
      </c>
      <c r="AB294" s="90">
        <f t="shared" si="291"/>
        <v>818.62113479844345</v>
      </c>
      <c r="AC294" s="86">
        <f t="shared" si="292"/>
        <v>-6035.0074800000002</v>
      </c>
      <c r="AD294" s="85">
        <f t="shared" si="293"/>
        <v>3384.56104615708</v>
      </c>
      <c r="AE294" s="85">
        <f t="shared" si="294"/>
        <v>-3404.0762909875343</v>
      </c>
      <c r="AF294" s="90">
        <f t="shared" si="295"/>
        <v>3384.56104615708</v>
      </c>
      <c r="AG294" s="86">
        <f t="shared" si="296"/>
        <v>-29497.953229999999</v>
      </c>
      <c r="AH294" s="85">
        <f t="shared" si="297"/>
        <v>6139.2748628683721</v>
      </c>
      <c r="AI294" s="85">
        <f t="shared" si="298"/>
        <v>-20272.437960079249</v>
      </c>
      <c r="AJ294" s="90">
        <f t="shared" si="299"/>
        <v>6139.2748628683721</v>
      </c>
      <c r="AL294" s="95">
        <f t="shared" si="300"/>
        <v>0</v>
      </c>
      <c r="AM294" s="95">
        <f t="shared" si="301"/>
        <v>0</v>
      </c>
      <c r="AN294" s="95">
        <f t="shared" si="302"/>
        <v>0</v>
      </c>
      <c r="AO294" s="95">
        <f t="shared" si="303"/>
        <v>0</v>
      </c>
      <c r="AP294"/>
      <c r="AQ294" s="95">
        <f t="shared" si="304"/>
        <v>0</v>
      </c>
      <c r="AR294" s="95">
        <f t="shared" si="305"/>
        <v>0</v>
      </c>
      <c r="AS294" s="95">
        <f>Geraetedaten!$B$94*ABS(SIN(RADIANS($A294)))</f>
        <v>147.27093241830744</v>
      </c>
      <c r="AT294" s="95">
        <f>Geraetedaten!$B$94*ABS(COS(RADIANS($A294)))</f>
        <v>45.025242527301515</v>
      </c>
      <c r="AU294" s="95">
        <f>((h_Aw_Sw+Geraetedaten!$B$18)/1000)*(AQ294*AS294+AR294*AT294)/100</f>
        <v>0</v>
      </c>
    </row>
    <row r="295" spans="1:47" ht="13.5" x14ac:dyDescent="0.25">
      <c r="A295" s="16">
        <v>254</v>
      </c>
      <c r="B295" s="16">
        <f t="shared" si="272"/>
        <v>196</v>
      </c>
      <c r="C295" s="19">
        <f t="shared" si="273"/>
        <v>69.340822172332622</v>
      </c>
      <c r="D295" s="17">
        <f t="shared" si="274"/>
        <v>5972.4724978276672</v>
      </c>
      <c r="E295" s="17">
        <f t="shared" si="275"/>
        <v>25498.623957827665</v>
      </c>
      <c r="F295" s="17">
        <f t="shared" si="276"/>
        <v>-6116.6192121723334</v>
      </c>
      <c r="G295" s="17">
        <f t="shared" si="277"/>
        <v>-31286.601962172332</v>
      </c>
      <c r="H295" s="17">
        <f t="shared" si="278"/>
        <v>5972.4724978276672</v>
      </c>
      <c r="I295" s="17">
        <f t="shared" si="279"/>
        <v>1359.7217764765226</v>
      </c>
      <c r="J295" s="20">
        <f>(Geraetedaten!$B$152+(Geraetedaten!$B$153*(Geraetedaten!$B$18+d_y_Sw)/1000))*10</f>
        <v>6051.0442000000003</v>
      </c>
      <c r="K295" s="20">
        <f>(Geraetedaten!$B$165+(Geraetedaten!$B$166*(Geraetedaten!$B$18+d_y_Sw)/1000))*10</f>
        <v>10816.164000000001</v>
      </c>
      <c r="L295" s="20">
        <f>(Geraetedaten!$B$158+(Geraetedaten!$B$159*(Geraetedaten!$B$18+d_y_Sw)/1000)-(Geraetedaten!$B$160*I295/1000))*10</f>
        <v>501.82820213097636</v>
      </c>
      <c r="M295" s="20">
        <f>(Geraetedaten!$B$171+(Geraetedaten!$B$172*(Geraetedaten!$B$18+d_y_Sw)/1000)-(Geraetedaten!$B$173*I295/1000))*10</f>
        <v>963.64931095908855</v>
      </c>
      <c r="N295" s="20">
        <f>IF((H295-J295)/(K295-J295)*(Geraetedaten!$B$174-Geraetedaten!$B$161)&lt;Geraetedaten!$B$174,(H295-J295)/(K295-J295)*(Geraetedaten!$B$174-Geraetedaten!$B$161),Geraetedaten!$B$174)</f>
        <v>-6.5955699306727231</v>
      </c>
      <c r="O295" s="20">
        <f>N295/Geraetedaten!$B$174*(M295-L295)+L295+C295</f>
        <v>563.55409075646742</v>
      </c>
      <c r="P295" s="20">
        <f t="shared" si="280"/>
        <v>207.80920075222079</v>
      </c>
      <c r="Q295" s="21">
        <f>(N295-Geraetedaten!$B$161)/(Geraetedaten!$B$174-Geraetedaten!$B$161)*(Geraetedaten!$B$175-Geraetedaten!$B$162)+Geraetedaten!$B$162</f>
        <v>29.003781794562485</v>
      </c>
      <c r="R295" s="21">
        <f t="shared" si="281"/>
        <v>29.003781794562485</v>
      </c>
      <c r="S295" s="21">
        <f t="shared" si="282"/>
        <v>-27.880224476466076</v>
      </c>
      <c r="T295" s="88">
        <f t="shared" si="283"/>
        <v>-7.9945257225464141</v>
      </c>
      <c r="U295" s="86">
        <f t="shared" si="284"/>
        <v>6041.8133200000002</v>
      </c>
      <c r="V295" s="85">
        <f t="shared" si="285"/>
        <v>-1346.4914747781525</v>
      </c>
      <c r="W295" s="85">
        <f t="shared" si="286"/>
        <v>1359.7217764765226</v>
      </c>
      <c r="X295" s="90">
        <f t="shared" si="287"/>
        <v>1346.4914747781525</v>
      </c>
      <c r="Y295" s="86">
        <f t="shared" si="288"/>
        <v>25567.964779999998</v>
      </c>
      <c r="Z295" s="85">
        <f t="shared" si="289"/>
        <v>-818.62113479844345</v>
      </c>
      <c r="AA295" s="85">
        <f t="shared" si="290"/>
        <v>2449.6891798167303</v>
      </c>
      <c r="AB295" s="90">
        <f t="shared" si="291"/>
        <v>818.62113479844345</v>
      </c>
      <c r="AC295" s="86">
        <f t="shared" si="292"/>
        <v>-6047.2783900000004</v>
      </c>
      <c r="AD295" s="85">
        <f t="shared" si="293"/>
        <v>3384.56104615708</v>
      </c>
      <c r="AE295" s="85">
        <f t="shared" si="294"/>
        <v>-3410.9977587929684</v>
      </c>
      <c r="AF295" s="90">
        <f t="shared" si="295"/>
        <v>3384.56104615708</v>
      </c>
      <c r="AG295" s="86">
        <f t="shared" si="296"/>
        <v>-31217.261139999999</v>
      </c>
      <c r="AH295" s="85">
        <f t="shared" si="297"/>
        <v>6139.2748628683721</v>
      </c>
      <c r="AI295" s="85">
        <f t="shared" si="298"/>
        <v>-21454.030545252535</v>
      </c>
      <c r="AJ295" s="90">
        <f t="shared" si="299"/>
        <v>6139.2748628683721</v>
      </c>
      <c r="AL295" s="95">
        <f t="shared" si="300"/>
        <v>0</v>
      </c>
      <c r="AM295" s="95">
        <f t="shared" si="301"/>
        <v>0</v>
      </c>
      <c r="AN295" s="95">
        <f t="shared" si="302"/>
        <v>0</v>
      </c>
      <c r="AO295" s="95">
        <f t="shared" si="303"/>
        <v>0</v>
      </c>
      <c r="AP295"/>
      <c r="AQ295" s="95">
        <f t="shared" si="304"/>
        <v>0</v>
      </c>
      <c r="AR295" s="95">
        <f t="shared" si="305"/>
        <v>0</v>
      </c>
      <c r="AS295" s="95">
        <f>Geraetedaten!$B$94*ABS(SIN(RADIANS($A295)))</f>
        <v>148.03430117450114</v>
      </c>
      <c r="AT295" s="95">
        <f>Geraetedaten!$B$94*ABS(COS(RADIANS($A295)))</f>
        <v>42.448152795817826</v>
      </c>
      <c r="AU295" s="95">
        <f>((h_Aw_Sw+Geraetedaten!$B$18)/1000)*(AQ295*AS295+AR295*AT295)/100</f>
        <v>0</v>
      </c>
    </row>
    <row r="296" spans="1:47" ht="13.5" x14ac:dyDescent="0.25">
      <c r="A296" s="16">
        <v>255</v>
      </c>
      <c r="B296" s="16">
        <f t="shared" si="272"/>
        <v>195</v>
      </c>
      <c r="C296" s="19">
        <f t="shared" si="273"/>
        <v>69.133563534238306</v>
      </c>
      <c r="D296" s="17">
        <f t="shared" si="274"/>
        <v>5988.4588964657614</v>
      </c>
      <c r="E296" s="17">
        <f t="shared" si="275"/>
        <v>26826.833806465762</v>
      </c>
      <c r="F296" s="17">
        <f t="shared" si="276"/>
        <v>-6130.5830035342387</v>
      </c>
      <c r="G296" s="17">
        <f t="shared" si="277"/>
        <v>-33229.255443534239</v>
      </c>
      <c r="H296" s="17">
        <f t="shared" si="278"/>
        <v>5988.4588964657614</v>
      </c>
      <c r="I296" s="17">
        <f t="shared" si="279"/>
        <v>1363.2729023616355</v>
      </c>
      <c r="J296" s="20">
        <f>(Geraetedaten!$B$152+(Geraetedaten!$B$153*(Geraetedaten!$B$18+d_y_Sw)/1000))*10</f>
        <v>6051.0442000000003</v>
      </c>
      <c r="K296" s="20">
        <f>(Geraetedaten!$B$165+(Geraetedaten!$B$166*(Geraetedaten!$B$18+d_y_Sw)/1000))*10</f>
        <v>10816.164000000001</v>
      </c>
      <c r="L296" s="20">
        <f>(Geraetedaten!$B$158+(Geraetedaten!$B$159*(Geraetedaten!$B$18+d_y_Sw)/1000)-(Geraetedaten!$B$160*I296/1000))*10</f>
        <v>501.56779806982104</v>
      </c>
      <c r="M296" s="20">
        <f>(Geraetedaten!$B$171+(Geraetedaten!$B$172*(Geraetedaten!$B$18+d_y_Sw)/1000)-(Geraetedaten!$B$173*I296/1000))*10</f>
        <v>963.38496514820076</v>
      </c>
      <c r="N296" s="20">
        <f>IF((H296-J296)/(K296-J296)*(Geraetedaten!$B$174-Geraetedaten!$B$161)&lt;Geraetedaten!$B$174,(H296-J296)/(K296-J296)*(Geraetedaten!$B$174-Geraetedaten!$B$161),Geraetedaten!$B$174)</f>
        <v>-5.2536184743341678</v>
      </c>
      <c r="O296" s="20">
        <f>N296/Geraetedaten!$B$174*(M296-L296)+L296+C296</f>
        <v>564.63583360224015</v>
      </c>
      <c r="P296" s="20">
        <f t="shared" si="280"/>
        <v>207.9345065509001</v>
      </c>
      <c r="Q296" s="21">
        <f>(N296-Geraetedaten!$B$161)/(Geraetedaten!$B$174-Geraetedaten!$B$161)*(Geraetedaten!$B$175-Geraetedaten!$B$162)+Geraetedaten!$B$162</f>
        <v>29.043704850388558</v>
      </c>
      <c r="R296" s="21">
        <f t="shared" si="281"/>
        <v>29.043704850388558</v>
      </c>
      <c r="S296" s="21">
        <f t="shared" si="282"/>
        <v>-28.054064606107389</v>
      </c>
      <c r="T296" s="88">
        <f t="shared" si="283"/>
        <v>-7.5170639556170133</v>
      </c>
      <c r="U296" s="86">
        <f t="shared" si="284"/>
        <v>6057.5924599999998</v>
      </c>
      <c r="V296" s="85">
        <f t="shared" si="285"/>
        <v>-1346.4914747781525</v>
      </c>
      <c r="W296" s="85">
        <f t="shared" si="286"/>
        <v>1363.2729023616355</v>
      </c>
      <c r="X296" s="90">
        <f t="shared" si="287"/>
        <v>1346.4914747781525</v>
      </c>
      <c r="Y296" s="86">
        <f t="shared" si="288"/>
        <v>26895.967369999998</v>
      </c>
      <c r="Z296" s="85">
        <f t="shared" si="289"/>
        <v>-818.62113479844345</v>
      </c>
      <c r="AA296" s="85">
        <f t="shared" si="290"/>
        <v>2576.9262750985727</v>
      </c>
      <c r="AB296" s="90">
        <f t="shared" si="291"/>
        <v>818.62113479844345</v>
      </c>
      <c r="AC296" s="86">
        <f t="shared" si="292"/>
        <v>-6061.4494400000003</v>
      </c>
      <c r="AD296" s="85">
        <f t="shared" si="293"/>
        <v>3384.56104615708</v>
      </c>
      <c r="AE296" s="85">
        <f t="shared" si="294"/>
        <v>-3418.9910103019101</v>
      </c>
      <c r="AF296" s="90">
        <f t="shared" si="295"/>
        <v>3384.56104615708</v>
      </c>
      <c r="AG296" s="86">
        <f t="shared" si="296"/>
        <v>-33160.121879999999</v>
      </c>
      <c r="AH296" s="85">
        <f t="shared" si="297"/>
        <v>6139.2748628683721</v>
      </c>
      <c r="AI296" s="85">
        <f t="shared" si="298"/>
        <v>-22789.25958913556</v>
      </c>
      <c r="AJ296" s="90">
        <f t="shared" si="299"/>
        <v>6139.2748628683721</v>
      </c>
      <c r="AL296" s="95">
        <f t="shared" si="300"/>
        <v>0</v>
      </c>
      <c r="AM296" s="95">
        <f t="shared" si="301"/>
        <v>0</v>
      </c>
      <c r="AN296" s="95">
        <f t="shared" si="302"/>
        <v>0</v>
      </c>
      <c r="AO296" s="95">
        <f t="shared" si="303"/>
        <v>0</v>
      </c>
      <c r="AP296"/>
      <c r="AQ296" s="95">
        <f t="shared" si="304"/>
        <v>0</v>
      </c>
      <c r="AR296" s="95">
        <f t="shared" si="305"/>
        <v>0</v>
      </c>
      <c r="AS296" s="95">
        <f>Geraetedaten!$B$94*ABS(SIN(RADIANS($A296)))</f>
        <v>148.75257724851653</v>
      </c>
      <c r="AT296" s="95">
        <f>Geraetedaten!$B$94*ABS(COS(RADIANS($A296)))</f>
        <v>39.858132945788178</v>
      </c>
      <c r="AU296" s="95">
        <f>((h_Aw_Sw+Geraetedaten!$B$18)/1000)*(AQ296*AS296+AR296*AT296)/100</f>
        <v>0</v>
      </c>
    </row>
    <row r="297" spans="1:47" ht="13.5" x14ac:dyDescent="0.25">
      <c r="A297" s="16">
        <v>256</v>
      </c>
      <c r="B297" s="16">
        <f t="shared" si="272"/>
        <v>194</v>
      </c>
      <c r="C297" s="19">
        <f t="shared" si="273"/>
        <v>68.905246142979607</v>
      </c>
      <c r="D297" s="17">
        <f t="shared" si="274"/>
        <v>6006.4044238570204</v>
      </c>
      <c r="E297" s="17">
        <f t="shared" si="275"/>
        <v>28309.693723857021</v>
      </c>
      <c r="F297" s="17">
        <f t="shared" si="276"/>
        <v>-6146.4479361429794</v>
      </c>
      <c r="G297" s="17">
        <f t="shared" si="277"/>
        <v>-35441.262276142981</v>
      </c>
      <c r="H297" s="17">
        <f t="shared" si="278"/>
        <v>6006.4044238570204</v>
      </c>
      <c r="I297" s="17">
        <f t="shared" si="279"/>
        <v>1367.2601967099829</v>
      </c>
      <c r="J297" s="20">
        <f>(Geraetedaten!$B$152+(Geraetedaten!$B$153*(Geraetedaten!$B$18+d_y_Sw)/1000))*10</f>
        <v>6051.0442000000003</v>
      </c>
      <c r="K297" s="20">
        <f>(Geraetedaten!$B$165+(Geraetedaten!$B$166*(Geraetedaten!$B$18+d_y_Sw)/1000))*10</f>
        <v>10816.164000000001</v>
      </c>
      <c r="L297" s="20">
        <f>(Geraetedaten!$B$158+(Geraetedaten!$B$159*(Geraetedaten!$B$18+d_y_Sw)/1000)-(Geraetedaten!$B$160*I297/1000))*10</f>
        <v>501.27540977525666</v>
      </c>
      <c r="M297" s="20">
        <f>(Geraetedaten!$B$171+(Geraetedaten!$B$172*(Geraetedaten!$B$18+d_y_Sw)/1000)-(Geraetedaten!$B$173*I297/1000))*10</f>
        <v>963.08815095690989</v>
      </c>
      <c r="N297" s="20">
        <f>IF((H297-J297)/(K297-J297)*(Geraetedaten!$B$174-Geraetedaten!$B$161)&lt;Geraetedaten!$B$174,(H297-J297)/(K297-J297)*(Geraetedaten!$B$174-Geraetedaten!$B$161),Geraetedaten!$B$174)</f>
        <v>-3.7472112363663825</v>
      </c>
      <c r="O297" s="20">
        <f>N297/Geraetedaten!$B$174*(M297-L297)+L297+C297</f>
        <v>565.85438118610364</v>
      </c>
      <c r="P297" s="20">
        <f t="shared" si="280"/>
        <v>208.0763423556443</v>
      </c>
      <c r="Q297" s="21">
        <f>(N297-Geraetedaten!$B$161)/(Geraetedaten!$B$174-Geraetedaten!$B$161)*(Geraetedaten!$B$175-Geraetedaten!$B$162)+Geraetedaten!$B$162</f>
        <v>29.088520465718098</v>
      </c>
      <c r="R297" s="21">
        <f t="shared" si="281"/>
        <v>29.088520465718098</v>
      </c>
      <c r="S297" s="21">
        <f t="shared" si="282"/>
        <v>-28.224467091578131</v>
      </c>
      <c r="T297" s="88">
        <f t="shared" si="283"/>
        <v>-7.0371500112562533</v>
      </c>
      <c r="U297" s="86">
        <f t="shared" si="284"/>
        <v>6075.3096699999996</v>
      </c>
      <c r="V297" s="85">
        <f t="shared" si="285"/>
        <v>-1346.4914747781525</v>
      </c>
      <c r="W297" s="85">
        <f t="shared" si="286"/>
        <v>1367.2601967099829</v>
      </c>
      <c r="X297" s="90">
        <f t="shared" si="287"/>
        <v>1346.4914747781525</v>
      </c>
      <c r="Y297" s="86">
        <f t="shared" si="288"/>
        <v>28378.598969999999</v>
      </c>
      <c r="Z297" s="85">
        <f t="shared" si="289"/>
        <v>-818.62113479844345</v>
      </c>
      <c r="AA297" s="85">
        <f t="shared" si="290"/>
        <v>2718.9785117804304</v>
      </c>
      <c r="AB297" s="90">
        <f t="shared" si="291"/>
        <v>818.62113479844345</v>
      </c>
      <c r="AC297" s="86">
        <f t="shared" si="292"/>
        <v>-6077.5426900000002</v>
      </c>
      <c r="AD297" s="85">
        <f t="shared" si="293"/>
        <v>3384.56104615708</v>
      </c>
      <c r="AE297" s="85">
        <f t="shared" si="294"/>
        <v>-3428.0684878235311</v>
      </c>
      <c r="AF297" s="90">
        <f t="shared" si="295"/>
        <v>3384.56104615708</v>
      </c>
      <c r="AG297" s="86">
        <f t="shared" si="296"/>
        <v>-35372.357029999999</v>
      </c>
      <c r="AH297" s="85">
        <f t="shared" si="297"/>
        <v>6139.2748628683721</v>
      </c>
      <c r="AI297" s="85">
        <f t="shared" si="298"/>
        <v>-24309.615918285534</v>
      </c>
      <c r="AJ297" s="90">
        <f t="shared" si="299"/>
        <v>6139.2748628683721</v>
      </c>
      <c r="AL297" s="95">
        <f t="shared" si="300"/>
        <v>0</v>
      </c>
      <c r="AM297" s="95">
        <f t="shared" si="301"/>
        <v>0</v>
      </c>
      <c r="AN297" s="95">
        <f t="shared" si="302"/>
        <v>0</v>
      </c>
      <c r="AO297" s="95">
        <f t="shared" si="303"/>
        <v>0</v>
      </c>
      <c r="AP297"/>
      <c r="AQ297" s="95">
        <f t="shared" si="304"/>
        <v>0</v>
      </c>
      <c r="AR297" s="95">
        <f t="shared" si="305"/>
        <v>0</v>
      </c>
      <c r="AS297" s="95">
        <f>Geraetedaten!$B$94*ABS(SIN(RADIANS($A297)))</f>
        <v>149.42554184650345</v>
      </c>
      <c r="AT297" s="95">
        <f>Geraetedaten!$B$94*ABS(COS(RADIANS($A297)))</f>
        <v>37.255971922348841</v>
      </c>
      <c r="AU297" s="95">
        <f>((h_Aw_Sw+Geraetedaten!$B$18)/1000)*(AQ297*AS297+AR297*AT297)/100</f>
        <v>0</v>
      </c>
    </row>
    <row r="298" spans="1:47" ht="13.5" x14ac:dyDescent="0.25">
      <c r="A298" s="16">
        <v>257</v>
      </c>
      <c r="B298" s="16">
        <f t="shared" si="272"/>
        <v>193</v>
      </c>
      <c r="C298" s="19">
        <f t="shared" si="273"/>
        <v>68.655939546245634</v>
      </c>
      <c r="D298" s="17">
        <f t="shared" si="274"/>
        <v>6026.3369404537543</v>
      </c>
      <c r="E298" s="17">
        <f t="shared" si="275"/>
        <v>29975.255710453752</v>
      </c>
      <c r="F298" s="17">
        <f t="shared" si="276"/>
        <v>-6164.2392795462456</v>
      </c>
      <c r="G298" s="17">
        <f t="shared" si="277"/>
        <v>-37981.89500954625</v>
      </c>
      <c r="H298" s="17">
        <f t="shared" si="278"/>
        <v>6026.3369404537543</v>
      </c>
      <c r="I298" s="17">
        <f t="shared" si="279"/>
        <v>1371.6899392125501</v>
      </c>
      <c r="J298" s="20">
        <f>(Geraetedaten!$B$152+(Geraetedaten!$B$153*(Geraetedaten!$B$18+d_y_Sw)/1000))*10</f>
        <v>6051.0442000000003</v>
      </c>
      <c r="K298" s="20">
        <f>(Geraetedaten!$B$165+(Geraetedaten!$B$166*(Geraetedaten!$B$18+d_y_Sw)/1000))*10</f>
        <v>10816.164000000001</v>
      </c>
      <c r="L298" s="20">
        <f>(Geraetedaten!$B$158+(Geraetedaten!$B$159*(Geraetedaten!$B$18+d_y_Sw)/1000)-(Geraetedaten!$B$160*I298/1000))*10</f>
        <v>500.95057675754344</v>
      </c>
      <c r="M298" s="20">
        <f>(Geraetedaten!$B$171+(Geraetedaten!$B$172*(Geraetedaten!$B$18+d_y_Sw)/1000)-(Geraetedaten!$B$173*I298/1000))*10</f>
        <v>962.75840092501869</v>
      </c>
      <c r="N298" s="20">
        <f>IF((H298-J298)/(K298-J298)*(Geraetedaten!$B$174-Geraetedaten!$B$161)&lt;Geraetedaten!$B$174,(H298-J298)/(K298-J298)*(Geraetedaten!$B$174-Geraetedaten!$B$161),Geraetedaten!$B$174)</f>
        <v>-2.0740095177666635</v>
      </c>
      <c r="O298" s="20">
        <f>N298/Geraetedaten!$B$174*(M298-L298)+L298+C298</f>
        <v>567.21203174703294</v>
      </c>
      <c r="P298" s="20">
        <f t="shared" si="280"/>
        <v>208.23493599615034</v>
      </c>
      <c r="Q298" s="21">
        <f>(N298-Geraetedaten!$B$161)/(Geraetedaten!$B$174-Geraetedaten!$B$161)*(Geraetedaten!$B$175-Geraetedaten!$B$162)+Geraetedaten!$B$162</f>
        <v>29.13829821684644</v>
      </c>
      <c r="R298" s="21">
        <f t="shared" si="281"/>
        <v>29.13829821684644</v>
      </c>
      <c r="S298" s="21">
        <f t="shared" si="282"/>
        <v>-28.391485521280167</v>
      </c>
      <c r="T298" s="88">
        <f t="shared" si="283"/>
        <v>-6.5546909056655753</v>
      </c>
      <c r="U298" s="86">
        <f t="shared" si="284"/>
        <v>6094.9928799999998</v>
      </c>
      <c r="V298" s="85">
        <f t="shared" si="285"/>
        <v>-1346.4914747781525</v>
      </c>
      <c r="W298" s="85">
        <f t="shared" si="286"/>
        <v>1371.6899392125501</v>
      </c>
      <c r="X298" s="90">
        <f t="shared" si="287"/>
        <v>1346.4914747781525</v>
      </c>
      <c r="Y298" s="86">
        <f t="shared" si="288"/>
        <v>30043.911649999998</v>
      </c>
      <c r="Z298" s="85">
        <f t="shared" si="289"/>
        <v>-818.62113479844345</v>
      </c>
      <c r="AA298" s="85">
        <f t="shared" si="290"/>
        <v>2878.5335841171877</v>
      </c>
      <c r="AB298" s="90">
        <f t="shared" si="291"/>
        <v>818.62113479844345</v>
      </c>
      <c r="AC298" s="86">
        <f t="shared" si="292"/>
        <v>-6095.5833400000001</v>
      </c>
      <c r="AD298" s="85">
        <f t="shared" si="293"/>
        <v>3384.56104615708</v>
      </c>
      <c r="AE298" s="85">
        <f t="shared" si="294"/>
        <v>-3438.2444059813092</v>
      </c>
      <c r="AF298" s="90">
        <f t="shared" si="295"/>
        <v>3384.56104615708</v>
      </c>
      <c r="AG298" s="86">
        <f t="shared" si="296"/>
        <v>-37913.239070000003</v>
      </c>
      <c r="AH298" s="85">
        <f t="shared" si="297"/>
        <v>6139.2748628683721</v>
      </c>
      <c r="AI298" s="85">
        <f t="shared" si="298"/>
        <v>-26055.834475965574</v>
      </c>
      <c r="AJ298" s="90">
        <f t="shared" si="299"/>
        <v>6139.2748628683721</v>
      </c>
      <c r="AL298" s="95">
        <f t="shared" si="300"/>
        <v>0</v>
      </c>
      <c r="AM298" s="95">
        <f t="shared" si="301"/>
        <v>0</v>
      </c>
      <c r="AN298" s="95">
        <f t="shared" si="302"/>
        <v>0</v>
      </c>
      <c r="AO298" s="95">
        <f t="shared" si="303"/>
        <v>0</v>
      </c>
      <c r="AP298"/>
      <c r="AQ298" s="95">
        <f t="shared" si="304"/>
        <v>0</v>
      </c>
      <c r="AR298" s="95">
        <f t="shared" si="305"/>
        <v>0</v>
      </c>
      <c r="AS298" s="95">
        <f>Geraetedaten!$B$94*ABS(SIN(RADIANS($A298)))</f>
        <v>150.0529899769262</v>
      </c>
      <c r="AT298" s="95">
        <f>Geraetedaten!$B$94*ABS(COS(RADIANS($A298)))</f>
        <v>34.64246236895525</v>
      </c>
      <c r="AU298" s="95">
        <f>((h_Aw_Sw+Geraetedaten!$B$18)/1000)*(AQ298*AS298+AR298*AT298)/100</f>
        <v>0</v>
      </c>
    </row>
    <row r="299" spans="1:47" ht="13.5" x14ac:dyDescent="0.25">
      <c r="A299" s="16">
        <v>258</v>
      </c>
      <c r="B299" s="16">
        <f t="shared" si="272"/>
        <v>192</v>
      </c>
      <c r="C299" s="19">
        <f t="shared" si="273"/>
        <v>68.385719685240872</v>
      </c>
      <c r="D299" s="17">
        <f t="shared" si="274"/>
        <v>6048.2875703147593</v>
      </c>
      <c r="E299" s="17">
        <f t="shared" si="275"/>
        <v>31858.802220314759</v>
      </c>
      <c r="F299" s="17">
        <f t="shared" si="276"/>
        <v>-6183.9855496852406</v>
      </c>
      <c r="G299" s="17">
        <f t="shared" si="277"/>
        <v>-40929.202789685238</v>
      </c>
      <c r="H299" s="17">
        <f t="shared" si="278"/>
        <v>6048.2875703147593</v>
      </c>
      <c r="I299" s="17">
        <f t="shared" si="279"/>
        <v>1376.5691578205453</v>
      </c>
      <c r="J299" s="20">
        <f>(Geraetedaten!$B$152+(Geraetedaten!$B$153*(Geraetedaten!$B$18+d_y_Sw)/1000))*10</f>
        <v>6051.0442000000003</v>
      </c>
      <c r="K299" s="20">
        <f>(Geraetedaten!$B$165+(Geraetedaten!$B$166*(Geraetedaten!$B$18+d_y_Sw)/1000))*10</f>
        <v>10816.164000000001</v>
      </c>
      <c r="L299" s="20">
        <f>(Geraetedaten!$B$158+(Geraetedaten!$B$159*(Geraetedaten!$B$18+d_y_Sw)/1000)-(Geraetedaten!$B$160*I299/1000))*10</f>
        <v>500.59278365701914</v>
      </c>
      <c r="M299" s="20">
        <f>(Geraetedaten!$B$171+(Geraetedaten!$B$172*(Geraetedaten!$B$18+d_y_Sw)/1000)-(Geraetedaten!$B$173*I299/1000))*10</f>
        <v>962.39519189183954</v>
      </c>
      <c r="N299" s="20">
        <f>IF((H299-J299)/(K299-J299)*(Geraetedaten!$B$174-Geraetedaten!$B$161)&lt;Geraetedaten!$B$174,(H299-J299)/(K299-J299)*(Geraetedaten!$B$174-Geraetedaten!$B$161),Geraetedaten!$B$174)</f>
        <v>-0.23140066155239356</v>
      </c>
      <c r="O299" s="20">
        <f>N299/Geraetedaten!$B$174*(M299-L299)+L299+C299</f>
        <v>568.71134988532992</v>
      </c>
      <c r="P299" s="20">
        <f t="shared" si="280"/>
        <v>208.41053833805503</v>
      </c>
      <c r="Q299" s="21">
        <f>(N299-Geraetedaten!$B$161)/(Geraetedaten!$B$174-Geraetedaten!$B$161)*(Geraetedaten!$B$175-Geraetedaten!$B$162)+Geraetedaten!$B$162</f>
        <v>29.193115830318817</v>
      </c>
      <c r="R299" s="21">
        <f t="shared" si="281"/>
        <v>29.193115830318817</v>
      </c>
      <c r="S299" s="21">
        <f t="shared" si="282"/>
        <v>-28.55517620737043</v>
      </c>
      <c r="T299" s="88">
        <f t="shared" si="283"/>
        <v>-6.0695900725202945</v>
      </c>
      <c r="U299" s="86">
        <f t="shared" si="284"/>
        <v>6116.6732899999997</v>
      </c>
      <c r="V299" s="85">
        <f t="shared" si="285"/>
        <v>-1346.4914747781525</v>
      </c>
      <c r="W299" s="85">
        <f t="shared" si="286"/>
        <v>1376.5691578205453</v>
      </c>
      <c r="X299" s="90">
        <f t="shared" si="287"/>
        <v>1346.4914747781525</v>
      </c>
      <c r="Y299" s="86">
        <f t="shared" si="288"/>
        <v>31927.18794</v>
      </c>
      <c r="Z299" s="85">
        <f t="shared" si="289"/>
        <v>-818.62113479844345</v>
      </c>
      <c r="AA299" s="85">
        <f t="shared" si="290"/>
        <v>3058.9719402200067</v>
      </c>
      <c r="AB299" s="90">
        <f t="shared" si="291"/>
        <v>818.62113479844345</v>
      </c>
      <c r="AC299" s="86">
        <f t="shared" si="292"/>
        <v>-6115.5998300000001</v>
      </c>
      <c r="AD299" s="85">
        <f t="shared" si="293"/>
        <v>3384.56104615708</v>
      </c>
      <c r="AE299" s="85">
        <f t="shared" si="294"/>
        <v>-3449.5348067269824</v>
      </c>
      <c r="AF299" s="90">
        <f t="shared" si="295"/>
        <v>3384.56104615708</v>
      </c>
      <c r="AG299" s="86">
        <f t="shared" si="296"/>
        <v>-40860.817069999997</v>
      </c>
      <c r="AH299" s="85">
        <f t="shared" si="297"/>
        <v>6139.2748628683721</v>
      </c>
      <c r="AI299" s="85">
        <f t="shared" si="298"/>
        <v>-28081.55442049681</v>
      </c>
      <c r="AJ299" s="90">
        <f t="shared" si="299"/>
        <v>6139.2748628683721</v>
      </c>
      <c r="AL299" s="95">
        <f t="shared" si="300"/>
        <v>0</v>
      </c>
      <c r="AM299" s="95">
        <f t="shared" si="301"/>
        <v>0</v>
      </c>
      <c r="AN299" s="95">
        <f t="shared" si="302"/>
        <v>0</v>
      </c>
      <c r="AO299" s="95">
        <f t="shared" si="303"/>
        <v>0</v>
      </c>
      <c r="AP299"/>
      <c r="AQ299" s="95">
        <f t="shared" si="304"/>
        <v>0</v>
      </c>
      <c r="AR299" s="95">
        <f t="shared" si="305"/>
        <v>0</v>
      </c>
      <c r="AS299" s="95">
        <f>Geraetedaten!$B$94*ABS(SIN(RADIANS($A299)))</f>
        <v>150.63473051300605</v>
      </c>
      <c r="AT299" s="95">
        <f>Geraetedaten!$B$94*ABS(COS(RADIANS($A299)))</f>
        <v>32.01840038593501</v>
      </c>
      <c r="AU299" s="95">
        <f>((h_Aw_Sw+Geraetedaten!$B$18)/1000)*(AQ299*AS299+AR299*AT299)/100</f>
        <v>0</v>
      </c>
    </row>
    <row r="300" spans="1:47" ht="13.5" x14ac:dyDescent="0.25">
      <c r="A300" s="16">
        <v>259</v>
      </c>
      <c r="B300" s="16">
        <f t="shared" si="272"/>
        <v>191</v>
      </c>
      <c r="C300" s="19">
        <f t="shared" si="273"/>
        <v>68.094668871552614</v>
      </c>
      <c r="D300" s="17">
        <f t="shared" si="274"/>
        <v>6072.2909211284468</v>
      </c>
      <c r="E300" s="17">
        <f t="shared" si="275"/>
        <v>34005.335491128448</v>
      </c>
      <c r="F300" s="17">
        <f t="shared" si="276"/>
        <v>-6205.7186088715534</v>
      </c>
      <c r="G300" s="17">
        <f t="shared" si="277"/>
        <v>-44388.085158871552</v>
      </c>
      <c r="H300" s="17">
        <f t="shared" si="278"/>
        <v>6072.2909211284468</v>
      </c>
      <c r="I300" s="17">
        <f t="shared" si="279"/>
        <v>1381.9056564596096</v>
      </c>
      <c r="J300" s="20">
        <f>(Geraetedaten!$B$152+(Geraetedaten!$B$153*(Geraetedaten!$B$18+d_y_Sw)/1000))*10</f>
        <v>6051.0442000000003</v>
      </c>
      <c r="K300" s="20">
        <f>(Geraetedaten!$B$165+(Geraetedaten!$B$166*(Geraetedaten!$B$18+d_y_Sw)/1000))*10</f>
        <v>10816.164000000001</v>
      </c>
      <c r="L300" s="20">
        <f>(Geraetedaten!$B$158+(Geraetedaten!$B$159*(Geraetedaten!$B$18+d_y_Sw)/1000)-(Geraetedaten!$B$160*I300/1000))*10</f>
        <v>500.20145821181654</v>
      </c>
      <c r="M300" s="20">
        <f>(Geraetedaten!$B$171+(Geraetedaten!$B$172*(Geraetedaten!$B$18+d_y_Sw)/1000)-(Geraetedaten!$B$173*I300/1000))*10</f>
        <v>961.99794293314767</v>
      </c>
      <c r="N300" s="20">
        <f>IF((H300-J300)/(K300-J300)*(Geraetedaten!$B$174-Geraetedaten!$B$161)&lt;Geraetedaten!$B$174,(H300-J300)/(K300-J300)*(Geraetedaten!$B$174-Geraetedaten!$B$161),Geraetedaten!$B$174)</f>
        <v>1.7835204167120038</v>
      </c>
      <c r="O300" s="20">
        <f>N300/Geraetedaten!$B$174*(M300-L300)+L300+C300</f>
        <v>570.35518573053503</v>
      </c>
      <c r="P300" s="20">
        <f t="shared" si="280"/>
        <v>208.6034251514902</v>
      </c>
      <c r="Q300" s="21">
        <f>(N300-Geraetedaten!$B$161)/(Geraetedaten!$B$174-Geraetedaten!$B$161)*(Geraetedaten!$B$175-Geraetedaten!$B$162)+Geraetedaten!$B$162</f>
        <v>29.25305973239718</v>
      </c>
      <c r="R300" s="21">
        <f t="shared" si="281"/>
        <v>29.25305973239718</v>
      </c>
      <c r="S300" s="21">
        <f t="shared" si="282"/>
        <v>-28.715598632339319</v>
      </c>
      <c r="T300" s="88">
        <f t="shared" si="283"/>
        <v>-5.5817469392287569</v>
      </c>
      <c r="U300" s="86">
        <f t="shared" si="284"/>
        <v>6140.3855899999999</v>
      </c>
      <c r="V300" s="85">
        <f t="shared" si="285"/>
        <v>-1346.4914747781525</v>
      </c>
      <c r="W300" s="85">
        <f t="shared" si="286"/>
        <v>1381.9056564596096</v>
      </c>
      <c r="X300" s="90">
        <f t="shared" si="287"/>
        <v>1346.4914747781525</v>
      </c>
      <c r="Y300" s="86">
        <f t="shared" si="288"/>
        <v>34073.430160000004</v>
      </c>
      <c r="Z300" s="85">
        <f t="shared" si="289"/>
        <v>-818.62113479844345</v>
      </c>
      <c r="AA300" s="85">
        <f t="shared" si="290"/>
        <v>3264.605293629178</v>
      </c>
      <c r="AB300" s="90">
        <f t="shared" si="291"/>
        <v>818.62113479844345</v>
      </c>
      <c r="AC300" s="86">
        <f t="shared" si="292"/>
        <v>-6137.6239400000004</v>
      </c>
      <c r="AD300" s="85">
        <f t="shared" si="293"/>
        <v>3384.56104615708</v>
      </c>
      <c r="AE300" s="85">
        <f t="shared" si="294"/>
        <v>-3461.9576220272234</v>
      </c>
      <c r="AF300" s="90">
        <f t="shared" si="295"/>
        <v>3384.56104615708</v>
      </c>
      <c r="AG300" s="86">
        <f t="shared" si="296"/>
        <v>-44319.990489999996</v>
      </c>
      <c r="AH300" s="85">
        <f t="shared" si="297"/>
        <v>6139.2748628683721</v>
      </c>
      <c r="AI300" s="85">
        <f t="shared" si="298"/>
        <v>-30458.867793067431</v>
      </c>
      <c r="AJ300" s="90">
        <f t="shared" si="299"/>
        <v>6139.2748628683721</v>
      </c>
      <c r="AL300" s="95">
        <f t="shared" si="300"/>
        <v>0</v>
      </c>
      <c r="AM300" s="95">
        <f t="shared" si="301"/>
        <v>0</v>
      </c>
      <c r="AN300" s="95">
        <f t="shared" si="302"/>
        <v>0</v>
      </c>
      <c r="AO300" s="95">
        <f t="shared" si="303"/>
        <v>0</v>
      </c>
      <c r="AP300"/>
      <c r="AQ300" s="95">
        <f t="shared" si="304"/>
        <v>0</v>
      </c>
      <c r="AR300" s="95">
        <f t="shared" si="305"/>
        <v>0</v>
      </c>
      <c r="AS300" s="95">
        <f>Geraetedaten!$B$94*ABS(SIN(RADIANS($A300)))</f>
        <v>151.17058625094026</v>
      </c>
      <c r="AT300" s="95">
        <f>Geraetedaten!$B$94*ABS(COS(RADIANS($A300)))</f>
        <v>29.384585287987871</v>
      </c>
      <c r="AU300" s="95">
        <f>((h_Aw_Sw+Geraetedaten!$B$18)/1000)*(AQ300*AS300+AR300*AT300)/100</f>
        <v>0</v>
      </c>
    </row>
    <row r="301" spans="1:47" ht="13.5" x14ac:dyDescent="0.25">
      <c r="A301" s="16">
        <v>260</v>
      </c>
      <c r="B301" s="16">
        <f t="shared" si="272"/>
        <v>190</v>
      </c>
      <c r="C301" s="19">
        <f t="shared" si="273"/>
        <v>67.782875762078234</v>
      </c>
      <c r="D301" s="17">
        <f t="shared" si="274"/>
        <v>6098.3851542379216</v>
      </c>
      <c r="E301" s="17">
        <f t="shared" si="275"/>
        <v>36473.171574237917</v>
      </c>
      <c r="F301" s="17">
        <f t="shared" si="276"/>
        <v>-6229.4738357620781</v>
      </c>
      <c r="G301" s="17">
        <f t="shared" si="277"/>
        <v>-48502.923705762078</v>
      </c>
      <c r="H301" s="17">
        <f t="shared" si="278"/>
        <v>6098.3851542379216</v>
      </c>
      <c r="I301" s="17">
        <f t="shared" si="279"/>
        <v>1387.7080461605565</v>
      </c>
      <c r="J301" s="20">
        <f>(Geraetedaten!$B$152+(Geraetedaten!$B$153*(Geraetedaten!$B$18+d_y_Sw)/1000))*10</f>
        <v>6051.0442000000003</v>
      </c>
      <c r="K301" s="20">
        <f>(Geraetedaten!$B$165+(Geraetedaten!$B$166*(Geraetedaten!$B$18+d_y_Sw)/1000))*10</f>
        <v>10816.164000000001</v>
      </c>
      <c r="L301" s="20">
        <f>(Geraetedaten!$B$158+(Geraetedaten!$B$159*(Geraetedaten!$B$18+d_y_Sw)/1000)-(Geraetedaten!$B$160*I301/1000))*10</f>
        <v>499.77596897504611</v>
      </c>
      <c r="M301" s="20">
        <f>(Geraetedaten!$B$171+(Geraetedaten!$B$172*(Geraetedaten!$B$18+d_y_Sw)/1000)-(Geraetedaten!$B$173*I301/1000))*10</f>
        <v>961.56601304380911</v>
      </c>
      <c r="N301" s="20">
        <f>IF((H301-J301)/(K301-J301)*(Geraetedaten!$B$174-Geraetedaten!$B$161)&lt;Geraetedaten!$B$174,(H301-J301)/(K301-J301)*(Geraetedaten!$B$174-Geraetedaten!$B$161),Geraetedaten!$B$174)</f>
        <v>3.9739571070529069</v>
      </c>
      <c r="O301" s="20">
        <f>N301/Geraetedaten!$B$174*(M301-L301)+L301+C301</f>
        <v>572.14667930610767</v>
      </c>
      <c r="P301" s="20">
        <f t="shared" si="280"/>
        <v>208.81389621714146</v>
      </c>
      <c r="Q301" s="21">
        <f>(N301-Geraetedaten!$B$161)/(Geraetedaten!$B$174-Geraetedaten!$B$161)*(Geraetedaten!$B$175-Geraetedaten!$B$162)+Geraetedaten!$B$162</f>
        <v>29.318225223934824</v>
      </c>
      <c r="R301" s="21">
        <f t="shared" si="281"/>
        <v>29.318225223934824</v>
      </c>
      <c r="S301" s="21">
        <f t="shared" si="282"/>
        <v>-28.872815505089093</v>
      </c>
      <c r="T301" s="88">
        <f t="shared" si="283"/>
        <v>-5.0910563825649131</v>
      </c>
      <c r="U301" s="86">
        <f t="shared" si="284"/>
        <v>6166.1680299999998</v>
      </c>
      <c r="V301" s="85">
        <f t="shared" si="285"/>
        <v>-1346.4914747781525</v>
      </c>
      <c r="W301" s="85">
        <f t="shared" si="286"/>
        <v>1387.7080461605565</v>
      </c>
      <c r="X301" s="90">
        <f t="shared" si="287"/>
        <v>1346.4914747781525</v>
      </c>
      <c r="Y301" s="86">
        <f t="shared" si="288"/>
        <v>36540.954449999997</v>
      </c>
      <c r="Z301" s="85">
        <f t="shared" si="289"/>
        <v>-818.62113479844345</v>
      </c>
      <c r="AA301" s="85">
        <f t="shared" si="290"/>
        <v>3501.0209655137382</v>
      </c>
      <c r="AB301" s="90">
        <f t="shared" si="291"/>
        <v>818.62113479844345</v>
      </c>
      <c r="AC301" s="86">
        <f t="shared" si="292"/>
        <v>-6161.6909599999999</v>
      </c>
      <c r="AD301" s="85">
        <f t="shared" si="293"/>
        <v>3384.56104615708</v>
      </c>
      <c r="AE301" s="85">
        <f t="shared" si="294"/>
        <v>-3475.5327446859205</v>
      </c>
      <c r="AF301" s="90">
        <f t="shared" si="295"/>
        <v>3384.56104615708</v>
      </c>
      <c r="AG301" s="86">
        <f t="shared" si="296"/>
        <v>-48435.140829999997</v>
      </c>
      <c r="AH301" s="85">
        <f t="shared" si="297"/>
        <v>6139.2748628683721</v>
      </c>
      <c r="AI301" s="85">
        <f t="shared" si="298"/>
        <v>-33287.000617783859</v>
      </c>
      <c r="AJ301" s="90">
        <f t="shared" si="299"/>
        <v>6139.2748628683721</v>
      </c>
      <c r="AL301" s="95">
        <f t="shared" si="300"/>
        <v>0</v>
      </c>
      <c r="AM301" s="95">
        <f t="shared" si="301"/>
        <v>0</v>
      </c>
      <c r="AN301" s="95">
        <f t="shared" si="302"/>
        <v>0</v>
      </c>
      <c r="AO301" s="95">
        <f t="shared" si="303"/>
        <v>0</v>
      </c>
      <c r="AP301"/>
      <c r="AQ301" s="95">
        <f t="shared" si="304"/>
        <v>0</v>
      </c>
      <c r="AR301" s="95">
        <f t="shared" si="305"/>
        <v>0</v>
      </c>
      <c r="AS301" s="95">
        <f>Geraetedaten!$B$94*ABS(SIN(RADIANS($A301)))</f>
        <v>151.66039396388004</v>
      </c>
      <c r="AT301" s="95">
        <f>Geraetedaten!$B$94*ABS(COS(RADIANS($A301)))</f>
        <v>26.741819360707272</v>
      </c>
      <c r="AU301" s="95">
        <f>((h_Aw_Sw+Geraetedaten!$B$18)/1000)*(AQ301*AS301+AR301*AT301)/100</f>
        <v>0</v>
      </c>
    </row>
    <row r="302" spans="1:47" ht="13.5" x14ac:dyDescent="0.25">
      <c r="A302" s="16">
        <v>261</v>
      </c>
      <c r="B302" s="16">
        <f t="shared" si="272"/>
        <v>189</v>
      </c>
      <c r="C302" s="19">
        <f t="shared" si="273"/>
        <v>67.450435332019254</v>
      </c>
      <c r="D302" s="17">
        <f t="shared" si="274"/>
        <v>6126.6121946679814</v>
      </c>
      <c r="E302" s="17">
        <f t="shared" si="275"/>
        <v>39339.256364667977</v>
      </c>
      <c r="F302" s="17">
        <f t="shared" si="276"/>
        <v>-6255.2902053320186</v>
      </c>
      <c r="G302" s="17">
        <f t="shared" si="277"/>
        <v>-53478.085365332023</v>
      </c>
      <c r="H302" s="17">
        <f t="shared" si="278"/>
        <v>6126.6121946679814</v>
      </c>
      <c r="I302" s="17">
        <f t="shared" si="279"/>
        <v>1393.985779842596</v>
      </c>
      <c r="J302" s="20">
        <f>(Geraetedaten!$B$152+(Geraetedaten!$B$153*(Geraetedaten!$B$18+d_y_Sw)/1000))*10</f>
        <v>6051.0442000000003</v>
      </c>
      <c r="K302" s="20">
        <f>(Geraetedaten!$B$165+(Geraetedaten!$B$166*(Geraetedaten!$B$18+d_y_Sw)/1000))*10</f>
        <v>10816.164000000001</v>
      </c>
      <c r="L302" s="20">
        <f>(Geraetedaten!$B$158+(Geraetedaten!$B$159*(Geraetedaten!$B$18+d_y_Sw)/1000)-(Geraetedaten!$B$160*I302/1000))*10</f>
        <v>499.31562276414218</v>
      </c>
      <c r="M302" s="20">
        <f>(Geraetedaten!$B$171+(Geraetedaten!$B$172*(Geraetedaten!$B$18+d_y_Sw)/1000)-(Geraetedaten!$B$173*I302/1000))*10</f>
        <v>961.09869854851809</v>
      </c>
      <c r="N302" s="20">
        <f>IF((H302-J302)/(K302-J302)*(Geraetedaten!$B$174-Geraetedaten!$B$161)&lt;Geraetedaten!$B$174,(H302-J302)/(K302-J302)*(Geraetedaten!$B$174-Geraetedaten!$B$161),Geraetedaten!$B$174)</f>
        <v>6.3434287354522416</v>
      </c>
      <c r="O302" s="20">
        <f>N302/Geraetedaten!$B$174*(M302-L302)+L302+C302</f>
        <v>574.08927817735173</v>
      </c>
      <c r="P302" s="20">
        <f t="shared" si="280"/>
        <v>209.04227653810921</v>
      </c>
      <c r="Q302" s="21">
        <f>(N302-Geraetedaten!$B$161)/(Geraetedaten!$B$174-Geraetedaten!$B$161)*(Geraetedaten!$B$175-Geraetedaten!$B$162)+Geraetedaten!$B$162</f>
        <v>29.388717004879702</v>
      </c>
      <c r="R302" s="21">
        <f t="shared" si="281"/>
        <v>29.388717004879702</v>
      </c>
      <c r="S302" s="21">
        <f t="shared" si="282"/>
        <v>-29.026893130769736</v>
      </c>
      <c r="T302" s="88">
        <f t="shared" si="283"/>
        <v>-4.5974082228770969</v>
      </c>
      <c r="U302" s="86">
        <f t="shared" si="284"/>
        <v>6194.0626300000004</v>
      </c>
      <c r="V302" s="85">
        <f t="shared" si="285"/>
        <v>-1346.4914747781525</v>
      </c>
      <c r="W302" s="85">
        <f t="shared" si="286"/>
        <v>1393.985779842596</v>
      </c>
      <c r="X302" s="90">
        <f t="shared" si="287"/>
        <v>1346.4914747781525</v>
      </c>
      <c r="Y302" s="86">
        <f t="shared" si="288"/>
        <v>39406.7068</v>
      </c>
      <c r="Z302" s="85">
        <f t="shared" si="289"/>
        <v>-818.62113479844345</v>
      </c>
      <c r="AA302" s="85">
        <f t="shared" si="290"/>
        <v>3775.5912171742866</v>
      </c>
      <c r="AB302" s="90">
        <f t="shared" si="291"/>
        <v>818.62113479844345</v>
      </c>
      <c r="AC302" s="86">
        <f t="shared" si="292"/>
        <v>-6187.8397699999996</v>
      </c>
      <c r="AD302" s="85">
        <f t="shared" si="293"/>
        <v>3384.56104615708</v>
      </c>
      <c r="AE302" s="85">
        <f t="shared" si="294"/>
        <v>-3490.2821078321249</v>
      </c>
      <c r="AF302" s="90">
        <f t="shared" si="295"/>
        <v>3384.56104615708</v>
      </c>
      <c r="AG302" s="86">
        <f t="shared" si="296"/>
        <v>-53410.63493</v>
      </c>
      <c r="AH302" s="85">
        <f t="shared" si="297"/>
        <v>6139.2748628683721</v>
      </c>
      <c r="AI302" s="85">
        <f t="shared" si="298"/>
        <v>-36706.403816286947</v>
      </c>
      <c r="AJ302" s="90">
        <f t="shared" si="299"/>
        <v>6139.2748628683721</v>
      </c>
      <c r="AL302" s="95">
        <f t="shared" si="300"/>
        <v>0</v>
      </c>
      <c r="AM302" s="95">
        <f t="shared" si="301"/>
        <v>0</v>
      </c>
      <c r="AN302" s="95">
        <f t="shared" si="302"/>
        <v>0</v>
      </c>
      <c r="AO302" s="95">
        <f t="shared" si="303"/>
        <v>0</v>
      </c>
      <c r="AP302"/>
      <c r="AQ302" s="95">
        <f t="shared" si="304"/>
        <v>0</v>
      </c>
      <c r="AR302" s="95">
        <f t="shared" si="305"/>
        <v>0</v>
      </c>
      <c r="AS302" s="95">
        <f>Geraetedaten!$B$94*ABS(SIN(RADIANS($A302)))</f>
        <v>152.10400445165121</v>
      </c>
      <c r="AT302" s="95">
        <f>Geraetedaten!$B$94*ABS(COS(RADIANS($A302)))</f>
        <v>24.09090761619558</v>
      </c>
      <c r="AU302" s="95">
        <f>((h_Aw_Sw+Geraetedaten!$B$18)/1000)*(AQ302*AS302+AR302*AT302)/100</f>
        <v>0</v>
      </c>
    </row>
    <row r="303" spans="1:47" ht="13.5" x14ac:dyDescent="0.25">
      <c r="A303" s="16">
        <v>262</v>
      </c>
      <c r="B303" s="16">
        <f t="shared" si="272"/>
        <v>188</v>
      </c>
      <c r="C303" s="19">
        <f t="shared" si="273"/>
        <v>67.097448845951121</v>
      </c>
      <c r="D303" s="17">
        <f t="shared" si="274"/>
        <v>6157.0178511540489</v>
      </c>
      <c r="E303" s="17">
        <f t="shared" si="275"/>
        <v>42707.249791154049</v>
      </c>
      <c r="F303" s="17">
        <f t="shared" si="276"/>
        <v>-6283.2104588459515</v>
      </c>
      <c r="G303" s="17">
        <f t="shared" si="277"/>
        <v>-59612.683858845958</v>
      </c>
      <c r="H303" s="17">
        <f t="shared" si="278"/>
        <v>6157.0178511540489</v>
      </c>
      <c r="I303" s="17">
        <f t="shared" si="279"/>
        <v>1400.7491910168483</v>
      </c>
      <c r="J303" s="20">
        <f>(Geraetedaten!$B$152+(Geraetedaten!$B$153*(Geraetedaten!$B$18+d_y_Sw)/1000))*10</f>
        <v>6051.0442000000003</v>
      </c>
      <c r="K303" s="20">
        <f>(Geraetedaten!$B$165+(Geraetedaten!$B$166*(Geraetedaten!$B$18+d_y_Sw)/1000))*10</f>
        <v>10816.164000000001</v>
      </c>
      <c r="L303" s="20">
        <f>(Geraetedaten!$B$158+(Geraetedaten!$B$159*(Geraetedaten!$B$18+d_y_Sw)/1000)-(Geraetedaten!$B$160*I303/1000))*10</f>
        <v>498.8196618227343</v>
      </c>
      <c r="M303" s="20">
        <f>(Geraetedaten!$B$171+(Geraetedaten!$B$172*(Geraetedaten!$B$18+d_y_Sw)/1000)-(Geraetedaten!$B$173*I303/1000))*10</f>
        <v>960.59523022070675</v>
      </c>
      <c r="N303" s="20">
        <f>IF((H303-J303)/(K303-J303)*(Geraetedaten!$B$174-Geraetedaten!$B$161)&lt;Geraetedaten!$B$174,(H303-J303)/(K303-J303)*(Geraetedaten!$B$174-Geraetedaten!$B$161),Geraetedaten!$B$174)</f>
        <v>8.8957806394750989</v>
      </c>
      <c r="O303" s="20">
        <f>N303/Geraetedaten!$B$174*(M303-L303)+L303+C303</f>
        <v>576.18674607152866</v>
      </c>
      <c r="P303" s="20">
        <f t="shared" si="280"/>
        <v>209.28891577707924</v>
      </c>
      <c r="Q303" s="21">
        <f>(N303-Geraetedaten!$B$161)/(Geraetedaten!$B$174-Geraetedaten!$B$161)*(Geraetedaten!$B$175-Geraetedaten!$B$162)+Geraetedaten!$B$162</f>
        <v>29.464649474024384</v>
      </c>
      <c r="R303" s="21">
        <f t="shared" si="281"/>
        <v>29.464649474024384</v>
      </c>
      <c r="S303" s="21">
        <f t="shared" si="282"/>
        <v>-29.177901530789452</v>
      </c>
      <c r="T303" s="88">
        <f t="shared" si="283"/>
        <v>-4.1006866360013463</v>
      </c>
      <c r="U303" s="86">
        <f t="shared" si="284"/>
        <v>6224.1153000000004</v>
      </c>
      <c r="V303" s="85">
        <f t="shared" si="285"/>
        <v>-1346.4914747781525</v>
      </c>
      <c r="W303" s="85">
        <f t="shared" si="286"/>
        <v>1400.7491910168483</v>
      </c>
      <c r="X303" s="90">
        <f t="shared" si="287"/>
        <v>1346.4914747781525</v>
      </c>
      <c r="Y303" s="86">
        <f t="shared" si="288"/>
        <v>42774.347240000003</v>
      </c>
      <c r="Z303" s="85">
        <f t="shared" si="289"/>
        <v>-818.62113479844345</v>
      </c>
      <c r="AA303" s="85">
        <f t="shared" si="290"/>
        <v>4098.247807487428</v>
      </c>
      <c r="AB303" s="90">
        <f t="shared" si="291"/>
        <v>818.62113479844345</v>
      </c>
      <c r="AC303" s="86">
        <f t="shared" si="292"/>
        <v>-6216.11301</v>
      </c>
      <c r="AD303" s="85">
        <f t="shared" si="293"/>
        <v>3384.56104615708</v>
      </c>
      <c r="AE303" s="85">
        <f t="shared" si="294"/>
        <v>-3506.2297736774181</v>
      </c>
      <c r="AF303" s="90">
        <f t="shared" si="295"/>
        <v>3384.56104615708</v>
      </c>
      <c r="AG303" s="86">
        <f t="shared" si="296"/>
        <v>-59545.586410000004</v>
      </c>
      <c r="AH303" s="85">
        <f t="shared" si="297"/>
        <v>6139.2748628683721</v>
      </c>
      <c r="AI303" s="85">
        <f t="shared" si="298"/>
        <v>-40922.642897664096</v>
      </c>
      <c r="AJ303" s="90">
        <f t="shared" si="299"/>
        <v>6139.2748628683721</v>
      </c>
      <c r="AL303" s="95">
        <f t="shared" si="300"/>
        <v>0</v>
      </c>
      <c r="AM303" s="95">
        <f t="shared" si="301"/>
        <v>0</v>
      </c>
      <c r="AN303" s="95">
        <f t="shared" si="302"/>
        <v>0</v>
      </c>
      <c r="AO303" s="95">
        <f t="shared" si="303"/>
        <v>0</v>
      </c>
      <c r="AP303"/>
      <c r="AQ303" s="95">
        <f t="shared" si="304"/>
        <v>0</v>
      </c>
      <c r="AR303" s="95">
        <f t="shared" si="305"/>
        <v>0</v>
      </c>
      <c r="AS303" s="95">
        <f>Geraetedaten!$B$94*ABS(SIN(RADIANS($A303)))</f>
        <v>152.50128258620182</v>
      </c>
      <c r="AT303" s="95">
        <f>Geraetedaten!$B$94*ABS(COS(RADIANS($A303)))</f>
        <v>21.432657547850138</v>
      </c>
      <c r="AU303" s="95">
        <f>((h_Aw_Sw+Geraetedaten!$B$18)/1000)*(AQ303*AS303+AR303*AT303)/100</f>
        <v>0</v>
      </c>
    </row>
    <row r="304" spans="1:47" ht="13.5" x14ac:dyDescent="0.25">
      <c r="A304" s="16">
        <v>263</v>
      </c>
      <c r="B304" s="16">
        <f t="shared" si="272"/>
        <v>187</v>
      </c>
      <c r="C304" s="19">
        <f t="shared" si="273"/>
        <v>66.724023826976889</v>
      </c>
      <c r="D304" s="17">
        <f t="shared" si="274"/>
        <v>6189.6520361730227</v>
      </c>
      <c r="E304" s="17">
        <f t="shared" si="275"/>
        <v>46720.21984617303</v>
      </c>
      <c r="F304" s="17">
        <f t="shared" si="276"/>
        <v>-6313.2813338269771</v>
      </c>
      <c r="G304" s="17">
        <f t="shared" si="277"/>
        <v>-67362.682753826972</v>
      </c>
      <c r="H304" s="17">
        <f t="shared" si="278"/>
        <v>6189.6520361730227</v>
      </c>
      <c r="I304" s="17">
        <f t="shared" si="279"/>
        <v>1408.0095367132105</v>
      </c>
      <c r="J304" s="20">
        <f>(Geraetedaten!$B$152+(Geraetedaten!$B$153*(Geraetedaten!$B$18+d_y_Sw)/1000))*10</f>
        <v>6051.0442000000003</v>
      </c>
      <c r="K304" s="20">
        <f>(Geraetedaten!$B$165+(Geraetedaten!$B$166*(Geraetedaten!$B$18+d_y_Sw)/1000))*10</f>
        <v>10816.164000000001</v>
      </c>
      <c r="L304" s="20">
        <f>(Geraetedaten!$B$158+(Geraetedaten!$B$159*(Geraetedaten!$B$18+d_y_Sw)/1000)-(Geraetedaten!$B$160*I304/1000))*10</f>
        <v>498.28726067282003</v>
      </c>
      <c r="M304" s="20">
        <f>(Geraetedaten!$B$171+(Geraetedaten!$B$172*(Geraetedaten!$B$18+d_y_Sw)/1000)-(Geraetedaten!$B$173*I304/1000))*10</f>
        <v>960.05477008706953</v>
      </c>
      <c r="N304" s="20">
        <f>IF((H304-J304)/(K304-J304)*(Geraetedaten!$B$174-Geraetedaten!$B$161)&lt;Geraetedaten!$B$174,(H304-J304)/(K304-J304)*(Geraetedaten!$B$174-Geraetedaten!$B$161),Geraetedaten!$B$174)</f>
        <v>11.63520263839095</v>
      </c>
      <c r="O304" s="20">
        <f>N304/Geraetedaten!$B$174*(M304-L304)+L304+C304</f>
        <v>578.44318085944667</v>
      </c>
      <c r="P304" s="20">
        <f t="shared" si="280"/>
        <v>209.55418907970798</v>
      </c>
      <c r="Q304" s="21">
        <f>(N304-Geraetedaten!$B$161)/(Geraetedaten!$B$174-Geraetedaten!$B$161)*(Geraetedaten!$B$175-Geraetedaten!$B$162)+Geraetedaten!$B$162</f>
        <v>29.546147278492128</v>
      </c>
      <c r="R304" s="21">
        <f t="shared" si="281"/>
        <v>29.546147278492128</v>
      </c>
      <c r="S304" s="21">
        <f t="shared" si="282"/>
        <v>-29.325914777095083</v>
      </c>
      <c r="T304" s="88">
        <f t="shared" si="283"/>
        <v>-3.6007695689816117</v>
      </c>
      <c r="U304" s="86">
        <f t="shared" si="284"/>
        <v>6256.3760599999996</v>
      </c>
      <c r="V304" s="85">
        <f t="shared" si="285"/>
        <v>-1346.4914747781525</v>
      </c>
      <c r="W304" s="85">
        <f t="shared" si="286"/>
        <v>1408.0095367132105</v>
      </c>
      <c r="X304" s="90">
        <f t="shared" si="287"/>
        <v>1346.4914747781525</v>
      </c>
      <c r="Y304" s="86">
        <f t="shared" si="288"/>
        <v>46786.943870000003</v>
      </c>
      <c r="Z304" s="85">
        <f t="shared" si="289"/>
        <v>-818.62113479844345</v>
      </c>
      <c r="AA304" s="85">
        <f t="shared" si="290"/>
        <v>4482.6982174376599</v>
      </c>
      <c r="AB304" s="90">
        <f t="shared" si="291"/>
        <v>818.62113479844345</v>
      </c>
      <c r="AC304" s="86">
        <f t="shared" si="292"/>
        <v>-6246.5573100000001</v>
      </c>
      <c r="AD304" s="85">
        <f t="shared" si="293"/>
        <v>3384.56104615708</v>
      </c>
      <c r="AE304" s="85">
        <f t="shared" si="294"/>
        <v>-3523.4020322276187</v>
      </c>
      <c r="AF304" s="90">
        <f t="shared" si="295"/>
        <v>3384.56104615708</v>
      </c>
      <c r="AG304" s="86">
        <f t="shared" si="296"/>
        <v>-67295.958729999998</v>
      </c>
      <c r="AH304" s="85">
        <f t="shared" si="297"/>
        <v>6139.2748628683721</v>
      </c>
      <c r="AI304" s="85">
        <f t="shared" si="298"/>
        <v>-46249.078281743787</v>
      </c>
      <c r="AJ304" s="90">
        <f t="shared" si="299"/>
        <v>6139.2748628683721</v>
      </c>
      <c r="AL304" s="95">
        <f t="shared" si="300"/>
        <v>0</v>
      </c>
      <c r="AM304" s="95">
        <f t="shared" si="301"/>
        <v>0</v>
      </c>
      <c r="AN304" s="95">
        <f t="shared" si="302"/>
        <v>0</v>
      </c>
      <c r="AO304" s="95">
        <f t="shared" si="303"/>
        <v>0</v>
      </c>
      <c r="AP304"/>
      <c r="AQ304" s="95">
        <f t="shared" si="304"/>
        <v>0</v>
      </c>
      <c r="AR304" s="95">
        <f t="shared" si="305"/>
        <v>0</v>
      </c>
      <c r="AS304" s="95">
        <f>Geraetedaten!$B$94*ABS(SIN(RADIANS($A304)))</f>
        <v>152.8521073527636</v>
      </c>
      <c r="AT304" s="95">
        <f>Geraetedaten!$B$94*ABS(COS(RADIANS($A304)))</f>
        <v>18.767878884392665</v>
      </c>
      <c r="AU304" s="95">
        <f>((h_Aw_Sw+Geraetedaten!$B$18)/1000)*(AQ304*AS304+AR304*AT304)/100</f>
        <v>0</v>
      </c>
    </row>
    <row r="305" spans="1:47" ht="13.5" x14ac:dyDescent="0.25">
      <c r="A305" s="16">
        <v>264</v>
      </c>
      <c r="B305" s="16">
        <f t="shared" si="272"/>
        <v>186</v>
      </c>
      <c r="C305" s="19">
        <f t="shared" si="273"/>
        <v>66.330274023974866</v>
      </c>
      <c r="D305" s="17">
        <f t="shared" si="274"/>
        <v>6224.5689659760246</v>
      </c>
      <c r="E305" s="17">
        <f t="shared" si="275"/>
        <v>51581.335115976028</v>
      </c>
      <c r="F305" s="17">
        <f t="shared" si="276"/>
        <v>-6345.5536840239747</v>
      </c>
      <c r="G305" s="17">
        <f t="shared" si="277"/>
        <v>-77459.216084023981</v>
      </c>
      <c r="H305" s="17">
        <f t="shared" si="278"/>
        <v>6224.5689659760246</v>
      </c>
      <c r="I305" s="17">
        <f t="shared" si="279"/>
        <v>1415.7790449727697</v>
      </c>
      <c r="J305" s="20">
        <f>(Geraetedaten!$B$152+(Geraetedaten!$B$153*(Geraetedaten!$B$18+d_y_Sw)/1000))*10</f>
        <v>6051.0442000000003</v>
      </c>
      <c r="K305" s="20">
        <f>(Geraetedaten!$B$165+(Geraetedaten!$B$166*(Geraetedaten!$B$18+d_y_Sw)/1000))*10</f>
        <v>10816.164000000001</v>
      </c>
      <c r="L305" s="20">
        <f>(Geraetedaten!$B$158+(Geraetedaten!$B$159*(Geraetedaten!$B$18+d_y_Sw)/1000)-(Geraetedaten!$B$160*I305/1000))*10</f>
        <v>497.71752263214648</v>
      </c>
      <c r="M305" s="20">
        <f>(Geraetedaten!$B$171+(Geraetedaten!$B$172*(Geraetedaten!$B$18+d_y_Sw)/1000)-(Geraetedaten!$B$173*I305/1000))*10</f>
        <v>959.47640789222805</v>
      </c>
      <c r="N305" s="20">
        <f>IF((H305-J305)/(K305-J305)*(Geraetedaten!$B$174-Geraetedaten!$B$161)&lt;Geraetedaten!$B$174,(H305-J305)/(K305-J305)*(Geraetedaten!$B$174-Geraetedaten!$B$161),Geraetedaten!$B$174)</f>
        <v>14.566245824587606</v>
      </c>
      <c r="O305" s="20">
        <f>N305/Geraetedaten!$B$174*(M305-L305)+L305+C305</f>
        <v>580.8630302420861</v>
      </c>
      <c r="P305" s="20">
        <f t="shared" si="280"/>
        <v>209.83849725126359</v>
      </c>
      <c r="Q305" s="21">
        <f>(N305-Geraetedaten!$B$161)/(Geraetedaten!$B$174-Geraetedaten!$B$161)*(Geraetedaten!$B$175-Geraetedaten!$B$162)+Geraetedaten!$B$162</f>
        <v>29.63334581328148</v>
      </c>
      <c r="R305" s="21">
        <f t="shared" si="281"/>
        <v>29.63334581328148</v>
      </c>
      <c r="S305" s="21">
        <f t="shared" si="282"/>
        <v>-29.471011244328185</v>
      </c>
      <c r="T305" s="88">
        <f t="shared" si="283"/>
        <v>-3.0975280993412628</v>
      </c>
      <c r="U305" s="86">
        <f t="shared" si="284"/>
        <v>6290.8992399999997</v>
      </c>
      <c r="V305" s="85">
        <f t="shared" si="285"/>
        <v>-1346.4914747781525</v>
      </c>
      <c r="W305" s="85">
        <f t="shared" si="286"/>
        <v>1415.7790449727697</v>
      </c>
      <c r="X305" s="90">
        <f t="shared" si="287"/>
        <v>1346.4914747781525</v>
      </c>
      <c r="Y305" s="86">
        <f t="shared" si="288"/>
        <v>51647.665390000002</v>
      </c>
      <c r="Z305" s="85">
        <f t="shared" si="289"/>
        <v>-818.62113479844345</v>
      </c>
      <c r="AA305" s="85">
        <f t="shared" si="290"/>
        <v>4948.408219015455</v>
      </c>
      <c r="AB305" s="90">
        <f t="shared" si="291"/>
        <v>818.62113479844345</v>
      </c>
      <c r="AC305" s="86">
        <f t="shared" si="292"/>
        <v>-6279.2234099999996</v>
      </c>
      <c r="AD305" s="85">
        <f t="shared" si="293"/>
        <v>3384.56104615708</v>
      </c>
      <c r="AE305" s="85">
        <f t="shared" si="294"/>
        <v>-3541.8275107236454</v>
      </c>
      <c r="AF305" s="90">
        <f t="shared" si="295"/>
        <v>3384.56104615708</v>
      </c>
      <c r="AG305" s="86">
        <f t="shared" si="296"/>
        <v>-77392.885810000007</v>
      </c>
      <c r="AH305" s="85">
        <f t="shared" si="297"/>
        <v>6139.2748628683721</v>
      </c>
      <c r="AI305" s="85">
        <f t="shared" si="298"/>
        <v>-53188.181012774643</v>
      </c>
      <c r="AJ305" s="90">
        <f t="shared" si="299"/>
        <v>6139.2748628683721</v>
      </c>
      <c r="AL305" s="95">
        <f t="shared" si="300"/>
        <v>0</v>
      </c>
      <c r="AM305" s="95">
        <f t="shared" si="301"/>
        <v>0</v>
      </c>
      <c r="AN305" s="95">
        <f t="shared" si="302"/>
        <v>0</v>
      </c>
      <c r="AO305" s="95">
        <f t="shared" si="303"/>
        <v>0</v>
      </c>
      <c r="AP305"/>
      <c r="AQ305" s="95">
        <f t="shared" si="304"/>
        <v>0</v>
      </c>
      <c r="AR305" s="95">
        <f t="shared" si="305"/>
        <v>0</v>
      </c>
      <c r="AS305" s="95">
        <f>Geraetedaten!$B$94*ABS(SIN(RADIANS($A305)))</f>
        <v>153.15637188671411</v>
      </c>
      <c r="AT305" s="95">
        <f>Geraetedaten!$B$94*ABS(COS(RADIANS($A305)))</f>
        <v>16.097383343218617</v>
      </c>
      <c r="AU305" s="95">
        <f>((h_Aw_Sw+Geraetedaten!$B$18)/1000)*(AQ305*AS305+AR305*AT305)/100</f>
        <v>0</v>
      </c>
    </row>
    <row r="306" spans="1:47" ht="13.5" x14ac:dyDescent="0.25">
      <c r="A306" s="16">
        <v>265</v>
      </c>
      <c r="B306" s="16">
        <f t="shared" si="272"/>
        <v>185</v>
      </c>
      <c r="C306" s="19">
        <f t="shared" si="273"/>
        <v>65.916319376949332</v>
      </c>
      <c r="D306" s="17">
        <f t="shared" si="274"/>
        <v>6261.8274006230513</v>
      </c>
      <c r="E306" s="17">
        <f t="shared" si="275"/>
        <v>57589.125600623054</v>
      </c>
      <c r="F306" s="17">
        <f t="shared" si="276"/>
        <v>-6380.0827393769487</v>
      </c>
      <c r="G306" s="17">
        <f t="shared" si="277"/>
        <v>-91153.046539376955</v>
      </c>
      <c r="H306" s="17">
        <f t="shared" si="278"/>
        <v>6261.8274006230513</v>
      </c>
      <c r="I306" s="17">
        <f t="shared" si="279"/>
        <v>1424.0709672916357</v>
      </c>
      <c r="J306" s="20">
        <f>(Geraetedaten!$B$152+(Geraetedaten!$B$153*(Geraetedaten!$B$18+d_y_Sw)/1000))*10</f>
        <v>6051.0442000000003</v>
      </c>
      <c r="K306" s="20">
        <f>(Geraetedaten!$B$165+(Geraetedaten!$B$166*(Geraetedaten!$B$18+d_y_Sw)/1000))*10</f>
        <v>10816.164000000001</v>
      </c>
      <c r="L306" s="20">
        <f>(Geraetedaten!$B$158+(Geraetedaten!$B$159*(Geraetedaten!$B$18+d_y_Sw)/1000)-(Geraetedaten!$B$160*I306/1000))*10</f>
        <v>497.10947596850411</v>
      </c>
      <c r="M306" s="20">
        <f>(Geraetedaten!$B$171+(Geraetedaten!$B$172*(Geraetedaten!$B$18+d_y_Sw)/1000)-(Geraetedaten!$B$173*I306/1000))*10</f>
        <v>958.85915719481159</v>
      </c>
      <c r="N306" s="20">
        <f>IF((H306-J306)/(K306-J306)*(Geraetedaten!$B$174-Geraetedaten!$B$161)&lt;Geraetedaten!$B$174,(H306-J306)/(K306-J306)*(Geraetedaten!$B$174-Geraetedaten!$B$161),Geraetedaten!$B$174)</f>
        <v>17.693842712877942</v>
      </c>
      <c r="O306" s="20">
        <f>N306/Geraetedaten!$B$174*(M306-L306)+L306+C306</f>
        <v>583.45111092630293</v>
      </c>
      <c r="P306" s="20">
        <f t="shared" si="280"/>
        <v>210.14226725965398</v>
      </c>
      <c r="Q306" s="21">
        <f>(N306-Geraetedaten!$B$161)/(Geraetedaten!$B$174-Geraetedaten!$B$161)*(Geraetedaten!$B$175-Geraetedaten!$B$162)+Geraetedaten!$B$162</f>
        <v>29.72639182070812</v>
      </c>
      <c r="R306" s="21">
        <f t="shared" si="281"/>
        <v>29.72639182070812</v>
      </c>
      <c r="S306" s="21">
        <f t="shared" si="282"/>
        <v>-29.613273925187258</v>
      </c>
      <c r="T306" s="88">
        <f t="shared" si="283"/>
        <v>-2.5908257583417291</v>
      </c>
      <c r="U306" s="86">
        <f t="shared" si="284"/>
        <v>6327.7437200000004</v>
      </c>
      <c r="V306" s="85">
        <f t="shared" si="285"/>
        <v>-1346.4914747781525</v>
      </c>
      <c r="W306" s="85">
        <f t="shared" si="286"/>
        <v>1424.0709672916357</v>
      </c>
      <c r="X306" s="90">
        <f t="shared" si="287"/>
        <v>1346.4914747781525</v>
      </c>
      <c r="Y306" s="86">
        <f t="shared" si="288"/>
        <v>57655.041920000003</v>
      </c>
      <c r="Z306" s="85">
        <f t="shared" si="289"/>
        <v>-818.62113479844345</v>
      </c>
      <c r="AA306" s="85">
        <f t="shared" si="290"/>
        <v>5523.980245316633</v>
      </c>
      <c r="AB306" s="90">
        <f t="shared" si="291"/>
        <v>818.62113479844345</v>
      </c>
      <c r="AC306" s="86">
        <f t="shared" si="292"/>
        <v>-6314.1664199999996</v>
      </c>
      <c r="AD306" s="85">
        <f t="shared" si="293"/>
        <v>3384.56104615708</v>
      </c>
      <c r="AE306" s="85">
        <f t="shared" si="294"/>
        <v>-3561.5372946862176</v>
      </c>
      <c r="AF306" s="90">
        <f t="shared" si="295"/>
        <v>3384.56104615708</v>
      </c>
      <c r="AG306" s="86">
        <f t="shared" si="296"/>
        <v>-91087.130220000006</v>
      </c>
      <c r="AH306" s="85">
        <f t="shared" si="297"/>
        <v>6139.2748628683721</v>
      </c>
      <c r="AI306" s="85">
        <f t="shared" si="298"/>
        <v>-62599.536375654483</v>
      </c>
      <c r="AJ306" s="90">
        <f t="shared" si="299"/>
        <v>6139.2748628683721</v>
      </c>
      <c r="AL306" s="95">
        <f t="shared" si="300"/>
        <v>0</v>
      </c>
      <c r="AM306" s="95">
        <f t="shared" si="301"/>
        <v>0</v>
      </c>
      <c r="AN306" s="95">
        <f t="shared" si="302"/>
        <v>0</v>
      </c>
      <c r="AO306" s="95">
        <f t="shared" si="303"/>
        <v>0</v>
      </c>
      <c r="AP306"/>
      <c r="AQ306" s="95">
        <f t="shared" si="304"/>
        <v>0</v>
      </c>
      <c r="AR306" s="95">
        <f t="shared" si="305"/>
        <v>0</v>
      </c>
      <c r="AS306" s="95">
        <f>Geraetedaten!$B$94*ABS(SIN(RADIANS($A306)))</f>
        <v>153.4139835061288</v>
      </c>
      <c r="AT306" s="95">
        <f>Geraetedaten!$B$94*ABS(COS(RADIANS($A306)))</f>
        <v>13.421984383139371</v>
      </c>
      <c r="AU306" s="95">
        <f>((h_Aw_Sw+Geraetedaten!$B$18)/1000)*(AQ306*AS306+AR306*AT306)/100</f>
        <v>0</v>
      </c>
    </row>
    <row r="307" spans="1:47" ht="13.5" x14ac:dyDescent="0.25">
      <c r="A307" s="16">
        <v>266</v>
      </c>
      <c r="B307" s="16">
        <f t="shared" si="272"/>
        <v>184</v>
      </c>
      <c r="C307" s="19">
        <f t="shared" si="273"/>
        <v>65.48228598049586</v>
      </c>
      <c r="D307" s="17">
        <f t="shared" si="274"/>
        <v>6301.4909140195041</v>
      </c>
      <c r="E307" s="17">
        <f t="shared" si="275"/>
        <v>65200.868634019498</v>
      </c>
      <c r="F307" s="17">
        <f t="shared" si="276"/>
        <v>-6416.9283459804965</v>
      </c>
      <c r="G307" s="17">
        <f t="shared" si="277"/>
        <v>-110775.9412759805</v>
      </c>
      <c r="H307" s="17">
        <f t="shared" si="278"/>
        <v>6301.4909140195041</v>
      </c>
      <c r="I307" s="17">
        <f t="shared" si="279"/>
        <v>1432.8996364508951</v>
      </c>
      <c r="J307" s="20">
        <f>(Geraetedaten!$B$152+(Geraetedaten!$B$153*(Geraetedaten!$B$18+d_y_Sw)/1000))*10</f>
        <v>6051.0442000000003</v>
      </c>
      <c r="K307" s="20">
        <f>(Geraetedaten!$B$165+(Geraetedaten!$B$166*(Geraetedaten!$B$18+d_y_Sw)/1000))*10</f>
        <v>10816.164000000001</v>
      </c>
      <c r="L307" s="20">
        <f>(Geraetedaten!$B$158+(Geraetedaten!$B$159*(Geraetedaten!$B$18+d_y_Sw)/1000)-(Geraetedaten!$B$160*I307/1000))*10</f>
        <v>496.4620696590556</v>
      </c>
      <c r="M307" s="20">
        <f>(Geraetedaten!$B$171+(Geraetedaten!$B$172*(Geraetedaten!$B$18+d_y_Sw)/1000)-(Geraetedaten!$B$173*I307/1000))*10</f>
        <v>958.20195106259632</v>
      </c>
      <c r="N307" s="20">
        <f>IF((H307-J307)/(K307-J307)*(Geraetedaten!$B$174-Geraetedaten!$B$161)&lt;Geraetedaten!$B$174,(H307-J307)/(K307-J307)*(Geraetedaten!$B$174-Geraetedaten!$B$161),Geraetedaten!$B$174)</f>
        <v>21.023329908264117</v>
      </c>
      <c r="O307" s="20">
        <f>N307/Geraetedaten!$B$174*(M307-L307)+L307+C307</f>
        <v>586.21263028592489</v>
      </c>
      <c r="P307" s="20">
        <f t="shared" si="280"/>
        <v>210.46595286216501</v>
      </c>
      <c r="Q307" s="21">
        <f>(N307-Geraetedaten!$B$161)/(Geraetedaten!$B$174-Geraetedaten!$B$161)*(Geraetedaten!$B$175-Geraetedaten!$B$162)+Geraetedaten!$B$162</f>
        <v>29.825444064770856</v>
      </c>
      <c r="R307" s="21">
        <f t="shared" si="281"/>
        <v>29.825444064770856</v>
      </c>
      <c r="S307" s="21">
        <f t="shared" si="282"/>
        <v>-29.752790782050649</v>
      </c>
      <c r="T307" s="88">
        <f t="shared" si="283"/>
        <v>-2.0805178058110743</v>
      </c>
      <c r="U307" s="86">
        <f t="shared" si="284"/>
        <v>6366.9732000000004</v>
      </c>
      <c r="V307" s="85">
        <f t="shared" si="285"/>
        <v>-1346.4914747781525</v>
      </c>
      <c r="W307" s="85">
        <f t="shared" si="286"/>
        <v>1432.8996364508951</v>
      </c>
      <c r="X307" s="90">
        <f t="shared" si="287"/>
        <v>1346.4914747781525</v>
      </c>
      <c r="Y307" s="86">
        <f t="shared" si="288"/>
        <v>65266.350919999997</v>
      </c>
      <c r="Z307" s="85">
        <f t="shared" si="289"/>
        <v>-818.62113479844345</v>
      </c>
      <c r="AA307" s="85">
        <f t="shared" si="290"/>
        <v>6253.2264502034614</v>
      </c>
      <c r="AB307" s="90">
        <f t="shared" si="291"/>
        <v>818.62113479844345</v>
      </c>
      <c r="AC307" s="86">
        <f t="shared" si="292"/>
        <v>-6351.4460600000002</v>
      </c>
      <c r="AD307" s="85">
        <f t="shared" si="293"/>
        <v>3384.56104615708</v>
      </c>
      <c r="AE307" s="85">
        <f t="shared" si="294"/>
        <v>-3582.565061550531</v>
      </c>
      <c r="AF307" s="90">
        <f t="shared" si="295"/>
        <v>3384.56104615708</v>
      </c>
      <c r="AG307" s="86">
        <f t="shared" si="296"/>
        <v>-110710.45899</v>
      </c>
      <c r="AH307" s="85">
        <f t="shared" si="297"/>
        <v>6139.2748628683721</v>
      </c>
      <c r="AI307" s="85">
        <f t="shared" si="298"/>
        <v>-76085.648845973134</v>
      </c>
      <c r="AJ307" s="90">
        <f t="shared" si="299"/>
        <v>6139.2748628683721</v>
      </c>
      <c r="AL307" s="95">
        <f t="shared" si="300"/>
        <v>0</v>
      </c>
      <c r="AM307" s="95">
        <f t="shared" si="301"/>
        <v>0</v>
      </c>
      <c r="AN307" s="95">
        <f t="shared" si="302"/>
        <v>0</v>
      </c>
      <c r="AO307" s="95">
        <f t="shared" si="303"/>
        <v>0</v>
      </c>
      <c r="AP307"/>
      <c r="AQ307" s="95">
        <f t="shared" si="304"/>
        <v>0</v>
      </c>
      <c r="AR307" s="95">
        <f t="shared" si="305"/>
        <v>0</v>
      </c>
      <c r="AS307" s="95">
        <f>Geraetedaten!$B$94*ABS(SIN(RADIANS($A307)))</f>
        <v>153.62486374001293</v>
      </c>
      <c r="AT307" s="95">
        <f>Geraetedaten!$B$94*ABS(COS(RADIANS($A307)))</f>
        <v>10.742496956595339</v>
      </c>
      <c r="AU307" s="95">
        <f>((h_Aw_Sw+Geraetedaten!$B$18)/1000)*(AQ307*AS307+AR307*AT307)/100</f>
        <v>0</v>
      </c>
    </row>
    <row r="308" spans="1:47" ht="13.5" x14ac:dyDescent="0.25">
      <c r="A308" s="16">
        <v>267</v>
      </c>
      <c r="B308" s="16">
        <f t="shared" si="272"/>
        <v>183</v>
      </c>
      <c r="C308" s="19">
        <f t="shared" si="273"/>
        <v>65.028306045391588</v>
      </c>
      <c r="D308" s="17">
        <f t="shared" si="274"/>
        <v>6343.6281339546085</v>
      </c>
      <c r="E308" s="17">
        <f t="shared" si="275"/>
        <v>75154.284893954609</v>
      </c>
      <c r="F308" s="17">
        <f t="shared" si="276"/>
        <v>-6456.155186045391</v>
      </c>
      <c r="G308" s="17">
        <f t="shared" si="277"/>
        <v>-141230.4094760454</v>
      </c>
      <c r="H308" s="17">
        <f t="shared" si="278"/>
        <v>6343.6281339546085</v>
      </c>
      <c r="I308" s="17">
        <f t="shared" si="279"/>
        <v>1442.2805302222228</v>
      </c>
      <c r="J308" s="20">
        <f>(Geraetedaten!$B$152+(Geraetedaten!$B$153*(Geraetedaten!$B$18+d_y_Sw)/1000))*10</f>
        <v>6051.0442000000003</v>
      </c>
      <c r="K308" s="20">
        <f>(Geraetedaten!$B$165+(Geraetedaten!$B$166*(Geraetedaten!$B$18+d_y_Sw)/1000))*10</f>
        <v>10816.164000000001</v>
      </c>
      <c r="L308" s="20">
        <f>(Geraetedaten!$B$158+(Geraetedaten!$B$159*(Geraetedaten!$B$18+d_y_Sw)/1000)-(Geraetedaten!$B$160*I308/1000))*10</f>
        <v>495.77416871880416</v>
      </c>
      <c r="M308" s="20">
        <f>(Geraetedaten!$B$171+(Geraetedaten!$B$172*(Geraetedaten!$B$18+d_y_Sw)/1000)-(Geraetedaten!$B$173*I308/1000))*10</f>
        <v>957.5036373302587</v>
      </c>
      <c r="N308" s="20">
        <f>IF((H308-J308)/(K308-J308)*(Geraetedaten!$B$174-Geraetedaten!$B$161)&lt;Geraetedaten!$B$174,(H308-J308)/(K308-J308)*(Geraetedaten!$B$174-Geraetedaten!$B$161),Geraetedaten!$B$174)</f>
        <v>24.560468255560604</v>
      </c>
      <c r="O308" s="20">
        <f>N308/Geraetedaten!$B$174*(M308-L308)+L308+C308</f>
        <v>589.15320465541697</v>
      </c>
      <c r="P308" s="20">
        <f t="shared" si="280"/>
        <v>210.81003434565255</v>
      </c>
      <c r="Q308" s="21">
        <f>(N308-Geraetedaten!$B$161)/(Geraetedaten!$B$174-Geraetedaten!$B$161)*(Geraetedaten!$B$175-Geraetedaten!$B$162)+Geraetedaten!$B$162</f>
        <v>29.930673930602929</v>
      </c>
      <c r="R308" s="21">
        <f t="shared" si="281"/>
        <v>29.930673930602929</v>
      </c>
      <c r="S308" s="21">
        <f t="shared" si="282"/>
        <v>-29.889654982208853</v>
      </c>
      <c r="T308" s="88">
        <f t="shared" si="283"/>
        <v>-1.5664504411538687</v>
      </c>
      <c r="U308" s="86">
        <f t="shared" si="284"/>
        <v>6408.6564399999997</v>
      </c>
      <c r="V308" s="85">
        <f t="shared" si="285"/>
        <v>-1346.4914747781525</v>
      </c>
      <c r="W308" s="85">
        <f t="shared" si="286"/>
        <v>1442.2805302222228</v>
      </c>
      <c r="X308" s="90">
        <f t="shared" si="287"/>
        <v>1346.4914747781525</v>
      </c>
      <c r="Y308" s="86">
        <f t="shared" si="288"/>
        <v>75219.313200000004</v>
      </c>
      <c r="Z308" s="85">
        <f t="shared" si="289"/>
        <v>-818.62113479844345</v>
      </c>
      <c r="AA308" s="85">
        <f t="shared" si="290"/>
        <v>7206.8285156052989</v>
      </c>
      <c r="AB308" s="90">
        <f t="shared" si="291"/>
        <v>818.62113479844345</v>
      </c>
      <c r="AC308" s="86">
        <f t="shared" si="292"/>
        <v>-6391.1268799999998</v>
      </c>
      <c r="AD308" s="85">
        <f t="shared" si="293"/>
        <v>3384.56104615708</v>
      </c>
      <c r="AE308" s="85">
        <f t="shared" si="294"/>
        <v>-3604.947228001784</v>
      </c>
      <c r="AF308" s="90">
        <f t="shared" si="295"/>
        <v>3384.56104615708</v>
      </c>
      <c r="AG308" s="86">
        <f t="shared" si="296"/>
        <v>-141165.38117000001</v>
      </c>
      <c r="AH308" s="85">
        <f t="shared" si="297"/>
        <v>6139.2748628683721</v>
      </c>
      <c r="AI308" s="85">
        <f t="shared" si="298"/>
        <v>-97015.762729086477</v>
      </c>
      <c r="AJ308" s="90">
        <f t="shared" si="299"/>
        <v>6139.2748628683721</v>
      </c>
      <c r="AL308" s="95">
        <f t="shared" si="300"/>
        <v>0</v>
      </c>
      <c r="AM308" s="95">
        <f t="shared" si="301"/>
        <v>0</v>
      </c>
      <c r="AN308" s="95">
        <f t="shared" si="302"/>
        <v>0</v>
      </c>
      <c r="AO308" s="95">
        <f t="shared" si="303"/>
        <v>0</v>
      </c>
      <c r="AP308"/>
      <c r="AQ308" s="95">
        <f t="shared" si="304"/>
        <v>0</v>
      </c>
      <c r="AR308" s="95">
        <f t="shared" si="305"/>
        <v>0</v>
      </c>
      <c r="AS308" s="95">
        <f>Geraetedaten!$B$94*ABS(SIN(RADIANS($A308)))</f>
        <v>153.78894835220436</v>
      </c>
      <c r="AT308" s="95">
        <f>Geraetedaten!$B$94*ABS(COS(RADIANS($A308)))</f>
        <v>8.0597372614134226</v>
      </c>
      <c r="AU308" s="95">
        <f>((h_Aw_Sw+Geraetedaten!$B$18)/1000)*(AQ308*AS308+AR308*AT308)/100</f>
        <v>0</v>
      </c>
    </row>
    <row r="309" spans="1:47" ht="13.5" x14ac:dyDescent="0.25">
      <c r="A309" s="16">
        <v>268</v>
      </c>
      <c r="B309" s="16">
        <f t="shared" si="272"/>
        <v>182</v>
      </c>
      <c r="C309" s="19">
        <f t="shared" si="273"/>
        <v>64.554517858322512</v>
      </c>
      <c r="D309" s="17">
        <f t="shared" si="274"/>
        <v>6388.3130921416778</v>
      </c>
      <c r="E309" s="17">
        <f t="shared" si="275"/>
        <v>88721.458172141676</v>
      </c>
      <c r="F309" s="17">
        <f t="shared" si="276"/>
        <v>-6497.8331078583224</v>
      </c>
      <c r="G309" s="17">
        <f t="shared" si="277"/>
        <v>-194880.44677785831</v>
      </c>
      <c r="H309" s="17">
        <f t="shared" si="278"/>
        <v>6388.3130921416778</v>
      </c>
      <c r="I309" s="17">
        <f t="shared" si="279"/>
        <v>1452.2303415004119</v>
      </c>
      <c r="J309" s="20">
        <f>(Geraetedaten!$B$152+(Geraetedaten!$B$153*(Geraetedaten!$B$18+d_y_Sw)/1000))*10</f>
        <v>6051.0442000000003</v>
      </c>
      <c r="K309" s="20">
        <f>(Geraetedaten!$B$165+(Geraetedaten!$B$166*(Geraetedaten!$B$18+d_y_Sw)/1000))*10</f>
        <v>10816.164000000001</v>
      </c>
      <c r="L309" s="20">
        <f>(Geraetedaten!$B$158+(Geraetedaten!$B$159*(Geraetedaten!$B$18+d_y_Sw)/1000)-(Geraetedaten!$B$160*I309/1000))*10</f>
        <v>495.04454905777459</v>
      </c>
      <c r="M309" s="20">
        <f>(Geraetedaten!$B$171+(Geraetedaten!$B$172*(Geraetedaten!$B$18+d_y_Sw)/1000)-(Geraetedaten!$B$173*I309/1000))*10</f>
        <v>956.76297337871029</v>
      </c>
      <c r="N309" s="20">
        <f>IF((H309-J309)/(K309-J309)*(Geraetedaten!$B$174-Geraetedaten!$B$161)&lt;Geraetedaten!$B$174,(H309-J309)/(K309-J309)*(Geraetedaten!$B$174-Geraetedaten!$B$161),Geraetedaten!$B$174)</f>
        <v>28.311472222937812</v>
      </c>
      <c r="O309" s="20">
        <f>N309/Geraetedaten!$B$174*(M309-L309)+L309+C309</f>
        <v>592.27888777854901</v>
      </c>
      <c r="P309" s="20">
        <f t="shared" si="280"/>
        <v>211.1750196300236</v>
      </c>
      <c r="Q309" s="21">
        <f>(N309-Geraetedaten!$B$161)/(Geraetedaten!$B$174-Geraetedaten!$B$161)*(Geraetedaten!$B$175-Geraetedaten!$B$162)+Geraetedaten!$B$162</f>
        <v>30.042266298632399</v>
      </c>
      <c r="R309" s="21">
        <f t="shared" si="281"/>
        <v>30.042266298632399</v>
      </c>
      <c r="S309" s="21">
        <f t="shared" si="282"/>
        <v>-30.02396536171814</v>
      </c>
      <c r="T309" s="88">
        <f t="shared" si="283"/>
        <v>-1.0484599736247711</v>
      </c>
      <c r="U309" s="86">
        <f t="shared" si="284"/>
        <v>6452.8676100000002</v>
      </c>
      <c r="V309" s="85">
        <f t="shared" si="285"/>
        <v>-1346.4914747781525</v>
      </c>
      <c r="W309" s="85">
        <f t="shared" si="286"/>
        <v>1452.2303415004119</v>
      </c>
      <c r="X309" s="90">
        <f t="shared" si="287"/>
        <v>1346.4914747781525</v>
      </c>
      <c r="Y309" s="86">
        <f t="shared" si="288"/>
        <v>88786.012690000003</v>
      </c>
      <c r="Z309" s="85">
        <f t="shared" si="289"/>
        <v>-818.62113479844345</v>
      </c>
      <c r="AA309" s="85">
        <f t="shared" si="290"/>
        <v>8506.665918786668</v>
      </c>
      <c r="AB309" s="90">
        <f t="shared" si="291"/>
        <v>818.62113479844345</v>
      </c>
      <c r="AC309" s="86">
        <f t="shared" si="292"/>
        <v>-6433.2785899999999</v>
      </c>
      <c r="AD309" s="85">
        <f t="shared" si="293"/>
        <v>3384.56104615708</v>
      </c>
      <c r="AE309" s="85">
        <f t="shared" si="294"/>
        <v>-3628.7231122624903</v>
      </c>
      <c r="AF309" s="90">
        <f t="shared" si="295"/>
        <v>3384.56104615708</v>
      </c>
      <c r="AG309" s="86">
        <f t="shared" si="296"/>
        <v>-194815.89225999999</v>
      </c>
      <c r="AH309" s="85">
        <f t="shared" si="297"/>
        <v>6139.2748628683721</v>
      </c>
      <c r="AI309" s="85">
        <f t="shared" si="298"/>
        <v>-133887.02118654945</v>
      </c>
      <c r="AJ309" s="90">
        <f t="shared" si="299"/>
        <v>6139.2748628683721</v>
      </c>
      <c r="AL309" s="95">
        <f t="shared" si="300"/>
        <v>0</v>
      </c>
      <c r="AM309" s="95">
        <f t="shared" si="301"/>
        <v>0</v>
      </c>
      <c r="AN309" s="95">
        <f t="shared" si="302"/>
        <v>0</v>
      </c>
      <c r="AO309" s="95">
        <f t="shared" si="303"/>
        <v>0</v>
      </c>
      <c r="AP309"/>
      <c r="AQ309" s="95">
        <f t="shared" si="304"/>
        <v>0</v>
      </c>
      <c r="AR309" s="95">
        <f t="shared" si="305"/>
        <v>0</v>
      </c>
      <c r="AS309" s="95">
        <f>Geraetedaten!$B$94*ABS(SIN(RADIANS($A309)))</f>
        <v>153.90618736094075</v>
      </c>
      <c r="AT309" s="95">
        <f>Geraetedaten!$B$94*ABS(COS(RADIANS($A309)))</f>
        <v>5.3745224921851174</v>
      </c>
      <c r="AU309" s="95">
        <f>((h_Aw_Sw+Geraetedaten!$B$18)/1000)*(AQ309*AS309+AR309*AT309)/100</f>
        <v>0</v>
      </c>
    </row>
    <row r="310" spans="1:47" ht="13.5" x14ac:dyDescent="0.25">
      <c r="A310" s="16">
        <v>269</v>
      </c>
      <c r="B310" s="16">
        <f t="shared" si="272"/>
        <v>181</v>
      </c>
      <c r="C310" s="19">
        <f t="shared" si="273"/>
        <v>64.061065739760167</v>
      </c>
      <c r="D310" s="17">
        <f t="shared" si="274"/>
        <v>6435.6255842602395</v>
      </c>
      <c r="E310" s="17">
        <f t="shared" si="275"/>
        <v>108299.64618426024</v>
      </c>
      <c r="F310" s="17">
        <f t="shared" si="276"/>
        <v>-6542.0374257397598</v>
      </c>
      <c r="G310" s="17">
        <f t="shared" si="277"/>
        <v>-314465.24823573977</v>
      </c>
      <c r="H310" s="17">
        <f t="shared" si="278"/>
        <v>6435.6255842602395</v>
      </c>
      <c r="I310" s="17">
        <f t="shared" si="279"/>
        <v>1462.7670554837534</v>
      </c>
      <c r="J310" s="20">
        <f>(Geraetedaten!$B$152+(Geraetedaten!$B$153*(Geraetedaten!$B$18+d_y_Sw)/1000))*10</f>
        <v>6051.0442000000003</v>
      </c>
      <c r="K310" s="20">
        <f>(Geraetedaten!$B$165+(Geraetedaten!$B$166*(Geraetedaten!$B$18+d_y_Sw)/1000))*10</f>
        <v>10816.164000000001</v>
      </c>
      <c r="L310" s="20">
        <f>(Geraetedaten!$B$158+(Geraetedaten!$B$159*(Geraetedaten!$B$18+d_y_Sw)/1000)-(Geraetedaten!$B$160*I310/1000))*10</f>
        <v>494.27189182137613</v>
      </c>
      <c r="M310" s="20">
        <f>(Geraetedaten!$B$171+(Geraetedaten!$B$172*(Geraetedaten!$B$18+d_y_Sw)/1000)-(Geraetedaten!$B$173*I310/1000))*10</f>
        <v>955.97862038979031</v>
      </c>
      <c r="N310" s="20">
        <f>IF((H310-J310)/(K310-J310)*(Geraetedaten!$B$174-Geraetedaten!$B$161)&lt;Geraetedaten!$B$174,(H310-J310)/(K310-J310)*(Geraetedaten!$B$174-Geraetedaten!$B$161),Geraetedaten!$B$174)</f>
        <v>32.283040125055336</v>
      </c>
      <c r="O310" s="20">
        <f>N310/Geraetedaten!$B$174*(M310-L310)+L310+C310</f>
        <v>595.59619967209164</v>
      </c>
      <c r="P310" s="20">
        <f t="shared" si="280"/>
        <v>211.56144504106192</v>
      </c>
      <c r="Q310" s="21">
        <f>(N310-Geraetedaten!$B$161)/(Geraetedaten!$B$174-Geraetedaten!$B$161)*(Geraetedaten!$B$175-Geraetedaten!$B$162)+Geraetedaten!$B$162</f>
        <v>30.160420443720394</v>
      </c>
      <c r="R310" s="21">
        <f t="shared" si="281"/>
        <v>30.160420443720394</v>
      </c>
      <c r="S310" s="21">
        <f t="shared" si="282"/>
        <v>-30.15582686560154</v>
      </c>
      <c r="T310" s="88">
        <f t="shared" si="283"/>
        <v>-0.52637191590316257</v>
      </c>
      <c r="U310" s="86">
        <f t="shared" si="284"/>
        <v>6499.6866499999996</v>
      </c>
      <c r="V310" s="85">
        <f t="shared" si="285"/>
        <v>-1346.4914747781525</v>
      </c>
      <c r="W310" s="85">
        <f t="shared" si="286"/>
        <v>1462.7670554837534</v>
      </c>
      <c r="X310" s="90">
        <f t="shared" si="287"/>
        <v>1346.4914747781525</v>
      </c>
      <c r="Y310" s="86">
        <f t="shared" si="288"/>
        <v>108363.70725000001</v>
      </c>
      <c r="Z310" s="85">
        <f t="shared" si="289"/>
        <v>-818.62113479844345</v>
      </c>
      <c r="AA310" s="85">
        <f t="shared" si="290"/>
        <v>10382.422043026827</v>
      </c>
      <c r="AB310" s="90">
        <f t="shared" si="291"/>
        <v>818.62113479844345</v>
      </c>
      <c r="AC310" s="86">
        <f t="shared" si="292"/>
        <v>-6477.9763599999997</v>
      </c>
      <c r="AD310" s="85">
        <f t="shared" si="293"/>
        <v>3384.56104615708</v>
      </c>
      <c r="AE310" s="85">
        <f t="shared" si="294"/>
        <v>-3653.9351127402838</v>
      </c>
      <c r="AF310" s="90">
        <f t="shared" si="295"/>
        <v>3384.56104615708</v>
      </c>
      <c r="AG310" s="86">
        <f t="shared" si="296"/>
        <v>-314401.18716999999</v>
      </c>
      <c r="AH310" s="85">
        <f t="shared" si="297"/>
        <v>6139.2748628683721</v>
      </c>
      <c r="AI310" s="85">
        <f t="shared" si="298"/>
        <v>-216071.8918735903</v>
      </c>
      <c r="AJ310" s="90">
        <f t="shared" si="299"/>
        <v>6139.2748628683721</v>
      </c>
      <c r="AL310" s="95">
        <f t="shared" si="300"/>
        <v>0</v>
      </c>
      <c r="AM310" s="95">
        <f t="shared" si="301"/>
        <v>0</v>
      </c>
      <c r="AN310" s="95">
        <f t="shared" si="302"/>
        <v>0</v>
      </c>
      <c r="AO310" s="95">
        <f t="shared" si="303"/>
        <v>0</v>
      </c>
      <c r="AP310"/>
      <c r="AQ310" s="95">
        <f t="shared" si="304"/>
        <v>0</v>
      </c>
      <c r="AR310" s="95">
        <f t="shared" si="305"/>
        <v>0</v>
      </c>
      <c r="AS310" s="95">
        <f>Geraetedaten!$B$94*ABS(SIN(RADIANS($A310)))</f>
        <v>153.97654505408426</v>
      </c>
      <c r="AT310" s="95">
        <f>Geraetedaten!$B$94*ABS(COS(RADIANS($A310)))</f>
        <v>2.6876705913416585</v>
      </c>
      <c r="AU310" s="95">
        <f>((h_Aw_Sw+Geraetedaten!$B$18)/1000)*(AQ310*AS310+AR310*AT310)/100</f>
        <v>0</v>
      </c>
    </row>
    <row r="311" spans="1:47" ht="13.5" x14ac:dyDescent="0.25">
      <c r="A311" s="16">
        <v>270</v>
      </c>
      <c r="B311" s="16">
        <f t="shared" si="272"/>
        <v>180</v>
      </c>
      <c r="C311" s="19">
        <f t="shared" si="273"/>
        <v>63.548100000000005</v>
      </c>
      <c r="D311" s="17">
        <f t="shared" si="274"/>
        <v>6485.6514699999998</v>
      </c>
      <c r="E311" s="17">
        <f t="shared" si="275"/>
        <v>139008.50221999999</v>
      </c>
      <c r="F311" s="17">
        <f t="shared" si="276"/>
        <v>-6588.84926</v>
      </c>
      <c r="G311" s="17">
        <f t="shared" si="277"/>
        <v>-814874.31824000005</v>
      </c>
      <c r="H311" s="17">
        <f t="shared" si="278"/>
        <v>6485.6514699999998</v>
      </c>
      <c r="I311" s="17">
        <f t="shared" si="279"/>
        <v>1473.9100346020759</v>
      </c>
      <c r="J311" s="20">
        <f>(Geraetedaten!$B$152+(Geraetedaten!$B$153*(Geraetedaten!$B$18+d_y_Sw)/1000))*10</f>
        <v>6051.0442000000003</v>
      </c>
      <c r="K311" s="20">
        <f>(Geraetedaten!$B$165+(Geraetedaten!$B$166*(Geraetedaten!$B$18+d_y_Sw)/1000))*10</f>
        <v>10816.164000000001</v>
      </c>
      <c r="L311" s="20">
        <f>(Geraetedaten!$B$158+(Geraetedaten!$B$159*(Geraetedaten!$B$18+d_y_Sw)/1000)-(Geraetedaten!$B$160*I311/1000))*10</f>
        <v>493.45477716262957</v>
      </c>
      <c r="M311" s="20">
        <f>(Geraetedaten!$B$171+(Geraetedaten!$B$172*(Geraetedaten!$B$18+d_y_Sw)/1000)-(Geraetedaten!$B$173*I311/1000))*10</f>
        <v>955.14913702422234</v>
      </c>
      <c r="N311" s="20">
        <f>IF((H311-J311)/(K311-J311)*(Geraetedaten!$B$174-Geraetedaten!$B$161)&lt;Geraetedaten!$B$174,(H311-J311)/(K311-J311)*(Geraetedaten!$B$174-Geraetedaten!$B$161),Geraetedaten!$B$174)</f>
        <v>36.482379309749945</v>
      </c>
      <c r="O311" s="20">
        <f>N311/Geraetedaten!$B$174*(M311-L311)+L311+C311</f>
        <v>599.11214906673661</v>
      </c>
      <c r="P311" s="20">
        <f t="shared" si="280"/>
        <v>211.9698746016509</v>
      </c>
      <c r="Q311" s="21">
        <f>(N311-Geraetedaten!$B$161)/(Geraetedaten!$B$174-Geraetedaten!$B$161)*(Geraetedaten!$B$175-Geraetedaten!$B$162)+Geraetedaten!$B$162</f>
        <v>30.285350784465059</v>
      </c>
      <c r="R311" s="21">
        <f t="shared" si="281"/>
        <v>30.285350784465059</v>
      </c>
      <c r="S311" s="21">
        <f t="shared" si="282"/>
        <v>-30.285350784465059</v>
      </c>
      <c r="T311" s="88">
        <f t="shared" si="283"/>
        <v>-5.5656076079929396E-15</v>
      </c>
      <c r="U311" s="86">
        <f t="shared" si="284"/>
        <v>6549.1995699999998</v>
      </c>
      <c r="V311" s="85">
        <f t="shared" si="285"/>
        <v>-1346.4914747781525</v>
      </c>
      <c r="W311" s="85">
        <f t="shared" si="286"/>
        <v>1473.9100346020759</v>
      </c>
      <c r="X311" s="90">
        <f t="shared" si="287"/>
        <v>1346.4914747781525</v>
      </c>
      <c r="Y311" s="86">
        <f t="shared" si="288"/>
        <v>139072.05032000001</v>
      </c>
      <c r="Z311" s="85">
        <f t="shared" si="289"/>
        <v>-818.62113479844345</v>
      </c>
      <c r="AA311" s="85">
        <f t="shared" si="290"/>
        <v>13324.615384615438</v>
      </c>
      <c r="AB311" s="90">
        <f t="shared" si="291"/>
        <v>818.62113479844345</v>
      </c>
      <c r="AC311" s="86">
        <f t="shared" si="292"/>
        <v>-6525.30116</v>
      </c>
      <c r="AD311" s="85">
        <f t="shared" si="293"/>
        <v>3384.56104615708</v>
      </c>
      <c r="AE311" s="85">
        <f t="shared" si="294"/>
        <v>-3680.6289046230745</v>
      </c>
      <c r="AF311" s="90">
        <f t="shared" si="295"/>
        <v>3384.56104615708</v>
      </c>
      <c r="AG311" s="86">
        <f t="shared" si="296"/>
        <v>-814810.77014000004</v>
      </c>
      <c r="AH311" s="85">
        <f t="shared" si="297"/>
        <v>6139.2748628683721</v>
      </c>
      <c r="AI311" s="85">
        <f t="shared" si="298"/>
        <v>-559977.86206896487</v>
      </c>
      <c r="AJ311" s="90">
        <f t="shared" si="299"/>
        <v>6139.2748628683721</v>
      </c>
      <c r="AL311" s="95">
        <f t="shared" si="300"/>
        <v>0</v>
      </c>
      <c r="AM311" s="95">
        <f t="shared" si="301"/>
        <v>0</v>
      </c>
      <c r="AN311" s="95">
        <f t="shared" si="302"/>
        <v>0</v>
      </c>
      <c r="AO311" s="95">
        <f t="shared" si="303"/>
        <v>0</v>
      </c>
      <c r="AP311"/>
      <c r="AQ311" s="95">
        <f t="shared" si="304"/>
        <v>0</v>
      </c>
      <c r="AR311" s="95">
        <f t="shared" si="305"/>
        <v>0</v>
      </c>
      <c r="AS311" s="95">
        <f>Geraetedaten!$B$94*ABS(SIN(RADIANS($A311)))</f>
        <v>154</v>
      </c>
      <c r="AT311" s="95">
        <f>Geraetedaten!$B$94*ABS(COS(RADIANS($A311)))</f>
        <v>2.8300929308389122E-14</v>
      </c>
      <c r="AU311" s="95">
        <f>((h_Aw_Sw+Geraetedaten!$B$18)/1000)*(AQ311*AS311+AR311*AT311)/100</f>
        <v>0</v>
      </c>
    </row>
    <row r="312" spans="1:47" ht="13.5" x14ac:dyDescent="0.25">
      <c r="A312" s="16">
        <v>271</v>
      </c>
      <c r="B312" s="16">
        <f t="shared" si="272"/>
        <v>179</v>
      </c>
      <c r="C312" s="19">
        <f t="shared" si="273"/>
        <v>64.061065739760153</v>
      </c>
      <c r="D312" s="17">
        <f t="shared" si="274"/>
        <v>6537.43788426024</v>
      </c>
      <c r="E312" s="17">
        <f t="shared" si="275"/>
        <v>194085.71499426026</v>
      </c>
      <c r="F312" s="17">
        <f t="shared" si="276"/>
        <v>-6639.4012357397605</v>
      </c>
      <c r="G312" s="17">
        <f t="shared" si="277"/>
        <v>1376463.2876542602</v>
      </c>
      <c r="H312" s="17">
        <f t="shared" si="278"/>
        <v>6537.43788426024</v>
      </c>
      <c r="I312" s="17">
        <f t="shared" si="279"/>
        <v>1485.6801119817635</v>
      </c>
      <c r="J312" s="20">
        <f>(Geraetedaten!$B$152+(Geraetedaten!$B$153*(Geraetedaten!$B$18+d_y_Sw)/1000))*10</f>
        <v>6051.0442000000003</v>
      </c>
      <c r="K312" s="20">
        <f>(Geraetedaten!$B$165+(Geraetedaten!$B$166*(Geraetedaten!$B$18+d_y_Sw)/1000))*10</f>
        <v>10816.164000000001</v>
      </c>
      <c r="L312" s="20">
        <f>(Geraetedaten!$B$158+(Geraetedaten!$B$159*(Geraetedaten!$B$18+d_y_Sw)/1000)-(Geraetedaten!$B$160*I312/1000))*10</f>
        <v>492.59167738837704</v>
      </c>
      <c r="M312" s="20">
        <f>(Geraetedaten!$B$171+(Geraetedaten!$B$172*(Geraetedaten!$B$18+d_y_Sw)/1000)-(Geraetedaten!$B$173*I312/1000))*10</f>
        <v>954.27297246407852</v>
      </c>
      <c r="N312" s="20">
        <f>IF((H312-J312)/(K312-J312)*(Geraetedaten!$B$174-Geraetedaten!$B$161)&lt;Geraetedaten!$B$174,(H312-J312)/(K312-J312)*(Geraetedaten!$B$174-Geraetedaten!$B$161),Geraetedaten!$B$174)</f>
        <v>40.829503112197912</v>
      </c>
      <c r="O312" s="20">
        <f>N312/Geraetedaten!$B$174*(M312-L312)+L312+C312</f>
        <v>603.77828781347944</v>
      </c>
      <c r="P312" s="20">
        <f t="shared" si="280"/>
        <v>212.75270894585054</v>
      </c>
      <c r="Q312" s="21">
        <f>(N312-Geraetedaten!$B$161)/(Geraetedaten!$B$174-Geraetedaten!$B$161)*(Geraetedaten!$B$175-Geraetedaten!$B$162)+Geraetedaten!$B$162</f>
        <v>30.414677717587889</v>
      </c>
      <c r="R312" s="21">
        <f t="shared" si="281"/>
        <v>30.414677717587889</v>
      </c>
      <c r="S312" s="21">
        <f t="shared" si="282"/>
        <v>-30.4100454148547</v>
      </c>
      <c r="T312" s="88">
        <f t="shared" si="283"/>
        <v>0.53080931718632263</v>
      </c>
      <c r="U312" s="86">
        <f t="shared" si="284"/>
        <v>6601.4989500000001</v>
      </c>
      <c r="V312" s="85">
        <f t="shared" si="285"/>
        <v>-1346.4914747781525</v>
      </c>
      <c r="W312" s="85">
        <f t="shared" si="286"/>
        <v>1485.6801119817635</v>
      </c>
      <c r="X312" s="90">
        <f t="shared" si="287"/>
        <v>1346.4914747781525</v>
      </c>
      <c r="Y312" s="86">
        <f t="shared" si="288"/>
        <v>194149.77606</v>
      </c>
      <c r="Z312" s="85">
        <f t="shared" si="289"/>
        <v>-818.62113479844345</v>
      </c>
      <c r="AA312" s="85">
        <f t="shared" si="290"/>
        <v>18601.660700994624</v>
      </c>
      <c r="AB312" s="90">
        <f t="shared" si="291"/>
        <v>818.62113479844345</v>
      </c>
      <c r="AC312" s="86">
        <f t="shared" si="292"/>
        <v>-6575.3401700000004</v>
      </c>
      <c r="AD312" s="85">
        <f t="shared" si="293"/>
        <v>3384.56104615708</v>
      </c>
      <c r="AE312" s="85">
        <f t="shared" si="294"/>
        <v>-3708.8536562101563</v>
      </c>
      <c r="AF312" s="90">
        <f t="shared" si="295"/>
        <v>3384.56104615708</v>
      </c>
      <c r="AG312" s="86">
        <f t="shared" si="296"/>
        <v>1376527.3487199999</v>
      </c>
      <c r="AH312" s="85">
        <f t="shared" si="297"/>
        <v>6139.2748628683721</v>
      </c>
      <c r="AI312" s="85">
        <f t="shared" si="298"/>
        <v>946017.00181763223</v>
      </c>
      <c r="AJ312" s="90">
        <f t="shared" si="299"/>
        <v>6139.2748628683721</v>
      </c>
      <c r="AL312" s="95">
        <f t="shared" si="300"/>
        <v>0</v>
      </c>
      <c r="AM312" s="95">
        <f t="shared" si="301"/>
        <v>0</v>
      </c>
      <c r="AN312" s="95">
        <f t="shared" si="302"/>
        <v>0</v>
      </c>
      <c r="AO312" s="95">
        <f t="shared" si="303"/>
        <v>0</v>
      </c>
      <c r="AP312"/>
      <c r="AQ312" s="95">
        <f t="shared" si="304"/>
        <v>0</v>
      </c>
      <c r="AR312" s="95">
        <f t="shared" si="305"/>
        <v>0</v>
      </c>
      <c r="AS312" s="95">
        <f>Geraetedaten!$B$94*ABS(SIN(RADIANS($A312)))</f>
        <v>153.97654505408426</v>
      </c>
      <c r="AT312" s="95">
        <f>Geraetedaten!$B$94*ABS(COS(RADIANS($A312)))</f>
        <v>2.6876705913416021</v>
      </c>
      <c r="AU312" s="95">
        <f>((h_Aw_Sw+Geraetedaten!$B$18)/1000)*(AQ312*AS312+AR312*AT312)/100</f>
        <v>0</v>
      </c>
    </row>
    <row r="313" spans="1:47" ht="13.5" x14ac:dyDescent="0.25">
      <c r="A313" s="16">
        <v>272</v>
      </c>
      <c r="B313" s="16">
        <f t="shared" si="272"/>
        <v>178</v>
      </c>
      <c r="C313" s="19">
        <f t="shared" si="273"/>
        <v>64.554517858322527</v>
      </c>
      <c r="D313" s="17">
        <f t="shared" si="274"/>
        <v>6592.1298421416777</v>
      </c>
      <c r="E313" s="17">
        <f t="shared" si="275"/>
        <v>321557.55912214168</v>
      </c>
      <c r="F313" s="17">
        <f t="shared" si="276"/>
        <v>-6692.7416778583229</v>
      </c>
      <c r="G313" s="17">
        <f t="shared" si="277"/>
        <v>373071.29556214169</v>
      </c>
      <c r="H313" s="17">
        <f t="shared" si="278"/>
        <v>6592.1298421416777</v>
      </c>
      <c r="I313" s="17">
        <f t="shared" si="279"/>
        <v>1498.0996943388941</v>
      </c>
      <c r="J313" s="20">
        <f>(Geraetedaten!$B$152+(Geraetedaten!$B$153*(Geraetedaten!$B$18+d_y_Sw)/1000))*10</f>
        <v>6051.0442000000003</v>
      </c>
      <c r="K313" s="20">
        <f>(Geraetedaten!$B$165+(Geraetedaten!$B$166*(Geraetedaten!$B$18+d_y_Sw)/1000))*10</f>
        <v>10816.164000000001</v>
      </c>
      <c r="L313" s="20">
        <f>(Geraetedaten!$B$158+(Geraetedaten!$B$159*(Geraetedaten!$B$18+d_y_Sw)/1000)-(Geraetedaten!$B$160*I313/1000))*10</f>
        <v>491.68094941412869</v>
      </c>
      <c r="M313" s="20">
        <f>(Geraetedaten!$B$171+(Geraetedaten!$B$172*(Geraetedaten!$B$18+d_y_Sw)/1000)-(Geraetedaten!$B$173*I313/1000))*10</f>
        <v>953.34845875341375</v>
      </c>
      <c r="N313" s="20">
        <f>IF((H313-J313)/(K313-J313)*(Geraetedaten!$B$174-Geraetedaten!$B$161)&lt;Geraetedaten!$B$174,(H313-J313)/(K313-J313)*(Geraetedaten!$B$174-Geraetedaten!$B$161),Geraetedaten!$B$174)</f>
        <v>45.420527907120189</v>
      </c>
      <c r="O313" s="20">
        <f>N313/Geraetedaten!$B$174*(M313-L313)+L313+C313</f>
        <v>608.65842225184042</v>
      </c>
      <c r="P313" s="20">
        <f t="shared" si="280"/>
        <v>213.55573439244947</v>
      </c>
      <c r="Q313" s="21">
        <f>(N313-Geraetedaten!$B$161)/(Geraetedaten!$B$174-Geraetedaten!$B$161)*(Geraetedaten!$B$175-Geraetedaten!$B$162)+Geraetedaten!$B$162</f>
        <v>30.551260705236825</v>
      </c>
      <c r="R313" s="21">
        <f t="shared" si="281"/>
        <v>30.551260705236825</v>
      </c>
      <c r="S313" s="21">
        <f t="shared" si="282"/>
        <v>-30.532649702682633</v>
      </c>
      <c r="T313" s="88">
        <f t="shared" si="283"/>
        <v>1.0662236222396695</v>
      </c>
      <c r="U313" s="86">
        <f t="shared" si="284"/>
        <v>6656.6843600000002</v>
      </c>
      <c r="V313" s="85">
        <f t="shared" si="285"/>
        <v>-1346.4914747781525</v>
      </c>
      <c r="W313" s="85">
        <f t="shared" si="286"/>
        <v>1498.0996943388941</v>
      </c>
      <c r="X313" s="90">
        <f t="shared" si="287"/>
        <v>1346.4914747781525</v>
      </c>
      <c r="Y313" s="86">
        <f t="shared" si="288"/>
        <v>321622.11364</v>
      </c>
      <c r="Z313" s="85">
        <f t="shared" si="289"/>
        <v>-818.62113479844345</v>
      </c>
      <c r="AA313" s="85">
        <f t="shared" si="290"/>
        <v>30814.897412780763</v>
      </c>
      <c r="AB313" s="90">
        <f t="shared" si="291"/>
        <v>818.62113479844345</v>
      </c>
      <c r="AC313" s="86">
        <f t="shared" si="292"/>
        <v>-6628.1871600000004</v>
      </c>
      <c r="AD313" s="85">
        <f t="shared" si="293"/>
        <v>3384.56104615708</v>
      </c>
      <c r="AE313" s="85">
        <f t="shared" si="294"/>
        <v>-3738.662266996861</v>
      </c>
      <c r="AF313" s="90">
        <f t="shared" si="295"/>
        <v>3384.56104615708</v>
      </c>
      <c r="AG313" s="86">
        <f t="shared" si="296"/>
        <v>373135.85008</v>
      </c>
      <c r="AH313" s="85">
        <f t="shared" si="297"/>
        <v>6139.2748628683721</v>
      </c>
      <c r="AI313" s="85">
        <f t="shared" si="298"/>
        <v>256437.22843060302</v>
      </c>
      <c r="AJ313" s="90">
        <f t="shared" si="299"/>
        <v>6139.2748628683721</v>
      </c>
      <c r="AL313" s="95">
        <f t="shared" si="300"/>
        <v>0</v>
      </c>
      <c r="AM313" s="95">
        <f t="shared" si="301"/>
        <v>0</v>
      </c>
      <c r="AN313" s="95">
        <f t="shared" si="302"/>
        <v>0</v>
      </c>
      <c r="AO313" s="95">
        <f t="shared" si="303"/>
        <v>0</v>
      </c>
      <c r="AP313"/>
      <c r="AQ313" s="95">
        <f t="shared" si="304"/>
        <v>0</v>
      </c>
      <c r="AR313" s="95">
        <f t="shared" si="305"/>
        <v>0</v>
      </c>
      <c r="AS313" s="95">
        <f>Geraetedaten!$B$94*ABS(SIN(RADIANS($A313)))</f>
        <v>153.90618736094075</v>
      </c>
      <c r="AT313" s="95">
        <f>Geraetedaten!$B$94*ABS(COS(RADIANS($A313)))</f>
        <v>5.3745224921851973</v>
      </c>
      <c r="AU313" s="95">
        <f>((h_Aw_Sw+Geraetedaten!$B$18)/1000)*(AQ313*AS313+AR313*AT313)/100</f>
        <v>0</v>
      </c>
    </row>
    <row r="314" spans="1:47" ht="13.5" x14ac:dyDescent="0.25">
      <c r="A314" s="16">
        <v>273</v>
      </c>
      <c r="B314" s="16">
        <f t="shared" si="272"/>
        <v>177</v>
      </c>
      <c r="C314" s="19">
        <f t="shared" si="273"/>
        <v>65.028306045391574</v>
      </c>
      <c r="D314" s="17">
        <f t="shared" si="274"/>
        <v>6649.8345439546092</v>
      </c>
      <c r="E314" s="17">
        <f t="shared" si="275"/>
        <v>937257.93970395462</v>
      </c>
      <c r="F314" s="17">
        <f t="shared" si="276"/>
        <v>-6748.9713060453914</v>
      </c>
      <c r="G314" s="17">
        <f t="shared" si="277"/>
        <v>215792.0008639546</v>
      </c>
      <c r="H314" s="17">
        <f t="shared" si="278"/>
        <v>6649.8345439546092</v>
      </c>
      <c r="I314" s="17">
        <f t="shared" si="279"/>
        <v>1511.1928753077634</v>
      </c>
      <c r="J314" s="20">
        <f>(Geraetedaten!$B$152+(Geraetedaten!$B$153*(Geraetedaten!$B$18+d_y_Sw)/1000))*10</f>
        <v>6051.0442000000003</v>
      </c>
      <c r="K314" s="20">
        <f>(Geraetedaten!$B$165+(Geraetedaten!$B$166*(Geraetedaten!$B$18+d_y_Sw)/1000))*10</f>
        <v>10816.164000000001</v>
      </c>
      <c r="L314" s="20">
        <f>(Geraetedaten!$B$158+(Geraetedaten!$B$159*(Geraetedaten!$B$18+d_y_Sw)/1000)-(Geraetedaten!$B$160*I314/1000))*10</f>
        <v>490.72082645368147</v>
      </c>
      <c r="M314" s="20">
        <f>(Geraetedaten!$B$171+(Geraetedaten!$B$172*(Geraetedaten!$B$18+d_y_Sw)/1000)-(Geraetedaten!$B$173*I314/1000))*10</f>
        <v>952.37380236209106</v>
      </c>
      <c r="N314" s="20">
        <f>IF((H314-J314)/(K314-J314)*(Geraetedaten!$B$174-Geraetedaten!$B$161)&lt;Geraetedaten!$B$174,(H314-J314)/(K314-J314)*(Geraetedaten!$B$174-Geraetedaten!$B$161),Geraetedaten!$B$174)</f>
        <v>50.264452445003286</v>
      </c>
      <c r="O314" s="20">
        <f>N314/Geraetedaten!$B$174*(M314-L314)+L314+C314</f>
        <v>613.76096763317923</v>
      </c>
      <c r="P314" s="20">
        <f t="shared" si="280"/>
        <v>214.37929766639991</v>
      </c>
      <c r="Q314" s="21">
        <f>(N314-Geraetedaten!$B$161)/(Geraetedaten!$B$174-Geraetedaten!$B$161)*(Geraetedaten!$B$175-Geraetedaten!$B$162)+Geraetedaten!$B$162</f>
        <v>30.695367460238849</v>
      </c>
      <c r="R314" s="21">
        <f t="shared" si="281"/>
        <v>30.695367460238849</v>
      </c>
      <c r="S314" s="21">
        <f t="shared" si="282"/>
        <v>-30.653300525939006</v>
      </c>
      <c r="T314" s="88">
        <f t="shared" si="283"/>
        <v>1.6064714082601459</v>
      </c>
      <c r="U314" s="86">
        <f t="shared" si="284"/>
        <v>6714.8628500000004</v>
      </c>
      <c r="V314" s="85">
        <f t="shared" si="285"/>
        <v>-1346.4914747781525</v>
      </c>
      <c r="W314" s="85">
        <f t="shared" si="286"/>
        <v>1511.1928753077634</v>
      </c>
      <c r="X314" s="90">
        <f t="shared" si="287"/>
        <v>1346.4914747781525</v>
      </c>
      <c r="Y314" s="86">
        <f t="shared" si="288"/>
        <v>937322.96800999995</v>
      </c>
      <c r="Z314" s="85">
        <f t="shared" si="289"/>
        <v>-818.62113479844345</v>
      </c>
      <c r="AA314" s="85">
        <f t="shared" si="290"/>
        <v>89805.73746869016</v>
      </c>
      <c r="AB314" s="90">
        <f t="shared" si="291"/>
        <v>818.62113479844345</v>
      </c>
      <c r="AC314" s="86">
        <f t="shared" si="292"/>
        <v>-6683.9430000000002</v>
      </c>
      <c r="AD314" s="85">
        <f t="shared" si="293"/>
        <v>3384.56104615708</v>
      </c>
      <c r="AE314" s="85">
        <f t="shared" si="294"/>
        <v>-3770.111629791008</v>
      </c>
      <c r="AF314" s="90">
        <f t="shared" si="295"/>
        <v>3384.56104615708</v>
      </c>
      <c r="AG314" s="86">
        <f t="shared" si="296"/>
        <v>215857.02916999999</v>
      </c>
      <c r="AH314" s="85">
        <f t="shared" si="297"/>
        <v>6139.2748628683721</v>
      </c>
      <c r="AI314" s="85">
        <f t="shared" si="298"/>
        <v>148347.52084126772</v>
      </c>
      <c r="AJ314" s="90">
        <f t="shared" si="299"/>
        <v>6139.2748628683721</v>
      </c>
      <c r="AL314" s="95">
        <f t="shared" si="300"/>
        <v>0</v>
      </c>
      <c r="AM314" s="95">
        <f t="shared" si="301"/>
        <v>0</v>
      </c>
      <c r="AN314" s="95">
        <f t="shared" si="302"/>
        <v>0</v>
      </c>
      <c r="AO314" s="95">
        <f t="shared" si="303"/>
        <v>0</v>
      </c>
      <c r="AP314"/>
      <c r="AQ314" s="95">
        <f t="shared" si="304"/>
        <v>0</v>
      </c>
      <c r="AR314" s="95">
        <f t="shared" si="305"/>
        <v>0</v>
      </c>
      <c r="AS314" s="95">
        <f>Geraetedaten!$B$94*ABS(SIN(RADIANS($A314)))</f>
        <v>153.78894835220436</v>
      </c>
      <c r="AT314" s="95">
        <f>Geraetedaten!$B$94*ABS(COS(RADIANS($A314)))</f>
        <v>8.0597372614133675</v>
      </c>
      <c r="AU314" s="95">
        <f>((h_Aw_Sw+Geraetedaten!$B$18)/1000)*(AQ314*AS314+AR314*AT314)/100</f>
        <v>0</v>
      </c>
    </row>
    <row r="315" spans="1:47" ht="13.5" x14ac:dyDescent="0.25">
      <c r="A315" s="16">
        <v>274</v>
      </c>
      <c r="B315" s="16">
        <f t="shared" si="272"/>
        <v>176</v>
      </c>
      <c r="C315" s="19">
        <f t="shared" si="273"/>
        <v>65.48228598049586</v>
      </c>
      <c r="D315" s="17">
        <f t="shared" si="274"/>
        <v>6710.6672340195037</v>
      </c>
      <c r="E315" s="17">
        <f t="shared" si="275"/>
        <v>-1024836.5941759804</v>
      </c>
      <c r="F315" s="17">
        <f t="shared" si="276"/>
        <v>-6808.1984359804965</v>
      </c>
      <c r="G315" s="17">
        <f t="shared" si="277"/>
        <v>151818.0603140195</v>
      </c>
      <c r="H315" s="17">
        <f t="shared" si="278"/>
        <v>6710.6672340195037</v>
      </c>
      <c r="I315" s="17">
        <f t="shared" si="279"/>
        <v>1524.985560344822</v>
      </c>
      <c r="J315" s="20">
        <f>(Geraetedaten!$B$152+(Geraetedaten!$B$153*(Geraetedaten!$B$18+d_y_Sw)/1000))*10</f>
        <v>6051.0442000000003</v>
      </c>
      <c r="K315" s="20">
        <f>(Geraetedaten!$B$165+(Geraetedaten!$B$166*(Geraetedaten!$B$18+d_y_Sw)/1000))*10</f>
        <v>10816.164000000001</v>
      </c>
      <c r="L315" s="20">
        <f>(Geraetedaten!$B$158+(Geraetedaten!$B$159*(Geraetedaten!$B$18+d_y_Sw)/1000)-(Geraetedaten!$B$160*I315/1000))*10</f>
        <v>489.70940885991399</v>
      </c>
      <c r="M315" s="20">
        <f>(Geraetedaten!$B$171+(Geraetedaten!$B$172*(Geraetedaten!$B$18+d_y_Sw)/1000)-(Geraetedaten!$B$173*I315/1000))*10</f>
        <v>951.34707488793242</v>
      </c>
      <c r="N315" s="20">
        <f>IF((H315-J315)/(K315-J315)*(Geraetedaten!$B$174-Geraetedaten!$B$161)&lt;Geraetedaten!$B$174,(H315-J315)/(K315-J315)*(Geraetedaten!$B$174-Geraetedaten!$B$161),Geraetedaten!$B$174)</f>
        <v>55.370950717293901</v>
      </c>
      <c r="O315" s="20">
        <f>N315/Geraetedaten!$B$174*(M315-L315)+L315+C315</f>
        <v>619.09498597761979</v>
      </c>
      <c r="P315" s="20">
        <f t="shared" si="280"/>
        <v>215.22377433121301</v>
      </c>
      <c r="Q315" s="21">
        <f>(N315-Geraetedaten!$B$161)/(Geraetedaten!$B$174-Geraetedaten!$B$161)*(Geraetedaten!$B$175-Geraetedaten!$B$162)+Geraetedaten!$B$162</f>
        <v>30.847285783839492</v>
      </c>
      <c r="R315" s="21">
        <f t="shared" si="281"/>
        <v>30.847285783839492</v>
      </c>
      <c r="S315" s="21">
        <f t="shared" si="282"/>
        <v>-30.772143346049223</v>
      </c>
      <c r="T315" s="88">
        <f t="shared" si="283"/>
        <v>2.1517978808579268</v>
      </c>
      <c r="U315" s="86">
        <f t="shared" si="284"/>
        <v>6776.1495199999999</v>
      </c>
      <c r="V315" s="85">
        <f t="shared" si="285"/>
        <v>-1346.4914747781525</v>
      </c>
      <c r="W315" s="85">
        <f t="shared" si="286"/>
        <v>1524.985560344822</v>
      </c>
      <c r="X315" s="90">
        <f t="shared" si="287"/>
        <v>1346.4914747781525</v>
      </c>
      <c r="Y315" s="86">
        <f t="shared" si="288"/>
        <v>-1024771.1118899999</v>
      </c>
      <c r="Z315" s="85">
        <f t="shared" si="289"/>
        <v>-818.62113479844345</v>
      </c>
      <c r="AA315" s="85">
        <f t="shared" si="290"/>
        <v>-98184.221001190293</v>
      </c>
      <c r="AB315" s="90">
        <f t="shared" si="291"/>
        <v>818.62113479844345</v>
      </c>
      <c r="AC315" s="86">
        <f t="shared" si="292"/>
        <v>-6742.7161500000002</v>
      </c>
      <c r="AD315" s="85">
        <f t="shared" si="293"/>
        <v>3384.56104615708</v>
      </c>
      <c r="AE315" s="85">
        <f t="shared" si="294"/>
        <v>-3803.262919436715</v>
      </c>
      <c r="AF315" s="90">
        <f t="shared" si="295"/>
        <v>3384.56104615708</v>
      </c>
      <c r="AG315" s="86">
        <f t="shared" si="296"/>
        <v>151883.54259999999</v>
      </c>
      <c r="AH315" s="85">
        <f t="shared" si="297"/>
        <v>6139.2748628683721</v>
      </c>
      <c r="AI315" s="85">
        <f t="shared" si="298"/>
        <v>104381.80812716048</v>
      </c>
      <c r="AJ315" s="90">
        <f t="shared" si="299"/>
        <v>6139.2748628683721</v>
      </c>
      <c r="AL315" s="95">
        <f t="shared" si="300"/>
        <v>0</v>
      </c>
      <c r="AM315" s="95">
        <f t="shared" si="301"/>
        <v>0</v>
      </c>
      <c r="AN315" s="95">
        <f t="shared" si="302"/>
        <v>0</v>
      </c>
      <c r="AO315" s="95">
        <f t="shared" si="303"/>
        <v>0</v>
      </c>
      <c r="AP315"/>
      <c r="AQ315" s="95">
        <f t="shared" si="304"/>
        <v>0</v>
      </c>
      <c r="AR315" s="95">
        <f t="shared" si="305"/>
        <v>0</v>
      </c>
      <c r="AS315" s="95">
        <f>Geraetedaten!$B$94*ABS(SIN(RADIANS($A315)))</f>
        <v>153.62486374001296</v>
      </c>
      <c r="AT315" s="95">
        <f>Geraetedaten!$B$94*ABS(COS(RADIANS($A315)))</f>
        <v>10.742496956595284</v>
      </c>
      <c r="AU315" s="95">
        <f>((h_Aw_Sw+Geraetedaten!$B$18)/1000)*(AQ315*AS315+AR315*AT315)/100</f>
        <v>0</v>
      </c>
    </row>
    <row r="316" spans="1:47" ht="13.5" x14ac:dyDescent="0.25">
      <c r="A316" s="16">
        <v>275</v>
      </c>
      <c r="B316" s="16">
        <f t="shared" si="272"/>
        <v>175</v>
      </c>
      <c r="C316" s="19">
        <f t="shared" si="273"/>
        <v>65.916319376949318</v>
      </c>
      <c r="D316" s="17">
        <f t="shared" si="274"/>
        <v>6774.7518406230511</v>
      </c>
      <c r="E316" s="17">
        <f t="shared" si="275"/>
        <v>-331386.34455937694</v>
      </c>
      <c r="F316" s="17">
        <f t="shared" si="276"/>
        <v>-6870.5395293769488</v>
      </c>
      <c r="G316" s="17">
        <f t="shared" si="277"/>
        <v>117122.28803062305</v>
      </c>
      <c r="H316" s="17">
        <f t="shared" si="278"/>
        <v>6774.7518406230511</v>
      </c>
      <c r="I316" s="17">
        <f t="shared" si="279"/>
        <v>1539.5056045001743</v>
      </c>
      <c r="J316" s="20">
        <f>(Geraetedaten!$B$152+(Geraetedaten!$B$153*(Geraetedaten!$B$18+d_y_Sw)/1000))*10</f>
        <v>6051.0442000000003</v>
      </c>
      <c r="K316" s="20">
        <f>(Geraetedaten!$B$165+(Geraetedaten!$B$166*(Geraetedaten!$B$18+d_y_Sw)/1000))*10</f>
        <v>10816.164000000001</v>
      </c>
      <c r="L316" s="20">
        <f>(Geraetedaten!$B$158+(Geraetedaten!$B$159*(Geraetedaten!$B$18+d_y_Sw)/1000)-(Geraetedaten!$B$160*I316/1000))*10</f>
        <v>488.64465402200199</v>
      </c>
      <c r="M316" s="20">
        <f>(Geraetedaten!$B$171+(Geraetedaten!$B$172*(Geraetedaten!$B$18+d_y_Sw)/1000)-(Geraetedaten!$B$173*I316/1000))*10</f>
        <v>950.26620280100803</v>
      </c>
      <c r="N316" s="20">
        <f>IF((H316-J316)/(K316-J316)*(Geraetedaten!$B$174-Geraetedaten!$B$161)&lt;Geraetedaten!$B$174,(H316-J316)/(K316-J316)*(Geraetedaten!$B$174-Geraetedaten!$B$161),Geraetedaten!$B$174)</f>
        <v>60.750425676437416</v>
      </c>
      <c r="O316" s="20">
        <f>N316/Geraetedaten!$B$174*(M316-L316)+L316+C316</f>
        <v>624.67023737330362</v>
      </c>
      <c r="P316" s="20">
        <f t="shared" si="280"/>
        <v>216.08956989627018</v>
      </c>
      <c r="Q316" s="21">
        <f>(N316-Geraetedaten!$B$161)/(Geraetedaten!$B$174-Geraetedaten!$B$161)*(Geraetedaten!$B$175-Geraetedaten!$B$162)+Geraetedaten!$B$162</f>
        <v>31.007325163874011</v>
      </c>
      <c r="R316" s="21">
        <f t="shared" si="281"/>
        <v>31.007325163874011</v>
      </c>
      <c r="S316" s="21">
        <f t="shared" si="282"/>
        <v>-30.889332930258053</v>
      </c>
      <c r="T316" s="88">
        <f t="shared" si="283"/>
        <v>2.7024664552755824</v>
      </c>
      <c r="U316" s="86">
        <f t="shared" si="284"/>
        <v>6840.6681600000002</v>
      </c>
      <c r="V316" s="85">
        <f t="shared" si="285"/>
        <v>-1346.4914747781525</v>
      </c>
      <c r="W316" s="85">
        <f t="shared" si="286"/>
        <v>1539.5056045001743</v>
      </c>
      <c r="X316" s="90">
        <f t="shared" si="287"/>
        <v>1346.4914747781525</v>
      </c>
      <c r="Y316" s="86">
        <f t="shared" si="288"/>
        <v>-331320.42823999998</v>
      </c>
      <c r="Z316" s="85">
        <f t="shared" si="289"/>
        <v>-818.62113479844345</v>
      </c>
      <c r="AA316" s="85">
        <f t="shared" si="290"/>
        <v>-31744.101459335594</v>
      </c>
      <c r="AB316" s="90">
        <f t="shared" si="291"/>
        <v>818.62113479844345</v>
      </c>
      <c r="AC316" s="86">
        <f t="shared" si="292"/>
        <v>-6804.6232099999997</v>
      </c>
      <c r="AD316" s="85">
        <f t="shared" si="293"/>
        <v>3384.56104615708</v>
      </c>
      <c r="AE316" s="85">
        <f t="shared" si="294"/>
        <v>-3838.1819110611336</v>
      </c>
      <c r="AF316" s="90">
        <f t="shared" si="295"/>
        <v>3384.56104615708</v>
      </c>
      <c r="AG316" s="86">
        <f t="shared" si="296"/>
        <v>117188.20435</v>
      </c>
      <c r="AH316" s="85">
        <f t="shared" si="297"/>
        <v>6139.2748628683721</v>
      </c>
      <c r="AI316" s="85">
        <f t="shared" si="298"/>
        <v>80537.472668782822</v>
      </c>
      <c r="AJ316" s="90">
        <f t="shared" si="299"/>
        <v>6139.2748628683721</v>
      </c>
      <c r="AL316" s="95">
        <f t="shared" si="300"/>
        <v>0</v>
      </c>
      <c r="AM316" s="95">
        <f t="shared" si="301"/>
        <v>0</v>
      </c>
      <c r="AN316" s="95">
        <f t="shared" si="302"/>
        <v>0</v>
      </c>
      <c r="AO316" s="95">
        <f t="shared" si="303"/>
        <v>0</v>
      </c>
      <c r="AP316"/>
      <c r="AQ316" s="95">
        <f t="shared" si="304"/>
        <v>0</v>
      </c>
      <c r="AR316" s="95">
        <f t="shared" si="305"/>
        <v>0</v>
      </c>
      <c r="AS316" s="95">
        <f>Geraetedaten!$B$94*ABS(SIN(RADIANS($A316)))</f>
        <v>153.4139835061288</v>
      </c>
      <c r="AT316" s="95">
        <f>Geraetedaten!$B$94*ABS(COS(RADIANS($A316)))</f>
        <v>13.421984383139314</v>
      </c>
      <c r="AU316" s="95">
        <f>((h_Aw_Sw+Geraetedaten!$B$18)/1000)*(AQ316*AS316+AR316*AT316)/100</f>
        <v>0</v>
      </c>
    </row>
    <row r="317" spans="1:47" ht="13.5" x14ac:dyDescent="0.25">
      <c r="A317" s="16">
        <v>276</v>
      </c>
      <c r="B317" s="16">
        <f t="shared" ref="B317:B348" si="306">360-A317+90</f>
        <v>174</v>
      </c>
      <c r="C317" s="19">
        <f t="shared" ref="C317:C348" si="307">$AE$16*ABS(COS(RADIANS(A317)))+$AE$17*ABS(SIN(RADIANS(A317)))+AU317</f>
        <v>66.330274023974852</v>
      </c>
      <c r="D317" s="17">
        <f t="shared" ref="D317:D348" si="308">IF(ISNUMBER(U317),U317-C317,"unendlich")</f>
        <v>6842.2215959760251</v>
      </c>
      <c r="E317" s="17">
        <f t="shared" ref="E317:E348" si="309">IF(ISNUMBER(Y317),Y317-C317,"unendlich")</f>
        <v>-197706.29670402399</v>
      </c>
      <c r="F317" s="17">
        <f t="shared" ref="F317:F348" si="310">IF(ISNUMBER(AC317),AC317-C317,"unendlich")</f>
        <v>-6936.1198640239754</v>
      </c>
      <c r="G317" s="17">
        <f t="shared" ref="G317:G348" si="311">IF(ISNUMBER(AG317),AG317-C317,"unendlich")</f>
        <v>95353.763225976028</v>
      </c>
      <c r="H317" s="17">
        <f t="shared" ref="H317:H348" si="312">SMALL(D317:G317,COUNTIF(D317:G317,"&lt;0")+1)</f>
        <v>6842.2215959760251</v>
      </c>
      <c r="I317" s="17">
        <f t="shared" ref="I317:I348" si="313">IF(H317+C317=U317,W317,IF(H317+C317=Y317,AA317,IF(H317+C317=AC317,AE317,IF(H317+C317=AG317,AI317,"???"))))</f>
        <v>1554.7829645235292</v>
      </c>
      <c r="J317" s="20">
        <f>(Geraetedaten!$B$152+(Geraetedaten!$B$153*(Geraetedaten!$B$18+d_y_Sw)/1000))*10</f>
        <v>6051.0442000000003</v>
      </c>
      <c r="K317" s="20">
        <f>(Geraetedaten!$B$165+(Geraetedaten!$B$166*(Geraetedaten!$B$18+d_y_Sw)/1000))*10</f>
        <v>10816.164000000001</v>
      </c>
      <c r="L317" s="20">
        <f>(Geraetedaten!$B$158+(Geraetedaten!$B$159*(Geraetedaten!$B$18+d_y_Sw)/1000)-(Geraetedaten!$B$160*I317/1000))*10</f>
        <v>487.52436521148934</v>
      </c>
      <c r="M317" s="20">
        <f>(Geraetedaten!$B$171+(Geraetedaten!$B$172*(Geraetedaten!$B$18+d_y_Sw)/1000)-(Geraetedaten!$B$173*I317/1000))*10</f>
        <v>949.12895612086936</v>
      </c>
      <c r="N317" s="20">
        <f>IF((H317-J317)/(K317-J317)*(Geraetedaten!$B$174-Geraetedaten!$B$161)&lt;Geraetedaten!$B$174,(H317-J317)/(K317-J317)*(Geraetedaten!$B$174-Geraetedaten!$B$161),Geraetedaten!$B$174)</f>
        <v>66.414061277202279</v>
      </c>
      <c r="O317" s="20">
        <f>N317/Geraetedaten!$B$174*(M317-L317)+L317+C317</f>
        <v>630.49722820169791</v>
      </c>
      <c r="P317" s="20">
        <f t="shared" ref="P317:P348" si="314">O317*100/9.81/(Q317-(I317/1000))</f>
        <v>216.97711967113563</v>
      </c>
      <c r="Q317" s="21">
        <f>(N317-Geraetedaten!$B$161)/(Geraetedaten!$B$174-Geraetedaten!$B$161)*(Geraetedaten!$B$175-Geraetedaten!$B$162)+Geraetedaten!$B$162</f>
        <v>31.175818322996768</v>
      </c>
      <c r="R317" s="21">
        <f t="shared" ref="R317:R348" si="315">SQRT((r_K_D/1000)^2+Q317^2-(2*(r_K_D/1000)*Q317*COS(RADIANS(2*A317))))</f>
        <v>31.175818322996768</v>
      </c>
      <c r="S317" s="21">
        <f t="shared" ref="S317:S348" si="316">R317*SIN(A317*Const_2)</f>
        <v>-31.005033928243694</v>
      </c>
      <c r="T317" s="88">
        <f t="shared" ref="T317:T348" si="317">R317*COS(A317*Const_2)</f>
        <v>3.2587603804143908</v>
      </c>
      <c r="U317" s="86">
        <f t="shared" ref="U317:U348" si="318">ROUND((F_S*r_Su_L-F_G*V317+F_SSw*X317)/(SIN(RADIANS(270+g_L-A317)))/1000,5)</f>
        <v>6908.5518700000002</v>
      </c>
      <c r="V317" s="85">
        <f t="shared" ref="V317:V348" si="319">(SIN(RADIANS(g_L)))*(((VL_Z-HL_Z)/(VL_X-HL_X))*(-HL_X+AM317)+HL_Z-AL317)</f>
        <v>-1346.4914747781525</v>
      </c>
      <c r="W317" s="85">
        <f t="shared" ref="W317:W348" si="320">V317/(SIN(RADIANS(180-g_L-(90-$A317))))</f>
        <v>1554.7829645235292</v>
      </c>
      <c r="X317" s="90">
        <f t="shared" ref="X317:X348" si="321">SIN(RADIANS(g_L))*(((VL_Z-HL_Z)/(VL_X-HL_X))*(-AO317+HL_X)-HL_Z+AN317)</f>
        <v>1346.4914747781525</v>
      </c>
      <c r="Y317" s="86">
        <f t="shared" ref="Y317:Y348" si="322">ROUND((F_S*r_Su_H-F_G*Z317+F_SSw*AB317)/(SIN(RADIANS(180+g_H-A317)))/1000,5)</f>
        <v>-197639.96643</v>
      </c>
      <c r="Z317" s="85">
        <f t="shared" ref="Z317:Z348" si="323">(SIN(RADIANS(g_H)))*(((HL_X-HR_X)/(HL_Z-HR_Z))*(-HR_Z+AL317)+HR_X-AM317)</f>
        <v>-818.62113479844345</v>
      </c>
      <c r="AA317" s="85">
        <f t="shared" ref="AA317:AA348" si="324">Z317/(SIN(RADIANS(g_H-$A317)))</f>
        <v>-18936.058908270257</v>
      </c>
      <c r="AB317" s="90">
        <f t="shared" ref="AB317:AB348" si="325">SIN(RADIANS(g_H))*(((HL_X-HR_X)/(HL_Z-HR_Z))*(-AN317+HR_Z)-HR_X+AO317)</f>
        <v>818.62113479844345</v>
      </c>
      <c r="AC317" s="86">
        <f t="shared" ref="AC317:AC348" si="326">ROUND((F_S*r_Su_R+F_G*AD317+F_SSw*AF317)/(SIN(RADIANS(90+g_R-A317)))/1000,5)</f>
        <v>-6869.7895900000003</v>
      </c>
      <c r="AD317" s="85">
        <f t="shared" ref="AD317:AD348" si="327">(SIN(RADIANS(g_R)))*(((HR_Z-VR_Z)/(HR_X-VR_X))*(-VR_X+AM317)+VR_Z-AL317)</f>
        <v>3384.56104615708</v>
      </c>
      <c r="AE317" s="85">
        <f t="shared" ref="AE317:AE348" si="328">AD317/(SIN(RADIANS(180-g_R-(90-$A317))))</f>
        <v>-3874.9393311494819</v>
      </c>
      <c r="AF317" s="90">
        <f t="shared" ref="AF317:AF348" si="329">(SIN(RADIANS(g_R)))*(((HR_Z-VR_Z)/(HR_X-VR_X))*(-VR_X+AO317)+VR_Z-AN317)</f>
        <v>3384.56104615708</v>
      </c>
      <c r="AG317" s="86">
        <f t="shared" ref="AG317:AG348" si="330">ROUND((F_S*r_Su_V+F_G*AH317+F_SSw*AJ317)/(SIN(RADIANS(g_V-A317)))/1000,5)</f>
        <v>95420.093500000003</v>
      </c>
      <c r="AH317" s="85">
        <f t="shared" ref="AH317:AH348" si="331">(SIN(RADIANS(g_V)))*(((VR_X-VL_X)/(VR_Z-VL_Z))*(AL317-VL_Z)+VL_X-AM317)</f>
        <v>6139.2748628683721</v>
      </c>
      <c r="AI317" s="85">
        <f t="shared" ref="AI317:AI348" si="332">AH317/(SIN(RADIANS(g_V-$A317)))</f>
        <v>65577.360924806999</v>
      </c>
      <c r="AJ317" s="90">
        <f t="shared" ref="AJ317:AJ348" si="333">(SIN(RADIANS(g_V)))*(((VR_X-VL_X)/(VR_Z-VL_Z))*(-VL_Z+AN317)+VL_X-AO317)</f>
        <v>6139.2748628683721</v>
      </c>
      <c r="AL317" s="95">
        <f t="shared" ref="AL317:AL348" si="334">SIN(RADIANS(A317))*r_K_D</f>
        <v>0</v>
      </c>
      <c r="AM317" s="95">
        <f t="shared" ref="AM317:AM348" si="335">COS(RADIANS(A317-180))*r_K_D</f>
        <v>0</v>
      </c>
      <c r="AN317" s="95">
        <f t="shared" ref="AN317:AN348" si="336">SIN(RADIANS(A317))*r_K_SSw</f>
        <v>0</v>
      </c>
      <c r="AO317" s="95">
        <f t="shared" ref="AO317:AO348" si="337">-COS(RADIANS(A317))*r_K_SSw</f>
        <v>0</v>
      </c>
      <c r="AP317"/>
      <c r="AQ317" s="95">
        <f t="shared" ref="AQ317:AQ348" si="338">MAX(d_y_Sw*(r_K_D*ABS(COS(RADIANS($A317)))+_r1_Sw+_r2_Sw), 2*_r1_Sw*d_y_Sw)/1000000</f>
        <v>0</v>
      </c>
      <c r="AR317" s="95">
        <f t="shared" ref="AR317:AR348" si="339">MAX(d_y_Sw*(r_K_D*ABS(SIN(RADIANS($A317)))+_r1_Sw+_r2_Sw), 2*_r1_Sw*d_y_Sw)/1000000</f>
        <v>0</v>
      </c>
      <c r="AS317" s="95">
        <f>Geraetedaten!$B$94*ABS(SIN(RADIANS($A317)))</f>
        <v>153.15637188671411</v>
      </c>
      <c r="AT317" s="95">
        <f>Geraetedaten!$B$94*ABS(COS(RADIANS($A317)))</f>
        <v>16.09738334321856</v>
      </c>
      <c r="AU317" s="95">
        <f>((h_Aw_Sw+Geraetedaten!$B$18)/1000)*(AQ317*AS317+AR317*AT317)/100</f>
        <v>0</v>
      </c>
    </row>
    <row r="318" spans="1:47" ht="13.5" x14ac:dyDescent="0.25">
      <c r="A318" s="16">
        <v>277</v>
      </c>
      <c r="B318" s="16">
        <f t="shared" si="306"/>
        <v>173</v>
      </c>
      <c r="C318" s="19">
        <f t="shared" si="307"/>
        <v>66.724023826976904</v>
      </c>
      <c r="D318" s="17">
        <f t="shared" si="308"/>
        <v>6913.219816173023</v>
      </c>
      <c r="E318" s="17">
        <f t="shared" si="309"/>
        <v>-140918.87075382698</v>
      </c>
      <c r="F318" s="17">
        <f t="shared" si="310"/>
        <v>-7005.074143826977</v>
      </c>
      <c r="G318" s="17">
        <f t="shared" si="311"/>
        <v>80426.07491617302</v>
      </c>
      <c r="H318" s="17">
        <f t="shared" si="312"/>
        <v>6913.219816173023</v>
      </c>
      <c r="I318" s="17">
        <f t="shared" si="313"/>
        <v>1570.8498669727298</v>
      </c>
      <c r="J318" s="20">
        <f>(Geraetedaten!$B$152+(Geraetedaten!$B$153*(Geraetedaten!$B$18+d_y_Sw)/1000))*10</f>
        <v>6051.0442000000003</v>
      </c>
      <c r="K318" s="20">
        <f>(Geraetedaten!$B$165+(Geraetedaten!$B$166*(Geraetedaten!$B$18+d_y_Sw)/1000))*10</f>
        <v>10816.164000000001</v>
      </c>
      <c r="L318" s="20">
        <f>(Geraetedaten!$B$158+(Geraetedaten!$B$159*(Geraetedaten!$B$18+d_y_Sw)/1000)-(Geraetedaten!$B$160*I318/1000))*10</f>
        <v>486.34617925488948</v>
      </c>
      <c r="M318" s="20">
        <f>(Geraetedaten!$B$171+(Geraetedaten!$B$172*(Geraetedaten!$B$18+d_y_Sw)/1000)-(Geraetedaten!$B$173*I318/1000))*10</f>
        <v>947.93293590255087</v>
      </c>
      <c r="N318" s="20">
        <f>IF((H318-J318)/(K318-J318)*(Geraetedaten!$B$174-Geraetedaten!$B$161)&lt;Geraetedaten!$B$174,(H318-J318)/(K318-J318)*(Geraetedaten!$B$174-Geraetedaten!$B$161),Geraetedaten!$B$174)</f>
        <v>72.373887949093955</v>
      </c>
      <c r="O318" s="20">
        <f>N318/Geraetedaten!$B$174*(M318-L318)+L318+C318</f>
        <v>636.58727359287525</v>
      </c>
      <c r="P318" s="20">
        <f t="shared" si="314"/>
        <v>217.8868900269959</v>
      </c>
      <c r="Q318" s="21">
        <f>(N318-Geraetedaten!$B$161)/(Geraetedaten!$B$174-Geraetedaten!$B$161)*(Geraetedaten!$B$175-Geraetedaten!$B$162)+Geraetedaten!$B$162</f>
        <v>31.353123166485545</v>
      </c>
      <c r="R318" s="21">
        <f t="shared" si="315"/>
        <v>31.353123166485545</v>
      </c>
      <c r="S318" s="21">
        <f t="shared" si="316"/>
        <v>-31.119421740831609</v>
      </c>
      <c r="T318" s="88">
        <f t="shared" si="317"/>
        <v>3.8209845340003183</v>
      </c>
      <c r="U318" s="86">
        <f t="shared" si="318"/>
        <v>6979.9438399999999</v>
      </c>
      <c r="V318" s="85">
        <f t="shared" si="319"/>
        <v>-1346.4914747781525</v>
      </c>
      <c r="W318" s="85">
        <f t="shared" si="320"/>
        <v>1570.8498669727298</v>
      </c>
      <c r="X318" s="90">
        <f t="shared" si="321"/>
        <v>1346.4914747781525</v>
      </c>
      <c r="Y318" s="86">
        <f t="shared" si="322"/>
        <v>-140852.14673000001</v>
      </c>
      <c r="Z318" s="85">
        <f t="shared" si="323"/>
        <v>-818.62113479844345</v>
      </c>
      <c r="AA318" s="85">
        <f t="shared" si="324"/>
        <v>-13495.167986332992</v>
      </c>
      <c r="AB318" s="90">
        <f t="shared" si="325"/>
        <v>818.62113479844345</v>
      </c>
      <c r="AC318" s="86">
        <f t="shared" si="326"/>
        <v>-6938.3501200000001</v>
      </c>
      <c r="AD318" s="85">
        <f t="shared" si="327"/>
        <v>3384.56104615708</v>
      </c>
      <c r="AE318" s="85">
        <f t="shared" si="328"/>
        <v>-3913.6112452015309</v>
      </c>
      <c r="AF318" s="90">
        <f t="shared" si="329"/>
        <v>3384.56104615708</v>
      </c>
      <c r="AG318" s="86">
        <f t="shared" si="330"/>
        <v>80492.798939999993</v>
      </c>
      <c r="AH318" s="85">
        <f t="shared" si="331"/>
        <v>6139.2748628683721</v>
      </c>
      <c r="AI318" s="85">
        <f t="shared" si="332"/>
        <v>55318.593121821868</v>
      </c>
      <c r="AJ318" s="90">
        <f t="shared" si="333"/>
        <v>6139.2748628683721</v>
      </c>
      <c r="AL318" s="95">
        <f t="shared" si="334"/>
        <v>0</v>
      </c>
      <c r="AM318" s="95">
        <f t="shared" si="335"/>
        <v>0</v>
      </c>
      <c r="AN318" s="95">
        <f t="shared" si="336"/>
        <v>0</v>
      </c>
      <c r="AO318" s="95">
        <f t="shared" si="337"/>
        <v>0</v>
      </c>
      <c r="AP318"/>
      <c r="AQ318" s="95">
        <f t="shared" si="338"/>
        <v>0</v>
      </c>
      <c r="AR318" s="95">
        <f t="shared" si="339"/>
        <v>0</v>
      </c>
      <c r="AS318" s="95">
        <f>Geraetedaten!$B$94*ABS(SIN(RADIANS($A318)))</f>
        <v>152.8521073527636</v>
      </c>
      <c r="AT318" s="95">
        <f>Geraetedaten!$B$94*ABS(COS(RADIANS($A318)))</f>
        <v>18.767878884392744</v>
      </c>
      <c r="AU318" s="95">
        <f>((h_Aw_Sw+Geraetedaten!$B$18)/1000)*(AQ318*AS318+AR318*AT318)/100</f>
        <v>0</v>
      </c>
    </row>
    <row r="319" spans="1:47" ht="13.5" x14ac:dyDescent="0.25">
      <c r="A319" s="16">
        <v>278</v>
      </c>
      <c r="B319" s="16">
        <f t="shared" si="306"/>
        <v>172</v>
      </c>
      <c r="C319" s="19">
        <f t="shared" si="307"/>
        <v>67.097448845951106</v>
      </c>
      <c r="D319" s="17">
        <f t="shared" si="308"/>
        <v>6987.9007511540485</v>
      </c>
      <c r="E319" s="17">
        <f t="shared" si="309"/>
        <v>-109507.19674884595</v>
      </c>
      <c r="F319" s="17">
        <f t="shared" si="310"/>
        <v>-7077.5473488459511</v>
      </c>
      <c r="G319" s="17">
        <f t="shared" si="311"/>
        <v>69555.339241154055</v>
      </c>
      <c r="H319" s="17">
        <f t="shared" si="312"/>
        <v>6987.9007511540485</v>
      </c>
      <c r="I319" s="17">
        <f t="shared" si="313"/>
        <v>1587.740994225217</v>
      </c>
      <c r="J319" s="20">
        <f>(Geraetedaten!$B$152+(Geraetedaten!$B$153*(Geraetedaten!$B$18+d_y_Sw)/1000))*10</f>
        <v>6051.0442000000003</v>
      </c>
      <c r="K319" s="20">
        <f>(Geraetedaten!$B$165+(Geraetedaten!$B$166*(Geraetedaten!$B$18+d_y_Sw)/1000))*10</f>
        <v>10816.164000000001</v>
      </c>
      <c r="L319" s="20">
        <f>(Geraetedaten!$B$158+(Geraetedaten!$B$159*(Geraetedaten!$B$18+d_y_Sw)/1000)-(Geraetedaten!$B$160*I319/1000))*10</f>
        <v>485.10755289346463</v>
      </c>
      <c r="M319" s="20">
        <f>(Geraetedaten!$B$171+(Geraetedaten!$B$172*(Geraetedaten!$B$18+d_y_Sw)/1000)-(Geraetedaten!$B$173*I319/1000))*10</f>
        <v>946.67556038987584</v>
      </c>
      <c r="N319" s="20">
        <f>IF((H319-J319)/(K319-J319)*(Geraetedaten!$B$174-Geraetedaten!$B$161)&lt;Geraetedaten!$B$174,(H319-J319)/(K319-J319)*(Geraetedaten!$B$174-Geraetedaten!$B$161),Geraetedaten!$B$174)</f>
        <v>78.642853944956286</v>
      </c>
      <c r="O319" s="20">
        <f>N319/Geraetedaten!$B$174*(M319-L319)+L319+C319</f>
        <v>642.95256523742762</v>
      </c>
      <c r="P319" s="20">
        <f t="shared" si="314"/>
        <v>218.81937951987746</v>
      </c>
      <c r="Q319" s="21">
        <f>(N319-Geraetedaten!$B$161)/(Geraetedaten!$B$174-Geraetedaten!$B$161)*(Geraetedaten!$B$175-Geraetedaten!$B$162)+Geraetedaten!$B$162</f>
        <v>31.53962490486245</v>
      </c>
      <c r="R319" s="21">
        <f t="shared" si="315"/>
        <v>31.53962490486245</v>
      </c>
      <c r="S319" s="21">
        <f t="shared" si="316"/>
        <v>-31.232683443371673</v>
      </c>
      <c r="T319" s="88">
        <f t="shared" si="317"/>
        <v>4.3894674011270167</v>
      </c>
      <c r="U319" s="86">
        <f t="shared" si="318"/>
        <v>7054.9982</v>
      </c>
      <c r="V319" s="85">
        <f t="shared" si="319"/>
        <v>-1346.4914747781525</v>
      </c>
      <c r="W319" s="85">
        <f t="shared" si="320"/>
        <v>1587.740994225217</v>
      </c>
      <c r="X319" s="90">
        <f t="shared" si="321"/>
        <v>1346.4914747781525</v>
      </c>
      <c r="Y319" s="86">
        <f t="shared" si="322"/>
        <v>-109440.0993</v>
      </c>
      <c r="Z319" s="85">
        <f t="shared" si="323"/>
        <v>-818.62113479844345</v>
      </c>
      <c r="AA319" s="85">
        <f t="shared" si="324"/>
        <v>-10485.55211102718</v>
      </c>
      <c r="AB319" s="90">
        <f t="shared" si="325"/>
        <v>818.62113479844345</v>
      </c>
      <c r="AC319" s="86">
        <f t="shared" si="326"/>
        <v>-7010.4498999999996</v>
      </c>
      <c r="AD319" s="85">
        <f t="shared" si="327"/>
        <v>3384.56104615708</v>
      </c>
      <c r="AE319" s="85">
        <f t="shared" si="328"/>
        <v>-3954.2794862386681</v>
      </c>
      <c r="AF319" s="90">
        <f t="shared" si="329"/>
        <v>3384.56104615708</v>
      </c>
      <c r="AG319" s="86">
        <f t="shared" si="330"/>
        <v>69622.436690000002</v>
      </c>
      <c r="AH319" s="85">
        <f t="shared" si="331"/>
        <v>6139.2748628683721</v>
      </c>
      <c r="AI319" s="85">
        <f t="shared" si="332"/>
        <v>47847.947865069982</v>
      </c>
      <c r="AJ319" s="90">
        <f t="shared" si="333"/>
        <v>6139.2748628683721</v>
      </c>
      <c r="AL319" s="95">
        <f t="shared" si="334"/>
        <v>0</v>
      </c>
      <c r="AM319" s="95">
        <f t="shared" si="335"/>
        <v>0</v>
      </c>
      <c r="AN319" s="95">
        <f t="shared" si="336"/>
        <v>0</v>
      </c>
      <c r="AO319" s="95">
        <f t="shared" si="337"/>
        <v>0</v>
      </c>
      <c r="AP319"/>
      <c r="AQ319" s="95">
        <f t="shared" si="338"/>
        <v>0</v>
      </c>
      <c r="AR319" s="95">
        <f t="shared" si="339"/>
        <v>0</v>
      </c>
      <c r="AS319" s="95">
        <f>Geraetedaten!$B$94*ABS(SIN(RADIANS($A319)))</f>
        <v>152.50128258620182</v>
      </c>
      <c r="AT319" s="95">
        <f>Geraetedaten!$B$94*ABS(COS(RADIANS($A319)))</f>
        <v>21.432657547850081</v>
      </c>
      <c r="AU319" s="95">
        <f>((h_Aw_Sw+Geraetedaten!$B$18)/1000)*(AQ319*AS319+AR319*AT319)/100</f>
        <v>0</v>
      </c>
    </row>
    <row r="320" spans="1:47" ht="13.5" x14ac:dyDescent="0.25">
      <c r="A320" s="16">
        <v>279</v>
      </c>
      <c r="B320" s="16">
        <f t="shared" si="306"/>
        <v>171</v>
      </c>
      <c r="C320" s="19">
        <f t="shared" si="307"/>
        <v>67.450435332019254</v>
      </c>
      <c r="D320" s="17">
        <f t="shared" si="308"/>
        <v>7066.4304246679812</v>
      </c>
      <c r="E320" s="17">
        <f t="shared" si="309"/>
        <v>-89573.649075332025</v>
      </c>
      <c r="F320" s="17">
        <f t="shared" si="310"/>
        <v>-7153.6954953320192</v>
      </c>
      <c r="G320" s="17">
        <f t="shared" si="311"/>
        <v>61287.794794667978</v>
      </c>
      <c r="H320" s="17">
        <f t="shared" si="312"/>
        <v>7066.4304246679812</v>
      </c>
      <c r="I320" s="17">
        <f t="shared" si="313"/>
        <v>1605.4936905615959</v>
      </c>
      <c r="J320" s="20">
        <f>(Geraetedaten!$B$152+(Geraetedaten!$B$153*(Geraetedaten!$B$18+d_y_Sw)/1000))*10</f>
        <v>6051.0442000000003</v>
      </c>
      <c r="K320" s="20">
        <f>(Geraetedaten!$B$165+(Geraetedaten!$B$166*(Geraetedaten!$B$18+d_y_Sw)/1000))*10</f>
        <v>10816.164000000001</v>
      </c>
      <c r="L320" s="20">
        <f>(Geraetedaten!$B$158+(Geraetedaten!$B$159*(Geraetedaten!$B$18+d_y_Sw)/1000)-(Geraetedaten!$B$160*I320/1000))*10</f>
        <v>483.80574767111796</v>
      </c>
      <c r="M320" s="20">
        <f>(Geraetedaten!$B$171+(Geraetedaten!$B$172*(Geraetedaten!$B$18+d_y_Sw)/1000)-(Geraetedaten!$B$173*I320/1000))*10</f>
        <v>945.35404967459567</v>
      </c>
      <c r="N320" s="20">
        <f>IF((H320-J320)/(K320-J320)*(Geraetedaten!$B$174-Geraetedaten!$B$161)&lt;Geraetedaten!$B$174,(H320-J320)/(K320-J320)*(Geraetedaten!$B$174-Geraetedaten!$B$161),Geraetedaten!$B$174)</f>
        <v>85.234895850297903</v>
      </c>
      <c r="O320" s="20">
        <f>N320/Geraetedaten!$B$174*(M320-L320)+L320+C320</f>
        <v>649.60623663100796</v>
      </c>
      <c r="P320" s="20">
        <f t="shared" si="314"/>
        <v>219.77511857961611</v>
      </c>
      <c r="Q320" s="21">
        <f>(N320-Geraetedaten!$B$161)/(Geraetedaten!$B$174-Geraetedaten!$B$161)*(Geraetedaten!$B$175-Geraetedaten!$B$162)+Geraetedaten!$B$162</f>
        <v>31.735738151546361</v>
      </c>
      <c r="R320" s="21">
        <f t="shared" si="315"/>
        <v>31.735738151546361</v>
      </c>
      <c r="S320" s="21">
        <f t="shared" si="316"/>
        <v>-31.34501855246263</v>
      </c>
      <c r="T320" s="88">
        <f t="shared" si="317"/>
        <v>4.9645632203939938</v>
      </c>
      <c r="U320" s="86">
        <f t="shared" si="318"/>
        <v>7133.8808600000002</v>
      </c>
      <c r="V320" s="85">
        <f t="shared" si="319"/>
        <v>-1346.4914747781525</v>
      </c>
      <c r="W320" s="85">
        <f t="shared" si="320"/>
        <v>1605.4936905615959</v>
      </c>
      <c r="X320" s="90">
        <f t="shared" si="321"/>
        <v>1346.4914747781525</v>
      </c>
      <c r="Y320" s="86">
        <f t="shared" si="322"/>
        <v>-89506.198640000002</v>
      </c>
      <c r="Z320" s="85">
        <f t="shared" si="323"/>
        <v>-818.62113479844345</v>
      </c>
      <c r="AA320" s="85">
        <f t="shared" si="324"/>
        <v>-8575.6675674198777</v>
      </c>
      <c r="AB320" s="90">
        <f t="shared" si="325"/>
        <v>818.62113479844345</v>
      </c>
      <c r="AC320" s="86">
        <f t="shared" si="326"/>
        <v>-7086.2450600000002</v>
      </c>
      <c r="AD320" s="85">
        <f t="shared" si="327"/>
        <v>3384.56104615708</v>
      </c>
      <c r="AE320" s="85">
        <f t="shared" si="328"/>
        <v>-3997.0321290262773</v>
      </c>
      <c r="AF320" s="90">
        <f t="shared" si="329"/>
        <v>3384.56104615708</v>
      </c>
      <c r="AG320" s="86">
        <f t="shared" si="330"/>
        <v>61355.24523</v>
      </c>
      <c r="AH320" s="85">
        <f t="shared" si="331"/>
        <v>6139.2748628683721</v>
      </c>
      <c r="AI320" s="85">
        <f t="shared" si="332"/>
        <v>42166.329057417148</v>
      </c>
      <c r="AJ320" s="90">
        <f t="shared" si="333"/>
        <v>6139.2748628683721</v>
      </c>
      <c r="AL320" s="95">
        <f t="shared" si="334"/>
        <v>0</v>
      </c>
      <c r="AM320" s="95">
        <f t="shared" si="335"/>
        <v>0</v>
      </c>
      <c r="AN320" s="95">
        <f t="shared" si="336"/>
        <v>0</v>
      </c>
      <c r="AO320" s="95">
        <f t="shared" si="337"/>
        <v>0</v>
      </c>
      <c r="AP320"/>
      <c r="AQ320" s="95">
        <f t="shared" si="338"/>
        <v>0</v>
      </c>
      <c r="AR320" s="95">
        <f t="shared" si="339"/>
        <v>0</v>
      </c>
      <c r="AS320" s="95">
        <f>Geraetedaten!$B$94*ABS(SIN(RADIANS($A320)))</f>
        <v>152.10400445165121</v>
      </c>
      <c r="AT320" s="95">
        <f>Geraetedaten!$B$94*ABS(COS(RADIANS($A320)))</f>
        <v>24.090907616195523</v>
      </c>
      <c r="AU320" s="95">
        <f>((h_Aw_Sw+Geraetedaten!$B$18)/1000)*(AQ320*AS320+AR320*AT320)/100</f>
        <v>0</v>
      </c>
    </row>
    <row r="321" spans="1:47" ht="13.5" x14ac:dyDescent="0.25">
      <c r="A321" s="16">
        <v>280</v>
      </c>
      <c r="B321" s="16">
        <f t="shared" si="306"/>
        <v>170</v>
      </c>
      <c r="C321" s="19">
        <f t="shared" si="307"/>
        <v>67.782875762078234</v>
      </c>
      <c r="D321" s="17">
        <f t="shared" si="308"/>
        <v>7148.987744237922</v>
      </c>
      <c r="E321" s="17">
        <f t="shared" si="309"/>
        <v>-75802.412705762079</v>
      </c>
      <c r="F321" s="17">
        <f t="shared" si="310"/>
        <v>-7233.6866357620784</v>
      </c>
      <c r="G321" s="17">
        <f t="shared" si="311"/>
        <v>54790.164044237921</v>
      </c>
      <c r="H321" s="17">
        <f t="shared" si="312"/>
        <v>7148.987744237922</v>
      </c>
      <c r="I321" s="17">
        <f t="shared" si="313"/>
        <v>1624.148190802267</v>
      </c>
      <c r="J321" s="20">
        <f>(Geraetedaten!$B$152+(Geraetedaten!$B$153*(Geraetedaten!$B$18+d_y_Sw)/1000))*10</f>
        <v>6051.0442000000003</v>
      </c>
      <c r="K321" s="20">
        <f>(Geraetedaten!$B$165+(Geraetedaten!$B$166*(Geraetedaten!$B$18+d_y_Sw)/1000))*10</f>
        <v>10816.164000000001</v>
      </c>
      <c r="L321" s="20">
        <f>(Geraetedaten!$B$158+(Geraetedaten!$B$159*(Geraetedaten!$B$18+d_y_Sw)/1000)-(Geraetedaten!$B$160*I321/1000))*10</f>
        <v>482.43781316846946</v>
      </c>
      <c r="M321" s="20">
        <f>(Geraetedaten!$B$171+(Geraetedaten!$B$172*(Geraetedaten!$B$18+d_y_Sw)/1000)-(Geraetedaten!$B$173*I321/1000))*10</f>
        <v>943.96540867668023</v>
      </c>
      <c r="N321" s="20">
        <f>IF((H321-J321)/(K321-J321)*(Geraetedaten!$B$174-Geraetedaten!$B$161)&lt;Geraetedaten!$B$174,(H321-J321)/(K321-J321)*(Geraetedaten!$B$174-Geraetedaten!$B$161),Geraetedaten!$B$174)</f>
        <v>92.165031757474097</v>
      </c>
      <c r="O321" s="20">
        <f>N321/Geraetedaten!$B$174*(M321-L321)+L321+C321</f>
        <v>656.56245267295992</v>
      </c>
      <c r="P321" s="20">
        <f t="shared" si="314"/>
        <v>220.75467175047942</v>
      </c>
      <c r="Q321" s="21">
        <f>(N321-Geraetedaten!$B$161)/(Geraetedaten!$B$174-Geraetedaten!$B$161)*(Geraetedaten!$B$175-Geraetedaten!$B$162)+Geraetedaten!$B$162</f>
        <v>31.941909694784854</v>
      </c>
      <c r="R321" s="21">
        <f t="shared" si="315"/>
        <v>31.941909694784854</v>
      </c>
      <c r="S321" s="21">
        <f t="shared" si="316"/>
        <v>-31.456640313439941</v>
      </c>
      <c r="T321" s="88">
        <f t="shared" si="317"/>
        <v>5.5466544097010333</v>
      </c>
      <c r="U321" s="86">
        <f t="shared" si="318"/>
        <v>7216.7706200000002</v>
      </c>
      <c r="V321" s="85">
        <f t="shared" si="319"/>
        <v>-1346.4914747781525</v>
      </c>
      <c r="W321" s="85">
        <f t="shared" si="320"/>
        <v>1624.148190802267</v>
      </c>
      <c r="X321" s="90">
        <f t="shared" si="321"/>
        <v>1346.4914747781525</v>
      </c>
      <c r="Y321" s="86">
        <f t="shared" si="322"/>
        <v>-75734.629830000005</v>
      </c>
      <c r="Z321" s="85">
        <f t="shared" si="323"/>
        <v>-818.62113479844345</v>
      </c>
      <c r="AA321" s="85">
        <f t="shared" si="324"/>
        <v>-7256.2014541275521</v>
      </c>
      <c r="AB321" s="90">
        <f t="shared" si="325"/>
        <v>818.62113479844345</v>
      </c>
      <c r="AC321" s="86">
        <f t="shared" si="326"/>
        <v>-7165.9037600000001</v>
      </c>
      <c r="AD321" s="85">
        <f t="shared" si="327"/>
        <v>3384.56104615708</v>
      </c>
      <c r="AE321" s="85">
        <f t="shared" si="328"/>
        <v>-4041.9640155658021</v>
      </c>
      <c r="AF321" s="90">
        <f t="shared" si="329"/>
        <v>3384.56104615708</v>
      </c>
      <c r="AG321" s="86">
        <f t="shared" si="330"/>
        <v>54857.946920000002</v>
      </c>
      <c r="AH321" s="85">
        <f t="shared" si="331"/>
        <v>6139.2748628683721</v>
      </c>
      <c r="AI321" s="85">
        <f t="shared" si="332"/>
        <v>37701.067483954059</v>
      </c>
      <c r="AJ321" s="90">
        <f t="shared" si="333"/>
        <v>6139.2748628683721</v>
      </c>
      <c r="AL321" s="95">
        <f t="shared" si="334"/>
        <v>0</v>
      </c>
      <c r="AM321" s="95">
        <f t="shared" si="335"/>
        <v>0</v>
      </c>
      <c r="AN321" s="95">
        <f t="shared" si="336"/>
        <v>0</v>
      </c>
      <c r="AO321" s="95">
        <f t="shared" si="337"/>
        <v>0</v>
      </c>
      <c r="AP321"/>
      <c r="AQ321" s="95">
        <f t="shared" si="338"/>
        <v>0</v>
      </c>
      <c r="AR321" s="95">
        <f t="shared" si="339"/>
        <v>0</v>
      </c>
      <c r="AS321" s="95">
        <f>Geraetedaten!$B$94*ABS(SIN(RADIANS($A321)))</f>
        <v>151.66039396388004</v>
      </c>
      <c r="AT321" s="95">
        <f>Geraetedaten!$B$94*ABS(COS(RADIANS($A321)))</f>
        <v>26.741819360707215</v>
      </c>
      <c r="AU321" s="95">
        <f>((h_Aw_Sw+Geraetedaten!$B$18)/1000)*(AQ321*AS321+AR321*AT321)/100</f>
        <v>0</v>
      </c>
    </row>
    <row r="322" spans="1:47" ht="13.5" x14ac:dyDescent="0.25">
      <c r="A322" s="16">
        <v>281</v>
      </c>
      <c r="B322" s="16">
        <f t="shared" si="306"/>
        <v>169</v>
      </c>
      <c r="C322" s="19">
        <f t="shared" si="307"/>
        <v>68.094668871552628</v>
      </c>
      <c r="D322" s="17">
        <f t="shared" si="308"/>
        <v>7235.7655511284465</v>
      </c>
      <c r="E322" s="17">
        <f t="shared" si="309"/>
        <v>-65721.225878871555</v>
      </c>
      <c r="F322" s="17">
        <f t="shared" si="310"/>
        <v>-7317.7018188715529</v>
      </c>
      <c r="G322" s="17">
        <f t="shared" si="311"/>
        <v>49550.533491128444</v>
      </c>
      <c r="H322" s="17">
        <f t="shared" si="312"/>
        <v>7235.7655511284465</v>
      </c>
      <c r="I322" s="17">
        <f t="shared" si="313"/>
        <v>1643.7478743408053</v>
      </c>
      <c r="J322" s="20">
        <f>(Geraetedaten!$B$152+(Geraetedaten!$B$153*(Geraetedaten!$B$18+d_y_Sw)/1000))*10</f>
        <v>6051.0442000000003</v>
      </c>
      <c r="K322" s="20">
        <f>(Geraetedaten!$B$165+(Geraetedaten!$B$166*(Geraetedaten!$B$18+d_y_Sw)/1000))*10</f>
        <v>10816.164000000001</v>
      </c>
      <c r="L322" s="20">
        <f>(Geraetedaten!$B$158+(Geraetedaten!$B$159*(Geraetedaten!$B$18+d_y_Sw)/1000)-(Geraetedaten!$B$160*I322/1000))*10</f>
        <v>481.00056837458851</v>
      </c>
      <c r="M322" s="20">
        <f>(Geraetedaten!$B$171+(Geraetedaten!$B$172*(Geraetedaten!$B$18+d_y_Sw)/1000)-(Geraetedaten!$B$173*I322/1000))*10</f>
        <v>942.50640823407139</v>
      </c>
      <c r="N322" s="20">
        <f>IF((H322-J322)/(K322-J322)*(Geraetedaten!$B$174-Geraetedaten!$B$161)&lt;Geraetedaten!$B$174,(H322-J322)/(K322-J322)*(Geraetedaten!$B$174-Geraetedaten!$B$161),Geraetedaten!$B$174)</f>
        <v>99.449449403429156</v>
      </c>
      <c r="O322" s="20">
        <f>N322/Geraetedaten!$B$174*(M322-L322)+L322+C322</f>
        <v>663.83649142237289</v>
      </c>
      <c r="P322" s="20">
        <f t="shared" si="314"/>
        <v>221.75863741346271</v>
      </c>
      <c r="Q322" s="21">
        <f>(N322-Geraetedaten!$B$161)/(Geraetedaten!$B$174-Geraetedaten!$B$161)*(Geraetedaten!$B$175-Geraetedaten!$B$162)+Geraetedaten!$B$162</f>
        <v>32.15862111975202</v>
      </c>
      <c r="R322" s="21">
        <f t="shared" si="315"/>
        <v>32.15862111975202</v>
      </c>
      <c r="S322" s="21">
        <f t="shared" si="316"/>
        <v>-31.567776673342735</v>
      </c>
      <c r="T322" s="88">
        <f t="shared" si="317"/>
        <v>6.136154188554829</v>
      </c>
      <c r="U322" s="86">
        <f t="shared" si="318"/>
        <v>7303.8602199999996</v>
      </c>
      <c r="V322" s="85">
        <f t="shared" si="319"/>
        <v>-1346.4914747781525</v>
      </c>
      <c r="W322" s="85">
        <f t="shared" si="320"/>
        <v>1643.7478743408053</v>
      </c>
      <c r="X322" s="90">
        <f t="shared" si="321"/>
        <v>1346.4914747781525</v>
      </c>
      <c r="Y322" s="86">
        <f t="shared" si="322"/>
        <v>-65653.131210000007</v>
      </c>
      <c r="Z322" s="85">
        <f t="shared" si="323"/>
        <v>-818.62113479844345</v>
      </c>
      <c r="AA322" s="85">
        <f t="shared" si="324"/>
        <v>-6290.2842103263865</v>
      </c>
      <c r="AB322" s="90">
        <f t="shared" si="325"/>
        <v>818.62113479844345</v>
      </c>
      <c r="AC322" s="86">
        <f t="shared" si="326"/>
        <v>-7249.6071499999998</v>
      </c>
      <c r="AD322" s="85">
        <f t="shared" si="327"/>
        <v>3384.56104615708</v>
      </c>
      <c r="AE322" s="85">
        <f t="shared" si="328"/>
        <v>-4089.1773382110891</v>
      </c>
      <c r="AF322" s="90">
        <f t="shared" si="329"/>
        <v>3384.56104615708</v>
      </c>
      <c r="AG322" s="86">
        <f t="shared" si="330"/>
        <v>49618.62816</v>
      </c>
      <c r="AH322" s="85">
        <f t="shared" si="331"/>
        <v>6139.2748628683721</v>
      </c>
      <c r="AI322" s="85">
        <f t="shared" si="332"/>
        <v>34100.351071578829</v>
      </c>
      <c r="AJ322" s="90">
        <f t="shared" si="333"/>
        <v>6139.2748628683721</v>
      </c>
      <c r="AL322" s="95">
        <f t="shared" si="334"/>
        <v>0</v>
      </c>
      <c r="AM322" s="95">
        <f t="shared" si="335"/>
        <v>0</v>
      </c>
      <c r="AN322" s="95">
        <f t="shared" si="336"/>
        <v>0</v>
      </c>
      <c r="AO322" s="95">
        <f t="shared" si="337"/>
        <v>0</v>
      </c>
      <c r="AP322"/>
      <c r="AQ322" s="95">
        <f t="shared" si="338"/>
        <v>0</v>
      </c>
      <c r="AR322" s="95">
        <f t="shared" si="339"/>
        <v>0</v>
      </c>
      <c r="AS322" s="95">
        <f>Geraetedaten!$B$94*ABS(SIN(RADIANS($A322)))</f>
        <v>151.17058625094023</v>
      </c>
      <c r="AT322" s="95">
        <f>Geraetedaten!$B$94*ABS(COS(RADIANS($A322)))</f>
        <v>29.384585287987946</v>
      </c>
      <c r="AU322" s="95">
        <f>((h_Aw_Sw+Geraetedaten!$B$18)/1000)*(AQ322*AS322+AR322*AT322)/100</f>
        <v>0</v>
      </c>
    </row>
    <row r="323" spans="1:47" ht="13.5" x14ac:dyDescent="0.25">
      <c r="A323" s="16">
        <v>282</v>
      </c>
      <c r="B323" s="16">
        <f t="shared" si="306"/>
        <v>168</v>
      </c>
      <c r="C323" s="19">
        <f t="shared" si="307"/>
        <v>68.385719685240858</v>
      </c>
      <c r="D323" s="17">
        <f t="shared" si="308"/>
        <v>7326.9719303147594</v>
      </c>
      <c r="E323" s="17">
        <f t="shared" si="309"/>
        <v>-58024.304889685242</v>
      </c>
      <c r="F323" s="17">
        <f t="shared" si="310"/>
        <v>-7405.9363296852407</v>
      </c>
      <c r="G323" s="17">
        <f t="shared" si="311"/>
        <v>45237.055480314761</v>
      </c>
      <c r="H323" s="17">
        <f t="shared" si="312"/>
        <v>7326.9719303147594</v>
      </c>
      <c r="I323" s="17">
        <f t="shared" si="313"/>
        <v>1664.3395478407674</v>
      </c>
      <c r="J323" s="20">
        <f>(Geraetedaten!$B$152+(Geraetedaten!$B$153*(Geraetedaten!$B$18+d_y_Sw)/1000))*10</f>
        <v>6051.0442000000003</v>
      </c>
      <c r="K323" s="20">
        <f>(Geraetedaten!$B$165+(Geraetedaten!$B$166*(Geraetedaten!$B$18+d_y_Sw)/1000))*10</f>
        <v>10816.164000000001</v>
      </c>
      <c r="L323" s="20">
        <f>(Geraetedaten!$B$158+(Geraetedaten!$B$159*(Geraetedaten!$B$18+d_y_Sw)/1000)-(Geraetedaten!$B$160*I323/1000))*10</f>
        <v>479.49058095683625</v>
      </c>
      <c r="M323" s="20">
        <f>(Geraetedaten!$B$171+(Geraetedaten!$B$172*(Geraetedaten!$B$18+d_y_Sw)/1000)-(Geraetedaten!$B$173*I323/1000))*10</f>
        <v>940.97356405873427</v>
      </c>
      <c r="N323" s="20">
        <f>IF((H323-J323)/(K323-J323)*(Geraetedaten!$B$174-Geraetedaten!$B$161)&lt;Geraetedaten!$B$174,(H323-J323)/(K323-J323)*(Geraetedaten!$B$174-Geraetedaten!$B$161),Geraetedaten!$B$174)</f>
        <v>107.10561613286274</v>
      </c>
      <c r="O323" s="20">
        <f>N323/Geraetedaten!$B$174*(M323-L323)+L323+C323</f>
        <v>671.44484874197769</v>
      </c>
      <c r="P323" s="20">
        <f t="shared" si="314"/>
        <v>222.78764948448801</v>
      </c>
      <c r="Q323" s="21">
        <f>(N323-Geraetedaten!$B$161)/(Geraetedaten!$B$174-Geraetedaten!$B$161)*(Geraetedaten!$B$175-Geraetedaten!$B$162)+Geraetedaten!$B$162</f>
        <v>32.386392079952664</v>
      </c>
      <c r="R323" s="21">
        <f t="shared" si="315"/>
        <v>32.386392079952664</v>
      </c>
      <c r="S323" s="21">
        <f t="shared" si="316"/>
        <v>-31.67867170943002</v>
      </c>
      <c r="T323" s="88">
        <f t="shared" si="317"/>
        <v>6.7335095368298505</v>
      </c>
      <c r="U323" s="86">
        <f t="shared" si="318"/>
        <v>7395.3576499999999</v>
      </c>
      <c r="V323" s="85">
        <f t="shared" si="319"/>
        <v>-1346.4914747781525</v>
      </c>
      <c r="W323" s="85">
        <f t="shared" si="320"/>
        <v>1664.3395478407674</v>
      </c>
      <c r="X323" s="90">
        <f t="shared" si="321"/>
        <v>1346.4914747781525</v>
      </c>
      <c r="Y323" s="86">
        <f t="shared" si="322"/>
        <v>-57955.919170000001</v>
      </c>
      <c r="Z323" s="85">
        <f t="shared" si="323"/>
        <v>-818.62113479844345</v>
      </c>
      <c r="AA323" s="85">
        <f t="shared" si="324"/>
        <v>-5552.8075588701522</v>
      </c>
      <c r="AB323" s="90">
        <f t="shared" si="325"/>
        <v>818.62113479844345</v>
      </c>
      <c r="AC323" s="86">
        <f t="shared" si="326"/>
        <v>-7337.5506100000002</v>
      </c>
      <c r="AD323" s="85">
        <f t="shared" si="327"/>
        <v>3384.56104615708</v>
      </c>
      <c r="AE323" s="85">
        <f t="shared" si="328"/>
        <v>-4138.7822876948776</v>
      </c>
      <c r="AF323" s="90">
        <f t="shared" si="329"/>
        <v>3384.56104615708</v>
      </c>
      <c r="AG323" s="86">
        <f t="shared" si="330"/>
        <v>45305.441200000001</v>
      </c>
      <c r="AH323" s="85">
        <f t="shared" si="331"/>
        <v>6139.2748628683721</v>
      </c>
      <c r="AI323" s="85">
        <f t="shared" si="332"/>
        <v>31136.117771986264</v>
      </c>
      <c r="AJ323" s="90">
        <f t="shared" si="333"/>
        <v>6139.2748628683721</v>
      </c>
      <c r="AL323" s="95">
        <f t="shared" si="334"/>
        <v>0</v>
      </c>
      <c r="AM323" s="95">
        <f t="shared" si="335"/>
        <v>0</v>
      </c>
      <c r="AN323" s="95">
        <f t="shared" si="336"/>
        <v>0</v>
      </c>
      <c r="AO323" s="95">
        <f t="shared" si="337"/>
        <v>0</v>
      </c>
      <c r="AP323"/>
      <c r="AQ323" s="95">
        <f t="shared" si="338"/>
        <v>0</v>
      </c>
      <c r="AR323" s="95">
        <f t="shared" si="339"/>
        <v>0</v>
      </c>
      <c r="AS323" s="95">
        <f>Geraetedaten!$B$94*ABS(SIN(RADIANS($A323)))</f>
        <v>150.63473051300605</v>
      </c>
      <c r="AT323" s="95">
        <f>Geraetedaten!$B$94*ABS(COS(RADIANS($A323)))</f>
        <v>32.018400385934953</v>
      </c>
      <c r="AU323" s="95">
        <f>((h_Aw_Sw+Geraetedaten!$B$18)/1000)*(AQ323*AS323+AR323*AT323)/100</f>
        <v>0</v>
      </c>
    </row>
    <row r="324" spans="1:47" ht="13.5" x14ac:dyDescent="0.25">
      <c r="A324" s="16">
        <v>283</v>
      </c>
      <c r="B324" s="16">
        <f t="shared" si="306"/>
        <v>167</v>
      </c>
      <c r="C324" s="19">
        <f t="shared" si="307"/>
        <v>68.655939546245634</v>
      </c>
      <c r="D324" s="17">
        <f t="shared" si="308"/>
        <v>7422.8315804537542</v>
      </c>
      <c r="E324" s="17">
        <f t="shared" si="309"/>
        <v>-51956.964699546246</v>
      </c>
      <c r="F324" s="17">
        <f t="shared" si="310"/>
        <v>-7498.6008795462458</v>
      </c>
      <c r="G324" s="17">
        <f t="shared" si="311"/>
        <v>41625.175590453757</v>
      </c>
      <c r="H324" s="17">
        <f t="shared" si="312"/>
        <v>7422.8315804537542</v>
      </c>
      <c r="I324" s="17">
        <f t="shared" si="313"/>
        <v>1685.9737603573471</v>
      </c>
      <c r="J324" s="20">
        <f>(Geraetedaten!$B$152+(Geraetedaten!$B$153*(Geraetedaten!$B$18+d_y_Sw)/1000))*10</f>
        <v>6051.0442000000003</v>
      </c>
      <c r="K324" s="20">
        <f>(Geraetedaten!$B$165+(Geraetedaten!$B$166*(Geraetedaten!$B$18+d_y_Sw)/1000))*10</f>
        <v>10816.164000000001</v>
      </c>
      <c r="L324" s="20">
        <f>(Geraetedaten!$B$158+(Geraetedaten!$B$159*(Geraetedaten!$B$18+d_y_Sw)/1000)-(Geraetedaten!$B$160*I324/1000))*10</f>
        <v>477.90414415299551</v>
      </c>
      <c r="M324" s="20">
        <f>(Geraetedaten!$B$171+(Geraetedaten!$B$172*(Geraetedaten!$B$18+d_y_Sw)/1000)-(Geraetedaten!$B$173*I324/1000))*10</f>
        <v>939.363113279</v>
      </c>
      <c r="N324" s="20">
        <f>IF((H324-J324)/(K324-J324)*(Geraetedaten!$B$174-Geraetedaten!$B$161)&lt;Geraetedaten!$B$174,(H324-J324)/(K324-J324)*(Geraetedaten!$B$174-Geraetedaten!$B$161),Geraetedaten!$B$174)</f>
        <v>115.15239389815584</v>
      </c>
      <c r="O324" s="20">
        <f>N324/Geraetedaten!$B$174*(M324-L324)+L324+C324</f>
        <v>679.40534615082765</v>
      </c>
      <c r="P324" s="20">
        <f t="shared" si="314"/>
        <v>223.84237792416229</v>
      </c>
      <c r="Q324" s="21">
        <f>(N324-Geraetedaten!$B$161)/(Geraetedaten!$B$174-Geraetedaten!$B$161)*(Geraetedaten!$B$175-Geraetedaten!$B$162)+Geraetedaten!$B$162</f>
        <v>32.625783718470139</v>
      </c>
      <c r="R324" s="21">
        <f t="shared" si="315"/>
        <v>32.625783718470139</v>
      </c>
      <c r="S324" s="21">
        <f t="shared" si="316"/>
        <v>-31.789586995434821</v>
      </c>
      <c r="T324" s="88">
        <f t="shared" si="317"/>
        <v>7.3392044462647599</v>
      </c>
      <c r="U324" s="86">
        <f t="shared" si="318"/>
        <v>7491.4875199999997</v>
      </c>
      <c r="V324" s="85">
        <f t="shared" si="319"/>
        <v>-1346.4914747781525</v>
      </c>
      <c r="W324" s="85">
        <f t="shared" si="320"/>
        <v>1685.9737603573471</v>
      </c>
      <c r="X324" s="90">
        <f t="shared" si="321"/>
        <v>1346.4914747781525</v>
      </c>
      <c r="Y324" s="86">
        <f t="shared" si="322"/>
        <v>-51888.30876</v>
      </c>
      <c r="Z324" s="85">
        <f t="shared" si="323"/>
        <v>-818.62113479844345</v>
      </c>
      <c r="AA324" s="85">
        <f t="shared" si="324"/>
        <v>-4971.4644719443831</v>
      </c>
      <c r="AB324" s="90">
        <f t="shared" si="325"/>
        <v>818.62113479844345</v>
      </c>
      <c r="AC324" s="86">
        <f t="shared" si="326"/>
        <v>-7429.9449400000003</v>
      </c>
      <c r="AD324" s="85">
        <f t="shared" si="327"/>
        <v>3384.56104615708</v>
      </c>
      <c r="AE324" s="85">
        <f t="shared" si="328"/>
        <v>-4190.8977744377644</v>
      </c>
      <c r="AF324" s="90">
        <f t="shared" si="329"/>
        <v>3384.56104615708</v>
      </c>
      <c r="AG324" s="86">
        <f t="shared" si="330"/>
        <v>41693.831530000003</v>
      </c>
      <c r="AH324" s="85">
        <f t="shared" si="331"/>
        <v>6139.2748628683721</v>
      </c>
      <c r="AI324" s="85">
        <f t="shared" si="332"/>
        <v>28654.042750225977</v>
      </c>
      <c r="AJ324" s="90">
        <f t="shared" si="333"/>
        <v>6139.2748628683721</v>
      </c>
      <c r="AL324" s="95">
        <f t="shared" si="334"/>
        <v>0</v>
      </c>
      <c r="AM324" s="95">
        <f t="shared" si="335"/>
        <v>0</v>
      </c>
      <c r="AN324" s="95">
        <f t="shared" si="336"/>
        <v>0</v>
      </c>
      <c r="AO324" s="95">
        <f t="shared" si="337"/>
        <v>0</v>
      </c>
      <c r="AP324"/>
      <c r="AQ324" s="95">
        <f t="shared" si="338"/>
        <v>0</v>
      </c>
      <c r="AR324" s="95">
        <f t="shared" si="339"/>
        <v>0</v>
      </c>
      <c r="AS324" s="95">
        <f>Geraetedaten!$B$94*ABS(SIN(RADIANS($A324)))</f>
        <v>150.05298997692623</v>
      </c>
      <c r="AT324" s="95">
        <f>Geraetedaten!$B$94*ABS(COS(RADIANS($A324)))</f>
        <v>34.642462368955201</v>
      </c>
      <c r="AU324" s="95">
        <f>((h_Aw_Sw+Geraetedaten!$B$18)/1000)*(AQ324*AS324+AR324*AT324)/100</f>
        <v>0</v>
      </c>
    </row>
    <row r="325" spans="1:47" ht="13.5" x14ac:dyDescent="0.25">
      <c r="A325" s="16">
        <v>284</v>
      </c>
      <c r="B325" s="16">
        <f t="shared" si="306"/>
        <v>166</v>
      </c>
      <c r="C325" s="19">
        <f t="shared" si="307"/>
        <v>68.905246142979607</v>
      </c>
      <c r="D325" s="17">
        <f t="shared" si="308"/>
        <v>7523.5873838570205</v>
      </c>
      <c r="E325" s="17">
        <f t="shared" si="309"/>
        <v>-47052.632876142983</v>
      </c>
      <c r="F325" s="17">
        <f t="shared" si="310"/>
        <v>-7595.9230961429794</v>
      </c>
      <c r="G325" s="17">
        <f t="shared" si="311"/>
        <v>38557.51360385702</v>
      </c>
      <c r="H325" s="17">
        <f t="shared" si="312"/>
        <v>7523.5873838570205</v>
      </c>
      <c r="I325" s="17">
        <f t="shared" si="313"/>
        <v>1708.7051552255314</v>
      </c>
      <c r="J325" s="20">
        <f>(Geraetedaten!$B$152+(Geraetedaten!$B$153*(Geraetedaten!$B$18+d_y_Sw)/1000))*10</f>
        <v>6051.0442000000003</v>
      </c>
      <c r="K325" s="20">
        <f>(Geraetedaten!$B$165+(Geraetedaten!$B$166*(Geraetedaten!$B$18+d_y_Sw)/1000))*10</f>
        <v>10816.164000000001</v>
      </c>
      <c r="L325" s="20">
        <f>(Geraetedaten!$B$158+(Geraetedaten!$B$159*(Geraetedaten!$B$18+d_y_Sw)/1000)-(Geraetedaten!$B$160*I325/1000))*10</f>
        <v>476.23725096731158</v>
      </c>
      <c r="M325" s="20">
        <f>(Geraetedaten!$B$171+(Geraetedaten!$B$172*(Geraetedaten!$B$18+d_y_Sw)/1000)-(Geraetedaten!$B$173*I325/1000))*10</f>
        <v>937.67098824501227</v>
      </c>
      <c r="N325" s="20">
        <f>IF((H325-J325)/(K325-J325)*(Geraetedaten!$B$174-Geraetedaten!$B$161)&lt;Geraetedaten!$B$174,(H325-J325)/(K325-J325)*(Geraetedaten!$B$174-Geraetedaten!$B$161),Geraetedaten!$B$174)</f>
        <v>123.61017104812517</v>
      </c>
      <c r="O325" s="20">
        <f>N325/Geraetedaten!$B$174*(M325-L325)+L325+C325</f>
        <v>687.73725509097176</v>
      </c>
      <c r="P325" s="20">
        <f t="shared" si="314"/>
        <v>224.92352981251193</v>
      </c>
      <c r="Q325" s="21">
        <f>(N325-Geraetedaten!$B$161)/(Geraetedaten!$B$174-Geraetedaten!$B$161)*(Geraetedaten!$B$175-Geraetedaten!$B$162)+Geraetedaten!$B$162</f>
        <v>32.877402588681726</v>
      </c>
      <c r="R325" s="21">
        <f t="shared" si="315"/>
        <v>32.877402588681726</v>
      </c>
      <c r="S325" s="21">
        <f t="shared" si="316"/>
        <v>-31.900803222853266</v>
      </c>
      <c r="T325" s="88">
        <f t="shared" si="317"/>
        <v>7.9537635566472966</v>
      </c>
      <c r="U325" s="86">
        <f t="shared" si="318"/>
        <v>7592.4926299999997</v>
      </c>
      <c r="V325" s="85">
        <f t="shared" si="319"/>
        <v>-1346.4914747781525</v>
      </c>
      <c r="W325" s="85">
        <f t="shared" si="320"/>
        <v>1708.7051552255314</v>
      </c>
      <c r="X325" s="90">
        <f t="shared" si="321"/>
        <v>1346.4914747781525</v>
      </c>
      <c r="Y325" s="86">
        <f t="shared" si="322"/>
        <v>-46983.727630000001</v>
      </c>
      <c r="Z325" s="85">
        <f t="shared" si="323"/>
        <v>-818.62113479844345</v>
      </c>
      <c r="AA325" s="85">
        <f t="shared" si="324"/>
        <v>-4501.5522431452073</v>
      </c>
      <c r="AB325" s="90">
        <f t="shared" si="325"/>
        <v>818.62113479844345</v>
      </c>
      <c r="AC325" s="86">
        <f t="shared" si="326"/>
        <v>-7527.0178500000002</v>
      </c>
      <c r="AD325" s="85">
        <f t="shared" si="327"/>
        <v>3384.56104615708</v>
      </c>
      <c r="AE325" s="85">
        <f t="shared" si="328"/>
        <v>-4245.6522327831162</v>
      </c>
      <c r="AF325" s="90">
        <f t="shared" si="329"/>
        <v>3384.56104615708</v>
      </c>
      <c r="AG325" s="86">
        <f t="shared" si="330"/>
        <v>38626.418850000002</v>
      </c>
      <c r="AH325" s="85">
        <f t="shared" si="331"/>
        <v>6139.2748628683721</v>
      </c>
      <c r="AI325" s="85">
        <f t="shared" si="332"/>
        <v>26545.966547792323</v>
      </c>
      <c r="AJ325" s="90">
        <f t="shared" si="333"/>
        <v>6139.2748628683721</v>
      </c>
      <c r="AL325" s="95">
        <f t="shared" si="334"/>
        <v>0</v>
      </c>
      <c r="AM325" s="95">
        <f t="shared" si="335"/>
        <v>0</v>
      </c>
      <c r="AN325" s="95">
        <f t="shared" si="336"/>
        <v>0</v>
      </c>
      <c r="AO325" s="95">
        <f t="shared" si="337"/>
        <v>0</v>
      </c>
      <c r="AP325"/>
      <c r="AQ325" s="95">
        <f t="shared" si="338"/>
        <v>0</v>
      </c>
      <c r="AR325" s="95">
        <f t="shared" si="339"/>
        <v>0</v>
      </c>
      <c r="AS325" s="95">
        <f>Geraetedaten!$B$94*ABS(SIN(RADIANS($A325)))</f>
        <v>149.42554184650348</v>
      </c>
      <c r="AT325" s="95">
        <f>Geraetedaten!$B$94*ABS(COS(RADIANS($A325)))</f>
        <v>37.255971922348785</v>
      </c>
      <c r="AU325" s="95">
        <f>((h_Aw_Sw+Geraetedaten!$B$18)/1000)*(AQ325*AS325+AR325*AT325)/100</f>
        <v>0</v>
      </c>
    </row>
    <row r="326" spans="1:47" ht="13.5" x14ac:dyDescent="0.25">
      <c r="A326" s="16">
        <v>285</v>
      </c>
      <c r="B326" s="16">
        <f t="shared" si="306"/>
        <v>165</v>
      </c>
      <c r="C326" s="19">
        <f t="shared" si="307"/>
        <v>69.133563534238306</v>
      </c>
      <c r="D326" s="17">
        <f t="shared" si="308"/>
        <v>7629.5021564657618</v>
      </c>
      <c r="E326" s="17">
        <f t="shared" si="309"/>
        <v>-43007.34006353424</v>
      </c>
      <c r="F326" s="17">
        <f t="shared" si="310"/>
        <v>-7698.1490635342388</v>
      </c>
      <c r="G326" s="17">
        <f t="shared" si="311"/>
        <v>35920.493386465758</v>
      </c>
      <c r="H326" s="17">
        <f t="shared" si="312"/>
        <v>7629.5021564657618</v>
      </c>
      <c r="I326" s="17">
        <f t="shared" si="313"/>
        <v>1732.5928637389068</v>
      </c>
      <c r="J326" s="20">
        <f>(Geraetedaten!$B$152+(Geraetedaten!$B$153*(Geraetedaten!$B$18+d_y_Sw)/1000))*10</f>
        <v>6051.0442000000003</v>
      </c>
      <c r="K326" s="20">
        <f>(Geraetedaten!$B$165+(Geraetedaten!$B$166*(Geraetedaten!$B$18+d_y_Sw)/1000))*10</f>
        <v>10816.164000000001</v>
      </c>
      <c r="L326" s="20">
        <f>(Geraetedaten!$B$158+(Geraetedaten!$B$159*(Geraetedaten!$B$18+d_y_Sw)/1000)-(Geraetedaten!$B$160*I326/1000))*10</f>
        <v>474.48556530202575</v>
      </c>
      <c r="M326" s="20">
        <f>(Geraetedaten!$B$171+(Geraetedaten!$B$172*(Geraetedaten!$B$18+d_y_Sw)/1000)-(Geraetedaten!$B$173*I326/1000))*10</f>
        <v>935.89278722327674</v>
      </c>
      <c r="N326" s="20">
        <f>IF((H326-J326)/(K326-J326)*(Geraetedaten!$B$174-Geraetedaten!$B$161)&lt;Geraetedaten!$B$174,(H326-J326)/(K326-J326)*(Geraetedaten!$B$174-Geraetedaten!$B$161),Geraetedaten!$B$174)</f>
        <v>132.50100922673644</v>
      </c>
      <c r="O326" s="20">
        <f>N326/Geraetedaten!$B$174*(M326-L326)+L326+C326</f>
        <v>696.46143525894036</v>
      </c>
      <c r="P326" s="20">
        <f t="shared" si="314"/>
        <v>226.03185037094178</v>
      </c>
      <c r="Q326" s="21">
        <f>(N326-Geraetedaten!$B$161)/(Geraetedaten!$B$174-Geraetedaten!$B$161)*(Geraetedaten!$B$175-Geraetedaten!$B$162)+Geraetedaten!$B$162</f>
        <v>33.141905024495408</v>
      </c>
      <c r="R326" s="21">
        <f t="shared" si="315"/>
        <v>33.141905024495408</v>
      </c>
      <c r="S326" s="21">
        <f t="shared" si="316"/>
        <v>-32.012621995579558</v>
      </c>
      <c r="T326" s="88">
        <f t="shared" si="317"/>
        <v>8.5777562113183201</v>
      </c>
      <c r="U326" s="86">
        <f t="shared" si="318"/>
        <v>7698.6357200000002</v>
      </c>
      <c r="V326" s="85">
        <f t="shared" si="319"/>
        <v>-1346.4914747781525</v>
      </c>
      <c r="W326" s="85">
        <f t="shared" si="320"/>
        <v>1732.5928637389068</v>
      </c>
      <c r="X326" s="90">
        <f t="shared" si="321"/>
        <v>1346.4914747781525</v>
      </c>
      <c r="Y326" s="86">
        <f t="shared" si="322"/>
        <v>-42938.2065</v>
      </c>
      <c r="Z326" s="85">
        <f t="shared" si="323"/>
        <v>-818.62113479844345</v>
      </c>
      <c r="AA326" s="85">
        <f t="shared" si="324"/>
        <v>-4113.9473075088126</v>
      </c>
      <c r="AB326" s="90">
        <f t="shared" si="325"/>
        <v>818.62113479844345</v>
      </c>
      <c r="AC326" s="86">
        <f t="shared" si="326"/>
        <v>-7629.0155000000004</v>
      </c>
      <c r="AD326" s="85">
        <f t="shared" si="327"/>
        <v>3384.56104615708</v>
      </c>
      <c r="AE326" s="85">
        <f t="shared" si="328"/>
        <v>-4303.1845192929295</v>
      </c>
      <c r="AF326" s="90">
        <f t="shared" si="329"/>
        <v>3384.56104615708</v>
      </c>
      <c r="AG326" s="86">
        <f t="shared" si="330"/>
        <v>35989.626949999998</v>
      </c>
      <c r="AH326" s="85">
        <f t="shared" si="331"/>
        <v>6139.2748628683721</v>
      </c>
      <c r="AI326" s="85">
        <f t="shared" si="332"/>
        <v>24733.834030622122</v>
      </c>
      <c r="AJ326" s="90">
        <f t="shared" si="333"/>
        <v>6139.2748628683721</v>
      </c>
      <c r="AL326" s="95">
        <f t="shared" si="334"/>
        <v>0</v>
      </c>
      <c r="AM326" s="95">
        <f t="shared" si="335"/>
        <v>0</v>
      </c>
      <c r="AN326" s="95">
        <f t="shared" si="336"/>
        <v>0</v>
      </c>
      <c r="AO326" s="95">
        <f t="shared" si="337"/>
        <v>0</v>
      </c>
      <c r="AP326"/>
      <c r="AQ326" s="95">
        <f t="shared" si="338"/>
        <v>0</v>
      </c>
      <c r="AR326" s="95">
        <f t="shared" si="339"/>
        <v>0</v>
      </c>
      <c r="AS326" s="95">
        <f>Geraetedaten!$B$94*ABS(SIN(RADIANS($A326)))</f>
        <v>148.75257724851653</v>
      </c>
      <c r="AT326" s="95">
        <f>Geraetedaten!$B$94*ABS(COS(RADIANS($A326)))</f>
        <v>39.858132945788128</v>
      </c>
      <c r="AU326" s="95">
        <f>((h_Aw_Sw+Geraetedaten!$B$18)/1000)*(AQ326*AS326+AR326*AT326)/100</f>
        <v>0</v>
      </c>
    </row>
    <row r="327" spans="1:47" ht="13.5" x14ac:dyDescent="0.25">
      <c r="A327" s="16">
        <v>286</v>
      </c>
      <c r="B327" s="16">
        <f t="shared" si="306"/>
        <v>164</v>
      </c>
      <c r="C327" s="19">
        <f t="shared" si="307"/>
        <v>69.340822172332622</v>
      </c>
      <c r="D327" s="17">
        <f t="shared" si="308"/>
        <v>7740.8606278276666</v>
      </c>
      <c r="E327" s="17">
        <f t="shared" si="309"/>
        <v>-39614.56258217233</v>
      </c>
      <c r="F327" s="17">
        <f t="shared" si="310"/>
        <v>-7805.5451521723326</v>
      </c>
      <c r="G327" s="17">
        <f t="shared" si="311"/>
        <v>33630.094737827669</v>
      </c>
      <c r="H327" s="17">
        <f t="shared" si="312"/>
        <v>7740.8606278276666</v>
      </c>
      <c r="I327" s="17">
        <f t="shared" si="313"/>
        <v>1757.7009464485539</v>
      </c>
      <c r="J327" s="20">
        <f>(Geraetedaten!$B$152+(Geraetedaten!$B$153*(Geraetedaten!$B$18+d_y_Sw)/1000))*10</f>
        <v>6051.0442000000003</v>
      </c>
      <c r="K327" s="20">
        <f>(Geraetedaten!$B$165+(Geraetedaten!$B$166*(Geraetedaten!$B$18+d_y_Sw)/1000))*10</f>
        <v>10816.164000000001</v>
      </c>
      <c r="L327" s="20">
        <f>(Geraetedaten!$B$158+(Geraetedaten!$B$159*(Geraetedaten!$B$18+d_y_Sw)/1000)-(Geraetedaten!$B$160*I327/1000))*10</f>
        <v>472.64438959692734</v>
      </c>
      <c r="M327" s="20">
        <f>(Geraetedaten!$B$171+(Geraetedaten!$B$172*(Geraetedaten!$B$18+d_y_Sw)/1000)-(Geraetedaten!$B$173*I327/1000))*10</f>
        <v>934.02374154637062</v>
      </c>
      <c r="N327" s="20">
        <f>IF((H327-J327)/(K327-J327)*(Geraetedaten!$B$174-Geraetedaten!$B$161)&lt;Geraetedaten!$B$174,(H327-J327)/(K327-J327)*(Geraetedaten!$B$174-Geraetedaten!$B$161),Geraetedaten!$B$174)</f>
        <v>141.84880957894626</v>
      </c>
      <c r="O327" s="20">
        <f>N327/Geraetedaten!$B$174*(M327-L327)+L327+C327</f>
        <v>705.60049136509554</v>
      </c>
      <c r="P327" s="20">
        <f t="shared" si="314"/>
        <v>227.1681242563115</v>
      </c>
      <c r="Q327" s="21">
        <f>(N327-Geraetedaten!$B$161)/(Geraetedaten!$B$174-Geraetedaten!$B$161)*(Geraetedaten!$B$175-Geraetedaten!$B$162)+Geraetedaten!$B$162</f>
        <v>33.420002084973653</v>
      </c>
      <c r="R327" s="21">
        <f t="shared" si="315"/>
        <v>33.420002084973653</v>
      </c>
      <c r="S327" s="21">
        <f t="shared" si="316"/>
        <v>-32.125367882463927</v>
      </c>
      <c r="T327" s="88">
        <f t="shared" si="317"/>
        <v>9.2118010061007443</v>
      </c>
      <c r="U327" s="86">
        <f t="shared" si="318"/>
        <v>7810.2014499999996</v>
      </c>
      <c r="V327" s="85">
        <f t="shared" si="319"/>
        <v>-1346.4914747781525</v>
      </c>
      <c r="W327" s="85">
        <f t="shared" si="320"/>
        <v>1757.7009464485539</v>
      </c>
      <c r="X327" s="90">
        <f t="shared" si="321"/>
        <v>1346.4914747781525</v>
      </c>
      <c r="Y327" s="86">
        <f t="shared" si="322"/>
        <v>-39545.22176</v>
      </c>
      <c r="Z327" s="85">
        <f t="shared" si="323"/>
        <v>-818.62113479844345</v>
      </c>
      <c r="AA327" s="85">
        <f t="shared" si="324"/>
        <v>-3788.8624569298122</v>
      </c>
      <c r="AB327" s="90">
        <f t="shared" si="325"/>
        <v>818.62113479844345</v>
      </c>
      <c r="AC327" s="86">
        <f t="shared" si="326"/>
        <v>-7736.2043299999996</v>
      </c>
      <c r="AD327" s="85">
        <f t="shared" si="327"/>
        <v>3384.56104615708</v>
      </c>
      <c r="AE327" s="85">
        <f t="shared" si="328"/>
        <v>-4363.6449179946121</v>
      </c>
      <c r="AF327" s="90">
        <f t="shared" si="329"/>
        <v>3384.56104615708</v>
      </c>
      <c r="AG327" s="86">
        <f t="shared" si="330"/>
        <v>33699.435559999998</v>
      </c>
      <c r="AH327" s="85">
        <f t="shared" si="331"/>
        <v>6139.2748628683721</v>
      </c>
      <c r="AI327" s="85">
        <f t="shared" si="332"/>
        <v>23159.902358542549</v>
      </c>
      <c r="AJ327" s="90">
        <f t="shared" si="333"/>
        <v>6139.2748628683721</v>
      </c>
      <c r="AL327" s="95">
        <f t="shared" si="334"/>
        <v>0</v>
      </c>
      <c r="AM327" s="95">
        <f t="shared" si="335"/>
        <v>0</v>
      </c>
      <c r="AN327" s="95">
        <f t="shared" si="336"/>
        <v>0</v>
      </c>
      <c r="AO327" s="95">
        <f t="shared" si="337"/>
        <v>0</v>
      </c>
      <c r="AP327"/>
      <c r="AQ327" s="95">
        <f t="shared" si="338"/>
        <v>0</v>
      </c>
      <c r="AR327" s="95">
        <f t="shared" si="339"/>
        <v>0</v>
      </c>
      <c r="AS327" s="95">
        <f>Geraetedaten!$B$94*ABS(SIN(RADIANS($A327)))</f>
        <v>148.03430117450108</v>
      </c>
      <c r="AT327" s="95">
        <f>Geraetedaten!$B$94*ABS(COS(RADIANS($A327)))</f>
        <v>42.448152795817904</v>
      </c>
      <c r="AU327" s="95">
        <f>((h_Aw_Sw+Geraetedaten!$B$18)/1000)*(AQ327*AS327+AR327*AT327)/100</f>
        <v>0</v>
      </c>
    </row>
    <row r="328" spans="1:47" ht="13.5" x14ac:dyDescent="0.25">
      <c r="A328" s="16">
        <v>287</v>
      </c>
      <c r="B328" s="16">
        <f t="shared" si="306"/>
        <v>163</v>
      </c>
      <c r="C328" s="19">
        <f t="shared" si="307"/>
        <v>69.526958924273615</v>
      </c>
      <c r="D328" s="17">
        <f t="shared" si="308"/>
        <v>7857.9716010757265</v>
      </c>
      <c r="E328" s="17">
        <f t="shared" si="309"/>
        <v>-36729.071798924277</v>
      </c>
      <c r="F328" s="17">
        <f t="shared" si="310"/>
        <v>-7918.3999889242732</v>
      </c>
      <c r="G328" s="17">
        <f t="shared" si="311"/>
        <v>31622.826961075727</v>
      </c>
      <c r="H328" s="17">
        <f t="shared" si="312"/>
        <v>7857.9716010757265</v>
      </c>
      <c r="I328" s="17">
        <f t="shared" si="313"/>
        <v>1784.0988888644954</v>
      </c>
      <c r="J328" s="20">
        <f>(Geraetedaten!$B$152+(Geraetedaten!$B$153*(Geraetedaten!$B$18+d_y_Sw)/1000))*10</f>
        <v>6051.0442000000003</v>
      </c>
      <c r="K328" s="20">
        <f>(Geraetedaten!$B$165+(Geraetedaten!$B$166*(Geraetedaten!$B$18+d_y_Sw)/1000))*10</f>
        <v>10816.164000000001</v>
      </c>
      <c r="L328" s="20">
        <f>(Geraetedaten!$B$158+(Geraetedaten!$B$159*(Geraetedaten!$B$18+d_y_Sw)/1000)-(Geraetedaten!$B$160*I328/1000))*10</f>
        <v>470.7086284795663</v>
      </c>
      <c r="M328" s="20">
        <f>(Geraetedaten!$B$171+(Geraetedaten!$B$172*(Geraetedaten!$B$18+d_y_Sw)/1000)-(Geraetedaten!$B$173*I328/1000))*10</f>
        <v>932.05867871292799</v>
      </c>
      <c r="N328" s="20">
        <f>IF((H328-J328)/(K328-J328)*(Geraetedaten!$B$174-Geraetedaten!$B$161)&lt;Geraetedaten!$B$174,(H328-J328)/(K328-J328)*(Geraetedaten!$B$174-Geraetedaten!$B$161),Geraetedaten!$B$174)</f>
        <v>151.67949406650604</v>
      </c>
      <c r="O328" s="20">
        <f>N328/Geraetedaten!$B$174*(M328-L328)+L328+C328</f>
        <v>715.17894292122344</v>
      </c>
      <c r="P328" s="20">
        <f t="shared" si="314"/>
        <v>228.33317605238264</v>
      </c>
      <c r="Q328" s="21">
        <f>(N328-Geraetedaten!$B$161)/(Geraetedaten!$B$174-Geraetedaten!$B$161)*(Geraetedaten!$B$175-Geraetedaten!$B$162)+Geraetedaten!$B$162</f>
        <v>33.712464948478555</v>
      </c>
      <c r="R328" s="21">
        <f t="shared" si="315"/>
        <v>33.712464948478555</v>
      </c>
      <c r="S328" s="21">
        <f t="shared" si="316"/>
        <v>-32.239390565467168</v>
      </c>
      <c r="T328" s="88">
        <f t="shared" si="317"/>
        <v>9.8565708473921827</v>
      </c>
      <c r="U328" s="86">
        <f t="shared" si="318"/>
        <v>7927.49856</v>
      </c>
      <c r="V328" s="85">
        <f t="shared" si="319"/>
        <v>-1346.4914747781525</v>
      </c>
      <c r="W328" s="85">
        <f t="shared" si="320"/>
        <v>1784.0988888644954</v>
      </c>
      <c r="X328" s="90">
        <f t="shared" si="321"/>
        <v>1346.4914747781525</v>
      </c>
      <c r="Y328" s="86">
        <f t="shared" si="322"/>
        <v>-36659.544840000002</v>
      </c>
      <c r="Z328" s="85">
        <f t="shared" si="323"/>
        <v>-818.62113479844345</v>
      </c>
      <c r="AA328" s="85">
        <f t="shared" si="324"/>
        <v>-3512.3832143256423</v>
      </c>
      <c r="AB328" s="90">
        <f t="shared" si="325"/>
        <v>818.62113479844345</v>
      </c>
      <c r="AC328" s="86">
        <f t="shared" si="326"/>
        <v>-7848.8730299999997</v>
      </c>
      <c r="AD328" s="85">
        <f t="shared" si="327"/>
        <v>3384.56104615708</v>
      </c>
      <c r="AE328" s="85">
        <f t="shared" si="328"/>
        <v>-4427.1962675404066</v>
      </c>
      <c r="AF328" s="90">
        <f t="shared" si="329"/>
        <v>3384.56104615708</v>
      </c>
      <c r="AG328" s="86">
        <f t="shared" si="330"/>
        <v>31692.353920000001</v>
      </c>
      <c r="AH328" s="85">
        <f t="shared" si="331"/>
        <v>6139.2748628683721</v>
      </c>
      <c r="AI328" s="85">
        <f t="shared" si="332"/>
        <v>21780.537570180524</v>
      </c>
      <c r="AJ328" s="90">
        <f t="shared" si="333"/>
        <v>6139.2748628683721</v>
      </c>
      <c r="AL328" s="95">
        <f t="shared" si="334"/>
        <v>0</v>
      </c>
      <c r="AM328" s="95">
        <f t="shared" si="335"/>
        <v>0</v>
      </c>
      <c r="AN328" s="95">
        <f t="shared" si="336"/>
        <v>0</v>
      </c>
      <c r="AO328" s="95">
        <f t="shared" si="337"/>
        <v>0</v>
      </c>
      <c r="AP328"/>
      <c r="AQ328" s="95">
        <f t="shared" si="338"/>
        <v>0</v>
      </c>
      <c r="AR328" s="95">
        <f t="shared" si="339"/>
        <v>0</v>
      </c>
      <c r="AS328" s="95">
        <f>Geraetedaten!$B$94*ABS(SIN(RADIANS($A328)))</f>
        <v>147.27093241830747</v>
      </c>
      <c r="AT328" s="95">
        <f>Geraetedaten!$B$94*ABS(COS(RADIANS($A328)))</f>
        <v>45.025242527301451</v>
      </c>
      <c r="AU328" s="95">
        <f>((h_Aw_Sw+Geraetedaten!$B$18)/1000)*(AQ328*AS328+AR328*AT328)/100</f>
        <v>0</v>
      </c>
    </row>
    <row r="329" spans="1:47" ht="13.5" x14ac:dyDescent="0.25">
      <c r="A329" s="16">
        <v>288</v>
      </c>
      <c r="B329" s="16">
        <f t="shared" si="306"/>
        <v>162</v>
      </c>
      <c r="C329" s="19">
        <f t="shared" si="307"/>
        <v>69.691917091003489</v>
      </c>
      <c r="D329" s="17">
        <f t="shared" si="308"/>
        <v>7981.1704829089967</v>
      </c>
      <c r="E329" s="17">
        <f t="shared" si="309"/>
        <v>-34245.765377091004</v>
      </c>
      <c r="F329" s="17">
        <f t="shared" si="310"/>
        <v>-8037.0267270910035</v>
      </c>
      <c r="G329" s="17">
        <f t="shared" si="311"/>
        <v>29849.820022908996</v>
      </c>
      <c r="H329" s="17">
        <f t="shared" si="312"/>
        <v>7981.1704829089967</v>
      </c>
      <c r="I329" s="17">
        <f t="shared" si="313"/>
        <v>1811.8621594738704</v>
      </c>
      <c r="J329" s="20">
        <f>(Geraetedaten!$B$152+(Geraetedaten!$B$153*(Geraetedaten!$B$18+d_y_Sw)/1000))*10</f>
        <v>6051.0442000000003</v>
      </c>
      <c r="K329" s="20">
        <f>(Geraetedaten!$B$165+(Geraetedaten!$B$166*(Geraetedaten!$B$18+d_y_Sw)/1000))*10</f>
        <v>10816.164000000001</v>
      </c>
      <c r="L329" s="20">
        <f>(Geraetedaten!$B$158+(Geraetedaten!$B$159*(Geraetedaten!$B$18+d_y_Sw)/1000)-(Geraetedaten!$B$160*I329/1000))*10</f>
        <v>468.67274784578086</v>
      </c>
      <c r="M329" s="20">
        <f>(Geraetedaten!$B$171+(Geraetedaten!$B$172*(Geraetedaten!$B$18+d_y_Sw)/1000)-(Geraetedaten!$B$173*I329/1000))*10</f>
        <v>929.99198084876616</v>
      </c>
      <c r="N329" s="20">
        <f>IF((H329-J329)/(K329-J329)*(Geraetedaten!$B$174-Geraetedaten!$B$161)&lt;Geraetedaten!$B$174,(H329-J329)/(K329-J329)*(Geraetedaten!$B$174-Geraetedaten!$B$161),Geraetedaten!$B$174)</f>
        <v>162.02121784295926</v>
      </c>
      <c r="O329" s="20">
        <f>N329/Geraetedaten!$B$174*(M329-L329)+L329+C329</f>
        <v>725.22342480059319</v>
      </c>
      <c r="P329" s="20">
        <f t="shared" si="314"/>
        <v>229.52787203192989</v>
      </c>
      <c r="Q329" s="21">
        <f>(N329-Geraetedaten!$B$161)/(Geraetedaten!$B$174-Geraetedaten!$B$161)*(Geraetedaten!$B$175-Geraetedaten!$B$162)+Geraetedaten!$B$162</f>
        <v>34.020131230828042</v>
      </c>
      <c r="R329" s="21">
        <f t="shared" si="315"/>
        <v>34.020131230828042</v>
      </c>
      <c r="S329" s="21">
        <f t="shared" si="316"/>
        <v>-32.355067492295277</v>
      </c>
      <c r="T329" s="88">
        <f t="shared" si="317"/>
        <v>10.512798701191755</v>
      </c>
      <c r="U329" s="86">
        <f t="shared" si="318"/>
        <v>8050.8624</v>
      </c>
      <c r="V329" s="85">
        <f t="shared" si="319"/>
        <v>-1346.4914747781525</v>
      </c>
      <c r="W329" s="85">
        <f t="shared" si="320"/>
        <v>1811.8621594738704</v>
      </c>
      <c r="X329" s="90">
        <f t="shared" si="321"/>
        <v>1346.4914747781525</v>
      </c>
      <c r="Y329" s="86">
        <f t="shared" si="322"/>
        <v>-34176.07346</v>
      </c>
      <c r="Z329" s="85">
        <f t="shared" si="323"/>
        <v>-818.62113479844345</v>
      </c>
      <c r="AA329" s="85">
        <f t="shared" si="324"/>
        <v>-3274.4396385398677</v>
      </c>
      <c r="AB329" s="90">
        <f t="shared" si="325"/>
        <v>818.62113479844345</v>
      </c>
      <c r="AC329" s="86">
        <f t="shared" si="326"/>
        <v>-7967.3348100000003</v>
      </c>
      <c r="AD329" s="85">
        <f t="shared" si="327"/>
        <v>3384.56104615708</v>
      </c>
      <c r="AE329" s="85">
        <f t="shared" si="328"/>
        <v>-4494.0152276940635</v>
      </c>
      <c r="AF329" s="90">
        <f t="shared" si="329"/>
        <v>3384.56104615708</v>
      </c>
      <c r="AG329" s="86">
        <f t="shared" si="330"/>
        <v>29919.51194</v>
      </c>
      <c r="AH329" s="85">
        <f t="shared" si="331"/>
        <v>6139.2748628683721</v>
      </c>
      <c r="AI329" s="85">
        <f t="shared" si="332"/>
        <v>20562.153746352153</v>
      </c>
      <c r="AJ329" s="90">
        <f t="shared" si="333"/>
        <v>6139.2748628683721</v>
      </c>
      <c r="AL329" s="95">
        <f t="shared" si="334"/>
        <v>0</v>
      </c>
      <c r="AM329" s="95">
        <f t="shared" si="335"/>
        <v>0</v>
      </c>
      <c r="AN329" s="95">
        <f t="shared" si="336"/>
        <v>0</v>
      </c>
      <c r="AO329" s="95">
        <f t="shared" si="337"/>
        <v>0</v>
      </c>
      <c r="AP329"/>
      <c r="AQ329" s="95">
        <f t="shared" si="338"/>
        <v>0</v>
      </c>
      <c r="AR329" s="95">
        <f t="shared" si="339"/>
        <v>0</v>
      </c>
      <c r="AS329" s="95">
        <f>Geraetedaten!$B$94*ABS(SIN(RADIANS($A329)))</f>
        <v>146.46270350945366</v>
      </c>
      <c r="AT329" s="95">
        <f>Geraetedaten!$B$94*ABS(COS(RADIANS($A329)))</f>
        <v>47.58861713374187</v>
      </c>
      <c r="AU329" s="95">
        <f>((h_Aw_Sw+Geraetedaten!$B$18)/1000)*(AQ329*AS329+AR329*AT329)/100</f>
        <v>0</v>
      </c>
    </row>
    <row r="330" spans="1:47" ht="13.5" x14ac:dyDescent="0.25">
      <c r="A330" s="16">
        <v>289</v>
      </c>
      <c r="B330" s="16">
        <f t="shared" si="306"/>
        <v>161</v>
      </c>
      <c r="C330" s="19">
        <f t="shared" si="307"/>
        <v>69.835646424666706</v>
      </c>
      <c r="D330" s="17">
        <f t="shared" si="308"/>
        <v>8110.822033575334</v>
      </c>
      <c r="E330" s="17">
        <f t="shared" si="309"/>
        <v>-32086.704706424669</v>
      </c>
      <c r="F330" s="17">
        <f t="shared" si="310"/>
        <v>-8161.7655264246659</v>
      </c>
      <c r="G330" s="17">
        <f t="shared" si="311"/>
        <v>28272.845473575333</v>
      </c>
      <c r="H330" s="17">
        <f t="shared" si="312"/>
        <v>8110.822033575334</v>
      </c>
      <c r="I330" s="17">
        <f t="shared" si="313"/>
        <v>1841.0728393382519</v>
      </c>
      <c r="J330" s="20">
        <f>(Geraetedaten!$B$152+(Geraetedaten!$B$153*(Geraetedaten!$B$18+d_y_Sw)/1000))*10</f>
        <v>6051.0442000000003</v>
      </c>
      <c r="K330" s="20">
        <f>(Geraetedaten!$B$165+(Geraetedaten!$B$166*(Geraetedaten!$B$18+d_y_Sw)/1000))*10</f>
        <v>10816.164000000001</v>
      </c>
      <c r="L330" s="20">
        <f>(Geraetedaten!$B$158+(Geraetedaten!$B$159*(Geraetedaten!$B$18+d_y_Sw)/1000)-(Geraetedaten!$B$160*I330/1000))*10</f>
        <v>466.53072869132575</v>
      </c>
      <c r="M330" s="20">
        <f>(Geraetedaten!$B$171+(Geraetedaten!$B$172*(Geraetedaten!$B$18+d_y_Sw)/1000)-(Geraetedaten!$B$173*I330/1000))*10</f>
        <v>927.81753783966155</v>
      </c>
      <c r="N330" s="20">
        <f>IF((H330-J330)/(K330-J330)*(Geraetedaten!$B$174-Geraetedaten!$B$161)&lt;Geraetedaten!$B$174,(H330-J330)/(K330-J330)*(Geraetedaten!$B$174-Geraetedaten!$B$161),Geraetedaten!$B$174)</f>
        <v>172.90460009633617</v>
      </c>
      <c r="O330" s="20">
        <f>N330/Geraetedaten!$B$174*(M330-L330)+L330+C330</f>
        <v>735.76290327976233</v>
      </c>
      <c r="P330" s="20">
        <f t="shared" si="314"/>
        <v>230.7531206360843</v>
      </c>
      <c r="Q330" s="21">
        <f>(N330-Geraetedaten!$B$161)/(Geraetedaten!$B$174-Geraetedaten!$B$161)*(Geraetedaten!$B$175-Geraetedaten!$B$162)+Geraetedaten!$B$162</f>
        <v>34.343911852866</v>
      </c>
      <c r="R330" s="21">
        <f t="shared" si="315"/>
        <v>34.343911852866</v>
      </c>
      <c r="S330" s="21">
        <f t="shared" si="316"/>
        <v>-32.472806615630361</v>
      </c>
      <c r="T330" s="88">
        <f t="shared" si="317"/>
        <v>11.18128399877684</v>
      </c>
      <c r="U330" s="86">
        <f t="shared" si="318"/>
        <v>8180.6576800000003</v>
      </c>
      <c r="V330" s="85">
        <f t="shared" si="319"/>
        <v>-1346.4914747781525</v>
      </c>
      <c r="W330" s="85">
        <f t="shared" si="320"/>
        <v>1841.0728393382519</v>
      </c>
      <c r="X330" s="90">
        <f t="shared" si="321"/>
        <v>1346.4914747781525</v>
      </c>
      <c r="Y330" s="86">
        <f t="shared" si="322"/>
        <v>-32016.869060000001</v>
      </c>
      <c r="Z330" s="85">
        <f t="shared" si="323"/>
        <v>-818.62113479844345</v>
      </c>
      <c r="AA330" s="85">
        <f t="shared" si="324"/>
        <v>-3067.5643675745127</v>
      </c>
      <c r="AB330" s="90">
        <f t="shared" si="325"/>
        <v>818.62113479844345</v>
      </c>
      <c r="AC330" s="86">
        <f t="shared" si="326"/>
        <v>-8091.9298799999997</v>
      </c>
      <c r="AD330" s="85">
        <f t="shared" si="327"/>
        <v>3384.56104615708</v>
      </c>
      <c r="AE330" s="85">
        <f t="shared" si="328"/>
        <v>-4564.293705473413</v>
      </c>
      <c r="AF330" s="90">
        <f t="shared" si="329"/>
        <v>3384.56104615708</v>
      </c>
      <c r="AG330" s="86">
        <f t="shared" si="330"/>
        <v>28342.681120000001</v>
      </c>
      <c r="AH330" s="85">
        <f t="shared" si="331"/>
        <v>6139.2748628683721</v>
      </c>
      <c r="AI330" s="85">
        <f t="shared" si="332"/>
        <v>19478.478390723481</v>
      </c>
      <c r="AJ330" s="90">
        <f t="shared" si="333"/>
        <v>6139.2748628683721</v>
      </c>
      <c r="AL330" s="95">
        <f t="shared" si="334"/>
        <v>0</v>
      </c>
      <c r="AM330" s="95">
        <f t="shared" si="335"/>
        <v>0</v>
      </c>
      <c r="AN330" s="95">
        <f t="shared" si="336"/>
        <v>0</v>
      </c>
      <c r="AO330" s="95">
        <f t="shared" si="337"/>
        <v>0</v>
      </c>
      <c r="AP330"/>
      <c r="AQ330" s="95">
        <f t="shared" si="338"/>
        <v>0</v>
      </c>
      <c r="AR330" s="95">
        <f t="shared" si="339"/>
        <v>0</v>
      </c>
      <c r="AS330" s="95">
        <f>Geraetedaten!$B$94*ABS(SIN(RADIANS($A330)))</f>
        <v>145.60986064229482</v>
      </c>
      <c r="AT330" s="95">
        <f>Geraetedaten!$B$94*ABS(COS(RADIANS($A330)))</f>
        <v>50.13749578640207</v>
      </c>
      <c r="AU330" s="95">
        <f>((h_Aw_Sw+Geraetedaten!$B$18)/1000)*(AQ330*AS330+AR330*AT330)/100</f>
        <v>0</v>
      </c>
    </row>
    <row r="331" spans="1:47" ht="13.5" x14ac:dyDescent="0.25">
      <c r="A331" s="16">
        <v>290</v>
      </c>
      <c r="B331" s="16">
        <f t="shared" si="306"/>
        <v>160</v>
      </c>
      <c r="C331" s="19">
        <f t="shared" si="307"/>
        <v>69.958103143915849</v>
      </c>
      <c r="D331" s="17">
        <f t="shared" si="308"/>
        <v>8247.3235768560844</v>
      </c>
      <c r="E331" s="17">
        <f t="shared" si="309"/>
        <v>-30192.872363143917</v>
      </c>
      <c r="F331" s="17">
        <f t="shared" si="310"/>
        <v>-8292.9864731439156</v>
      </c>
      <c r="G331" s="17">
        <f t="shared" si="311"/>
        <v>26861.569806856085</v>
      </c>
      <c r="H331" s="17">
        <f t="shared" si="312"/>
        <v>8247.3235768560844</v>
      </c>
      <c r="I331" s="17">
        <f t="shared" si="313"/>
        <v>1871.820334144559</v>
      </c>
      <c r="J331" s="20">
        <f>(Geraetedaten!$B$152+(Geraetedaten!$B$153*(Geraetedaten!$B$18+d_y_Sw)/1000))*10</f>
        <v>6051.0442000000003</v>
      </c>
      <c r="K331" s="20">
        <f>(Geraetedaten!$B$165+(Geraetedaten!$B$166*(Geraetedaten!$B$18+d_y_Sw)/1000))*10</f>
        <v>10816.164000000001</v>
      </c>
      <c r="L331" s="20">
        <f>(Geraetedaten!$B$158+(Geraetedaten!$B$159*(Geraetedaten!$B$18+d_y_Sw)/1000)-(Geraetedaten!$B$160*I331/1000))*10</f>
        <v>464.27601489717927</v>
      </c>
      <c r="M331" s="20">
        <f>(Geraetedaten!$B$171+(Geraetedaten!$B$172*(Geraetedaten!$B$18+d_y_Sw)/1000)-(Geraetedaten!$B$173*I331/1000))*10</f>
        <v>925.52869432627995</v>
      </c>
      <c r="N331" s="20">
        <f>IF((H331-J331)/(K331-J331)*(Geraetedaten!$B$174-Geraetedaten!$B$161)&lt;Geraetedaten!$B$174,(H331-J331)/(K331-J331)*(Geraetedaten!$B$174-Geraetedaten!$B$161),Geraetedaten!$B$174)</f>
        <v>184.36299350594157</v>
      </c>
      <c r="O331" s="20">
        <f>N331/Geraetedaten!$B$174*(M331-L331)+L331+C331</f>
        <v>746.82892989655875</v>
      </c>
      <c r="P331" s="20">
        <f t="shared" si="314"/>
        <v>232.00987418883054</v>
      </c>
      <c r="Q331" s="21">
        <f>(N331-Geraetedaten!$B$161)/(Geraetedaten!$B$174-Geraetedaten!$B$161)*(Geraetedaten!$B$175-Geraetedaten!$B$162)+Geraetedaten!$B$162</f>
        <v>34.684799056801765</v>
      </c>
      <c r="R331" s="21">
        <f t="shared" si="315"/>
        <v>34.684799056801765</v>
      </c>
      <c r="S331" s="21">
        <f t="shared" si="316"/>
        <v>-32.593049727118654</v>
      </c>
      <c r="T331" s="88">
        <f t="shared" si="317"/>
        <v>11.862899944629369</v>
      </c>
      <c r="U331" s="86">
        <f t="shared" si="318"/>
        <v>8317.2816800000001</v>
      </c>
      <c r="V331" s="85">
        <f t="shared" si="319"/>
        <v>-1346.4914747781525</v>
      </c>
      <c r="W331" s="85">
        <f t="shared" si="320"/>
        <v>1871.820334144559</v>
      </c>
      <c r="X331" s="90">
        <f t="shared" si="321"/>
        <v>1346.4914747781525</v>
      </c>
      <c r="Y331" s="86">
        <f t="shared" si="322"/>
        <v>-30122.914260000001</v>
      </c>
      <c r="Z331" s="85">
        <f t="shared" si="323"/>
        <v>-818.62113479844345</v>
      </c>
      <c r="AA331" s="85">
        <f t="shared" si="324"/>
        <v>-2886.1028933890498</v>
      </c>
      <c r="AB331" s="90">
        <f t="shared" si="325"/>
        <v>818.62113479844345</v>
      </c>
      <c r="AC331" s="86">
        <f t="shared" si="326"/>
        <v>-8223.02837</v>
      </c>
      <c r="AD331" s="85">
        <f t="shared" si="327"/>
        <v>3384.56104615708</v>
      </c>
      <c r="AE331" s="85">
        <f t="shared" si="328"/>
        <v>-4638.2404647508292</v>
      </c>
      <c r="AF331" s="90">
        <f t="shared" si="329"/>
        <v>3384.56104615708</v>
      </c>
      <c r="AG331" s="86">
        <f t="shared" si="330"/>
        <v>26931.527910000001</v>
      </c>
      <c r="AH331" s="85">
        <f t="shared" si="331"/>
        <v>6139.2748628683721</v>
      </c>
      <c r="AI331" s="85">
        <f t="shared" si="332"/>
        <v>18508.66479987877</v>
      </c>
      <c r="AJ331" s="90">
        <f t="shared" si="333"/>
        <v>6139.2748628683721</v>
      </c>
      <c r="AL331" s="95">
        <f t="shared" si="334"/>
        <v>0</v>
      </c>
      <c r="AM331" s="95">
        <f t="shared" si="335"/>
        <v>0</v>
      </c>
      <c r="AN331" s="95">
        <f t="shared" si="336"/>
        <v>0</v>
      </c>
      <c r="AO331" s="95">
        <f t="shared" si="337"/>
        <v>0</v>
      </c>
      <c r="AP331"/>
      <c r="AQ331" s="95">
        <f t="shared" si="338"/>
        <v>0</v>
      </c>
      <c r="AR331" s="95">
        <f t="shared" si="339"/>
        <v>0</v>
      </c>
      <c r="AS331" s="95">
        <f>Geraetedaten!$B$94*ABS(SIN(RADIANS($A331)))</f>
        <v>144.71266360102987</v>
      </c>
      <c r="AT331" s="95">
        <f>Geraetedaten!$B$94*ABS(COS(RADIANS($A331)))</f>
        <v>52.671102072153026</v>
      </c>
      <c r="AU331" s="95">
        <f>((h_Aw_Sw+Geraetedaten!$B$18)/1000)*(AQ331*AS331+AR331*AT331)/100</f>
        <v>0</v>
      </c>
    </row>
    <row r="332" spans="1:47" ht="13.5" x14ac:dyDescent="0.25">
      <c r="A332" s="16">
        <v>291</v>
      </c>
      <c r="B332" s="16">
        <f t="shared" si="306"/>
        <v>159</v>
      </c>
      <c r="C332" s="19">
        <f t="shared" si="307"/>
        <v>70.059249947248006</v>
      </c>
      <c r="D332" s="17">
        <f t="shared" si="308"/>
        <v>8391.1085400527518</v>
      </c>
      <c r="E332" s="17">
        <f t="shared" si="309"/>
        <v>-28518.759159947247</v>
      </c>
      <c r="F332" s="17">
        <f t="shared" si="310"/>
        <v>-8431.0927399472475</v>
      </c>
      <c r="G332" s="17">
        <f t="shared" si="311"/>
        <v>25591.616750052752</v>
      </c>
      <c r="H332" s="17">
        <f t="shared" si="312"/>
        <v>8391.1085400527518</v>
      </c>
      <c r="I332" s="17">
        <f t="shared" si="313"/>
        <v>1904.2021815182579</v>
      </c>
      <c r="J332" s="20">
        <f>(Geraetedaten!$B$152+(Geraetedaten!$B$153*(Geraetedaten!$B$18+d_y_Sw)/1000))*10</f>
        <v>6051.0442000000003</v>
      </c>
      <c r="K332" s="20">
        <f>(Geraetedaten!$B$165+(Geraetedaten!$B$166*(Geraetedaten!$B$18+d_y_Sw)/1000))*10</f>
        <v>10816.164000000001</v>
      </c>
      <c r="L332" s="20">
        <f>(Geraetedaten!$B$158+(Geraetedaten!$B$159*(Geraetedaten!$B$18+d_y_Sw)/1000)-(Geraetedaten!$B$160*I332/1000))*10</f>
        <v>461.90145402926589</v>
      </c>
      <c r="M332" s="20">
        <f>(Geraetedaten!$B$171+(Geraetedaten!$B$172*(Geraetedaten!$B$18+d_y_Sw)/1000)-(Geraetedaten!$B$173*I332/1000))*10</f>
        <v>923.1181896077818</v>
      </c>
      <c r="N332" s="20">
        <f>IF((H332-J332)/(K332-J332)*(Geraetedaten!$B$174-Geraetedaten!$B$161)&lt;Geraetedaten!$B$174,(H332-J332)/(K332-J332)*(Geraetedaten!$B$174-Geraetedaten!$B$161),Geraetedaten!$B$174)</f>
        <v>196.43278140060625</v>
      </c>
      <c r="O332" s="20">
        <f>N332/Geraetedaten!$B$174*(M332-L332)+L332+C332</f>
        <v>758.45591947200342</v>
      </c>
      <c r="P332" s="20">
        <f t="shared" si="314"/>
        <v>233.29912941966356</v>
      </c>
      <c r="Q332" s="21">
        <f>(N332-Geraetedaten!$B$161)/(Geraetedaten!$B$174-Geraetedaten!$B$161)*(Geraetedaten!$B$175-Geraetedaten!$B$162)+Geraetedaten!$B$162</f>
        <v>35.043875246668037</v>
      </c>
      <c r="R332" s="21">
        <f t="shared" si="315"/>
        <v>35.043875246668037</v>
      </c>
      <c r="S332" s="21">
        <f t="shared" si="316"/>
        <v>-32.716275998899079</v>
      </c>
      <c r="T332" s="88">
        <f t="shared" si="317"/>
        <v>12.558601716269733</v>
      </c>
      <c r="U332" s="86">
        <f t="shared" si="318"/>
        <v>8461.1677899999995</v>
      </c>
      <c r="V332" s="85">
        <f t="shared" si="319"/>
        <v>-1346.4914747781525</v>
      </c>
      <c r="W332" s="85">
        <f t="shared" si="320"/>
        <v>1904.2021815182579</v>
      </c>
      <c r="X332" s="90">
        <f t="shared" si="321"/>
        <v>1346.4914747781525</v>
      </c>
      <c r="Y332" s="86">
        <f t="shared" si="322"/>
        <v>-28448.699909999999</v>
      </c>
      <c r="Z332" s="85">
        <f t="shared" si="323"/>
        <v>-818.62113479844345</v>
      </c>
      <c r="AA332" s="85">
        <f t="shared" si="324"/>
        <v>-2725.6949449951421</v>
      </c>
      <c r="AB332" s="90">
        <f t="shared" si="325"/>
        <v>818.62113479844345</v>
      </c>
      <c r="AC332" s="86">
        <f t="shared" si="326"/>
        <v>-8361.0334899999998</v>
      </c>
      <c r="AD332" s="85">
        <f t="shared" si="327"/>
        <v>3384.56104615708</v>
      </c>
      <c r="AE332" s="85">
        <f t="shared" si="328"/>
        <v>-4716.0829472684773</v>
      </c>
      <c r="AF332" s="90">
        <f t="shared" si="329"/>
        <v>3384.56104615708</v>
      </c>
      <c r="AG332" s="86">
        <f t="shared" si="330"/>
        <v>25661.675999999999</v>
      </c>
      <c r="AH332" s="85">
        <f t="shared" si="331"/>
        <v>6139.2748628683721</v>
      </c>
      <c r="AI332" s="85">
        <f t="shared" si="332"/>
        <v>17635.960387307827</v>
      </c>
      <c r="AJ332" s="90">
        <f t="shared" si="333"/>
        <v>6139.2748628683721</v>
      </c>
      <c r="AL332" s="95">
        <f t="shared" si="334"/>
        <v>0</v>
      </c>
      <c r="AM332" s="95">
        <f t="shared" si="335"/>
        <v>0</v>
      </c>
      <c r="AN332" s="95">
        <f t="shared" si="336"/>
        <v>0</v>
      </c>
      <c r="AO332" s="95">
        <f t="shared" si="337"/>
        <v>0</v>
      </c>
      <c r="AP332"/>
      <c r="AQ332" s="95">
        <f t="shared" si="338"/>
        <v>0</v>
      </c>
      <c r="AR332" s="95">
        <f t="shared" si="339"/>
        <v>0</v>
      </c>
      <c r="AS332" s="95">
        <f>Geraetedaten!$B$94*ABS(SIN(RADIANS($A332)))</f>
        <v>143.77138568056907</v>
      </c>
      <c r="AT332" s="95">
        <f>Geraetedaten!$B$94*ABS(COS(RADIANS($A332)))</f>
        <v>55.188664229976261</v>
      </c>
      <c r="AU332" s="95">
        <f>((h_Aw_Sw+Geraetedaten!$B$18)/1000)*(AQ332*AS332+AR332*AT332)/100</f>
        <v>0</v>
      </c>
    </row>
    <row r="333" spans="1:47" ht="13.5" x14ac:dyDescent="0.25">
      <c r="A333" s="16">
        <v>292</v>
      </c>
      <c r="B333" s="16">
        <f t="shared" si="306"/>
        <v>158</v>
      </c>
      <c r="C333" s="19">
        <f t="shared" si="307"/>
        <v>70.139056024367036</v>
      </c>
      <c r="D333" s="17">
        <f t="shared" si="308"/>
        <v>8542.6505639756324</v>
      </c>
      <c r="E333" s="17">
        <f t="shared" si="309"/>
        <v>-27028.708916024367</v>
      </c>
      <c r="F333" s="17">
        <f t="shared" si="310"/>
        <v>-8576.5243060243665</v>
      </c>
      <c r="G333" s="17">
        <f t="shared" si="311"/>
        <v>24443.173613975632</v>
      </c>
      <c r="H333" s="17">
        <f t="shared" si="312"/>
        <v>8542.6505639756324</v>
      </c>
      <c r="I333" s="17">
        <f t="shared" si="313"/>
        <v>1938.3249687374798</v>
      </c>
      <c r="J333" s="20">
        <f>(Geraetedaten!$B$152+(Geraetedaten!$B$153*(Geraetedaten!$B$18+d_y_Sw)/1000))*10</f>
        <v>6051.0442000000003</v>
      </c>
      <c r="K333" s="20">
        <f>(Geraetedaten!$B$165+(Geraetedaten!$B$166*(Geraetedaten!$B$18+d_y_Sw)/1000))*10</f>
        <v>10816.164000000001</v>
      </c>
      <c r="L333" s="20">
        <f>(Geraetedaten!$B$158+(Geraetedaten!$B$159*(Geraetedaten!$B$18+d_y_Sw)/1000)-(Geraetedaten!$B$160*I333/1000))*10</f>
        <v>459.39923004248038</v>
      </c>
      <c r="M333" s="20">
        <f>(Geraetedaten!$B$171+(Geraetedaten!$B$172*(Geraetedaten!$B$18+d_y_Sw)/1000)-(Geraetedaten!$B$173*I333/1000))*10</f>
        <v>920.57808932718285</v>
      </c>
      <c r="N333" s="20">
        <f>IF((H333-J333)/(K333-J333)*(Geraetedaten!$B$174-Geraetedaten!$B$161)&lt;Geraetedaten!$B$174,(H333-J333)/(K333-J333)*(Geraetedaten!$B$174-Geraetedaten!$B$161),Geraetedaten!$B$174)</f>
        <v>209.15372276479866</v>
      </c>
      <c r="O333" s="20">
        <f>N333/Geraetedaten!$B$174*(M333-L333)+L333+C333</f>
        <v>770.68147426639428</v>
      </c>
      <c r="P333" s="20">
        <f t="shared" si="314"/>
        <v>234.62192899522671</v>
      </c>
      <c r="Q333" s="21">
        <f>(N333-Geraetedaten!$B$161)/(Geraetedaten!$B$174-Geraetedaten!$B$161)*(Geraetedaten!$B$175-Geraetedaten!$B$162)+Geraetedaten!$B$162</f>
        <v>35.42232325225276</v>
      </c>
      <c r="R333" s="21">
        <f t="shared" si="315"/>
        <v>35.42232325225276</v>
      </c>
      <c r="S333" s="21">
        <f t="shared" si="316"/>
        <v>-32.843006210734458</v>
      </c>
      <c r="T333" s="88">
        <f t="shared" si="317"/>
        <v>13.269435844403654</v>
      </c>
      <c r="U333" s="86">
        <f t="shared" si="318"/>
        <v>8612.7896199999996</v>
      </c>
      <c r="V333" s="85">
        <f t="shared" si="319"/>
        <v>-1346.4914747781525</v>
      </c>
      <c r="W333" s="85">
        <f t="shared" si="320"/>
        <v>1938.3249687374798</v>
      </c>
      <c r="X333" s="90">
        <f t="shared" si="321"/>
        <v>1346.4914747781525</v>
      </c>
      <c r="Y333" s="86">
        <f t="shared" si="322"/>
        <v>-26958.56986</v>
      </c>
      <c r="Z333" s="85">
        <f t="shared" si="323"/>
        <v>-818.62113479844345</v>
      </c>
      <c r="AA333" s="85">
        <f t="shared" si="324"/>
        <v>-2582.9242746151126</v>
      </c>
      <c r="AB333" s="90">
        <f t="shared" si="325"/>
        <v>818.62113479844345</v>
      </c>
      <c r="AC333" s="86">
        <f t="shared" si="326"/>
        <v>-8506.3852499999994</v>
      </c>
      <c r="AD333" s="85">
        <f t="shared" si="327"/>
        <v>3384.56104615708</v>
      </c>
      <c r="AE333" s="85">
        <f t="shared" si="328"/>
        <v>-4798.0693380133725</v>
      </c>
      <c r="AF333" s="90">
        <f t="shared" si="329"/>
        <v>3384.56104615708</v>
      </c>
      <c r="AG333" s="86">
        <f t="shared" si="330"/>
        <v>24513.312669999999</v>
      </c>
      <c r="AH333" s="85">
        <f t="shared" si="331"/>
        <v>6139.2748628683721</v>
      </c>
      <c r="AI333" s="85">
        <f t="shared" si="332"/>
        <v>16846.74886754635</v>
      </c>
      <c r="AJ333" s="90">
        <f t="shared" si="333"/>
        <v>6139.2748628683721</v>
      </c>
      <c r="AL333" s="95">
        <f t="shared" si="334"/>
        <v>0</v>
      </c>
      <c r="AM333" s="95">
        <f t="shared" si="335"/>
        <v>0</v>
      </c>
      <c r="AN333" s="95">
        <f t="shared" si="336"/>
        <v>0</v>
      </c>
      <c r="AO333" s="95">
        <f t="shared" si="337"/>
        <v>0</v>
      </c>
      <c r="AP333"/>
      <c r="AQ333" s="95">
        <f t="shared" si="338"/>
        <v>0</v>
      </c>
      <c r="AR333" s="95">
        <f t="shared" si="339"/>
        <v>0</v>
      </c>
      <c r="AS333" s="95">
        <f>Geraetedaten!$B$94*ABS(SIN(RADIANS($A333)))</f>
        <v>142.78631360328527</v>
      </c>
      <c r="AT333" s="95">
        <f>Geraetedaten!$B$94*ABS(COS(RADIANS($A333)))</f>
        <v>57.689415386050442</v>
      </c>
      <c r="AU333" s="95">
        <f>((h_Aw_Sw+Geraetedaten!$B$18)/1000)*(AQ333*AS333+AR333*AT333)/100</f>
        <v>0</v>
      </c>
    </row>
    <row r="334" spans="1:47" ht="13.5" x14ac:dyDescent="0.25">
      <c r="A334" s="16">
        <v>293</v>
      </c>
      <c r="B334" s="16">
        <f t="shared" si="306"/>
        <v>157</v>
      </c>
      <c r="C334" s="19">
        <f t="shared" si="307"/>
        <v>70.19749706556874</v>
      </c>
      <c r="D334" s="17">
        <f t="shared" si="308"/>
        <v>8702.4681529344325</v>
      </c>
      <c r="E334" s="17">
        <f t="shared" si="309"/>
        <v>-25694.389147065569</v>
      </c>
      <c r="F334" s="17">
        <f t="shared" si="310"/>
        <v>-8729.7620870655683</v>
      </c>
      <c r="G334" s="17">
        <f t="shared" si="311"/>
        <v>23399.971302934431</v>
      </c>
      <c r="H334" s="17">
        <f t="shared" si="312"/>
        <v>8702.4681529344325</v>
      </c>
      <c r="I334" s="17">
        <f t="shared" si="313"/>
        <v>1974.3053788040909</v>
      </c>
      <c r="J334" s="20">
        <f>(Geraetedaten!$B$152+(Geraetedaten!$B$153*(Geraetedaten!$B$18+d_y_Sw)/1000))*10</f>
        <v>6051.0442000000003</v>
      </c>
      <c r="K334" s="20">
        <f>(Geraetedaten!$B$165+(Geraetedaten!$B$166*(Geraetedaten!$B$18+d_y_Sw)/1000))*10</f>
        <v>10816.164000000001</v>
      </c>
      <c r="L334" s="20">
        <f>(Geraetedaten!$B$158+(Geraetedaten!$B$159*(Geraetedaten!$B$18+d_y_Sw)/1000)-(Geraetedaten!$B$160*I334/1000))*10</f>
        <v>456.76078657229584</v>
      </c>
      <c r="M334" s="20">
        <f>(Geraetedaten!$B$171+(Geraetedaten!$B$172*(Geraetedaten!$B$18+d_y_Sw)/1000)-(Geraetedaten!$B$173*I334/1000))*10</f>
        <v>917.89970760182439</v>
      </c>
      <c r="N334" s="20">
        <f>IF((H334-J334)/(K334-J334)*(Geraetedaten!$B$174-Geraetedaten!$B$161)&lt;Geraetedaten!$B$174,(H334-J334)/(K334-J334)*(Geraetedaten!$B$174-Geraetedaten!$B$161),Geraetedaten!$B$174)</f>
        <v>222.5693425742985</v>
      </c>
      <c r="O334" s="20">
        <f>N334/Geraetedaten!$B$174*(M334-L334)+L334+C334</f>
        <v>783.54674986027339</v>
      </c>
      <c r="P334" s="20">
        <f t="shared" si="314"/>
        <v>235.97936263589787</v>
      </c>
      <c r="Q334" s="21">
        <f>(N334-Geraetedaten!$B$161)/(Geraetedaten!$B$174-Geraetedaten!$B$161)*(Geraetedaten!$B$175-Geraetedaten!$B$162)+Geraetedaten!$B$162</f>
        <v>35.82143794158538</v>
      </c>
      <c r="R334" s="21">
        <f t="shared" si="315"/>
        <v>35.82143794158538</v>
      </c>
      <c r="S334" s="21">
        <f t="shared" si="316"/>
        <v>-32.97380748287474</v>
      </c>
      <c r="T334" s="88">
        <f t="shared" si="317"/>
        <v>13.996550871024134</v>
      </c>
      <c r="U334" s="86">
        <f t="shared" si="318"/>
        <v>8772.6656500000008</v>
      </c>
      <c r="V334" s="85">
        <f t="shared" si="319"/>
        <v>-1346.4914747781525</v>
      </c>
      <c r="W334" s="85">
        <f t="shared" si="320"/>
        <v>1974.3053788040909</v>
      </c>
      <c r="X334" s="90">
        <f t="shared" si="321"/>
        <v>1346.4914747781525</v>
      </c>
      <c r="Y334" s="86">
        <f t="shared" si="322"/>
        <v>-25624.191650000001</v>
      </c>
      <c r="Z334" s="85">
        <f t="shared" si="323"/>
        <v>-818.62113479844345</v>
      </c>
      <c r="AA334" s="85">
        <f t="shared" si="324"/>
        <v>-2455.076325360194</v>
      </c>
      <c r="AB334" s="90">
        <f t="shared" si="325"/>
        <v>818.62113479844345</v>
      </c>
      <c r="AC334" s="86">
        <f t="shared" si="326"/>
        <v>-8659.56459</v>
      </c>
      <c r="AD334" s="85">
        <f t="shared" si="327"/>
        <v>3384.56104615708</v>
      </c>
      <c r="AE334" s="85">
        <f t="shared" si="328"/>
        <v>-4884.4709139087545</v>
      </c>
      <c r="AF334" s="90">
        <f t="shared" si="329"/>
        <v>3384.56104615708</v>
      </c>
      <c r="AG334" s="86">
        <f t="shared" si="330"/>
        <v>23470.168799999999</v>
      </c>
      <c r="AH334" s="85">
        <f t="shared" si="331"/>
        <v>6139.2748628683721</v>
      </c>
      <c r="AI334" s="85">
        <f t="shared" si="332"/>
        <v>16129.849322083968</v>
      </c>
      <c r="AJ334" s="90">
        <f t="shared" si="333"/>
        <v>6139.2748628683721</v>
      </c>
      <c r="AL334" s="95">
        <f t="shared" si="334"/>
        <v>0</v>
      </c>
      <c r="AM334" s="95">
        <f t="shared" si="335"/>
        <v>0</v>
      </c>
      <c r="AN334" s="95">
        <f t="shared" si="336"/>
        <v>0</v>
      </c>
      <c r="AO334" s="95">
        <f t="shared" si="337"/>
        <v>0</v>
      </c>
      <c r="AP334"/>
      <c r="AQ334" s="95">
        <f t="shared" si="338"/>
        <v>0</v>
      </c>
      <c r="AR334" s="95">
        <f t="shared" si="339"/>
        <v>0</v>
      </c>
      <c r="AS334" s="95">
        <f>Geraetedaten!$B$94*ABS(SIN(RADIANS($A334)))</f>
        <v>141.75774743167582</v>
      </c>
      <c r="AT334" s="95">
        <f>Geraetedaten!$B$94*ABS(COS(RADIANS($A334)))</f>
        <v>60.17259378734812</v>
      </c>
      <c r="AU334" s="95">
        <f>((h_Aw_Sw+Geraetedaten!$B$18)/1000)*(AQ334*AS334+AR334*AT334)/100</f>
        <v>0</v>
      </c>
    </row>
    <row r="335" spans="1:47" ht="13.5" x14ac:dyDescent="0.25">
      <c r="A335" s="16">
        <v>294</v>
      </c>
      <c r="B335" s="16">
        <f t="shared" si="306"/>
        <v>156</v>
      </c>
      <c r="C335" s="19">
        <f t="shared" si="307"/>
        <v>70.234555269145858</v>
      </c>
      <c r="D335" s="17">
        <f t="shared" si="308"/>
        <v>8871.1299747308549</v>
      </c>
      <c r="E335" s="17">
        <f t="shared" si="309"/>
        <v>-24493.002905269146</v>
      </c>
      <c r="F335" s="17">
        <f t="shared" si="310"/>
        <v>-8891.3326952691459</v>
      </c>
      <c r="G335" s="17">
        <f t="shared" si="311"/>
        <v>22448.526324730854</v>
      </c>
      <c r="H335" s="17">
        <f t="shared" si="312"/>
        <v>8871.1299747308549</v>
      </c>
      <c r="I335" s="17">
        <f t="shared" si="313"/>
        <v>2012.2713862488613</v>
      </c>
      <c r="J335" s="20">
        <f>(Geraetedaten!$B$152+(Geraetedaten!$B$153*(Geraetedaten!$B$18+d_y_Sw)/1000))*10</f>
        <v>6051.0442000000003</v>
      </c>
      <c r="K335" s="20">
        <f>(Geraetedaten!$B$165+(Geraetedaten!$B$166*(Geraetedaten!$B$18+d_y_Sw)/1000))*10</f>
        <v>10816.164000000001</v>
      </c>
      <c r="L335" s="20">
        <f>(Geraetedaten!$B$158+(Geraetedaten!$B$159*(Geraetedaten!$B$18+d_y_Sw)/1000)-(Geraetedaten!$B$160*I335/1000))*10</f>
        <v>453.97673924637076</v>
      </c>
      <c r="M335" s="20">
        <f>(Geraetedaten!$B$171+(Geraetedaten!$B$172*(Geraetedaten!$B$18+d_y_Sw)/1000)-(Geraetedaten!$B$173*I335/1000))*10</f>
        <v>915.0735180076357</v>
      </c>
      <c r="N335" s="20">
        <f>IF((H335-J335)/(K335-J335)*(Geraetedaten!$B$174-Geraetedaten!$B$161)&lt;Geraetedaten!$B$174,(H335-J335)/(K335-J335)*(Geraetedaten!$B$174-Geraetedaten!$B$161),Geraetedaten!$B$174)</f>
        <v>236.72737669519699</v>
      </c>
      <c r="O335" s="20">
        <f>N335/Geraetedaten!$B$174*(M335-L335)+L335+C335</f>
        <v>797.09687161241629</v>
      </c>
      <c r="P335" s="20">
        <f t="shared" si="314"/>
        <v>237.37256802194855</v>
      </c>
      <c r="Q335" s="21">
        <f>(N335-Geraetedaten!$B$161)/(Geraetedaten!$B$174-Geraetedaten!$B$161)*(Geraetedaten!$B$175-Geraetedaten!$B$162)+Geraetedaten!$B$162</f>
        <v>36.242639456682113</v>
      </c>
      <c r="R335" s="21">
        <f t="shared" si="315"/>
        <v>36.242639456682113</v>
      </c>
      <c r="S335" s="21">
        <f t="shared" si="316"/>
        <v>-33.10929864863045</v>
      </c>
      <c r="T335" s="88">
        <f t="shared" si="317"/>
        <v>14.741209508817411</v>
      </c>
      <c r="U335" s="86">
        <f t="shared" si="318"/>
        <v>8941.3645300000007</v>
      </c>
      <c r="V335" s="85">
        <f t="shared" si="319"/>
        <v>-1346.4914747781525</v>
      </c>
      <c r="W335" s="85">
        <f t="shared" si="320"/>
        <v>2012.2713862488613</v>
      </c>
      <c r="X335" s="90">
        <f t="shared" si="321"/>
        <v>1346.4914747781525</v>
      </c>
      <c r="Y335" s="86">
        <f t="shared" si="322"/>
        <v>-24422.768349999998</v>
      </c>
      <c r="Z335" s="85">
        <f t="shared" si="323"/>
        <v>-818.62113479844345</v>
      </c>
      <c r="AA335" s="85">
        <f t="shared" si="324"/>
        <v>-2339.9669027511391</v>
      </c>
      <c r="AB335" s="90">
        <f t="shared" si="325"/>
        <v>818.62113479844345</v>
      </c>
      <c r="AC335" s="86">
        <f t="shared" si="326"/>
        <v>-8821.0981400000001</v>
      </c>
      <c r="AD335" s="85">
        <f t="shared" si="327"/>
        <v>3384.56104615708</v>
      </c>
      <c r="AE335" s="85">
        <f t="shared" si="328"/>
        <v>-4975.584722051949</v>
      </c>
      <c r="AF335" s="90">
        <f t="shared" si="329"/>
        <v>3384.56104615708</v>
      </c>
      <c r="AG335" s="86">
        <f t="shared" si="330"/>
        <v>22518.760880000002</v>
      </c>
      <c r="AH335" s="85">
        <f t="shared" si="331"/>
        <v>6139.2748628683721</v>
      </c>
      <c r="AI335" s="85">
        <f t="shared" si="332"/>
        <v>15475.995209469955</v>
      </c>
      <c r="AJ335" s="90">
        <f t="shared" si="333"/>
        <v>6139.2748628683721</v>
      </c>
      <c r="AL335" s="95">
        <f t="shared" si="334"/>
        <v>0</v>
      </c>
      <c r="AM335" s="95">
        <f t="shared" si="335"/>
        <v>0</v>
      </c>
      <c r="AN335" s="95">
        <f t="shared" si="336"/>
        <v>0</v>
      </c>
      <c r="AO335" s="95">
        <f t="shared" si="337"/>
        <v>0</v>
      </c>
      <c r="AP335"/>
      <c r="AQ335" s="95">
        <f t="shared" si="338"/>
        <v>0</v>
      </c>
      <c r="AR335" s="95">
        <f t="shared" si="339"/>
        <v>0</v>
      </c>
      <c r="AS335" s="95">
        <f>Geraetedaten!$B$94*ABS(SIN(RADIANS($A335)))</f>
        <v>140.68600047696057</v>
      </c>
      <c r="AT335" s="95">
        <f>Geraetedaten!$B$94*ABS(COS(RADIANS($A335)))</f>
        <v>62.637443033673165</v>
      </c>
      <c r="AU335" s="95">
        <f>((h_Aw_Sw+Geraetedaten!$B$18)/1000)*(AQ335*AS335+AR335*AT335)/100</f>
        <v>0</v>
      </c>
    </row>
    <row r="336" spans="1:47" ht="13.5" x14ac:dyDescent="0.25">
      <c r="A336" s="16">
        <v>295</v>
      </c>
      <c r="B336" s="16">
        <f t="shared" si="306"/>
        <v>155</v>
      </c>
      <c r="C336" s="19">
        <f t="shared" si="307"/>
        <v>70.250219346810582</v>
      </c>
      <c r="D336" s="17">
        <f t="shared" si="308"/>
        <v>9049.2609306531904</v>
      </c>
      <c r="E336" s="17">
        <f t="shared" si="309"/>
        <v>-23406.000109346809</v>
      </c>
      <c r="F336" s="17">
        <f t="shared" si="310"/>
        <v>-9061.8138493468105</v>
      </c>
      <c r="G336" s="17">
        <f t="shared" si="311"/>
        <v>21577.569270653192</v>
      </c>
      <c r="H336" s="17">
        <f t="shared" si="312"/>
        <v>9049.2609306531904</v>
      </c>
      <c r="I336" s="17">
        <f t="shared" si="313"/>
        <v>2052.36362821992</v>
      </c>
      <c r="J336" s="20">
        <f>(Geraetedaten!$B$152+(Geraetedaten!$B$153*(Geraetedaten!$B$18+d_y_Sw)/1000))*10</f>
        <v>6051.0442000000003</v>
      </c>
      <c r="K336" s="20">
        <f>(Geraetedaten!$B$165+(Geraetedaten!$B$166*(Geraetedaten!$B$18+d_y_Sw)/1000))*10</f>
        <v>10816.164000000001</v>
      </c>
      <c r="L336" s="20">
        <f>(Geraetedaten!$B$158+(Geraetedaten!$B$159*(Geraetedaten!$B$18+d_y_Sw)/1000)-(Geraetedaten!$B$160*I336/1000))*10</f>
        <v>451.03677514263302</v>
      </c>
      <c r="M336" s="20">
        <f>(Geraetedaten!$B$171+(Geraetedaten!$B$172*(Geraetedaten!$B$18+d_y_Sw)/1000)-(Geraetedaten!$B$173*I336/1000))*10</f>
        <v>912.08905151531008</v>
      </c>
      <c r="N336" s="20">
        <f>IF((H336-J336)/(K336-J336)*(Geraetedaten!$B$174-Geraetedaten!$B$161)&lt;Geraetedaten!$B$174,(H336-J336)/(K336-J336)*(Geraetedaten!$B$174-Geraetedaten!$B$161),Geraetedaten!$B$174)</f>
        <v>251.68028141942534</v>
      </c>
      <c r="O336" s="20">
        <f>N336/Geraetedaten!$B$174*(M336-L336)+L336+C336</f>
        <v>811.38141115579867</v>
      </c>
      <c r="P336" s="20">
        <f t="shared" si="314"/>
        <v>238.8027315690224</v>
      </c>
      <c r="Q336" s="21">
        <f>(N336-Geraetedaten!$B$161)/(Geraetedaten!$B$174-Geraetedaten!$B$161)*(Geraetedaten!$B$175-Geraetedaten!$B$162)+Geraetedaten!$B$162</f>
        <v>36.687488372227904</v>
      </c>
      <c r="R336" s="21">
        <f t="shared" si="315"/>
        <v>36.687488372227904</v>
      </c>
      <c r="S336" s="21">
        <f t="shared" si="316"/>
        <v>-33.250156398566695</v>
      </c>
      <c r="T336" s="88">
        <f t="shared" si="317"/>
        <v>15.504802563503086</v>
      </c>
      <c r="U336" s="86">
        <f t="shared" si="318"/>
        <v>9119.5111500000003</v>
      </c>
      <c r="V336" s="85">
        <f t="shared" si="319"/>
        <v>-1346.4914747781525</v>
      </c>
      <c r="W336" s="85">
        <f t="shared" si="320"/>
        <v>2052.36362821992</v>
      </c>
      <c r="X336" s="90">
        <f t="shared" si="321"/>
        <v>1346.4914747781525</v>
      </c>
      <c r="Y336" s="86">
        <f t="shared" si="322"/>
        <v>-23335.749889999999</v>
      </c>
      <c r="Z336" s="85">
        <f t="shared" si="323"/>
        <v>-818.62113479844345</v>
      </c>
      <c r="AA336" s="85">
        <f t="shared" si="324"/>
        <v>-2235.8187085679378</v>
      </c>
      <c r="AB336" s="90">
        <f t="shared" si="325"/>
        <v>818.62113479844345</v>
      </c>
      <c r="AC336" s="86">
        <f t="shared" si="326"/>
        <v>-8991.5636300000006</v>
      </c>
      <c r="AD336" s="85">
        <f t="shared" si="327"/>
        <v>3384.56104615708</v>
      </c>
      <c r="AE336" s="85">
        <f t="shared" si="328"/>
        <v>-5071.7366425659702</v>
      </c>
      <c r="AF336" s="90">
        <f t="shared" si="329"/>
        <v>3384.56104615708</v>
      </c>
      <c r="AG336" s="86">
        <f t="shared" si="330"/>
        <v>21647.819490000002</v>
      </c>
      <c r="AH336" s="85">
        <f t="shared" si="331"/>
        <v>6139.2748628683721</v>
      </c>
      <c r="AI336" s="85">
        <f t="shared" si="332"/>
        <v>14877.441636638332</v>
      </c>
      <c r="AJ336" s="90">
        <f t="shared" si="333"/>
        <v>6139.2748628683721</v>
      </c>
      <c r="AL336" s="95">
        <f t="shared" si="334"/>
        <v>0</v>
      </c>
      <c r="AM336" s="95">
        <f t="shared" si="335"/>
        <v>0</v>
      </c>
      <c r="AN336" s="95">
        <f t="shared" si="336"/>
        <v>0</v>
      </c>
      <c r="AO336" s="95">
        <f t="shared" si="337"/>
        <v>0</v>
      </c>
      <c r="AP336"/>
      <c r="AQ336" s="95">
        <f t="shared" si="338"/>
        <v>0</v>
      </c>
      <c r="AR336" s="95">
        <f t="shared" si="339"/>
        <v>0</v>
      </c>
      <c r="AS336" s="95">
        <f>Geraetedaten!$B$94*ABS(SIN(RADIANS($A336)))</f>
        <v>139.57139920364409</v>
      </c>
      <c r="AT336" s="95">
        <f>Geraetedaten!$B$94*ABS(COS(RADIANS($A336)))</f>
        <v>65.083212308067743</v>
      </c>
      <c r="AU336" s="95">
        <f>((h_Aw_Sw+Geraetedaten!$B$18)/1000)*(AQ336*AS336+AR336*AT336)/100</f>
        <v>0</v>
      </c>
    </row>
    <row r="337" spans="1:47" ht="13.5" x14ac:dyDescent="0.25">
      <c r="A337" s="16">
        <v>296</v>
      </c>
      <c r="B337" s="16">
        <f t="shared" si="306"/>
        <v>154</v>
      </c>
      <c r="C337" s="19">
        <f t="shared" si="307"/>
        <v>70.24448452713311</v>
      </c>
      <c r="D337" s="17">
        <f t="shared" si="308"/>
        <v>9237.5492154728672</v>
      </c>
      <c r="E337" s="17">
        <f t="shared" si="309"/>
        <v>-22418.132884527135</v>
      </c>
      <c r="F337" s="17">
        <f t="shared" si="310"/>
        <v>-9241.8406645271334</v>
      </c>
      <c r="G337" s="17">
        <f t="shared" si="311"/>
        <v>20777.608535472864</v>
      </c>
      <c r="H337" s="17">
        <f t="shared" si="312"/>
        <v>9237.5492154728672</v>
      </c>
      <c r="I337" s="17">
        <f t="shared" si="313"/>
        <v>2094.7369815142374</v>
      </c>
      <c r="J337" s="20">
        <f>(Geraetedaten!$B$152+(Geraetedaten!$B$153*(Geraetedaten!$B$18+d_y_Sw)/1000))*10</f>
        <v>6051.0442000000003</v>
      </c>
      <c r="K337" s="20">
        <f>(Geraetedaten!$B$165+(Geraetedaten!$B$166*(Geraetedaten!$B$18+d_y_Sw)/1000))*10</f>
        <v>10816.164000000001</v>
      </c>
      <c r="L337" s="20">
        <f>(Geraetedaten!$B$158+(Geraetedaten!$B$159*(Geraetedaten!$B$18+d_y_Sw)/1000)-(Geraetedaten!$B$160*I337/1000))*10</f>
        <v>447.92953714556074</v>
      </c>
      <c r="M337" s="20">
        <f>(Geraetedaten!$B$171+(Geraetedaten!$B$172*(Geraetedaten!$B$18+d_y_Sw)/1000)-(Geraetedaten!$B$173*I337/1000))*10</f>
        <v>908.93477909608112</v>
      </c>
      <c r="N337" s="20">
        <f>IF((H337-J337)/(K337-J337)*(Geraetedaten!$B$174-Geraetedaten!$B$161)&lt;Geraetedaten!$B$174,(H337-J337)/(K337-J337)*(Geraetedaten!$B$174-Geraetedaten!$B$161),Geraetedaten!$B$174)</f>
        <v>267.48582610433982</v>
      </c>
      <c r="O337" s="20">
        <f>N337/Geraetedaten!$B$174*(M337-L337)+L337+C337</f>
        <v>826.45494162660884</v>
      </c>
      <c r="P337" s="20">
        <f t="shared" si="314"/>
        <v>240.27108998845884</v>
      </c>
      <c r="Q337" s="21">
        <f>(N337-Geraetedaten!$B$161)/(Geraetedaten!$B$174-Geraetedaten!$B$161)*(Geraetedaten!$B$175-Geraetedaten!$B$162)+Geraetedaten!$B$162</f>
        <v>37.157703326604107</v>
      </c>
      <c r="R337" s="21">
        <f t="shared" si="315"/>
        <v>37.157703326604107</v>
      </c>
      <c r="S337" s="21">
        <f t="shared" si="316"/>
        <v>-33.397122524102528</v>
      </c>
      <c r="T337" s="88">
        <f t="shared" si="317"/>
        <v>16.288865019331759</v>
      </c>
      <c r="U337" s="86">
        <f t="shared" si="318"/>
        <v>9307.7937000000002</v>
      </c>
      <c r="V337" s="85">
        <f t="shared" si="319"/>
        <v>-1346.4914747781525</v>
      </c>
      <c r="W337" s="85">
        <f t="shared" si="320"/>
        <v>2094.7369815142374</v>
      </c>
      <c r="X337" s="90">
        <f t="shared" si="321"/>
        <v>1346.4914747781525</v>
      </c>
      <c r="Y337" s="86">
        <f t="shared" si="322"/>
        <v>-22347.8884</v>
      </c>
      <c r="Z337" s="85">
        <f t="shared" si="323"/>
        <v>-818.62113479844345</v>
      </c>
      <c r="AA337" s="85">
        <f t="shared" si="324"/>
        <v>-2141.1708317669313</v>
      </c>
      <c r="AB337" s="90">
        <f t="shared" si="325"/>
        <v>818.62113479844345</v>
      </c>
      <c r="AC337" s="86">
        <f t="shared" si="326"/>
        <v>-9171.5961800000005</v>
      </c>
      <c r="AD337" s="85">
        <f t="shared" si="327"/>
        <v>3384.56104615708</v>
      </c>
      <c r="AE337" s="85">
        <f t="shared" si="328"/>
        <v>-5173.2849019156893</v>
      </c>
      <c r="AF337" s="90">
        <f t="shared" si="329"/>
        <v>3384.56104615708</v>
      </c>
      <c r="AG337" s="86">
        <f t="shared" si="330"/>
        <v>20847.853019999999</v>
      </c>
      <c r="AH337" s="85">
        <f t="shared" si="331"/>
        <v>6139.2748628683721</v>
      </c>
      <c r="AI337" s="85">
        <f t="shared" si="332"/>
        <v>14327.6655046535</v>
      </c>
      <c r="AJ337" s="90">
        <f t="shared" si="333"/>
        <v>6139.2748628683721</v>
      </c>
      <c r="AL337" s="95">
        <f t="shared" si="334"/>
        <v>0</v>
      </c>
      <c r="AM337" s="95">
        <f t="shared" si="335"/>
        <v>0</v>
      </c>
      <c r="AN337" s="95">
        <f t="shared" si="336"/>
        <v>0</v>
      </c>
      <c r="AO337" s="95">
        <f t="shared" si="337"/>
        <v>0</v>
      </c>
      <c r="AP337"/>
      <c r="AQ337" s="95">
        <f t="shared" si="338"/>
        <v>0</v>
      </c>
      <c r="AR337" s="95">
        <f t="shared" si="339"/>
        <v>0</v>
      </c>
      <c r="AS337" s="95">
        <f>Geraetedaten!$B$94*ABS(SIN(RADIANS($A337)))</f>
        <v>138.41428313007174</v>
      </c>
      <c r="AT337" s="95">
        <f>Geraetedaten!$B$94*ABS(COS(RADIANS($A337)))</f>
        <v>67.509156605517916</v>
      </c>
      <c r="AU337" s="95">
        <f>((h_Aw_Sw+Geraetedaten!$B$18)/1000)*(AQ337*AS337+AR337*AT337)/100</f>
        <v>0</v>
      </c>
    </row>
    <row r="338" spans="1:47" ht="13.5" x14ac:dyDescent="0.25">
      <c r="A338" s="16">
        <v>297</v>
      </c>
      <c r="B338" s="16">
        <f t="shared" si="306"/>
        <v>153</v>
      </c>
      <c r="C338" s="19">
        <f t="shared" si="307"/>
        <v>70.217352556995067</v>
      </c>
      <c r="D338" s="17">
        <f t="shared" si="308"/>
        <v>9436.7543774430051</v>
      </c>
      <c r="E338" s="17">
        <f t="shared" si="309"/>
        <v>-21516.752352556996</v>
      </c>
      <c r="F338" s="17">
        <f t="shared" si="310"/>
        <v>-9432.1127225569944</v>
      </c>
      <c r="G338" s="17">
        <f t="shared" si="311"/>
        <v>20040.593277443004</v>
      </c>
      <c r="H338" s="17">
        <f t="shared" si="312"/>
        <v>9436.7543774430051</v>
      </c>
      <c r="I338" s="17">
        <f t="shared" si="313"/>
        <v>2139.5623825018865</v>
      </c>
      <c r="J338" s="20">
        <f>(Geraetedaten!$B$152+(Geraetedaten!$B$153*(Geraetedaten!$B$18+d_y_Sw)/1000))*10</f>
        <v>6051.0442000000003</v>
      </c>
      <c r="K338" s="20">
        <f>(Geraetedaten!$B$165+(Geraetedaten!$B$166*(Geraetedaten!$B$18+d_y_Sw)/1000))*10</f>
        <v>10816.164000000001</v>
      </c>
      <c r="L338" s="20">
        <f>(Geraetedaten!$B$158+(Geraetedaten!$B$159*(Geraetedaten!$B$18+d_y_Sw)/1000)-(Geraetedaten!$B$160*I338/1000))*10</f>
        <v>444.64249049113641</v>
      </c>
      <c r="M338" s="20">
        <f>(Geraetedaten!$B$171+(Geraetedaten!$B$172*(Geraetedaten!$B$18+d_y_Sw)/1000)-(Geraetedaten!$B$173*I338/1000))*10</f>
        <v>905.59797624656062</v>
      </c>
      <c r="N338" s="20">
        <f>IF((H338-J338)/(K338-J338)*(Geraetedaten!$B$174-Geraetedaten!$B$161)&lt;Geraetedaten!$B$174,(H338-J338)/(K338-J338)*(Geraetedaten!$B$174-Geraetedaten!$B$161),Geraetedaten!$B$174)</f>
        <v>284.20776975579957</v>
      </c>
      <c r="O338" s="20">
        <f>N338/Geraetedaten!$B$174*(M338-L338)+L338+C338</f>
        <v>842.37766945625731</v>
      </c>
      <c r="P338" s="20">
        <f t="shared" si="314"/>
        <v>241.7789308147681</v>
      </c>
      <c r="Q338" s="21">
        <f>(N338-Geraetedaten!$B$161)/(Geraetedaten!$B$174-Geraetedaten!$B$161)*(Geraetedaten!$B$175-Geraetedaten!$B$162)+Geraetedaten!$B$162</f>
        <v>37.655181150235038</v>
      </c>
      <c r="R338" s="21">
        <f t="shared" si="315"/>
        <v>37.655181150235038</v>
      </c>
      <c r="S338" s="21">
        <f t="shared" si="316"/>
        <v>-33.551012074354269</v>
      </c>
      <c r="T338" s="88">
        <f t="shared" si="317"/>
        <v>17.095094508178363</v>
      </c>
      <c r="U338" s="86">
        <f t="shared" si="318"/>
        <v>9506.9717299999993</v>
      </c>
      <c r="V338" s="85">
        <f t="shared" si="319"/>
        <v>-1346.4914747781525</v>
      </c>
      <c r="W338" s="85">
        <f t="shared" si="320"/>
        <v>2139.5623825018865</v>
      </c>
      <c r="X338" s="90">
        <f t="shared" si="321"/>
        <v>1346.4914747781525</v>
      </c>
      <c r="Y338" s="86">
        <f t="shared" si="322"/>
        <v>-21446.535</v>
      </c>
      <c r="Z338" s="85">
        <f t="shared" si="323"/>
        <v>-818.62113479844345</v>
      </c>
      <c r="AA338" s="85">
        <f t="shared" si="324"/>
        <v>-2054.8113701517304</v>
      </c>
      <c r="AB338" s="90">
        <f t="shared" si="325"/>
        <v>818.62113479844345</v>
      </c>
      <c r="AC338" s="86">
        <f t="shared" si="326"/>
        <v>-9361.8953700000002</v>
      </c>
      <c r="AD338" s="85">
        <f t="shared" si="327"/>
        <v>3384.56104615708</v>
      </c>
      <c r="AE338" s="85">
        <f t="shared" si="328"/>
        <v>-5280.624115757345</v>
      </c>
      <c r="AF338" s="90">
        <f t="shared" si="329"/>
        <v>3384.56104615708</v>
      </c>
      <c r="AG338" s="86">
        <f t="shared" si="330"/>
        <v>20110.81063</v>
      </c>
      <c r="AH338" s="85">
        <f t="shared" si="331"/>
        <v>6139.2748628683721</v>
      </c>
      <c r="AI338" s="85">
        <f t="shared" si="332"/>
        <v>13821.133876805519</v>
      </c>
      <c r="AJ338" s="90">
        <f t="shared" si="333"/>
        <v>6139.2748628683721</v>
      </c>
      <c r="AL338" s="95">
        <f t="shared" si="334"/>
        <v>0</v>
      </c>
      <c r="AM338" s="95">
        <f t="shared" si="335"/>
        <v>0</v>
      </c>
      <c r="AN338" s="95">
        <f t="shared" si="336"/>
        <v>0</v>
      </c>
      <c r="AO338" s="95">
        <f t="shared" si="337"/>
        <v>0</v>
      </c>
      <c r="AP338"/>
      <c r="AQ338" s="95">
        <f t="shared" si="338"/>
        <v>0</v>
      </c>
      <c r="AR338" s="95">
        <f t="shared" si="339"/>
        <v>0</v>
      </c>
      <c r="AS338" s="95">
        <f>Geraetedaten!$B$94*ABS(SIN(RADIANS($A338)))</f>
        <v>137.21500472500867</v>
      </c>
      <c r="AT338" s="95">
        <f>Geraetedaten!$B$94*ABS(COS(RADIANS($A338)))</f>
        <v>69.914536959890185</v>
      </c>
      <c r="AU338" s="95">
        <f>((h_Aw_Sw+Geraetedaten!$B$18)/1000)*(AQ338*AS338+AR338*AT338)/100</f>
        <v>0</v>
      </c>
    </row>
    <row r="339" spans="1:47" ht="13.5" x14ac:dyDescent="0.25">
      <c r="A339" s="16">
        <v>298</v>
      </c>
      <c r="B339" s="16">
        <f t="shared" si="306"/>
        <v>152</v>
      </c>
      <c r="C339" s="19">
        <f t="shared" si="307"/>
        <v>70.1688317010574</v>
      </c>
      <c r="D339" s="17">
        <f t="shared" si="308"/>
        <v>9647.7166682989427</v>
      </c>
      <c r="E339" s="17">
        <f t="shared" si="309"/>
        <v>-20691.277711701056</v>
      </c>
      <c r="F339" s="17">
        <f t="shared" si="310"/>
        <v>-9633.4024317010571</v>
      </c>
      <c r="G339" s="17">
        <f t="shared" si="311"/>
        <v>19359.650228298946</v>
      </c>
      <c r="H339" s="17">
        <f t="shared" si="312"/>
        <v>9647.7166682989427</v>
      </c>
      <c r="I339" s="17">
        <f t="shared" si="313"/>
        <v>2187.0289346723093</v>
      </c>
      <c r="J339" s="20">
        <f>(Geraetedaten!$B$152+(Geraetedaten!$B$153*(Geraetedaten!$B$18+d_y_Sw)/1000))*10</f>
        <v>6051.0442000000003</v>
      </c>
      <c r="K339" s="20">
        <f>(Geraetedaten!$B$165+(Geraetedaten!$B$166*(Geraetedaten!$B$18+d_y_Sw)/1000))*10</f>
        <v>10816.164000000001</v>
      </c>
      <c r="L339" s="20">
        <f>(Geraetedaten!$B$158+(Geraetedaten!$B$159*(Geraetedaten!$B$18+d_y_Sw)/1000)-(Geraetedaten!$B$160*I339/1000))*10</f>
        <v>441.1617682204793</v>
      </c>
      <c r="M339" s="20">
        <f>(Geraetedaten!$B$171+(Geraetedaten!$B$172*(Geraetedaten!$B$18+d_y_Sw)/1000)-(Geraetedaten!$B$173*I339/1000))*10</f>
        <v>902.06456610299426</v>
      </c>
      <c r="N339" s="20">
        <f>IF((H339-J339)/(K339-J339)*(Geraetedaten!$B$174-Geraetedaten!$B$161)&lt;Geraetedaten!$B$174,(H339-J339)/(K339-J339)*(Geraetedaten!$B$174-Geraetedaten!$B$161),Geraetedaten!$B$174)</f>
        <v>301.91664589829969</v>
      </c>
      <c r="O339" s="20">
        <f>N339/Geraetedaten!$B$174*(M339-L339)+L339+C339</f>
        <v>859.21616697611375</v>
      </c>
      <c r="P339" s="20">
        <f t="shared" si="314"/>
        <v>243.32759295829732</v>
      </c>
      <c r="Q339" s="21">
        <f>(N339-Geraetedaten!$B$161)/(Geraetedaten!$B$174-Geraetedaten!$B$161)*(Geraetedaten!$B$175-Geraetedaten!$B$162)+Geraetedaten!$B$162</f>
        <v>38.182020215474417</v>
      </c>
      <c r="R339" s="21">
        <f t="shared" si="315"/>
        <v>38.182020215474417</v>
      </c>
      <c r="S339" s="21">
        <f t="shared" si="316"/>
        <v>-33.712722839744032</v>
      </c>
      <c r="T339" s="88">
        <f t="shared" si="317"/>
        <v>17.925372700881233</v>
      </c>
      <c r="U339" s="86">
        <f t="shared" si="318"/>
        <v>9717.8855000000003</v>
      </c>
      <c r="V339" s="85">
        <f t="shared" si="319"/>
        <v>-1346.4914747781525</v>
      </c>
      <c r="W339" s="85">
        <f t="shared" si="320"/>
        <v>2187.0289346723093</v>
      </c>
      <c r="X339" s="90">
        <f t="shared" si="321"/>
        <v>1346.4914747781525</v>
      </c>
      <c r="Y339" s="86">
        <f t="shared" si="322"/>
        <v>-20621.10888</v>
      </c>
      <c r="Z339" s="85">
        <f t="shared" si="323"/>
        <v>-818.62113479844345</v>
      </c>
      <c r="AA339" s="85">
        <f t="shared" si="324"/>
        <v>-1975.7265679979555</v>
      </c>
      <c r="AB339" s="90">
        <f t="shared" si="325"/>
        <v>818.62113479844345</v>
      </c>
      <c r="AC339" s="86">
        <f t="shared" si="326"/>
        <v>-9563.2335999999996</v>
      </c>
      <c r="AD339" s="85">
        <f t="shared" si="327"/>
        <v>3384.56104615708</v>
      </c>
      <c r="AE339" s="85">
        <f t="shared" si="328"/>
        <v>-5394.1899566692327</v>
      </c>
      <c r="AF339" s="90">
        <f t="shared" si="329"/>
        <v>3384.56104615708</v>
      </c>
      <c r="AG339" s="86">
        <f t="shared" si="330"/>
        <v>19429.819060000002</v>
      </c>
      <c r="AH339" s="85">
        <f t="shared" si="331"/>
        <v>6139.2748628683721</v>
      </c>
      <c r="AI339" s="85">
        <f t="shared" si="332"/>
        <v>13353.123122079427</v>
      </c>
      <c r="AJ339" s="90">
        <f t="shared" si="333"/>
        <v>6139.2748628683721</v>
      </c>
      <c r="AL339" s="95">
        <f t="shared" si="334"/>
        <v>0</v>
      </c>
      <c r="AM339" s="95">
        <f t="shared" si="335"/>
        <v>0</v>
      </c>
      <c r="AN339" s="95">
        <f t="shared" si="336"/>
        <v>0</v>
      </c>
      <c r="AO339" s="95">
        <f t="shared" si="337"/>
        <v>0</v>
      </c>
      <c r="AP339"/>
      <c r="AQ339" s="95">
        <f t="shared" si="338"/>
        <v>0</v>
      </c>
      <c r="AR339" s="95">
        <f t="shared" si="339"/>
        <v>0</v>
      </c>
      <c r="AS339" s="95">
        <f>Geraetedaten!$B$94*ABS(SIN(RADIANS($A339)))</f>
        <v>135.97392930027476</v>
      </c>
      <c r="AT339" s="95">
        <f>Geraetedaten!$B$94*ABS(COS(RADIANS($A339)))</f>
        <v>72.29862066902713</v>
      </c>
      <c r="AU339" s="95">
        <f>((h_Aw_Sw+Geraetedaten!$B$18)/1000)*(AQ339*AS339+AR339*AT339)/100</f>
        <v>0</v>
      </c>
    </row>
    <row r="340" spans="1:47" ht="13.5" x14ac:dyDescent="0.25">
      <c r="A340" s="16">
        <v>299</v>
      </c>
      <c r="B340" s="16">
        <f t="shared" si="306"/>
        <v>151</v>
      </c>
      <c r="C340" s="19">
        <f t="shared" si="307"/>
        <v>70.098936739242845</v>
      </c>
      <c r="D340" s="17">
        <f t="shared" si="308"/>
        <v>9871.3679532607566</v>
      </c>
      <c r="E340" s="17">
        <f t="shared" si="309"/>
        <v>-19932.790436739244</v>
      </c>
      <c r="F340" s="17">
        <f t="shared" si="310"/>
        <v>-9846.5645767392434</v>
      </c>
      <c r="G340" s="17">
        <f t="shared" si="311"/>
        <v>18728.876223260759</v>
      </c>
      <c r="H340" s="17">
        <f t="shared" si="312"/>
        <v>9871.3679532607566</v>
      </c>
      <c r="I340" s="17">
        <f t="shared" si="313"/>
        <v>2237.3463582037125</v>
      </c>
      <c r="J340" s="20">
        <f>(Geraetedaten!$B$152+(Geraetedaten!$B$153*(Geraetedaten!$B$18+d_y_Sw)/1000))*10</f>
        <v>6051.0442000000003</v>
      </c>
      <c r="K340" s="20">
        <f>(Geraetedaten!$B$165+(Geraetedaten!$B$166*(Geraetedaten!$B$18+d_y_Sw)/1000))*10</f>
        <v>10816.164000000001</v>
      </c>
      <c r="L340" s="20">
        <f>(Geraetedaten!$B$158+(Geraetedaten!$B$159*(Geraetedaten!$B$18+d_y_Sw)/1000)-(Geraetedaten!$B$160*I340/1000))*10</f>
        <v>437.47199155292151</v>
      </c>
      <c r="M340" s="20">
        <f>(Geraetedaten!$B$171+(Geraetedaten!$B$172*(Geraetedaten!$B$18+d_y_Sw)/1000)-(Geraetedaten!$B$173*I340/1000))*10</f>
        <v>898.31893709531653</v>
      </c>
      <c r="N340" s="20">
        <f>IF((H340-J340)/(K340-J340)*(Geraetedaten!$B$174-Geraetedaten!$B$161)&lt;Geraetedaten!$B$174,(H340-J340)/(K340-J340)*(Geraetedaten!$B$174-Geraetedaten!$B$161),Geraetedaten!$B$174)</f>
        <v>320.6906783968584</v>
      </c>
      <c r="O340" s="20">
        <f>N340/Geraetedaten!$B$174*(M340-L340)+L340+C340</f>
        <v>877.04422729994121</v>
      </c>
      <c r="P340" s="20">
        <f t="shared" si="314"/>
        <v>244.91846750759285</v>
      </c>
      <c r="Q340" s="21">
        <f>(N340-Geraetedaten!$B$161)/(Geraetedaten!$B$174-Geraetedaten!$B$161)*(Geraetedaten!$B$175-Geraetedaten!$B$162)+Geraetedaten!$B$162</f>
        <v>38.740547682306541</v>
      </c>
      <c r="R340" s="21">
        <f t="shared" si="315"/>
        <v>38.740547682306541</v>
      </c>
      <c r="S340" s="21">
        <f t="shared" si="316"/>
        <v>-33.883246468318738</v>
      </c>
      <c r="T340" s="88">
        <f t="shared" si="317"/>
        <v>18.781790209994156</v>
      </c>
      <c r="U340" s="86">
        <f t="shared" si="318"/>
        <v>9941.4668899999997</v>
      </c>
      <c r="V340" s="85">
        <f t="shared" si="319"/>
        <v>-1346.4914747781525</v>
      </c>
      <c r="W340" s="85">
        <f t="shared" si="320"/>
        <v>2237.3463582037125</v>
      </c>
      <c r="X340" s="90">
        <f t="shared" si="321"/>
        <v>1346.4914747781525</v>
      </c>
      <c r="Y340" s="86">
        <f t="shared" si="322"/>
        <v>-19862.691500000001</v>
      </c>
      <c r="Z340" s="85">
        <f t="shared" si="323"/>
        <v>-818.62113479844345</v>
      </c>
      <c r="AA340" s="85">
        <f t="shared" si="324"/>
        <v>-1903.0619318786423</v>
      </c>
      <c r="AB340" s="90">
        <f t="shared" si="325"/>
        <v>818.62113479844345</v>
      </c>
      <c r="AC340" s="86">
        <f t="shared" si="326"/>
        <v>-9776.4656400000003</v>
      </c>
      <c r="AD340" s="85">
        <f t="shared" si="327"/>
        <v>3384.56104615708</v>
      </c>
      <c r="AE340" s="85">
        <f t="shared" si="328"/>
        <v>-5514.46456225978</v>
      </c>
      <c r="AF340" s="90">
        <f t="shared" si="329"/>
        <v>3384.56104615708</v>
      </c>
      <c r="AG340" s="86">
        <f t="shared" si="330"/>
        <v>18798.975160000002</v>
      </c>
      <c r="AH340" s="85">
        <f t="shared" si="331"/>
        <v>6139.2748628683721</v>
      </c>
      <c r="AI340" s="85">
        <f t="shared" si="332"/>
        <v>12919.576306544825</v>
      </c>
      <c r="AJ340" s="90">
        <f t="shared" si="333"/>
        <v>6139.2748628683721</v>
      </c>
      <c r="AL340" s="95">
        <f t="shared" si="334"/>
        <v>0</v>
      </c>
      <c r="AM340" s="95">
        <f t="shared" si="335"/>
        <v>0</v>
      </c>
      <c r="AN340" s="95">
        <f t="shared" si="336"/>
        <v>0</v>
      </c>
      <c r="AO340" s="95">
        <f t="shared" si="337"/>
        <v>0</v>
      </c>
      <c r="AP340"/>
      <c r="AQ340" s="95">
        <f t="shared" si="338"/>
        <v>0</v>
      </c>
      <c r="AR340" s="95">
        <f t="shared" si="339"/>
        <v>0</v>
      </c>
      <c r="AS340" s="95">
        <f>Geraetedaten!$B$94*ABS(SIN(RADIANS($A340)))</f>
        <v>134.69143489946694</v>
      </c>
      <c r="AT340" s="95">
        <f>Geraetedaten!$B$94*ABS(COS(RADIANS($A340)))</f>
        <v>74.660681517935942</v>
      </c>
      <c r="AU340" s="95">
        <f>((h_Aw_Sw+Geraetedaten!$B$18)/1000)*(AQ340*AS340+AR340*AT340)/100</f>
        <v>0</v>
      </c>
    </row>
    <row r="341" spans="1:47" ht="13.5" x14ac:dyDescent="0.25">
      <c r="A341" s="16">
        <v>300</v>
      </c>
      <c r="B341" s="16">
        <f t="shared" si="306"/>
        <v>150</v>
      </c>
      <c r="C341" s="19">
        <f t="shared" si="307"/>
        <v>70.007688962233885</v>
      </c>
      <c r="D341" s="17">
        <f t="shared" si="308"/>
        <v>10108.744381037766</v>
      </c>
      <c r="E341" s="17">
        <f t="shared" si="309"/>
        <v>-19233.720378962233</v>
      </c>
      <c r="F341" s="17">
        <f t="shared" si="310"/>
        <v>-10072.547478962235</v>
      </c>
      <c r="G341" s="17">
        <f t="shared" si="311"/>
        <v>18143.173081037767</v>
      </c>
      <c r="H341" s="17">
        <f t="shared" si="312"/>
        <v>10108.744381037766</v>
      </c>
      <c r="I341" s="17">
        <f t="shared" si="313"/>
        <v>2290.7478480462346</v>
      </c>
      <c r="J341" s="20">
        <f>(Geraetedaten!$B$152+(Geraetedaten!$B$153*(Geraetedaten!$B$18+d_y_Sw)/1000))*10</f>
        <v>6051.0442000000003</v>
      </c>
      <c r="K341" s="20">
        <f>(Geraetedaten!$B$165+(Geraetedaten!$B$166*(Geraetedaten!$B$18+d_y_Sw)/1000))*10</f>
        <v>10816.164000000001</v>
      </c>
      <c r="L341" s="20">
        <f>(Geraetedaten!$B$158+(Geraetedaten!$B$159*(Geraetedaten!$B$18+d_y_Sw)/1000)-(Geraetedaten!$B$160*I341/1000))*10</f>
        <v>433.55606030276937</v>
      </c>
      <c r="M341" s="20">
        <f>(Geraetedaten!$B$171+(Geraetedaten!$B$172*(Geraetedaten!$B$18+d_y_Sw)/1000)-(Geraetedaten!$B$173*I341/1000))*10</f>
        <v>894.34373019143914</v>
      </c>
      <c r="N341" s="20">
        <f>IF((H341-J341)/(K341-J341)*(Geraetedaten!$B$174-Geraetedaten!$B$161)&lt;Geraetedaten!$B$174,(H341-J341)/(K341-J341)*(Geraetedaten!$B$174-Geraetedaten!$B$161),Geraetedaten!$B$174)</f>
        <v>340.6168450193228</v>
      </c>
      <c r="O341" s="20">
        <f>N341/Geraetedaten!$B$174*(M341-L341)+L341+C341</f>
        <v>895.94385511821315</v>
      </c>
      <c r="P341" s="20">
        <f t="shared" si="314"/>
        <v>246.55299769732952</v>
      </c>
      <c r="Q341" s="21">
        <f>(N341-Geraetedaten!$B$161)/(Geraetedaten!$B$174-Geraetedaten!$B$161)*(Geraetedaten!$B$175-Geraetedaten!$B$162)+Geraetedaten!$B$162</f>
        <v>39.333351139324854</v>
      </c>
      <c r="R341" s="21">
        <f t="shared" si="315"/>
        <v>39.333351139324854</v>
      </c>
      <c r="S341" s="21">
        <f t="shared" si="316"/>
        <v>-34.063681302628915</v>
      </c>
      <c r="T341" s="88">
        <f t="shared" si="317"/>
        <v>19.666675569662431</v>
      </c>
      <c r="U341" s="86">
        <f t="shared" si="318"/>
        <v>10178.75207</v>
      </c>
      <c r="V341" s="85">
        <f t="shared" si="319"/>
        <v>-1346.4914747781525</v>
      </c>
      <c r="W341" s="85">
        <f t="shared" si="320"/>
        <v>2290.7478480462346</v>
      </c>
      <c r="X341" s="90">
        <f t="shared" si="321"/>
        <v>1346.4914747781525</v>
      </c>
      <c r="Y341" s="86">
        <f t="shared" si="322"/>
        <v>-19163.71269</v>
      </c>
      <c r="Z341" s="85">
        <f t="shared" si="323"/>
        <v>-818.62113479844345</v>
      </c>
      <c r="AA341" s="85">
        <f t="shared" si="324"/>
        <v>-1836.0921579780149</v>
      </c>
      <c r="AB341" s="90">
        <f t="shared" si="325"/>
        <v>818.62113479844345</v>
      </c>
      <c r="AC341" s="86">
        <f t="shared" si="326"/>
        <v>-10002.539790000001</v>
      </c>
      <c r="AD341" s="85">
        <f t="shared" si="327"/>
        <v>3384.56104615708</v>
      </c>
      <c r="AE341" s="85">
        <f t="shared" si="328"/>
        <v>-5641.9828242170533</v>
      </c>
      <c r="AF341" s="90">
        <f t="shared" si="329"/>
        <v>3384.56104615708</v>
      </c>
      <c r="AG341" s="86">
        <f t="shared" si="330"/>
        <v>18213.180769999999</v>
      </c>
      <c r="AH341" s="85">
        <f t="shared" si="331"/>
        <v>6139.2748628683721</v>
      </c>
      <c r="AI341" s="85">
        <f t="shared" si="332"/>
        <v>12516.989717314935</v>
      </c>
      <c r="AJ341" s="90">
        <f t="shared" si="333"/>
        <v>6139.2748628683721</v>
      </c>
      <c r="AL341" s="95">
        <f t="shared" si="334"/>
        <v>0</v>
      </c>
      <c r="AM341" s="95">
        <f t="shared" si="335"/>
        <v>0</v>
      </c>
      <c r="AN341" s="95">
        <f t="shared" si="336"/>
        <v>0</v>
      </c>
      <c r="AO341" s="95">
        <f t="shared" si="337"/>
        <v>0</v>
      </c>
      <c r="AP341"/>
      <c r="AQ341" s="95">
        <f t="shared" si="338"/>
        <v>0</v>
      </c>
      <c r="AR341" s="95">
        <f t="shared" si="339"/>
        <v>0</v>
      </c>
      <c r="AS341" s="95">
        <f>Geraetedaten!$B$94*ABS(SIN(RADIANS($A341)))</f>
        <v>133.36791218280354</v>
      </c>
      <c r="AT341" s="95">
        <f>Geraetedaten!$B$94*ABS(COS(RADIANS($A341)))</f>
        <v>77.000000000000014</v>
      </c>
      <c r="AU341" s="95">
        <f>((h_Aw_Sw+Geraetedaten!$B$18)/1000)*(AQ341*AS341+AR341*AT341)/100</f>
        <v>0</v>
      </c>
    </row>
    <row r="342" spans="1:47" ht="13.5" x14ac:dyDescent="0.25">
      <c r="A342" s="16">
        <v>301</v>
      </c>
      <c r="B342" s="16">
        <f t="shared" si="306"/>
        <v>149</v>
      </c>
      <c r="C342" s="19">
        <f t="shared" si="307"/>
        <v>69.895116164987314</v>
      </c>
      <c r="D342" s="17">
        <f t="shared" si="308"/>
        <v>10361.001313835013</v>
      </c>
      <c r="E342" s="17">
        <f t="shared" si="309"/>
        <v>-18587.600466164986</v>
      </c>
      <c r="F342" s="17">
        <f t="shared" si="310"/>
        <v>-10312.406016164987</v>
      </c>
      <c r="G342" s="17">
        <f t="shared" si="311"/>
        <v>17598.115083835015</v>
      </c>
      <c r="H342" s="17">
        <f t="shared" si="312"/>
        <v>10361.001313835013</v>
      </c>
      <c r="I342" s="17">
        <f t="shared" si="313"/>
        <v>2347.4934222079437</v>
      </c>
      <c r="J342" s="20">
        <f>(Geraetedaten!$B$152+(Geraetedaten!$B$153*(Geraetedaten!$B$18+d_y_Sw)/1000))*10</f>
        <v>6051.0442000000003</v>
      </c>
      <c r="K342" s="20">
        <f>(Geraetedaten!$B$165+(Geraetedaten!$B$166*(Geraetedaten!$B$18+d_y_Sw)/1000))*10</f>
        <v>10816.164000000001</v>
      </c>
      <c r="L342" s="20">
        <f>(Geraetedaten!$B$158+(Geraetedaten!$B$159*(Geraetedaten!$B$18+d_y_Sw)/1000)-(Geraetedaten!$B$160*I342/1000))*10</f>
        <v>429.39490734949123</v>
      </c>
      <c r="M342" s="20">
        <f>(Geraetedaten!$B$171+(Geraetedaten!$B$172*(Geraetedaten!$B$18+d_y_Sw)/1000)-(Geraetedaten!$B$173*I342/1000))*10</f>
        <v>890.11958965084159</v>
      </c>
      <c r="N342" s="20">
        <f>IF((H342-J342)/(K342-J342)*(Geraetedaten!$B$174-Geraetedaten!$B$161)&lt;Geraetedaten!$B$174,(H342-J342)/(K342-J342)*(Geraetedaten!$B$174-Geraetedaten!$B$161),Geraetedaten!$B$174)</f>
        <v>361.79213071075463</v>
      </c>
      <c r="O342" s="20">
        <f>N342/Geraetedaten!$B$174*(M342-L342)+L342+C342</f>
        <v>916.00643471658123</v>
      </c>
      <c r="P342" s="20">
        <f t="shared" si="314"/>
        <v>248.23267940168904</v>
      </c>
      <c r="Q342" s="21">
        <f>(N342-Geraetedaten!$B$161)/(Geraetedaten!$B$174-Geraetedaten!$B$161)*(Geraetedaten!$B$175-Geraetedaten!$B$162)+Geraetedaten!$B$162</f>
        <v>39.963315888644949</v>
      </c>
      <c r="R342" s="21">
        <f t="shared" si="315"/>
        <v>39.963315888644949</v>
      </c>
      <c r="S342" s="21">
        <f t="shared" si="316"/>
        <v>-34.25524760737563</v>
      </c>
      <c r="T342" s="88">
        <f t="shared" si="317"/>
        <v>20.582629282310076</v>
      </c>
      <c r="U342" s="86">
        <f t="shared" si="318"/>
        <v>10430.896430000001</v>
      </c>
      <c r="V342" s="85">
        <f t="shared" si="319"/>
        <v>-1346.4914747781525</v>
      </c>
      <c r="W342" s="85">
        <f t="shared" si="320"/>
        <v>2347.4934222079437</v>
      </c>
      <c r="X342" s="90">
        <f t="shared" si="321"/>
        <v>1346.4914747781525</v>
      </c>
      <c r="Y342" s="86">
        <f t="shared" si="322"/>
        <v>-18517.70535</v>
      </c>
      <c r="Z342" s="85">
        <f t="shared" si="323"/>
        <v>-818.62113479844345</v>
      </c>
      <c r="AA342" s="85">
        <f t="shared" si="324"/>
        <v>-1774.1976261541959</v>
      </c>
      <c r="AB342" s="90">
        <f t="shared" si="325"/>
        <v>818.62113479844345</v>
      </c>
      <c r="AC342" s="86">
        <f t="shared" si="326"/>
        <v>-10242.510899999999</v>
      </c>
      <c r="AD342" s="85">
        <f t="shared" si="327"/>
        <v>3384.56104615708</v>
      </c>
      <c r="AE342" s="85">
        <f t="shared" si="328"/>
        <v>-5777.3397302222902</v>
      </c>
      <c r="AF342" s="90">
        <f t="shared" si="329"/>
        <v>3384.56104615708</v>
      </c>
      <c r="AG342" s="86">
        <f t="shared" si="330"/>
        <v>17668.010200000001</v>
      </c>
      <c r="AH342" s="85">
        <f t="shared" si="331"/>
        <v>6139.2748628683721</v>
      </c>
      <c r="AI342" s="85">
        <f t="shared" si="332"/>
        <v>12142.321804726909</v>
      </c>
      <c r="AJ342" s="90">
        <f t="shared" si="333"/>
        <v>6139.2748628683721</v>
      </c>
      <c r="AL342" s="95">
        <f t="shared" si="334"/>
        <v>0</v>
      </c>
      <c r="AM342" s="95">
        <f t="shared" si="335"/>
        <v>0</v>
      </c>
      <c r="AN342" s="95">
        <f t="shared" si="336"/>
        <v>0</v>
      </c>
      <c r="AO342" s="95">
        <f t="shared" si="337"/>
        <v>0</v>
      </c>
      <c r="AP342"/>
      <c r="AQ342" s="95">
        <f t="shared" si="338"/>
        <v>0</v>
      </c>
      <c r="AR342" s="95">
        <f t="shared" si="339"/>
        <v>0</v>
      </c>
      <c r="AS342" s="95">
        <f>Geraetedaten!$B$94*ABS(SIN(RADIANS($A342)))</f>
        <v>132.00376430812531</v>
      </c>
      <c r="AT342" s="95">
        <f>Geraetedaten!$B$94*ABS(COS(RADIANS($A342)))</f>
        <v>79.315863536148342</v>
      </c>
      <c r="AU342" s="95">
        <f>((h_Aw_Sw+Geraetedaten!$B$18)/1000)*(AQ342*AS342+AR342*AT342)/100</f>
        <v>0</v>
      </c>
    </row>
    <row r="343" spans="1:47" ht="13.5" x14ac:dyDescent="0.25">
      <c r="A343" s="16">
        <v>302</v>
      </c>
      <c r="B343" s="16">
        <f t="shared" si="306"/>
        <v>148</v>
      </c>
      <c r="C343" s="19">
        <f t="shared" si="307"/>
        <v>69.761252638267678</v>
      </c>
      <c r="D343" s="17">
        <f t="shared" si="308"/>
        <v>10629.430747361732</v>
      </c>
      <c r="E343" s="17">
        <f t="shared" si="309"/>
        <v>-17988.872992638269</v>
      </c>
      <c r="F343" s="17">
        <f t="shared" si="310"/>
        <v>-10567.316842638267</v>
      </c>
      <c r="G343" s="17">
        <f t="shared" si="311"/>
        <v>17089.841837361731</v>
      </c>
      <c r="H343" s="17">
        <f t="shared" si="312"/>
        <v>10629.430747361732</v>
      </c>
      <c r="I343" s="17">
        <f t="shared" si="313"/>
        <v>2407.8738611539025</v>
      </c>
      <c r="J343" s="20">
        <f>(Geraetedaten!$B$152+(Geraetedaten!$B$153*(Geraetedaten!$B$18+d_y_Sw)/1000))*10</f>
        <v>6051.0442000000003</v>
      </c>
      <c r="K343" s="20">
        <f>(Geraetedaten!$B$165+(Geraetedaten!$B$166*(Geraetedaten!$B$18+d_y_Sw)/1000))*10</f>
        <v>10816.164000000001</v>
      </c>
      <c r="L343" s="20">
        <f>(Geraetedaten!$B$158+(Geraetedaten!$B$159*(Geraetedaten!$B$18+d_y_Sw)/1000)-(Geraetedaten!$B$160*I343/1000))*10</f>
        <v>424.96720976158417</v>
      </c>
      <c r="M343" s="20">
        <f>(Geraetedaten!$B$171+(Geraetedaten!$B$172*(Geraetedaten!$B$18+d_y_Sw)/1000)-(Geraetedaten!$B$173*I343/1000))*10</f>
        <v>885.62486977570438</v>
      </c>
      <c r="N343" s="20">
        <f>IF((H343-J343)/(K343-J343)*(Geraetedaten!$B$174-Geraetedaten!$B$161)&lt;Geraetedaten!$B$174,(H343-J343)/(K343-J343)*(Geraetedaten!$B$174-Geraetedaten!$B$161),Geraetedaten!$B$174)</f>
        <v>384.32498988686336</v>
      </c>
      <c r="O343" s="20">
        <f>N343/Geraetedaten!$B$174*(M343-L343)+L343+C343</f>
        <v>937.33408871543406</v>
      </c>
      <c r="P343" s="20">
        <f t="shared" si="314"/>
        <v>249.95905984442538</v>
      </c>
      <c r="Q343" s="21">
        <f>(N343-Geraetedaten!$B$161)/(Geraetedaten!$B$174-Geraetedaten!$B$161)*(Geraetedaten!$B$175-Geraetedaten!$B$162)+Geraetedaten!$B$162</f>
        <v>40.633668449134184</v>
      </c>
      <c r="R343" s="21">
        <f t="shared" si="315"/>
        <v>40.633668449134184</v>
      </c>
      <c r="S343" s="21">
        <f t="shared" si="316"/>
        <v>-34.459305168139686</v>
      </c>
      <c r="T343" s="88">
        <f t="shared" si="317"/>
        <v>21.53256368766117</v>
      </c>
      <c r="U343" s="86">
        <f t="shared" si="318"/>
        <v>10699.191999999999</v>
      </c>
      <c r="V343" s="85">
        <f t="shared" si="319"/>
        <v>-1346.4914747781525</v>
      </c>
      <c r="W343" s="85">
        <f t="shared" si="320"/>
        <v>2407.8738611539025</v>
      </c>
      <c r="X343" s="90">
        <f t="shared" si="321"/>
        <v>1346.4914747781525</v>
      </c>
      <c r="Y343" s="86">
        <f t="shared" si="322"/>
        <v>-17919.11174</v>
      </c>
      <c r="Z343" s="85">
        <f t="shared" si="323"/>
        <v>-818.62113479844345</v>
      </c>
      <c r="AA343" s="85">
        <f t="shared" si="324"/>
        <v>-1716.845846606944</v>
      </c>
      <c r="AB343" s="90">
        <f t="shared" si="325"/>
        <v>818.62113479844345</v>
      </c>
      <c r="AC343" s="86">
        <f t="shared" si="326"/>
        <v>-10497.55559</v>
      </c>
      <c r="AD343" s="85">
        <f t="shared" si="327"/>
        <v>3384.56104615708</v>
      </c>
      <c r="AE343" s="85">
        <f t="shared" si="328"/>
        <v>-5921.1989701041139</v>
      </c>
      <c r="AF343" s="90">
        <f t="shared" si="329"/>
        <v>3384.56104615708</v>
      </c>
      <c r="AG343" s="86">
        <f t="shared" si="330"/>
        <v>17159.603090000001</v>
      </c>
      <c r="AH343" s="85">
        <f t="shared" si="331"/>
        <v>6139.2748628683721</v>
      </c>
      <c r="AI343" s="85">
        <f t="shared" si="332"/>
        <v>11792.919540595816</v>
      </c>
      <c r="AJ343" s="90">
        <f t="shared" si="333"/>
        <v>6139.2748628683721</v>
      </c>
      <c r="AL343" s="95">
        <f t="shared" si="334"/>
        <v>0</v>
      </c>
      <c r="AM343" s="95">
        <f t="shared" si="335"/>
        <v>0</v>
      </c>
      <c r="AN343" s="95">
        <f t="shared" si="336"/>
        <v>0</v>
      </c>
      <c r="AO343" s="95">
        <f t="shared" si="337"/>
        <v>0</v>
      </c>
      <c r="AP343"/>
      <c r="AQ343" s="95">
        <f t="shared" si="338"/>
        <v>0</v>
      </c>
      <c r="AR343" s="95">
        <f t="shared" si="339"/>
        <v>0</v>
      </c>
      <c r="AS343" s="95">
        <f>Geraetedaten!$B$94*ABS(SIN(RADIANS($A343)))</f>
        <v>130.59940680808964</v>
      </c>
      <c r="AT343" s="95">
        <f>Geraetedaten!$B$94*ABS(COS(RADIANS($A343)))</f>
        <v>81.607566691913519</v>
      </c>
      <c r="AU343" s="95">
        <f>((h_Aw_Sw+Geraetedaten!$B$18)/1000)*(AQ343*AS343+AR343*AT343)/100</f>
        <v>0</v>
      </c>
    </row>
    <row r="344" spans="1:47" ht="13.5" x14ac:dyDescent="0.25">
      <c r="A344" s="16">
        <v>303</v>
      </c>
      <c r="B344" s="16">
        <f t="shared" si="306"/>
        <v>147</v>
      </c>
      <c r="C344" s="19">
        <f t="shared" si="307"/>
        <v>69.606139158202012</v>
      </c>
      <c r="D344" s="17">
        <f t="shared" si="308"/>
        <v>10915.482110841798</v>
      </c>
      <c r="E344" s="17">
        <f t="shared" si="309"/>
        <v>-17432.7354691582</v>
      </c>
      <c r="F344" s="17">
        <f t="shared" si="310"/>
        <v>-10838.596409158203</v>
      </c>
      <c r="G344" s="17">
        <f t="shared" si="311"/>
        <v>16614.970970841798</v>
      </c>
      <c r="H344" s="17">
        <f t="shared" si="312"/>
        <v>10915.482110841798</v>
      </c>
      <c r="I344" s="17">
        <f t="shared" si="313"/>
        <v>2472.2153636917915</v>
      </c>
      <c r="J344" s="20">
        <f>(Geraetedaten!$B$152+(Geraetedaten!$B$153*(Geraetedaten!$B$18+d_y_Sw)/1000))*10</f>
        <v>6051.0442000000003</v>
      </c>
      <c r="K344" s="20">
        <f>(Geraetedaten!$B$165+(Geraetedaten!$B$166*(Geraetedaten!$B$18+d_y_Sw)/1000))*10</f>
        <v>10816.164000000001</v>
      </c>
      <c r="L344" s="20">
        <f>(Geraetedaten!$B$158+(Geraetedaten!$B$159*(Geraetedaten!$B$18+d_y_Sw)/1000)-(Geraetedaten!$B$160*I344/1000))*10</f>
        <v>420.24904738048065</v>
      </c>
      <c r="M344" s="20">
        <f>(Geraetedaten!$B$171+(Geraetedaten!$B$172*(Geraetedaten!$B$18+d_y_Sw)/1000)-(Geraetedaten!$B$173*I344/1000))*10</f>
        <v>880.83528832678394</v>
      </c>
      <c r="N344" s="20">
        <f>IF((H344-J344)/(K344-J344)*(Geraetedaten!$B$174-Geraetedaten!$B$161)&lt;Geraetedaten!$B$174,(H344-J344)/(K344-J344)*(Geraetedaten!$B$174-Geraetedaten!$B$161),Geraetedaten!$B$174)</f>
        <v>400</v>
      </c>
      <c r="O344" s="20">
        <f>N344/Geraetedaten!$B$174*(M344-L344)+L344+C344</f>
        <v>950.44142748498598</v>
      </c>
      <c r="P344" s="20">
        <f t="shared" si="314"/>
        <v>250.81675752925469</v>
      </c>
      <c r="Q344" s="21">
        <f>(N344-Geraetedaten!$B$161)/(Geraetedaten!$B$174-Geraetedaten!$B$161)*(Geraetedaten!$B$175-Geraetedaten!$B$162)+Geraetedaten!$B$162</f>
        <v>41.1</v>
      </c>
      <c r="R344" s="21">
        <f t="shared" si="315"/>
        <v>41.1</v>
      </c>
      <c r="S344" s="21">
        <f t="shared" si="316"/>
        <v>-34.469360342556939</v>
      </c>
      <c r="T344" s="88">
        <f t="shared" si="317"/>
        <v>22.384664339117595</v>
      </c>
      <c r="U344" s="86">
        <f t="shared" si="318"/>
        <v>10985.088250000001</v>
      </c>
      <c r="V344" s="85">
        <f t="shared" si="319"/>
        <v>-1346.4914747781525</v>
      </c>
      <c r="W344" s="85">
        <f t="shared" si="320"/>
        <v>2472.2153636917915</v>
      </c>
      <c r="X344" s="90">
        <f t="shared" si="321"/>
        <v>1346.4914747781525</v>
      </c>
      <c r="Y344" s="86">
        <f t="shared" si="322"/>
        <v>-17363.12933</v>
      </c>
      <c r="Z344" s="85">
        <f t="shared" si="323"/>
        <v>-818.62113479844345</v>
      </c>
      <c r="AA344" s="85">
        <f t="shared" si="324"/>
        <v>-1663.5766830717164</v>
      </c>
      <c r="AB344" s="90">
        <f t="shared" si="325"/>
        <v>818.62113479844345</v>
      </c>
      <c r="AC344" s="86">
        <f t="shared" si="326"/>
        <v>-10768.99027</v>
      </c>
      <c r="AD344" s="85">
        <f t="shared" si="327"/>
        <v>3384.56104615708</v>
      </c>
      <c r="AE344" s="85">
        <f t="shared" si="328"/>
        <v>-6074.3030675505506</v>
      </c>
      <c r="AF344" s="90">
        <f t="shared" si="329"/>
        <v>3384.56104615708</v>
      </c>
      <c r="AG344" s="86">
        <f t="shared" si="330"/>
        <v>16684.577109999998</v>
      </c>
      <c r="AH344" s="85">
        <f t="shared" si="331"/>
        <v>6139.2748628683721</v>
      </c>
      <c r="AI344" s="85">
        <f t="shared" si="332"/>
        <v>11466.458426569259</v>
      </c>
      <c r="AJ344" s="90">
        <f t="shared" si="333"/>
        <v>6139.2748628683721</v>
      </c>
      <c r="AL344" s="95">
        <f t="shared" si="334"/>
        <v>0</v>
      </c>
      <c r="AM344" s="95">
        <f t="shared" si="335"/>
        <v>0</v>
      </c>
      <c r="AN344" s="95">
        <f t="shared" si="336"/>
        <v>0</v>
      </c>
      <c r="AO344" s="95">
        <f t="shared" si="337"/>
        <v>0</v>
      </c>
      <c r="AP344"/>
      <c r="AQ344" s="95">
        <f t="shared" si="338"/>
        <v>0</v>
      </c>
      <c r="AR344" s="95">
        <f t="shared" si="339"/>
        <v>0</v>
      </c>
      <c r="AS344" s="95">
        <f>Geraetedaten!$B$94*ABS(SIN(RADIANS($A344)))</f>
        <v>129.15526746359535</v>
      </c>
      <c r="AT344" s="95">
        <f>Geraetedaten!$B$94*ABS(COS(RADIANS($A344)))</f>
        <v>83.874411392314101</v>
      </c>
      <c r="AU344" s="95">
        <f>((h_Aw_Sw+Geraetedaten!$B$18)/1000)*(AQ344*AS344+AR344*AT344)/100</f>
        <v>0</v>
      </c>
    </row>
    <row r="345" spans="1:47" ht="13.5" x14ac:dyDescent="0.25">
      <c r="A345" s="16">
        <v>304</v>
      </c>
      <c r="B345" s="16">
        <f t="shared" si="306"/>
        <v>146</v>
      </c>
      <c r="C345" s="19">
        <f t="shared" si="307"/>
        <v>69.429822973858947</v>
      </c>
      <c r="D345" s="17">
        <f t="shared" si="308"/>
        <v>11220.78671702614</v>
      </c>
      <c r="E345" s="17">
        <f t="shared" si="309"/>
        <v>-16915.016692973859</v>
      </c>
      <c r="F345" s="17">
        <f t="shared" si="310"/>
        <v>-11127.722182973859</v>
      </c>
      <c r="G345" s="17">
        <f t="shared" si="311"/>
        <v>16170.52656702614</v>
      </c>
      <c r="H345" s="17">
        <f t="shared" si="312"/>
        <v>11220.78671702614</v>
      </c>
      <c r="I345" s="17">
        <f t="shared" si="313"/>
        <v>2540.8850760609553</v>
      </c>
      <c r="J345" s="20">
        <f>(Geraetedaten!$B$152+(Geraetedaten!$B$153*(Geraetedaten!$B$18+d_y_Sw)/1000))*10</f>
        <v>6051.0442000000003</v>
      </c>
      <c r="K345" s="20">
        <f>(Geraetedaten!$B$165+(Geraetedaten!$B$166*(Geraetedaten!$B$18+d_y_Sw)/1000))*10</f>
        <v>10816.164000000001</v>
      </c>
      <c r="L345" s="20">
        <f>(Geraetedaten!$B$158+(Geraetedaten!$B$159*(Geraetedaten!$B$18+d_y_Sw)/1000)-(Geraetedaten!$B$160*I345/1000))*10</f>
        <v>415.21349737244986</v>
      </c>
      <c r="M345" s="20">
        <f>(Geraetedaten!$B$171+(Geraetedaten!$B$172*(Geraetedaten!$B$18+d_y_Sw)/1000)-(Geraetedaten!$B$173*I345/1000))*10</f>
        <v>875.72351493802341</v>
      </c>
      <c r="N345" s="20">
        <f>IF((H345-J345)/(K345-J345)*(Geraetedaten!$B$174-Geraetedaten!$B$161)&lt;Geraetedaten!$B$174,(H345-J345)/(K345-J345)*(Geraetedaten!$B$174-Geraetedaten!$B$161),Geraetedaten!$B$174)</f>
        <v>400</v>
      </c>
      <c r="O345" s="20">
        <f>N345/Geraetedaten!$B$174*(M345-L345)+L345+C345</f>
        <v>945.15333791188232</v>
      </c>
      <c r="P345" s="20">
        <f t="shared" si="314"/>
        <v>249.86544995998676</v>
      </c>
      <c r="Q345" s="21">
        <f>(N345-Geraetedaten!$B$161)/(Geraetedaten!$B$174-Geraetedaten!$B$161)*(Geraetedaten!$B$175-Geraetedaten!$B$162)+Geraetedaten!$B$162</f>
        <v>41.1</v>
      </c>
      <c r="R345" s="21">
        <f t="shared" si="315"/>
        <v>41.1</v>
      </c>
      <c r="S345" s="21">
        <f t="shared" si="316"/>
        <v>-34.073444232012214</v>
      </c>
      <c r="T345" s="88">
        <f t="shared" si="317"/>
        <v>22.982828332647703</v>
      </c>
      <c r="U345" s="86">
        <f t="shared" si="318"/>
        <v>11290.216539999999</v>
      </c>
      <c r="V345" s="85">
        <f t="shared" si="319"/>
        <v>-1346.4914747781525</v>
      </c>
      <c r="W345" s="85">
        <f t="shared" si="320"/>
        <v>2540.8850760609553</v>
      </c>
      <c r="X345" s="90">
        <f t="shared" si="321"/>
        <v>1346.4914747781525</v>
      </c>
      <c r="Y345" s="86">
        <f t="shared" si="322"/>
        <v>-16845.586869999999</v>
      </c>
      <c r="Z345" s="85">
        <f t="shared" si="323"/>
        <v>-818.62113479844345</v>
      </c>
      <c r="AA345" s="85">
        <f t="shared" si="324"/>
        <v>-1613.9904851667366</v>
      </c>
      <c r="AB345" s="90">
        <f t="shared" si="325"/>
        <v>818.62113479844345</v>
      </c>
      <c r="AC345" s="86">
        <f t="shared" si="326"/>
        <v>-11058.292359999999</v>
      </c>
      <c r="AD345" s="85">
        <f t="shared" si="327"/>
        <v>3384.56104615708</v>
      </c>
      <c r="AE345" s="85">
        <f t="shared" si="328"/>
        <v>-6237.4853623132121</v>
      </c>
      <c r="AF345" s="90">
        <f t="shared" si="329"/>
        <v>3384.56104615708</v>
      </c>
      <c r="AG345" s="86">
        <f t="shared" si="330"/>
        <v>16239.956389999999</v>
      </c>
      <c r="AH345" s="85">
        <f t="shared" si="331"/>
        <v>6139.2748628683721</v>
      </c>
      <c r="AI345" s="85">
        <f t="shared" si="332"/>
        <v>11160.893289402562</v>
      </c>
      <c r="AJ345" s="90">
        <f t="shared" si="333"/>
        <v>6139.2748628683721</v>
      </c>
      <c r="AL345" s="95">
        <f t="shared" si="334"/>
        <v>0</v>
      </c>
      <c r="AM345" s="95">
        <f t="shared" si="335"/>
        <v>0</v>
      </c>
      <c r="AN345" s="95">
        <f t="shared" si="336"/>
        <v>0</v>
      </c>
      <c r="AO345" s="95">
        <f t="shared" si="337"/>
        <v>0</v>
      </c>
      <c r="AP345"/>
      <c r="AQ345" s="95">
        <f t="shared" si="338"/>
        <v>0</v>
      </c>
      <c r="AR345" s="95">
        <f t="shared" si="339"/>
        <v>0</v>
      </c>
      <c r="AS345" s="95">
        <f>Geraetedaten!$B$94*ABS(SIN(RADIANS($A345)))</f>
        <v>127.67178617347641</v>
      </c>
      <c r="AT345" s="95">
        <f>Geraetedaten!$B$94*ABS(COS(RADIANS($A345)))</f>
        <v>86.11570713449504</v>
      </c>
      <c r="AU345" s="95">
        <f>((h_Aw_Sw+Geraetedaten!$B$18)/1000)*(AQ345*AS345+AR345*AT345)/100</f>
        <v>0</v>
      </c>
    </row>
    <row r="346" spans="1:47" ht="13.5" x14ac:dyDescent="0.25">
      <c r="A346" s="16">
        <v>305</v>
      </c>
      <c r="B346" s="16">
        <f t="shared" si="306"/>
        <v>145</v>
      </c>
      <c r="C346" s="19">
        <f t="shared" si="307"/>
        <v>69.232357792856234</v>
      </c>
      <c r="D346" s="17">
        <f t="shared" si="308"/>
        <v>11547.187172207143</v>
      </c>
      <c r="E346" s="17">
        <f t="shared" si="309"/>
        <v>-16432.076527792855</v>
      </c>
      <c r="F346" s="17">
        <f t="shared" si="310"/>
        <v>-11436.357857792857</v>
      </c>
      <c r="G346" s="17">
        <f t="shared" si="311"/>
        <v>15753.880012207144</v>
      </c>
      <c r="H346" s="17">
        <f t="shared" si="312"/>
        <v>11547.187172207143</v>
      </c>
      <c r="I346" s="17">
        <f t="shared" si="313"/>
        <v>2614.2976913844154</v>
      </c>
      <c r="J346" s="20">
        <f>(Geraetedaten!$B$152+(Geraetedaten!$B$153*(Geraetedaten!$B$18+d_y_Sw)/1000))*10</f>
        <v>6051.0442000000003</v>
      </c>
      <c r="K346" s="20">
        <f>(Geraetedaten!$B$165+(Geraetedaten!$B$166*(Geraetedaten!$B$18+d_y_Sw)/1000))*10</f>
        <v>10816.164000000001</v>
      </c>
      <c r="L346" s="20">
        <f>(Geraetedaten!$B$158+(Geraetedaten!$B$159*(Geraetedaten!$B$18+d_y_Sw)/1000)-(Geraetedaten!$B$160*I346/1000))*10</f>
        <v>409.83015029078058</v>
      </c>
      <c r="M346" s="20">
        <f>(Geraetedaten!$B$171+(Geraetedaten!$B$172*(Geraetedaten!$B$18+d_y_Sw)/1000)-(Geraetedaten!$B$173*I346/1000))*10</f>
        <v>870.25867985334503</v>
      </c>
      <c r="N346" s="20">
        <f>IF((H346-J346)/(K346-J346)*(Geraetedaten!$B$174-Geraetedaten!$B$161)&lt;Geraetedaten!$B$174,(H346-J346)/(K346-J346)*(Geraetedaten!$B$174-Geraetedaten!$B$161),Geraetedaten!$B$174)</f>
        <v>400</v>
      </c>
      <c r="O346" s="20">
        <f>N346/Geraetedaten!$B$174*(M346-L346)+L346+C346</f>
        <v>939.49103764620122</v>
      </c>
      <c r="P346" s="20">
        <f t="shared" si="314"/>
        <v>248.8423063511157</v>
      </c>
      <c r="Q346" s="21">
        <f>(N346-Geraetedaten!$B$161)/(Geraetedaten!$B$174-Geraetedaten!$B$161)*(Geraetedaten!$B$175-Geraetedaten!$B$162)+Geraetedaten!$B$162</f>
        <v>41.1</v>
      </c>
      <c r="R346" s="21">
        <f t="shared" si="315"/>
        <v>41.1</v>
      </c>
      <c r="S346" s="21">
        <f t="shared" si="316"/>
        <v>-33.667149020277563</v>
      </c>
      <c r="T346" s="88">
        <f t="shared" si="317"/>
        <v>23.573991534027993</v>
      </c>
      <c r="U346" s="86">
        <f t="shared" si="318"/>
        <v>11616.419529999999</v>
      </c>
      <c r="V346" s="85">
        <f t="shared" si="319"/>
        <v>-1346.4914747781525</v>
      </c>
      <c r="W346" s="85">
        <f t="shared" si="320"/>
        <v>2614.2976913844154</v>
      </c>
      <c r="X346" s="90">
        <f t="shared" si="321"/>
        <v>1346.4914747781525</v>
      </c>
      <c r="Y346" s="86">
        <f t="shared" si="322"/>
        <v>-16362.84417</v>
      </c>
      <c r="Z346" s="85">
        <f t="shared" si="323"/>
        <v>-818.62113479844345</v>
      </c>
      <c r="AA346" s="85">
        <f t="shared" si="324"/>
        <v>-1567.7384829613152</v>
      </c>
      <c r="AB346" s="90">
        <f t="shared" si="325"/>
        <v>818.62113479844345</v>
      </c>
      <c r="AC346" s="86">
        <f t="shared" si="326"/>
        <v>-11367.1255</v>
      </c>
      <c r="AD346" s="85">
        <f t="shared" si="327"/>
        <v>3384.56104615708</v>
      </c>
      <c r="AE346" s="85">
        <f t="shared" si="328"/>
        <v>-6411.6842494256243</v>
      </c>
      <c r="AF346" s="90">
        <f t="shared" si="329"/>
        <v>3384.56104615708</v>
      </c>
      <c r="AG346" s="86">
        <f t="shared" si="330"/>
        <v>15823.112370000001</v>
      </c>
      <c r="AH346" s="85">
        <f t="shared" si="331"/>
        <v>6139.2748628683721</v>
      </c>
      <c r="AI346" s="85">
        <f t="shared" si="332"/>
        <v>10874.417666378342</v>
      </c>
      <c r="AJ346" s="90">
        <f t="shared" si="333"/>
        <v>6139.2748628683721</v>
      </c>
      <c r="AL346" s="95">
        <f t="shared" si="334"/>
        <v>0</v>
      </c>
      <c r="AM346" s="95">
        <f t="shared" si="335"/>
        <v>0</v>
      </c>
      <c r="AN346" s="95">
        <f t="shared" si="336"/>
        <v>0</v>
      </c>
      <c r="AO346" s="95">
        <f t="shared" si="337"/>
        <v>0</v>
      </c>
      <c r="AP346"/>
      <c r="AQ346" s="95">
        <f t="shared" si="338"/>
        <v>0</v>
      </c>
      <c r="AR346" s="95">
        <f t="shared" si="339"/>
        <v>0</v>
      </c>
      <c r="AS346" s="95">
        <f>Geraetedaten!$B$94*ABS(SIN(RADIANS($A346)))</f>
        <v>126.14941482050473</v>
      </c>
      <c r="AT346" s="95">
        <f>Geraetedaten!$B$94*ABS(COS(RADIANS($A346)))</f>
        <v>88.330771198061086</v>
      </c>
      <c r="AU346" s="95">
        <f>((h_Aw_Sw+Geraetedaten!$B$18)/1000)*(AQ346*AS346+AR346*AT346)/100</f>
        <v>0</v>
      </c>
    </row>
    <row r="347" spans="1:47" ht="13.5" x14ac:dyDescent="0.25">
      <c r="A347" s="16">
        <v>306</v>
      </c>
      <c r="B347" s="16">
        <f t="shared" si="306"/>
        <v>144</v>
      </c>
      <c r="C347" s="19">
        <f t="shared" si="307"/>
        <v>69.013803765000915</v>
      </c>
      <c r="D347" s="17">
        <f t="shared" si="308"/>
        <v>11896.772546234999</v>
      </c>
      <c r="E347" s="17">
        <f t="shared" si="309"/>
        <v>-15980.724163765</v>
      </c>
      <c r="F347" s="17">
        <f t="shared" si="310"/>
        <v>-11766.383573765001</v>
      </c>
      <c r="G347" s="17">
        <f t="shared" si="311"/>
        <v>15362.700976234999</v>
      </c>
      <c r="H347" s="17">
        <f t="shared" si="312"/>
        <v>11896.772546234999</v>
      </c>
      <c r="I347" s="17">
        <f t="shared" si="313"/>
        <v>2692.9233692187154</v>
      </c>
      <c r="J347" s="20">
        <f>(Geraetedaten!$B$152+(Geraetedaten!$B$153*(Geraetedaten!$B$18+d_y_Sw)/1000))*10</f>
        <v>6051.0442000000003</v>
      </c>
      <c r="K347" s="20">
        <f>(Geraetedaten!$B$165+(Geraetedaten!$B$166*(Geraetedaten!$B$18+d_y_Sw)/1000))*10</f>
        <v>10816.164000000001</v>
      </c>
      <c r="L347" s="20">
        <f>(Geraetedaten!$B$158+(Geraetedaten!$B$159*(Geraetedaten!$B$18+d_y_Sw)/1000)-(Geraetedaten!$B$160*I347/1000))*10</f>
        <v>404.06452933519142</v>
      </c>
      <c r="M347" s="20">
        <f>(Geraetedaten!$B$171+(Geraetedaten!$B$172*(Geraetedaten!$B$18+d_y_Sw)/1000)-(Geraetedaten!$B$173*I347/1000))*10</f>
        <v>864.40578439535966</v>
      </c>
      <c r="N347" s="20">
        <f>IF((H347-J347)/(K347-J347)*(Geraetedaten!$B$174-Geraetedaten!$B$161)&lt;Geraetedaten!$B$174,(H347-J347)/(K347-J347)*(Geraetedaten!$B$174-Geraetedaten!$B$161),Geraetedaten!$B$174)</f>
        <v>400</v>
      </c>
      <c r="O347" s="20">
        <f>N347/Geraetedaten!$B$174*(M347-L347)+L347+C347</f>
        <v>933.4195881603606</v>
      </c>
      <c r="P347" s="20">
        <f t="shared" si="314"/>
        <v>247.74029543537023</v>
      </c>
      <c r="Q347" s="21">
        <f>(N347-Geraetedaten!$B$161)/(Geraetedaten!$B$174-Geraetedaten!$B$161)*(Geraetedaten!$B$175-Geraetedaten!$B$162)+Geraetedaten!$B$162</f>
        <v>41.1</v>
      </c>
      <c r="R347" s="21">
        <f t="shared" si="315"/>
        <v>41.1</v>
      </c>
      <c r="S347" s="21">
        <f t="shared" si="316"/>
        <v>-33.250598468810345</v>
      </c>
      <c r="T347" s="88">
        <f t="shared" si="317"/>
        <v>24.157973869220637</v>
      </c>
      <c r="U347" s="86">
        <f t="shared" si="318"/>
        <v>11965.78635</v>
      </c>
      <c r="V347" s="85">
        <f t="shared" si="319"/>
        <v>-1346.4914747781525</v>
      </c>
      <c r="W347" s="85">
        <f t="shared" si="320"/>
        <v>2692.9233692187154</v>
      </c>
      <c r="X347" s="90">
        <f t="shared" si="321"/>
        <v>1346.4914747781525</v>
      </c>
      <c r="Y347" s="86">
        <f t="shared" si="322"/>
        <v>-15911.710359999999</v>
      </c>
      <c r="Z347" s="85">
        <f t="shared" si="323"/>
        <v>-818.62113479844345</v>
      </c>
      <c r="AA347" s="85">
        <f t="shared" si="324"/>
        <v>-1524.5149561879011</v>
      </c>
      <c r="AB347" s="90">
        <f t="shared" si="325"/>
        <v>818.62113479844345</v>
      </c>
      <c r="AC347" s="86">
        <f t="shared" si="326"/>
        <v>-11697.369769999999</v>
      </c>
      <c r="AD347" s="85">
        <f t="shared" si="327"/>
        <v>3384.56104615708</v>
      </c>
      <c r="AE347" s="85">
        <f t="shared" si="328"/>
        <v>-6597.960187337384</v>
      </c>
      <c r="AF347" s="90">
        <f t="shared" si="329"/>
        <v>3384.56104615708</v>
      </c>
      <c r="AG347" s="86">
        <f t="shared" si="330"/>
        <v>15431.71478</v>
      </c>
      <c r="AH347" s="85">
        <f t="shared" si="331"/>
        <v>6139.2748628683721</v>
      </c>
      <c r="AI347" s="85">
        <f t="shared" si="332"/>
        <v>10605.430080937931</v>
      </c>
      <c r="AJ347" s="90">
        <f t="shared" si="333"/>
        <v>6139.2748628683721</v>
      </c>
      <c r="AL347" s="95">
        <f t="shared" si="334"/>
        <v>0</v>
      </c>
      <c r="AM347" s="95">
        <f t="shared" si="335"/>
        <v>0</v>
      </c>
      <c r="AN347" s="95">
        <f t="shared" si="336"/>
        <v>0</v>
      </c>
      <c r="AO347" s="95">
        <f t="shared" si="337"/>
        <v>0</v>
      </c>
      <c r="AP347"/>
      <c r="AQ347" s="95">
        <f t="shared" si="338"/>
        <v>0</v>
      </c>
      <c r="AR347" s="95">
        <f t="shared" si="339"/>
        <v>0</v>
      </c>
      <c r="AS347" s="95">
        <f>Geraetedaten!$B$94*ABS(SIN(RADIANS($A347)))</f>
        <v>124.58861713374192</v>
      </c>
      <c r="AT347" s="95">
        <f>Geraetedaten!$B$94*ABS(COS(RADIANS($A347)))</f>
        <v>90.518928853040833</v>
      </c>
      <c r="AU347" s="95">
        <f>((h_Aw_Sw+Geraetedaten!$B$18)/1000)*(AQ347*AS347+AR347*AT347)/100</f>
        <v>0</v>
      </c>
    </row>
    <row r="348" spans="1:47" ht="13.5" x14ac:dyDescent="0.25">
      <c r="A348" s="16">
        <v>307</v>
      </c>
      <c r="B348" s="16">
        <f t="shared" si="306"/>
        <v>143</v>
      </c>
      <c r="C348" s="19">
        <f t="shared" si="307"/>
        <v>68.774227463967065</v>
      </c>
      <c r="D348" s="17">
        <f t="shared" si="308"/>
        <v>12271.920802536033</v>
      </c>
      <c r="E348" s="17">
        <f t="shared" si="309"/>
        <v>-15558.151037463967</v>
      </c>
      <c r="F348" s="17">
        <f t="shared" si="310"/>
        <v>-12119.932067463968</v>
      </c>
      <c r="G348" s="17">
        <f t="shared" si="311"/>
        <v>14994.916432536033</v>
      </c>
      <c r="H348" s="17">
        <f t="shared" si="312"/>
        <v>12271.920802536033</v>
      </c>
      <c r="I348" s="17">
        <f t="shared" si="313"/>
        <v>2777.2972938276484</v>
      </c>
      <c r="J348" s="20">
        <f>(Geraetedaten!$B$152+(Geraetedaten!$B$153*(Geraetedaten!$B$18+d_y_Sw)/1000))*10</f>
        <v>6051.0442000000003</v>
      </c>
      <c r="K348" s="20">
        <f>(Geraetedaten!$B$165+(Geraetedaten!$B$166*(Geraetedaten!$B$18+d_y_Sw)/1000))*10</f>
        <v>10816.164000000001</v>
      </c>
      <c r="L348" s="20">
        <f>(Geraetedaten!$B$158+(Geraetedaten!$B$159*(Geraetedaten!$B$18+d_y_Sw)/1000)-(Geraetedaten!$B$160*I348/1000))*10</f>
        <v>397.87738944361831</v>
      </c>
      <c r="M348" s="20">
        <f>(Geraetedaten!$B$171+(Geraetedaten!$B$172*(Geraetedaten!$B$18+d_y_Sw)/1000)-(Geraetedaten!$B$173*I348/1000))*10</f>
        <v>858.12498944747074</v>
      </c>
      <c r="N348" s="20">
        <f>IF((H348-J348)/(K348-J348)*(Geraetedaten!$B$174-Geraetedaten!$B$161)&lt;Geraetedaten!$B$174,(H348-J348)/(K348-J348)*(Geraetedaten!$B$174-Geraetedaten!$B$161),Geraetedaten!$B$174)</f>
        <v>400</v>
      </c>
      <c r="O348" s="20">
        <f>N348/Geraetedaten!$B$174*(M348-L348)+L348+C348</f>
        <v>926.89921691143786</v>
      </c>
      <c r="P348" s="20">
        <f t="shared" si="314"/>
        <v>246.5513459815524</v>
      </c>
      <c r="Q348" s="21">
        <f>(N348-Geraetedaten!$B$161)/(Geraetedaten!$B$174-Geraetedaten!$B$161)*(Geraetedaten!$B$175-Geraetedaten!$B$162)+Geraetedaten!$B$162</f>
        <v>41.1</v>
      </c>
      <c r="R348" s="21">
        <f t="shared" si="315"/>
        <v>41.1</v>
      </c>
      <c r="S348" s="21">
        <f t="shared" si="316"/>
        <v>-32.823919462943742</v>
      </c>
      <c r="T348" s="88">
        <f t="shared" si="317"/>
        <v>24.73459745154917</v>
      </c>
      <c r="U348" s="86">
        <f t="shared" si="318"/>
        <v>12340.695030000001</v>
      </c>
      <c r="V348" s="85">
        <f t="shared" si="319"/>
        <v>-1346.4914747781525</v>
      </c>
      <c r="W348" s="85">
        <f t="shared" si="320"/>
        <v>2777.2972938276484</v>
      </c>
      <c r="X348" s="90">
        <f t="shared" si="321"/>
        <v>1346.4914747781525</v>
      </c>
      <c r="Y348" s="86">
        <f t="shared" si="322"/>
        <v>-15489.37681</v>
      </c>
      <c r="Z348" s="85">
        <f t="shared" si="323"/>
        <v>-818.62113479844345</v>
      </c>
      <c r="AA348" s="85">
        <f t="shared" si="324"/>
        <v>-1484.0508070345377</v>
      </c>
      <c r="AB348" s="90">
        <f t="shared" si="325"/>
        <v>818.62113479844345</v>
      </c>
      <c r="AC348" s="86">
        <f t="shared" si="326"/>
        <v>-12051.15784</v>
      </c>
      <c r="AD348" s="85">
        <f t="shared" si="327"/>
        <v>3384.56104615708</v>
      </c>
      <c r="AE348" s="85">
        <f t="shared" si="328"/>
        <v>-6797.5161240059751</v>
      </c>
      <c r="AF348" s="90">
        <f t="shared" si="329"/>
        <v>3384.56104615708</v>
      </c>
      <c r="AG348" s="86">
        <f t="shared" si="330"/>
        <v>15063.69066</v>
      </c>
      <c r="AH348" s="85">
        <f t="shared" si="331"/>
        <v>6139.2748628683721</v>
      </c>
      <c r="AI348" s="85">
        <f t="shared" si="332"/>
        <v>10352.505882495725</v>
      </c>
      <c r="AJ348" s="90">
        <f t="shared" si="333"/>
        <v>6139.2748628683721</v>
      </c>
      <c r="AL348" s="95">
        <f t="shared" si="334"/>
        <v>0</v>
      </c>
      <c r="AM348" s="95">
        <f t="shared" si="335"/>
        <v>0</v>
      </c>
      <c r="AN348" s="95">
        <f t="shared" si="336"/>
        <v>0</v>
      </c>
      <c r="AO348" s="95">
        <f t="shared" si="337"/>
        <v>0</v>
      </c>
      <c r="AP348"/>
      <c r="AQ348" s="95">
        <f t="shared" si="338"/>
        <v>0</v>
      </c>
      <c r="AR348" s="95">
        <f t="shared" si="339"/>
        <v>0</v>
      </c>
      <c r="AS348" s="95">
        <f>Geraetedaten!$B$94*ABS(SIN(RADIANS($A348)))</f>
        <v>122.98986854728312</v>
      </c>
      <c r="AT348" s="95">
        <f>Geraetedaten!$B$94*ABS(COS(RADIANS($A348)))</f>
        <v>92.679513565415377</v>
      </c>
      <c r="AU348" s="95">
        <f>((h_Aw_Sw+Geraetedaten!$B$18)/1000)*(AQ348*AS348+AR348*AT348)/100</f>
        <v>0</v>
      </c>
    </row>
    <row r="349" spans="1:47" ht="13.5" x14ac:dyDescent="0.25">
      <c r="A349" s="16">
        <v>308</v>
      </c>
      <c r="B349" s="16">
        <f t="shared" ref="B349:B380" si="340">360-A349+90</f>
        <v>142</v>
      </c>
      <c r="C349" s="19">
        <f t="shared" ref="C349:C380" si="341">$AE$16*ABS(COS(RADIANS(A349)))+$AE$17*ABS(SIN(RADIANS(A349)))+AU349</f>
        <v>68.513701867016763</v>
      </c>
      <c r="D349" s="17">
        <f t="shared" ref="D349:D380" si="342">IF(ISNUMBER(U349),U349-C349,"unendlich")</f>
        <v>12675.350438132982</v>
      </c>
      <c r="E349" s="17">
        <f t="shared" ref="E349:E380" si="343">IF(ISNUMBER(Y349),Y349-C349,"unendlich")</f>
        <v>-15161.875401867017</v>
      </c>
      <c r="F349" s="17">
        <f t="shared" ref="F349:F380" si="344">IF(ISNUMBER(AC349),AC349-C349,"unendlich")</f>
        <v>-12499.432441867017</v>
      </c>
      <c r="G349" s="17">
        <f t="shared" ref="G349:G380" si="345">IF(ISNUMBER(AG349),AG349-C349,"unendlich")</f>
        <v>14648.676218132983</v>
      </c>
      <c r="H349" s="17">
        <f t="shared" ref="H349:H380" si="346">SMALL(D349:G349,COUNTIF(D349:G349,"&lt;0")+1)</f>
        <v>12675.350438132982</v>
      </c>
      <c r="I349" s="17">
        <f t="shared" ref="I349:I380" si="347">IF(H349+C349=U349,W349,IF(H349+C349=Y349,AA349,IF(H349+C349=AC349,AE349,IF(H349+C349=AG349,AI349,"???"))))</f>
        <v>2868.0312808402741</v>
      </c>
      <c r="J349" s="20">
        <f>(Geraetedaten!$B$152+(Geraetedaten!$B$153*(Geraetedaten!$B$18+d_y_Sw)/1000))*10</f>
        <v>6051.0442000000003</v>
      </c>
      <c r="K349" s="20">
        <f>(Geraetedaten!$B$165+(Geraetedaten!$B$166*(Geraetedaten!$B$18+d_y_Sw)/1000))*10</f>
        <v>10816.164000000001</v>
      </c>
      <c r="L349" s="20">
        <f>(Geraetedaten!$B$158+(Geraetedaten!$B$159*(Geraetedaten!$B$18+d_y_Sw)/1000)-(Geraetedaten!$B$160*I349/1000))*10</f>
        <v>391.22386617598244</v>
      </c>
      <c r="M349" s="20">
        <f>(Geraetedaten!$B$171+(Geraetedaten!$B$172*(Geraetedaten!$B$18+d_y_Sw)/1000)-(Geraetedaten!$B$173*I349/1000))*10</f>
        <v>851.37075145425092</v>
      </c>
      <c r="N349" s="20">
        <f>IF((H349-J349)/(K349-J349)*(Geraetedaten!$B$174-Geraetedaten!$B$161)&lt;Geraetedaten!$B$174,(H349-J349)/(K349-J349)*(Geraetedaten!$B$174-Geraetedaten!$B$161),Geraetedaten!$B$174)</f>
        <v>400</v>
      </c>
      <c r="O349" s="20">
        <f>N349/Geraetedaten!$B$174*(M349-L349)+L349+C349</f>
        <v>919.88445332126764</v>
      </c>
      <c r="P349" s="20">
        <f t="shared" ref="P349:P380" si="348">O349*100/9.81/(Q349-(I349/1000))</f>
        <v>245.26614750070783</v>
      </c>
      <c r="Q349" s="21">
        <f>(N349-Geraetedaten!$B$161)/(Geraetedaten!$B$174-Geraetedaten!$B$161)*(Geraetedaten!$B$175-Geraetedaten!$B$162)+Geraetedaten!$B$162</f>
        <v>41.1</v>
      </c>
      <c r="R349" s="21">
        <f t="shared" ref="R349:R380" si="349">SQRT((r_K_D/1000)^2+Q349^2-(2*(r_K_D/1000)*Q349*COS(RADIANS(2*A349))))</f>
        <v>41.1</v>
      </c>
      <c r="S349" s="21">
        <f t="shared" ref="S349:S380" si="350">R349*SIN(A349*Const_2)</f>
        <v>-32.387241973236264</v>
      </c>
      <c r="T349" s="88">
        <f t="shared" ref="T349:T380" si="351">R349*COS(A349*Const_2)</f>
        <v>25.303686635884567</v>
      </c>
      <c r="U349" s="86">
        <f t="shared" ref="U349:U380" si="352">ROUND((F_S*r_Su_L-F_G*V349+F_SSw*X349)/(SIN(RADIANS(270+g_L-A349)))/1000,5)</f>
        <v>12743.86414</v>
      </c>
      <c r="V349" s="85">
        <f t="shared" ref="V349:V380" si="353">(SIN(RADIANS(g_L)))*(((VL_Z-HL_Z)/(VL_X-HL_X))*(-HL_X+AM349)+HL_Z-AL349)</f>
        <v>-1346.4914747781525</v>
      </c>
      <c r="W349" s="85">
        <f t="shared" ref="W349:W380" si="354">V349/(SIN(RADIANS(180-g_L-(90-$A349))))</f>
        <v>2868.0312808402741</v>
      </c>
      <c r="X349" s="90">
        <f t="shared" ref="X349:X380" si="355">SIN(RADIANS(g_L))*(((VL_Z-HL_Z)/(VL_X-HL_X))*(-AO349+HL_X)-HL_Z+AN349)</f>
        <v>1346.4914747781525</v>
      </c>
      <c r="Y349" s="86">
        <f t="shared" ref="Y349:Y380" si="356">ROUND((F_S*r_Su_H-F_G*Z349+F_SSw*AB349)/(SIN(RADIANS(180+g_H-A349)))/1000,5)</f>
        <v>-15093.361699999999</v>
      </c>
      <c r="Z349" s="85">
        <f t="shared" ref="Z349:Z380" si="357">(SIN(RADIANS(g_H)))*(((HL_X-HR_X)/(HL_Z-HR_Z))*(-HR_Z+AL349)+HR_X-AM349)</f>
        <v>-818.62113479844345</v>
      </c>
      <c r="AA349" s="85">
        <f t="shared" ref="AA349:AA380" si="358">Z349/(SIN(RADIANS(g_H-$A349)))</f>
        <v>-1446.108251554004</v>
      </c>
      <c r="AB349" s="90">
        <f t="shared" ref="AB349:AB380" si="359">SIN(RADIANS(g_H))*(((HL_X-HR_X)/(HL_Z-HR_Z))*(-AN349+HR_Z)-HR_X+AO349)</f>
        <v>818.62113479844345</v>
      </c>
      <c r="AC349" s="86">
        <f t="shared" ref="AC349:AC380" si="360">ROUND((F_S*r_Su_R+F_G*AD349+F_SSw*AF349)/(SIN(RADIANS(90+g_R-A349)))/1000,5)</f>
        <v>-12430.918739999999</v>
      </c>
      <c r="AD349" s="85">
        <f t="shared" ref="AD349:AD380" si="361">(SIN(RADIANS(g_R)))*(((HR_Z-VR_Z)/(HR_X-VR_X))*(-VR_X+AM349)+VR_Z-AL349)</f>
        <v>3384.56104615708</v>
      </c>
      <c r="AE349" s="85">
        <f t="shared" ref="AE349:AE380" si="362">AD349/(SIN(RADIANS(180-g_R-(90-$A349))))</f>
        <v>-7011.7221698919584</v>
      </c>
      <c r="AF349" s="90">
        <f t="shared" ref="AF349:AF380" si="363">(SIN(RADIANS(g_R)))*(((HR_Z-VR_Z)/(HR_X-VR_X))*(-VR_X+AO349)+VR_Z-AN349)</f>
        <v>3384.56104615708</v>
      </c>
      <c r="AG349" s="86">
        <f t="shared" ref="AG349:AG380" si="364">ROUND((F_S*r_Su_V+F_G*AH349+F_SSw*AJ349)/(SIN(RADIANS(g_V-A349)))/1000,5)</f>
        <v>14717.189920000001</v>
      </c>
      <c r="AH349" s="85">
        <f t="shared" ref="AH349:AH380" si="365">(SIN(RADIANS(g_V)))*(((VR_X-VL_X)/(VR_Z-VL_Z))*(AL349-VL_Z)+VL_X-AM349)</f>
        <v>6139.2748628683721</v>
      </c>
      <c r="AI349" s="85">
        <f t="shared" ref="AI349:AI380" si="366">AH349/(SIN(RADIANS(g_V-$A349)))</f>
        <v>10114.373608265636</v>
      </c>
      <c r="AJ349" s="90">
        <f t="shared" ref="AJ349:AJ380" si="367">(SIN(RADIANS(g_V)))*(((VR_X-VL_X)/(VR_Z-VL_Z))*(-VL_Z+AN349)+VL_X-AO349)</f>
        <v>6139.2748628683721</v>
      </c>
      <c r="AL349" s="95">
        <f t="shared" ref="AL349:AL380" si="368">SIN(RADIANS(A349))*r_K_D</f>
        <v>0</v>
      </c>
      <c r="AM349" s="95">
        <f t="shared" ref="AM349:AM380" si="369">COS(RADIANS(A349-180))*r_K_D</f>
        <v>0</v>
      </c>
      <c r="AN349" s="95">
        <f t="shared" ref="AN349:AN380" si="370">SIN(RADIANS(A349))*r_K_SSw</f>
        <v>0</v>
      </c>
      <c r="AO349" s="95">
        <f t="shared" ref="AO349:AO380" si="371">-COS(RADIANS(A349))*r_K_SSw</f>
        <v>0</v>
      </c>
      <c r="AP349"/>
      <c r="AQ349" s="95">
        <f t="shared" ref="AQ349:AQ380" si="372">MAX(d_y_Sw*(r_K_D*ABS(COS(RADIANS($A349)))+_r1_Sw+_r2_Sw), 2*_r1_Sw*d_y_Sw)/1000000</f>
        <v>0</v>
      </c>
      <c r="AR349" s="95">
        <f t="shared" ref="AR349:AR380" si="373">MAX(d_y_Sw*(r_K_D*ABS(SIN(RADIANS($A349)))+_r1_Sw+_r2_Sw), 2*_r1_Sw*d_y_Sw)/1000000</f>
        <v>0</v>
      </c>
      <c r="AS349" s="95">
        <f>Geraetedaten!$B$94*ABS(SIN(RADIANS($A349)))</f>
        <v>121.35365605543515</v>
      </c>
      <c r="AT349" s="95">
        <f>Geraetedaten!$B$94*ABS(COS(RADIANS($A349)))</f>
        <v>94.811867200151411</v>
      </c>
      <c r="AU349" s="95">
        <f>((h_Aw_Sw+Geraetedaten!$B$18)/1000)*(AQ349*AS349+AR349*AT349)/100</f>
        <v>0</v>
      </c>
    </row>
    <row r="350" spans="1:47" ht="13.5" x14ac:dyDescent="0.25">
      <c r="A350" s="16">
        <v>309</v>
      </c>
      <c r="B350" s="16">
        <f t="shared" si="340"/>
        <v>141</v>
      </c>
      <c r="C350" s="19">
        <f t="shared" si="341"/>
        <v>68.232306332770648</v>
      </c>
      <c r="D350" s="17">
        <f t="shared" si="342"/>
        <v>13110.183453667229</v>
      </c>
      <c r="E350" s="17">
        <f t="shared" si="343"/>
        <v>-14789.69633633277</v>
      </c>
      <c r="F350" s="17">
        <f t="shared" si="344"/>
        <v>-12907.663346332771</v>
      </c>
      <c r="G350" s="17">
        <f t="shared" si="345"/>
        <v>14322.324073667229</v>
      </c>
      <c r="H350" s="17">
        <f t="shared" si="346"/>
        <v>13110.183453667229</v>
      </c>
      <c r="I350" s="17">
        <f t="shared" si="347"/>
        <v>2965.8279633316197</v>
      </c>
      <c r="J350" s="20">
        <f>(Geraetedaten!$B$152+(Geraetedaten!$B$153*(Geraetedaten!$B$18+d_y_Sw)/1000))*10</f>
        <v>6051.0442000000003</v>
      </c>
      <c r="K350" s="20">
        <f>(Geraetedaten!$B$165+(Geraetedaten!$B$166*(Geraetedaten!$B$18+d_y_Sw)/1000))*10</f>
        <v>10816.164000000001</v>
      </c>
      <c r="L350" s="20">
        <f>(Geraetedaten!$B$158+(Geraetedaten!$B$159*(Geraetedaten!$B$18+d_y_Sw)/1000)-(Geraetedaten!$B$160*I350/1000))*10</f>
        <v>384.05243544889208</v>
      </c>
      <c r="M350" s="20">
        <f>(Geraetedaten!$B$171+(Geraetedaten!$B$172*(Geraetedaten!$B$18+d_y_Sw)/1000)-(Geraetedaten!$B$173*I350/1000))*10</f>
        <v>844.09076640959506</v>
      </c>
      <c r="N350" s="20">
        <f>IF((H350-J350)/(K350-J350)*(Geraetedaten!$B$174-Geraetedaten!$B$161)&lt;Geraetedaten!$B$174,(H350-J350)/(K350-J350)*(Geraetedaten!$B$174-Geraetedaten!$B$161),Geraetedaten!$B$174)</f>
        <v>400</v>
      </c>
      <c r="O350" s="20">
        <f>N350/Geraetedaten!$B$174*(M350-L350)+L350+C350</f>
        <v>912.32307274236575</v>
      </c>
      <c r="P350" s="20">
        <f t="shared" si="348"/>
        <v>243.8739033539394</v>
      </c>
      <c r="Q350" s="21">
        <f>(N350-Geraetedaten!$B$161)/(Geraetedaten!$B$174-Geraetedaten!$B$161)*(Geraetedaten!$B$175-Geraetedaten!$B$162)+Geraetedaten!$B$162</f>
        <v>41.1</v>
      </c>
      <c r="R350" s="21">
        <f t="shared" si="349"/>
        <v>41.1</v>
      </c>
      <c r="S350" s="21">
        <f t="shared" si="350"/>
        <v>-31.940699015881499</v>
      </c>
      <c r="T350" s="88">
        <f t="shared" si="351"/>
        <v>25.865068072148322</v>
      </c>
      <c r="U350" s="86">
        <f t="shared" si="352"/>
        <v>13178.41576</v>
      </c>
      <c r="V350" s="85">
        <f t="shared" si="353"/>
        <v>-1346.4914747781525</v>
      </c>
      <c r="W350" s="85">
        <f t="shared" si="354"/>
        <v>2965.8279633316197</v>
      </c>
      <c r="X350" s="90">
        <f t="shared" si="355"/>
        <v>1346.4914747781525</v>
      </c>
      <c r="Y350" s="86">
        <f t="shared" si="356"/>
        <v>-14721.464029999999</v>
      </c>
      <c r="Z350" s="85">
        <f t="shared" si="357"/>
        <v>-818.62113479844345</v>
      </c>
      <c r="AA350" s="85">
        <f t="shared" si="358"/>
        <v>-1410.4764089836492</v>
      </c>
      <c r="AB350" s="90">
        <f t="shared" si="359"/>
        <v>818.62113479844345</v>
      </c>
      <c r="AC350" s="86">
        <f t="shared" si="360"/>
        <v>-12839.431039999999</v>
      </c>
      <c r="AD350" s="85">
        <f t="shared" si="361"/>
        <v>3384.56104615708</v>
      </c>
      <c r="AE350" s="85">
        <f t="shared" si="362"/>
        <v>-7242.1455848204796</v>
      </c>
      <c r="AF350" s="90">
        <f t="shared" si="363"/>
        <v>3384.56104615708</v>
      </c>
      <c r="AG350" s="86">
        <f t="shared" si="364"/>
        <v>14390.55638</v>
      </c>
      <c r="AH350" s="85">
        <f t="shared" si="365"/>
        <v>6139.2748628683721</v>
      </c>
      <c r="AI350" s="85">
        <f t="shared" si="366"/>
        <v>9889.8950422099497</v>
      </c>
      <c r="AJ350" s="90">
        <f t="shared" si="367"/>
        <v>6139.2748628683721</v>
      </c>
      <c r="AL350" s="95">
        <f t="shared" si="368"/>
        <v>0</v>
      </c>
      <c r="AM350" s="95">
        <f t="shared" si="369"/>
        <v>0</v>
      </c>
      <c r="AN350" s="95">
        <f t="shared" si="370"/>
        <v>0</v>
      </c>
      <c r="AO350" s="95">
        <f t="shared" si="371"/>
        <v>0</v>
      </c>
      <c r="AP350"/>
      <c r="AQ350" s="95">
        <f t="shared" si="372"/>
        <v>0</v>
      </c>
      <c r="AR350" s="95">
        <f t="shared" si="373"/>
        <v>0</v>
      </c>
      <c r="AS350" s="95">
        <f>Geraetedaten!$B$94*ABS(SIN(RADIANS($A350)))</f>
        <v>119.6804780643735</v>
      </c>
      <c r="AT350" s="95">
        <f>Geraetedaten!$B$94*ABS(COS(RADIANS($A350)))</f>
        <v>96.915340221674981</v>
      </c>
      <c r="AU350" s="95">
        <f>((h_Aw_Sw+Geraetedaten!$B$18)/1000)*(AQ350*AS350+AR350*AT350)/100</f>
        <v>0</v>
      </c>
    </row>
    <row r="351" spans="1:47" ht="13.5" x14ac:dyDescent="0.25">
      <c r="A351" s="16">
        <v>310</v>
      </c>
      <c r="B351" s="16">
        <f t="shared" si="340"/>
        <v>140</v>
      </c>
      <c r="C351" s="19">
        <f t="shared" si="341"/>
        <v>67.930126577034372</v>
      </c>
      <c r="D351" s="17">
        <f t="shared" si="342"/>
        <v>13580.022973422967</v>
      </c>
      <c r="E351" s="17">
        <f t="shared" si="343"/>
        <v>-14439.655246577033</v>
      </c>
      <c r="F351" s="17">
        <f t="shared" si="344"/>
        <v>-13347.817976577033</v>
      </c>
      <c r="G351" s="17">
        <f t="shared" si="345"/>
        <v>14014.373003422967</v>
      </c>
      <c r="H351" s="17">
        <f t="shared" si="346"/>
        <v>13580.022973422967</v>
      </c>
      <c r="I351" s="17">
        <f t="shared" si="347"/>
        <v>3071.4982517570734</v>
      </c>
      <c r="J351" s="20">
        <f>(Geraetedaten!$B$152+(Geraetedaten!$B$153*(Geraetedaten!$B$18+d_y_Sw)/1000))*10</f>
        <v>6051.0442000000003</v>
      </c>
      <c r="K351" s="20">
        <f>(Geraetedaten!$B$165+(Geraetedaten!$B$166*(Geraetedaten!$B$18+d_y_Sw)/1000))*10</f>
        <v>10816.164000000001</v>
      </c>
      <c r="L351" s="20">
        <f>(Geraetedaten!$B$158+(Geraetedaten!$B$159*(Geraetedaten!$B$18+d_y_Sw)/1000)-(Geraetedaten!$B$160*I351/1000))*10</f>
        <v>376.30363319865353</v>
      </c>
      <c r="M351" s="20">
        <f>(Geraetedaten!$B$171+(Geraetedaten!$B$172*(Geraetedaten!$B$18+d_y_Sw)/1000)-(Geraetedaten!$B$173*I351/1000))*10</f>
        <v>836.22467013920436</v>
      </c>
      <c r="N351" s="20">
        <f>IF((H351-J351)/(K351-J351)*(Geraetedaten!$B$174-Geraetedaten!$B$161)&lt;Geraetedaten!$B$174,(H351-J351)/(K351-J351)*(Geraetedaten!$B$174-Geraetedaten!$B$161),Geraetedaten!$B$174)</f>
        <v>400</v>
      </c>
      <c r="O351" s="20">
        <f>N351/Geraetedaten!$B$174*(M351-L351)+L351+C351</f>
        <v>904.15479671623871</v>
      </c>
      <c r="P351" s="20">
        <f t="shared" si="348"/>
        <v>242.36202245025123</v>
      </c>
      <c r="Q351" s="21">
        <f>(N351-Geraetedaten!$B$161)/(Geraetedaten!$B$174-Geraetedaten!$B$161)*(Geraetedaten!$B$175-Geraetedaten!$B$162)+Geraetedaten!$B$162</f>
        <v>41.1</v>
      </c>
      <c r="R351" s="21">
        <f t="shared" si="349"/>
        <v>41.1</v>
      </c>
      <c r="S351" s="21">
        <f t="shared" si="350"/>
        <v>-31.484426612190003</v>
      </c>
      <c r="T351" s="88">
        <f t="shared" si="351"/>
        <v>26.418570758116765</v>
      </c>
      <c r="U351" s="86">
        <f t="shared" si="352"/>
        <v>13647.953100000001</v>
      </c>
      <c r="V351" s="85">
        <f t="shared" si="353"/>
        <v>-1346.4914747781525</v>
      </c>
      <c r="W351" s="85">
        <f t="shared" si="354"/>
        <v>3071.4982517570734</v>
      </c>
      <c r="X351" s="90">
        <f t="shared" si="355"/>
        <v>1346.4914747781525</v>
      </c>
      <c r="Y351" s="86">
        <f t="shared" si="356"/>
        <v>-14371.725119999999</v>
      </c>
      <c r="Z351" s="85">
        <f t="shared" si="357"/>
        <v>-818.62113479844345</v>
      </c>
      <c r="AA351" s="85">
        <f t="shared" si="358"/>
        <v>-1376.9676166737668</v>
      </c>
      <c r="AB351" s="90">
        <f t="shared" si="359"/>
        <v>818.62113479844345</v>
      </c>
      <c r="AC351" s="86">
        <f t="shared" si="360"/>
        <v>-13279.887849999999</v>
      </c>
      <c r="AD351" s="85">
        <f t="shared" si="361"/>
        <v>3384.56104615708</v>
      </c>
      <c r="AE351" s="85">
        <f t="shared" si="362"/>
        <v>-7490.5874634356278</v>
      </c>
      <c r="AF351" s="90">
        <f t="shared" si="363"/>
        <v>3384.56104615708</v>
      </c>
      <c r="AG351" s="86">
        <f t="shared" si="364"/>
        <v>14082.30313</v>
      </c>
      <c r="AH351" s="85">
        <f t="shared" si="365"/>
        <v>6139.2748628683721</v>
      </c>
      <c r="AI351" s="85">
        <f t="shared" si="366"/>
        <v>9678.0483138329946</v>
      </c>
      <c r="AJ351" s="90">
        <f t="shared" si="367"/>
        <v>6139.2748628683721</v>
      </c>
      <c r="AL351" s="95">
        <f t="shared" si="368"/>
        <v>0</v>
      </c>
      <c r="AM351" s="95">
        <f t="shared" si="369"/>
        <v>0</v>
      </c>
      <c r="AN351" s="95">
        <f t="shared" si="370"/>
        <v>0</v>
      </c>
      <c r="AO351" s="95">
        <f t="shared" si="371"/>
        <v>0</v>
      </c>
      <c r="AP351"/>
      <c r="AQ351" s="95">
        <f t="shared" si="372"/>
        <v>0</v>
      </c>
      <c r="AR351" s="95">
        <f t="shared" si="373"/>
        <v>0</v>
      </c>
      <c r="AS351" s="95">
        <f>Geraetedaten!$B$94*ABS(SIN(RADIANS($A351)))</f>
        <v>117.97084424032263</v>
      </c>
      <c r="AT351" s="95">
        <f>Geraetedaten!$B$94*ABS(COS(RADIANS($A351)))</f>
        <v>98.989291891727049</v>
      </c>
      <c r="AU351" s="95">
        <f>((h_Aw_Sw+Geraetedaten!$B$18)/1000)*(AQ351*AS351+AR351*AT351)/100</f>
        <v>0</v>
      </c>
    </row>
    <row r="352" spans="1:47" ht="13.5" x14ac:dyDescent="0.25">
      <c r="A352" s="16">
        <v>311</v>
      </c>
      <c r="B352" s="16">
        <f t="shared" si="340"/>
        <v>139</v>
      </c>
      <c r="C352" s="19">
        <f t="shared" si="341"/>
        <v>67.60725464668883</v>
      </c>
      <c r="D352" s="17">
        <f t="shared" si="342"/>
        <v>14089.049465353311</v>
      </c>
      <c r="E352" s="17">
        <f t="shared" si="343"/>
        <v>-14110.003574646689</v>
      </c>
      <c r="F352" s="17">
        <f t="shared" si="344"/>
        <v>-13823.584244646689</v>
      </c>
      <c r="G352" s="17">
        <f t="shared" si="345"/>
        <v>13723.484375353311</v>
      </c>
      <c r="H352" s="17">
        <f t="shared" si="346"/>
        <v>13723.484375353311</v>
      </c>
      <c r="I352" s="17">
        <f t="shared" si="347"/>
        <v>9477.9135097897088</v>
      </c>
      <c r="J352" s="20">
        <f>(Geraetedaten!$B$152+(Geraetedaten!$B$153*(Geraetedaten!$B$18+d_y_Sw)/1000))*10</f>
        <v>6051.0442000000003</v>
      </c>
      <c r="K352" s="20">
        <f>(Geraetedaten!$B$165+(Geraetedaten!$B$166*(Geraetedaten!$B$18+d_y_Sw)/1000))*10</f>
        <v>10816.164000000001</v>
      </c>
      <c r="L352" s="20">
        <f>(Geraetedaten!$B$158+(Geraetedaten!$B$159*(Geraetedaten!$B$18+d_y_Sw)/1000)-(Geraetedaten!$B$160*I352/1000))*10</f>
        <v>-93.478797672879494</v>
      </c>
      <c r="M352" s="20">
        <f>(Geraetedaten!$B$171+(Geraetedaten!$B$172*(Geraetedaten!$B$18+d_y_Sw)/1000)-(Geraetedaten!$B$173*I352/1000))*10</f>
        <v>359.3311183312548</v>
      </c>
      <c r="N352" s="20">
        <f>IF((H352-J352)/(K352-J352)*(Geraetedaten!$B$174-Geraetedaten!$B$161)&lt;Geraetedaten!$B$174,(H352-J352)/(K352-J352)*(Geraetedaten!$B$174-Geraetedaten!$B$161),Geraetedaten!$B$174)</f>
        <v>400</v>
      </c>
      <c r="O352" s="20">
        <f>N352/Geraetedaten!$B$174*(M352-L352)+L352+C352</f>
        <v>426.93837297794357</v>
      </c>
      <c r="P352" s="20">
        <f t="shared" si="348"/>
        <v>137.62763947877232</v>
      </c>
      <c r="Q352" s="21">
        <f>(N352-Geraetedaten!$B$161)/(Geraetedaten!$B$174-Geraetedaten!$B$161)*(Geraetedaten!$B$175-Geraetedaten!$B$162)+Geraetedaten!$B$162</f>
        <v>41.1</v>
      </c>
      <c r="R352" s="21">
        <f t="shared" si="349"/>
        <v>41.1</v>
      </c>
      <c r="S352" s="21">
        <f t="shared" si="350"/>
        <v>-31.018563747155941</v>
      </c>
      <c r="T352" s="88">
        <f t="shared" si="351"/>
        <v>26.96402609150984</v>
      </c>
      <c r="U352" s="86">
        <f t="shared" si="352"/>
        <v>14156.656720000001</v>
      </c>
      <c r="V352" s="85">
        <f t="shared" si="353"/>
        <v>-1346.4914747781525</v>
      </c>
      <c r="W352" s="85">
        <f t="shared" si="354"/>
        <v>3185.9829843833504</v>
      </c>
      <c r="X352" s="90">
        <f t="shared" si="355"/>
        <v>1346.4914747781525</v>
      </c>
      <c r="Y352" s="86">
        <f t="shared" si="356"/>
        <v>-14042.39632</v>
      </c>
      <c r="Z352" s="85">
        <f t="shared" si="357"/>
        <v>-818.62113479844345</v>
      </c>
      <c r="AA352" s="85">
        <f t="shared" si="358"/>
        <v>-1345.414335102231</v>
      </c>
      <c r="AB352" s="90">
        <f t="shared" si="359"/>
        <v>818.62113479844345</v>
      </c>
      <c r="AC352" s="86">
        <f t="shared" si="360"/>
        <v>-13755.976989999999</v>
      </c>
      <c r="AD352" s="85">
        <f t="shared" si="361"/>
        <v>3384.56104615708</v>
      </c>
      <c r="AE352" s="85">
        <f t="shared" si="362"/>
        <v>-7759.1279323201989</v>
      </c>
      <c r="AF352" s="90">
        <f t="shared" si="363"/>
        <v>3384.56104615708</v>
      </c>
      <c r="AG352" s="86">
        <f t="shared" si="364"/>
        <v>13791.091630000001</v>
      </c>
      <c r="AH352" s="85">
        <f t="shared" si="365"/>
        <v>6139.2748628683721</v>
      </c>
      <c r="AI352" s="85">
        <f t="shared" si="366"/>
        <v>9477.9135097897088</v>
      </c>
      <c r="AJ352" s="90">
        <f t="shared" si="367"/>
        <v>6139.2748628683721</v>
      </c>
      <c r="AL352" s="95">
        <f t="shared" si="368"/>
        <v>0</v>
      </c>
      <c r="AM352" s="95">
        <f t="shared" si="369"/>
        <v>0</v>
      </c>
      <c r="AN352" s="95">
        <f t="shared" si="370"/>
        <v>0</v>
      </c>
      <c r="AO352" s="95">
        <f t="shared" si="371"/>
        <v>0</v>
      </c>
      <c r="AP352"/>
      <c r="AQ352" s="95">
        <f t="shared" si="372"/>
        <v>0</v>
      </c>
      <c r="AR352" s="95">
        <f t="shared" si="373"/>
        <v>0</v>
      </c>
      <c r="AS352" s="95">
        <f>Geraetedaten!$B$94*ABS(SIN(RADIANS($A352)))</f>
        <v>116.22527535430693</v>
      </c>
      <c r="AT352" s="95">
        <f>Geraetedaten!$B$94*ABS(COS(RADIANS($A352)))</f>
        <v>101.03309046453809</v>
      </c>
      <c r="AU352" s="95">
        <f>((h_Aw_Sw+Geraetedaten!$B$18)/1000)*(AQ352*AS352+AR352*AT352)/100</f>
        <v>0</v>
      </c>
    </row>
    <row r="353" spans="1:47" ht="13.5" x14ac:dyDescent="0.25">
      <c r="A353" s="16">
        <v>312</v>
      </c>
      <c r="B353" s="16">
        <f t="shared" si="340"/>
        <v>138</v>
      </c>
      <c r="C353" s="19">
        <f t="shared" si="341"/>
        <v>67.263788891651714</v>
      </c>
      <c r="D353" s="17">
        <f t="shared" si="342"/>
        <v>14642.140921108348</v>
      </c>
      <c r="E353" s="17">
        <f t="shared" si="343"/>
        <v>-13799.175548891653</v>
      </c>
      <c r="F353" s="17">
        <f t="shared" si="344"/>
        <v>-14339.244198891653</v>
      </c>
      <c r="G353" s="17">
        <f t="shared" si="345"/>
        <v>13448.450001108347</v>
      </c>
      <c r="H353" s="17">
        <f t="shared" si="346"/>
        <v>13448.450001108347</v>
      </c>
      <c r="I353" s="17">
        <f t="shared" si="347"/>
        <v>9288.6603731923387</v>
      </c>
      <c r="J353" s="20">
        <f>(Geraetedaten!$B$152+(Geraetedaten!$B$153*(Geraetedaten!$B$18+d_y_Sw)/1000))*10</f>
        <v>6051.0442000000003</v>
      </c>
      <c r="K353" s="20">
        <f>(Geraetedaten!$B$165+(Geraetedaten!$B$166*(Geraetedaten!$B$18+d_y_Sw)/1000))*10</f>
        <v>10816.164000000001</v>
      </c>
      <c r="L353" s="20">
        <f>(Geraetedaten!$B$158+(Geraetedaten!$B$159*(Geraetedaten!$B$18+d_y_Sw)/1000)-(Geraetedaten!$B$160*I353/1000))*10</f>
        <v>-79.600865166194268</v>
      </c>
      <c r="M353" s="20">
        <f>(Geraetedaten!$B$171+(Geraetedaten!$B$172*(Geraetedaten!$B$18+d_y_Sw)/1000)-(Geraetedaten!$B$173*I353/1000))*10</f>
        <v>373.41912181956303</v>
      </c>
      <c r="N353" s="20">
        <f>IF((H353-J353)/(K353-J353)*(Geraetedaten!$B$174-Geraetedaten!$B$161)&lt;Geraetedaten!$B$174,(H353-J353)/(K353-J353)*(Geraetedaten!$B$174-Geraetedaten!$B$161),Geraetedaten!$B$174)</f>
        <v>400</v>
      </c>
      <c r="O353" s="20">
        <f>N353/Geraetedaten!$B$174*(M353-L353)+L353+C353</f>
        <v>440.68291071121479</v>
      </c>
      <c r="P353" s="20">
        <f t="shared" si="348"/>
        <v>141.21318341261104</v>
      </c>
      <c r="Q353" s="21">
        <f>(N353-Geraetedaten!$B$161)/(Geraetedaten!$B$174-Geraetedaten!$B$161)*(Geraetedaten!$B$175-Geraetedaten!$B$162)+Geraetedaten!$B$162</f>
        <v>41.1</v>
      </c>
      <c r="R353" s="21">
        <f t="shared" si="349"/>
        <v>41.1</v>
      </c>
      <c r="S353" s="21">
        <f t="shared" si="350"/>
        <v>-30.543252327120918</v>
      </c>
      <c r="T353" s="88">
        <f t="shared" si="351"/>
        <v>27.501267921349058</v>
      </c>
      <c r="U353" s="86">
        <f t="shared" si="352"/>
        <v>14709.404710000001</v>
      </c>
      <c r="V353" s="85">
        <f t="shared" si="353"/>
        <v>-1346.4914747781525</v>
      </c>
      <c r="W353" s="85">
        <f t="shared" si="354"/>
        <v>3310.3799903977911</v>
      </c>
      <c r="X353" s="90">
        <f t="shared" si="355"/>
        <v>1346.4914747781525</v>
      </c>
      <c r="Y353" s="86">
        <f t="shared" si="356"/>
        <v>-13731.911760000001</v>
      </c>
      <c r="Z353" s="85">
        <f t="shared" si="357"/>
        <v>-818.62113479844345</v>
      </c>
      <c r="AA353" s="85">
        <f t="shared" si="358"/>
        <v>-1315.6665356302833</v>
      </c>
      <c r="AB353" s="90">
        <f t="shared" si="359"/>
        <v>818.62113479844345</v>
      </c>
      <c r="AC353" s="86">
        <f t="shared" si="360"/>
        <v>-14271.98041</v>
      </c>
      <c r="AD353" s="85">
        <f t="shared" si="361"/>
        <v>3384.56104615708</v>
      </c>
      <c r="AE353" s="85">
        <f t="shared" si="362"/>
        <v>-8050.1822552606527</v>
      </c>
      <c r="AF353" s="90">
        <f t="shared" si="363"/>
        <v>3384.56104615708</v>
      </c>
      <c r="AG353" s="86">
        <f t="shared" si="364"/>
        <v>13515.71379</v>
      </c>
      <c r="AH353" s="85">
        <f t="shared" si="365"/>
        <v>6139.2748628683721</v>
      </c>
      <c r="AI353" s="85">
        <f t="shared" si="366"/>
        <v>9288.6603731923387</v>
      </c>
      <c r="AJ353" s="90">
        <f t="shared" si="367"/>
        <v>6139.2748628683721</v>
      </c>
      <c r="AL353" s="95">
        <f t="shared" si="368"/>
        <v>0</v>
      </c>
      <c r="AM353" s="95">
        <f t="shared" si="369"/>
        <v>0</v>
      </c>
      <c r="AN353" s="95">
        <f t="shared" si="370"/>
        <v>0</v>
      </c>
      <c r="AO353" s="95">
        <f t="shared" si="371"/>
        <v>0</v>
      </c>
      <c r="AP353"/>
      <c r="AQ353" s="95">
        <f t="shared" si="372"/>
        <v>0</v>
      </c>
      <c r="AR353" s="95">
        <f t="shared" si="373"/>
        <v>0</v>
      </c>
      <c r="AS353" s="95">
        <f>Geraetedaten!$B$94*ABS(SIN(RADIANS($A353)))</f>
        <v>114.44430312351876</v>
      </c>
      <c r="AT353" s="95">
        <f>Geraetedaten!$B$94*ABS(COS(RADIANS($A353)))</f>
        <v>103.0461133792641</v>
      </c>
      <c r="AU353" s="95">
        <f>((h_Aw_Sw+Geraetedaten!$B$18)/1000)*(AQ353*AS353+AR353*AT353)/100</f>
        <v>0</v>
      </c>
    </row>
    <row r="354" spans="1:47" ht="13.5" x14ac:dyDescent="0.25">
      <c r="A354" s="16">
        <v>313</v>
      </c>
      <c r="B354" s="16">
        <f t="shared" si="340"/>
        <v>137</v>
      </c>
      <c r="C354" s="19">
        <f t="shared" si="341"/>
        <v>66.899833934919229</v>
      </c>
      <c r="D354" s="17">
        <f t="shared" si="342"/>
        <v>15245.02457606508</v>
      </c>
      <c r="E354" s="17">
        <f t="shared" si="343"/>
        <v>-13505.765013934921</v>
      </c>
      <c r="F354" s="17">
        <f t="shared" si="344"/>
        <v>-14899.798553934919</v>
      </c>
      <c r="G354" s="17">
        <f t="shared" si="345"/>
        <v>13188.17678606508</v>
      </c>
      <c r="H354" s="17">
        <f t="shared" si="346"/>
        <v>13188.17678606508</v>
      </c>
      <c r="I354" s="17">
        <f t="shared" si="347"/>
        <v>9109.5377457653722</v>
      </c>
      <c r="J354" s="20">
        <f>(Geraetedaten!$B$152+(Geraetedaten!$B$153*(Geraetedaten!$B$18+d_y_Sw)/1000))*10</f>
        <v>6051.0442000000003</v>
      </c>
      <c r="K354" s="20">
        <f>(Geraetedaten!$B$165+(Geraetedaten!$B$166*(Geraetedaten!$B$18+d_y_Sw)/1000))*10</f>
        <v>10816.164000000001</v>
      </c>
      <c r="L354" s="20">
        <f>(Geraetedaten!$B$158+(Geraetedaten!$B$159*(Geraetedaten!$B$18+d_y_Sw)/1000)-(Geraetedaten!$B$160*I354/1000))*10</f>
        <v>-66.465802896974822</v>
      </c>
      <c r="M354" s="20">
        <f>(Geraetedaten!$B$171+(Geraetedaten!$B$172*(Geraetedaten!$B$18+d_y_Sw)/1000)-(Geraetedaten!$B$173*I354/1000))*10</f>
        <v>386.75301020522636</v>
      </c>
      <c r="N354" s="20">
        <f>IF((H354-J354)/(K354-J354)*(Geraetedaten!$B$174-Geraetedaten!$B$161)&lt;Geraetedaten!$B$174,(H354-J354)/(K354-J354)*(Geraetedaten!$B$174-Geraetedaten!$B$161),Geraetedaten!$B$174)</f>
        <v>400</v>
      </c>
      <c r="O354" s="20">
        <f>N354/Geraetedaten!$B$174*(M354-L354)+L354+C354</f>
        <v>453.65284414014559</v>
      </c>
      <c r="P354" s="20">
        <f t="shared" si="348"/>
        <v>144.55533185198803</v>
      </c>
      <c r="Q354" s="21">
        <f>(N354-Geraetedaten!$B$161)/(Geraetedaten!$B$174-Geraetedaten!$B$161)*(Geraetedaten!$B$175-Geraetedaten!$B$162)+Geraetedaten!$B$162</f>
        <v>41.1</v>
      </c>
      <c r="R354" s="21">
        <f t="shared" si="349"/>
        <v>41.1</v>
      </c>
      <c r="S354" s="21">
        <f t="shared" si="350"/>
        <v>-30.058637136547901</v>
      </c>
      <c r="T354" s="88">
        <f t="shared" si="351"/>
        <v>28.030132598568692</v>
      </c>
      <c r="U354" s="86">
        <f t="shared" si="352"/>
        <v>15311.92441</v>
      </c>
      <c r="V354" s="85">
        <f t="shared" si="353"/>
        <v>-1346.4914747781525</v>
      </c>
      <c r="W354" s="85">
        <f t="shared" si="354"/>
        <v>3445.9782129716227</v>
      </c>
      <c r="X354" s="90">
        <f t="shared" si="355"/>
        <v>1346.4914747781525</v>
      </c>
      <c r="Y354" s="86">
        <f t="shared" si="356"/>
        <v>-13438.865180000001</v>
      </c>
      <c r="Z354" s="85">
        <f t="shared" si="357"/>
        <v>-818.62113479844345</v>
      </c>
      <c r="AA354" s="85">
        <f t="shared" si="358"/>
        <v>-1287.5894854076671</v>
      </c>
      <c r="AB354" s="90">
        <f t="shared" si="359"/>
        <v>818.62113479844345</v>
      </c>
      <c r="AC354" s="86">
        <f t="shared" si="360"/>
        <v>-14832.898719999999</v>
      </c>
      <c r="AD354" s="85">
        <f t="shared" si="361"/>
        <v>3384.56104615708</v>
      </c>
      <c r="AE354" s="85">
        <f t="shared" si="362"/>
        <v>-8366.5710465871762</v>
      </c>
      <c r="AF354" s="90">
        <f t="shared" si="363"/>
        <v>3384.56104615708</v>
      </c>
      <c r="AG354" s="86">
        <f t="shared" si="364"/>
        <v>13255.07662</v>
      </c>
      <c r="AH354" s="85">
        <f t="shared" si="365"/>
        <v>6139.2748628683721</v>
      </c>
      <c r="AI354" s="85">
        <f t="shared" si="366"/>
        <v>9109.5377457653722</v>
      </c>
      <c r="AJ354" s="90">
        <f t="shared" si="367"/>
        <v>6139.2748628683721</v>
      </c>
      <c r="AL354" s="95">
        <f t="shared" si="368"/>
        <v>0</v>
      </c>
      <c r="AM354" s="95">
        <f t="shared" si="369"/>
        <v>0</v>
      </c>
      <c r="AN354" s="95">
        <f t="shared" si="370"/>
        <v>0</v>
      </c>
      <c r="AO354" s="95">
        <f t="shared" si="371"/>
        <v>0</v>
      </c>
      <c r="AP354"/>
      <c r="AQ354" s="95">
        <f t="shared" si="372"/>
        <v>0</v>
      </c>
      <c r="AR354" s="95">
        <f t="shared" si="373"/>
        <v>0</v>
      </c>
      <c r="AS354" s="95">
        <f>Geraetedaten!$B$94*ABS(SIN(RADIANS($A354)))</f>
        <v>112.62847004935223</v>
      </c>
      <c r="AT354" s="95">
        <f>Geraetedaten!$B$94*ABS(COS(RADIANS($A354)))</f>
        <v>105.02774744962478</v>
      </c>
      <c r="AU354" s="95">
        <f>((h_Aw_Sw+Geraetedaten!$B$18)/1000)*(AQ354*AS354+AR354*AT354)/100</f>
        <v>0</v>
      </c>
    </row>
    <row r="355" spans="1:47" ht="13.5" x14ac:dyDescent="0.25">
      <c r="A355" s="16">
        <v>314</v>
      </c>
      <c r="B355" s="16">
        <f t="shared" si="340"/>
        <v>136</v>
      </c>
      <c r="C355" s="19">
        <f t="shared" si="341"/>
        <v>66.515500640696956</v>
      </c>
      <c r="D355" s="17">
        <f t="shared" si="342"/>
        <v>15904.469779359304</v>
      </c>
      <c r="E355" s="17">
        <f t="shared" si="343"/>
        <v>-13228.505810640696</v>
      </c>
      <c r="F355" s="17">
        <f t="shared" si="344"/>
        <v>-15511.123810640696</v>
      </c>
      <c r="G355" s="17">
        <f t="shared" si="345"/>
        <v>12941.673479359304</v>
      </c>
      <c r="H355" s="17">
        <f t="shared" si="346"/>
        <v>12941.673479359304</v>
      </c>
      <c r="I355" s="17">
        <f t="shared" si="347"/>
        <v>8939.8644716097406</v>
      </c>
      <c r="J355" s="20">
        <f>(Geraetedaten!$B$152+(Geraetedaten!$B$153*(Geraetedaten!$B$18+d_y_Sw)/1000))*10</f>
        <v>6051.0442000000003</v>
      </c>
      <c r="K355" s="20">
        <f>(Geraetedaten!$B$165+(Geraetedaten!$B$166*(Geraetedaten!$B$18+d_y_Sw)/1000))*10</f>
        <v>10816.164000000001</v>
      </c>
      <c r="L355" s="20">
        <f>(Geraetedaten!$B$158+(Geraetedaten!$B$159*(Geraetedaten!$B$18+d_y_Sw)/1000)-(Geraetedaten!$B$160*I355/1000))*10</f>
        <v>-54.02366170314238</v>
      </c>
      <c r="M355" s="20">
        <f>(Geraetedaten!$B$171+(Geraetedaten!$B$172*(Geraetedaten!$B$18+d_y_Sw)/1000)-(Geraetedaten!$B$173*I355/1000))*10</f>
        <v>399.38348873337162</v>
      </c>
      <c r="N355" s="20">
        <f>IF((H355-J355)/(K355-J355)*(Geraetedaten!$B$174-Geraetedaten!$B$161)&lt;Geraetedaten!$B$174,(H355-J355)/(K355-J355)*(Geraetedaten!$B$174-Geraetedaten!$B$161),Geraetedaten!$B$174)</f>
        <v>400</v>
      </c>
      <c r="O355" s="20">
        <f>N355/Geraetedaten!$B$174*(M355-L355)+L355+C355</f>
        <v>465.89898937406861</v>
      </c>
      <c r="P355" s="20">
        <f t="shared" si="348"/>
        <v>147.67428973725382</v>
      </c>
      <c r="Q355" s="21">
        <f>(N355-Geraetedaten!$B$161)/(Geraetedaten!$B$174-Geraetedaten!$B$161)*(Geraetedaten!$B$175-Geraetedaten!$B$162)+Geraetedaten!$B$162</f>
        <v>41.1</v>
      </c>
      <c r="R355" s="21">
        <f t="shared" si="349"/>
        <v>41.1</v>
      </c>
      <c r="S355" s="21">
        <f t="shared" si="350"/>
        <v>-29.564865793918564</v>
      </c>
      <c r="T355" s="88">
        <f t="shared" si="351"/>
        <v>28.550459025864789</v>
      </c>
      <c r="U355" s="86">
        <f t="shared" si="352"/>
        <v>15970.985280000001</v>
      </c>
      <c r="V355" s="85">
        <f t="shared" si="353"/>
        <v>-1346.4914747781525</v>
      </c>
      <c r="W355" s="85">
        <f t="shared" si="354"/>
        <v>3594.301138542537</v>
      </c>
      <c r="X355" s="90">
        <f t="shared" si="355"/>
        <v>1346.4914747781525</v>
      </c>
      <c r="Y355" s="86">
        <f t="shared" si="356"/>
        <v>-13161.990309999999</v>
      </c>
      <c r="Z355" s="85">
        <f t="shared" si="357"/>
        <v>-818.62113479844345</v>
      </c>
      <c r="AA355" s="85">
        <f t="shared" si="358"/>
        <v>-1261.0618607520287</v>
      </c>
      <c r="AB355" s="90">
        <f t="shared" si="359"/>
        <v>818.62113479844345</v>
      </c>
      <c r="AC355" s="86">
        <f t="shared" si="360"/>
        <v>-15444.60831</v>
      </c>
      <c r="AD355" s="85">
        <f t="shared" si="361"/>
        <v>3384.56104615708</v>
      </c>
      <c r="AE355" s="85">
        <f t="shared" si="362"/>
        <v>-8711.6089122622925</v>
      </c>
      <c r="AF355" s="90">
        <f t="shared" si="363"/>
        <v>3384.56104615708</v>
      </c>
      <c r="AG355" s="86">
        <f t="shared" si="364"/>
        <v>13008.188980000001</v>
      </c>
      <c r="AH355" s="85">
        <f t="shared" si="365"/>
        <v>6139.2748628683721</v>
      </c>
      <c r="AI355" s="85">
        <f t="shared" si="366"/>
        <v>8939.8644716097406</v>
      </c>
      <c r="AJ355" s="90">
        <f t="shared" si="367"/>
        <v>6139.2748628683721</v>
      </c>
      <c r="AL355" s="95">
        <f t="shared" si="368"/>
        <v>0</v>
      </c>
      <c r="AM355" s="95">
        <f t="shared" si="369"/>
        <v>0</v>
      </c>
      <c r="AN355" s="95">
        <f t="shared" si="370"/>
        <v>0</v>
      </c>
      <c r="AO355" s="95">
        <f t="shared" si="371"/>
        <v>0</v>
      </c>
      <c r="AP355"/>
      <c r="AQ355" s="95">
        <f t="shared" si="372"/>
        <v>0</v>
      </c>
      <c r="AR355" s="95">
        <f t="shared" si="373"/>
        <v>0</v>
      </c>
      <c r="AS355" s="95">
        <f>Geraetedaten!$B$94*ABS(SIN(RADIANS($A355)))</f>
        <v>110.77832925215229</v>
      </c>
      <c r="AT355" s="95">
        <f>Geraetedaten!$B$94*ABS(COS(RADIANS($A355)))</f>
        <v>106.97738905068557</v>
      </c>
      <c r="AU355" s="95">
        <f>((h_Aw_Sw+Geraetedaten!$B$18)/1000)*(AQ355*AS355+AR355*AT355)/100</f>
        <v>0</v>
      </c>
    </row>
    <row r="356" spans="1:47" ht="13.5" x14ac:dyDescent="0.25">
      <c r="A356" s="16">
        <v>315</v>
      </c>
      <c r="B356" s="16">
        <f t="shared" si="340"/>
        <v>135</v>
      </c>
      <c r="C356" s="19">
        <f t="shared" si="341"/>
        <v>66.110906080629391</v>
      </c>
      <c r="D356" s="17">
        <f t="shared" si="342"/>
        <v>16628.536213919371</v>
      </c>
      <c r="E356" s="17">
        <f t="shared" si="343"/>
        <v>-12966.254886080631</v>
      </c>
      <c r="F356" s="17">
        <f t="shared" si="344"/>
        <v>-16180.17253608063</v>
      </c>
      <c r="G356" s="17">
        <f t="shared" si="345"/>
        <v>12708.039253919369</v>
      </c>
      <c r="H356" s="17">
        <f t="shared" si="346"/>
        <v>12708.039253919369</v>
      </c>
      <c r="I356" s="17">
        <f t="shared" si="347"/>
        <v>8779.0215320458792</v>
      </c>
      <c r="J356" s="20">
        <f>(Geraetedaten!$B$152+(Geraetedaten!$B$153*(Geraetedaten!$B$18+d_y_Sw)/1000))*10</f>
        <v>6051.0442000000003</v>
      </c>
      <c r="K356" s="20">
        <f>(Geraetedaten!$B$165+(Geraetedaten!$B$166*(Geraetedaten!$B$18+d_y_Sw)/1000))*10</f>
        <v>10816.164000000001</v>
      </c>
      <c r="L356" s="20">
        <f>(Geraetedaten!$B$158+(Geraetedaten!$B$159*(Geraetedaten!$B$18+d_y_Sw)/1000)-(Geraetedaten!$B$160*I356/1000))*10</f>
        <v>-42.229048944924443</v>
      </c>
      <c r="M356" s="20">
        <f>(Geraetedaten!$B$171+(Geraetedaten!$B$172*(Geraetedaten!$B$18+d_y_Sw)/1000)-(Geraetedaten!$B$173*I356/1000))*10</f>
        <v>411.35663715450551</v>
      </c>
      <c r="N356" s="20">
        <f>IF((H356-J356)/(K356-J356)*(Geraetedaten!$B$174-Geraetedaten!$B$161)&lt;Geraetedaten!$B$174,(H356-J356)/(K356-J356)*(Geraetedaten!$B$174-Geraetedaten!$B$161),Geraetedaten!$B$174)</f>
        <v>400</v>
      </c>
      <c r="O356" s="20">
        <f>N356/Geraetedaten!$B$174*(M356-L356)+L356+C356</f>
        <v>477.46754323513488</v>
      </c>
      <c r="P356" s="20">
        <f t="shared" si="348"/>
        <v>150.58799386329358</v>
      </c>
      <c r="Q356" s="21">
        <f>(N356-Geraetedaten!$B$161)/(Geraetedaten!$B$174-Geraetedaten!$B$161)*(Geraetedaten!$B$175-Geraetedaten!$B$162)+Geraetedaten!$B$162</f>
        <v>41.1</v>
      </c>
      <c r="R356" s="21">
        <f t="shared" si="349"/>
        <v>41.1</v>
      </c>
      <c r="S356" s="21">
        <f t="shared" si="350"/>
        <v>-29.06208870676711</v>
      </c>
      <c r="T356" s="88">
        <f t="shared" si="351"/>
        <v>29.062088706767096</v>
      </c>
      <c r="U356" s="86">
        <f t="shared" si="352"/>
        <v>16694.647120000001</v>
      </c>
      <c r="V356" s="85">
        <f t="shared" si="353"/>
        <v>-1346.4914747781525</v>
      </c>
      <c r="W356" s="85">
        <f t="shared" si="354"/>
        <v>3757.1626342730347</v>
      </c>
      <c r="X356" s="90">
        <f t="shared" si="355"/>
        <v>1346.4914747781525</v>
      </c>
      <c r="Y356" s="86">
        <f t="shared" si="356"/>
        <v>-12900.143980000001</v>
      </c>
      <c r="Z356" s="85">
        <f t="shared" si="357"/>
        <v>-818.62113479844345</v>
      </c>
      <c r="AA356" s="85">
        <f t="shared" si="358"/>
        <v>-1235.9741335734986</v>
      </c>
      <c r="AB356" s="90">
        <f t="shared" si="359"/>
        <v>818.62113479844345</v>
      </c>
      <c r="AC356" s="86">
        <f t="shared" si="360"/>
        <v>-16114.06163</v>
      </c>
      <c r="AD356" s="85">
        <f t="shared" si="361"/>
        <v>3384.56104615708</v>
      </c>
      <c r="AE356" s="85">
        <f t="shared" si="362"/>
        <v>-9089.2174191039303</v>
      </c>
      <c r="AF356" s="90">
        <f t="shared" si="363"/>
        <v>3384.56104615708</v>
      </c>
      <c r="AG356" s="86">
        <f t="shared" si="364"/>
        <v>12774.150159999999</v>
      </c>
      <c r="AH356" s="85">
        <f t="shared" si="365"/>
        <v>6139.2748628683721</v>
      </c>
      <c r="AI356" s="85">
        <f t="shared" si="366"/>
        <v>8779.0215320458792</v>
      </c>
      <c r="AJ356" s="90">
        <f t="shared" si="367"/>
        <v>6139.2748628683721</v>
      </c>
      <c r="AL356" s="95">
        <f t="shared" si="368"/>
        <v>0</v>
      </c>
      <c r="AM356" s="95">
        <f t="shared" si="369"/>
        <v>0</v>
      </c>
      <c r="AN356" s="95">
        <f t="shared" si="370"/>
        <v>0</v>
      </c>
      <c r="AO356" s="95">
        <f t="shared" si="371"/>
        <v>0</v>
      </c>
      <c r="AP356"/>
      <c r="AQ356" s="95">
        <f t="shared" si="372"/>
        <v>0</v>
      </c>
      <c r="AR356" s="95">
        <f t="shared" si="373"/>
        <v>0</v>
      </c>
      <c r="AS356" s="95">
        <f>Geraetedaten!$B$94*ABS(SIN(RADIANS($A356)))</f>
        <v>108.89444430272835</v>
      </c>
      <c r="AT356" s="95">
        <f>Geraetedaten!$B$94*ABS(COS(RADIANS($A356)))</f>
        <v>108.89444430272829</v>
      </c>
      <c r="AU356" s="95">
        <f>((h_Aw_Sw+Geraetedaten!$B$18)/1000)*(AQ356*AS356+AR356*AT356)/100</f>
        <v>0</v>
      </c>
    </row>
    <row r="357" spans="1:47" ht="13.5" x14ac:dyDescent="0.25">
      <c r="A357" s="16">
        <v>316</v>
      </c>
      <c r="B357" s="16">
        <f t="shared" si="340"/>
        <v>134</v>
      </c>
      <c r="C357" s="19">
        <f t="shared" si="341"/>
        <v>65.686173498138942</v>
      </c>
      <c r="D357" s="17">
        <f t="shared" si="342"/>
        <v>17426.896326501861</v>
      </c>
      <c r="E357" s="17">
        <f t="shared" si="343"/>
        <v>-12717.97784349814</v>
      </c>
      <c r="F357" s="17">
        <f t="shared" si="344"/>
        <v>-16915.231253498139</v>
      </c>
      <c r="G357" s="17">
        <f t="shared" si="345"/>
        <v>12486.45374650186</v>
      </c>
      <c r="H357" s="17">
        <f t="shared" si="346"/>
        <v>12486.45374650186</v>
      </c>
      <c r="I357" s="17">
        <f t="shared" si="347"/>
        <v>8626.4452216558129</v>
      </c>
      <c r="J357" s="20">
        <f>(Geraetedaten!$B$152+(Geraetedaten!$B$153*(Geraetedaten!$B$18+d_y_Sw)/1000))*10</f>
        <v>6051.0442000000003</v>
      </c>
      <c r="K357" s="20">
        <f>(Geraetedaten!$B$165+(Geraetedaten!$B$166*(Geraetedaten!$B$18+d_y_Sw)/1000))*10</f>
        <v>10816.164000000001</v>
      </c>
      <c r="L357" s="20">
        <f>(Geraetedaten!$B$158+(Geraetedaten!$B$159*(Geraetedaten!$B$18+d_y_Sw)/1000)-(Geraetedaten!$B$160*I357/1000))*10</f>
        <v>-31.040628104020911</v>
      </c>
      <c r="M357" s="20">
        <f>(Geraetedaten!$B$171+(Geraetedaten!$B$172*(Geraetedaten!$B$18+d_y_Sw)/1000)-(Geraetedaten!$B$173*I357/1000))*10</f>
        <v>422.71441769994215</v>
      </c>
      <c r="N357" s="20">
        <f>IF((H357-J357)/(K357-J357)*(Geraetedaten!$B$174-Geraetedaten!$B$161)&lt;Geraetedaten!$B$174,(H357-J357)/(K357-J357)*(Geraetedaten!$B$174-Geraetedaten!$B$161),Geraetedaten!$B$174)</f>
        <v>400</v>
      </c>
      <c r="O357" s="20">
        <f>N357/Geraetedaten!$B$174*(M357-L357)+L357+C357</f>
        <v>488.40059119808109</v>
      </c>
      <c r="P357" s="20">
        <f t="shared" si="348"/>
        <v>153.31242091104133</v>
      </c>
      <c r="Q357" s="21">
        <f>(N357-Geraetedaten!$B$161)/(Geraetedaten!$B$174-Geraetedaten!$B$161)*(Geraetedaten!$B$175-Geraetedaten!$B$162)+Geraetedaten!$B$162</f>
        <v>41.1</v>
      </c>
      <c r="R357" s="21">
        <f t="shared" si="349"/>
        <v>41.1</v>
      </c>
      <c r="S357" s="21">
        <f t="shared" si="350"/>
        <v>-28.5504590258648</v>
      </c>
      <c r="T357" s="88">
        <f t="shared" si="351"/>
        <v>29.56486579391855</v>
      </c>
      <c r="U357" s="86">
        <f t="shared" si="352"/>
        <v>17492.5825</v>
      </c>
      <c r="V357" s="85">
        <f t="shared" si="353"/>
        <v>-1346.4914747781525</v>
      </c>
      <c r="W357" s="85">
        <f t="shared" si="354"/>
        <v>3936.7395363785436</v>
      </c>
      <c r="X357" s="90">
        <f t="shared" si="355"/>
        <v>1346.4914747781525</v>
      </c>
      <c r="Y357" s="86">
        <f t="shared" si="356"/>
        <v>-12652.291670000001</v>
      </c>
      <c r="Z357" s="85">
        <f t="shared" si="357"/>
        <v>-818.62113479844345</v>
      </c>
      <c r="AA357" s="85">
        <f t="shared" si="358"/>
        <v>-1212.2271858549134</v>
      </c>
      <c r="AB357" s="90">
        <f t="shared" si="359"/>
        <v>818.62113479844345</v>
      </c>
      <c r="AC357" s="86">
        <f t="shared" si="360"/>
        <v>-16849.54508</v>
      </c>
      <c r="AD357" s="85">
        <f t="shared" si="361"/>
        <v>3384.56104615708</v>
      </c>
      <c r="AE357" s="85">
        <f t="shared" si="362"/>
        <v>-9504.070555174605</v>
      </c>
      <c r="AF357" s="90">
        <f t="shared" si="363"/>
        <v>3384.56104615708</v>
      </c>
      <c r="AG357" s="86">
        <f t="shared" si="364"/>
        <v>12552.13992</v>
      </c>
      <c r="AH357" s="85">
        <f t="shared" si="365"/>
        <v>6139.2748628683721</v>
      </c>
      <c r="AI357" s="85">
        <f t="shared" si="366"/>
        <v>8626.4452216558129</v>
      </c>
      <c r="AJ357" s="90">
        <f t="shared" si="367"/>
        <v>6139.2748628683721</v>
      </c>
      <c r="AL357" s="95">
        <f t="shared" si="368"/>
        <v>0</v>
      </c>
      <c r="AM357" s="95">
        <f t="shared" si="369"/>
        <v>0</v>
      </c>
      <c r="AN357" s="95">
        <f t="shared" si="370"/>
        <v>0</v>
      </c>
      <c r="AO357" s="95">
        <f t="shared" si="371"/>
        <v>0</v>
      </c>
      <c r="AP357"/>
      <c r="AQ357" s="95">
        <f t="shared" si="372"/>
        <v>0</v>
      </c>
      <c r="AR357" s="95">
        <f t="shared" si="373"/>
        <v>0</v>
      </c>
      <c r="AS357" s="95">
        <f>Geraetedaten!$B$94*ABS(SIN(RADIANS($A357)))</f>
        <v>106.97738905068563</v>
      </c>
      <c r="AT357" s="95">
        <f>Geraetedaten!$B$94*ABS(COS(RADIANS($A357)))</f>
        <v>110.77832925215223</v>
      </c>
      <c r="AU357" s="95">
        <f>((h_Aw_Sw+Geraetedaten!$B$18)/1000)*(AQ357*AS357+AR357*AT357)/100</f>
        <v>0</v>
      </c>
    </row>
    <row r="358" spans="1:47" ht="13.5" x14ac:dyDescent="0.25">
      <c r="A358" s="16">
        <v>317</v>
      </c>
      <c r="B358" s="16">
        <f t="shared" si="340"/>
        <v>133</v>
      </c>
      <c r="C358" s="19">
        <f t="shared" si="341"/>
        <v>65.241432270884687</v>
      </c>
      <c r="D358" s="17">
        <f t="shared" si="342"/>
        <v>18311.259817729115</v>
      </c>
      <c r="E358" s="17">
        <f t="shared" si="343"/>
        <v>-12482.736482270884</v>
      </c>
      <c r="F358" s="17">
        <f t="shared" si="344"/>
        <v>-17726.256242270887</v>
      </c>
      <c r="G358" s="17">
        <f t="shared" si="345"/>
        <v>12276.168427729115</v>
      </c>
      <c r="H358" s="17">
        <f t="shared" si="346"/>
        <v>12276.168427729115</v>
      </c>
      <c r="I358" s="17">
        <f t="shared" si="347"/>
        <v>8481.6212084051822</v>
      </c>
      <c r="J358" s="20">
        <f>(Geraetedaten!$B$152+(Geraetedaten!$B$153*(Geraetedaten!$B$18+d_y_Sw)/1000))*10</f>
        <v>6051.0442000000003</v>
      </c>
      <c r="K358" s="20">
        <f>(Geraetedaten!$B$165+(Geraetedaten!$B$166*(Geraetedaten!$B$18+d_y_Sw)/1000))*10</f>
        <v>10816.164000000001</v>
      </c>
      <c r="L358" s="20">
        <f>(Geraetedaten!$B$158+(Geraetedaten!$B$159*(Geraetedaten!$B$18+d_y_Sw)/1000)-(Geraetedaten!$B$160*I358/1000))*10</f>
        <v>-20.420683212352202</v>
      </c>
      <c r="M358" s="20">
        <f>(Geraetedaten!$B$171+(Geraetedaten!$B$172*(Geraetedaten!$B$18+d_y_Sw)/1000)-(Geraetedaten!$B$173*I358/1000))*10</f>
        <v>433.49511724631896</v>
      </c>
      <c r="N358" s="20">
        <f>IF((H358-J358)/(K358-J358)*(Geraetedaten!$B$174-Geraetedaten!$B$161)&lt;Geraetedaten!$B$174,(H358-J358)/(K358-J358)*(Geraetedaten!$B$174-Geraetedaten!$B$161),Geraetedaten!$B$174)</f>
        <v>400</v>
      </c>
      <c r="O358" s="20">
        <f>N358/Geraetedaten!$B$174*(M358-L358)+L358+C358</f>
        <v>498.73654951720363</v>
      </c>
      <c r="P358" s="20">
        <f t="shared" si="348"/>
        <v>155.86184653422714</v>
      </c>
      <c r="Q358" s="21">
        <f>(N358-Geraetedaten!$B$161)/(Geraetedaten!$B$174-Geraetedaten!$B$161)*(Geraetedaten!$B$175-Geraetedaten!$B$162)+Geraetedaten!$B$162</f>
        <v>41.1</v>
      </c>
      <c r="R358" s="21">
        <f t="shared" si="349"/>
        <v>41.1</v>
      </c>
      <c r="S358" s="21">
        <f t="shared" si="350"/>
        <v>-28.030132598568681</v>
      </c>
      <c r="T358" s="88">
        <f t="shared" si="351"/>
        <v>30.058637136547915</v>
      </c>
      <c r="U358" s="86">
        <f t="shared" si="352"/>
        <v>18376.501250000001</v>
      </c>
      <c r="V358" s="85">
        <f t="shared" si="353"/>
        <v>-1346.4914747781525</v>
      </c>
      <c r="W358" s="85">
        <f t="shared" si="354"/>
        <v>4135.6671604524036</v>
      </c>
      <c r="X358" s="90">
        <f t="shared" si="355"/>
        <v>1346.4914747781525</v>
      </c>
      <c r="Y358" s="86">
        <f t="shared" si="356"/>
        <v>-12417.49505</v>
      </c>
      <c r="Z358" s="85">
        <f t="shared" si="357"/>
        <v>-818.62113479844345</v>
      </c>
      <c r="AA358" s="85">
        <f t="shared" si="358"/>
        <v>-1189.7311154767094</v>
      </c>
      <c r="AB358" s="90">
        <f t="shared" si="359"/>
        <v>818.62113479844345</v>
      </c>
      <c r="AC358" s="86">
        <f t="shared" si="360"/>
        <v>-17661.014810000001</v>
      </c>
      <c r="AD358" s="85">
        <f t="shared" si="361"/>
        <v>3384.56104615708</v>
      </c>
      <c r="AE358" s="85">
        <f t="shared" si="362"/>
        <v>-9961.7841322817094</v>
      </c>
      <c r="AF358" s="90">
        <f t="shared" si="363"/>
        <v>3384.56104615708</v>
      </c>
      <c r="AG358" s="86">
        <f t="shared" si="364"/>
        <v>12341.40986</v>
      </c>
      <c r="AH358" s="85">
        <f t="shared" si="365"/>
        <v>6139.2748628683721</v>
      </c>
      <c r="AI358" s="85">
        <f t="shared" si="366"/>
        <v>8481.6212084051822</v>
      </c>
      <c r="AJ358" s="90">
        <f t="shared" si="367"/>
        <v>6139.2748628683721</v>
      </c>
      <c r="AL358" s="95">
        <f t="shared" si="368"/>
        <v>0</v>
      </c>
      <c r="AM358" s="95">
        <f t="shared" si="369"/>
        <v>0</v>
      </c>
      <c r="AN358" s="95">
        <f t="shared" si="370"/>
        <v>0</v>
      </c>
      <c r="AO358" s="95">
        <f t="shared" si="371"/>
        <v>0</v>
      </c>
      <c r="AP358"/>
      <c r="AQ358" s="95">
        <f t="shared" si="372"/>
        <v>0</v>
      </c>
      <c r="AR358" s="95">
        <f t="shared" si="373"/>
        <v>0</v>
      </c>
      <c r="AS358" s="95">
        <f>Geraetedaten!$B$94*ABS(SIN(RADIANS($A358)))</f>
        <v>105.02774744962473</v>
      </c>
      <c r="AT358" s="95">
        <f>Geraetedaten!$B$94*ABS(COS(RADIANS($A358)))</f>
        <v>112.62847004935229</v>
      </c>
      <c r="AU358" s="95">
        <f>((h_Aw_Sw+Geraetedaten!$B$18)/1000)*(AQ358*AS358+AR358*AT358)/100</f>
        <v>0</v>
      </c>
    </row>
    <row r="359" spans="1:47" ht="13.5" x14ac:dyDescent="0.25">
      <c r="A359" s="16">
        <v>318</v>
      </c>
      <c r="B359" s="16">
        <f t="shared" si="340"/>
        <v>132</v>
      </c>
      <c r="C359" s="19">
        <f t="shared" si="341"/>
        <v>64.776817871352804</v>
      </c>
      <c r="D359" s="17">
        <f t="shared" si="342"/>
        <v>19295.93941212865</v>
      </c>
      <c r="E359" s="17">
        <f t="shared" si="343"/>
        <v>-12259.678017871352</v>
      </c>
      <c r="F359" s="17">
        <f t="shared" si="344"/>
        <v>-18625.316107871353</v>
      </c>
      <c r="G359" s="17">
        <f t="shared" si="345"/>
        <v>12076.499082128648</v>
      </c>
      <c r="H359" s="17">
        <f t="shared" si="346"/>
        <v>12076.499082128648</v>
      </c>
      <c r="I359" s="17">
        <f t="shared" si="347"/>
        <v>8344.0793472633122</v>
      </c>
      <c r="J359" s="20">
        <f>(Geraetedaten!$B$152+(Geraetedaten!$B$153*(Geraetedaten!$B$18+d_y_Sw)/1000))*10</f>
        <v>6051.0442000000003</v>
      </c>
      <c r="K359" s="20">
        <f>(Geraetedaten!$B$165+(Geraetedaten!$B$166*(Geraetedaten!$B$18+d_y_Sw)/1000))*10</f>
        <v>10816.164000000001</v>
      </c>
      <c r="L359" s="20">
        <f>(Geraetedaten!$B$158+(Geraetedaten!$B$159*(Geraetedaten!$B$18+d_y_Sw)/1000)-(Geraetedaten!$B$160*I359/1000))*10</f>
        <v>-10.334738534818797</v>
      </c>
      <c r="M359" s="20">
        <f>(Geraetedaten!$B$171+(Geraetedaten!$B$172*(Geraetedaten!$B$18+d_y_Sw)/1000)-(Geraetedaten!$B$173*I359/1000))*10</f>
        <v>443.73373338971982</v>
      </c>
      <c r="N359" s="20">
        <f>IF((H359-J359)/(K359-J359)*(Geraetedaten!$B$174-Geraetedaten!$B$161)&lt;Geraetedaten!$B$174,(H359-J359)/(K359-J359)*(Geraetedaten!$B$174-Geraetedaten!$B$161),Geraetedaten!$B$174)</f>
        <v>400</v>
      </c>
      <c r="O359" s="20">
        <f>N359/Geraetedaten!$B$174*(M359-L359)+L359+C359</f>
        <v>508.51055126107258</v>
      </c>
      <c r="P359" s="20">
        <f t="shared" si="348"/>
        <v>158.24906433448515</v>
      </c>
      <c r="Q359" s="21">
        <f>(N359-Geraetedaten!$B$161)/(Geraetedaten!$B$174-Geraetedaten!$B$161)*(Geraetedaten!$B$175-Geraetedaten!$B$162)+Geraetedaten!$B$162</f>
        <v>41.1</v>
      </c>
      <c r="R359" s="21">
        <f t="shared" si="349"/>
        <v>41.1</v>
      </c>
      <c r="S359" s="21">
        <f t="shared" si="350"/>
        <v>-27.501267921349069</v>
      </c>
      <c r="T359" s="88">
        <f t="shared" si="351"/>
        <v>30.543252327120904</v>
      </c>
      <c r="U359" s="86">
        <f t="shared" si="352"/>
        <v>19360.716230000002</v>
      </c>
      <c r="V359" s="85">
        <f t="shared" si="353"/>
        <v>-1346.4914747781525</v>
      </c>
      <c r="W359" s="85">
        <f t="shared" si="354"/>
        <v>4357.1666475266629</v>
      </c>
      <c r="X359" s="90">
        <f t="shared" si="355"/>
        <v>1346.4914747781525</v>
      </c>
      <c r="Y359" s="86">
        <f t="shared" si="356"/>
        <v>-12194.9012</v>
      </c>
      <c r="Z359" s="85">
        <f t="shared" si="357"/>
        <v>-818.62113479844345</v>
      </c>
      <c r="AA359" s="85">
        <f t="shared" si="358"/>
        <v>-1168.404203278913</v>
      </c>
      <c r="AB359" s="90">
        <f t="shared" si="359"/>
        <v>818.62113479844345</v>
      </c>
      <c r="AC359" s="86">
        <f t="shared" si="360"/>
        <v>-18560.539290000001</v>
      </c>
      <c r="AD359" s="85">
        <f t="shared" si="361"/>
        <v>3384.56104615708</v>
      </c>
      <c r="AE359" s="85">
        <f t="shared" si="362"/>
        <v>-10469.165438282853</v>
      </c>
      <c r="AF359" s="90">
        <f t="shared" si="363"/>
        <v>3384.56104615708</v>
      </c>
      <c r="AG359" s="86">
        <f t="shared" si="364"/>
        <v>12141.275900000001</v>
      </c>
      <c r="AH359" s="85">
        <f t="shared" si="365"/>
        <v>6139.2748628683721</v>
      </c>
      <c r="AI359" s="85">
        <f t="shared" si="366"/>
        <v>8344.0793472633122</v>
      </c>
      <c r="AJ359" s="90">
        <f t="shared" si="367"/>
        <v>6139.2748628683721</v>
      </c>
      <c r="AL359" s="95">
        <f t="shared" si="368"/>
        <v>0</v>
      </c>
      <c r="AM359" s="95">
        <f t="shared" si="369"/>
        <v>0</v>
      </c>
      <c r="AN359" s="95">
        <f t="shared" si="370"/>
        <v>0</v>
      </c>
      <c r="AO359" s="95">
        <f t="shared" si="371"/>
        <v>0</v>
      </c>
      <c r="AP359"/>
      <c r="AQ359" s="95">
        <f t="shared" si="372"/>
        <v>0</v>
      </c>
      <c r="AR359" s="95">
        <f t="shared" si="373"/>
        <v>0</v>
      </c>
      <c r="AS359" s="95">
        <f>Geraetedaten!$B$94*ABS(SIN(RADIANS($A359)))</f>
        <v>103.04611337926416</v>
      </c>
      <c r="AT359" s="95">
        <f>Geraetedaten!$B$94*ABS(COS(RADIANS($A359)))</f>
        <v>114.44430312351871</v>
      </c>
      <c r="AU359" s="95">
        <f>((h_Aw_Sw+Geraetedaten!$B$18)/1000)*(AQ359*AS359+AR359*AT359)/100</f>
        <v>0</v>
      </c>
    </row>
    <row r="360" spans="1:47" ht="13.5" x14ac:dyDescent="0.25">
      <c r="A360" s="16">
        <v>319</v>
      </c>
      <c r="B360" s="16">
        <f t="shared" si="340"/>
        <v>131</v>
      </c>
      <c r="C360" s="19">
        <f t="shared" si="341"/>
        <v>64.292471825590169</v>
      </c>
      <c r="D360" s="17">
        <f t="shared" si="342"/>
        <v>20398.616498174411</v>
      </c>
      <c r="E360" s="17">
        <f t="shared" si="343"/>
        <v>-12048.02572182559</v>
      </c>
      <c r="F360" s="17">
        <f t="shared" si="344"/>
        <v>-19627.18311182559</v>
      </c>
      <c r="G360" s="17">
        <f t="shared" si="345"/>
        <v>11886.819138174409</v>
      </c>
      <c r="H360" s="17">
        <f t="shared" si="346"/>
        <v>11886.819138174409</v>
      </c>
      <c r="I360" s="17">
        <f t="shared" si="347"/>
        <v>8213.389138339111</v>
      </c>
      <c r="J360" s="20">
        <f>(Geraetedaten!$B$152+(Geraetedaten!$B$153*(Geraetedaten!$B$18+d_y_Sw)/1000))*10</f>
        <v>6051.0442000000003</v>
      </c>
      <c r="K360" s="20">
        <f>(Geraetedaten!$B$165+(Geraetedaten!$B$166*(Geraetedaten!$B$18+d_y_Sw)/1000))*10</f>
        <v>10816.164000000001</v>
      </c>
      <c r="L360" s="20">
        <f>(Geraetedaten!$B$158+(Geraetedaten!$B$159*(Geraetedaten!$B$18+d_y_Sw)/1000)-(Geraetedaten!$B$160*I360/1000))*10</f>
        <v>-0.75122551440713892</v>
      </c>
      <c r="M360" s="20">
        <f>(Geraetedaten!$B$171+(Geraetedaten!$B$172*(Geraetedaten!$B$18+d_y_Sw)/1000)-(Geraetedaten!$B$173*I360/1000))*10</f>
        <v>453.4623125420373</v>
      </c>
      <c r="N360" s="20">
        <f>IF((H360-J360)/(K360-J360)*(Geraetedaten!$B$174-Geraetedaten!$B$161)&lt;Geraetedaten!$B$174,(H360-J360)/(K360-J360)*(Geraetedaten!$B$174-Geraetedaten!$B$161),Geraetedaten!$B$174)</f>
        <v>400</v>
      </c>
      <c r="O360" s="20">
        <f>N360/Geraetedaten!$B$174*(M360-L360)+L360+C360</f>
        <v>517.75478436762751</v>
      </c>
      <c r="P360" s="20">
        <f t="shared" si="348"/>
        <v>160.4855717815197</v>
      </c>
      <c r="Q360" s="21">
        <f>(N360-Geraetedaten!$B$161)/(Geraetedaten!$B$174-Geraetedaten!$B$161)*(Geraetedaten!$B$175-Geraetedaten!$B$162)+Geraetedaten!$B$162</f>
        <v>41.1</v>
      </c>
      <c r="R360" s="21">
        <f t="shared" si="349"/>
        <v>41.1</v>
      </c>
      <c r="S360" s="21">
        <f t="shared" si="350"/>
        <v>-26.964026091509854</v>
      </c>
      <c r="T360" s="88">
        <f t="shared" si="351"/>
        <v>31.018563747155927</v>
      </c>
      <c r="U360" s="86">
        <f t="shared" si="352"/>
        <v>20462.90897</v>
      </c>
      <c r="V360" s="85">
        <f t="shared" si="353"/>
        <v>-1346.4914747781525</v>
      </c>
      <c r="W360" s="85">
        <f t="shared" si="354"/>
        <v>4605.2172541286809</v>
      </c>
      <c r="X360" s="90">
        <f t="shared" si="355"/>
        <v>1346.4914747781525</v>
      </c>
      <c r="Y360" s="86">
        <f t="shared" si="356"/>
        <v>-11983.733249999999</v>
      </c>
      <c r="Z360" s="85">
        <f t="shared" si="357"/>
        <v>-818.62113479844345</v>
      </c>
      <c r="AA360" s="85">
        <f t="shared" si="358"/>
        <v>-1148.1720165493155</v>
      </c>
      <c r="AB360" s="90">
        <f t="shared" si="359"/>
        <v>818.62113479844345</v>
      </c>
      <c r="AC360" s="86">
        <f t="shared" si="360"/>
        <v>-19562.890640000001</v>
      </c>
      <c r="AD360" s="85">
        <f t="shared" si="361"/>
        <v>3384.56104615708</v>
      </c>
      <c r="AE360" s="85">
        <f t="shared" si="362"/>
        <v>-11034.546750785048</v>
      </c>
      <c r="AF360" s="90">
        <f t="shared" si="363"/>
        <v>3384.56104615708</v>
      </c>
      <c r="AG360" s="86">
        <f t="shared" si="364"/>
        <v>11951.11161</v>
      </c>
      <c r="AH360" s="85">
        <f t="shared" si="365"/>
        <v>6139.2748628683721</v>
      </c>
      <c r="AI360" s="85">
        <f t="shared" si="366"/>
        <v>8213.389138339111</v>
      </c>
      <c r="AJ360" s="90">
        <f t="shared" si="367"/>
        <v>6139.2748628683721</v>
      </c>
      <c r="AL360" s="95">
        <f t="shared" si="368"/>
        <v>0</v>
      </c>
      <c r="AM360" s="95">
        <f t="shared" si="369"/>
        <v>0</v>
      </c>
      <c r="AN360" s="95">
        <f t="shared" si="370"/>
        <v>0</v>
      </c>
      <c r="AO360" s="95">
        <f t="shared" si="371"/>
        <v>0</v>
      </c>
      <c r="AP360"/>
      <c r="AQ360" s="95">
        <f t="shared" si="372"/>
        <v>0</v>
      </c>
      <c r="AR360" s="95">
        <f t="shared" si="373"/>
        <v>0</v>
      </c>
      <c r="AS360" s="95">
        <f>Geraetedaten!$B$94*ABS(SIN(RADIANS($A360)))</f>
        <v>101.03309046453813</v>
      </c>
      <c r="AT360" s="95">
        <f>Geraetedaten!$B$94*ABS(COS(RADIANS($A360)))</f>
        <v>116.22527535430687</v>
      </c>
      <c r="AU360" s="95">
        <f>((h_Aw_Sw+Geraetedaten!$B$18)/1000)*(AQ360*AS360+AR360*AT360)/100</f>
        <v>0</v>
      </c>
    </row>
    <row r="361" spans="1:47" ht="13.5" x14ac:dyDescent="0.25">
      <c r="A361" s="16">
        <v>320</v>
      </c>
      <c r="B361" s="16">
        <f t="shared" si="340"/>
        <v>130</v>
      </c>
      <c r="C361" s="19">
        <f t="shared" si="341"/>
        <v>63.788541670094318</v>
      </c>
      <c r="D361" s="17">
        <f t="shared" si="342"/>
        <v>21641.393658329904</v>
      </c>
      <c r="E361" s="17">
        <f t="shared" si="343"/>
        <v>-11847.070771670094</v>
      </c>
      <c r="F361" s="17">
        <f t="shared" si="344"/>
        <v>-20750.134781670095</v>
      </c>
      <c r="G361" s="17">
        <f t="shared" si="345"/>
        <v>11706.553938329906</v>
      </c>
      <c r="H361" s="17">
        <f t="shared" si="346"/>
        <v>11706.553938329906</v>
      </c>
      <c r="I361" s="17">
        <f t="shared" si="347"/>
        <v>8089.1557382132705</v>
      </c>
      <c r="J361" s="20">
        <f>(Geraetedaten!$B$152+(Geraetedaten!$B$153*(Geraetedaten!$B$18+d_y_Sw)/1000))*10</f>
        <v>6051.0442000000003</v>
      </c>
      <c r="K361" s="20">
        <f>(Geraetedaten!$B$165+(Geraetedaten!$B$166*(Geraetedaten!$B$18+d_y_Sw)/1000))*10</f>
        <v>10816.164000000001</v>
      </c>
      <c r="L361" s="20">
        <f>(Geraetedaten!$B$158+(Geraetedaten!$B$159*(Geraetedaten!$B$18+d_y_Sw)/1000)-(Geraetedaten!$B$160*I361/1000))*10</f>
        <v>8.3588097168207298</v>
      </c>
      <c r="M361" s="20">
        <f>(Geraetedaten!$B$171+(Geraetedaten!$B$172*(Geraetedaten!$B$18+d_y_Sw)/1000)-(Geraetedaten!$B$173*I361/1000))*10</f>
        <v>462.7102468474049</v>
      </c>
      <c r="N361" s="20">
        <f>IF((H361-J361)/(K361-J361)*(Geraetedaten!$B$174-Geraetedaten!$B$161)&lt;Geraetedaten!$B$174,(H361-J361)/(K361-J361)*(Geraetedaten!$B$174-Geraetedaten!$B$161),Geraetedaten!$B$174)</f>
        <v>400</v>
      </c>
      <c r="O361" s="20">
        <f>N361/Geraetedaten!$B$174*(M361-L361)+L361+C361</f>
        <v>526.49878851749918</v>
      </c>
      <c r="P361" s="20">
        <f t="shared" si="348"/>
        <v>162.58172875063846</v>
      </c>
      <c r="Q361" s="21">
        <f>(N361-Geraetedaten!$B$161)/(Geraetedaten!$B$174-Geraetedaten!$B$161)*(Geraetedaten!$B$175-Geraetedaten!$B$162)+Geraetedaten!$B$162</f>
        <v>41.1</v>
      </c>
      <c r="R361" s="21">
        <f t="shared" si="349"/>
        <v>41.1</v>
      </c>
      <c r="S361" s="21">
        <f t="shared" si="350"/>
        <v>-26.418570758116779</v>
      </c>
      <c r="T361" s="88">
        <f t="shared" si="351"/>
        <v>31.484426612189989</v>
      </c>
      <c r="U361" s="86">
        <f t="shared" si="352"/>
        <v>21705.182199999999</v>
      </c>
      <c r="V361" s="85">
        <f t="shared" si="353"/>
        <v>-1346.4914747781525</v>
      </c>
      <c r="W361" s="85">
        <f t="shared" si="354"/>
        <v>4884.7932484240519</v>
      </c>
      <c r="X361" s="90">
        <f t="shared" si="355"/>
        <v>1346.4914747781525</v>
      </c>
      <c r="Y361" s="86">
        <f t="shared" si="356"/>
        <v>-11783.282230000001</v>
      </c>
      <c r="Z361" s="85">
        <f t="shared" si="357"/>
        <v>-818.62113479844345</v>
      </c>
      <c r="AA361" s="85">
        <f t="shared" si="358"/>
        <v>-1128.9666283979122</v>
      </c>
      <c r="AB361" s="90">
        <f t="shared" si="359"/>
        <v>818.62113479844345</v>
      </c>
      <c r="AC361" s="86">
        <f t="shared" si="360"/>
        <v>-20686.346239999999</v>
      </c>
      <c r="AD361" s="85">
        <f t="shared" si="361"/>
        <v>3384.56104615708</v>
      </c>
      <c r="AE361" s="85">
        <f t="shared" si="362"/>
        <v>-11668.237526154324</v>
      </c>
      <c r="AF361" s="90">
        <f t="shared" si="363"/>
        <v>3384.56104615708</v>
      </c>
      <c r="AG361" s="86">
        <f t="shared" si="364"/>
        <v>11770.342479999999</v>
      </c>
      <c r="AH361" s="85">
        <f t="shared" si="365"/>
        <v>6139.2748628683721</v>
      </c>
      <c r="AI361" s="85">
        <f t="shared" si="366"/>
        <v>8089.1557382132705</v>
      </c>
      <c r="AJ361" s="90">
        <f t="shared" si="367"/>
        <v>6139.2748628683721</v>
      </c>
      <c r="AL361" s="95">
        <f t="shared" si="368"/>
        <v>0</v>
      </c>
      <c r="AM361" s="95">
        <f t="shared" si="369"/>
        <v>0</v>
      </c>
      <c r="AN361" s="95">
        <f t="shared" si="370"/>
        <v>0</v>
      </c>
      <c r="AO361" s="95">
        <f t="shared" si="371"/>
        <v>0</v>
      </c>
      <c r="AP361"/>
      <c r="AQ361" s="95">
        <f t="shared" si="372"/>
        <v>0</v>
      </c>
      <c r="AR361" s="95">
        <f t="shared" si="373"/>
        <v>0</v>
      </c>
      <c r="AS361" s="95">
        <f>Geraetedaten!$B$94*ABS(SIN(RADIANS($A361)))</f>
        <v>98.989291891727092</v>
      </c>
      <c r="AT361" s="95">
        <f>Geraetedaten!$B$94*ABS(COS(RADIANS($A361)))</f>
        <v>117.97084424032258</v>
      </c>
      <c r="AU361" s="95">
        <f>((h_Aw_Sw+Geraetedaten!$B$18)/1000)*(AQ361*AS361+AR361*AT361)/100</f>
        <v>0</v>
      </c>
    </row>
    <row r="362" spans="1:47" ht="13.5" x14ac:dyDescent="0.25">
      <c r="A362" s="16">
        <v>321</v>
      </c>
      <c r="B362" s="16">
        <f t="shared" si="340"/>
        <v>129</v>
      </c>
      <c r="C362" s="19">
        <f t="shared" si="341"/>
        <v>63.26518090687226</v>
      </c>
      <c r="D362" s="17">
        <f t="shared" si="342"/>
        <v>23052.268419093125</v>
      </c>
      <c r="E362" s="17">
        <f t="shared" si="343"/>
        <v>-11656.165150906872</v>
      </c>
      <c r="F362" s="17">
        <f t="shared" si="344"/>
        <v>-22017.058880906872</v>
      </c>
      <c r="G362" s="17">
        <f t="shared" si="345"/>
        <v>11535.175559093128</v>
      </c>
      <c r="H362" s="17">
        <f t="shared" si="346"/>
        <v>11535.175559093128</v>
      </c>
      <c r="I362" s="17">
        <f t="shared" si="347"/>
        <v>7971.0164476542304</v>
      </c>
      <c r="J362" s="20">
        <f>(Geraetedaten!$B$152+(Geraetedaten!$B$153*(Geraetedaten!$B$18+d_y_Sw)/1000))*10</f>
        <v>6051.0442000000003</v>
      </c>
      <c r="K362" s="20">
        <f>(Geraetedaten!$B$165+(Geraetedaten!$B$166*(Geraetedaten!$B$18+d_y_Sw)/1000))*10</f>
        <v>10816.164000000001</v>
      </c>
      <c r="L362" s="20">
        <f>(Geraetedaten!$B$158+(Geraetedaten!$B$159*(Geraetedaten!$B$18+d_y_Sw)/1000)-(Geraetedaten!$B$160*I362/1000))*10</f>
        <v>17.021963893515135</v>
      </c>
      <c r="M362" s="20">
        <f>(Geraetedaten!$B$171+(Geraetedaten!$B$172*(Geraetedaten!$B$18+d_y_Sw)/1000)-(Geraetedaten!$B$173*I362/1000))*10</f>
        <v>471.50453563661983</v>
      </c>
      <c r="N362" s="20">
        <f>IF((H362-J362)/(K362-J362)*(Geraetedaten!$B$174-Geraetedaten!$B$161)&lt;Geraetedaten!$B$174,(H362-J362)/(K362-J362)*(Geraetedaten!$B$174-Geraetedaten!$B$161),Geraetedaten!$B$174)</f>
        <v>400</v>
      </c>
      <c r="O362" s="20">
        <f>N362/Geraetedaten!$B$174*(M362-L362)+L362+C362</f>
        <v>534.76971654349211</v>
      </c>
      <c r="P362" s="20">
        <f t="shared" si="348"/>
        <v>164.54689326376584</v>
      </c>
      <c r="Q362" s="21">
        <f>(N362-Geraetedaten!$B$161)/(Geraetedaten!$B$174-Geraetedaten!$B$161)*(Geraetedaten!$B$175-Geraetedaten!$B$162)+Geraetedaten!$B$162</f>
        <v>41.1</v>
      </c>
      <c r="R362" s="21">
        <f t="shared" si="349"/>
        <v>41.1</v>
      </c>
      <c r="S362" s="21">
        <f t="shared" si="350"/>
        <v>-25.865068072148336</v>
      </c>
      <c r="T362" s="88">
        <f t="shared" si="351"/>
        <v>31.940699015881492</v>
      </c>
      <c r="U362" s="86">
        <f t="shared" si="352"/>
        <v>23115.533599999999</v>
      </c>
      <c r="V362" s="85">
        <f t="shared" si="353"/>
        <v>-1346.4914747781525</v>
      </c>
      <c r="W362" s="85">
        <f t="shared" si="354"/>
        <v>5202.1955604736459</v>
      </c>
      <c r="X362" s="90">
        <f t="shared" si="355"/>
        <v>1346.4914747781525</v>
      </c>
      <c r="Y362" s="86">
        <f t="shared" si="356"/>
        <v>-11592.89997</v>
      </c>
      <c r="Z362" s="85">
        <f t="shared" si="357"/>
        <v>-818.62113479844345</v>
      </c>
      <c r="AA362" s="85">
        <f t="shared" si="358"/>
        <v>-1110.7259359391212</v>
      </c>
      <c r="AB362" s="90">
        <f t="shared" si="359"/>
        <v>818.62113479844345</v>
      </c>
      <c r="AC362" s="86">
        <f t="shared" si="360"/>
        <v>-21953.793699999998</v>
      </c>
      <c r="AD362" s="85">
        <f t="shared" si="361"/>
        <v>3384.56104615708</v>
      </c>
      <c r="AE362" s="85">
        <f t="shared" si="362"/>
        <v>-12383.147636244797</v>
      </c>
      <c r="AF362" s="90">
        <f t="shared" si="363"/>
        <v>3384.56104615708</v>
      </c>
      <c r="AG362" s="86">
        <f t="shared" si="364"/>
        <v>11598.44074</v>
      </c>
      <c r="AH362" s="85">
        <f t="shared" si="365"/>
        <v>6139.2748628683721</v>
      </c>
      <c r="AI362" s="85">
        <f t="shared" si="366"/>
        <v>7971.0164476542304</v>
      </c>
      <c r="AJ362" s="90">
        <f t="shared" si="367"/>
        <v>6139.2748628683721</v>
      </c>
      <c r="AL362" s="95">
        <f t="shared" si="368"/>
        <v>0</v>
      </c>
      <c r="AM362" s="95">
        <f t="shared" si="369"/>
        <v>0</v>
      </c>
      <c r="AN362" s="95">
        <f t="shared" si="370"/>
        <v>0</v>
      </c>
      <c r="AO362" s="95">
        <f t="shared" si="371"/>
        <v>0</v>
      </c>
      <c r="AP362"/>
      <c r="AQ362" s="95">
        <f t="shared" si="372"/>
        <v>0</v>
      </c>
      <c r="AR362" s="95">
        <f t="shared" si="373"/>
        <v>0</v>
      </c>
      <c r="AS362" s="95">
        <f>Geraetedaten!$B$94*ABS(SIN(RADIANS($A362)))</f>
        <v>96.915340221675024</v>
      </c>
      <c r="AT362" s="95">
        <f>Geraetedaten!$B$94*ABS(COS(RADIANS($A362)))</f>
        <v>119.68047806437347</v>
      </c>
      <c r="AU362" s="95">
        <f>((h_Aw_Sw+Geraetedaten!$B$18)/1000)*(AQ362*AS362+AR362*AT362)/100</f>
        <v>0</v>
      </c>
    </row>
    <row r="363" spans="1:47" ht="13.5" x14ac:dyDescent="0.25">
      <c r="A363" s="16">
        <v>322</v>
      </c>
      <c r="B363" s="16">
        <f t="shared" si="340"/>
        <v>128</v>
      </c>
      <c r="C363" s="19">
        <f t="shared" si="341"/>
        <v>62.722548956682388</v>
      </c>
      <c r="D363" s="17">
        <f t="shared" si="342"/>
        <v>24667.23841104332</v>
      </c>
      <c r="E363" s="17">
        <f t="shared" si="343"/>
        <v>-11474.715368956682</v>
      </c>
      <c r="F363" s="17">
        <f t="shared" si="344"/>
        <v>-23457.00440895668</v>
      </c>
      <c r="G363" s="17">
        <f t="shared" si="345"/>
        <v>11372.198361043318</v>
      </c>
      <c r="H363" s="17">
        <f t="shared" si="346"/>
        <v>11372.198361043318</v>
      </c>
      <c r="I363" s="17">
        <f t="shared" si="347"/>
        <v>7858.6376108711775</v>
      </c>
      <c r="J363" s="20">
        <f>(Geraetedaten!$B$152+(Geraetedaten!$B$153*(Geraetedaten!$B$18+d_y_Sw)/1000))*10</f>
        <v>6051.0442000000003</v>
      </c>
      <c r="K363" s="20">
        <f>(Geraetedaten!$B$165+(Geraetedaten!$B$166*(Geraetedaten!$B$18+d_y_Sw)/1000))*10</f>
        <v>10816.164000000001</v>
      </c>
      <c r="L363" s="20">
        <f>(Geraetedaten!$B$158+(Geraetedaten!$B$159*(Geraetedaten!$B$18+d_y_Sw)/1000)-(Geraetedaten!$B$160*I363/1000))*10</f>
        <v>25.262703994816391</v>
      </c>
      <c r="M363" s="20">
        <f>(Geraetedaten!$B$171+(Geraetedaten!$B$172*(Geraetedaten!$B$18+d_y_Sw)/1000)-(Geraetedaten!$B$173*I363/1000))*10</f>
        <v>479.87001624675031</v>
      </c>
      <c r="N363" s="20">
        <f>IF((H363-J363)/(K363-J363)*(Geraetedaten!$B$174-Geraetedaten!$B$161)&lt;Geraetedaten!$B$174,(H363-J363)/(K363-J363)*(Geraetedaten!$B$174-Geraetedaten!$B$161),Geraetedaten!$B$174)</f>
        <v>400</v>
      </c>
      <c r="O363" s="20">
        <f>N363/Geraetedaten!$B$174*(M363-L363)+L363+C363</f>
        <v>542.59256520343274</v>
      </c>
      <c r="P363" s="20">
        <f t="shared" si="348"/>
        <v>166.38953816236059</v>
      </c>
      <c r="Q363" s="21">
        <f>(N363-Geraetedaten!$B$161)/(Geraetedaten!$B$174-Geraetedaten!$B$161)*(Geraetedaten!$B$175-Geraetedaten!$B$162)+Geraetedaten!$B$162</f>
        <v>41.1</v>
      </c>
      <c r="R363" s="21">
        <f t="shared" si="349"/>
        <v>41.1</v>
      </c>
      <c r="S363" s="21">
        <f t="shared" si="350"/>
        <v>-25.303686635884553</v>
      </c>
      <c r="T363" s="88">
        <f t="shared" si="351"/>
        <v>32.387241973236279</v>
      </c>
      <c r="U363" s="86">
        <f t="shared" si="352"/>
        <v>24729.96096</v>
      </c>
      <c r="V363" s="85">
        <f t="shared" si="353"/>
        <v>-1346.4914747781525</v>
      </c>
      <c r="W363" s="85">
        <f t="shared" si="354"/>
        <v>5565.5255611772873</v>
      </c>
      <c r="X363" s="90">
        <f t="shared" si="355"/>
        <v>1346.4914747781525</v>
      </c>
      <c r="Y363" s="86">
        <f t="shared" si="356"/>
        <v>-11411.992819999999</v>
      </c>
      <c r="Z363" s="85">
        <f t="shared" si="357"/>
        <v>-818.62113479844345</v>
      </c>
      <c r="AA363" s="85">
        <f t="shared" si="358"/>
        <v>-1093.3930630221084</v>
      </c>
      <c r="AB363" s="90">
        <f t="shared" si="359"/>
        <v>818.62113479844345</v>
      </c>
      <c r="AC363" s="86">
        <f t="shared" si="360"/>
        <v>-23394.281859999999</v>
      </c>
      <c r="AD363" s="85">
        <f t="shared" si="361"/>
        <v>3384.56104615708</v>
      </c>
      <c r="AE363" s="85">
        <f t="shared" si="362"/>
        <v>-13195.6622167237</v>
      </c>
      <c r="AF363" s="90">
        <f t="shared" si="363"/>
        <v>3384.56104615708</v>
      </c>
      <c r="AG363" s="86">
        <f t="shared" si="364"/>
        <v>11434.920910000001</v>
      </c>
      <c r="AH363" s="85">
        <f t="shared" si="365"/>
        <v>6139.2748628683721</v>
      </c>
      <c r="AI363" s="85">
        <f t="shared" si="366"/>
        <v>7858.6376108711775</v>
      </c>
      <c r="AJ363" s="90">
        <f t="shared" si="367"/>
        <v>6139.2748628683721</v>
      </c>
      <c r="AL363" s="95">
        <f t="shared" si="368"/>
        <v>0</v>
      </c>
      <c r="AM363" s="95">
        <f t="shared" si="369"/>
        <v>0</v>
      </c>
      <c r="AN363" s="95">
        <f t="shared" si="370"/>
        <v>0</v>
      </c>
      <c r="AO363" s="95">
        <f t="shared" si="371"/>
        <v>0</v>
      </c>
      <c r="AP363"/>
      <c r="AQ363" s="95">
        <f t="shared" si="372"/>
        <v>0</v>
      </c>
      <c r="AR363" s="95">
        <f t="shared" si="373"/>
        <v>0</v>
      </c>
      <c r="AS363" s="95">
        <f>Geraetedaten!$B$94*ABS(SIN(RADIANS($A363)))</f>
        <v>94.811867200151354</v>
      </c>
      <c r="AT363" s="95">
        <f>Geraetedaten!$B$94*ABS(COS(RADIANS($A363)))</f>
        <v>121.3536560554352</v>
      </c>
      <c r="AU363" s="95">
        <f>((h_Aw_Sw+Geraetedaten!$B$18)/1000)*(AQ363*AS363+AR363*AT363)/100</f>
        <v>0</v>
      </c>
    </row>
    <row r="364" spans="1:47" ht="13.5" x14ac:dyDescent="0.25">
      <c r="A364" s="16">
        <v>323</v>
      </c>
      <c r="B364" s="16">
        <f t="shared" si="340"/>
        <v>127</v>
      </c>
      <c r="C364" s="19">
        <f t="shared" si="341"/>
        <v>62.160811110473347</v>
      </c>
      <c r="D364" s="17">
        <f t="shared" si="342"/>
        <v>26533.378138889526</v>
      </c>
      <c r="E364" s="17">
        <f t="shared" si="343"/>
        <v>-11302.177051110475</v>
      </c>
      <c r="F364" s="17">
        <f t="shared" si="344"/>
        <v>-25107.403881110473</v>
      </c>
      <c r="G364" s="17">
        <f t="shared" si="345"/>
        <v>11217.174938889526</v>
      </c>
      <c r="H364" s="17">
        <f t="shared" si="346"/>
        <v>11217.174938889526</v>
      </c>
      <c r="I364" s="17">
        <f t="shared" si="347"/>
        <v>7751.711871366967</v>
      </c>
      <c r="J364" s="20">
        <f>(Geraetedaten!$B$152+(Geraetedaten!$B$153*(Geraetedaten!$B$18+d_y_Sw)/1000))*10</f>
        <v>6051.0442000000003</v>
      </c>
      <c r="K364" s="20">
        <f>(Geraetedaten!$B$165+(Geraetedaten!$B$166*(Geraetedaten!$B$18+d_y_Sw)/1000))*10</f>
        <v>10816.164000000001</v>
      </c>
      <c r="L364" s="20">
        <f>(Geraetedaten!$B$158+(Geraetedaten!$B$159*(Geraetedaten!$B$18+d_y_Sw)/1000)-(Geraetedaten!$B$160*I364/1000))*10</f>
        <v>33.103568472660214</v>
      </c>
      <c r="M364" s="20">
        <f>(Geraetedaten!$B$171+(Geraetedaten!$B$172*(Geraetedaten!$B$18+d_y_Sw)/1000)-(Geraetedaten!$B$173*I364/1000))*10</f>
        <v>487.82956829544378</v>
      </c>
      <c r="N364" s="20">
        <f>IF((H364-J364)/(K364-J364)*(Geraetedaten!$B$174-Geraetedaten!$B$161)&lt;Geraetedaten!$B$174,(H364-J364)/(K364-J364)*(Geraetedaten!$B$174-Geraetedaten!$B$161),Geraetedaten!$B$174)</f>
        <v>400</v>
      </c>
      <c r="O364" s="20">
        <f>N364/Geraetedaten!$B$174*(M364-L364)+L364+C364</f>
        <v>549.99037940591711</v>
      </c>
      <c r="P364" s="20">
        <f t="shared" si="348"/>
        <v>168.1173517592764</v>
      </c>
      <c r="Q364" s="21">
        <f>(N364-Geraetedaten!$B$161)/(Geraetedaten!$B$174-Geraetedaten!$B$161)*(Geraetedaten!$B$175-Geraetedaten!$B$162)+Geraetedaten!$B$162</f>
        <v>41.1</v>
      </c>
      <c r="R364" s="21">
        <f t="shared" si="349"/>
        <v>41.1</v>
      </c>
      <c r="S364" s="21">
        <f t="shared" si="350"/>
        <v>-24.734597451549185</v>
      </c>
      <c r="T364" s="88">
        <f t="shared" si="351"/>
        <v>32.823919462943735</v>
      </c>
      <c r="U364" s="86">
        <f t="shared" si="352"/>
        <v>26595.538949999998</v>
      </c>
      <c r="V364" s="85">
        <f t="shared" si="353"/>
        <v>-1346.4914747781525</v>
      </c>
      <c r="W364" s="85">
        <f t="shared" si="354"/>
        <v>5985.3774964186005</v>
      </c>
      <c r="X364" s="90">
        <f t="shared" si="355"/>
        <v>1346.4914747781525</v>
      </c>
      <c r="Y364" s="86">
        <f t="shared" si="356"/>
        <v>-11240.016240000001</v>
      </c>
      <c r="Z364" s="85">
        <f t="shared" si="357"/>
        <v>-818.62113479844345</v>
      </c>
      <c r="AA364" s="85">
        <f t="shared" si="358"/>
        <v>-1076.9158355556719</v>
      </c>
      <c r="AB364" s="90">
        <f t="shared" si="359"/>
        <v>818.62113479844345</v>
      </c>
      <c r="AC364" s="86">
        <f t="shared" si="360"/>
        <v>-25045.24307</v>
      </c>
      <c r="AD364" s="85">
        <f t="shared" si="361"/>
        <v>3384.56104615708</v>
      </c>
      <c r="AE364" s="85">
        <f t="shared" si="362"/>
        <v>-14126.895185953699</v>
      </c>
      <c r="AF364" s="90">
        <f t="shared" si="363"/>
        <v>3384.56104615708</v>
      </c>
      <c r="AG364" s="86">
        <f t="shared" si="364"/>
        <v>11279.33575</v>
      </c>
      <c r="AH364" s="85">
        <f t="shared" si="365"/>
        <v>6139.2748628683721</v>
      </c>
      <c r="AI364" s="85">
        <f t="shared" si="366"/>
        <v>7751.711871366967</v>
      </c>
      <c r="AJ364" s="90">
        <f t="shared" si="367"/>
        <v>6139.2748628683721</v>
      </c>
      <c r="AL364" s="95">
        <f t="shared" si="368"/>
        <v>0</v>
      </c>
      <c r="AM364" s="95">
        <f t="shared" si="369"/>
        <v>0</v>
      </c>
      <c r="AN364" s="95">
        <f t="shared" si="370"/>
        <v>0</v>
      </c>
      <c r="AO364" s="95">
        <f t="shared" si="371"/>
        <v>0</v>
      </c>
      <c r="AP364"/>
      <c r="AQ364" s="95">
        <f t="shared" si="372"/>
        <v>0</v>
      </c>
      <c r="AR364" s="95">
        <f t="shared" si="373"/>
        <v>0</v>
      </c>
      <c r="AS364" s="95">
        <f>Geraetedaten!$B$94*ABS(SIN(RADIANS($A364)))</f>
        <v>92.679513565415434</v>
      </c>
      <c r="AT364" s="95">
        <f>Geraetedaten!$B$94*ABS(COS(RADIANS($A364)))</f>
        <v>122.98986854728309</v>
      </c>
      <c r="AU364" s="95">
        <f>((h_Aw_Sw+Geraetedaten!$B$18)/1000)*(AQ364*AS364+AR364*AT364)/100</f>
        <v>0</v>
      </c>
    </row>
    <row r="365" spans="1:47" ht="13.5" x14ac:dyDescent="0.25">
      <c r="A365" s="16">
        <v>324</v>
      </c>
      <c r="B365" s="16">
        <f t="shared" si="340"/>
        <v>126</v>
      </c>
      <c r="C365" s="19">
        <f t="shared" si="341"/>
        <v>61.580138479034773</v>
      </c>
      <c r="D365" s="17">
        <f t="shared" si="342"/>
        <v>28713.454051520963</v>
      </c>
      <c r="E365" s="17">
        <f t="shared" si="343"/>
        <v>-11138.050058479035</v>
      </c>
      <c r="F365" s="17">
        <f t="shared" si="344"/>
        <v>-27017.332458479035</v>
      </c>
      <c r="G365" s="17">
        <f t="shared" si="345"/>
        <v>11069.692631520964</v>
      </c>
      <c r="H365" s="17">
        <f t="shared" si="346"/>
        <v>11069.692631520964</v>
      </c>
      <c r="I365" s="17">
        <f t="shared" si="347"/>
        <v>7649.9557376930134</v>
      </c>
      <c r="J365" s="20">
        <f>(Geraetedaten!$B$152+(Geraetedaten!$B$153*(Geraetedaten!$B$18+d_y_Sw)/1000))*10</f>
        <v>6051.0442000000003</v>
      </c>
      <c r="K365" s="20">
        <f>(Geraetedaten!$B$165+(Geraetedaten!$B$166*(Geraetedaten!$B$18+d_y_Sw)/1000))*10</f>
        <v>10816.164000000001</v>
      </c>
      <c r="L365" s="20">
        <f>(Geraetedaten!$B$158+(Geraetedaten!$B$159*(Geraetedaten!$B$18+d_y_Sw)/1000)-(Geraetedaten!$B$160*I365/1000))*10</f>
        <v>40.565345754971176</v>
      </c>
      <c r="M365" s="20">
        <f>(Geraetedaten!$B$171+(Geraetedaten!$B$172*(Geraetedaten!$B$18+d_y_Sw)/1000)-(Geraetedaten!$B$173*I365/1000))*10</f>
        <v>495.40429488613285</v>
      </c>
      <c r="N365" s="20">
        <f>IF((H365-J365)/(K365-J365)*(Geraetedaten!$B$174-Geraetedaten!$B$161)&lt;Geraetedaten!$B$174,(H365-J365)/(K365-J365)*(Geraetedaten!$B$174-Geraetedaten!$B$161),Geraetedaten!$B$174)</f>
        <v>400</v>
      </c>
      <c r="O365" s="20">
        <f>N365/Geraetedaten!$B$174*(M365-L365)+L365+C365</f>
        <v>556.98443336516766</v>
      </c>
      <c r="P365" s="20">
        <f t="shared" si="348"/>
        <v>169.73732497215209</v>
      </c>
      <c r="Q365" s="21">
        <f>(N365-Geraetedaten!$B$161)/(Geraetedaten!$B$174-Geraetedaten!$B$161)*(Geraetedaten!$B$175-Geraetedaten!$B$162)+Geraetedaten!$B$162</f>
        <v>41.1</v>
      </c>
      <c r="R365" s="21">
        <f t="shared" si="349"/>
        <v>41.1</v>
      </c>
      <c r="S365" s="21">
        <f t="shared" si="350"/>
        <v>-24.157973869220655</v>
      </c>
      <c r="T365" s="88">
        <f t="shared" si="351"/>
        <v>33.250598468810338</v>
      </c>
      <c r="U365" s="86">
        <f t="shared" si="352"/>
        <v>28775.034189999998</v>
      </c>
      <c r="V365" s="85">
        <f t="shared" si="353"/>
        <v>-1346.4914747781525</v>
      </c>
      <c r="W365" s="85">
        <f t="shared" si="354"/>
        <v>6475.8771174917147</v>
      </c>
      <c r="X365" s="90">
        <f t="shared" si="355"/>
        <v>1346.4914747781525</v>
      </c>
      <c r="Y365" s="86">
        <f t="shared" si="356"/>
        <v>-11076.46992</v>
      </c>
      <c r="Z365" s="85">
        <f t="shared" si="357"/>
        <v>-818.62113479844345</v>
      </c>
      <c r="AA365" s="85">
        <f t="shared" si="358"/>
        <v>-1061.2463193691003</v>
      </c>
      <c r="AB365" s="90">
        <f t="shared" si="359"/>
        <v>818.62113479844345</v>
      </c>
      <c r="AC365" s="86">
        <f t="shared" si="360"/>
        <v>-26955.75232</v>
      </c>
      <c r="AD365" s="85">
        <f t="shared" si="361"/>
        <v>3384.56104615708</v>
      </c>
      <c r="AE365" s="85">
        <f t="shared" si="362"/>
        <v>-15204.527522952223</v>
      </c>
      <c r="AF365" s="90">
        <f t="shared" si="363"/>
        <v>3384.56104615708</v>
      </c>
      <c r="AG365" s="86">
        <f t="shared" si="364"/>
        <v>11131.27277</v>
      </c>
      <c r="AH365" s="85">
        <f t="shared" si="365"/>
        <v>6139.2748628683721</v>
      </c>
      <c r="AI365" s="85">
        <f t="shared" si="366"/>
        <v>7649.9557376930134</v>
      </c>
      <c r="AJ365" s="90">
        <f t="shared" si="367"/>
        <v>6139.2748628683721</v>
      </c>
      <c r="AL365" s="95">
        <f t="shared" si="368"/>
        <v>0</v>
      </c>
      <c r="AM365" s="95">
        <f t="shared" si="369"/>
        <v>0</v>
      </c>
      <c r="AN365" s="95">
        <f t="shared" si="370"/>
        <v>0</v>
      </c>
      <c r="AO365" s="95">
        <f t="shared" si="371"/>
        <v>0</v>
      </c>
      <c r="AP365"/>
      <c r="AQ365" s="95">
        <f t="shared" si="372"/>
        <v>0</v>
      </c>
      <c r="AR365" s="95">
        <f t="shared" si="373"/>
        <v>0</v>
      </c>
      <c r="AS365" s="95">
        <f>Geraetedaten!$B$94*ABS(SIN(RADIANS($A365)))</f>
        <v>90.518928853040904</v>
      </c>
      <c r="AT365" s="95">
        <f>Geraetedaten!$B$94*ABS(COS(RADIANS($A365)))</f>
        <v>124.58861713374189</v>
      </c>
      <c r="AU365" s="95">
        <f>((h_Aw_Sw+Geraetedaten!$B$18)/1000)*(AQ365*AS365+AR365*AT365)/100</f>
        <v>0</v>
      </c>
    </row>
    <row r="366" spans="1:47" ht="13.5" x14ac:dyDescent="0.25">
      <c r="A366" s="16">
        <v>325</v>
      </c>
      <c r="B366" s="16">
        <f t="shared" si="340"/>
        <v>125</v>
      </c>
      <c r="C366" s="19">
        <f t="shared" si="341"/>
        <v>60.980707940875284</v>
      </c>
      <c r="D366" s="17">
        <f t="shared" si="342"/>
        <v>31293.056782059124</v>
      </c>
      <c r="E366" s="17">
        <f t="shared" si="343"/>
        <v>-10981.874277940875</v>
      </c>
      <c r="F366" s="17">
        <f t="shared" si="344"/>
        <v>-29252.415377940873</v>
      </c>
      <c r="G366" s="17">
        <f t="shared" si="345"/>
        <v>10929.370322059125</v>
      </c>
      <c r="H366" s="17">
        <f t="shared" si="346"/>
        <v>10929.370322059125</v>
      </c>
      <c r="I366" s="17">
        <f t="shared" si="347"/>
        <v>7553.1074192835031</v>
      </c>
      <c r="J366" s="20">
        <f>(Geraetedaten!$B$152+(Geraetedaten!$B$153*(Geraetedaten!$B$18+d_y_Sw)/1000))*10</f>
        <v>6051.0442000000003</v>
      </c>
      <c r="K366" s="20">
        <f>(Geraetedaten!$B$165+(Geraetedaten!$B$166*(Geraetedaten!$B$18+d_y_Sw)/1000))*10</f>
        <v>10816.164000000001</v>
      </c>
      <c r="L366" s="20">
        <f>(Geraetedaten!$B$158+(Geraetedaten!$B$159*(Geraetedaten!$B$18+d_y_Sw)/1000)-(Geraetedaten!$B$160*I366/1000))*10</f>
        <v>47.667232943940618</v>
      </c>
      <c r="M366" s="20">
        <f>(Geraetedaten!$B$171+(Geraetedaten!$B$172*(Geraetedaten!$B$18+d_y_Sw)/1000)-(Geraetedaten!$B$173*I366/1000))*10</f>
        <v>502.61368370853683</v>
      </c>
      <c r="N366" s="20">
        <f>IF((H366-J366)/(K366-J366)*(Geraetedaten!$B$174-Geraetedaten!$B$161)&lt;Geraetedaten!$B$174,(H366-J366)/(K366-J366)*(Geraetedaten!$B$174-Geraetedaten!$B$161),Geraetedaten!$B$174)</f>
        <v>400</v>
      </c>
      <c r="O366" s="20">
        <f>N366/Geraetedaten!$B$174*(M366-L366)+L366+C366</f>
        <v>563.59439164941216</v>
      </c>
      <c r="P366" s="20">
        <f t="shared" si="348"/>
        <v>171.25582700349372</v>
      </c>
      <c r="Q366" s="21">
        <f>(N366-Geraetedaten!$B$161)/(Geraetedaten!$B$174-Geraetedaten!$B$161)*(Geraetedaten!$B$175-Geraetedaten!$B$162)+Geraetedaten!$B$162</f>
        <v>41.1</v>
      </c>
      <c r="R366" s="21">
        <f t="shared" si="349"/>
        <v>41.1</v>
      </c>
      <c r="S366" s="21">
        <f t="shared" si="350"/>
        <v>-23.573991534028011</v>
      </c>
      <c r="T366" s="88">
        <f t="shared" si="351"/>
        <v>33.667149020277556</v>
      </c>
      <c r="U366" s="86">
        <f t="shared" si="352"/>
        <v>31354.037489999999</v>
      </c>
      <c r="V366" s="85">
        <f t="shared" si="353"/>
        <v>-1346.4914747781525</v>
      </c>
      <c r="W366" s="85">
        <f t="shared" si="354"/>
        <v>7056.2867998691036</v>
      </c>
      <c r="X366" s="90">
        <f t="shared" si="355"/>
        <v>1346.4914747781525</v>
      </c>
      <c r="Y366" s="86">
        <f t="shared" si="356"/>
        <v>-10920.89357</v>
      </c>
      <c r="Z366" s="85">
        <f t="shared" si="357"/>
        <v>-818.62113479844345</v>
      </c>
      <c r="AA366" s="85">
        <f t="shared" si="358"/>
        <v>-1046.3404121141302</v>
      </c>
      <c r="AB366" s="90">
        <f t="shared" si="359"/>
        <v>818.62113479844345</v>
      </c>
      <c r="AC366" s="86">
        <f t="shared" si="360"/>
        <v>-29191.434669999999</v>
      </c>
      <c r="AD366" s="85">
        <f t="shared" si="361"/>
        <v>3384.56104615708</v>
      </c>
      <c r="AE366" s="85">
        <f t="shared" si="362"/>
        <v>-16465.575384651915</v>
      </c>
      <c r="AF366" s="90">
        <f t="shared" si="363"/>
        <v>3384.56104615708</v>
      </c>
      <c r="AG366" s="86">
        <f t="shared" si="364"/>
        <v>10990.35103</v>
      </c>
      <c r="AH366" s="85">
        <f t="shared" si="365"/>
        <v>6139.2748628683721</v>
      </c>
      <c r="AI366" s="85">
        <f t="shared" si="366"/>
        <v>7553.1074192835031</v>
      </c>
      <c r="AJ366" s="90">
        <f t="shared" si="367"/>
        <v>6139.2748628683721</v>
      </c>
      <c r="AL366" s="95">
        <f t="shared" si="368"/>
        <v>0</v>
      </c>
      <c r="AM366" s="95">
        <f t="shared" si="369"/>
        <v>0</v>
      </c>
      <c r="AN366" s="95">
        <f t="shared" si="370"/>
        <v>0</v>
      </c>
      <c r="AO366" s="95">
        <f t="shared" si="371"/>
        <v>0</v>
      </c>
      <c r="AP366"/>
      <c r="AQ366" s="95">
        <f t="shared" si="372"/>
        <v>0</v>
      </c>
      <c r="AR366" s="95">
        <f t="shared" si="373"/>
        <v>0</v>
      </c>
      <c r="AS366" s="95">
        <f>Geraetedaten!$B$94*ABS(SIN(RADIANS($A366)))</f>
        <v>88.330771198061157</v>
      </c>
      <c r="AT366" s="95">
        <f>Geraetedaten!$B$94*ABS(COS(RADIANS($A366)))</f>
        <v>126.1494148205047</v>
      </c>
      <c r="AU366" s="95">
        <f>((h_Aw_Sw+Geraetedaten!$B$18)/1000)*(AQ366*AS366+AR366*AT366)/100</f>
        <v>0</v>
      </c>
    </row>
    <row r="367" spans="1:47" ht="13.5" x14ac:dyDescent="0.25">
      <c r="A367" s="16">
        <v>326</v>
      </c>
      <c r="B367" s="16">
        <f t="shared" si="340"/>
        <v>124</v>
      </c>
      <c r="C367" s="19">
        <f t="shared" si="341"/>
        <v>60.362702088343582</v>
      </c>
      <c r="D367" s="17">
        <f t="shared" si="342"/>
        <v>34392.012347911659</v>
      </c>
      <c r="E367" s="17">
        <f t="shared" si="343"/>
        <v>-10833.225792088344</v>
      </c>
      <c r="F367" s="17">
        <f t="shared" si="344"/>
        <v>-31902.446422088342</v>
      </c>
      <c r="G367" s="17">
        <f t="shared" si="345"/>
        <v>10795.855687911657</v>
      </c>
      <c r="H367" s="17">
        <f t="shared" si="346"/>
        <v>10795.855687911657</v>
      </c>
      <c r="I367" s="17">
        <f t="shared" si="347"/>
        <v>7460.9248983046882</v>
      </c>
      <c r="J367" s="20">
        <f>(Geraetedaten!$B$152+(Geraetedaten!$B$153*(Geraetedaten!$B$18+d_y_Sw)/1000))*10</f>
        <v>6051.0442000000003</v>
      </c>
      <c r="K367" s="20">
        <f>(Geraetedaten!$B$165+(Geraetedaten!$B$166*(Geraetedaten!$B$18+d_y_Sw)/1000))*10</f>
        <v>10816.164000000001</v>
      </c>
      <c r="L367" s="20">
        <f>(Geraetedaten!$B$158+(Geraetedaten!$B$159*(Geraetedaten!$B$18+d_y_Sw)/1000)-(Geraetedaten!$B$160*I367/1000))*10</f>
        <v>54.42697720731708</v>
      </c>
      <c r="M367" s="20">
        <f>(Geraetedaten!$B$171+(Geraetedaten!$B$172*(Geraetedaten!$B$18+d_y_Sw)/1000)-(Geraetedaten!$B$173*I367/1000))*10</f>
        <v>509.47575057019981</v>
      </c>
      <c r="N367" s="20">
        <f>IF((H367-J367)/(K367-J367)*(Geraetedaten!$B$174-Geraetedaten!$B$161)&lt;Geraetedaten!$B$174,(H367-J367)/(K367-J367)*(Geraetedaten!$B$174-Geraetedaten!$B$161),Geraetedaten!$B$174)</f>
        <v>398.2952527583173</v>
      </c>
      <c r="O367" s="20">
        <f>N367/Geraetedaten!$B$174*(M367-L367)+L367+C367</f>
        <v>567.89909480548977</v>
      </c>
      <c r="P367" s="20">
        <f t="shared" si="348"/>
        <v>172.35083204315626</v>
      </c>
      <c r="Q367" s="21">
        <f>(N367-Geraetedaten!$B$161)/(Geraetedaten!$B$174-Geraetedaten!$B$161)*(Geraetedaten!$B$175-Geraetedaten!$B$162)+Geraetedaten!$B$162</f>
        <v>41.049283769559942</v>
      </c>
      <c r="R367" s="21">
        <f t="shared" si="349"/>
        <v>41.049283769559942</v>
      </c>
      <c r="S367" s="21">
        <f t="shared" si="350"/>
        <v>-22.954468176494817</v>
      </c>
      <c r="T367" s="88">
        <f t="shared" si="351"/>
        <v>34.031398571439055</v>
      </c>
      <c r="U367" s="86">
        <f t="shared" si="352"/>
        <v>34452.375050000002</v>
      </c>
      <c r="V367" s="85">
        <f t="shared" si="353"/>
        <v>-1346.4914747781525</v>
      </c>
      <c r="W367" s="85">
        <f t="shared" si="354"/>
        <v>7753.5736631213886</v>
      </c>
      <c r="X367" s="90">
        <f t="shared" si="355"/>
        <v>1346.4914747781525</v>
      </c>
      <c r="Y367" s="86">
        <f t="shared" si="356"/>
        <v>-10772.863090000001</v>
      </c>
      <c r="Z367" s="85">
        <f t="shared" si="357"/>
        <v>-818.62113479844345</v>
      </c>
      <c r="AA367" s="85">
        <f t="shared" si="358"/>
        <v>-1032.1574820086828</v>
      </c>
      <c r="AB367" s="90">
        <f t="shared" si="359"/>
        <v>818.62113479844345</v>
      </c>
      <c r="AC367" s="86">
        <f t="shared" si="360"/>
        <v>-31842.083719999999</v>
      </c>
      <c r="AD367" s="85">
        <f t="shared" si="361"/>
        <v>3384.56104615708</v>
      </c>
      <c r="AE367" s="85">
        <f t="shared" si="362"/>
        <v>-17960.687300543173</v>
      </c>
      <c r="AF367" s="90">
        <f t="shared" si="363"/>
        <v>3384.56104615708</v>
      </c>
      <c r="AG367" s="86">
        <f t="shared" si="364"/>
        <v>10856.21839</v>
      </c>
      <c r="AH367" s="85">
        <f t="shared" si="365"/>
        <v>6139.2748628683721</v>
      </c>
      <c r="AI367" s="85">
        <f t="shared" si="366"/>
        <v>7460.9248983046882</v>
      </c>
      <c r="AJ367" s="90">
        <f t="shared" si="367"/>
        <v>6139.2748628683721</v>
      </c>
      <c r="AL367" s="95">
        <f t="shared" si="368"/>
        <v>0</v>
      </c>
      <c r="AM367" s="95">
        <f t="shared" si="369"/>
        <v>0</v>
      </c>
      <c r="AN367" s="95">
        <f t="shared" si="370"/>
        <v>0</v>
      </c>
      <c r="AO367" s="95">
        <f t="shared" si="371"/>
        <v>0</v>
      </c>
      <c r="AP367"/>
      <c r="AQ367" s="95">
        <f t="shared" si="372"/>
        <v>0</v>
      </c>
      <c r="AR367" s="95">
        <f t="shared" si="373"/>
        <v>0</v>
      </c>
      <c r="AS367" s="95">
        <f>Geraetedaten!$B$94*ABS(SIN(RADIANS($A367)))</f>
        <v>86.115707134494968</v>
      </c>
      <c r="AT367" s="95">
        <f>Geraetedaten!$B$94*ABS(COS(RADIANS($A367)))</f>
        <v>127.67178617347645</v>
      </c>
      <c r="AU367" s="95">
        <f>((h_Aw_Sw+Geraetedaten!$B$18)/1000)*(AQ367*AS367+AR367*AT367)/100</f>
        <v>0</v>
      </c>
    </row>
    <row r="368" spans="1:47" ht="13.5" x14ac:dyDescent="0.25">
      <c r="A368" s="16">
        <v>327</v>
      </c>
      <c r="B368" s="16">
        <f t="shared" si="340"/>
        <v>123</v>
      </c>
      <c r="C368" s="19">
        <f t="shared" si="341"/>
        <v>59.726309172009181</v>
      </c>
      <c r="D368" s="17">
        <f t="shared" si="342"/>
        <v>38183.400280827991</v>
      </c>
      <c r="E368" s="17">
        <f t="shared" si="343"/>
        <v>-10691.713599172008</v>
      </c>
      <c r="F368" s="17">
        <f t="shared" si="344"/>
        <v>-35093.641339172005</v>
      </c>
      <c r="G368" s="17">
        <f t="shared" si="345"/>
        <v>10668.822640827992</v>
      </c>
      <c r="H368" s="17">
        <f t="shared" si="346"/>
        <v>10668.822640827992</v>
      </c>
      <c r="I368" s="17">
        <f t="shared" si="347"/>
        <v>7373.1842082942085</v>
      </c>
      <c r="J368" s="20">
        <f>(Geraetedaten!$B$152+(Geraetedaten!$B$153*(Geraetedaten!$B$18+d_y_Sw)/1000))*10</f>
        <v>6051.0442000000003</v>
      </c>
      <c r="K368" s="20">
        <f>(Geraetedaten!$B$165+(Geraetedaten!$B$166*(Geraetedaten!$B$18+d_y_Sw)/1000))*10</f>
        <v>10816.164000000001</v>
      </c>
      <c r="L368" s="20">
        <f>(Geraetedaten!$B$158+(Geraetedaten!$B$159*(Geraetedaten!$B$18+d_y_Sw)/1000)-(Geraetedaten!$B$160*I368/1000))*10</f>
        <v>60.861002005785565</v>
      </c>
      <c r="M368" s="20">
        <f>(Geraetedaten!$B$171+(Geraetedaten!$B$172*(Geraetedaten!$B$18+d_y_Sw)/1000)-(Geraetedaten!$B$173*I368/1000))*10</f>
        <v>516.00716753457993</v>
      </c>
      <c r="N368" s="20">
        <f>IF((H368-J368)/(K368-J368)*(Geraetedaten!$B$174-Geraetedaten!$B$161)&lt;Geraetedaten!$B$174,(H368-J368)/(K368-J368)*(Geraetedaten!$B$174-Geraetedaten!$B$161),Geraetedaten!$B$174)</f>
        <v>387.63167640217489</v>
      </c>
      <c r="O368" s="20">
        <f>N368/Geraetedaten!$B$174*(M368-L368)+L368+C368</f>
        <v>561.6599890576656</v>
      </c>
      <c r="P368" s="20">
        <f t="shared" si="348"/>
        <v>171.63003970914963</v>
      </c>
      <c r="Q368" s="21">
        <f>(N368-Geraetedaten!$B$161)/(Geraetedaten!$B$174-Geraetedaten!$B$161)*(Geraetedaten!$B$175-Geraetedaten!$B$162)+Geraetedaten!$B$162</f>
        <v>40.732042372964706</v>
      </c>
      <c r="R368" s="21">
        <f t="shared" si="349"/>
        <v>40.732042372964706</v>
      </c>
      <c r="S368" s="21">
        <f t="shared" si="350"/>
        <v>-22.184260252202687</v>
      </c>
      <c r="T368" s="88">
        <f t="shared" si="351"/>
        <v>34.160765110511385</v>
      </c>
      <c r="U368" s="86">
        <f t="shared" si="352"/>
        <v>38243.12659</v>
      </c>
      <c r="V368" s="85">
        <f t="shared" si="353"/>
        <v>-1346.4914747781525</v>
      </c>
      <c r="W368" s="85">
        <f t="shared" si="354"/>
        <v>8606.6896319718217</v>
      </c>
      <c r="X368" s="90">
        <f t="shared" si="355"/>
        <v>1346.4914747781525</v>
      </c>
      <c r="Y368" s="86">
        <f t="shared" si="356"/>
        <v>-10631.987289999999</v>
      </c>
      <c r="Z368" s="85">
        <f t="shared" si="357"/>
        <v>-818.62113479844345</v>
      </c>
      <c r="AA368" s="85">
        <f t="shared" si="358"/>
        <v>-1018.6600473006363</v>
      </c>
      <c r="AB368" s="90">
        <f t="shared" si="359"/>
        <v>818.62113479844345</v>
      </c>
      <c r="AC368" s="86">
        <f t="shared" si="360"/>
        <v>-35033.915029999996</v>
      </c>
      <c r="AD368" s="85">
        <f t="shared" si="361"/>
        <v>3384.56104615708</v>
      </c>
      <c r="AE368" s="85">
        <f t="shared" si="362"/>
        <v>-19761.055785453631</v>
      </c>
      <c r="AF368" s="90">
        <f t="shared" si="363"/>
        <v>3384.56104615708</v>
      </c>
      <c r="AG368" s="86">
        <f t="shared" si="364"/>
        <v>10728.54895</v>
      </c>
      <c r="AH368" s="85">
        <f t="shared" si="365"/>
        <v>6139.2748628683721</v>
      </c>
      <c r="AI368" s="85">
        <f t="shared" si="366"/>
        <v>7373.1842082942085</v>
      </c>
      <c r="AJ368" s="90">
        <f t="shared" si="367"/>
        <v>6139.2748628683721</v>
      </c>
      <c r="AL368" s="95">
        <f t="shared" si="368"/>
        <v>0</v>
      </c>
      <c r="AM368" s="95">
        <f t="shared" si="369"/>
        <v>0</v>
      </c>
      <c r="AN368" s="95">
        <f t="shared" si="370"/>
        <v>0</v>
      </c>
      <c r="AO368" s="95">
        <f t="shared" si="371"/>
        <v>0</v>
      </c>
      <c r="AP368"/>
      <c r="AQ368" s="95">
        <f t="shared" si="372"/>
        <v>0</v>
      </c>
      <c r="AR368" s="95">
        <f t="shared" si="373"/>
        <v>0</v>
      </c>
      <c r="AS368" s="95">
        <f>Geraetedaten!$B$94*ABS(SIN(RADIANS($A368)))</f>
        <v>83.874411392314158</v>
      </c>
      <c r="AT368" s="95">
        <f>Geraetedaten!$B$94*ABS(COS(RADIANS($A368)))</f>
        <v>129.15526746359529</v>
      </c>
      <c r="AU368" s="95">
        <f>((h_Aw_Sw+Geraetedaten!$B$18)/1000)*(AQ368*AS368+AR368*AT368)/100</f>
        <v>0</v>
      </c>
    </row>
    <row r="369" spans="1:47" ht="13.5" x14ac:dyDescent="0.25">
      <c r="A369" s="16">
        <v>328</v>
      </c>
      <c r="B369" s="16">
        <f t="shared" si="340"/>
        <v>122</v>
      </c>
      <c r="C369" s="19">
        <f t="shared" si="341"/>
        <v>59.071723043319238</v>
      </c>
      <c r="D369" s="17">
        <f t="shared" si="342"/>
        <v>42926.83399695668</v>
      </c>
      <c r="E369" s="17">
        <f t="shared" si="343"/>
        <v>-10556.976573043319</v>
      </c>
      <c r="F369" s="17">
        <f t="shared" si="344"/>
        <v>-39009.187493043319</v>
      </c>
      <c r="G369" s="17">
        <f t="shared" si="345"/>
        <v>10547.969126956681</v>
      </c>
      <c r="H369" s="17">
        <f t="shared" si="346"/>
        <v>10547.969126956681</v>
      </c>
      <c r="I369" s="17">
        <f t="shared" si="347"/>
        <v>7289.6778944460748</v>
      </c>
      <c r="J369" s="20">
        <f>(Geraetedaten!$B$152+(Geraetedaten!$B$153*(Geraetedaten!$B$18+d_y_Sw)/1000))*10</f>
        <v>6051.0442000000003</v>
      </c>
      <c r="K369" s="20">
        <f>(Geraetedaten!$B$165+(Geraetedaten!$B$166*(Geraetedaten!$B$18+d_y_Sw)/1000))*10</f>
        <v>10816.164000000001</v>
      </c>
      <c r="L369" s="20">
        <f>(Geraetedaten!$B$158+(Geraetedaten!$B$159*(Geraetedaten!$B$18+d_y_Sw)/1000)-(Geraetedaten!$B$160*I369/1000))*10</f>
        <v>66.984520000269185</v>
      </c>
      <c r="M369" s="20">
        <f>(Geraetedaten!$B$171+(Geraetedaten!$B$172*(Geraetedaten!$B$18+d_y_Sw)/1000)-(Geraetedaten!$B$173*I369/1000))*10</f>
        <v>522.223377537435</v>
      </c>
      <c r="N369" s="20">
        <f>IF((H369-J369)/(K369-J369)*(Geraetedaten!$B$174-Geraetedaten!$B$161)&lt;Geraetedaten!$B$174,(H369-J369)/(K369-J369)*(Geraetedaten!$B$174-Geraetedaten!$B$161),Geraetedaten!$B$174)</f>
        <v>377.48683061077963</v>
      </c>
      <c r="O369" s="20">
        <f>N369/Geraetedaten!$B$174*(M369-L369)+L369+C369</f>
        <v>555.67292680003084</v>
      </c>
      <c r="P369" s="20">
        <f t="shared" si="348"/>
        <v>170.91904167263684</v>
      </c>
      <c r="Q369" s="21">
        <f>(N369-Geraetedaten!$B$161)/(Geraetedaten!$B$174-Geraetedaten!$B$161)*(Geraetedaten!$B$175-Geraetedaten!$B$162)+Geraetedaten!$B$162</f>
        <v>40.430233210670693</v>
      </c>
      <c r="R369" s="21">
        <f t="shared" si="349"/>
        <v>40.430233210670693</v>
      </c>
      <c r="S369" s="21">
        <f t="shared" si="350"/>
        <v>-21.424759435775503</v>
      </c>
      <c r="T369" s="88">
        <f t="shared" si="351"/>
        <v>34.286782301469586</v>
      </c>
      <c r="U369" s="86">
        <f t="shared" si="352"/>
        <v>42985.905720000002</v>
      </c>
      <c r="V369" s="85">
        <f t="shared" si="353"/>
        <v>-1346.4914747781525</v>
      </c>
      <c r="W369" s="85">
        <f t="shared" si="354"/>
        <v>9674.0612499421222</v>
      </c>
      <c r="X369" s="90">
        <f t="shared" si="355"/>
        <v>1346.4914747781525</v>
      </c>
      <c r="Y369" s="86">
        <f t="shared" si="356"/>
        <v>-10497.904850000001</v>
      </c>
      <c r="Z369" s="85">
        <f t="shared" si="357"/>
        <v>-818.62113479844345</v>
      </c>
      <c r="AA369" s="85">
        <f t="shared" si="358"/>
        <v>-1005.8134912294649</v>
      </c>
      <c r="AB369" s="90">
        <f t="shared" si="359"/>
        <v>818.62113479844345</v>
      </c>
      <c r="AC369" s="86">
        <f t="shared" si="360"/>
        <v>-38950.115769999997</v>
      </c>
      <c r="AD369" s="85">
        <f t="shared" si="361"/>
        <v>3384.56104615708</v>
      </c>
      <c r="AE369" s="85">
        <f t="shared" si="362"/>
        <v>-21970.008490775839</v>
      </c>
      <c r="AF369" s="90">
        <f t="shared" si="363"/>
        <v>3384.56104615708</v>
      </c>
      <c r="AG369" s="86">
        <f t="shared" si="364"/>
        <v>10607.040849999999</v>
      </c>
      <c r="AH369" s="85">
        <f t="shared" si="365"/>
        <v>6139.2748628683721</v>
      </c>
      <c r="AI369" s="85">
        <f t="shared" si="366"/>
        <v>7289.6778944460748</v>
      </c>
      <c r="AJ369" s="90">
        <f t="shared" si="367"/>
        <v>6139.2748628683721</v>
      </c>
      <c r="AL369" s="95">
        <f t="shared" si="368"/>
        <v>0</v>
      </c>
      <c r="AM369" s="95">
        <f t="shared" si="369"/>
        <v>0</v>
      </c>
      <c r="AN369" s="95">
        <f t="shared" si="370"/>
        <v>0</v>
      </c>
      <c r="AO369" s="95">
        <f t="shared" si="371"/>
        <v>0</v>
      </c>
      <c r="AP369"/>
      <c r="AQ369" s="95">
        <f t="shared" si="372"/>
        <v>0</v>
      </c>
      <c r="AR369" s="95">
        <f t="shared" si="373"/>
        <v>0</v>
      </c>
      <c r="AS369" s="95">
        <f>Geraetedaten!$B$94*ABS(SIN(RADIANS($A369)))</f>
        <v>81.607566691913576</v>
      </c>
      <c r="AT369" s="95">
        <f>Geraetedaten!$B$94*ABS(COS(RADIANS($A369)))</f>
        <v>130.59940680808961</v>
      </c>
      <c r="AU369" s="95">
        <f>((h_Aw_Sw+Geraetedaten!$B$18)/1000)*(AQ369*AS369+AR369*AT369)/100</f>
        <v>0</v>
      </c>
    </row>
    <row r="370" spans="1:47" ht="13.5" x14ac:dyDescent="0.25">
      <c r="A370" s="16">
        <v>329</v>
      </c>
      <c r="B370" s="16">
        <f t="shared" si="340"/>
        <v>121</v>
      </c>
      <c r="C370" s="19">
        <f t="shared" si="341"/>
        <v>58.399143095549675</v>
      </c>
      <c r="D370" s="17">
        <f t="shared" si="342"/>
        <v>49030.264206904452</v>
      </c>
      <c r="E370" s="17">
        <f t="shared" si="343"/>
        <v>-10428.680873095551</v>
      </c>
      <c r="F370" s="17">
        <f t="shared" si="344"/>
        <v>-43925.476553095548</v>
      </c>
      <c r="G370" s="17">
        <f t="shared" si="345"/>
        <v>10433.01510690445</v>
      </c>
      <c r="H370" s="17">
        <f t="shared" si="346"/>
        <v>10433.01510690445</v>
      </c>
      <c r="I370" s="17">
        <f t="shared" si="347"/>
        <v>7210.2136338484906</v>
      </c>
      <c r="J370" s="20">
        <f>(Geraetedaten!$B$152+(Geraetedaten!$B$153*(Geraetedaten!$B$18+d_y_Sw)/1000))*10</f>
        <v>6051.0442000000003</v>
      </c>
      <c r="K370" s="20">
        <f>(Geraetedaten!$B$165+(Geraetedaten!$B$166*(Geraetedaten!$B$18+d_y_Sw)/1000))*10</f>
        <v>10816.164000000001</v>
      </c>
      <c r="L370" s="20">
        <f>(Geraetedaten!$B$158+(Geraetedaten!$B$159*(Geraetedaten!$B$18+d_y_Sw)/1000)-(Geraetedaten!$B$160*I370/1000))*10</f>
        <v>72.811634229890032</v>
      </c>
      <c r="M370" s="20">
        <f>(Geraetedaten!$B$171+(Geraetedaten!$B$172*(Geraetedaten!$B$18+d_y_Sw)/1000)-(Geraetedaten!$B$173*I370/1000))*10</f>
        <v>528.13869709631922</v>
      </c>
      <c r="N370" s="20">
        <f>IF((H370-J370)/(K370-J370)*(Geraetedaten!$B$174-Geraetedaten!$B$161)&lt;Geraetedaten!$B$174,(H370-J370)/(K370-J370)*(Geraetedaten!$B$174-Geraetedaten!$B$161),Geraetedaten!$B$174)</f>
        <v>367.83720794633109</v>
      </c>
      <c r="O370" s="20">
        <f>N370/Geraetedaten!$B$174*(M370-L370)+L370+C370</f>
        <v>549.92636609341685</v>
      </c>
      <c r="P370" s="20">
        <f t="shared" si="348"/>
        <v>170.21780601790522</v>
      </c>
      <c r="Q370" s="21">
        <f>(N370-Geraetedaten!$B$161)/(Geraetedaten!$B$174-Geraetedaten!$B$161)*(Geraetedaten!$B$175-Geraetedaten!$B$162)+Geraetedaten!$B$162</f>
        <v>40.143156936403351</v>
      </c>
      <c r="R370" s="21">
        <f t="shared" si="349"/>
        <v>40.143156936403351</v>
      </c>
      <c r="S370" s="21">
        <f t="shared" si="350"/>
        <v>-20.675254269337383</v>
      </c>
      <c r="T370" s="88">
        <f t="shared" si="351"/>
        <v>34.409401472838127</v>
      </c>
      <c r="U370" s="86">
        <f t="shared" si="352"/>
        <v>49088.663350000003</v>
      </c>
      <c r="V370" s="85">
        <f t="shared" si="353"/>
        <v>-1346.4914747781525</v>
      </c>
      <c r="W370" s="85">
        <f t="shared" si="354"/>
        <v>11047.498662611606</v>
      </c>
      <c r="X370" s="90">
        <f t="shared" si="355"/>
        <v>1346.4914747781525</v>
      </c>
      <c r="Y370" s="86">
        <f t="shared" si="356"/>
        <v>-10370.281730000001</v>
      </c>
      <c r="Z370" s="85">
        <f t="shared" si="357"/>
        <v>-818.62113479844345</v>
      </c>
      <c r="AA370" s="85">
        <f t="shared" si="358"/>
        <v>-993.58580801727658</v>
      </c>
      <c r="AB370" s="90">
        <f t="shared" si="359"/>
        <v>818.62113479844345</v>
      </c>
      <c r="AC370" s="86">
        <f t="shared" si="360"/>
        <v>-43867.077409999998</v>
      </c>
      <c r="AD370" s="85">
        <f t="shared" si="361"/>
        <v>3384.56104615708</v>
      </c>
      <c r="AE370" s="85">
        <f t="shared" si="362"/>
        <v>-24743.445405310489</v>
      </c>
      <c r="AF370" s="90">
        <f t="shared" si="363"/>
        <v>3384.56104615708</v>
      </c>
      <c r="AG370" s="86">
        <f t="shared" si="364"/>
        <v>10491.41425</v>
      </c>
      <c r="AH370" s="85">
        <f t="shared" si="365"/>
        <v>6139.2748628683721</v>
      </c>
      <c r="AI370" s="85">
        <f t="shared" si="366"/>
        <v>7210.2136338484906</v>
      </c>
      <c r="AJ370" s="90">
        <f t="shared" si="367"/>
        <v>6139.2748628683721</v>
      </c>
      <c r="AL370" s="95">
        <f t="shared" si="368"/>
        <v>0</v>
      </c>
      <c r="AM370" s="95">
        <f t="shared" si="369"/>
        <v>0</v>
      </c>
      <c r="AN370" s="95">
        <f t="shared" si="370"/>
        <v>0</v>
      </c>
      <c r="AO370" s="95">
        <f t="shared" si="371"/>
        <v>0</v>
      </c>
      <c r="AP370"/>
      <c r="AQ370" s="95">
        <f t="shared" si="372"/>
        <v>0</v>
      </c>
      <c r="AR370" s="95">
        <f t="shared" si="373"/>
        <v>0</v>
      </c>
      <c r="AS370" s="95">
        <f>Geraetedaten!$B$94*ABS(SIN(RADIANS($A370)))</f>
        <v>79.315863536148385</v>
      </c>
      <c r="AT370" s="95">
        <f>Geraetedaten!$B$94*ABS(COS(RADIANS($A370)))</f>
        <v>132.00376430812526</v>
      </c>
      <c r="AU370" s="95">
        <f>((h_Aw_Sw+Geraetedaten!$B$18)/1000)*(AQ370*AS370+AR370*AT370)/100</f>
        <v>0</v>
      </c>
    </row>
    <row r="371" spans="1:47" ht="13.5" x14ac:dyDescent="0.25">
      <c r="A371" s="16">
        <v>330</v>
      </c>
      <c r="B371" s="16">
        <f t="shared" si="340"/>
        <v>120</v>
      </c>
      <c r="C371" s="19">
        <f t="shared" si="341"/>
        <v>57.708774203068003</v>
      </c>
      <c r="D371" s="17">
        <f t="shared" si="342"/>
        <v>57173.578305796931</v>
      </c>
      <c r="E371" s="17">
        <f t="shared" si="343"/>
        <v>-10306.517534203067</v>
      </c>
      <c r="F371" s="17">
        <f t="shared" si="344"/>
        <v>-50280.018574203074</v>
      </c>
      <c r="G371" s="17">
        <f t="shared" si="345"/>
        <v>10323.700745796932</v>
      </c>
      <c r="H371" s="17">
        <f t="shared" si="346"/>
        <v>10323.700745796932</v>
      </c>
      <c r="I371" s="17">
        <f t="shared" si="347"/>
        <v>7134.6129969107669</v>
      </c>
      <c r="J371" s="20">
        <f>(Geraetedaten!$B$152+(Geraetedaten!$B$153*(Geraetedaten!$B$18+d_y_Sw)/1000))*10</f>
        <v>6051.0442000000003</v>
      </c>
      <c r="K371" s="20">
        <f>(Geraetedaten!$B$165+(Geraetedaten!$B$166*(Geraetedaten!$B$18+d_y_Sw)/1000))*10</f>
        <v>10816.164000000001</v>
      </c>
      <c r="L371" s="20">
        <f>(Geraetedaten!$B$158+(Geraetedaten!$B$159*(Geraetedaten!$B$18+d_y_Sw)/1000)-(Geraetedaten!$B$160*I371/1000))*10</f>
        <v>78.355428936533329</v>
      </c>
      <c r="M371" s="20">
        <f>(Geraetedaten!$B$171+(Geraetedaten!$B$172*(Geraetedaten!$B$18+d_y_Sw)/1000)-(Geraetedaten!$B$173*I371/1000))*10</f>
        <v>533.7664085099633</v>
      </c>
      <c r="N371" s="20">
        <f>IF((H371-J371)/(K371-J371)*(Geraetedaten!$B$174-Geraetedaten!$B$161)&lt;Geraetedaten!$B$174,(H371-J371)/(K371-J371)*(Geraetedaten!$B$174-Geraetedaten!$B$161),Geraetedaten!$B$174)</f>
        <v>358.66099700552599</v>
      </c>
      <c r="O371" s="20">
        <f>N371/Geraetedaten!$B$174*(M371-L371)+L371+C371</f>
        <v>544.40959309227537</v>
      </c>
      <c r="P371" s="20">
        <f t="shared" si="348"/>
        <v>169.52630563482759</v>
      </c>
      <c r="Q371" s="21">
        <f>(N371-Geraetedaten!$B$161)/(Geraetedaten!$B$174-Geraetedaten!$B$161)*(Geraetedaten!$B$175-Geraetedaten!$B$162)+Geraetedaten!$B$162</f>
        <v>39.870164660914398</v>
      </c>
      <c r="R371" s="21">
        <f t="shared" si="349"/>
        <v>39.870164660914398</v>
      </c>
      <c r="S371" s="21">
        <f t="shared" si="350"/>
        <v>-19.935082330457217</v>
      </c>
      <c r="T371" s="88">
        <f t="shared" si="351"/>
        <v>34.528575449420437</v>
      </c>
      <c r="U371" s="86">
        <f t="shared" si="352"/>
        <v>57231.287080000002</v>
      </c>
      <c r="V371" s="85">
        <f t="shared" si="353"/>
        <v>-1346.4914747781525</v>
      </c>
      <c r="W371" s="85">
        <f t="shared" si="354"/>
        <v>12880.011888288987</v>
      </c>
      <c r="X371" s="90">
        <f t="shared" si="355"/>
        <v>1346.4914747781525</v>
      </c>
      <c r="Y371" s="86">
        <f t="shared" si="356"/>
        <v>-10248.80876</v>
      </c>
      <c r="Z371" s="85">
        <f t="shared" si="357"/>
        <v>-818.62113479844345</v>
      </c>
      <c r="AA371" s="85">
        <f t="shared" si="358"/>
        <v>-981.9473760544015</v>
      </c>
      <c r="AB371" s="90">
        <f t="shared" si="359"/>
        <v>818.62113479844345</v>
      </c>
      <c r="AC371" s="86">
        <f t="shared" si="360"/>
        <v>-50222.309800000003</v>
      </c>
      <c r="AD371" s="85">
        <f t="shared" si="361"/>
        <v>3384.56104615708</v>
      </c>
      <c r="AE371" s="85">
        <f t="shared" si="362"/>
        <v>-28328.146163950019</v>
      </c>
      <c r="AF371" s="90">
        <f t="shared" si="363"/>
        <v>3384.56104615708</v>
      </c>
      <c r="AG371" s="86">
        <f t="shared" si="364"/>
        <v>10381.409519999999</v>
      </c>
      <c r="AH371" s="85">
        <f t="shared" si="365"/>
        <v>6139.2748628683721</v>
      </c>
      <c r="AI371" s="85">
        <f t="shared" si="366"/>
        <v>7134.6129969107669</v>
      </c>
      <c r="AJ371" s="90">
        <f t="shared" si="367"/>
        <v>6139.2748628683721</v>
      </c>
      <c r="AL371" s="95">
        <f t="shared" si="368"/>
        <v>0</v>
      </c>
      <c r="AM371" s="95">
        <f t="shared" si="369"/>
        <v>0</v>
      </c>
      <c r="AN371" s="95">
        <f t="shared" si="370"/>
        <v>0</v>
      </c>
      <c r="AO371" s="95">
        <f t="shared" si="371"/>
        <v>0</v>
      </c>
      <c r="AP371"/>
      <c r="AQ371" s="95">
        <f t="shared" si="372"/>
        <v>0</v>
      </c>
      <c r="AR371" s="95">
        <f t="shared" si="373"/>
        <v>0</v>
      </c>
      <c r="AS371" s="95">
        <f>Geraetedaten!$B$94*ABS(SIN(RADIANS($A371)))</f>
        <v>77.000000000000071</v>
      </c>
      <c r="AT371" s="95">
        <f>Geraetedaten!$B$94*ABS(COS(RADIANS($A371)))</f>
        <v>133.36791218280351</v>
      </c>
      <c r="AU371" s="95">
        <f>((h_Aw_Sw+Geraetedaten!$B$18)/1000)*(AQ371*AS371+AR371*AT371)/100</f>
        <v>0</v>
      </c>
    </row>
    <row r="372" spans="1:47" ht="13.5" x14ac:dyDescent="0.25">
      <c r="A372" s="16">
        <v>331</v>
      </c>
      <c r="B372" s="16">
        <f t="shared" si="340"/>
        <v>119</v>
      </c>
      <c r="C372" s="19">
        <f t="shared" si="341"/>
        <v>57.000826658926584</v>
      </c>
      <c r="D372" s="17">
        <f t="shared" si="342"/>
        <v>68580.497193341071</v>
      </c>
      <c r="E372" s="17">
        <f t="shared" si="343"/>
        <v>-10190.200366658926</v>
      </c>
      <c r="F372" s="17">
        <f t="shared" si="344"/>
        <v>-58808.870076658932</v>
      </c>
      <c r="G372" s="17">
        <f t="shared" si="345"/>
        <v>10219.784803341074</v>
      </c>
      <c r="H372" s="17">
        <f t="shared" si="346"/>
        <v>10219.784803341074</v>
      </c>
      <c r="I372" s="17">
        <f t="shared" si="347"/>
        <v>7062.7103337082353</v>
      </c>
      <c r="J372" s="20">
        <f>(Geraetedaten!$B$152+(Geraetedaten!$B$153*(Geraetedaten!$B$18+d_y_Sw)/1000))*10</f>
        <v>6051.0442000000003</v>
      </c>
      <c r="K372" s="20">
        <f>(Geraetedaten!$B$165+(Geraetedaten!$B$166*(Geraetedaten!$B$18+d_y_Sw)/1000))*10</f>
        <v>10816.164000000001</v>
      </c>
      <c r="L372" s="20">
        <f>(Geraetedaten!$B$158+(Geraetedaten!$B$159*(Geraetedaten!$B$18+d_y_Sw)/1000)-(Geraetedaten!$B$160*I372/1000))*10</f>
        <v>83.628051229174929</v>
      </c>
      <c r="M372" s="20">
        <f>(Geraetedaten!$B$171+(Geraetedaten!$B$172*(Geraetedaten!$B$18+d_y_Sw)/1000)-(Geraetedaten!$B$173*I372/1000))*10</f>
        <v>539.1188427587598</v>
      </c>
      <c r="N372" s="20">
        <f>IF((H372-J372)/(K372-J372)*(Geraetedaten!$B$174-Geraetedaten!$B$161)&lt;Geraetedaten!$B$174,(H372-J372)/(K372-J372)*(Geraetedaten!$B$174-Geraetedaten!$B$161),Geraetedaten!$B$174)</f>
        <v>349.93794727604313</v>
      </c>
      <c r="O372" s="20">
        <f>N372/Geraetedaten!$B$174*(M372-L372)+L372+C372</f>
        <v>539.11265936560903</v>
      </c>
      <c r="P372" s="20">
        <f t="shared" si="348"/>
        <v>168.84451925672207</v>
      </c>
      <c r="Q372" s="21">
        <f>(N372-Geraetedaten!$B$161)/(Geraetedaten!$B$174-Geraetedaten!$B$161)*(Geraetedaten!$B$175-Geraetedaten!$B$162)+Geraetedaten!$B$162</f>
        <v>39.610653931462281</v>
      </c>
      <c r="R372" s="21">
        <f t="shared" si="349"/>
        <v>39.610653931462281</v>
      </c>
      <c r="S372" s="21">
        <f t="shared" si="350"/>
        <v>-19.203626090221299</v>
      </c>
      <c r="T372" s="88">
        <f t="shared" si="351"/>
        <v>34.6442585411355</v>
      </c>
      <c r="U372" s="86">
        <f t="shared" si="352"/>
        <v>68637.498019999999</v>
      </c>
      <c r="V372" s="85">
        <f t="shared" si="353"/>
        <v>-1346.4914747781525</v>
      </c>
      <c r="W372" s="85">
        <f t="shared" si="354"/>
        <v>15447.001728895477</v>
      </c>
      <c r="X372" s="90">
        <f t="shared" si="355"/>
        <v>1346.4914747781525</v>
      </c>
      <c r="Y372" s="86">
        <f t="shared" si="356"/>
        <v>-10133.19954</v>
      </c>
      <c r="Z372" s="85">
        <f t="shared" si="357"/>
        <v>-818.62113479844345</v>
      </c>
      <c r="AA372" s="85">
        <f t="shared" si="358"/>
        <v>-970.87075497917158</v>
      </c>
      <c r="AB372" s="90">
        <f t="shared" si="359"/>
        <v>818.62113479844345</v>
      </c>
      <c r="AC372" s="86">
        <f t="shared" si="360"/>
        <v>-58751.869250000003</v>
      </c>
      <c r="AD372" s="85">
        <f t="shared" si="361"/>
        <v>3384.56104615708</v>
      </c>
      <c r="AE372" s="85">
        <f t="shared" si="362"/>
        <v>-33139.287025018471</v>
      </c>
      <c r="AF372" s="90">
        <f t="shared" si="363"/>
        <v>3384.56104615708</v>
      </c>
      <c r="AG372" s="86">
        <f t="shared" si="364"/>
        <v>10276.78563</v>
      </c>
      <c r="AH372" s="85">
        <f t="shared" si="365"/>
        <v>6139.2748628683721</v>
      </c>
      <c r="AI372" s="85">
        <f t="shared" si="366"/>
        <v>7062.7103337082353</v>
      </c>
      <c r="AJ372" s="90">
        <f t="shared" si="367"/>
        <v>6139.2748628683721</v>
      </c>
      <c r="AL372" s="95">
        <f t="shared" si="368"/>
        <v>0</v>
      </c>
      <c r="AM372" s="95">
        <f t="shared" si="369"/>
        <v>0</v>
      </c>
      <c r="AN372" s="95">
        <f t="shared" si="370"/>
        <v>0</v>
      </c>
      <c r="AO372" s="95">
        <f t="shared" si="371"/>
        <v>0</v>
      </c>
      <c r="AP372"/>
      <c r="AQ372" s="95">
        <f t="shared" si="372"/>
        <v>0</v>
      </c>
      <c r="AR372" s="95">
        <f t="shared" si="373"/>
        <v>0</v>
      </c>
      <c r="AS372" s="95">
        <f>Geraetedaten!$B$94*ABS(SIN(RADIANS($A372)))</f>
        <v>74.660681517935885</v>
      </c>
      <c r="AT372" s="95">
        <f>Geraetedaten!$B$94*ABS(COS(RADIANS($A372)))</f>
        <v>134.69143489946697</v>
      </c>
      <c r="AU372" s="95">
        <f>((h_Aw_Sw+Geraetedaten!$B$18)/1000)*(AQ372*AS372+AR372*AT372)/100</f>
        <v>0</v>
      </c>
    </row>
    <row r="373" spans="1:47" ht="13.5" x14ac:dyDescent="0.25">
      <c r="A373" s="16">
        <v>332</v>
      </c>
      <c r="B373" s="16">
        <f t="shared" si="340"/>
        <v>118</v>
      </c>
      <c r="C373" s="19">
        <f t="shared" si="341"/>
        <v>56.275516110805498</v>
      </c>
      <c r="D373" s="17">
        <f t="shared" si="342"/>
        <v>85698.2427738892</v>
      </c>
      <c r="E373" s="17">
        <f t="shared" si="343"/>
        <v>-10079.464046110805</v>
      </c>
      <c r="F373" s="17">
        <f t="shared" si="344"/>
        <v>-70853.659396110801</v>
      </c>
      <c r="G373" s="17">
        <f t="shared" si="345"/>
        <v>10121.043163889195</v>
      </c>
      <c r="H373" s="17">
        <f t="shared" si="346"/>
        <v>10121.043163889195</v>
      </c>
      <c r="I373" s="17">
        <f t="shared" si="347"/>
        <v>6994.3517711016975</v>
      </c>
      <c r="J373" s="20">
        <f>(Geraetedaten!$B$152+(Geraetedaten!$B$153*(Geraetedaten!$B$18+d_y_Sw)/1000))*10</f>
        <v>6051.0442000000003</v>
      </c>
      <c r="K373" s="20">
        <f>(Geraetedaten!$B$165+(Geraetedaten!$B$166*(Geraetedaten!$B$18+d_y_Sw)/1000))*10</f>
        <v>10816.164000000001</v>
      </c>
      <c r="L373" s="20">
        <f>(Geraetedaten!$B$158+(Geraetedaten!$B$159*(Geraetedaten!$B$18+d_y_Sw)/1000)-(Geraetedaten!$B$160*I373/1000))*10</f>
        <v>88.640784625112374</v>
      </c>
      <c r="M373" s="20">
        <f>(Geraetedaten!$B$171+(Geraetedaten!$B$172*(Geraetedaten!$B$18+d_y_Sw)/1000)-(Geraetedaten!$B$173*I373/1000))*10</f>
        <v>544.20745415919043</v>
      </c>
      <c r="N373" s="20">
        <f>IF((H373-J373)/(K373-J373)*(Geraetedaten!$B$174-Geraetedaten!$B$161)&lt;Geraetedaten!$B$174,(H373-J373)/(K373-J373)*(Geraetedaten!$B$174-Geraetedaten!$B$161),Geraetedaten!$B$174)</f>
        <v>341.64924574523343</v>
      </c>
      <c r="O373" s="20">
        <f>N373/Geraetedaten!$B$174*(M373-L373)+L373+C373</f>
        <v>534.02632331838231</v>
      </c>
      <c r="P373" s="20">
        <f t="shared" si="348"/>
        <v>168.17243202604283</v>
      </c>
      <c r="Q373" s="21">
        <f>(N373-Geraetedaten!$B$161)/(Geraetedaten!$B$174-Geraetedaten!$B$161)*(Geraetedaten!$B$175-Geraetedaten!$B$162)+Geraetedaten!$B$162</f>
        <v>39.364065060920694</v>
      </c>
      <c r="R373" s="21">
        <f t="shared" si="349"/>
        <v>39.364065060920694</v>
      </c>
      <c r="S373" s="21">
        <f t="shared" si="350"/>
        <v>-18.480309141755921</v>
      </c>
      <c r="T373" s="88">
        <f t="shared" si="351"/>
        <v>34.756406490682117</v>
      </c>
      <c r="U373" s="86">
        <f t="shared" si="352"/>
        <v>85754.518290000007</v>
      </c>
      <c r="V373" s="85">
        <f t="shared" si="353"/>
        <v>-1346.4914747781525</v>
      </c>
      <c r="W373" s="85">
        <f t="shared" si="354"/>
        <v>19299.22025682787</v>
      </c>
      <c r="X373" s="90">
        <f t="shared" si="355"/>
        <v>1346.4914747781525</v>
      </c>
      <c r="Y373" s="86">
        <f t="shared" si="356"/>
        <v>-10023.188529999999</v>
      </c>
      <c r="Z373" s="85">
        <f t="shared" si="357"/>
        <v>-818.62113479844345</v>
      </c>
      <c r="AA373" s="85">
        <f t="shared" si="358"/>
        <v>-960.33050380377006</v>
      </c>
      <c r="AB373" s="90">
        <f t="shared" si="359"/>
        <v>818.62113479844345</v>
      </c>
      <c r="AC373" s="86">
        <f t="shared" si="360"/>
        <v>-70797.383879999994</v>
      </c>
      <c r="AD373" s="85">
        <f t="shared" si="361"/>
        <v>3384.56104615708</v>
      </c>
      <c r="AE373" s="85">
        <f t="shared" si="362"/>
        <v>-39933.620069141514</v>
      </c>
      <c r="AF373" s="90">
        <f t="shared" si="363"/>
        <v>3384.56104615708</v>
      </c>
      <c r="AG373" s="86">
        <f t="shared" si="364"/>
        <v>10177.31868</v>
      </c>
      <c r="AH373" s="85">
        <f t="shared" si="365"/>
        <v>6139.2748628683721</v>
      </c>
      <c r="AI373" s="85">
        <f t="shared" si="366"/>
        <v>6994.3517711016975</v>
      </c>
      <c r="AJ373" s="90">
        <f t="shared" si="367"/>
        <v>6139.2748628683721</v>
      </c>
      <c r="AL373" s="95">
        <f t="shared" si="368"/>
        <v>0</v>
      </c>
      <c r="AM373" s="95">
        <f t="shared" si="369"/>
        <v>0</v>
      </c>
      <c r="AN373" s="95">
        <f t="shared" si="370"/>
        <v>0</v>
      </c>
      <c r="AO373" s="95">
        <f t="shared" si="371"/>
        <v>0</v>
      </c>
      <c r="AP373"/>
      <c r="AQ373" s="95">
        <f t="shared" si="372"/>
        <v>0</v>
      </c>
      <c r="AR373" s="95">
        <f t="shared" si="373"/>
        <v>0</v>
      </c>
      <c r="AS373" s="95">
        <f>Geraetedaten!$B$94*ABS(SIN(RADIANS($A373)))</f>
        <v>72.298620669027187</v>
      </c>
      <c r="AT373" s="95">
        <f>Geraetedaten!$B$94*ABS(COS(RADIANS($A373)))</f>
        <v>135.97392930027473</v>
      </c>
      <c r="AU373" s="95">
        <f>((h_Aw_Sw+Geraetedaten!$B$18)/1000)*(AQ373*AS373+AR373*AT373)/100</f>
        <v>0</v>
      </c>
    </row>
    <row r="374" spans="1:47" ht="13.5" x14ac:dyDescent="0.25">
      <c r="A374" s="16">
        <v>333</v>
      </c>
      <c r="B374" s="16">
        <f t="shared" si="340"/>
        <v>117</v>
      </c>
      <c r="C374" s="19">
        <f t="shared" si="341"/>
        <v>55.533063495323887</v>
      </c>
      <c r="D374" s="17">
        <f t="shared" si="342"/>
        <v>114236.20891650468</v>
      </c>
      <c r="E374" s="17">
        <f t="shared" si="343"/>
        <v>-9974.0624334953245</v>
      </c>
      <c r="F374" s="17">
        <f t="shared" si="344"/>
        <v>-89145.616533495326</v>
      </c>
      <c r="G374" s="17">
        <f t="shared" si="345"/>
        <v>10027.267516504675</v>
      </c>
      <c r="H374" s="17">
        <f t="shared" si="346"/>
        <v>10027.267516504675</v>
      </c>
      <c r="I374" s="17">
        <f t="shared" si="347"/>
        <v>6929.3943083091708</v>
      </c>
      <c r="J374" s="20">
        <f>(Geraetedaten!$B$152+(Geraetedaten!$B$153*(Geraetedaten!$B$18+d_y_Sw)/1000))*10</f>
        <v>6051.0442000000003</v>
      </c>
      <c r="K374" s="20">
        <f>(Geraetedaten!$B$165+(Geraetedaten!$B$166*(Geraetedaten!$B$18+d_y_Sw)/1000))*10</f>
        <v>10816.164000000001</v>
      </c>
      <c r="L374" s="20">
        <f>(Geraetedaten!$B$158+(Geraetedaten!$B$159*(Geraetedaten!$B$18+d_y_Sw)/1000)-(Geraetedaten!$B$160*I374/1000))*10</f>
        <v>93.404115371688405</v>
      </c>
      <c r="M374" s="20">
        <f>(Geraetedaten!$B$171+(Geraetedaten!$B$172*(Geraetedaten!$B$18+d_y_Sw)/1000)-(Geraetedaten!$B$173*I374/1000))*10</f>
        <v>549.04288768946617</v>
      </c>
      <c r="N374" s="20">
        <f>IF((H374-J374)/(K374-J374)*(Geraetedaten!$B$174-Geraetedaten!$B$161)&lt;Geraetedaten!$B$174,(H374-J374)/(K374-J374)*(Geraetedaten!$B$174-Geraetedaten!$B$161),Geraetedaten!$B$174)</f>
        <v>333.77740610044469</v>
      </c>
      <c r="O374" s="20">
        <f>N374/Geraetedaten!$B$174*(M374-L374)+L374+C374</f>
        <v>529.1419977245597</v>
      </c>
      <c r="P374" s="20">
        <f t="shared" si="348"/>
        <v>167.51003606299673</v>
      </c>
      <c r="Q374" s="21">
        <f>(N374-Geraetedaten!$B$161)/(Geraetedaten!$B$174-Geraetedaten!$B$161)*(Geraetedaten!$B$175-Geraetedaten!$B$162)+Geraetedaten!$B$162</f>
        <v>39.12987783148823</v>
      </c>
      <c r="R374" s="21">
        <f t="shared" si="349"/>
        <v>39.12987783148823</v>
      </c>
      <c r="S374" s="21">
        <f t="shared" si="350"/>
        <v>-17.764592791464761</v>
      </c>
      <c r="T374" s="88">
        <f t="shared" si="351"/>
        <v>34.864976438549796</v>
      </c>
      <c r="U374" s="86">
        <f t="shared" si="352"/>
        <v>114291.74198000001</v>
      </c>
      <c r="V374" s="85">
        <f t="shared" si="353"/>
        <v>-1346.4914747781525</v>
      </c>
      <c r="W374" s="85">
        <f t="shared" si="354"/>
        <v>25721.577661916133</v>
      </c>
      <c r="X374" s="90">
        <f t="shared" si="355"/>
        <v>1346.4914747781525</v>
      </c>
      <c r="Y374" s="86">
        <f t="shared" si="356"/>
        <v>-9918.5293700000002</v>
      </c>
      <c r="Z374" s="85">
        <f t="shared" si="357"/>
        <v>-818.62113479844345</v>
      </c>
      <c r="AA374" s="85">
        <f t="shared" si="358"/>
        <v>-950.30301762192369</v>
      </c>
      <c r="AB374" s="90">
        <f t="shared" si="359"/>
        <v>818.62113479844345</v>
      </c>
      <c r="AC374" s="86">
        <f t="shared" si="360"/>
        <v>-89090.083469999998</v>
      </c>
      <c r="AD374" s="85">
        <f t="shared" si="361"/>
        <v>3384.56104615708</v>
      </c>
      <c r="AE374" s="85">
        <f t="shared" si="362"/>
        <v>-50251.709175974494</v>
      </c>
      <c r="AF374" s="90">
        <f t="shared" si="363"/>
        <v>3384.56104615708</v>
      </c>
      <c r="AG374" s="86">
        <f t="shared" si="364"/>
        <v>10082.800579999999</v>
      </c>
      <c r="AH374" s="85">
        <f t="shared" si="365"/>
        <v>6139.2748628683721</v>
      </c>
      <c r="AI374" s="85">
        <f t="shared" si="366"/>
        <v>6929.3943083091708</v>
      </c>
      <c r="AJ374" s="90">
        <f t="shared" si="367"/>
        <v>6139.2748628683721</v>
      </c>
      <c r="AL374" s="95">
        <f t="shared" si="368"/>
        <v>0</v>
      </c>
      <c r="AM374" s="95">
        <f t="shared" si="369"/>
        <v>0</v>
      </c>
      <c r="AN374" s="95">
        <f t="shared" si="370"/>
        <v>0</v>
      </c>
      <c r="AO374" s="95">
        <f t="shared" si="371"/>
        <v>0</v>
      </c>
      <c r="AP374"/>
      <c r="AQ374" s="95">
        <f t="shared" si="372"/>
        <v>0</v>
      </c>
      <c r="AR374" s="95">
        <f t="shared" si="373"/>
        <v>0</v>
      </c>
      <c r="AS374" s="95">
        <f>Geraetedaten!$B$94*ABS(SIN(RADIANS($A374)))</f>
        <v>69.914536959890228</v>
      </c>
      <c r="AT374" s="95">
        <f>Geraetedaten!$B$94*ABS(COS(RADIANS($A374)))</f>
        <v>137.21500472500864</v>
      </c>
      <c r="AU374" s="95">
        <f>((h_Aw_Sw+Geraetedaten!$B$18)/1000)*(AQ374*AS374+AR374*AT374)/100</f>
        <v>0</v>
      </c>
    </row>
    <row r="375" spans="1:47" ht="13.5" x14ac:dyDescent="0.25">
      <c r="A375" s="16">
        <v>334</v>
      </c>
      <c r="B375" s="16">
        <f t="shared" si="340"/>
        <v>116</v>
      </c>
      <c r="C375" s="19">
        <f t="shared" si="341"/>
        <v>54.773694970740735</v>
      </c>
      <c r="D375" s="17">
        <f t="shared" si="342"/>
        <v>171318.40810502926</v>
      </c>
      <c r="E375" s="17">
        <f t="shared" si="343"/>
        <v>-9873.767014970741</v>
      </c>
      <c r="F375" s="17">
        <f t="shared" si="344"/>
        <v>-120233.31858497075</v>
      </c>
      <c r="G375" s="17">
        <f t="shared" si="345"/>
        <v>9938.2642050292579</v>
      </c>
      <c r="H375" s="17">
        <f t="shared" si="346"/>
        <v>9938.2642050292579</v>
      </c>
      <c r="I375" s="17">
        <f t="shared" si="347"/>
        <v>6867.7050001706002</v>
      </c>
      <c r="J375" s="20">
        <f>(Geraetedaten!$B$152+(Geraetedaten!$B$153*(Geraetedaten!$B$18+d_y_Sw)/1000))*10</f>
        <v>6051.0442000000003</v>
      </c>
      <c r="K375" s="20">
        <f>(Geraetedaten!$B$165+(Geraetedaten!$B$166*(Geraetedaten!$B$18+d_y_Sw)/1000))*10</f>
        <v>10816.164000000001</v>
      </c>
      <c r="L375" s="20">
        <f>(Geraetedaten!$B$158+(Geraetedaten!$B$159*(Geraetedaten!$B$18+d_y_Sw)/1000)-(Geraetedaten!$B$160*I375/1000))*10</f>
        <v>97.927792337489734</v>
      </c>
      <c r="M375" s="20">
        <f>(Geraetedaten!$B$171+(Geraetedaten!$B$172*(Geraetedaten!$B$18+d_y_Sw)/1000)-(Geraetedaten!$B$173*I375/1000))*10</f>
        <v>553.63503978730137</v>
      </c>
      <c r="N375" s="20">
        <f>IF((H375-J375)/(K375-J375)*(Geraetedaten!$B$174-Geraetedaten!$B$161)&lt;Geraetedaten!$B$174,(H375-J375)/(K375-J375)*(Geraetedaten!$B$174-Geraetedaten!$B$161),Geraetedaten!$B$174)</f>
        <v>326.30617219984754</v>
      </c>
      <c r="O375" s="20">
        <f>N375/Geraetedaten!$B$174*(M375-L375)+L375+C375</f>
        <v>524.45170620592239</v>
      </c>
      <c r="P375" s="20">
        <f t="shared" si="348"/>
        <v>166.85733167899701</v>
      </c>
      <c r="Q375" s="21">
        <f>(N375-Geraetedaten!$B$161)/(Geraetedaten!$B$174-Geraetedaten!$B$161)*(Geraetedaten!$B$175-Geraetedaten!$B$162)+Geraetedaten!$B$162</f>
        <v>38.907608622945467</v>
      </c>
      <c r="R375" s="21">
        <f t="shared" si="349"/>
        <v>38.907608622945467</v>
      </c>
      <c r="S375" s="21">
        <f t="shared" si="350"/>
        <v>-17.055973010861216</v>
      </c>
      <c r="T375" s="88">
        <f t="shared" si="351"/>
        <v>34.969926986041507</v>
      </c>
      <c r="U375" s="86">
        <f t="shared" si="352"/>
        <v>171373.18179999999</v>
      </c>
      <c r="V375" s="85">
        <f t="shared" si="353"/>
        <v>-1346.4914747781525</v>
      </c>
      <c r="W375" s="85">
        <f t="shared" si="354"/>
        <v>38567.866134695367</v>
      </c>
      <c r="X375" s="90">
        <f t="shared" si="355"/>
        <v>1346.4914747781525</v>
      </c>
      <c r="Y375" s="86">
        <f t="shared" si="356"/>
        <v>-9818.9933199999996</v>
      </c>
      <c r="Z375" s="85">
        <f t="shared" si="357"/>
        <v>-818.62113479844345</v>
      </c>
      <c r="AA375" s="85">
        <f t="shared" si="358"/>
        <v>-940.76638076102358</v>
      </c>
      <c r="AB375" s="90">
        <f t="shared" si="359"/>
        <v>818.62113479844345</v>
      </c>
      <c r="AC375" s="86">
        <f t="shared" si="360"/>
        <v>-120178.54489</v>
      </c>
      <c r="AD375" s="85">
        <f t="shared" si="361"/>
        <v>3384.56104615708</v>
      </c>
      <c r="AE375" s="85">
        <f t="shared" si="362"/>
        <v>-67787.312030047309</v>
      </c>
      <c r="AF375" s="90">
        <f t="shared" si="363"/>
        <v>3384.56104615708</v>
      </c>
      <c r="AG375" s="86">
        <f t="shared" si="364"/>
        <v>9993.0378999999994</v>
      </c>
      <c r="AH375" s="85">
        <f t="shared" si="365"/>
        <v>6139.2748628683721</v>
      </c>
      <c r="AI375" s="85">
        <f t="shared" si="366"/>
        <v>6867.7050001706002</v>
      </c>
      <c r="AJ375" s="90">
        <f t="shared" si="367"/>
        <v>6139.2748628683721</v>
      </c>
      <c r="AL375" s="95">
        <f t="shared" si="368"/>
        <v>0</v>
      </c>
      <c r="AM375" s="95">
        <f t="shared" si="369"/>
        <v>0</v>
      </c>
      <c r="AN375" s="95">
        <f t="shared" si="370"/>
        <v>0</v>
      </c>
      <c r="AO375" s="95">
        <f t="shared" si="371"/>
        <v>0</v>
      </c>
      <c r="AP375"/>
      <c r="AQ375" s="95">
        <f t="shared" si="372"/>
        <v>0</v>
      </c>
      <c r="AR375" s="95">
        <f t="shared" si="373"/>
        <v>0</v>
      </c>
      <c r="AS375" s="95">
        <f>Geraetedaten!$B$94*ABS(SIN(RADIANS($A375)))</f>
        <v>67.509156605517987</v>
      </c>
      <c r="AT375" s="95">
        <f>Geraetedaten!$B$94*ABS(COS(RADIANS($A375)))</f>
        <v>138.41428313007168</v>
      </c>
      <c r="AU375" s="95">
        <f>((h_Aw_Sw+Geraetedaten!$B$18)/1000)*(AQ375*AS375+AR375*AT375)/100</f>
        <v>0</v>
      </c>
    </row>
    <row r="376" spans="1:47" ht="13.5" x14ac:dyDescent="0.25">
      <c r="A376" s="16">
        <v>335</v>
      </c>
      <c r="B376" s="16">
        <f t="shared" si="340"/>
        <v>115</v>
      </c>
      <c r="C376" s="19">
        <f t="shared" si="341"/>
        <v>53.99764184806476</v>
      </c>
      <c r="D376" s="17">
        <f t="shared" si="342"/>
        <v>342514.82399815193</v>
      </c>
      <c r="E376" s="17">
        <f t="shared" si="343"/>
        <v>-9778.3655218480653</v>
      </c>
      <c r="F376" s="17">
        <f t="shared" si="344"/>
        <v>-184733.80489184806</v>
      </c>
      <c r="G376" s="17">
        <f t="shared" si="345"/>
        <v>9853.8531081519341</v>
      </c>
      <c r="H376" s="17">
        <f t="shared" si="346"/>
        <v>9853.8531081519341</v>
      </c>
      <c r="I376" s="17">
        <f t="shared" si="347"/>
        <v>6809.1602186913851</v>
      </c>
      <c r="J376" s="20">
        <f>(Geraetedaten!$B$152+(Geraetedaten!$B$153*(Geraetedaten!$B$18+d_y_Sw)/1000))*10</f>
        <v>6051.0442000000003</v>
      </c>
      <c r="K376" s="20">
        <f>(Geraetedaten!$B$165+(Geraetedaten!$B$166*(Geraetedaten!$B$18+d_y_Sw)/1000))*10</f>
        <v>10816.164000000001</v>
      </c>
      <c r="L376" s="20">
        <f>(Geraetedaten!$B$158+(Geraetedaten!$B$159*(Geraetedaten!$B$18+d_y_Sw)/1000)-(Geraetedaten!$B$160*I376/1000))*10</f>
        <v>102.2208811633606</v>
      </c>
      <c r="M376" s="20">
        <f>(Geraetedaten!$B$171+(Geraetedaten!$B$172*(Geraetedaten!$B$18+d_y_Sw)/1000)-(Geraetedaten!$B$173*I376/1000))*10</f>
        <v>557.99311332061416</v>
      </c>
      <c r="N376" s="20">
        <f>IF((H376-J376)/(K376-J376)*(Geraetedaten!$B$174-Geraetedaten!$B$161)&lt;Geraetedaten!$B$174,(H376-J376)/(K376-J376)*(Geraetedaten!$B$174-Geraetedaten!$B$161),Geraetedaten!$B$174)</f>
        <v>319.22042406169379</v>
      </c>
      <c r="O376" s="20">
        <f>N376/Geraetedaten!$B$174*(M376-L376)+L376+C376</f>
        <v>519.94803607338349</v>
      </c>
      <c r="P376" s="20">
        <f t="shared" si="348"/>
        <v>166.21432706991624</v>
      </c>
      <c r="Q376" s="21">
        <f>(N376-Geraetedaten!$B$161)/(Geraetedaten!$B$174-Geraetedaten!$B$161)*(Geraetedaten!$B$175-Geraetedaten!$B$162)+Geraetedaten!$B$162</f>
        <v>38.69680761583539</v>
      </c>
      <c r="R376" s="21">
        <f t="shared" si="349"/>
        <v>38.69680761583539</v>
      </c>
      <c r="S376" s="21">
        <f t="shared" si="350"/>
        <v>-16.353977569518605</v>
      </c>
      <c r="T376" s="88">
        <f t="shared" si="351"/>
        <v>35.071218075690759</v>
      </c>
      <c r="U376" s="86">
        <f t="shared" si="352"/>
        <v>342568.82163999998</v>
      </c>
      <c r="V376" s="85">
        <f t="shared" si="353"/>
        <v>-1346.4914747781525</v>
      </c>
      <c r="W376" s="85">
        <f t="shared" si="354"/>
        <v>77095.776108717415</v>
      </c>
      <c r="X376" s="90">
        <f t="shared" si="355"/>
        <v>1346.4914747781525</v>
      </c>
      <c r="Y376" s="86">
        <f t="shared" si="356"/>
        <v>-9724.3678799999998</v>
      </c>
      <c r="Z376" s="85">
        <f t="shared" si="357"/>
        <v>-818.62113479844345</v>
      </c>
      <c r="AA376" s="85">
        <f t="shared" si="358"/>
        <v>-931.70023452028306</v>
      </c>
      <c r="AB376" s="90">
        <f t="shared" si="359"/>
        <v>818.62113479844345</v>
      </c>
      <c r="AC376" s="86">
        <f t="shared" si="360"/>
        <v>-184679.80725000001</v>
      </c>
      <c r="AD376" s="85">
        <f t="shared" si="361"/>
        <v>3384.56104615708</v>
      </c>
      <c r="AE376" s="85">
        <f t="shared" si="362"/>
        <v>-104169.57312940236</v>
      </c>
      <c r="AF376" s="90">
        <f t="shared" si="363"/>
        <v>3384.56104615708</v>
      </c>
      <c r="AG376" s="86">
        <f t="shared" si="364"/>
        <v>9907.8507499999996</v>
      </c>
      <c r="AH376" s="85">
        <f t="shared" si="365"/>
        <v>6139.2748628683721</v>
      </c>
      <c r="AI376" s="85">
        <f t="shared" si="366"/>
        <v>6809.1602186913851</v>
      </c>
      <c r="AJ376" s="90">
        <f t="shared" si="367"/>
        <v>6139.2748628683721</v>
      </c>
      <c r="AL376" s="95">
        <f t="shared" si="368"/>
        <v>0</v>
      </c>
      <c r="AM376" s="95">
        <f t="shared" si="369"/>
        <v>0</v>
      </c>
      <c r="AN376" s="95">
        <f t="shared" si="370"/>
        <v>0</v>
      </c>
      <c r="AO376" s="95">
        <f t="shared" si="371"/>
        <v>0</v>
      </c>
      <c r="AP376"/>
      <c r="AQ376" s="95">
        <f t="shared" si="372"/>
        <v>0</v>
      </c>
      <c r="AR376" s="95">
        <f t="shared" si="373"/>
        <v>0</v>
      </c>
      <c r="AS376" s="95">
        <f>Geraetedaten!$B$94*ABS(SIN(RADIANS($A376)))</f>
        <v>65.083212308067687</v>
      </c>
      <c r="AT376" s="95">
        <f>Geraetedaten!$B$94*ABS(COS(RADIANS($A376)))</f>
        <v>139.57139920364412</v>
      </c>
      <c r="AU376" s="95">
        <f>((h_Aw_Sw+Geraetedaten!$B$18)/1000)*(AQ376*AS376+AR376*AT376)/100</f>
        <v>0</v>
      </c>
    </row>
    <row r="377" spans="1:47" ht="13.5" x14ac:dyDescent="0.25">
      <c r="A377" s="16">
        <v>336</v>
      </c>
      <c r="B377" s="16">
        <f t="shared" si="340"/>
        <v>114</v>
      </c>
      <c r="C377" s="19">
        <f t="shared" si="341"/>
        <v>53.205140520595009</v>
      </c>
      <c r="D377" s="17">
        <f t="shared" si="342"/>
        <v>468382725.22832948</v>
      </c>
      <c r="E377" s="17">
        <f t="shared" si="343"/>
        <v>-9687.6607205205946</v>
      </c>
      <c r="F377" s="17">
        <f t="shared" si="344"/>
        <v>-398943.9540105206</v>
      </c>
      <c r="G377" s="17">
        <f t="shared" si="345"/>
        <v>9773.866689479406</v>
      </c>
      <c r="H377" s="17">
        <f t="shared" si="346"/>
        <v>9773.866689479406</v>
      </c>
      <c r="I377" s="17">
        <f t="shared" si="347"/>
        <v>6753.6449846109745</v>
      </c>
      <c r="J377" s="20">
        <f>(Geraetedaten!$B$152+(Geraetedaten!$B$153*(Geraetedaten!$B$18+d_y_Sw)/1000))*10</f>
        <v>6051.0442000000003</v>
      </c>
      <c r="K377" s="20">
        <f>(Geraetedaten!$B$165+(Geraetedaten!$B$166*(Geraetedaten!$B$18+d_y_Sw)/1000))*10</f>
        <v>10816.164000000001</v>
      </c>
      <c r="L377" s="20">
        <f>(Geraetedaten!$B$158+(Geraetedaten!$B$159*(Geraetedaten!$B$18+d_y_Sw)/1000)-(Geraetedaten!$B$160*I377/1000))*10</f>
        <v>106.29181327847711</v>
      </c>
      <c r="M377" s="20">
        <f>(Geraetedaten!$B$171+(Geraetedaten!$B$172*(Geraetedaten!$B$18+d_y_Sw)/1000)-(Geraetedaten!$B$173*I377/1000))*10</f>
        <v>562.1256673455598</v>
      </c>
      <c r="N377" s="20">
        <f>IF((H377-J377)/(K377-J377)*(Geraetedaten!$B$174-Geraetedaten!$B$161)&lt;Geraetedaten!$B$174,(H377-J377)/(K377-J377)*(Geraetedaten!$B$174-Geraetedaten!$B$161),Geraetedaten!$B$174)</f>
        <v>312.50609812407282</v>
      </c>
      <c r="O377" s="20">
        <f>N377/Geraetedaten!$B$174*(M377-L377)+L377+C377</f>
        <v>515.62410161747721</v>
      </c>
      <c r="P377" s="20">
        <f t="shared" si="348"/>
        <v>165.5810391066338</v>
      </c>
      <c r="Q377" s="21">
        <f>(N377-Geraetedaten!$B$161)/(Geraetedaten!$B$174-Geraetedaten!$B$161)*(Geraetedaten!$B$175-Geraetedaten!$B$162)+Geraetedaten!$B$162</f>
        <v>38.497056419191168</v>
      </c>
      <c r="R377" s="21">
        <f t="shared" si="349"/>
        <v>38.497056419191168</v>
      </c>
      <c r="S377" s="21">
        <f t="shared" si="350"/>
        <v>-15.6581634962415</v>
      </c>
      <c r="T377" s="88">
        <f t="shared" si="351"/>
        <v>35.168811024363023</v>
      </c>
      <c r="U377" s="86">
        <f t="shared" si="352"/>
        <v>468382778.43347001</v>
      </c>
      <c r="V377" s="85">
        <f t="shared" si="353"/>
        <v>-1346.4914747781525</v>
      </c>
      <c r="W377" s="85">
        <f t="shared" si="354"/>
        <v>105410450.50471987</v>
      </c>
      <c r="X377" s="90">
        <f t="shared" si="355"/>
        <v>1346.4914747781525</v>
      </c>
      <c r="Y377" s="86">
        <f t="shared" si="356"/>
        <v>-9634.4555799999998</v>
      </c>
      <c r="Z377" s="85">
        <f t="shared" si="357"/>
        <v>-818.62113479844345</v>
      </c>
      <c r="AA377" s="85">
        <f t="shared" si="358"/>
        <v>-923.08565787545979</v>
      </c>
      <c r="AB377" s="90">
        <f t="shared" si="359"/>
        <v>818.62113479844345</v>
      </c>
      <c r="AC377" s="86">
        <f t="shared" si="360"/>
        <v>-398890.74887000001</v>
      </c>
      <c r="AD377" s="85">
        <f t="shared" si="361"/>
        <v>3384.56104615708</v>
      </c>
      <c r="AE377" s="85">
        <f t="shared" si="362"/>
        <v>-224996.3309651606</v>
      </c>
      <c r="AF377" s="90">
        <f t="shared" si="363"/>
        <v>3384.56104615708</v>
      </c>
      <c r="AG377" s="86">
        <f t="shared" si="364"/>
        <v>9827.0718300000008</v>
      </c>
      <c r="AH377" s="85">
        <f t="shared" si="365"/>
        <v>6139.2748628683721</v>
      </c>
      <c r="AI377" s="85">
        <f t="shared" si="366"/>
        <v>6753.6449846109745</v>
      </c>
      <c r="AJ377" s="90">
        <f t="shared" si="367"/>
        <v>6139.2748628683721</v>
      </c>
      <c r="AL377" s="95">
        <f t="shared" si="368"/>
        <v>0</v>
      </c>
      <c r="AM377" s="95">
        <f t="shared" si="369"/>
        <v>0</v>
      </c>
      <c r="AN377" s="95">
        <f t="shared" si="370"/>
        <v>0</v>
      </c>
      <c r="AO377" s="95">
        <f t="shared" si="371"/>
        <v>0</v>
      </c>
      <c r="AP377"/>
      <c r="AQ377" s="95">
        <f t="shared" si="372"/>
        <v>0</v>
      </c>
      <c r="AR377" s="95">
        <f t="shared" si="373"/>
        <v>0</v>
      </c>
      <c r="AS377" s="95">
        <f>Geraetedaten!$B$94*ABS(SIN(RADIANS($A377)))</f>
        <v>62.637443033673222</v>
      </c>
      <c r="AT377" s="95">
        <f>Geraetedaten!$B$94*ABS(COS(RADIANS($A377)))</f>
        <v>140.68600047696054</v>
      </c>
      <c r="AU377" s="95">
        <f>((h_Aw_Sw+Geraetedaten!$B$18)/1000)*(AQ377*AS377+AR377*AT377)/100</f>
        <v>0</v>
      </c>
    </row>
    <row r="378" spans="1:47" ht="13.5" x14ac:dyDescent="0.25">
      <c r="A378" s="16">
        <v>337</v>
      </c>
      <c r="B378" s="16">
        <f t="shared" si="340"/>
        <v>113</v>
      </c>
      <c r="C378" s="19">
        <f t="shared" si="341"/>
        <v>52.396432391912903</v>
      </c>
      <c r="D378" s="17">
        <f t="shared" si="342"/>
        <v>-343122.97599239188</v>
      </c>
      <c r="E378" s="17">
        <f t="shared" si="343"/>
        <v>-9601.4692423919132</v>
      </c>
      <c r="F378" s="17">
        <f t="shared" si="344"/>
        <v>2489760.5797076081</v>
      </c>
      <c r="G378" s="17">
        <f t="shared" si="345"/>
        <v>9698.1490876080861</v>
      </c>
      <c r="H378" s="17">
        <f t="shared" si="346"/>
        <v>9698.1490876080861</v>
      </c>
      <c r="I378" s="17">
        <f t="shared" si="347"/>
        <v>6701.0523617466752</v>
      </c>
      <c r="J378" s="20">
        <f>(Geraetedaten!$B$152+(Geraetedaten!$B$153*(Geraetedaten!$B$18+d_y_Sw)/1000))*10</f>
        <v>6051.0442000000003</v>
      </c>
      <c r="K378" s="20">
        <f>(Geraetedaten!$B$165+(Geraetedaten!$B$166*(Geraetedaten!$B$18+d_y_Sw)/1000))*10</f>
        <v>10816.164000000001</v>
      </c>
      <c r="L378" s="20">
        <f>(Geraetedaten!$B$158+(Geraetedaten!$B$159*(Geraetedaten!$B$18+d_y_Sw)/1000)-(Geraetedaten!$B$160*I378/1000))*10</f>
        <v>110.14843031311621</v>
      </c>
      <c r="M378" s="20">
        <f>(Geraetedaten!$B$171+(Geraetedaten!$B$172*(Geraetedaten!$B$18+d_y_Sw)/1000)-(Geraetedaten!$B$173*I378/1000))*10</f>
        <v>566.04066219157835</v>
      </c>
      <c r="N378" s="20">
        <f>IF((H378-J378)/(K378-J378)*(Geraetedaten!$B$174-Geraetedaten!$B$161)&lt;Geraetedaten!$B$174,(H378-J378)/(K378-J378)*(Geraetedaten!$B$174-Geraetedaten!$B$161),Geraetedaten!$B$174)</f>
        <v>306.15011086252946</v>
      </c>
      <c r="O378" s="20">
        <f>N378/Geraetedaten!$B$174*(M378-L378)+L378+C378</f>
        <v>511.47350603242205</v>
      </c>
      <c r="P378" s="20">
        <f t="shared" si="348"/>
        <v>164.95749316842529</v>
      </c>
      <c r="Q378" s="21">
        <f>(N378-Geraetedaten!$B$161)/(Geraetedaten!$B$174-Geraetedaten!$B$161)*(Geraetedaten!$B$175-Geraetedaten!$B$162)+Geraetedaten!$B$162</f>
        <v>38.307965798160254</v>
      </c>
      <c r="R378" s="21">
        <f t="shared" si="349"/>
        <v>38.307965798160254</v>
      </c>
      <c r="S378" s="21">
        <f t="shared" si="350"/>
        <v>-14.968114706443663</v>
      </c>
      <c r="T378" s="88">
        <f t="shared" si="351"/>
        <v>35.262668443096601</v>
      </c>
      <c r="U378" s="86">
        <f t="shared" si="352"/>
        <v>-343070.57955999998</v>
      </c>
      <c r="V378" s="85">
        <f t="shared" si="353"/>
        <v>-1346.4914747781525</v>
      </c>
      <c r="W378" s="85">
        <f t="shared" si="354"/>
        <v>-77208.69769958104</v>
      </c>
      <c r="X378" s="90">
        <f t="shared" si="355"/>
        <v>1346.4914747781525</v>
      </c>
      <c r="Y378" s="86">
        <f t="shared" si="356"/>
        <v>-9549.0728099999997</v>
      </c>
      <c r="Z378" s="85">
        <f t="shared" si="357"/>
        <v>-818.62113479844345</v>
      </c>
      <c r="AA378" s="85">
        <f t="shared" si="358"/>
        <v>-914.90505973576137</v>
      </c>
      <c r="AB378" s="90">
        <f t="shared" si="359"/>
        <v>818.62113479844345</v>
      </c>
      <c r="AC378" s="86">
        <f t="shared" si="360"/>
        <v>2489812.9761399999</v>
      </c>
      <c r="AD378" s="85">
        <f t="shared" si="361"/>
        <v>3384.56104615708</v>
      </c>
      <c r="AE378" s="85">
        <f t="shared" si="362"/>
        <v>1404391.5182335966</v>
      </c>
      <c r="AF378" s="90">
        <f t="shared" si="363"/>
        <v>3384.56104615708</v>
      </c>
      <c r="AG378" s="86">
        <f t="shared" si="364"/>
        <v>9750.5455199999997</v>
      </c>
      <c r="AH378" s="85">
        <f t="shared" si="365"/>
        <v>6139.2748628683721</v>
      </c>
      <c r="AI378" s="85">
        <f t="shared" si="366"/>
        <v>6701.0523617466752</v>
      </c>
      <c r="AJ378" s="90">
        <f t="shared" si="367"/>
        <v>6139.2748628683721</v>
      </c>
      <c r="AL378" s="95">
        <f t="shared" si="368"/>
        <v>0</v>
      </c>
      <c r="AM378" s="95">
        <f t="shared" si="369"/>
        <v>0</v>
      </c>
      <c r="AN378" s="95">
        <f t="shared" si="370"/>
        <v>0</v>
      </c>
      <c r="AO378" s="95">
        <f t="shared" si="371"/>
        <v>0</v>
      </c>
      <c r="AP378"/>
      <c r="AQ378" s="95">
        <f t="shared" si="372"/>
        <v>0</v>
      </c>
      <c r="AR378" s="95">
        <f t="shared" si="373"/>
        <v>0</v>
      </c>
      <c r="AS378" s="95">
        <f>Geraetedaten!$B$94*ABS(SIN(RADIANS($A378)))</f>
        <v>60.172593787348177</v>
      </c>
      <c r="AT378" s="95">
        <f>Geraetedaten!$B$94*ABS(COS(RADIANS($A378)))</f>
        <v>141.7577474316758</v>
      </c>
      <c r="AU378" s="95">
        <f>((h_Aw_Sw+Geraetedaten!$B$18)/1000)*(AQ378*AS378+AR378*AT378)/100</f>
        <v>0</v>
      </c>
    </row>
    <row r="379" spans="1:47" ht="13.5" x14ac:dyDescent="0.25">
      <c r="A379" s="16">
        <v>338</v>
      </c>
      <c r="B379" s="16">
        <f t="shared" si="340"/>
        <v>112</v>
      </c>
      <c r="C379" s="19">
        <f t="shared" si="341"/>
        <v>51.571763802348592</v>
      </c>
      <c r="D379" s="17">
        <f t="shared" si="342"/>
        <v>-171550.17387380236</v>
      </c>
      <c r="E379" s="17">
        <f t="shared" si="343"/>
        <v>-9519.6206038023483</v>
      </c>
      <c r="F379" s="17">
        <f t="shared" si="344"/>
        <v>302053.8363461977</v>
      </c>
      <c r="G379" s="17">
        <f t="shared" si="345"/>
        <v>9626.5553861976514</v>
      </c>
      <c r="H379" s="17">
        <f t="shared" si="346"/>
        <v>9626.5553861976514</v>
      </c>
      <c r="I379" s="17">
        <f t="shared" si="347"/>
        <v>6651.2829077331517</v>
      </c>
      <c r="J379" s="20">
        <f>(Geraetedaten!$B$152+(Geraetedaten!$B$153*(Geraetedaten!$B$18+d_y_Sw)/1000))*10</f>
        <v>6051.0442000000003</v>
      </c>
      <c r="K379" s="20">
        <f>(Geraetedaten!$B$165+(Geraetedaten!$B$166*(Geraetedaten!$B$18+d_y_Sw)/1000))*10</f>
        <v>10816.164000000001</v>
      </c>
      <c r="L379" s="20">
        <f>(Geraetedaten!$B$158+(Geraetedaten!$B$159*(Geraetedaten!$B$18+d_y_Sw)/1000)-(Geraetedaten!$B$160*I379/1000))*10</f>
        <v>113.79802437592787</v>
      </c>
      <c r="M379" s="20">
        <f>(Geraetedaten!$B$171+(Geraetedaten!$B$172*(Geraetedaten!$B$18+d_y_Sw)/1000)-(Geraetedaten!$B$173*I379/1000))*10</f>
        <v>569.74550034834499</v>
      </c>
      <c r="N379" s="20">
        <f>IF((H379-J379)/(K379-J379)*(Geraetedaten!$B$174-Geraetedaten!$B$161)&lt;Geraetedaten!$B$174,(H379-J379)/(K379-J379)*(Geraetedaten!$B$174-Geraetedaten!$B$161),Geraetedaten!$B$174)</f>
        <v>300.14029751761132</v>
      </c>
      <c r="O379" s="20">
        <f>N379/Geraetedaten!$B$174*(M379-L379)+L379+C379</f>
        <v>507.4903159051895</v>
      </c>
      <c r="P379" s="20">
        <f t="shared" si="348"/>
        <v>164.34372465900344</v>
      </c>
      <c r="Q379" s="21">
        <f>(N379-Geraetedaten!$B$161)/(Geraetedaten!$B$174-Geraetedaten!$B$161)*(Geraetedaten!$B$175-Geraetedaten!$B$162)+Geraetedaten!$B$162</f>
        <v>38.129173851148934</v>
      </c>
      <c r="R379" s="21">
        <f t="shared" si="349"/>
        <v>38.129173851148934</v>
      </c>
      <c r="S379" s="21">
        <f t="shared" si="350"/>
        <v>-14.283439926141986</v>
      </c>
      <c r="T379" s="88">
        <f t="shared" si="351"/>
        <v>35.352754382755421</v>
      </c>
      <c r="U379" s="86">
        <f t="shared" si="352"/>
        <v>-171498.60211000001</v>
      </c>
      <c r="V379" s="85">
        <f t="shared" si="353"/>
        <v>-1346.4914747781525</v>
      </c>
      <c r="W379" s="85">
        <f t="shared" si="354"/>
        <v>-38596.092218824175</v>
      </c>
      <c r="X379" s="90">
        <f t="shared" si="355"/>
        <v>1346.4914747781525</v>
      </c>
      <c r="Y379" s="86">
        <f t="shared" si="356"/>
        <v>-9468.0488399999995</v>
      </c>
      <c r="Z379" s="85">
        <f t="shared" si="357"/>
        <v>-818.62113479844345</v>
      </c>
      <c r="AA379" s="85">
        <f t="shared" si="358"/>
        <v>-907.14208151511036</v>
      </c>
      <c r="AB379" s="90">
        <f t="shared" si="359"/>
        <v>818.62113479844345</v>
      </c>
      <c r="AC379" s="86">
        <f t="shared" si="360"/>
        <v>302105.40811000002</v>
      </c>
      <c r="AD379" s="85">
        <f t="shared" si="361"/>
        <v>3384.56104615708</v>
      </c>
      <c r="AE379" s="85">
        <f t="shared" si="362"/>
        <v>170404.07324730398</v>
      </c>
      <c r="AF379" s="90">
        <f t="shared" si="363"/>
        <v>3384.56104615708</v>
      </c>
      <c r="AG379" s="86">
        <f t="shared" si="364"/>
        <v>9678.1271500000003</v>
      </c>
      <c r="AH379" s="85">
        <f t="shared" si="365"/>
        <v>6139.2748628683721</v>
      </c>
      <c r="AI379" s="85">
        <f t="shared" si="366"/>
        <v>6651.2829077331517</v>
      </c>
      <c r="AJ379" s="90">
        <f t="shared" si="367"/>
        <v>6139.2748628683721</v>
      </c>
      <c r="AL379" s="95">
        <f t="shared" si="368"/>
        <v>0</v>
      </c>
      <c r="AM379" s="95">
        <f t="shared" si="369"/>
        <v>0</v>
      </c>
      <c r="AN379" s="95">
        <f t="shared" si="370"/>
        <v>0</v>
      </c>
      <c r="AO379" s="95">
        <f t="shared" si="371"/>
        <v>0</v>
      </c>
      <c r="AP379"/>
      <c r="AQ379" s="95">
        <f t="shared" si="372"/>
        <v>0</v>
      </c>
      <c r="AR379" s="95">
        <f t="shared" si="373"/>
        <v>0</v>
      </c>
      <c r="AS379" s="95">
        <f>Geraetedaten!$B$94*ABS(SIN(RADIANS($A379)))</f>
        <v>57.689415386050499</v>
      </c>
      <c r="AT379" s="95">
        <f>Geraetedaten!$B$94*ABS(COS(RADIANS($A379)))</f>
        <v>142.78631360328524</v>
      </c>
      <c r="AU379" s="95">
        <f>((h_Aw_Sw+Geraetedaten!$B$18)/1000)*(AQ379*AS379+AR379*AT379)/100</f>
        <v>0</v>
      </c>
    </row>
    <row r="380" spans="1:47" ht="13.5" x14ac:dyDescent="0.25">
      <c r="A380" s="16">
        <v>339</v>
      </c>
      <c r="B380" s="16">
        <f t="shared" si="340"/>
        <v>111</v>
      </c>
      <c r="C380" s="19">
        <f t="shared" si="341"/>
        <v>50.731385953943189</v>
      </c>
      <c r="D380" s="17">
        <f t="shared" si="342"/>
        <v>-114398.20154595394</v>
      </c>
      <c r="E380" s="17">
        <f t="shared" si="343"/>
        <v>-9441.9562459539429</v>
      </c>
      <c r="F380" s="17">
        <f t="shared" si="344"/>
        <v>160784.03965404604</v>
      </c>
      <c r="G380" s="17">
        <f t="shared" si="345"/>
        <v>9558.9507940460571</v>
      </c>
      <c r="H380" s="17">
        <f t="shared" si="346"/>
        <v>9558.9507940460571</v>
      </c>
      <c r="I380" s="17">
        <f t="shared" si="347"/>
        <v>6604.2441755346881</v>
      </c>
      <c r="J380" s="20">
        <f>(Geraetedaten!$B$152+(Geraetedaten!$B$153*(Geraetedaten!$B$18+d_y_Sw)/1000))*10</f>
        <v>6051.0442000000003</v>
      </c>
      <c r="K380" s="20">
        <f>(Geraetedaten!$B$165+(Geraetedaten!$B$166*(Geraetedaten!$B$18+d_y_Sw)/1000))*10</f>
        <v>10816.164000000001</v>
      </c>
      <c r="L380" s="20">
        <f>(Geraetedaten!$B$158+(Geraetedaten!$B$159*(Geraetedaten!$B$18+d_y_Sw)/1000)-(Geraetedaten!$B$160*I380/1000))*10</f>
        <v>117.24737460804114</v>
      </c>
      <c r="M380" s="20">
        <f>(Geraetedaten!$B$171+(Geraetedaten!$B$172*(Geraetedaten!$B$18+d_y_Sw)/1000)-(Geraetedaten!$B$173*I380/1000))*10</f>
        <v>573.2470635731986</v>
      </c>
      <c r="N380" s="20">
        <f>IF((H380-J380)/(K380-J380)*(Geraetedaten!$B$174-Geraetedaten!$B$161)&lt;Geraetedaten!$B$174,(H380-J380)/(K380-J380)*(Geraetedaten!$B$174-Geraetedaten!$B$161),Geraetedaten!$B$174)</f>
        <v>294.46534326763884</v>
      </c>
      <c r="O380" s="20">
        <f>N380/Geraetedaten!$B$174*(M380-L380)+L380+C380</f>
        <v>503.66902291463839</v>
      </c>
      <c r="P380" s="20">
        <f t="shared" si="348"/>
        <v>163.73977756672329</v>
      </c>
      <c r="Q380" s="21">
        <f>(N380-Geraetedaten!$B$161)/(Geraetedaten!$B$174-Geraetedaten!$B$161)*(Geraetedaten!$B$175-Geraetedaten!$B$162)+Geraetedaten!$B$162</f>
        <v>37.960343962212256</v>
      </c>
      <c r="R380" s="21">
        <f t="shared" si="349"/>
        <v>37.960343962212256</v>
      </c>
      <c r="S380" s="21">
        <f t="shared" si="350"/>
        <v>-13.603770629772345</v>
      </c>
      <c r="T380" s="88">
        <f t="shared" si="351"/>
        <v>35.439034106222586</v>
      </c>
      <c r="U380" s="86">
        <f t="shared" si="352"/>
        <v>-114347.47016</v>
      </c>
      <c r="V380" s="85">
        <f t="shared" si="353"/>
        <v>-1346.4914747781525</v>
      </c>
      <c r="W380" s="85">
        <f t="shared" si="354"/>
        <v>-25734.119397695802</v>
      </c>
      <c r="X380" s="90">
        <f t="shared" si="355"/>
        <v>1346.4914747781525</v>
      </c>
      <c r="Y380" s="86">
        <f t="shared" si="356"/>
        <v>-9391.2248600000003</v>
      </c>
      <c r="Z380" s="85">
        <f t="shared" si="357"/>
        <v>-818.62113479844345</v>
      </c>
      <c r="AA380" s="85">
        <f t="shared" si="358"/>
        <v>-899.78150893230713</v>
      </c>
      <c r="AB380" s="90">
        <f t="shared" si="359"/>
        <v>818.62113479844345</v>
      </c>
      <c r="AC380" s="86">
        <f t="shared" si="360"/>
        <v>160834.77103999999</v>
      </c>
      <c r="AD380" s="85">
        <f t="shared" si="361"/>
        <v>3384.56104615708</v>
      </c>
      <c r="AE380" s="85">
        <f t="shared" si="362"/>
        <v>90719.660653638857</v>
      </c>
      <c r="AF380" s="90">
        <f t="shared" si="363"/>
        <v>3384.56104615708</v>
      </c>
      <c r="AG380" s="86">
        <f t="shared" si="364"/>
        <v>9609.6821799999998</v>
      </c>
      <c r="AH380" s="85">
        <f t="shared" si="365"/>
        <v>6139.2748628683721</v>
      </c>
      <c r="AI380" s="85">
        <f t="shared" si="366"/>
        <v>6604.2441755346881</v>
      </c>
      <c r="AJ380" s="90">
        <f t="shared" si="367"/>
        <v>6139.2748628683721</v>
      </c>
      <c r="AL380" s="95">
        <f t="shared" si="368"/>
        <v>0</v>
      </c>
      <c r="AM380" s="95">
        <f t="shared" si="369"/>
        <v>0</v>
      </c>
      <c r="AN380" s="95">
        <f t="shared" si="370"/>
        <v>0</v>
      </c>
      <c r="AO380" s="95">
        <f t="shared" si="371"/>
        <v>0</v>
      </c>
      <c r="AP380"/>
      <c r="AQ380" s="95">
        <f t="shared" si="372"/>
        <v>0</v>
      </c>
      <c r="AR380" s="95">
        <f t="shared" si="373"/>
        <v>0</v>
      </c>
      <c r="AS380" s="95">
        <f>Geraetedaten!$B$94*ABS(SIN(RADIANS($A380)))</f>
        <v>55.188664229976318</v>
      </c>
      <c r="AT380" s="95">
        <f>Geraetedaten!$B$94*ABS(COS(RADIANS($A380)))</f>
        <v>143.77138568056904</v>
      </c>
      <c r="AU380" s="95">
        <f>((h_Aw_Sw+Geraetedaten!$B$18)/1000)*(AQ380*AS380+AR380*AT380)/100</f>
        <v>0</v>
      </c>
    </row>
    <row r="381" spans="1:47" ht="13.5" x14ac:dyDescent="0.25">
      <c r="A381" s="16">
        <v>340</v>
      </c>
      <c r="B381" s="16">
        <f t="shared" ref="B381:B400" si="374">360-A381+90</f>
        <v>110</v>
      </c>
      <c r="C381" s="19">
        <f t="shared" ref="C381:C400" si="375">$AE$16*ABS(COS(RADIANS(A381)))+$AE$17*ABS(SIN(RADIANS(A381)))+AU381</f>
        <v>49.875554833930195</v>
      </c>
      <c r="D381" s="17">
        <f t="shared" ref="D381:D400" si="376">IF(ISNUMBER(U381),U381-C381,"unendlich")</f>
        <v>-85835.72976483393</v>
      </c>
      <c r="E381" s="17">
        <f t="shared" ref="E381:E400" si="377">IF(ISNUMBER(Y381),Y381-C381,"unendlich")</f>
        <v>-9368.3287548339304</v>
      </c>
      <c r="F381" s="17">
        <f t="shared" ref="F381:F400" si="378">IF(ISNUMBER(AC381),AC381-C381,"unendlich")</f>
        <v>109561.68689516607</v>
      </c>
      <c r="G381" s="17">
        <f t="shared" ref="G381:G400" si="379">IF(ISNUMBER(AG381),AG381-C381,"unendlich")</f>
        <v>9495.2100751660691</v>
      </c>
      <c r="H381" s="17">
        <f t="shared" ref="H381:H400" si="380">SMALL(D381:G381,COUNTIF(D381:G381,"&lt;0")+1)</f>
        <v>9495.2100751660691</v>
      </c>
      <c r="I381" s="17">
        <f t="shared" ref="I381:I400" si="381">IF(H381+C381=U381,W381,IF(H381+C381=Y381,AA381,IF(H381+C381=AC381,AE381,IF(H381+C381=AG381,AI381,"???"))))</f>
        <v>6559.850260766576</v>
      </c>
      <c r="J381" s="20">
        <f>(Geraetedaten!$B$152+(Geraetedaten!$B$153*(Geraetedaten!$B$18+d_y_Sw)/1000))*10</f>
        <v>6051.0442000000003</v>
      </c>
      <c r="K381" s="20">
        <f>(Geraetedaten!$B$165+(Geraetedaten!$B$166*(Geraetedaten!$B$18+d_y_Sw)/1000))*10</f>
        <v>10816.164000000001</v>
      </c>
      <c r="L381" s="20">
        <f>(Geraetedaten!$B$158+(Geraetedaten!$B$159*(Geraetedaten!$B$18+d_y_Sw)/1000)-(Geraetedaten!$B$160*I381/1000))*10</f>
        <v>120.50278037798684</v>
      </c>
      <c r="M381" s="20">
        <f>(Geraetedaten!$B$171+(Geraetedaten!$B$172*(Geraetedaten!$B$18+d_y_Sw)/1000)-(Geraetedaten!$B$173*I381/1000))*10</f>
        <v>576.55174658853684</v>
      </c>
      <c r="N381" s="20">
        <f>IF((H381-J381)/(K381-J381)*(Geraetedaten!$B$174-Geraetedaten!$B$161)&lt;Geraetedaten!$B$174,(H381-J381)/(K381-J381)*(Geraetedaten!$B$174-Geraetedaten!$B$161),Geraetedaten!$B$174)</f>
        <v>289.11473538743502</v>
      </c>
      <c r="O381" s="20">
        <f>N381/Geraetedaten!$B$174*(M381-L381)+L381+C381</f>
        <v>500.0045256861082</v>
      </c>
      <c r="P381" s="20">
        <f t="shared" ref="P381:P400" si="382">O381*100/9.81/(Q381-(I381/1000))</f>
        <v>163.14570624900631</v>
      </c>
      <c r="Q381" s="21">
        <f>(N381-Geraetedaten!$B$161)/(Geraetedaten!$B$174-Geraetedaten!$B$161)*(Geraetedaten!$B$175-Geraetedaten!$B$162)+Geraetedaten!$B$162</f>
        <v>37.801163377776192</v>
      </c>
      <c r="R381" s="21">
        <f t="shared" ref="R381:R400" si="383">SQRT((r_K_D/1000)^2+Q381^2-(2*(r_K_D/1000)*Q381*COS(RADIANS(2*A381))))</f>
        <v>37.801163377776192</v>
      </c>
      <c r="S381" s="21">
        <f t="shared" ref="S381:S400" si="384">R381*SIN(A381*Const_2)</f>
        <v>-12.928759316344028</v>
      </c>
      <c r="T381" s="88">
        <f t="shared" ref="T381:T400" si="385">R381*COS(A381*Const_2)</f>
        <v>35.521474283218815</v>
      </c>
      <c r="U381" s="86">
        <f t="shared" ref="U381:U400" si="386">ROUND((F_S*r_Su_L-F_G*V381+F_SSw*X381)/(SIN(RADIANS(270+g_L-A381)))/1000,5)</f>
        <v>-85785.854210000005</v>
      </c>
      <c r="V381" s="85">
        <f t="shared" ref="V381:V400" si="387">(SIN(RADIANS(g_L)))*(((VL_Z-HL_Z)/(VL_X-HL_X))*(-HL_X+AM381)+HL_Z-AL381)</f>
        <v>-1346.4914747781525</v>
      </c>
      <c r="W381" s="85">
        <f t="shared" ref="W381:W400" si="388">V381/(SIN(RADIANS(180-g_L-(90-$A381))))</f>
        <v>-19306.272468022835</v>
      </c>
      <c r="X381" s="90">
        <f t="shared" ref="X381:X400" si="389">SIN(RADIANS(g_L))*(((VL_Z-HL_Z)/(VL_X-HL_X))*(-AO381+HL_X)-HL_Z+AN381)</f>
        <v>1346.4914747781525</v>
      </c>
      <c r="Y381" s="86">
        <f t="shared" ref="Y381:Y400" si="390">ROUND((F_S*r_Su_H-F_G*Z381+F_SSw*AB381)/(SIN(RADIANS(180+g_H-A381)))/1000,5)</f>
        <v>-9318.4531999999999</v>
      </c>
      <c r="Z381" s="85">
        <f t="shared" ref="Z381:Z400" si="391">(SIN(RADIANS(g_H)))*(((HL_X-HR_X)/(HL_Z-HR_Z))*(-HR_Z+AL381)+HR_X-AM381)</f>
        <v>-818.62113479844345</v>
      </c>
      <c r="AA381" s="85">
        <f t="shared" ref="AA381:AA400" si="392">Z381/(SIN(RADIANS(g_H-$A381)))</f>
        <v>-892.80919208646287</v>
      </c>
      <c r="AB381" s="90">
        <f t="shared" ref="AB381:AB400" si="393">SIN(RADIANS(g_H))*(((HL_X-HR_X)/(HL_Z-HR_Z))*(-AN381+HR_Z)-HR_X+AO381)</f>
        <v>818.62113479844345</v>
      </c>
      <c r="AC381" s="86">
        <f t="shared" ref="AC381:AC400" si="394">ROUND((F_S*r_Su_R+F_G*AD381+F_SSw*AF381)/(SIN(RADIANS(90+g_R-A381)))/1000,5)</f>
        <v>109611.56245</v>
      </c>
      <c r="AD381" s="85">
        <f t="shared" ref="AD381:AD400" si="395">(SIN(RADIANS(g_R)))*(((HR_Z-VR_Z)/(HR_X-VR_X))*(-VR_X+AM381)+VR_Z-AL381)</f>
        <v>3384.56104615708</v>
      </c>
      <c r="AE381" s="85">
        <f t="shared" ref="AE381:AE400" si="396">AD381/(SIN(RADIANS(180-g_R-(90-$A381))))</f>
        <v>61826.952496507132</v>
      </c>
      <c r="AF381" s="90">
        <f t="shared" ref="AF381:AF400" si="397">(SIN(RADIANS(g_R)))*(((HR_Z-VR_Z)/(HR_X-VR_X))*(-VR_X+AO381)+VR_Z-AN381)</f>
        <v>3384.56104615708</v>
      </c>
      <c r="AG381" s="86">
        <f t="shared" ref="AG381:AG400" si="398">ROUND((F_S*r_Su_V+F_G*AH381+F_SSw*AJ381)/(SIN(RADIANS(g_V-A381)))/1000,5)</f>
        <v>9545.0856299999996</v>
      </c>
      <c r="AH381" s="85">
        <f t="shared" ref="AH381:AH400" si="399">(SIN(RADIANS(g_V)))*(((VR_X-VL_X)/(VR_Z-VL_Z))*(AL381-VL_Z)+VL_X-AM381)</f>
        <v>6139.2748628683721</v>
      </c>
      <c r="AI381" s="85">
        <f t="shared" ref="AI381:AI400" si="400">AH381/(SIN(RADIANS(g_V-$A381)))</f>
        <v>6559.850260766576</v>
      </c>
      <c r="AJ381" s="90">
        <f t="shared" ref="AJ381:AJ400" si="401">(SIN(RADIANS(g_V)))*(((VR_X-VL_X)/(VR_Z-VL_Z))*(-VL_Z+AN381)+VL_X-AO381)</f>
        <v>6139.2748628683721</v>
      </c>
      <c r="AL381" s="95">
        <f t="shared" ref="AL381:AL400" si="402">SIN(RADIANS(A381))*r_K_D</f>
        <v>0</v>
      </c>
      <c r="AM381" s="95">
        <f t="shared" ref="AM381:AM400" si="403">COS(RADIANS(A381-180))*r_K_D</f>
        <v>0</v>
      </c>
      <c r="AN381" s="95">
        <f t="shared" ref="AN381:AN400" si="404">SIN(RADIANS(A381))*r_K_SSw</f>
        <v>0</v>
      </c>
      <c r="AO381" s="95">
        <f t="shared" ref="AO381:AO400" si="405">-COS(RADIANS(A381))*r_K_SSw</f>
        <v>0</v>
      </c>
      <c r="AP381"/>
      <c r="AQ381" s="95">
        <f t="shared" ref="AQ381:AQ400" si="406">MAX(d_y_Sw*(r_K_D*ABS(COS(RADIANS($A381)))+_r1_Sw+_r2_Sw), 2*_r1_Sw*d_y_Sw)/1000000</f>
        <v>0</v>
      </c>
      <c r="AR381" s="95">
        <f t="shared" ref="AR381:AR400" si="407">MAX(d_y_Sw*(r_K_D*ABS(SIN(RADIANS($A381)))+_r1_Sw+_r2_Sw), 2*_r1_Sw*d_y_Sw)/1000000</f>
        <v>0</v>
      </c>
      <c r="AS381" s="95">
        <f>Geraetedaten!$B$94*ABS(SIN(RADIANS($A381)))</f>
        <v>52.671102072152962</v>
      </c>
      <c r="AT381" s="95">
        <f>Geraetedaten!$B$94*ABS(COS(RADIANS($A381)))</f>
        <v>144.7126636010299</v>
      </c>
      <c r="AU381" s="95">
        <f>((h_Aw_Sw+Geraetedaten!$B$18)/1000)*(AQ381*AS381+AR381*AT381)/100</f>
        <v>0</v>
      </c>
    </row>
    <row r="382" spans="1:47" ht="13.5" x14ac:dyDescent="0.25">
      <c r="A382" s="16">
        <v>341</v>
      </c>
      <c r="B382" s="16">
        <f t="shared" si="374"/>
        <v>109</v>
      </c>
      <c r="C382" s="19">
        <f t="shared" si="375"/>
        <v>49.004531136759482</v>
      </c>
      <c r="D382" s="17">
        <f t="shared" si="376"/>
        <v>-68706.548331136757</v>
      </c>
      <c r="E382" s="17">
        <f t="shared" si="377"/>
        <v>-9298.6010511367585</v>
      </c>
      <c r="F382" s="17">
        <f t="shared" si="378"/>
        <v>83104.784048863236</v>
      </c>
      <c r="G382" s="17">
        <f t="shared" si="379"/>
        <v>9435.2168788632407</v>
      </c>
      <c r="H382" s="17">
        <f t="shared" si="380"/>
        <v>9435.2168788632407</v>
      </c>
      <c r="I382" s="17">
        <f t="shared" si="381"/>
        <v>6518.021390437686</v>
      </c>
      <c r="J382" s="20">
        <f>(Geraetedaten!$B$152+(Geraetedaten!$B$153*(Geraetedaten!$B$18+d_y_Sw)/1000))*10</f>
        <v>6051.0442000000003</v>
      </c>
      <c r="K382" s="20">
        <f>(Geraetedaten!$B$165+(Geraetedaten!$B$166*(Geraetedaten!$B$18+d_y_Sw)/1000))*10</f>
        <v>10816.164000000001</v>
      </c>
      <c r="L382" s="20">
        <f>(Geraetedaten!$B$158+(Geraetedaten!$B$159*(Geraetedaten!$B$18+d_y_Sw)/1000)-(Geraetedaten!$B$160*I382/1000))*10</f>
        <v>123.57009143920436</v>
      </c>
      <c r="M382" s="20">
        <f>(Geraetedaten!$B$171+(Geraetedaten!$B$172*(Geraetedaten!$B$18+d_y_Sw)/1000)-(Geraetedaten!$B$173*I382/1000))*10</f>
        <v>579.66548769581948</v>
      </c>
      <c r="N382" s="20">
        <f>IF((H382-J382)/(K382-J382)*(Geraetedaten!$B$174-Geraetedaten!$B$161)&lt;Geraetedaten!$B$174,(H382-J382)/(K382-J382)*(Geraetedaten!$B$174-Geraetedaten!$B$161),Geraetedaten!$B$174)</f>
        <v>284.07870701284281</v>
      </c>
      <c r="O382" s="20">
        <f>N382/Geraetedaten!$B$174*(M382-L382)+L382+C382</f>
        <v>496.49209868368735</v>
      </c>
      <c r="P382" s="20">
        <f t="shared" si="382"/>
        <v>162.56157431148915</v>
      </c>
      <c r="Q382" s="21">
        <f>(N382-Geraetedaten!$B$161)/(Geraetedaten!$B$174-Geraetedaten!$B$161)*(Geraetedaten!$B$175-Geraetedaten!$B$162)+Geraetedaten!$B$162</f>
        <v>37.651341533632078</v>
      </c>
      <c r="R382" s="21">
        <f t="shared" si="383"/>
        <v>37.651341533632078</v>
      </c>
      <c r="S382" s="21">
        <f t="shared" si="384"/>
        <v>-12.258077775940688</v>
      </c>
      <c r="T382" s="88">
        <f t="shared" si="385"/>
        <v>35.600042816283199</v>
      </c>
      <c r="U382" s="86">
        <f t="shared" si="386"/>
        <v>-68657.543799999999</v>
      </c>
      <c r="V382" s="85">
        <f t="shared" si="387"/>
        <v>-1346.4914747781525</v>
      </c>
      <c r="W382" s="85">
        <f t="shared" si="388"/>
        <v>-15451.513070991814</v>
      </c>
      <c r="X382" s="90">
        <f t="shared" si="389"/>
        <v>1346.4914747781525</v>
      </c>
      <c r="Y382" s="86">
        <f t="shared" si="390"/>
        <v>-9249.5965199999991</v>
      </c>
      <c r="Z382" s="85">
        <f t="shared" si="391"/>
        <v>-818.62113479844345</v>
      </c>
      <c r="AA382" s="85">
        <f t="shared" si="392"/>
        <v>-886.21197296840546</v>
      </c>
      <c r="AB382" s="90">
        <f t="shared" si="393"/>
        <v>818.62113479844345</v>
      </c>
      <c r="AC382" s="86">
        <f t="shared" si="394"/>
        <v>83153.788579999993</v>
      </c>
      <c r="AD382" s="85">
        <f t="shared" si="395"/>
        <v>3384.56104615708</v>
      </c>
      <c r="AE382" s="85">
        <f t="shared" si="396"/>
        <v>46903.312222159286</v>
      </c>
      <c r="AF382" s="90">
        <f t="shared" si="397"/>
        <v>3384.56104615708</v>
      </c>
      <c r="AG382" s="86">
        <f t="shared" si="398"/>
        <v>9484.2214100000001</v>
      </c>
      <c r="AH382" s="85">
        <f t="shared" si="399"/>
        <v>6139.2748628683721</v>
      </c>
      <c r="AI382" s="85">
        <f t="shared" si="400"/>
        <v>6518.021390437686</v>
      </c>
      <c r="AJ382" s="90">
        <f t="shared" si="401"/>
        <v>6139.2748628683721</v>
      </c>
      <c r="AL382" s="95">
        <f t="shared" si="402"/>
        <v>0</v>
      </c>
      <c r="AM382" s="95">
        <f t="shared" si="403"/>
        <v>0</v>
      </c>
      <c r="AN382" s="95">
        <f t="shared" si="404"/>
        <v>0</v>
      </c>
      <c r="AO382" s="95">
        <f t="shared" si="405"/>
        <v>0</v>
      </c>
      <c r="AP382"/>
      <c r="AQ382" s="95">
        <f t="shared" si="406"/>
        <v>0</v>
      </c>
      <c r="AR382" s="95">
        <f t="shared" si="407"/>
        <v>0</v>
      </c>
      <c r="AS382" s="95">
        <f>Geraetedaten!$B$94*ABS(SIN(RADIANS($A382)))</f>
        <v>50.137495786402134</v>
      </c>
      <c r="AT382" s="95">
        <f>Geraetedaten!$B$94*ABS(COS(RADIANS($A382)))</f>
        <v>145.60986064229479</v>
      </c>
      <c r="AU382" s="95">
        <f>((h_Aw_Sw+Geraetedaten!$B$18)/1000)*(AQ382*AS382+AR382*AT382)/100</f>
        <v>0</v>
      </c>
    </row>
    <row r="383" spans="1:47" ht="13.5" x14ac:dyDescent="0.25">
      <c r="A383" s="16">
        <v>342</v>
      </c>
      <c r="B383" s="16">
        <f t="shared" si="374"/>
        <v>108</v>
      </c>
      <c r="C383" s="19">
        <f t="shared" si="375"/>
        <v>48.118580184686962</v>
      </c>
      <c r="D383" s="17">
        <f t="shared" si="376"/>
        <v>-57293.31851018469</v>
      </c>
      <c r="E383" s="17">
        <f t="shared" si="377"/>
        <v>-9232.6457301846876</v>
      </c>
      <c r="F383" s="17">
        <f t="shared" si="378"/>
        <v>66953.411919815306</v>
      </c>
      <c r="G383" s="17">
        <f t="shared" si="379"/>
        <v>9378.8632498153129</v>
      </c>
      <c r="H383" s="17">
        <f t="shared" si="380"/>
        <v>9378.8632498153129</v>
      </c>
      <c r="I383" s="17">
        <f t="shared" si="381"/>
        <v>6478.6835492305663</v>
      </c>
      <c r="J383" s="20">
        <f>(Geraetedaten!$B$152+(Geraetedaten!$B$153*(Geraetedaten!$B$18+d_y_Sw)/1000))*10</f>
        <v>6051.0442000000003</v>
      </c>
      <c r="K383" s="20">
        <f>(Geraetedaten!$B$165+(Geraetedaten!$B$166*(Geraetedaten!$B$18+d_y_Sw)/1000))*10</f>
        <v>10816.164000000001</v>
      </c>
      <c r="L383" s="20">
        <f>(Geraetedaten!$B$158+(Geraetedaten!$B$159*(Geraetedaten!$B$18+d_y_Sw)/1000)-(Geraetedaten!$B$160*I383/1000))*10</f>
        <v>126.45473533492243</v>
      </c>
      <c r="M383" s="20">
        <f>(Geraetedaten!$B$171+(Geraetedaten!$B$172*(Geraetedaten!$B$18+d_y_Sw)/1000)-(Geraetedaten!$B$173*I383/1000))*10</f>
        <v>582.59379659527747</v>
      </c>
      <c r="N383" s="20">
        <f>IF((H383-J383)/(K383-J383)*(Geraetedaten!$B$174-Geraetedaten!$B$161)&lt;Geraetedaten!$B$174,(H383-J383)/(K383-J383)*(Geraetedaten!$B$174-Geraetedaten!$B$161),Geraetedaten!$B$174)</f>
        <v>279.34819601516102</v>
      </c>
      <c r="O383" s="20">
        <f>N383/Geraetedaten!$B$174*(M383-L383)+L383+C383</f>
        <v>493.12737525743233</v>
      </c>
      <c r="P383" s="20">
        <f t="shared" si="382"/>
        <v>161.98745571484031</v>
      </c>
      <c r="Q383" s="21">
        <f>(N383-Geraetedaten!$B$161)/(Geraetedaten!$B$174-Geraetedaten!$B$161)*(Geraetedaten!$B$175-Geraetedaten!$B$162)+Geraetedaten!$B$162</f>
        <v>37.510608831451037</v>
      </c>
      <c r="R383" s="21">
        <f t="shared" si="383"/>
        <v>37.510608831451037</v>
      </c>
      <c r="S383" s="21">
        <f t="shared" si="384"/>
        <v>-11.591415598269366</v>
      </c>
      <c r="T383" s="88">
        <f t="shared" si="385"/>
        <v>35.674708959350042</v>
      </c>
      <c r="U383" s="86">
        <f t="shared" si="386"/>
        <v>-57245.199930000002</v>
      </c>
      <c r="V383" s="85">
        <f t="shared" si="387"/>
        <v>-1346.4914747781525</v>
      </c>
      <c r="W383" s="85">
        <f t="shared" si="388"/>
        <v>-12883.143001470604</v>
      </c>
      <c r="X383" s="90">
        <f t="shared" si="389"/>
        <v>1346.4914747781525</v>
      </c>
      <c r="Y383" s="86">
        <f t="shared" si="390"/>
        <v>-9184.5271499999999</v>
      </c>
      <c r="Z383" s="85">
        <f t="shared" si="391"/>
        <v>-818.62113479844345</v>
      </c>
      <c r="AA383" s="85">
        <f t="shared" si="392"/>
        <v>-879.97761966817711</v>
      </c>
      <c r="AB383" s="90">
        <f t="shared" si="393"/>
        <v>818.62113479844345</v>
      </c>
      <c r="AC383" s="86">
        <f t="shared" si="394"/>
        <v>67001.530499999993</v>
      </c>
      <c r="AD383" s="85">
        <f t="shared" si="395"/>
        <v>3384.56104615708</v>
      </c>
      <c r="AE383" s="85">
        <f t="shared" si="396"/>
        <v>37792.549899794234</v>
      </c>
      <c r="AF383" s="90">
        <f t="shared" si="397"/>
        <v>3384.56104615708</v>
      </c>
      <c r="AG383" s="86">
        <f t="shared" si="398"/>
        <v>9426.9818300000006</v>
      </c>
      <c r="AH383" s="85">
        <f t="shared" si="399"/>
        <v>6139.2748628683721</v>
      </c>
      <c r="AI383" s="85">
        <f t="shared" si="400"/>
        <v>6478.6835492305663</v>
      </c>
      <c r="AJ383" s="90">
        <f t="shared" si="401"/>
        <v>6139.2748628683721</v>
      </c>
      <c r="AL383" s="95">
        <f t="shared" si="402"/>
        <v>0</v>
      </c>
      <c r="AM383" s="95">
        <f t="shared" si="403"/>
        <v>0</v>
      </c>
      <c r="AN383" s="95">
        <f t="shared" si="404"/>
        <v>0</v>
      </c>
      <c r="AO383" s="95">
        <f t="shared" si="405"/>
        <v>0</v>
      </c>
      <c r="AP383"/>
      <c r="AQ383" s="95">
        <f t="shared" si="406"/>
        <v>0</v>
      </c>
      <c r="AR383" s="95">
        <f t="shared" si="407"/>
        <v>0</v>
      </c>
      <c r="AS383" s="95">
        <f>Geraetedaten!$B$94*ABS(SIN(RADIANS($A383)))</f>
        <v>47.588617133741934</v>
      </c>
      <c r="AT383" s="95">
        <f>Geraetedaten!$B$94*ABS(COS(RADIANS($A383)))</f>
        <v>146.46270350945363</v>
      </c>
      <c r="AU383" s="95">
        <f>((h_Aw_Sw+Geraetedaten!$B$18)/1000)*(AQ383*AS383+AR383*AT383)/100</f>
        <v>0</v>
      </c>
    </row>
    <row r="384" spans="1:47" ht="13.5" x14ac:dyDescent="0.25">
      <c r="A384" s="16">
        <v>343</v>
      </c>
      <c r="B384" s="16">
        <f t="shared" si="374"/>
        <v>107</v>
      </c>
      <c r="C384" s="19">
        <f t="shared" si="375"/>
        <v>47.217971846955038</v>
      </c>
      <c r="D384" s="17">
        <f t="shared" si="376"/>
        <v>-49146.096181846959</v>
      </c>
      <c r="E384" s="17">
        <f t="shared" si="377"/>
        <v>-9170.3444418469535</v>
      </c>
      <c r="F384" s="17">
        <f t="shared" si="378"/>
        <v>56070.739858153043</v>
      </c>
      <c r="G384" s="17">
        <f t="shared" si="379"/>
        <v>9326.0491081530454</v>
      </c>
      <c r="H384" s="17">
        <f t="shared" si="380"/>
        <v>9326.0491081530454</v>
      </c>
      <c r="I384" s="17">
        <f t="shared" si="381"/>
        <v>6441.7681398777004</v>
      </c>
      <c r="J384" s="20">
        <f>(Geraetedaten!$B$152+(Geraetedaten!$B$153*(Geraetedaten!$B$18+d_y_Sw)/1000))*10</f>
        <v>6051.0442000000003</v>
      </c>
      <c r="K384" s="20">
        <f>(Geraetedaten!$B$165+(Geraetedaten!$B$166*(Geraetedaten!$B$18+d_y_Sw)/1000))*10</f>
        <v>10816.164000000001</v>
      </c>
      <c r="L384" s="20">
        <f>(Geraetedaten!$B$158+(Geraetedaten!$B$159*(Geraetedaten!$B$18+d_y_Sw)/1000)-(Geraetedaten!$B$160*I384/1000))*10</f>
        <v>129.16174230276809</v>
      </c>
      <c r="M384" s="20">
        <f>(Geraetedaten!$B$171+(Geraetedaten!$B$172*(Geraetedaten!$B$18+d_y_Sw)/1000)-(Geraetedaten!$B$173*I384/1000))*10</f>
        <v>585.34177966750485</v>
      </c>
      <c r="N384" s="20">
        <f>IF((H384-J384)/(K384-J384)*(Geraetedaten!$B$174-Geraetedaten!$B$161)&lt;Geraetedaten!$B$174,(H384-J384)/(K384-J384)*(Geraetedaten!$B$174-Geraetedaten!$B$161),Geraetedaten!$B$174)</f>
        <v>274.9148013574009</v>
      </c>
      <c r="O384" s="20">
        <f>N384/Geraetedaten!$B$174*(M384-L384)+L384+C384</f>
        <v>489.90632503806899</v>
      </c>
      <c r="P384" s="20">
        <f t="shared" si="382"/>
        <v>161.42343441633963</v>
      </c>
      <c r="Q384" s="21">
        <f>(N384-Geraetedaten!$B$161)/(Geraetedaten!$B$174-Geraetedaten!$B$161)*(Geraetedaten!$B$175-Geraetedaten!$B$162)+Geraetedaten!$B$162</f>
        <v>37.378715340382676</v>
      </c>
      <c r="R384" s="21">
        <f t="shared" si="383"/>
        <v>37.378715340382676</v>
      </c>
      <c r="S384" s="21">
        <f t="shared" si="384"/>
        <v>-10.92847872441361</v>
      </c>
      <c r="T384" s="88">
        <f t="shared" si="385"/>
        <v>35.745443251796424</v>
      </c>
      <c r="U384" s="86">
        <f t="shared" si="386"/>
        <v>-49098.878210000003</v>
      </c>
      <c r="V384" s="85">
        <f t="shared" si="387"/>
        <v>-1346.4914747781525</v>
      </c>
      <c r="W384" s="85">
        <f t="shared" si="388"/>
        <v>-11049.797537383653</v>
      </c>
      <c r="X384" s="90">
        <f t="shared" si="389"/>
        <v>1346.4914747781525</v>
      </c>
      <c r="Y384" s="86">
        <f t="shared" si="390"/>
        <v>-9123.1264699999992</v>
      </c>
      <c r="Z384" s="85">
        <f t="shared" si="391"/>
        <v>-818.62113479844345</v>
      </c>
      <c r="AA384" s="85">
        <f t="shared" si="392"/>
        <v>-874.09476662538589</v>
      </c>
      <c r="AB384" s="90">
        <f t="shared" si="393"/>
        <v>818.62113479844345</v>
      </c>
      <c r="AC384" s="86">
        <f t="shared" si="394"/>
        <v>56117.957829999999</v>
      </c>
      <c r="AD384" s="85">
        <f t="shared" si="395"/>
        <v>3384.56104615708</v>
      </c>
      <c r="AE384" s="85">
        <f t="shared" si="396"/>
        <v>31653.61605428081</v>
      </c>
      <c r="AF384" s="90">
        <f t="shared" si="397"/>
        <v>3384.56104615708</v>
      </c>
      <c r="AG384" s="86">
        <f t="shared" si="398"/>
        <v>9373.2670799999996</v>
      </c>
      <c r="AH384" s="85">
        <f t="shared" si="399"/>
        <v>6139.2748628683721</v>
      </c>
      <c r="AI384" s="85">
        <f t="shared" si="400"/>
        <v>6441.7681398777004</v>
      </c>
      <c r="AJ384" s="90">
        <f t="shared" si="401"/>
        <v>6139.2748628683721</v>
      </c>
      <c r="AL384" s="95">
        <f t="shared" si="402"/>
        <v>0</v>
      </c>
      <c r="AM384" s="95">
        <f t="shared" si="403"/>
        <v>0</v>
      </c>
      <c r="AN384" s="95">
        <f t="shared" si="404"/>
        <v>0</v>
      </c>
      <c r="AO384" s="95">
        <f t="shared" si="405"/>
        <v>0</v>
      </c>
      <c r="AP384"/>
      <c r="AQ384" s="95">
        <f t="shared" si="406"/>
        <v>0</v>
      </c>
      <c r="AR384" s="95">
        <f t="shared" si="407"/>
        <v>0</v>
      </c>
      <c r="AS384" s="95">
        <f>Geraetedaten!$B$94*ABS(SIN(RADIANS($A384)))</f>
        <v>45.025242527301522</v>
      </c>
      <c r="AT384" s="95">
        <f>Geraetedaten!$B$94*ABS(COS(RADIANS($A384)))</f>
        <v>147.27093241830744</v>
      </c>
      <c r="AU384" s="95">
        <f>((h_Aw_Sw+Geraetedaten!$B$18)/1000)*(AQ384*AS384+AR384*AT384)/100</f>
        <v>0</v>
      </c>
    </row>
    <row r="385" spans="1:47" ht="13.5" x14ac:dyDescent="0.25">
      <c r="A385" s="16">
        <v>344</v>
      </c>
      <c r="B385" s="16">
        <f t="shared" si="374"/>
        <v>106</v>
      </c>
      <c r="C385" s="19">
        <f t="shared" si="375"/>
        <v>46.302980457587722</v>
      </c>
      <c r="D385" s="17">
        <f t="shared" si="376"/>
        <v>-43040.023410457587</v>
      </c>
      <c r="E385" s="17">
        <f t="shared" si="377"/>
        <v>-9111.5873104575876</v>
      </c>
      <c r="F385" s="17">
        <f t="shared" si="378"/>
        <v>48242.451229542414</v>
      </c>
      <c r="G385" s="17">
        <f t="shared" si="379"/>
        <v>9276.6817895424119</v>
      </c>
      <c r="H385" s="17">
        <f t="shared" si="380"/>
        <v>9276.6817895424119</v>
      </c>
      <c r="I385" s="17">
        <f t="shared" si="381"/>
        <v>6407.2116745819721</v>
      </c>
      <c r="J385" s="20">
        <f>(Geraetedaten!$B$152+(Geraetedaten!$B$153*(Geraetedaten!$B$18+d_y_Sw)/1000))*10</f>
        <v>6051.0442000000003</v>
      </c>
      <c r="K385" s="20">
        <f>(Geraetedaten!$B$165+(Geraetedaten!$B$166*(Geraetedaten!$B$18+d_y_Sw)/1000))*10</f>
        <v>10816.164000000001</v>
      </c>
      <c r="L385" s="20">
        <f>(Geraetedaten!$B$158+(Geraetedaten!$B$159*(Geraetedaten!$B$18+d_y_Sw)/1000)-(Geraetedaten!$B$160*I385/1000))*10</f>
        <v>131.69576790290387</v>
      </c>
      <c r="M385" s="20">
        <f>(Geraetedaten!$B$171+(Geraetedaten!$B$172*(Geraetedaten!$B$18+d_y_Sw)/1000)-(Geraetedaten!$B$173*I385/1000))*10</f>
        <v>587.91416294411886</v>
      </c>
      <c r="N385" s="20">
        <f>IF((H385-J385)/(K385-J385)*(Geraetedaten!$B$174-Geraetedaten!$B$161)&lt;Geraetedaten!$B$174,(H385-J385)/(K385-J385)*(Geraetedaten!$B$174-Geraetedaten!$B$161),Geraetedaten!$B$174)</f>
        <v>270.77074448725602</v>
      </c>
      <c r="O385" s="20">
        <f>N385/Geraetedaten!$B$174*(M385-L385)+L385+C385</f>
        <v>486.82523454571867</v>
      </c>
      <c r="P385" s="20">
        <f t="shared" si="382"/>
        <v>160.86960424683647</v>
      </c>
      <c r="Q385" s="21">
        <f>(N385-Geraetedaten!$B$161)/(Geraetedaten!$B$174-Geraetedaten!$B$161)*(Geraetedaten!$B$175-Geraetedaten!$B$162)+Geraetedaten!$B$162</f>
        <v>37.25542964849587</v>
      </c>
      <c r="R385" s="21">
        <f t="shared" si="383"/>
        <v>37.25542964849587</v>
      </c>
      <c r="S385" s="21">
        <f t="shared" si="384"/>
        <v>-10.268988118137628</v>
      </c>
      <c r="T385" s="88">
        <f t="shared" si="385"/>
        <v>35.812217486823869</v>
      </c>
      <c r="U385" s="86">
        <f t="shared" si="386"/>
        <v>-42993.720430000001</v>
      </c>
      <c r="V385" s="85">
        <f t="shared" si="387"/>
        <v>-1346.4914747781525</v>
      </c>
      <c r="W385" s="85">
        <f t="shared" si="388"/>
        <v>-9675.819965937244</v>
      </c>
      <c r="X385" s="90">
        <f t="shared" si="389"/>
        <v>1346.4914747781525</v>
      </c>
      <c r="Y385" s="86">
        <f t="shared" si="390"/>
        <v>-9065.2843300000004</v>
      </c>
      <c r="Z385" s="85">
        <f t="shared" si="391"/>
        <v>-818.62113479844345</v>
      </c>
      <c r="AA385" s="85">
        <f t="shared" si="392"/>
        <v>-868.55286034486869</v>
      </c>
      <c r="AB385" s="90">
        <f t="shared" si="393"/>
        <v>818.62113479844345</v>
      </c>
      <c r="AC385" s="86">
        <f t="shared" si="394"/>
        <v>48288.754209999999</v>
      </c>
      <c r="AD385" s="85">
        <f t="shared" si="395"/>
        <v>3384.56104615708</v>
      </c>
      <c r="AE385" s="85">
        <f t="shared" si="396"/>
        <v>27237.514417033872</v>
      </c>
      <c r="AF385" s="90">
        <f t="shared" si="397"/>
        <v>3384.56104615708</v>
      </c>
      <c r="AG385" s="86">
        <f t="shared" si="398"/>
        <v>9322.9847699999991</v>
      </c>
      <c r="AH385" s="85">
        <f t="shared" si="399"/>
        <v>6139.2748628683721</v>
      </c>
      <c r="AI385" s="85">
        <f t="shared" si="400"/>
        <v>6407.2116745819721</v>
      </c>
      <c r="AJ385" s="90">
        <f t="shared" si="401"/>
        <v>6139.2748628683721</v>
      </c>
      <c r="AL385" s="95">
        <f t="shared" si="402"/>
        <v>0</v>
      </c>
      <c r="AM385" s="95">
        <f t="shared" si="403"/>
        <v>0</v>
      </c>
      <c r="AN385" s="95">
        <f t="shared" si="404"/>
        <v>0</v>
      </c>
      <c r="AO385" s="95">
        <f t="shared" si="405"/>
        <v>0</v>
      </c>
      <c r="AP385"/>
      <c r="AQ385" s="95">
        <f t="shared" si="406"/>
        <v>0</v>
      </c>
      <c r="AR385" s="95">
        <f t="shared" si="407"/>
        <v>0</v>
      </c>
      <c r="AS385" s="95">
        <f>Geraetedaten!$B$94*ABS(SIN(RADIANS($A385)))</f>
        <v>42.44815279581784</v>
      </c>
      <c r="AT385" s="95">
        <f>Geraetedaten!$B$94*ABS(COS(RADIANS($A385)))</f>
        <v>148.03430117450111</v>
      </c>
      <c r="AU385" s="95">
        <f>((h_Aw_Sw+Geraetedaten!$B$18)/1000)*(AQ385*AS385+AR385*AT385)/100</f>
        <v>0</v>
      </c>
    </row>
    <row r="386" spans="1:47" ht="13.5" x14ac:dyDescent="0.25">
      <c r="A386" s="16">
        <v>345</v>
      </c>
      <c r="B386" s="16">
        <f t="shared" si="374"/>
        <v>105</v>
      </c>
      <c r="C386" s="19">
        <f t="shared" si="375"/>
        <v>45.373884731826017</v>
      </c>
      <c r="D386" s="17">
        <f t="shared" si="376"/>
        <v>-38294.669634731821</v>
      </c>
      <c r="E386" s="17">
        <f t="shared" si="377"/>
        <v>-9056.2724247318256</v>
      </c>
      <c r="F386" s="17">
        <f t="shared" si="378"/>
        <v>42342.603845268175</v>
      </c>
      <c r="G386" s="17">
        <f t="shared" si="379"/>
        <v>9230.6756652681743</v>
      </c>
      <c r="H386" s="17">
        <f t="shared" si="380"/>
        <v>9230.6756652681743</v>
      </c>
      <c r="I386" s="17">
        <f t="shared" si="381"/>
        <v>6374.9554947726183</v>
      </c>
      <c r="J386" s="20">
        <f>(Geraetedaten!$B$152+(Geraetedaten!$B$153*(Geraetedaten!$B$18+d_y_Sw)/1000))*10</f>
        <v>6051.0442000000003</v>
      </c>
      <c r="K386" s="20">
        <f>(Geraetedaten!$B$165+(Geraetedaten!$B$166*(Geraetedaten!$B$18+d_y_Sw)/1000))*10</f>
        <v>10816.164000000001</v>
      </c>
      <c r="L386" s="20">
        <f>(Geraetedaten!$B$158+(Geraetedaten!$B$159*(Geraetedaten!$B$18+d_y_Sw)/1000)-(Geraetedaten!$B$160*I386/1000))*10</f>
        <v>134.06111356832378</v>
      </c>
      <c r="M386" s="20">
        <f>(Geraetedaten!$B$171+(Geraetedaten!$B$172*(Geraetedaten!$B$18+d_y_Sw)/1000)-(Geraetedaten!$B$173*I386/1000))*10</f>
        <v>590.31531296912715</v>
      </c>
      <c r="N386" s="20">
        <f>IF((H386-J386)/(K386-J386)*(Geraetedaten!$B$174-Geraetedaten!$B$161)&lt;Geraetedaten!$B$174,(H386-J386)/(K386-J386)*(Geraetedaten!$B$174-Geraetedaten!$B$161),Geraetedaten!$B$174)</f>
        <v>266.90883744565446</v>
      </c>
      <c r="O386" s="20">
        <f>N386/Geraetedaten!$B$174*(M386-L386)+L386+C386</f>
        <v>483.88069315456539</v>
      </c>
      <c r="P386" s="20">
        <f t="shared" si="382"/>
        <v>160.32606948639014</v>
      </c>
      <c r="Q386" s="21">
        <f>(N386-Geraetedaten!$B$161)/(Geraetedaten!$B$174-Geraetedaten!$B$161)*(Geraetedaten!$B$175-Geraetedaten!$B$162)+Geraetedaten!$B$162</f>
        <v>37.14053791400822</v>
      </c>
      <c r="R386" s="21">
        <f t="shared" si="383"/>
        <v>37.14053791400822</v>
      </c>
      <c r="S386" s="21">
        <f t="shared" si="384"/>
        <v>-9.6126785574975724</v>
      </c>
      <c r="T386" s="88">
        <f t="shared" si="385"/>
        <v>35.875004773408861</v>
      </c>
      <c r="U386" s="86">
        <f t="shared" si="386"/>
        <v>-38249.295749999997</v>
      </c>
      <c r="V386" s="85">
        <f t="shared" si="387"/>
        <v>-1346.4914747781525</v>
      </c>
      <c r="W386" s="85">
        <f t="shared" si="388"/>
        <v>-8608.0780127412017</v>
      </c>
      <c r="X386" s="90">
        <f t="shared" si="389"/>
        <v>1346.4914747781525</v>
      </c>
      <c r="Y386" s="86">
        <f t="shared" si="390"/>
        <v>-9010.8985400000001</v>
      </c>
      <c r="Z386" s="85">
        <f t="shared" si="391"/>
        <v>-818.62113479844345</v>
      </c>
      <c r="AA386" s="85">
        <f t="shared" si="392"/>
        <v>-863.34211006641851</v>
      </c>
      <c r="AB386" s="90">
        <f t="shared" si="393"/>
        <v>818.62113479844345</v>
      </c>
      <c r="AC386" s="86">
        <f t="shared" si="394"/>
        <v>42387.977729999999</v>
      </c>
      <c r="AD386" s="85">
        <f t="shared" si="395"/>
        <v>3384.56104615708</v>
      </c>
      <c r="AE386" s="85">
        <f t="shared" si="396"/>
        <v>23909.15179877232</v>
      </c>
      <c r="AF386" s="90">
        <f t="shared" si="397"/>
        <v>3384.56104615708</v>
      </c>
      <c r="AG386" s="86">
        <f t="shared" si="398"/>
        <v>9276.0495499999997</v>
      </c>
      <c r="AH386" s="85">
        <f t="shared" si="399"/>
        <v>6139.2748628683721</v>
      </c>
      <c r="AI386" s="85">
        <f t="shared" si="400"/>
        <v>6374.9554947726183</v>
      </c>
      <c r="AJ386" s="90">
        <f t="shared" si="401"/>
        <v>6139.2748628683721</v>
      </c>
      <c r="AL386" s="95">
        <f t="shared" si="402"/>
        <v>0</v>
      </c>
      <c r="AM386" s="95">
        <f t="shared" si="403"/>
        <v>0</v>
      </c>
      <c r="AN386" s="95">
        <f t="shared" si="404"/>
        <v>0</v>
      </c>
      <c r="AO386" s="95">
        <f t="shared" si="405"/>
        <v>0</v>
      </c>
      <c r="AP386"/>
      <c r="AQ386" s="95">
        <f t="shared" si="406"/>
        <v>0</v>
      </c>
      <c r="AR386" s="95">
        <f t="shared" si="407"/>
        <v>0</v>
      </c>
      <c r="AS386" s="95">
        <f>Geraetedaten!$B$94*ABS(SIN(RADIANS($A386)))</f>
        <v>39.858132945788185</v>
      </c>
      <c r="AT386" s="95">
        <f>Geraetedaten!$B$94*ABS(COS(RADIANS($A386)))</f>
        <v>148.75257724851653</v>
      </c>
      <c r="AU386" s="95">
        <f>((h_Aw_Sw+Geraetedaten!$B$18)/1000)*(AQ386*AS386+AR386*AT386)/100</f>
        <v>0</v>
      </c>
    </row>
    <row r="387" spans="1:47" ht="13.5" x14ac:dyDescent="0.25">
      <c r="A387" s="16">
        <v>346</v>
      </c>
      <c r="B387" s="16">
        <f t="shared" si="374"/>
        <v>104</v>
      </c>
      <c r="C387" s="19">
        <f t="shared" si="375"/>
        <v>44.430967681228317</v>
      </c>
      <c r="D387" s="17">
        <f t="shared" si="376"/>
        <v>-34501.798097681225</v>
      </c>
      <c r="E387" s="17">
        <f t="shared" si="377"/>
        <v>-9004.3053776812285</v>
      </c>
      <c r="F387" s="17">
        <f t="shared" si="378"/>
        <v>37738.114182318772</v>
      </c>
      <c r="G387" s="17">
        <f t="shared" si="379"/>
        <v>9187.9517623187712</v>
      </c>
      <c r="H387" s="17">
        <f t="shared" si="380"/>
        <v>9187.9517623187712</v>
      </c>
      <c r="I387" s="17">
        <f t="shared" si="381"/>
        <v>6344.9455167916694</v>
      </c>
      <c r="J387" s="20">
        <f>(Geraetedaten!$B$152+(Geraetedaten!$B$153*(Geraetedaten!$B$18+d_y_Sw)/1000))*10</f>
        <v>6051.0442000000003</v>
      </c>
      <c r="K387" s="20">
        <f>(Geraetedaten!$B$165+(Geraetedaten!$B$166*(Geraetedaten!$B$18+d_y_Sw)/1000))*10</f>
        <v>10816.164000000001</v>
      </c>
      <c r="L387" s="20">
        <f>(Geraetedaten!$B$158+(Geraetedaten!$B$159*(Geraetedaten!$B$18+d_y_Sw)/1000)-(Geraetedaten!$B$160*I387/1000))*10</f>
        <v>136.26174525366673</v>
      </c>
      <c r="M387" s="20">
        <f>(Geraetedaten!$B$171+(Geraetedaten!$B$172*(Geraetedaten!$B$18+d_y_Sw)/1000)-(Geraetedaten!$B$173*I387/1000))*10</f>
        <v>592.5492557300289</v>
      </c>
      <c r="N387" s="20">
        <f>IF((H387-J387)/(K387-J387)*(Geraetedaten!$B$174-Geraetedaten!$B$161)&lt;Geraetedaten!$B$174,(H387-J387)/(K387-J387)*(Geraetedaten!$B$174-Geraetedaten!$B$161),Geraetedaten!$B$174)</f>
        <v>263.32245097542108</v>
      </c>
      <c r="O387" s="20">
        <f>N387/Geraetedaten!$B$174*(M387-L387)+L387+C387</f>
        <v>481.06957695516707</v>
      </c>
      <c r="P387" s="20">
        <f t="shared" si="382"/>
        <v>159.79294472889725</v>
      </c>
      <c r="Q387" s="21">
        <f>(N387-Geraetedaten!$B$161)/(Geraetedaten!$B$174-Geraetedaten!$B$161)*(Geraetedaten!$B$175-Geraetedaten!$B$162)+Geraetedaten!$B$162</f>
        <v>37.033842916518779</v>
      </c>
      <c r="R387" s="21">
        <f t="shared" si="383"/>
        <v>37.033842916518779</v>
      </c>
      <c r="S387" s="21">
        <f t="shared" si="384"/>
        <v>-8.9592974797045564</v>
      </c>
      <c r="T387" s="88">
        <f t="shared" si="385"/>
        <v>35.933779509474753</v>
      </c>
      <c r="U387" s="86">
        <f t="shared" si="386"/>
        <v>-34457.367129999999</v>
      </c>
      <c r="V387" s="85">
        <f t="shared" si="387"/>
        <v>-1346.4914747781525</v>
      </c>
      <c r="W387" s="85">
        <f t="shared" si="388"/>
        <v>-7754.6971410467995</v>
      </c>
      <c r="X387" s="90">
        <f t="shared" si="389"/>
        <v>1346.4914747781525</v>
      </c>
      <c r="Y387" s="86">
        <f t="shared" si="390"/>
        <v>-8959.8744100000004</v>
      </c>
      <c r="Z387" s="85">
        <f t="shared" si="391"/>
        <v>-818.62113479844345</v>
      </c>
      <c r="AA387" s="85">
        <f t="shared" si="392"/>
        <v>-858.45344293552012</v>
      </c>
      <c r="AB387" s="90">
        <f t="shared" si="393"/>
        <v>818.62113479844345</v>
      </c>
      <c r="AC387" s="86">
        <f t="shared" si="394"/>
        <v>37782.545149999998</v>
      </c>
      <c r="AD387" s="85">
        <f t="shared" si="395"/>
        <v>3384.56104615708</v>
      </c>
      <c r="AE387" s="85">
        <f t="shared" si="396"/>
        <v>21311.434414396132</v>
      </c>
      <c r="AF387" s="90">
        <f t="shared" si="397"/>
        <v>3384.56104615708</v>
      </c>
      <c r="AG387" s="86">
        <f t="shared" si="398"/>
        <v>9232.3827299999994</v>
      </c>
      <c r="AH387" s="85">
        <f t="shared" si="399"/>
        <v>6139.2748628683721</v>
      </c>
      <c r="AI387" s="85">
        <f t="shared" si="400"/>
        <v>6344.9455167916694</v>
      </c>
      <c r="AJ387" s="90">
        <f t="shared" si="401"/>
        <v>6139.2748628683721</v>
      </c>
      <c r="AL387" s="95">
        <f t="shared" si="402"/>
        <v>0</v>
      </c>
      <c r="AM387" s="95">
        <f t="shared" si="403"/>
        <v>0</v>
      </c>
      <c r="AN387" s="95">
        <f t="shared" si="404"/>
        <v>0</v>
      </c>
      <c r="AO387" s="95">
        <f t="shared" si="405"/>
        <v>0</v>
      </c>
      <c r="AP387"/>
      <c r="AQ387" s="95">
        <f t="shared" si="406"/>
        <v>0</v>
      </c>
      <c r="AR387" s="95">
        <f t="shared" si="407"/>
        <v>0</v>
      </c>
      <c r="AS387" s="95">
        <f>Geraetedaten!$B$94*ABS(SIN(RADIANS($A387)))</f>
        <v>37.255971922348849</v>
      </c>
      <c r="AT387" s="95">
        <f>Geraetedaten!$B$94*ABS(COS(RADIANS($A387)))</f>
        <v>149.42554184650345</v>
      </c>
      <c r="AU387" s="95">
        <f>((h_Aw_Sw+Geraetedaten!$B$18)/1000)*(AQ387*AS387+AR387*AT387)/100</f>
        <v>0</v>
      </c>
    </row>
    <row r="388" spans="1:47" ht="13.5" x14ac:dyDescent="0.25">
      <c r="A388" s="16">
        <v>347</v>
      </c>
      <c r="B388" s="16">
        <f t="shared" si="374"/>
        <v>103</v>
      </c>
      <c r="C388" s="19">
        <f t="shared" si="375"/>
        <v>43.474516527462463</v>
      </c>
      <c r="D388" s="17">
        <f t="shared" si="376"/>
        <v>-31401.633166527463</v>
      </c>
      <c r="E388" s="17">
        <f t="shared" si="377"/>
        <v>-8955.5988165274612</v>
      </c>
      <c r="F388" s="17">
        <f t="shared" si="378"/>
        <v>34045.684453472531</v>
      </c>
      <c r="G388" s="17">
        <f t="shared" si="379"/>
        <v>9148.4374134725385</v>
      </c>
      <c r="H388" s="17">
        <f t="shared" si="380"/>
        <v>9148.4374134725385</v>
      </c>
      <c r="I388" s="17">
        <f t="shared" si="381"/>
        <v>6317.132001375041</v>
      </c>
      <c r="J388" s="20">
        <f>(Geraetedaten!$B$152+(Geraetedaten!$B$153*(Geraetedaten!$B$18+d_y_Sw)/1000))*10</f>
        <v>6051.0442000000003</v>
      </c>
      <c r="K388" s="20">
        <f>(Geraetedaten!$B$165+(Geraetedaten!$B$166*(Geraetedaten!$B$18+d_y_Sw)/1000))*10</f>
        <v>10816.164000000001</v>
      </c>
      <c r="L388" s="20">
        <f>(Geraetedaten!$B$158+(Geraetedaten!$B$159*(Geraetedaten!$B$18+d_y_Sw)/1000)-(Geraetedaten!$B$160*I388/1000))*10</f>
        <v>138.30131033916814</v>
      </c>
      <c r="M388" s="20">
        <f>(Geraetedaten!$B$171+(Geraetedaten!$B$172*(Geraetedaten!$B$18+d_y_Sw)/1000)-(Geraetedaten!$B$173*I388/1000))*10</f>
        <v>594.61969381764277</v>
      </c>
      <c r="N388" s="20">
        <f>IF((H388-J388)/(K388-J388)*(Geraetedaten!$B$174-Geraetedaten!$B$161)&lt;Geraetedaten!$B$174,(H388-J388)/(K388-J388)*(Geraetedaten!$B$174-Geraetedaten!$B$161),Geraetedaten!$B$174)</f>
        <v>260.0054851483514</v>
      </c>
      <c r="O388" s="20">
        <f>N388/Geraetedaten!$B$174*(M388-L388)+L388+C388</f>
        <v>478.38903356271123</v>
      </c>
      <c r="P388" s="20">
        <f t="shared" si="382"/>
        <v>159.27035463781704</v>
      </c>
      <c r="Q388" s="21">
        <f>(N388-Geraetedaten!$B$161)/(Geraetedaten!$B$174-Geraetedaten!$B$161)*(Geraetedaten!$B$175-Geraetedaten!$B$162)+Geraetedaten!$B$162</f>
        <v>36.935163183163453</v>
      </c>
      <c r="R388" s="21">
        <f t="shared" si="383"/>
        <v>36.935163183163453</v>
      </c>
      <c r="S388" s="21">
        <f t="shared" si="384"/>
        <v>-8.3086039004153367</v>
      </c>
      <c r="T388" s="88">
        <f t="shared" si="385"/>
        <v>35.988517343632203</v>
      </c>
      <c r="U388" s="86">
        <f t="shared" si="386"/>
        <v>-31358.158650000001</v>
      </c>
      <c r="V388" s="85">
        <f t="shared" si="387"/>
        <v>-1346.4914747781525</v>
      </c>
      <c r="W388" s="85">
        <f t="shared" si="388"/>
        <v>-7057.2142753362723</v>
      </c>
      <c r="X388" s="90">
        <f t="shared" si="389"/>
        <v>1346.4914747781525</v>
      </c>
      <c r="Y388" s="86">
        <f t="shared" si="390"/>
        <v>-8912.1242999999995</v>
      </c>
      <c r="Z388" s="85">
        <f t="shared" si="391"/>
        <v>-818.62113479844345</v>
      </c>
      <c r="AA388" s="85">
        <f t="shared" si="392"/>
        <v>-853.87846327325701</v>
      </c>
      <c r="AB388" s="90">
        <f t="shared" si="393"/>
        <v>818.62113479844345</v>
      </c>
      <c r="AC388" s="86">
        <f t="shared" si="394"/>
        <v>34089.158969999997</v>
      </c>
      <c r="AD388" s="85">
        <f t="shared" si="395"/>
        <v>3384.56104615708</v>
      </c>
      <c r="AE388" s="85">
        <f t="shared" si="396"/>
        <v>19228.161381775699</v>
      </c>
      <c r="AF388" s="90">
        <f t="shared" si="397"/>
        <v>3384.56104615708</v>
      </c>
      <c r="AG388" s="86">
        <f t="shared" si="398"/>
        <v>9191.9119300000002</v>
      </c>
      <c r="AH388" s="85">
        <f t="shared" si="399"/>
        <v>6139.2748628683721</v>
      </c>
      <c r="AI388" s="85">
        <f t="shared" si="400"/>
        <v>6317.132001375041</v>
      </c>
      <c r="AJ388" s="90">
        <f t="shared" si="401"/>
        <v>6139.2748628683721</v>
      </c>
      <c r="AL388" s="95">
        <f t="shared" si="402"/>
        <v>0</v>
      </c>
      <c r="AM388" s="95">
        <f t="shared" si="403"/>
        <v>0</v>
      </c>
      <c r="AN388" s="95">
        <f t="shared" si="404"/>
        <v>0</v>
      </c>
      <c r="AO388" s="95">
        <f t="shared" si="405"/>
        <v>0</v>
      </c>
      <c r="AP388"/>
      <c r="AQ388" s="95">
        <f t="shared" si="406"/>
        <v>0</v>
      </c>
      <c r="AR388" s="95">
        <f t="shared" si="407"/>
        <v>0</v>
      </c>
      <c r="AS388" s="95">
        <f>Geraetedaten!$B$94*ABS(SIN(RADIANS($A388)))</f>
        <v>34.642462368955265</v>
      </c>
      <c r="AT388" s="95">
        <f>Geraetedaten!$B$94*ABS(COS(RADIANS($A388)))</f>
        <v>150.0529899769262</v>
      </c>
      <c r="AU388" s="95">
        <f>((h_Aw_Sw+Geraetedaten!$B$18)/1000)*(AQ388*AS388+AR388*AT388)/100</f>
        <v>0</v>
      </c>
    </row>
    <row r="389" spans="1:47" ht="13.5" x14ac:dyDescent="0.25">
      <c r="A389" s="16">
        <v>348</v>
      </c>
      <c r="B389" s="16">
        <f t="shared" si="374"/>
        <v>102</v>
      </c>
      <c r="C389" s="19">
        <f t="shared" si="375"/>
        <v>42.504822614815247</v>
      </c>
      <c r="D389" s="17">
        <f t="shared" si="376"/>
        <v>-28820.997742614814</v>
      </c>
      <c r="E389" s="17">
        <f t="shared" si="377"/>
        <v>-8910.0721026148149</v>
      </c>
      <c r="F389" s="17">
        <f t="shared" si="378"/>
        <v>31019.671207385185</v>
      </c>
      <c r="G389" s="17">
        <f t="shared" si="379"/>
        <v>9112.0659773851839</v>
      </c>
      <c r="H389" s="17">
        <f t="shared" si="380"/>
        <v>9112.0659773851839</v>
      </c>
      <c r="I389" s="17">
        <f t="shared" si="381"/>
        <v>6291.4693450318746</v>
      </c>
      <c r="J389" s="20">
        <f>(Geraetedaten!$B$152+(Geraetedaten!$B$153*(Geraetedaten!$B$18+d_y_Sw)/1000))*10</f>
        <v>6051.0442000000003</v>
      </c>
      <c r="K389" s="20">
        <f>(Geraetedaten!$B$165+(Geraetedaten!$B$166*(Geraetedaten!$B$18+d_y_Sw)/1000))*10</f>
        <v>10816.164000000001</v>
      </c>
      <c r="L389" s="20">
        <f>(Geraetedaten!$B$158+(Geraetedaten!$B$159*(Geraetedaten!$B$18+d_y_Sw)/1000)-(Geraetedaten!$B$160*I389/1000))*10</f>
        <v>140.18315292881249</v>
      </c>
      <c r="M389" s="20">
        <f>(Geraetedaten!$B$171+(Geraetedaten!$B$172*(Geraetedaten!$B$18+d_y_Sw)/1000)-(Geraetedaten!$B$173*I389/1000))*10</f>
        <v>596.53002195582803</v>
      </c>
      <c r="N389" s="20">
        <f>IF((H389-J389)/(K389-J389)*(Geraetedaten!$B$174-Geraetedaten!$B$161)&lt;Geraetedaten!$B$174,(H389-J389)/(K389-J389)*(Geraetedaten!$B$174-Geraetedaten!$B$161),Geraetedaten!$B$174)</f>
        <v>256.95234586842355</v>
      </c>
      <c r="O389" s="20">
        <f>N389/Geraetedaten!$B$174*(M389-L389)+L389+C389</f>
        <v>475.83647185913242</v>
      </c>
      <c r="P389" s="20">
        <f t="shared" si="382"/>
        <v>158.7584344046372</v>
      </c>
      <c r="Q389" s="21">
        <f>(N389-Geraetedaten!$B$161)/(Geraetedaten!$B$174-Geraetedaten!$B$161)*(Geraetedaten!$B$175-Geraetedaten!$B$162)+Geraetedaten!$B$162</f>
        <v>36.844332289585601</v>
      </c>
      <c r="R389" s="21">
        <f t="shared" si="383"/>
        <v>36.844332289585601</v>
      </c>
      <c r="S389" s="21">
        <f t="shared" si="384"/>
        <v>-7.6603674233791281</v>
      </c>
      <c r="T389" s="88">
        <f t="shared" si="385"/>
        <v>36.039195229697235</v>
      </c>
      <c r="U389" s="86">
        <f t="shared" si="386"/>
        <v>-28778.492920000001</v>
      </c>
      <c r="V389" s="85">
        <f t="shared" si="387"/>
        <v>-1346.4914747781525</v>
      </c>
      <c r="W389" s="85">
        <f t="shared" si="388"/>
        <v>-6476.6555126347557</v>
      </c>
      <c r="X389" s="90">
        <f t="shared" si="389"/>
        <v>1346.4914747781525</v>
      </c>
      <c r="Y389" s="86">
        <f t="shared" si="390"/>
        <v>-8867.5672799999993</v>
      </c>
      <c r="Z389" s="85">
        <f t="shared" si="391"/>
        <v>-818.62113479844345</v>
      </c>
      <c r="AA389" s="85">
        <f t="shared" si="392"/>
        <v>-849.60941558873378</v>
      </c>
      <c r="AB389" s="90">
        <f t="shared" si="393"/>
        <v>818.62113479844345</v>
      </c>
      <c r="AC389" s="86">
        <f t="shared" si="394"/>
        <v>31062.176029999999</v>
      </c>
      <c r="AD389" s="85">
        <f t="shared" si="395"/>
        <v>3384.56104615708</v>
      </c>
      <c r="AE389" s="85">
        <f t="shared" si="396"/>
        <v>17520.776449685683</v>
      </c>
      <c r="AF389" s="90">
        <f t="shared" si="397"/>
        <v>3384.56104615708</v>
      </c>
      <c r="AG389" s="86">
        <f t="shared" si="398"/>
        <v>9154.5707999999995</v>
      </c>
      <c r="AH389" s="85">
        <f t="shared" si="399"/>
        <v>6139.2748628683721</v>
      </c>
      <c r="AI389" s="85">
        <f t="shared" si="400"/>
        <v>6291.4693450318746</v>
      </c>
      <c r="AJ389" s="90">
        <f t="shared" si="401"/>
        <v>6139.2748628683721</v>
      </c>
      <c r="AL389" s="95">
        <f t="shared" si="402"/>
        <v>0</v>
      </c>
      <c r="AM389" s="95">
        <f t="shared" si="403"/>
        <v>0</v>
      </c>
      <c r="AN389" s="95">
        <f t="shared" si="404"/>
        <v>0</v>
      </c>
      <c r="AO389" s="95">
        <f t="shared" si="405"/>
        <v>0</v>
      </c>
      <c r="AP389"/>
      <c r="AQ389" s="95">
        <f t="shared" si="406"/>
        <v>0</v>
      </c>
      <c r="AR389" s="95">
        <f t="shared" si="407"/>
        <v>0</v>
      </c>
      <c r="AS389" s="95">
        <f>Geraetedaten!$B$94*ABS(SIN(RADIANS($A389)))</f>
        <v>32.018400385935017</v>
      </c>
      <c r="AT389" s="95">
        <f>Geraetedaten!$B$94*ABS(COS(RADIANS($A389)))</f>
        <v>150.63473051300605</v>
      </c>
      <c r="AU389" s="95">
        <f>((h_Aw_Sw+Geraetedaten!$B$18)/1000)*(AQ389*AS389+AR389*AT389)/100</f>
        <v>0</v>
      </c>
    </row>
    <row r="390" spans="1:47" ht="13.5" x14ac:dyDescent="0.25">
      <c r="A390" s="16">
        <v>349</v>
      </c>
      <c r="B390" s="16">
        <f t="shared" si="374"/>
        <v>101</v>
      </c>
      <c r="C390" s="19">
        <f t="shared" si="375"/>
        <v>41.522181321446041</v>
      </c>
      <c r="D390" s="17">
        <f t="shared" si="376"/>
        <v>-26640.004321321445</v>
      </c>
      <c r="E390" s="17">
        <f t="shared" si="377"/>
        <v>-8867.6509013214472</v>
      </c>
      <c r="F390" s="17">
        <f t="shared" si="378"/>
        <v>28495.381878678556</v>
      </c>
      <c r="G390" s="17">
        <f t="shared" si="379"/>
        <v>9078.7765286785525</v>
      </c>
      <c r="H390" s="17">
        <f t="shared" si="380"/>
        <v>9078.7765286785525</v>
      </c>
      <c r="I390" s="17">
        <f t="shared" si="381"/>
        <v>6267.9158916392562</v>
      </c>
      <c r="J390" s="20">
        <f>(Geraetedaten!$B$152+(Geraetedaten!$B$153*(Geraetedaten!$B$18+d_y_Sw)/1000))*10</f>
        <v>6051.0442000000003</v>
      </c>
      <c r="K390" s="20">
        <f>(Geraetedaten!$B$165+(Geraetedaten!$B$166*(Geraetedaten!$B$18+d_y_Sw)/1000))*10</f>
        <v>10816.164000000001</v>
      </c>
      <c r="L390" s="20">
        <f>(Geraetedaten!$B$158+(Geraetedaten!$B$159*(Geraetedaten!$B$18+d_y_Sw)/1000)-(Geraetedaten!$B$160*I390/1000))*10</f>
        <v>141.91032766609317</v>
      </c>
      <c r="M390" s="20">
        <f>(Geraetedaten!$B$171+(Geraetedaten!$B$172*(Geraetedaten!$B$18+d_y_Sw)/1000)-(Geraetedaten!$B$173*I390/1000))*10</f>
        <v>598.28334102637461</v>
      </c>
      <c r="N390" s="20">
        <f>IF((H390-J390)/(K390-J390)*(Geraetedaten!$B$174-Geraetedaten!$B$161)&lt;Geraetedaten!$B$174,(H390-J390)/(K390-J390)*(Geraetedaten!$B$174-Geraetedaten!$B$161),Geraetedaten!$B$174)</f>
        <v>254.15791885681881</v>
      </c>
      <c r="O390" s="20">
        <f>N390/Geraetedaten!$B$174*(M390-L390)+L390+C390</f>
        <v>473.40954723269999</v>
      </c>
      <c r="P390" s="20">
        <f t="shared" si="382"/>
        <v>158.25732907567178</v>
      </c>
      <c r="Q390" s="21">
        <f>(N390-Geraetedaten!$B$161)/(Geraetedaten!$B$174-Geraetedaten!$B$161)*(Geraetedaten!$B$175-Geraetedaten!$B$162)+Geraetedaten!$B$162</f>
        <v>36.761198085990358</v>
      </c>
      <c r="R390" s="21">
        <f t="shared" si="383"/>
        <v>36.761198085990358</v>
      </c>
      <c r="S390" s="21">
        <f t="shared" si="384"/>
        <v>-7.0143672756259772</v>
      </c>
      <c r="T390" s="88">
        <f t="shared" si="385"/>
        <v>36.085791337312372</v>
      </c>
      <c r="U390" s="86">
        <f t="shared" si="386"/>
        <v>-26598.48214</v>
      </c>
      <c r="V390" s="85">
        <f t="shared" si="387"/>
        <v>-1346.4914747781525</v>
      </c>
      <c r="W390" s="85">
        <f t="shared" si="388"/>
        <v>-5986.0398675720471</v>
      </c>
      <c r="X390" s="90">
        <f t="shared" si="389"/>
        <v>1346.4914747781525</v>
      </c>
      <c r="Y390" s="86">
        <f t="shared" si="390"/>
        <v>-8826.1287200000006</v>
      </c>
      <c r="Z390" s="85">
        <f t="shared" si="391"/>
        <v>-818.62113479844345</v>
      </c>
      <c r="AA390" s="85">
        <f t="shared" si="392"/>
        <v>-845.6391510173313</v>
      </c>
      <c r="AB390" s="90">
        <f t="shared" si="393"/>
        <v>818.62113479844345</v>
      </c>
      <c r="AC390" s="86">
        <f t="shared" si="394"/>
        <v>28536.904060000001</v>
      </c>
      <c r="AD390" s="85">
        <f t="shared" si="395"/>
        <v>3384.56104615708</v>
      </c>
      <c r="AE390" s="85">
        <f t="shared" si="396"/>
        <v>16096.384108343629</v>
      </c>
      <c r="AF390" s="90">
        <f t="shared" si="397"/>
        <v>3384.56104615708</v>
      </c>
      <c r="AG390" s="86">
        <f t="shared" si="398"/>
        <v>9120.2987099999991</v>
      </c>
      <c r="AH390" s="85">
        <f t="shared" si="399"/>
        <v>6139.2748628683721</v>
      </c>
      <c r="AI390" s="85">
        <f t="shared" si="400"/>
        <v>6267.9158916392562</v>
      </c>
      <c r="AJ390" s="90">
        <f t="shared" si="401"/>
        <v>6139.2748628683721</v>
      </c>
      <c r="AL390" s="95">
        <f t="shared" si="402"/>
        <v>0</v>
      </c>
      <c r="AM390" s="95">
        <f t="shared" si="403"/>
        <v>0</v>
      </c>
      <c r="AN390" s="95">
        <f t="shared" si="404"/>
        <v>0</v>
      </c>
      <c r="AO390" s="95">
        <f t="shared" si="405"/>
        <v>0</v>
      </c>
      <c r="AP390"/>
      <c r="AQ390" s="95">
        <f t="shared" si="406"/>
        <v>0</v>
      </c>
      <c r="AR390" s="95">
        <f t="shared" si="407"/>
        <v>0</v>
      </c>
      <c r="AS390" s="95">
        <f>Geraetedaten!$B$94*ABS(SIN(RADIANS($A390)))</f>
        <v>29.384585287987878</v>
      </c>
      <c r="AT390" s="95">
        <f>Geraetedaten!$B$94*ABS(COS(RADIANS($A390)))</f>
        <v>151.17058625094026</v>
      </c>
      <c r="AU390" s="95">
        <f>((h_Aw_Sw+Geraetedaten!$B$18)/1000)*(AQ390*AS390+AR390*AT390)/100</f>
        <v>0</v>
      </c>
    </row>
    <row r="391" spans="1:47" ht="13.5" x14ac:dyDescent="0.25">
      <c r="A391" s="16">
        <v>350</v>
      </c>
      <c r="B391" s="16">
        <f t="shared" si="374"/>
        <v>100</v>
      </c>
      <c r="C391" s="19">
        <f t="shared" si="375"/>
        <v>40.52689196941197</v>
      </c>
      <c r="D391" s="17">
        <f t="shared" si="376"/>
        <v>-24773.021951969415</v>
      </c>
      <c r="E391" s="17">
        <f t="shared" si="377"/>
        <v>-8828.2669219694126</v>
      </c>
      <c r="F391" s="17">
        <f t="shared" si="378"/>
        <v>26358.267038030586</v>
      </c>
      <c r="G391" s="17">
        <f t="shared" si="379"/>
        <v>9048.5136780305875</v>
      </c>
      <c r="H391" s="17">
        <f t="shared" si="380"/>
        <v>9048.5136780305875</v>
      </c>
      <c r="I391" s="17">
        <f t="shared" si="381"/>
        <v>6246.4337627605191</v>
      </c>
      <c r="J391" s="20">
        <f>(Geraetedaten!$B$152+(Geraetedaten!$B$153*(Geraetedaten!$B$18+d_y_Sw)/1000))*10</f>
        <v>6051.0442000000003</v>
      </c>
      <c r="K391" s="20">
        <f>(Geraetedaten!$B$165+(Geraetedaten!$B$166*(Geraetedaten!$B$18+d_y_Sw)/1000))*10</f>
        <v>10816.164000000001</v>
      </c>
      <c r="L391" s="20">
        <f>(Geraetedaten!$B$158+(Geraetedaten!$B$159*(Geraetedaten!$B$18+d_y_Sw)/1000)-(Geraetedaten!$B$160*I391/1000))*10</f>
        <v>143.48561217677093</v>
      </c>
      <c r="M391" s="20">
        <f>(Geraetedaten!$B$171+(Geraetedaten!$B$172*(Geraetedaten!$B$18+d_y_Sw)/1000)-(Geraetedaten!$B$173*I391/1000))*10</f>
        <v>599.88247070010777</v>
      </c>
      <c r="N391" s="20">
        <f>IF((H391-J391)/(K391-J391)*(Geraetedaten!$B$174-Geraetedaten!$B$161)&lt;Geraetedaten!$B$174,(H391-J391)/(K391-J391)*(Geraetedaten!$B$174-Geraetedaten!$B$161),Geraetedaten!$B$174)</f>
        <v>251.61755454967465</v>
      </c>
      <c r="O391" s="20">
        <f>N391/Geraetedaten!$B$174*(M391-L391)+L391+C391</f>
        <v>471.10615776067255</v>
      </c>
      <c r="P391" s="20">
        <f t="shared" si="382"/>
        <v>157.76719481780256</v>
      </c>
      <c r="Q391" s="21">
        <f>(N391-Geraetedaten!$B$161)/(Geraetedaten!$B$174-Geraetedaten!$B$161)*(Geraetedaten!$B$175-Geraetedaten!$B$162)+Geraetedaten!$B$162</f>
        <v>36.68562224785282</v>
      </c>
      <c r="R391" s="21">
        <f t="shared" si="383"/>
        <v>36.68562224785282</v>
      </c>
      <c r="S391" s="21">
        <f t="shared" si="384"/>
        <v>-6.3703914499170402</v>
      </c>
      <c r="T391" s="88">
        <f t="shared" si="385"/>
        <v>36.128285213762602</v>
      </c>
      <c r="U391" s="86">
        <f t="shared" si="386"/>
        <v>-24732.495060000001</v>
      </c>
      <c r="V391" s="85">
        <f t="shared" si="387"/>
        <v>-1346.4914747781525</v>
      </c>
      <c r="W391" s="85">
        <f t="shared" si="388"/>
        <v>-5566.0958663471019</v>
      </c>
      <c r="X391" s="90">
        <f t="shared" si="389"/>
        <v>1346.4914747781525</v>
      </c>
      <c r="Y391" s="86">
        <f t="shared" si="390"/>
        <v>-8787.7400300000008</v>
      </c>
      <c r="Z391" s="85">
        <f t="shared" si="391"/>
        <v>-818.62113479844345</v>
      </c>
      <c r="AA391" s="85">
        <f t="shared" si="392"/>
        <v>-841.96109690355888</v>
      </c>
      <c r="AB391" s="90">
        <f t="shared" si="393"/>
        <v>818.62113479844345</v>
      </c>
      <c r="AC391" s="86">
        <f t="shared" si="394"/>
        <v>26398.79393</v>
      </c>
      <c r="AD391" s="85">
        <f t="shared" si="395"/>
        <v>3384.56104615708</v>
      </c>
      <c r="AE391" s="85">
        <f t="shared" si="396"/>
        <v>14890.372348389439</v>
      </c>
      <c r="AF391" s="90">
        <f t="shared" si="397"/>
        <v>3384.56104615708</v>
      </c>
      <c r="AG391" s="86">
        <f t="shared" si="398"/>
        <v>9089.0405699999992</v>
      </c>
      <c r="AH391" s="85">
        <f t="shared" si="399"/>
        <v>6139.2748628683721</v>
      </c>
      <c r="AI391" s="85">
        <f t="shared" si="400"/>
        <v>6246.4337627605191</v>
      </c>
      <c r="AJ391" s="90">
        <f t="shared" si="401"/>
        <v>6139.2748628683721</v>
      </c>
      <c r="AL391" s="95">
        <f t="shared" si="402"/>
        <v>0</v>
      </c>
      <c r="AM391" s="95">
        <f t="shared" si="403"/>
        <v>0</v>
      </c>
      <c r="AN391" s="95">
        <f t="shared" si="404"/>
        <v>0</v>
      </c>
      <c r="AO391" s="95">
        <f t="shared" si="405"/>
        <v>0</v>
      </c>
      <c r="AP391"/>
      <c r="AQ391" s="95">
        <f t="shared" si="406"/>
        <v>0</v>
      </c>
      <c r="AR391" s="95">
        <f t="shared" si="407"/>
        <v>0</v>
      </c>
      <c r="AS391" s="95">
        <f>Geraetedaten!$B$94*ABS(SIN(RADIANS($A391)))</f>
        <v>26.741819360707279</v>
      </c>
      <c r="AT391" s="95">
        <f>Geraetedaten!$B$94*ABS(COS(RADIANS($A391)))</f>
        <v>151.66039396388004</v>
      </c>
      <c r="AU391" s="95">
        <f>((h_Aw_Sw+Geraetedaten!$B$18)/1000)*(AQ391*AS391+AR391*AT391)/100</f>
        <v>0</v>
      </c>
    </row>
    <row r="392" spans="1:47" ht="13.5" x14ac:dyDescent="0.25">
      <c r="A392" s="16">
        <v>351</v>
      </c>
      <c r="B392" s="16">
        <f t="shared" si="374"/>
        <v>99</v>
      </c>
      <c r="C392" s="19">
        <f t="shared" si="375"/>
        <v>39.519257733491202</v>
      </c>
      <c r="D392" s="17">
        <f t="shared" si="376"/>
        <v>-23157.256907733492</v>
      </c>
      <c r="E392" s="17">
        <f t="shared" si="377"/>
        <v>-8791.8575977334913</v>
      </c>
      <c r="F392" s="17">
        <f t="shared" si="378"/>
        <v>24526.187072266508</v>
      </c>
      <c r="G392" s="17">
        <f t="shared" si="379"/>
        <v>9021.2272622665096</v>
      </c>
      <c r="H392" s="17">
        <f t="shared" si="380"/>
        <v>9021.2272622665096</v>
      </c>
      <c r="I392" s="17">
        <f t="shared" si="381"/>
        <v>6226.988705366959</v>
      </c>
      <c r="J392" s="20">
        <f>(Geraetedaten!$B$152+(Geraetedaten!$B$153*(Geraetedaten!$B$18+d_y_Sw)/1000))*10</f>
        <v>6051.0442000000003</v>
      </c>
      <c r="K392" s="20">
        <f>(Geraetedaten!$B$165+(Geraetedaten!$B$166*(Geraetedaten!$B$18+d_y_Sw)/1000))*10</f>
        <v>10816.164000000001</v>
      </c>
      <c r="L392" s="20">
        <f>(Geraetedaten!$B$158+(Geraetedaten!$B$159*(Geraetedaten!$B$18+d_y_Sw)/1000)-(Geraetedaten!$B$160*I392/1000))*10</f>
        <v>144.91151823544072</v>
      </c>
      <c r="M392" s="20">
        <f>(Geraetedaten!$B$171+(Geraetedaten!$B$172*(Geraetedaten!$B$18+d_y_Sw)/1000)-(Geraetedaten!$B$173*I392/1000))*10</f>
        <v>601.32996077248447</v>
      </c>
      <c r="N392" s="20">
        <f>IF((H392-J392)/(K392-J392)*(Geraetedaten!$B$174-Geraetedaten!$B$161)&lt;Geraetedaten!$B$174,(H392-J392)/(K392-J392)*(Geraetedaten!$B$174-Geraetedaten!$B$161),Geraetedaten!$B$174)</f>
        <v>249.3270420833079</v>
      </c>
      <c r="O392" s="20">
        <f>N392/Geraetedaten!$B$174*(M392-L392)+L392+C392</f>
        <v>468.92442654401032</v>
      </c>
      <c r="P392" s="20">
        <f t="shared" si="382"/>
        <v>157.28819722337627</v>
      </c>
      <c r="Q392" s="21">
        <f>(N392-Geraetedaten!$B$161)/(Geraetedaten!$B$174-Geraetedaten!$B$161)*(Geraetedaten!$B$175-Geraetedaten!$B$162)+Geraetedaten!$B$162</f>
        <v>36.617479501978409</v>
      </c>
      <c r="R392" s="21">
        <f t="shared" si="383"/>
        <v>36.617479501978409</v>
      </c>
      <c r="S392" s="21">
        <f t="shared" si="384"/>
        <v>-5.7282358170136209</v>
      </c>
      <c r="T392" s="88">
        <f t="shared" si="385"/>
        <v>36.166657566085519</v>
      </c>
      <c r="U392" s="86">
        <f t="shared" si="386"/>
        <v>-23117.737649999999</v>
      </c>
      <c r="V392" s="85">
        <f t="shared" si="387"/>
        <v>-1346.4914747781525</v>
      </c>
      <c r="W392" s="85">
        <f t="shared" si="388"/>
        <v>-5202.6915869522136</v>
      </c>
      <c r="X392" s="90">
        <f t="shared" si="389"/>
        <v>1346.4914747781525</v>
      </c>
      <c r="Y392" s="86">
        <f t="shared" si="390"/>
        <v>-8752.3383400000002</v>
      </c>
      <c r="Z392" s="85">
        <f t="shared" si="391"/>
        <v>-818.62113479844345</v>
      </c>
      <c r="AA392" s="85">
        <f t="shared" si="392"/>
        <v>-838.56922927880169</v>
      </c>
      <c r="AB392" s="90">
        <f t="shared" si="393"/>
        <v>818.62113479844345</v>
      </c>
      <c r="AC392" s="86">
        <f t="shared" si="394"/>
        <v>24565.706330000001</v>
      </c>
      <c r="AD392" s="85">
        <f t="shared" si="395"/>
        <v>3384.56104615708</v>
      </c>
      <c r="AE392" s="85">
        <f t="shared" si="396"/>
        <v>13856.410073286943</v>
      </c>
      <c r="AF392" s="90">
        <f t="shared" si="397"/>
        <v>3384.56104615708</v>
      </c>
      <c r="AG392" s="86">
        <f t="shared" si="398"/>
        <v>9060.7465200000006</v>
      </c>
      <c r="AH392" s="85">
        <f t="shared" si="399"/>
        <v>6139.2748628683721</v>
      </c>
      <c r="AI392" s="85">
        <f t="shared" si="400"/>
        <v>6226.988705366959</v>
      </c>
      <c r="AJ392" s="90">
        <f t="shared" si="401"/>
        <v>6139.2748628683721</v>
      </c>
      <c r="AL392" s="95">
        <f t="shared" si="402"/>
        <v>0</v>
      </c>
      <c r="AM392" s="95">
        <f t="shared" si="403"/>
        <v>0</v>
      </c>
      <c r="AN392" s="95">
        <f t="shared" si="404"/>
        <v>0</v>
      </c>
      <c r="AO392" s="95">
        <f t="shared" si="405"/>
        <v>0</v>
      </c>
      <c r="AP392"/>
      <c r="AQ392" s="95">
        <f t="shared" si="406"/>
        <v>0</v>
      </c>
      <c r="AR392" s="95">
        <f t="shared" si="407"/>
        <v>0</v>
      </c>
      <c r="AS392" s="95">
        <f>Geraetedaten!$B$94*ABS(SIN(RADIANS($A392)))</f>
        <v>24.090907616195594</v>
      </c>
      <c r="AT392" s="95">
        <f>Geraetedaten!$B$94*ABS(COS(RADIANS($A392)))</f>
        <v>152.10400445165121</v>
      </c>
      <c r="AU392" s="95">
        <f>((h_Aw_Sw+Geraetedaten!$B$18)/1000)*(AQ392*AS392+AR392*AT392)/100</f>
        <v>0</v>
      </c>
    </row>
    <row r="393" spans="1:47" ht="13.5" x14ac:dyDescent="0.25">
      <c r="A393" s="16">
        <v>352</v>
      </c>
      <c r="B393" s="16">
        <f t="shared" si="374"/>
        <v>98</v>
      </c>
      <c r="C393" s="19">
        <f t="shared" si="375"/>
        <v>38.499585548833167</v>
      </c>
      <c r="D393" s="17">
        <f t="shared" si="376"/>
        <v>-21745.615695548833</v>
      </c>
      <c r="E393" s="17">
        <f t="shared" si="377"/>
        <v>-8758.365815548832</v>
      </c>
      <c r="F393" s="17">
        <f t="shared" si="378"/>
        <v>22938.707424451164</v>
      </c>
      <c r="G393" s="17">
        <f t="shared" si="379"/>
        <v>8996.8722144511685</v>
      </c>
      <c r="H393" s="17">
        <f t="shared" si="380"/>
        <v>8996.8722144511685</v>
      </c>
      <c r="I393" s="17">
        <f t="shared" si="381"/>
        <v>6209.5499557974681</v>
      </c>
      <c r="J393" s="20">
        <f>(Geraetedaten!$B$152+(Geraetedaten!$B$153*(Geraetedaten!$B$18+d_y_Sw)/1000))*10</f>
        <v>6051.0442000000003</v>
      </c>
      <c r="K393" s="20">
        <f>(Geraetedaten!$B$165+(Geraetedaten!$B$166*(Geraetedaten!$B$18+d_y_Sw)/1000))*10</f>
        <v>10816.164000000001</v>
      </c>
      <c r="L393" s="20">
        <f>(Geraetedaten!$B$158+(Geraetedaten!$B$159*(Geraetedaten!$B$18+d_y_Sw)/1000)-(Geraetedaten!$B$160*I393/1000))*10</f>
        <v>146.19030174137151</v>
      </c>
      <c r="M393" s="20">
        <f>(Geraetedaten!$B$171+(Geraetedaten!$B$172*(Geraetedaten!$B$18+d_y_Sw)/1000)-(Geraetedaten!$B$173*I393/1000))*10</f>
        <v>602.62810129043737</v>
      </c>
      <c r="N393" s="20">
        <f>IF((H393-J393)/(K393-J393)*(Geraetedaten!$B$174-Geraetedaten!$B$161)&lt;Geraetedaten!$B$174,(H393-J393)/(K393-J393)*(Geraetedaten!$B$174-Geraetedaten!$B$161),Geraetedaten!$B$174)</f>
        <v>247.28259838933474</v>
      </c>
      <c r="O393" s="20">
        <f>N393/Geraetedaten!$B$174*(M393-L393)+L393+C393</f>
        <v>466.86269997921301</v>
      </c>
      <c r="P393" s="20">
        <f t="shared" si="382"/>
        <v>156.82051258286606</v>
      </c>
      <c r="Q393" s="21">
        <f>(N393-Geraetedaten!$B$161)/(Geraetedaten!$B$174-Geraetedaten!$B$161)*(Geraetedaten!$B$175-Geraetedaten!$B$162)+Geraetedaten!$B$162</f>
        <v>36.556657302082712</v>
      </c>
      <c r="R393" s="21">
        <f t="shared" si="383"/>
        <v>36.556657302082712</v>
      </c>
      <c r="S393" s="21">
        <f t="shared" si="384"/>
        <v>-5.087703357465287</v>
      </c>
      <c r="T393" s="88">
        <f t="shared" si="385"/>
        <v>36.200890426180869</v>
      </c>
      <c r="U393" s="86">
        <f t="shared" si="386"/>
        <v>-21707.116109999999</v>
      </c>
      <c r="V393" s="85">
        <f t="shared" si="387"/>
        <v>-1346.4914747781525</v>
      </c>
      <c r="W393" s="85">
        <f t="shared" si="388"/>
        <v>-4885.228478631363</v>
      </c>
      <c r="X393" s="90">
        <f t="shared" si="389"/>
        <v>1346.4914747781525</v>
      </c>
      <c r="Y393" s="86">
        <f t="shared" si="390"/>
        <v>-8719.8662299999996</v>
      </c>
      <c r="Z393" s="85">
        <f t="shared" si="391"/>
        <v>-818.62113479844345</v>
      </c>
      <c r="AA393" s="85">
        <f t="shared" si="392"/>
        <v>-835.45804801240251</v>
      </c>
      <c r="AB393" s="90">
        <f t="shared" si="393"/>
        <v>818.62113479844345</v>
      </c>
      <c r="AC393" s="86">
        <f t="shared" si="394"/>
        <v>22977.207009999998</v>
      </c>
      <c r="AD393" s="85">
        <f t="shared" si="395"/>
        <v>3384.56104615708</v>
      </c>
      <c r="AE393" s="85">
        <f t="shared" si="396"/>
        <v>12960.409051921693</v>
      </c>
      <c r="AF393" s="90">
        <f t="shared" si="397"/>
        <v>3384.56104615708</v>
      </c>
      <c r="AG393" s="86">
        <f t="shared" si="398"/>
        <v>9035.3718000000008</v>
      </c>
      <c r="AH393" s="85">
        <f t="shared" si="399"/>
        <v>6139.2748628683721</v>
      </c>
      <c r="AI393" s="85">
        <f t="shared" si="400"/>
        <v>6209.5499557974681</v>
      </c>
      <c r="AJ393" s="90">
        <f t="shared" si="401"/>
        <v>6139.2748628683721</v>
      </c>
      <c r="AL393" s="95">
        <f t="shared" si="402"/>
        <v>0</v>
      </c>
      <c r="AM393" s="95">
        <f t="shared" si="403"/>
        <v>0</v>
      </c>
      <c r="AN393" s="95">
        <f t="shared" si="404"/>
        <v>0</v>
      </c>
      <c r="AO393" s="95">
        <f t="shared" si="405"/>
        <v>0</v>
      </c>
      <c r="AP393"/>
      <c r="AQ393" s="95">
        <f t="shared" si="406"/>
        <v>0</v>
      </c>
      <c r="AR393" s="95">
        <f t="shared" si="407"/>
        <v>0</v>
      </c>
      <c r="AS393" s="95">
        <f>Geraetedaten!$B$94*ABS(SIN(RADIANS($A393)))</f>
        <v>21.432657547850145</v>
      </c>
      <c r="AT393" s="95">
        <f>Geraetedaten!$B$94*ABS(COS(RADIANS($A393)))</f>
        <v>152.50128258620182</v>
      </c>
      <c r="AU393" s="95">
        <f>((h_Aw_Sw+Geraetedaten!$B$18)/1000)*(AQ393*AS393+AR393*AT393)/100</f>
        <v>0</v>
      </c>
    </row>
    <row r="394" spans="1:47" ht="13.5" x14ac:dyDescent="0.25">
      <c r="A394" s="16">
        <v>353</v>
      </c>
      <c r="B394" s="16">
        <f t="shared" si="374"/>
        <v>97</v>
      </c>
      <c r="C394" s="19">
        <f t="shared" si="375"/>
        <v>37.468186017463047</v>
      </c>
      <c r="D394" s="17">
        <f t="shared" si="376"/>
        <v>-20502.087156017464</v>
      </c>
      <c r="E394" s="17">
        <f t="shared" si="377"/>
        <v>-8727.7397160174623</v>
      </c>
      <c r="F394" s="17">
        <f t="shared" si="378"/>
        <v>21550.373863982535</v>
      </c>
      <c r="G394" s="17">
        <f t="shared" si="379"/>
        <v>8975.4083639825385</v>
      </c>
      <c r="H394" s="17">
        <f t="shared" si="380"/>
        <v>8975.4083639825385</v>
      </c>
      <c r="I394" s="17">
        <f t="shared" si="381"/>
        <v>6194.0901189306924</v>
      </c>
      <c r="J394" s="20">
        <f>(Geraetedaten!$B$152+(Geraetedaten!$B$153*(Geraetedaten!$B$18+d_y_Sw)/1000))*10</f>
        <v>6051.0442000000003</v>
      </c>
      <c r="K394" s="20">
        <f>(Geraetedaten!$B$165+(Geraetedaten!$B$166*(Geraetedaten!$B$18+d_y_Sw)/1000))*10</f>
        <v>10816.164000000001</v>
      </c>
      <c r="L394" s="20">
        <f>(Geraetedaten!$B$158+(Geraetedaten!$B$159*(Geraetedaten!$B$18+d_y_Sw)/1000)-(Geraetedaten!$B$160*I394/1000))*10</f>
        <v>147.32397157881218</v>
      </c>
      <c r="M394" s="20">
        <f>(Geraetedaten!$B$171+(Geraetedaten!$B$172*(Geraetedaten!$B$18+d_y_Sw)/1000)-(Geraetedaten!$B$173*I394/1000))*10</f>
        <v>603.7789315468001</v>
      </c>
      <c r="N394" s="20">
        <f>IF((H394-J394)/(K394-J394)*(Geraetedaten!$B$174-Geraetedaten!$B$161)&lt;Geraetedaten!$B$174,(H394-J394)/(K394-J394)*(Geraetedaten!$B$174-Geraetedaten!$B$161),Geraetedaten!$B$174)</f>
        <v>245.48085141385431</v>
      </c>
      <c r="O394" s="20">
        <f>N394/Geraetedaten!$B$174*(M394-L394)+L394+C394</f>
        <v>464.91953810882137</v>
      </c>
      <c r="P394" s="20">
        <f t="shared" si="382"/>
        <v>156.36432739883904</v>
      </c>
      <c r="Q394" s="21">
        <f>(N394-Geraetedaten!$B$161)/(Geraetedaten!$B$174-Geraetedaten!$B$161)*(Geraetedaten!$B$175-Geraetedaten!$B$162)+Geraetedaten!$B$162</f>
        <v>36.503055329562166</v>
      </c>
      <c r="R394" s="21">
        <f t="shared" si="383"/>
        <v>36.503055329562166</v>
      </c>
      <c r="S394" s="21">
        <f t="shared" si="384"/>
        <v>-4.4486033852955016</v>
      </c>
      <c r="T394" s="88">
        <f t="shared" si="385"/>
        <v>36.230967090507178</v>
      </c>
      <c r="U394" s="86">
        <f t="shared" si="386"/>
        <v>-20464.61897</v>
      </c>
      <c r="V394" s="85">
        <f t="shared" si="387"/>
        <v>-1346.4914747781525</v>
      </c>
      <c r="W394" s="85">
        <f t="shared" si="388"/>
        <v>-4605.6020932185202</v>
      </c>
      <c r="X394" s="90">
        <f t="shared" si="389"/>
        <v>1346.4914747781525</v>
      </c>
      <c r="Y394" s="86">
        <f t="shared" si="390"/>
        <v>-8690.27153</v>
      </c>
      <c r="Z394" s="85">
        <f t="shared" si="391"/>
        <v>-818.62113479844345</v>
      </c>
      <c r="AA394" s="85">
        <f t="shared" si="392"/>
        <v>-832.6225544396932</v>
      </c>
      <c r="AB394" s="90">
        <f t="shared" si="393"/>
        <v>818.62113479844345</v>
      </c>
      <c r="AC394" s="86">
        <f t="shared" si="394"/>
        <v>21587.842049999999</v>
      </c>
      <c r="AD394" s="85">
        <f t="shared" si="395"/>
        <v>3384.56104615708</v>
      </c>
      <c r="AE394" s="85">
        <f t="shared" si="396"/>
        <v>12176.73076583301</v>
      </c>
      <c r="AF394" s="90">
        <f t="shared" si="397"/>
        <v>3384.56104615708</v>
      </c>
      <c r="AG394" s="86">
        <f t="shared" si="398"/>
        <v>9012.8765500000009</v>
      </c>
      <c r="AH394" s="85">
        <f t="shared" si="399"/>
        <v>6139.2748628683721</v>
      </c>
      <c r="AI394" s="85">
        <f t="shared" si="400"/>
        <v>6194.0901189306924</v>
      </c>
      <c r="AJ394" s="90">
        <f t="shared" si="401"/>
        <v>6139.2748628683721</v>
      </c>
      <c r="AL394" s="95">
        <f t="shared" si="402"/>
        <v>0</v>
      </c>
      <c r="AM394" s="95">
        <f t="shared" si="403"/>
        <v>0</v>
      </c>
      <c r="AN394" s="95">
        <f t="shared" si="404"/>
        <v>0</v>
      </c>
      <c r="AO394" s="95">
        <f t="shared" si="405"/>
        <v>0</v>
      </c>
      <c r="AP394"/>
      <c r="AQ394" s="95">
        <f t="shared" si="406"/>
        <v>0</v>
      </c>
      <c r="AR394" s="95">
        <f t="shared" si="407"/>
        <v>0</v>
      </c>
      <c r="AS394" s="95">
        <f>Geraetedaten!$B$94*ABS(SIN(RADIANS($A394)))</f>
        <v>18.767878884392672</v>
      </c>
      <c r="AT394" s="95">
        <f>Geraetedaten!$B$94*ABS(COS(RADIANS($A394)))</f>
        <v>152.8521073527636</v>
      </c>
      <c r="AU394" s="95">
        <f>((h_Aw_Sw+Geraetedaten!$B$18)/1000)*(AQ394*AS394+AR394*AT394)/100</f>
        <v>0</v>
      </c>
    </row>
    <row r="395" spans="1:47" ht="13.5" x14ac:dyDescent="0.25">
      <c r="A395" s="16">
        <v>354</v>
      </c>
      <c r="B395" s="16">
        <f t="shared" si="374"/>
        <v>96</v>
      </c>
      <c r="C395" s="19">
        <f t="shared" si="375"/>
        <v>36.425373313669589</v>
      </c>
      <c r="D395" s="17">
        <f t="shared" si="376"/>
        <v>-19398.663953313669</v>
      </c>
      <c r="E395" s="17">
        <f t="shared" si="377"/>
        <v>-8699.9324833136707</v>
      </c>
      <c r="F395" s="17">
        <f t="shared" si="378"/>
        <v>20326.34197668633</v>
      </c>
      <c r="G395" s="17">
        <f t="shared" si="379"/>
        <v>8956.8002766863301</v>
      </c>
      <c r="H395" s="17">
        <f t="shared" si="380"/>
        <v>8956.8002766863301</v>
      </c>
      <c r="I395" s="17">
        <f t="shared" si="381"/>
        <v>6180.585061671708</v>
      </c>
      <c r="J395" s="20">
        <f>(Geraetedaten!$B$152+(Geraetedaten!$B$153*(Geraetedaten!$B$18+d_y_Sw)/1000))*10</f>
        <v>6051.0442000000003</v>
      </c>
      <c r="K395" s="20">
        <f>(Geraetedaten!$B$165+(Geraetedaten!$B$166*(Geraetedaten!$B$18+d_y_Sw)/1000))*10</f>
        <v>10816.164000000001</v>
      </c>
      <c r="L395" s="20">
        <f>(Geraetedaten!$B$158+(Geraetedaten!$B$159*(Geraetedaten!$B$18+d_y_Sw)/1000)-(Geraetedaten!$B$160*I395/1000))*10</f>
        <v>148.3142974276135</v>
      </c>
      <c r="M395" s="20">
        <f>(Geraetedaten!$B$171+(Geraetedaten!$B$172*(Geraetedaten!$B$18+d_y_Sw)/1000)-(Geraetedaten!$B$173*I395/1000))*10</f>
        <v>604.78424800915889</v>
      </c>
      <c r="N395" s="20">
        <f>IF((H395-J395)/(K395-J395)*(Geraetedaten!$B$174-Geraetedaten!$B$161)&lt;Geraetedaten!$B$174,(H395-J395)/(K395-J395)*(Geraetedaten!$B$174-Geraetedaten!$B$161),Geraetedaten!$B$174)</f>
        <v>243.91882669445829</v>
      </c>
      <c r="O395" s="20">
        <f>N395/Geraetedaten!$B$174*(M395-L395)+L395+C395</f>
        <v>463.09370765910285</v>
      </c>
      <c r="P395" s="20">
        <f t="shared" si="382"/>
        <v>155.91983825669908</v>
      </c>
      <c r="Q395" s="21">
        <f>(N395-Geraetedaten!$B$161)/(Geraetedaten!$B$174-Geraetedaten!$B$161)*(Geraetedaten!$B$175-Geraetedaten!$B$162)+Geraetedaten!$B$162</f>
        <v>36.456585094160133</v>
      </c>
      <c r="R395" s="21">
        <f t="shared" si="383"/>
        <v>36.456585094160133</v>
      </c>
      <c r="S395" s="21">
        <f t="shared" si="384"/>
        <v>-3.8107508158789987</v>
      </c>
      <c r="T395" s="88">
        <f t="shared" si="385"/>
        <v>36.256872106498875</v>
      </c>
      <c r="U395" s="86">
        <f t="shared" si="386"/>
        <v>-19362.238580000001</v>
      </c>
      <c r="V395" s="85">
        <f t="shared" si="387"/>
        <v>-1346.4914747781525</v>
      </c>
      <c r="W395" s="85">
        <f t="shared" si="388"/>
        <v>-4357.5092536655275</v>
      </c>
      <c r="X395" s="90">
        <f t="shared" si="389"/>
        <v>1346.4914747781525</v>
      </c>
      <c r="Y395" s="86">
        <f t="shared" si="390"/>
        <v>-8663.5071100000005</v>
      </c>
      <c r="Z395" s="85">
        <f t="shared" si="391"/>
        <v>-818.62113479844345</v>
      </c>
      <c r="AA395" s="85">
        <f t="shared" si="392"/>
        <v>-830.05823129323392</v>
      </c>
      <c r="AB395" s="90">
        <f t="shared" si="393"/>
        <v>818.62113479844345</v>
      </c>
      <c r="AC395" s="86">
        <f t="shared" si="394"/>
        <v>20362.767349999998</v>
      </c>
      <c r="AD395" s="85">
        <f t="shared" si="395"/>
        <v>3384.56104615708</v>
      </c>
      <c r="AE395" s="85">
        <f t="shared" si="396"/>
        <v>11485.721230376948</v>
      </c>
      <c r="AF395" s="90">
        <f t="shared" si="397"/>
        <v>3384.56104615708</v>
      </c>
      <c r="AG395" s="86">
        <f t="shared" si="398"/>
        <v>8993.2256500000003</v>
      </c>
      <c r="AH395" s="85">
        <f t="shared" si="399"/>
        <v>6139.2748628683721</v>
      </c>
      <c r="AI395" s="85">
        <f t="shared" si="400"/>
        <v>6180.585061671708</v>
      </c>
      <c r="AJ395" s="90">
        <f t="shared" si="401"/>
        <v>6139.2748628683721</v>
      </c>
      <c r="AL395" s="95">
        <f t="shared" si="402"/>
        <v>0</v>
      </c>
      <c r="AM395" s="95">
        <f t="shared" si="403"/>
        <v>0</v>
      </c>
      <c r="AN395" s="95">
        <f t="shared" si="404"/>
        <v>0</v>
      </c>
      <c r="AO395" s="95">
        <f t="shared" si="405"/>
        <v>0</v>
      </c>
      <c r="AP395"/>
      <c r="AQ395" s="95">
        <f t="shared" si="406"/>
        <v>0</v>
      </c>
      <c r="AR395" s="95">
        <f t="shared" si="407"/>
        <v>0</v>
      </c>
      <c r="AS395" s="95">
        <f>Geraetedaten!$B$94*ABS(SIN(RADIANS($A395)))</f>
        <v>16.097383343218628</v>
      </c>
      <c r="AT395" s="95">
        <f>Geraetedaten!$B$94*ABS(COS(RADIANS($A395)))</f>
        <v>153.15637188671408</v>
      </c>
      <c r="AU395" s="95">
        <f>((h_Aw_Sw+Geraetedaten!$B$18)/1000)*(AQ395*AS395+AR395*AT395)/100</f>
        <v>0</v>
      </c>
    </row>
    <row r="396" spans="1:47" ht="13.5" x14ac:dyDescent="0.25">
      <c r="A396" s="16">
        <v>355</v>
      </c>
      <c r="B396" s="16">
        <f t="shared" si="374"/>
        <v>95</v>
      </c>
      <c r="C396" s="19">
        <f t="shared" si="375"/>
        <v>35.371465088304276</v>
      </c>
      <c r="D396" s="17">
        <f t="shared" si="376"/>
        <v>-18413.236215088305</v>
      </c>
      <c r="E396" s="17">
        <f t="shared" si="377"/>
        <v>-8674.9021050883057</v>
      </c>
      <c r="F396" s="17">
        <f t="shared" si="378"/>
        <v>19239.452484911697</v>
      </c>
      <c r="G396" s="17">
        <f t="shared" si="379"/>
        <v>8941.0171449116951</v>
      </c>
      <c r="H396" s="17">
        <f t="shared" si="380"/>
        <v>8941.0171449116951</v>
      </c>
      <c r="I396" s="17">
        <f t="shared" si="381"/>
        <v>6169.0138199717749</v>
      </c>
      <c r="J396" s="20">
        <f>(Geraetedaten!$B$152+(Geraetedaten!$B$153*(Geraetedaten!$B$18+d_y_Sw)/1000))*10</f>
        <v>6051.0442000000003</v>
      </c>
      <c r="K396" s="20">
        <f>(Geraetedaten!$B$165+(Geraetedaten!$B$166*(Geraetedaten!$B$18+d_y_Sw)/1000))*10</f>
        <v>10816.164000000001</v>
      </c>
      <c r="L396" s="20">
        <f>(Geraetedaten!$B$158+(Geraetedaten!$B$159*(Geraetedaten!$B$18+d_y_Sw)/1000)-(Geraetedaten!$B$160*I396/1000))*10</f>
        <v>149.16281658146957</v>
      </c>
      <c r="M396" s="20">
        <f>(Geraetedaten!$B$171+(Geraetedaten!$B$172*(Geraetedaten!$B$18+d_y_Sw)/1000)-(Geraetedaten!$B$173*I396/1000))*10</f>
        <v>605.64561124130182</v>
      </c>
      <c r="N396" s="20">
        <f>IF((H396-J396)/(K396-J396)*(Geraetedaten!$B$174-Geraetedaten!$B$161)&lt;Geraetedaten!$B$174,(H396-J396)/(K396-J396)*(Geraetedaten!$B$174-Geraetedaten!$B$161),Geraetedaten!$B$174)</f>
        <v>242.59393813449935</v>
      </c>
      <c r="O396" s="20">
        <f>N396/Geraetedaten!$B$174*(M396-L396)+L396+C396</f>
        <v>461.38417878770065</v>
      </c>
      <c r="P396" s="20">
        <f t="shared" si="382"/>
        <v>155.48725227911717</v>
      </c>
      <c r="Q396" s="21">
        <f>(N396-Geraetedaten!$B$161)/(Geraetedaten!$B$174-Geraetedaten!$B$161)*(Geraetedaten!$B$175-Geraetedaten!$B$162)+Geraetedaten!$B$162</f>
        <v>36.417169659501354</v>
      </c>
      <c r="R396" s="21">
        <f t="shared" si="383"/>
        <v>36.417169659501354</v>
      </c>
      <c r="S396" s="21">
        <f t="shared" si="384"/>
        <v>-3.1739654704413276</v>
      </c>
      <c r="T396" s="88">
        <f t="shared" si="385"/>
        <v>36.278591334302824</v>
      </c>
      <c r="U396" s="86">
        <f t="shared" si="386"/>
        <v>-18377.864750000001</v>
      </c>
      <c r="V396" s="85">
        <f t="shared" si="387"/>
        <v>-1346.4914747781525</v>
      </c>
      <c r="W396" s="85">
        <f t="shared" si="388"/>
        <v>-4135.9740200937194</v>
      </c>
      <c r="X396" s="90">
        <f t="shared" si="389"/>
        <v>1346.4914747781525</v>
      </c>
      <c r="Y396" s="86">
        <f t="shared" si="390"/>
        <v>-8639.5306400000009</v>
      </c>
      <c r="Z396" s="85">
        <f t="shared" si="391"/>
        <v>-818.62113479844345</v>
      </c>
      <c r="AA396" s="85">
        <f t="shared" si="392"/>
        <v>-827.76102478391147</v>
      </c>
      <c r="AB396" s="90">
        <f t="shared" si="393"/>
        <v>818.62113479844345</v>
      </c>
      <c r="AC396" s="86">
        <f t="shared" si="394"/>
        <v>19274.823950000002</v>
      </c>
      <c r="AD396" s="85">
        <f t="shared" si="395"/>
        <v>3384.56104615708</v>
      </c>
      <c r="AE396" s="85">
        <f t="shared" si="396"/>
        <v>10872.061287050516</v>
      </c>
      <c r="AF396" s="90">
        <f t="shared" si="397"/>
        <v>3384.56104615708</v>
      </c>
      <c r="AG396" s="86">
        <f t="shared" si="398"/>
        <v>8976.38861</v>
      </c>
      <c r="AH396" s="85">
        <f t="shared" si="399"/>
        <v>6139.2748628683721</v>
      </c>
      <c r="AI396" s="85">
        <f t="shared" si="400"/>
        <v>6169.0138199717749</v>
      </c>
      <c r="AJ396" s="90">
        <f t="shared" si="401"/>
        <v>6139.2748628683721</v>
      </c>
      <c r="AL396" s="95">
        <f t="shared" si="402"/>
        <v>0</v>
      </c>
      <c r="AM396" s="95">
        <f t="shared" si="403"/>
        <v>0</v>
      </c>
      <c r="AN396" s="95">
        <f t="shared" si="404"/>
        <v>0</v>
      </c>
      <c r="AO396" s="95">
        <f t="shared" si="405"/>
        <v>0</v>
      </c>
      <c r="AP396"/>
      <c r="AQ396" s="95">
        <f t="shared" si="406"/>
        <v>0</v>
      </c>
      <c r="AR396" s="95">
        <f t="shared" si="407"/>
        <v>0</v>
      </c>
      <c r="AS396" s="95">
        <f>Geraetedaten!$B$94*ABS(SIN(RADIANS($A396)))</f>
        <v>13.421984383139382</v>
      </c>
      <c r="AT396" s="95">
        <f>Geraetedaten!$B$94*ABS(COS(RADIANS($A396)))</f>
        <v>153.4139835061288</v>
      </c>
      <c r="AU396" s="95">
        <f>((h_Aw_Sw+Geraetedaten!$B$18)/1000)*(AQ396*AS396+AR396*AT396)/100</f>
        <v>0</v>
      </c>
    </row>
    <row r="397" spans="1:47" ht="13.5" x14ac:dyDescent="0.25">
      <c r="A397" s="16">
        <v>356</v>
      </c>
      <c r="B397" s="16">
        <f t="shared" si="374"/>
        <v>94</v>
      </c>
      <c r="C397" s="19">
        <f t="shared" si="375"/>
        <v>34.306782372021985</v>
      </c>
      <c r="D397" s="17">
        <f t="shared" si="376"/>
        <v>-17528.117152372022</v>
      </c>
      <c r="E397" s="17">
        <f t="shared" si="377"/>
        <v>-8652.6112723720216</v>
      </c>
      <c r="F397" s="17">
        <f t="shared" si="378"/>
        <v>18268.223387627979</v>
      </c>
      <c r="G397" s="17">
        <f t="shared" si="379"/>
        <v>8928.0326176279796</v>
      </c>
      <c r="H397" s="17">
        <f t="shared" si="380"/>
        <v>8928.0326176279796</v>
      </c>
      <c r="I397" s="17">
        <f t="shared" si="381"/>
        <v>6159.3585187068975</v>
      </c>
      <c r="J397" s="20">
        <f>(Geraetedaten!$B$152+(Geraetedaten!$B$153*(Geraetedaten!$B$18+d_y_Sw)/1000))*10</f>
        <v>6051.0442000000003</v>
      </c>
      <c r="K397" s="20">
        <f>(Geraetedaten!$B$165+(Geraetedaten!$B$166*(Geraetedaten!$B$18+d_y_Sw)/1000))*10</f>
        <v>10816.164000000001</v>
      </c>
      <c r="L397" s="20">
        <f>(Geraetedaten!$B$158+(Geraetedaten!$B$159*(Geraetedaten!$B$18+d_y_Sw)/1000)-(Geraetedaten!$B$160*I397/1000))*10</f>
        <v>149.87083982322304</v>
      </c>
      <c r="M397" s="20">
        <f>(Geraetedaten!$B$171+(Geraetedaten!$B$172*(Geraetedaten!$B$18+d_y_Sw)/1000)-(Geraetedaten!$B$173*I397/1000))*10</f>
        <v>606.36435186745939</v>
      </c>
      <c r="N397" s="20">
        <f>IF((H397-J397)/(K397-J397)*(Geraetedaten!$B$174-Geraetedaten!$B$161)&lt;Geraetedaten!$B$174,(H397-J397)/(K397-J397)*(Geraetedaten!$B$174-Geraetedaten!$B$161),Geraetedaten!$B$174)</f>
        <v>241.5039737408473</v>
      </c>
      <c r="O397" s="20">
        <f>N397/Geraetedaten!$B$174*(M397-L397)+L397+C397</f>
        <v>459.79011505924109</v>
      </c>
      <c r="P397" s="20">
        <f t="shared" si="382"/>
        <v>155.0667860504862</v>
      </c>
      <c r="Q397" s="21">
        <f>(N397-Geraetedaten!$B$161)/(Geraetedaten!$B$174-Geraetedaten!$B$161)*(Geraetedaten!$B$175-Geraetedaten!$B$162)+Geraetedaten!$B$162</f>
        <v>36.384743218790206</v>
      </c>
      <c r="R397" s="21">
        <f t="shared" si="383"/>
        <v>36.384743218790206</v>
      </c>
      <c r="S397" s="21">
        <f t="shared" si="384"/>
        <v>-2.5380713850282923</v>
      </c>
      <c r="T397" s="88">
        <f t="shared" si="385"/>
        <v>36.296111813000032</v>
      </c>
      <c r="U397" s="86">
        <f t="shared" si="386"/>
        <v>-17493.810369999999</v>
      </c>
      <c r="V397" s="85">
        <f t="shared" si="387"/>
        <v>-1346.4914747781525</v>
      </c>
      <c r="W397" s="85">
        <f t="shared" si="388"/>
        <v>-3937.0158714389045</v>
      </c>
      <c r="X397" s="90">
        <f t="shared" si="389"/>
        <v>1346.4914747781525</v>
      </c>
      <c r="Y397" s="86">
        <f t="shared" si="390"/>
        <v>-8618.3044900000004</v>
      </c>
      <c r="Z397" s="85">
        <f t="shared" si="391"/>
        <v>-818.62113479844345</v>
      </c>
      <c r="AA397" s="85">
        <f t="shared" si="392"/>
        <v>-825.72732869704544</v>
      </c>
      <c r="AB397" s="90">
        <f t="shared" si="393"/>
        <v>818.62113479844345</v>
      </c>
      <c r="AC397" s="86">
        <f t="shared" si="394"/>
        <v>18302.530170000002</v>
      </c>
      <c r="AD397" s="85">
        <f t="shared" si="395"/>
        <v>3384.56104615708</v>
      </c>
      <c r="AE397" s="85">
        <f t="shared" si="396"/>
        <v>10323.634097910026</v>
      </c>
      <c r="AF397" s="90">
        <f t="shared" si="397"/>
        <v>3384.56104615708</v>
      </c>
      <c r="AG397" s="86">
        <f t="shared" si="398"/>
        <v>8962.3394000000008</v>
      </c>
      <c r="AH397" s="85">
        <f t="shared" si="399"/>
        <v>6139.2748628683721</v>
      </c>
      <c r="AI397" s="85">
        <f t="shared" si="400"/>
        <v>6159.3585187068975</v>
      </c>
      <c r="AJ397" s="90">
        <f t="shared" si="401"/>
        <v>6139.2748628683721</v>
      </c>
      <c r="AL397" s="95">
        <f t="shared" si="402"/>
        <v>0</v>
      </c>
      <c r="AM397" s="95">
        <f t="shared" si="403"/>
        <v>0</v>
      </c>
      <c r="AN397" s="95">
        <f t="shared" si="404"/>
        <v>0</v>
      </c>
      <c r="AO397" s="95">
        <f t="shared" si="405"/>
        <v>0</v>
      </c>
      <c r="AP397"/>
      <c r="AQ397" s="95">
        <f t="shared" si="406"/>
        <v>0</v>
      </c>
      <c r="AR397" s="95">
        <f t="shared" si="407"/>
        <v>0</v>
      </c>
      <c r="AS397" s="95">
        <f>Geraetedaten!$B$94*ABS(SIN(RADIANS($A397)))</f>
        <v>10.742496956595348</v>
      </c>
      <c r="AT397" s="95">
        <f>Geraetedaten!$B$94*ABS(COS(RADIANS($A397)))</f>
        <v>153.62486374001293</v>
      </c>
      <c r="AU397" s="95">
        <f>((h_Aw_Sw+Geraetedaten!$B$18)/1000)*(AQ397*AS397+AR397*AT397)/100</f>
        <v>0</v>
      </c>
    </row>
    <row r="398" spans="1:47" ht="13.5" x14ac:dyDescent="0.25">
      <c r="A398" s="16">
        <v>357</v>
      </c>
      <c r="B398" s="16">
        <f t="shared" si="374"/>
        <v>93</v>
      </c>
      <c r="C398" s="19">
        <f t="shared" si="375"/>
        <v>33.231649477491914</v>
      </c>
      <c r="D398" s="17">
        <f t="shared" si="376"/>
        <v>-16728.989899477492</v>
      </c>
      <c r="E398" s="17">
        <f t="shared" si="377"/>
        <v>-8633.0271994774921</v>
      </c>
      <c r="F398" s="17">
        <f t="shared" si="378"/>
        <v>17395.440450522507</v>
      </c>
      <c r="G398" s="17">
        <f t="shared" si="379"/>
        <v>8917.8247805225092</v>
      </c>
      <c r="H398" s="17">
        <f t="shared" si="380"/>
        <v>8917.8247805225092</v>
      </c>
      <c r="I398" s="17">
        <f t="shared" si="381"/>
        <v>6151.6043038401813</v>
      </c>
      <c r="J398" s="20">
        <f>(Geraetedaten!$B$152+(Geraetedaten!$B$153*(Geraetedaten!$B$18+d_y_Sw)/1000))*10</f>
        <v>6051.0442000000003</v>
      </c>
      <c r="K398" s="20">
        <f>(Geraetedaten!$B$165+(Geraetedaten!$B$166*(Geraetedaten!$B$18+d_y_Sw)/1000))*10</f>
        <v>10816.164000000001</v>
      </c>
      <c r="L398" s="20">
        <f>(Geraetedaten!$B$158+(Geraetedaten!$B$159*(Geraetedaten!$B$18+d_y_Sw)/1000)-(Geraetedaten!$B$160*I398/1000))*10</f>
        <v>150.43945639939935</v>
      </c>
      <c r="M398" s="20">
        <f>(Geraetedaten!$B$171+(Geraetedaten!$B$172*(Geraetedaten!$B$18+d_y_Sw)/1000)-(Geraetedaten!$B$173*I398/1000))*10</f>
        <v>606.94157562213775</v>
      </c>
      <c r="N398" s="20">
        <f>IF((H398-J398)/(K398-J398)*(Geraetedaten!$B$174-Geraetedaten!$B$161)&lt;Geraetedaten!$B$174,(H398-J398)/(K398-J398)*(Geraetedaten!$B$174-Geraetedaten!$B$161),Geraetedaten!$B$174)</f>
        <v>240.64709395323146</v>
      </c>
      <c r="O398" s="20">
        <f>N398/Geraetedaten!$B$174*(M398-L398)+L398+C398</f>
        <v>458.31087681300028</v>
      </c>
      <c r="P398" s="20">
        <f t="shared" si="382"/>
        <v>154.65866710476408</v>
      </c>
      <c r="Q398" s="21">
        <f>(N398-Geraetedaten!$B$161)/(Geraetedaten!$B$174-Geraetedaten!$B$161)*(Geraetedaten!$B$175-Geraetedaten!$B$162)+Geraetedaten!$B$162</f>
        <v>36.359251045108635</v>
      </c>
      <c r="R398" s="21">
        <f t="shared" si="383"/>
        <v>36.359251045108635</v>
      </c>
      <c r="S398" s="21">
        <f t="shared" si="384"/>
        <v>-1.9028961717230348</v>
      </c>
      <c r="T398" s="88">
        <f t="shared" si="385"/>
        <v>36.309421955201586</v>
      </c>
      <c r="U398" s="86">
        <f t="shared" si="386"/>
        <v>-16695.758249999999</v>
      </c>
      <c r="V398" s="85">
        <f t="shared" si="387"/>
        <v>-1346.4914747781525</v>
      </c>
      <c r="W398" s="85">
        <f t="shared" si="388"/>
        <v>-3757.4126958449733</v>
      </c>
      <c r="X398" s="90">
        <f t="shared" si="389"/>
        <v>1346.4914747781525</v>
      </c>
      <c r="Y398" s="86">
        <f t="shared" si="390"/>
        <v>-8599.7955500000007</v>
      </c>
      <c r="Z398" s="85">
        <f t="shared" si="391"/>
        <v>-818.62113479844345</v>
      </c>
      <c r="AA398" s="85">
        <f t="shared" si="392"/>
        <v>-823.95397038547037</v>
      </c>
      <c r="AB398" s="90">
        <f t="shared" si="393"/>
        <v>818.62113479844345</v>
      </c>
      <c r="AC398" s="86">
        <f t="shared" si="394"/>
        <v>17428.6721</v>
      </c>
      <c r="AD398" s="85">
        <f t="shared" si="395"/>
        <v>3384.56104615708</v>
      </c>
      <c r="AE398" s="85">
        <f t="shared" si="396"/>
        <v>9830.7300625795997</v>
      </c>
      <c r="AF398" s="90">
        <f t="shared" si="397"/>
        <v>3384.56104615708</v>
      </c>
      <c r="AG398" s="86">
        <f t="shared" si="398"/>
        <v>8951.0564300000005</v>
      </c>
      <c r="AH398" s="85">
        <f t="shared" si="399"/>
        <v>6139.2748628683721</v>
      </c>
      <c r="AI398" s="85">
        <f t="shared" si="400"/>
        <v>6151.6043038401813</v>
      </c>
      <c r="AJ398" s="90">
        <f t="shared" si="401"/>
        <v>6139.2748628683721</v>
      </c>
      <c r="AL398" s="95">
        <f t="shared" si="402"/>
        <v>0</v>
      </c>
      <c r="AM398" s="95">
        <f t="shared" si="403"/>
        <v>0</v>
      </c>
      <c r="AN398" s="95">
        <f t="shared" si="404"/>
        <v>0</v>
      </c>
      <c r="AO398" s="95">
        <f t="shared" si="405"/>
        <v>0</v>
      </c>
      <c r="AP398"/>
      <c r="AQ398" s="95">
        <f t="shared" si="406"/>
        <v>0</v>
      </c>
      <c r="AR398" s="95">
        <f t="shared" si="407"/>
        <v>0</v>
      </c>
      <c r="AS398" s="95">
        <f>Geraetedaten!$B$94*ABS(SIN(RADIANS($A398)))</f>
        <v>8.0597372614134333</v>
      </c>
      <c r="AT398" s="95">
        <f>Geraetedaten!$B$94*ABS(COS(RADIANS($A398)))</f>
        <v>153.78894835220436</v>
      </c>
      <c r="AU398" s="95">
        <f>((h_Aw_Sw+Geraetedaten!$B$18)/1000)*(AQ398*AS398+AR398*AT398)/100</f>
        <v>0</v>
      </c>
    </row>
    <row r="399" spans="1:47" ht="13.5" x14ac:dyDescent="0.25">
      <c r="A399" s="16">
        <v>358</v>
      </c>
      <c r="B399" s="16">
        <f t="shared" si="374"/>
        <v>92</v>
      </c>
      <c r="C399" s="19">
        <f t="shared" si="375"/>
        <v>32.146393900608729</v>
      </c>
      <c r="D399" s="17">
        <f t="shared" si="376"/>
        <v>-16004.141593900607</v>
      </c>
      <c r="E399" s="17">
        <f t="shared" si="377"/>
        <v>-8616.1214839006079</v>
      </c>
      <c r="F399" s="17">
        <f t="shared" si="378"/>
        <v>16607.14767609939</v>
      </c>
      <c r="G399" s="17">
        <f t="shared" si="379"/>
        <v>8910.3759760993926</v>
      </c>
      <c r="H399" s="17">
        <f t="shared" si="380"/>
        <v>8910.3759760993926</v>
      </c>
      <c r="I399" s="17">
        <f t="shared" si="381"/>
        <v>6145.739286385533</v>
      </c>
      <c r="J399" s="20">
        <f>(Geraetedaten!$B$152+(Geraetedaten!$B$153*(Geraetedaten!$B$18+d_y_Sw)/1000))*10</f>
        <v>6051.0442000000003</v>
      </c>
      <c r="K399" s="20">
        <f>(Geraetedaten!$B$165+(Geraetedaten!$B$166*(Geraetedaten!$B$18+d_y_Sw)/1000))*10</f>
        <v>10816.164000000001</v>
      </c>
      <c r="L399" s="20">
        <f>(Geraetedaten!$B$158+(Geraetedaten!$B$159*(Geraetedaten!$B$18+d_y_Sw)/1000)-(Geraetedaten!$B$160*I399/1000))*10</f>
        <v>150.86953812934871</v>
      </c>
      <c r="M399" s="20">
        <f>(Geraetedaten!$B$171+(Geraetedaten!$B$172*(Geraetedaten!$B$18+d_y_Sw)/1000)-(Geraetedaten!$B$173*I399/1000))*10</f>
        <v>607.37816752146171</v>
      </c>
      <c r="N399" s="20">
        <f>IF((H399-J399)/(K399-J399)*(Geraetedaten!$B$174-Geraetedaten!$B$161)&lt;Geraetedaten!$B$174,(H399-J399)/(K399-J399)*(Geraetedaten!$B$174-Geraetedaten!$B$161),Geraetedaten!$B$174)</f>
        <v>240.02181654273556</v>
      </c>
      <c r="O399" s="20">
        <f>N399/Geraetedaten!$B$174*(M399-L399)+L399+C399</f>
        <v>456.94600826528097</v>
      </c>
      <c r="P399" s="20">
        <f t="shared" si="382"/>
        <v>154.26313196320291</v>
      </c>
      <c r="Q399" s="21">
        <f>(N399-Geraetedaten!$B$161)/(Geraetedaten!$B$174-Geraetedaten!$B$161)*(Geraetedaten!$B$175-Geraetedaten!$B$162)+Geraetedaten!$B$162</f>
        <v>36.340649042146381</v>
      </c>
      <c r="R399" s="21">
        <f t="shared" si="383"/>
        <v>36.340649042146381</v>
      </c>
      <c r="S399" s="21">
        <f t="shared" si="384"/>
        <v>-1.2682703614131274</v>
      </c>
      <c r="T399" s="88">
        <f t="shared" si="385"/>
        <v>36.318511300641383</v>
      </c>
      <c r="U399" s="86">
        <f t="shared" si="386"/>
        <v>-15971.995199999999</v>
      </c>
      <c r="V399" s="85">
        <f t="shared" si="387"/>
        <v>-1346.4914747781525</v>
      </c>
      <c r="W399" s="85">
        <f t="shared" si="388"/>
        <v>-3594.528422388234</v>
      </c>
      <c r="X399" s="90">
        <f t="shared" si="389"/>
        <v>1346.4914747781525</v>
      </c>
      <c r="Y399" s="86">
        <f t="shared" si="390"/>
        <v>-8583.9750899999999</v>
      </c>
      <c r="Z399" s="85">
        <f t="shared" si="391"/>
        <v>-818.62113479844345</v>
      </c>
      <c r="AA399" s="85">
        <f t="shared" si="392"/>
        <v>-822.4381985569654</v>
      </c>
      <c r="AB399" s="90">
        <f t="shared" si="393"/>
        <v>818.62113479844345</v>
      </c>
      <c r="AC399" s="86">
        <f t="shared" si="394"/>
        <v>16639.29407</v>
      </c>
      <c r="AD399" s="85">
        <f t="shared" si="395"/>
        <v>3384.56104615708</v>
      </c>
      <c r="AE399" s="85">
        <f t="shared" si="396"/>
        <v>9385.4774183918144</v>
      </c>
      <c r="AF399" s="90">
        <f t="shared" si="397"/>
        <v>3384.56104615708</v>
      </c>
      <c r="AG399" s="86">
        <f t="shared" si="398"/>
        <v>8942.5223700000006</v>
      </c>
      <c r="AH399" s="85">
        <f t="shared" si="399"/>
        <v>6139.2748628683721</v>
      </c>
      <c r="AI399" s="85">
        <f t="shared" si="400"/>
        <v>6145.739286385533</v>
      </c>
      <c r="AJ399" s="90">
        <f t="shared" si="401"/>
        <v>6139.2748628683721</v>
      </c>
      <c r="AL399" s="95">
        <f t="shared" si="402"/>
        <v>0</v>
      </c>
      <c r="AM399" s="95">
        <f t="shared" si="403"/>
        <v>0</v>
      </c>
      <c r="AN399" s="95">
        <f t="shared" si="404"/>
        <v>0</v>
      </c>
      <c r="AO399" s="95">
        <f t="shared" si="405"/>
        <v>0</v>
      </c>
      <c r="AP399"/>
      <c r="AQ399" s="95">
        <f t="shared" si="406"/>
        <v>0</v>
      </c>
      <c r="AR399" s="95">
        <f t="shared" si="407"/>
        <v>0</v>
      </c>
      <c r="AS399" s="95">
        <f>Geraetedaten!$B$94*ABS(SIN(RADIANS($A399)))</f>
        <v>5.3745224921851271</v>
      </c>
      <c r="AT399" s="95">
        <f>Geraetedaten!$B$94*ABS(COS(RADIANS($A399)))</f>
        <v>153.90618736094075</v>
      </c>
      <c r="AU399" s="95">
        <f>((h_Aw_Sw+Geraetedaten!$B$18)/1000)*(AQ399*AS399+AR399*AT399)/100</f>
        <v>0</v>
      </c>
    </row>
    <row r="400" spans="1:47" ht="13.5" x14ac:dyDescent="0.25">
      <c r="A400" s="16">
        <v>359</v>
      </c>
      <c r="B400" s="16">
        <f t="shared" si="374"/>
        <v>91</v>
      </c>
      <c r="C400" s="19">
        <f t="shared" si="375"/>
        <v>31.051346220734366</v>
      </c>
      <c r="D400" s="17">
        <f t="shared" si="376"/>
        <v>-15343.897346220734</v>
      </c>
      <c r="E400" s="17">
        <f t="shared" si="377"/>
        <v>-8601.8700362207346</v>
      </c>
      <c r="F400" s="17">
        <f t="shared" si="378"/>
        <v>15891.911453779265</v>
      </c>
      <c r="G400" s="17">
        <f t="shared" si="379"/>
        <v>8905.672853779266</v>
      </c>
      <c r="H400" s="17">
        <f t="shared" si="380"/>
        <v>8905.672853779266</v>
      </c>
      <c r="I400" s="17">
        <f t="shared" si="381"/>
        <v>6141.7544977772695</v>
      </c>
      <c r="J400" s="20">
        <f>(Geraetedaten!$B$152+(Geraetedaten!$B$153*(Geraetedaten!$B$18+d_y_Sw)/1000))*10</f>
        <v>6051.0442000000003</v>
      </c>
      <c r="K400" s="20">
        <f>(Geraetedaten!$B$165+(Geraetedaten!$B$166*(Geraetedaten!$B$18+d_y_Sw)/1000))*10</f>
        <v>10816.164000000001</v>
      </c>
      <c r="L400" s="20">
        <f>(Geraetedaten!$B$158+(Geraetedaten!$B$159*(Geraetedaten!$B$18+d_y_Sw)/1000)-(Geraetedaten!$B$160*I400/1000))*10</f>
        <v>151.16174267799266</v>
      </c>
      <c r="M400" s="20">
        <f>(Geraetedaten!$B$171+(Geraetedaten!$B$172*(Geraetedaten!$B$18+d_y_Sw)/1000)-(Geraetedaten!$B$173*I400/1000))*10</f>
        <v>607.67479518546088</v>
      </c>
      <c r="N400" s="20">
        <f>IF((H400-J400)/(K400-J400)*(Geraetedaten!$B$174-Geraetedaten!$B$161)&lt;Geraetedaten!$B$174,(H400-J400)/(K400-J400)*(Geraetedaten!$B$174-Geraetedaten!$B$161),Geraetedaten!$B$174)</f>
        <v>239.62702081733732</v>
      </c>
      <c r="O400" s="20">
        <f>N400/Geraetedaten!$B$174*(M400-L400)+L400+C400</f>
        <v>455.69524574021028</v>
      </c>
      <c r="P400" s="20">
        <f t="shared" si="382"/>
        <v>153.88042833269446</v>
      </c>
      <c r="Q400" s="21">
        <f>(N400-Geraetedaten!$B$161)/(Geraetedaten!$B$174-Geraetedaten!$B$161)*(Geraetedaten!$B$175-Geraetedaten!$B$162)+Geraetedaten!$B$162</f>
        <v>36.328903869315788</v>
      </c>
      <c r="R400" s="21">
        <f t="shared" si="383"/>
        <v>36.328903869315788</v>
      </c>
      <c r="S400" s="21">
        <f t="shared" si="384"/>
        <v>-0.63402679574830245</v>
      </c>
      <c r="T400" s="88">
        <f t="shared" si="385"/>
        <v>36.323370801293493</v>
      </c>
      <c r="U400" s="86">
        <f t="shared" si="386"/>
        <v>-15312.846</v>
      </c>
      <c r="V400" s="85">
        <f t="shared" si="387"/>
        <v>-1346.4914747781525</v>
      </c>
      <c r="W400" s="85">
        <f t="shared" si="388"/>
        <v>-3446.1856200635088</v>
      </c>
      <c r="X400" s="90">
        <f t="shared" si="389"/>
        <v>1346.4914747781525</v>
      </c>
      <c r="Y400" s="86">
        <f t="shared" si="390"/>
        <v>-8570.8186900000001</v>
      </c>
      <c r="Z400" s="85">
        <f t="shared" si="391"/>
        <v>-818.62113479844345</v>
      </c>
      <c r="AA400" s="85">
        <f t="shared" si="392"/>
        <v>-821.17767276756888</v>
      </c>
      <c r="AB400" s="90">
        <f t="shared" si="393"/>
        <v>818.62113479844345</v>
      </c>
      <c r="AC400" s="86">
        <f t="shared" si="394"/>
        <v>15922.962799999999</v>
      </c>
      <c r="AD400" s="85">
        <f t="shared" si="395"/>
        <v>3384.56104615708</v>
      </c>
      <c r="AE400" s="85">
        <f t="shared" si="396"/>
        <v>8981.4271632950349</v>
      </c>
      <c r="AF400" s="90">
        <f t="shared" si="397"/>
        <v>3384.56104615708</v>
      </c>
      <c r="AG400" s="86">
        <f t="shared" si="398"/>
        <v>8936.7242000000006</v>
      </c>
      <c r="AH400" s="85">
        <f t="shared" si="399"/>
        <v>6139.2748628683721</v>
      </c>
      <c r="AI400" s="85">
        <f t="shared" si="400"/>
        <v>6141.7544977772695</v>
      </c>
      <c r="AJ400" s="90">
        <f t="shared" si="401"/>
        <v>6139.2748628683721</v>
      </c>
      <c r="AL400" s="95">
        <f t="shared" si="402"/>
        <v>0</v>
      </c>
      <c r="AM400" s="95">
        <f t="shared" si="403"/>
        <v>0</v>
      </c>
      <c r="AN400" s="95">
        <f t="shared" si="404"/>
        <v>0</v>
      </c>
      <c r="AO400" s="95">
        <f t="shared" si="405"/>
        <v>0</v>
      </c>
      <c r="AP400"/>
      <c r="AQ400" s="95">
        <f t="shared" si="406"/>
        <v>0</v>
      </c>
      <c r="AR400" s="95">
        <f t="shared" si="407"/>
        <v>0</v>
      </c>
      <c r="AS400" s="95">
        <f>Geraetedaten!$B$94*ABS(SIN(RADIANS($A400)))</f>
        <v>2.6876705913416683</v>
      </c>
      <c r="AT400" s="95">
        <f>Geraetedaten!$B$94*ABS(COS(RADIANS($A400)))</f>
        <v>153.97654505408426</v>
      </c>
      <c r="AU400" s="95">
        <f>((h_Aw_Sw+Geraetedaten!$B$18)/1000)*(AQ400*AS400+AR400*AT400)/100</f>
        <v>0</v>
      </c>
    </row>
    <row r="401" spans="3:48" x14ac:dyDescent="0.2">
      <c r="C401"/>
      <c r="E401" s="1"/>
      <c r="F401" s="1"/>
      <c r="G401" s="1"/>
      <c r="H401" s="1"/>
      <c r="I401" s="1"/>
      <c r="AQ401"/>
      <c r="AR401" s="18"/>
      <c r="AS401" s="18"/>
    </row>
    <row r="402" spans="3:48" x14ac:dyDescent="0.2">
      <c r="C402"/>
      <c r="E402" s="1"/>
      <c r="F402" s="1"/>
      <c r="G402" s="1"/>
      <c r="H402" s="1"/>
      <c r="I402" s="1"/>
      <c r="AQ402"/>
      <c r="AR402" s="18"/>
      <c r="AS402" s="18"/>
    </row>
    <row r="403" spans="3:48" x14ac:dyDescent="0.2">
      <c r="C403"/>
      <c r="E403" s="1"/>
      <c r="F403" s="1"/>
      <c r="G403" s="1"/>
      <c r="H403" s="1"/>
      <c r="I403" s="1"/>
      <c r="J403" s="1"/>
      <c r="K403" s="1"/>
      <c r="L403" s="1"/>
      <c r="M403" s="1"/>
      <c r="N403" s="1"/>
      <c r="O403" s="1"/>
      <c r="P403" s="1"/>
      <c r="Q403" s="1"/>
      <c r="AQ403"/>
      <c r="AR403" s="18"/>
      <c r="AS403" s="18"/>
    </row>
    <row r="404" spans="3:48" x14ac:dyDescent="0.2">
      <c r="C404"/>
      <c r="E404" s="1"/>
      <c r="F404" s="1"/>
      <c r="G404" s="1"/>
      <c r="H404" s="1"/>
      <c r="I404" s="1"/>
      <c r="J404" s="1"/>
      <c r="K404" s="1"/>
      <c r="L404" s="1"/>
      <c r="M404" s="1"/>
      <c r="N404" s="1"/>
      <c r="O404" s="1"/>
      <c r="P404" s="1"/>
      <c r="Q404" s="1"/>
      <c r="AR404"/>
      <c r="AS404" s="18"/>
      <c r="AT404" s="18"/>
    </row>
    <row r="405" spans="3:48" x14ac:dyDescent="0.2">
      <c r="C405"/>
      <c r="E405" s="1"/>
      <c r="F405" s="1"/>
      <c r="G405" s="1"/>
      <c r="H405" s="1"/>
      <c r="I405" s="1"/>
      <c r="J405" s="1"/>
      <c r="K405" s="1"/>
      <c r="L405" s="1"/>
      <c r="M405" s="1"/>
      <c r="N405" s="1"/>
      <c r="O405" s="1"/>
      <c r="P405" s="1"/>
      <c r="Q405" s="1"/>
      <c r="AR405"/>
      <c r="AS405" s="18"/>
      <c r="AT405" s="18"/>
    </row>
    <row r="406" spans="3:48" x14ac:dyDescent="0.2">
      <c r="C406"/>
      <c r="E406" s="1"/>
      <c r="F406" s="1"/>
      <c r="G406" s="1"/>
      <c r="H406" s="1"/>
      <c r="I406" s="1"/>
      <c r="J406" s="1"/>
      <c r="K406" s="1"/>
      <c r="L406" s="1"/>
      <c r="M406" s="1"/>
      <c r="N406" s="1"/>
      <c r="O406" s="1"/>
      <c r="P406" s="1"/>
      <c r="Q406" s="1"/>
      <c r="AU406" s="18"/>
      <c r="AV406" s="18"/>
    </row>
    <row r="407" spans="3:48" x14ac:dyDescent="0.2">
      <c r="C407"/>
      <c r="E407" s="1"/>
      <c r="F407" s="1"/>
      <c r="G407" s="1"/>
      <c r="H407" s="1"/>
      <c r="I407" s="1"/>
      <c r="J407" s="1"/>
      <c r="K407" s="1"/>
      <c r="L407" s="1"/>
      <c r="M407" s="1"/>
      <c r="N407" s="1"/>
      <c r="O407" s="1"/>
      <c r="P407" s="1"/>
      <c r="Q407" s="1"/>
      <c r="AU407" s="18"/>
      <c r="AV407" s="18"/>
    </row>
    <row r="408" spans="3:48" x14ac:dyDescent="0.2">
      <c r="E408" s="1"/>
      <c r="F408" s="1"/>
      <c r="G408" s="1"/>
      <c r="H408" s="1"/>
      <c r="I408" s="1"/>
      <c r="J408" s="1"/>
      <c r="K408" s="1"/>
      <c r="L408" s="1"/>
      <c r="M408" s="1"/>
      <c r="AU408" s="18"/>
      <c r="AV408" s="18"/>
    </row>
    <row r="409" spans="3:48" x14ac:dyDescent="0.2">
      <c r="E409" s="1"/>
      <c r="F409" s="1"/>
      <c r="G409" s="1"/>
      <c r="H409" s="1"/>
      <c r="I409" s="1"/>
      <c r="J409" s="1"/>
      <c r="K409" s="1"/>
      <c r="L409" s="1"/>
      <c r="M409" s="1"/>
      <c r="AU409" s="18"/>
      <c r="AV409" s="18"/>
    </row>
    <row r="410" spans="3:48" x14ac:dyDescent="0.2">
      <c r="E410" s="1"/>
      <c r="F410" s="1"/>
      <c r="G410" s="1"/>
      <c r="H410" s="1"/>
      <c r="I410" s="1"/>
      <c r="J410" s="1"/>
      <c r="K410" s="1"/>
      <c r="L410" s="1"/>
      <c r="M410" s="1"/>
      <c r="AU410" s="18"/>
      <c r="AV410" s="18"/>
    </row>
    <row r="411" spans="3:48" x14ac:dyDescent="0.2">
      <c r="E411" s="1"/>
      <c r="F411" s="1"/>
      <c r="G411" s="1"/>
      <c r="H411" s="1"/>
      <c r="I411" s="1"/>
      <c r="J411" s="1"/>
      <c r="K411" s="1"/>
      <c r="L411" s="1"/>
      <c r="M411" s="1"/>
      <c r="AU411" s="18"/>
      <c r="AV411" s="18"/>
    </row>
    <row r="412" spans="3:48" x14ac:dyDescent="0.2">
      <c r="E412" s="1"/>
      <c r="F412" s="1"/>
      <c r="G412" s="1"/>
      <c r="H412" s="1"/>
      <c r="I412" s="1"/>
      <c r="J412" s="1"/>
      <c r="K412" s="1"/>
      <c r="L412" s="1"/>
      <c r="M412" s="1"/>
      <c r="AU412" s="18"/>
      <c r="AV412" s="18"/>
    </row>
    <row r="413" spans="3:48" x14ac:dyDescent="0.2">
      <c r="E413" s="1"/>
      <c r="F413" s="1"/>
      <c r="G413" s="1"/>
      <c r="H413" s="1"/>
      <c r="I413" s="1"/>
      <c r="J413" s="1"/>
      <c r="K413" s="1"/>
      <c r="L413" s="1"/>
      <c r="M413" s="1"/>
      <c r="AU413" s="18"/>
      <c r="AV413" s="18"/>
    </row>
    <row r="414" spans="3:48" x14ac:dyDescent="0.2">
      <c r="E414" s="1"/>
      <c r="F414" s="1"/>
      <c r="G414" s="1"/>
      <c r="H414" s="1"/>
      <c r="I414" s="1"/>
      <c r="J414" s="1"/>
      <c r="K414" s="1"/>
      <c r="L414" s="1"/>
      <c r="M414" s="1"/>
      <c r="AU414" s="18"/>
      <c r="AV414" s="18"/>
    </row>
    <row r="415" spans="3:48" x14ac:dyDescent="0.2">
      <c r="E415" s="1"/>
      <c r="F415" s="1"/>
      <c r="G415" s="1"/>
      <c r="H415" s="1"/>
      <c r="I415" s="1"/>
      <c r="J415" s="1"/>
      <c r="K415" s="1"/>
      <c r="L415" s="1"/>
      <c r="M415" s="1"/>
      <c r="AU415" s="18"/>
      <c r="AV415" s="18"/>
    </row>
    <row r="416" spans="3:48" x14ac:dyDescent="0.2">
      <c r="E416" s="1"/>
      <c r="F416" s="1"/>
      <c r="G416" s="1"/>
      <c r="H416" s="1"/>
      <c r="I416" s="1"/>
      <c r="J416" s="1"/>
      <c r="K416" s="1"/>
      <c r="L416" s="1"/>
      <c r="M416" s="1"/>
      <c r="AU416" s="18"/>
      <c r="AV416" s="18"/>
    </row>
    <row r="417" spans="5:48" x14ac:dyDescent="0.2">
      <c r="E417" s="1"/>
      <c r="F417" s="1"/>
      <c r="G417" s="1"/>
      <c r="H417" s="1"/>
      <c r="I417" s="1"/>
      <c r="J417" s="1"/>
      <c r="K417" s="1"/>
      <c r="L417" s="1"/>
      <c r="M417" s="1"/>
      <c r="AA417" s="76"/>
      <c r="AU417" s="18"/>
      <c r="AV417" s="18"/>
    </row>
    <row r="418" spans="5:48" x14ac:dyDescent="0.2">
      <c r="E418" s="1"/>
      <c r="F418" s="1"/>
      <c r="G418" s="1"/>
      <c r="H418" s="1"/>
      <c r="I418" s="1"/>
      <c r="J418" s="1"/>
      <c r="K418" s="1"/>
      <c r="L418" s="1"/>
      <c r="M418" s="1"/>
      <c r="AA418" s="76"/>
      <c r="AU418" s="18"/>
      <c r="AV418" s="18"/>
    </row>
    <row r="419" spans="5:48" x14ac:dyDescent="0.2">
      <c r="E419" s="1"/>
      <c r="F419" s="1"/>
      <c r="G419" s="1"/>
      <c r="H419" s="1"/>
      <c r="I419" s="1"/>
      <c r="J419" s="1"/>
      <c r="K419" s="1"/>
      <c r="L419" s="1"/>
      <c r="M419" s="1"/>
      <c r="AA419" s="76"/>
      <c r="AU419" s="18"/>
      <c r="AV419" s="18"/>
    </row>
    <row r="420" spans="5:48" x14ac:dyDescent="0.2">
      <c r="E420" s="1"/>
      <c r="F420" s="1"/>
      <c r="G420" s="1"/>
      <c r="H420" s="1"/>
      <c r="I420" s="1"/>
      <c r="J420" s="1"/>
      <c r="K420" s="1"/>
      <c r="L420" s="1"/>
      <c r="M420" s="1"/>
      <c r="AA420" s="76"/>
      <c r="AU420" s="18"/>
      <c r="AV420" s="18"/>
    </row>
    <row r="421" spans="5:48" x14ac:dyDescent="0.2">
      <c r="E421" s="1"/>
      <c r="F421" s="1"/>
      <c r="G421" s="1"/>
      <c r="H421" s="1"/>
      <c r="I421" s="1"/>
      <c r="J421" s="1"/>
      <c r="K421" s="1"/>
      <c r="L421" s="1"/>
      <c r="M421" s="1"/>
      <c r="AA421" s="76"/>
      <c r="AU421" s="18"/>
      <c r="AV421" s="18"/>
    </row>
    <row r="422" spans="5:48" x14ac:dyDescent="0.2">
      <c r="E422" s="1"/>
      <c r="F422" s="1"/>
      <c r="G422" s="1"/>
      <c r="H422" s="1"/>
      <c r="I422" s="1"/>
      <c r="J422" s="1"/>
      <c r="K422" s="1"/>
      <c r="L422" s="1"/>
      <c r="M422" s="1"/>
      <c r="AA422" s="76"/>
      <c r="AU422" s="18"/>
      <c r="AV422" s="18"/>
    </row>
    <row r="423" spans="5:48" x14ac:dyDescent="0.2">
      <c r="E423" s="1"/>
      <c r="F423" s="1"/>
      <c r="G423" s="1"/>
      <c r="H423" s="1"/>
      <c r="I423" s="1"/>
      <c r="J423" s="1"/>
      <c r="K423" s="1"/>
      <c r="L423" s="1"/>
      <c r="M423" s="1"/>
      <c r="AA423" s="76"/>
      <c r="AU423" s="18"/>
      <c r="AV423" s="18"/>
    </row>
    <row r="424" spans="5:48" x14ac:dyDescent="0.2">
      <c r="E424" s="1"/>
      <c r="F424" s="1"/>
      <c r="G424" s="1"/>
      <c r="H424" s="1"/>
      <c r="I424" s="1"/>
      <c r="J424" s="1"/>
      <c r="K424" s="1"/>
      <c r="L424" s="1"/>
      <c r="M424" s="1"/>
      <c r="AA424" s="76"/>
      <c r="AU424" s="18"/>
      <c r="AV424" s="18"/>
    </row>
    <row r="425" spans="5:48" x14ac:dyDescent="0.2">
      <c r="E425" s="1"/>
      <c r="F425" s="1"/>
      <c r="G425" s="1"/>
      <c r="H425" s="1"/>
      <c r="I425" s="1"/>
      <c r="J425" s="1"/>
      <c r="K425" s="1"/>
      <c r="L425" s="1"/>
      <c r="M425" s="1"/>
      <c r="AA425" s="76"/>
      <c r="AU425" s="18"/>
      <c r="AV425" s="18"/>
    </row>
    <row r="426" spans="5:48" x14ac:dyDescent="0.2">
      <c r="E426" s="1"/>
      <c r="F426" s="1"/>
      <c r="G426" s="1"/>
      <c r="H426" s="1"/>
      <c r="I426" s="1"/>
      <c r="J426" s="1"/>
      <c r="K426" s="1"/>
      <c r="L426" s="1"/>
      <c r="M426" s="1"/>
      <c r="AA426" s="76"/>
      <c r="AU426" s="18"/>
      <c r="AV426" s="18"/>
    </row>
    <row r="427" spans="5:48" x14ac:dyDescent="0.2">
      <c r="E427" s="1"/>
      <c r="F427" s="1"/>
      <c r="G427" s="1"/>
      <c r="H427" s="1"/>
      <c r="I427" s="1"/>
      <c r="J427" s="1"/>
      <c r="K427" s="1"/>
      <c r="L427" s="1"/>
      <c r="M427" s="1"/>
      <c r="AA427" s="76"/>
      <c r="AU427" s="18"/>
      <c r="AV427" s="18"/>
    </row>
    <row r="428" spans="5:48" x14ac:dyDescent="0.2">
      <c r="E428" s="1"/>
      <c r="F428" s="1"/>
      <c r="G428" s="1"/>
      <c r="H428" s="1"/>
      <c r="I428" s="1"/>
      <c r="J428" s="1"/>
      <c r="K428" s="1"/>
      <c r="L428" s="1"/>
      <c r="M428" s="1"/>
      <c r="AA428" s="76"/>
      <c r="AU428" s="18"/>
      <c r="AV428" s="18"/>
    </row>
    <row r="429" spans="5:48" x14ac:dyDescent="0.2">
      <c r="E429" s="1"/>
      <c r="F429" s="1"/>
      <c r="G429" s="1"/>
      <c r="H429" s="1"/>
      <c r="I429" s="1"/>
      <c r="J429" s="1"/>
      <c r="K429" s="1"/>
      <c r="L429" s="1"/>
      <c r="M429" s="1"/>
      <c r="AA429" s="76"/>
      <c r="AU429" s="18"/>
      <c r="AV429" s="18"/>
    </row>
    <row r="430" spans="5:48" x14ac:dyDescent="0.2">
      <c r="E430" s="1"/>
      <c r="F430" s="1"/>
      <c r="G430" s="1"/>
      <c r="H430" s="1"/>
      <c r="I430" s="1"/>
      <c r="J430" s="1"/>
      <c r="K430" s="1"/>
      <c r="L430" s="1"/>
      <c r="M430" s="1"/>
      <c r="AA430" s="76"/>
      <c r="AU430" s="18"/>
      <c r="AV430" s="18"/>
    </row>
    <row r="431" spans="5:48" x14ac:dyDescent="0.2">
      <c r="E431" s="1"/>
      <c r="F431" s="1"/>
      <c r="G431" s="1"/>
      <c r="H431" s="1"/>
      <c r="I431" s="1"/>
      <c r="J431" s="1"/>
      <c r="K431" s="1"/>
      <c r="L431" s="1"/>
      <c r="M431" s="1"/>
      <c r="AA431" s="76"/>
      <c r="AU431" s="18"/>
      <c r="AV431" s="18"/>
    </row>
    <row r="432" spans="5:48" x14ac:dyDescent="0.2">
      <c r="E432" s="1"/>
      <c r="F432" s="1"/>
      <c r="G432" s="1"/>
      <c r="H432" s="1"/>
      <c r="I432" s="1"/>
      <c r="J432" s="1"/>
      <c r="K432" s="1"/>
      <c r="L432" s="1"/>
      <c r="M432" s="1"/>
      <c r="AA432" s="76"/>
      <c r="AU432" s="18"/>
      <c r="AV432" s="18"/>
    </row>
    <row r="433" spans="5:48" x14ac:dyDescent="0.2">
      <c r="E433" s="1"/>
      <c r="F433" s="1"/>
      <c r="G433" s="1"/>
      <c r="H433" s="1"/>
      <c r="I433" s="1"/>
      <c r="J433" s="1"/>
      <c r="K433" s="1"/>
      <c r="L433" s="1"/>
      <c r="M433" s="1"/>
      <c r="AA433" s="76"/>
      <c r="AU433" s="18"/>
      <c r="AV433" s="18"/>
    </row>
    <row r="434" spans="5:48" x14ac:dyDescent="0.2">
      <c r="E434" s="1"/>
      <c r="F434" s="1"/>
      <c r="G434" s="1"/>
      <c r="H434" s="1"/>
      <c r="I434" s="1"/>
      <c r="J434" s="1"/>
      <c r="K434" s="1"/>
      <c r="L434" s="1"/>
      <c r="M434" s="1"/>
      <c r="AA434" s="76"/>
      <c r="AU434" s="18"/>
      <c r="AV434" s="18"/>
    </row>
    <row r="435" spans="5:48" x14ac:dyDescent="0.2">
      <c r="E435" s="1"/>
      <c r="F435" s="1"/>
      <c r="G435" s="1"/>
      <c r="H435" s="1"/>
      <c r="I435" s="1"/>
      <c r="J435" s="1"/>
      <c r="K435" s="1"/>
      <c r="L435" s="1"/>
      <c r="M435" s="1"/>
      <c r="AA435" s="76"/>
      <c r="AU435" s="18"/>
      <c r="AV435" s="18"/>
    </row>
    <row r="436" spans="5:48" x14ac:dyDescent="0.2">
      <c r="E436" s="1"/>
      <c r="F436" s="1"/>
      <c r="G436" s="1"/>
      <c r="H436" s="1"/>
      <c r="I436" s="1"/>
      <c r="J436" s="1"/>
      <c r="K436" s="1"/>
      <c r="L436" s="1"/>
      <c r="M436" s="1"/>
      <c r="AA436" s="76"/>
      <c r="AU436" s="18"/>
      <c r="AV436" s="18"/>
    </row>
    <row r="437" spans="5:48" x14ac:dyDescent="0.2">
      <c r="E437" s="1"/>
      <c r="F437" s="1"/>
      <c r="G437" s="1"/>
      <c r="H437" s="1"/>
      <c r="I437" s="1"/>
      <c r="J437" s="1"/>
      <c r="K437" s="1"/>
      <c r="L437" s="1"/>
      <c r="M437" s="1"/>
      <c r="AA437" s="76"/>
      <c r="AU437" s="18"/>
      <c r="AV437" s="18"/>
    </row>
    <row r="438" spans="5:48" x14ac:dyDescent="0.2">
      <c r="E438" s="1"/>
      <c r="F438" s="1"/>
      <c r="G438" s="1"/>
      <c r="H438" s="1"/>
      <c r="I438" s="1"/>
      <c r="J438" s="1"/>
      <c r="K438" s="1"/>
      <c r="L438" s="1"/>
      <c r="M438" s="1"/>
      <c r="AA438" s="76"/>
      <c r="AU438" s="18"/>
      <c r="AV438" s="18"/>
    </row>
    <row r="439" spans="5:48" x14ac:dyDescent="0.2">
      <c r="E439" s="1"/>
      <c r="F439" s="1"/>
      <c r="G439" s="1"/>
      <c r="H439" s="1"/>
      <c r="I439" s="1"/>
      <c r="J439" s="1"/>
      <c r="K439" s="1"/>
      <c r="L439" s="1"/>
      <c r="M439" s="1"/>
      <c r="AA439" s="76"/>
      <c r="AU439" s="18"/>
      <c r="AV439" s="18"/>
    </row>
    <row r="440" spans="5:48" x14ac:dyDescent="0.2">
      <c r="E440" s="1"/>
      <c r="F440" s="1"/>
      <c r="G440" s="1"/>
      <c r="H440" s="1"/>
      <c r="I440" s="1"/>
      <c r="J440" s="1"/>
      <c r="K440" s="1"/>
      <c r="L440" s="1"/>
      <c r="M440" s="1"/>
      <c r="AA440" s="76"/>
      <c r="AU440" s="18"/>
      <c r="AV440" s="18"/>
    </row>
    <row r="441" spans="5:48" x14ac:dyDescent="0.2">
      <c r="E441" s="1"/>
      <c r="F441" s="1"/>
      <c r="G441" s="1"/>
      <c r="H441" s="1"/>
      <c r="I441" s="1"/>
      <c r="J441" s="1"/>
      <c r="K441" s="1"/>
      <c r="L441" s="1"/>
      <c r="M441" s="1"/>
      <c r="AA441" s="76"/>
      <c r="AU441" s="18"/>
      <c r="AV441" s="18"/>
    </row>
    <row r="442" spans="5:48" x14ac:dyDescent="0.2">
      <c r="E442" s="1"/>
      <c r="F442" s="1"/>
      <c r="G442" s="1"/>
      <c r="H442" s="1"/>
      <c r="I442" s="1"/>
      <c r="J442" s="1"/>
      <c r="K442" s="1"/>
      <c r="L442" s="1"/>
      <c r="M442" s="1"/>
      <c r="AA442" s="76"/>
      <c r="AU442" s="18"/>
      <c r="AV442" s="18"/>
    </row>
    <row r="443" spans="5:48" x14ac:dyDescent="0.2">
      <c r="E443" s="1"/>
      <c r="F443" s="1"/>
      <c r="G443" s="1"/>
      <c r="H443" s="1"/>
      <c r="I443" s="1"/>
      <c r="J443" s="1"/>
      <c r="K443" s="1"/>
      <c r="L443" s="1"/>
      <c r="M443" s="1"/>
      <c r="AA443" s="76"/>
      <c r="AU443" s="18"/>
      <c r="AV443" s="18"/>
    </row>
    <row r="444" spans="5:48" x14ac:dyDescent="0.2">
      <c r="E444" s="1"/>
      <c r="F444" s="1"/>
      <c r="G444" s="1"/>
      <c r="H444" s="1"/>
      <c r="I444" s="1"/>
      <c r="J444" s="1"/>
      <c r="K444" s="1"/>
      <c r="L444" s="1"/>
      <c r="M444" s="1"/>
      <c r="AA444" s="76"/>
      <c r="AU444" s="18"/>
      <c r="AV444" s="18"/>
    </row>
    <row r="445" spans="5:48" x14ac:dyDescent="0.2">
      <c r="E445" s="1"/>
      <c r="F445" s="1"/>
      <c r="G445" s="1"/>
      <c r="H445" s="1"/>
      <c r="I445" s="1"/>
      <c r="J445" s="1"/>
      <c r="K445" s="1"/>
      <c r="L445" s="1"/>
      <c r="M445" s="1"/>
      <c r="AA445" s="76"/>
      <c r="AU445" s="18"/>
      <c r="AV445" s="18"/>
    </row>
    <row r="446" spans="5:48" x14ac:dyDescent="0.2">
      <c r="E446" s="1"/>
      <c r="F446" s="1"/>
      <c r="G446" s="1"/>
      <c r="H446" s="1"/>
      <c r="I446" s="1"/>
      <c r="J446" s="1"/>
      <c r="K446" s="1"/>
      <c r="L446" s="1"/>
      <c r="M446" s="1"/>
      <c r="AA446" s="76"/>
      <c r="AU446" s="18"/>
      <c r="AV446" s="18"/>
    </row>
    <row r="447" spans="5:48" x14ac:dyDescent="0.2">
      <c r="E447" s="1"/>
      <c r="F447" s="1"/>
      <c r="G447" s="1"/>
      <c r="H447" s="1"/>
      <c r="I447" s="1"/>
      <c r="J447" s="1"/>
      <c r="K447" s="1"/>
      <c r="L447" s="1"/>
      <c r="M447" s="1"/>
      <c r="AA447" s="76"/>
      <c r="AU447" s="18"/>
      <c r="AV447" s="18"/>
    </row>
    <row r="448" spans="5:48" x14ac:dyDescent="0.2">
      <c r="E448" s="1"/>
      <c r="F448" s="1"/>
      <c r="G448" s="1"/>
      <c r="H448" s="1"/>
      <c r="I448" s="1"/>
      <c r="J448" s="1"/>
      <c r="K448" s="1"/>
      <c r="L448" s="1"/>
      <c r="M448" s="1"/>
      <c r="AA448" s="76"/>
      <c r="AU448" s="18"/>
      <c r="AV448" s="18"/>
    </row>
    <row r="449" spans="5:48" x14ac:dyDescent="0.2">
      <c r="E449" s="1"/>
      <c r="F449" s="1"/>
      <c r="G449" s="1"/>
      <c r="H449" s="1"/>
      <c r="I449" s="1"/>
      <c r="J449" s="1"/>
      <c r="K449" s="1"/>
      <c r="L449" s="1"/>
      <c r="M449" s="1"/>
      <c r="AA449" s="76"/>
      <c r="AU449" s="18"/>
      <c r="AV449" s="18"/>
    </row>
    <row r="450" spans="5:48" x14ac:dyDescent="0.2">
      <c r="E450" s="1"/>
      <c r="F450" s="1"/>
      <c r="G450" s="1"/>
      <c r="H450" s="1"/>
      <c r="I450" s="1"/>
      <c r="J450" s="1"/>
      <c r="K450" s="1"/>
      <c r="L450" s="1"/>
      <c r="M450" s="1"/>
      <c r="AA450" s="76"/>
      <c r="AU450" s="18"/>
      <c r="AV450" s="18"/>
    </row>
    <row r="451" spans="5:48" x14ac:dyDescent="0.2">
      <c r="E451" s="1"/>
      <c r="F451" s="1"/>
      <c r="G451" s="1"/>
      <c r="H451" s="1"/>
      <c r="I451" s="1"/>
      <c r="J451" s="1"/>
      <c r="K451" s="1"/>
      <c r="L451" s="1"/>
      <c r="M451" s="1"/>
      <c r="AA451" s="76"/>
      <c r="AU451" s="18"/>
      <c r="AV451" s="18"/>
    </row>
    <row r="452" spans="5:48" x14ac:dyDescent="0.2">
      <c r="E452" s="1"/>
      <c r="F452" s="1"/>
      <c r="G452" s="1"/>
      <c r="H452" s="1"/>
      <c r="I452" s="1"/>
      <c r="J452" s="1"/>
      <c r="K452" s="1"/>
      <c r="L452" s="1"/>
      <c r="M452" s="1"/>
      <c r="AA452" s="76"/>
      <c r="AU452" s="18"/>
      <c r="AV452" s="18"/>
    </row>
    <row r="453" spans="5:48" x14ac:dyDescent="0.2">
      <c r="E453" s="1"/>
      <c r="F453" s="1"/>
      <c r="G453" s="1"/>
      <c r="H453" s="1"/>
      <c r="I453" s="1"/>
      <c r="J453" s="1"/>
      <c r="K453" s="1"/>
      <c r="L453" s="1"/>
      <c r="M453" s="1"/>
      <c r="AA453" s="76"/>
      <c r="AU453" s="18"/>
      <c r="AV453" s="18"/>
    </row>
    <row r="454" spans="5:48" x14ac:dyDescent="0.2">
      <c r="E454" s="1"/>
      <c r="F454" s="1"/>
      <c r="G454" s="1"/>
      <c r="H454" s="1"/>
      <c r="I454" s="1"/>
      <c r="J454" s="1"/>
      <c r="K454" s="1"/>
      <c r="L454" s="1"/>
      <c r="M454" s="1"/>
      <c r="AA454" s="76"/>
      <c r="AU454" s="18"/>
      <c r="AV454" s="18"/>
    </row>
    <row r="455" spans="5:48" x14ac:dyDescent="0.2">
      <c r="E455" s="1"/>
      <c r="F455" s="1"/>
      <c r="G455" s="1"/>
      <c r="H455" s="1"/>
      <c r="I455" s="1"/>
      <c r="J455" s="1"/>
      <c r="K455" s="1"/>
      <c r="L455" s="1"/>
      <c r="M455" s="1"/>
      <c r="AA455" s="76"/>
      <c r="AU455" s="18"/>
      <c r="AV455" s="18"/>
    </row>
    <row r="456" spans="5:48" x14ac:dyDescent="0.2">
      <c r="E456" s="1"/>
      <c r="F456" s="1"/>
      <c r="G456" s="1"/>
      <c r="H456" s="1"/>
      <c r="I456" s="1"/>
      <c r="J456" s="1"/>
      <c r="K456" s="1"/>
      <c r="L456" s="1"/>
      <c r="M456" s="1"/>
      <c r="AA456" s="76"/>
      <c r="AU456" s="18"/>
      <c r="AV456" s="18"/>
    </row>
    <row r="457" spans="5:48" x14ac:dyDescent="0.2">
      <c r="E457" s="1"/>
      <c r="F457" s="1"/>
      <c r="G457" s="1"/>
      <c r="H457" s="1"/>
      <c r="I457" s="1"/>
      <c r="J457" s="1"/>
      <c r="K457" s="1"/>
      <c r="L457" s="1"/>
      <c r="M457" s="1"/>
      <c r="AA457" s="76"/>
      <c r="AU457" s="18"/>
      <c r="AV457" s="18"/>
    </row>
    <row r="458" spans="5:48" x14ac:dyDescent="0.2">
      <c r="E458" s="1"/>
      <c r="F458" s="1"/>
      <c r="G458" s="1"/>
      <c r="H458" s="1"/>
      <c r="I458" s="1"/>
      <c r="J458" s="1"/>
      <c r="K458" s="1"/>
      <c r="L458" s="1"/>
      <c r="M458" s="1"/>
      <c r="AA458" s="76"/>
      <c r="AU458" s="18"/>
      <c r="AV458" s="18"/>
    </row>
    <row r="459" spans="5:48" x14ac:dyDescent="0.2">
      <c r="E459" s="1"/>
      <c r="F459" s="1"/>
      <c r="G459" s="1"/>
      <c r="H459" s="1"/>
      <c r="I459" s="1"/>
      <c r="J459" s="1"/>
      <c r="K459" s="1"/>
      <c r="L459" s="1"/>
      <c r="M459" s="1"/>
      <c r="AA459" s="76"/>
      <c r="AU459" s="18"/>
      <c r="AV459" s="18"/>
    </row>
    <row r="460" spans="5:48" x14ac:dyDescent="0.2">
      <c r="E460" s="1"/>
      <c r="F460" s="1"/>
      <c r="G460" s="1"/>
      <c r="H460" s="1"/>
      <c r="I460" s="1"/>
      <c r="J460" s="1"/>
      <c r="K460" s="1"/>
      <c r="L460" s="1"/>
      <c r="M460" s="1"/>
      <c r="AA460" s="76"/>
      <c r="AU460" s="18"/>
      <c r="AV460" s="18"/>
    </row>
    <row r="461" spans="5:48" x14ac:dyDescent="0.2">
      <c r="E461" s="1"/>
      <c r="F461" s="1"/>
      <c r="G461" s="1"/>
      <c r="H461" s="1"/>
      <c r="I461" s="1"/>
      <c r="J461" s="1"/>
      <c r="K461" s="1"/>
      <c r="L461" s="1"/>
      <c r="M461" s="1"/>
      <c r="AA461" s="76"/>
      <c r="AU461" s="18"/>
      <c r="AV461" s="18"/>
    </row>
    <row r="462" spans="5:48" x14ac:dyDescent="0.2">
      <c r="E462" s="1"/>
      <c r="F462" s="1"/>
      <c r="G462" s="1"/>
      <c r="H462" s="1"/>
      <c r="I462" s="1"/>
      <c r="J462" s="1"/>
      <c r="K462" s="1"/>
      <c r="L462" s="1"/>
      <c r="M462" s="1"/>
      <c r="AA462" s="76"/>
      <c r="AU462" s="18"/>
      <c r="AV462" s="18"/>
    </row>
    <row r="463" spans="5:48" x14ac:dyDescent="0.2">
      <c r="E463" s="1"/>
      <c r="F463" s="1"/>
      <c r="G463" s="1"/>
      <c r="H463" s="1"/>
      <c r="I463" s="1"/>
      <c r="J463" s="1"/>
      <c r="K463" s="1"/>
      <c r="L463" s="1"/>
      <c r="M463" s="1"/>
      <c r="AA463" s="76"/>
      <c r="AU463" s="18"/>
      <c r="AV463" s="18"/>
    </row>
    <row r="464" spans="5:48" x14ac:dyDescent="0.2">
      <c r="E464" s="1"/>
      <c r="F464" s="1"/>
      <c r="G464" s="1"/>
      <c r="H464" s="1"/>
      <c r="I464" s="1"/>
      <c r="J464" s="1"/>
      <c r="K464" s="1"/>
      <c r="L464" s="1"/>
      <c r="M464" s="1"/>
      <c r="AA464" s="76"/>
      <c r="AU464" s="18"/>
      <c r="AV464" s="18"/>
    </row>
    <row r="465" spans="5:48" x14ac:dyDescent="0.2">
      <c r="E465" s="1"/>
      <c r="F465" s="1"/>
      <c r="G465" s="1"/>
      <c r="H465" s="1"/>
      <c r="I465" s="1"/>
      <c r="J465" s="1"/>
      <c r="K465" s="1"/>
      <c r="L465" s="1"/>
      <c r="M465" s="1"/>
      <c r="AA465" s="76"/>
      <c r="AU465" s="18"/>
      <c r="AV465" s="18"/>
    </row>
    <row r="466" spans="5:48" x14ac:dyDescent="0.2">
      <c r="E466" s="1"/>
      <c r="F466" s="1"/>
      <c r="G466" s="1"/>
      <c r="H466" s="1"/>
      <c r="I466" s="1"/>
      <c r="J466" s="1"/>
      <c r="K466" s="1"/>
      <c r="L466" s="1"/>
      <c r="M466" s="1"/>
      <c r="AA466" s="76"/>
      <c r="AU466" s="18"/>
      <c r="AV466" s="18"/>
    </row>
    <row r="467" spans="5:48" x14ac:dyDescent="0.2">
      <c r="E467" s="1"/>
      <c r="F467" s="1"/>
      <c r="G467" s="1"/>
      <c r="H467" s="1"/>
      <c r="I467" s="1"/>
      <c r="J467" s="1"/>
      <c r="K467" s="1"/>
      <c r="L467" s="1"/>
      <c r="M467" s="1"/>
      <c r="AA467" s="76"/>
      <c r="AU467" s="18"/>
      <c r="AV467" s="18"/>
    </row>
    <row r="468" spans="5:48" x14ac:dyDescent="0.2">
      <c r="E468" s="1"/>
      <c r="F468" s="1"/>
      <c r="G468" s="1"/>
      <c r="H468" s="1"/>
      <c r="I468" s="1"/>
      <c r="J468" s="1"/>
      <c r="K468" s="1"/>
      <c r="L468" s="1"/>
      <c r="M468" s="1"/>
      <c r="AA468" s="76"/>
      <c r="AU468" s="18"/>
      <c r="AV468" s="18"/>
    </row>
    <row r="469" spans="5:48" x14ac:dyDescent="0.2">
      <c r="E469" s="1"/>
      <c r="F469" s="1"/>
      <c r="G469" s="1"/>
      <c r="H469" s="1"/>
      <c r="I469" s="1"/>
      <c r="J469" s="1"/>
      <c r="K469" s="1"/>
      <c r="L469" s="1"/>
      <c r="M469" s="1"/>
      <c r="AA469" s="76"/>
      <c r="AU469" s="18"/>
      <c r="AV469" s="18"/>
    </row>
    <row r="470" spans="5:48" x14ac:dyDescent="0.2">
      <c r="E470" s="1"/>
      <c r="F470" s="1"/>
      <c r="G470" s="1"/>
      <c r="H470" s="1"/>
      <c r="I470" s="1"/>
      <c r="J470" s="1"/>
      <c r="K470" s="1"/>
      <c r="L470" s="1"/>
      <c r="M470" s="1"/>
      <c r="AA470" s="76"/>
      <c r="AU470" s="18"/>
      <c r="AV470" s="18"/>
    </row>
    <row r="471" spans="5:48" x14ac:dyDescent="0.2">
      <c r="E471" s="1"/>
      <c r="F471" s="1"/>
      <c r="G471" s="1"/>
      <c r="H471" s="1"/>
      <c r="I471" s="1"/>
      <c r="J471" s="1"/>
      <c r="K471" s="1"/>
      <c r="L471" s="1"/>
      <c r="M471" s="1"/>
      <c r="AA471" s="76"/>
      <c r="AU471" s="18"/>
      <c r="AV471" s="18"/>
    </row>
    <row r="472" spans="5:48" x14ac:dyDescent="0.2">
      <c r="E472" s="1"/>
      <c r="F472" s="1"/>
      <c r="G472" s="1"/>
      <c r="H472" s="1"/>
      <c r="I472" s="1"/>
      <c r="J472" s="1"/>
      <c r="K472" s="1"/>
      <c r="L472" s="1"/>
      <c r="M472" s="1"/>
      <c r="AA472" s="76"/>
      <c r="AU472" s="18"/>
      <c r="AV472" s="18"/>
    </row>
    <row r="473" spans="5:48" x14ac:dyDescent="0.2">
      <c r="E473" s="1"/>
      <c r="F473" s="1"/>
      <c r="G473" s="1"/>
      <c r="H473" s="1"/>
      <c r="I473" s="1"/>
      <c r="J473" s="1"/>
      <c r="K473" s="1"/>
      <c r="L473" s="1"/>
      <c r="M473" s="1"/>
      <c r="AA473" s="76"/>
      <c r="AU473" s="18"/>
      <c r="AV473" s="18"/>
    </row>
    <row r="474" spans="5:48" x14ac:dyDescent="0.2">
      <c r="E474" s="1"/>
      <c r="F474" s="1"/>
      <c r="G474" s="1"/>
      <c r="H474" s="1"/>
      <c r="I474" s="1"/>
      <c r="J474" s="1"/>
      <c r="K474" s="1"/>
      <c r="L474" s="1"/>
      <c r="M474" s="1"/>
      <c r="AA474" s="76"/>
      <c r="AU474" s="18"/>
      <c r="AV474" s="18"/>
    </row>
    <row r="475" spans="5:48" x14ac:dyDescent="0.2">
      <c r="E475" s="1"/>
      <c r="F475" s="1"/>
      <c r="G475" s="1"/>
      <c r="H475" s="1"/>
      <c r="I475" s="1"/>
      <c r="J475" s="1"/>
      <c r="K475" s="1"/>
      <c r="L475" s="1"/>
      <c r="M475" s="1"/>
      <c r="AA475" s="76"/>
      <c r="AU475" s="18"/>
      <c r="AV475" s="18"/>
    </row>
    <row r="476" spans="5:48" x14ac:dyDescent="0.2">
      <c r="E476" s="1"/>
      <c r="F476" s="1"/>
      <c r="G476" s="1"/>
      <c r="H476" s="1"/>
      <c r="I476" s="1"/>
      <c r="J476" s="1"/>
      <c r="K476" s="1"/>
      <c r="L476" s="1"/>
      <c r="M476" s="1"/>
      <c r="AA476" s="76"/>
      <c r="AU476" s="18"/>
      <c r="AV476" s="18"/>
    </row>
    <row r="477" spans="5:48" x14ac:dyDescent="0.2">
      <c r="E477" s="1"/>
      <c r="F477" s="1"/>
      <c r="G477" s="1"/>
      <c r="H477" s="1"/>
      <c r="I477" s="1"/>
      <c r="J477" s="1"/>
      <c r="K477" s="1"/>
      <c r="L477" s="1"/>
      <c r="M477" s="1"/>
      <c r="AA477" s="76"/>
      <c r="AU477" s="18"/>
      <c r="AV477" s="18"/>
    </row>
    <row r="478" spans="5:48" x14ac:dyDescent="0.2">
      <c r="E478" s="1"/>
      <c r="F478" s="1"/>
      <c r="G478" s="1"/>
      <c r="H478" s="1"/>
      <c r="I478" s="1"/>
      <c r="J478" s="1"/>
      <c r="K478" s="1"/>
      <c r="L478" s="1"/>
      <c r="M478" s="1"/>
      <c r="AA478" s="76"/>
      <c r="AU478" s="18"/>
      <c r="AV478" s="18"/>
    </row>
    <row r="479" spans="5:48" x14ac:dyDescent="0.2">
      <c r="E479" s="1"/>
      <c r="F479" s="1"/>
      <c r="G479" s="1"/>
      <c r="H479" s="1"/>
      <c r="I479" s="1"/>
      <c r="J479" s="1"/>
      <c r="K479" s="1"/>
      <c r="L479" s="1"/>
      <c r="M479" s="1"/>
      <c r="AA479" s="76"/>
      <c r="AU479" s="18"/>
      <c r="AV479" s="18"/>
    </row>
    <row r="480" spans="5:48" x14ac:dyDescent="0.2">
      <c r="E480" s="1"/>
      <c r="F480" s="1"/>
      <c r="G480" s="1"/>
      <c r="H480" s="1"/>
      <c r="I480" s="1"/>
      <c r="J480" s="1"/>
      <c r="K480" s="1"/>
      <c r="L480" s="1"/>
      <c r="M480" s="1"/>
      <c r="AA480" s="76"/>
      <c r="AU480" s="18"/>
      <c r="AV480" s="18"/>
    </row>
    <row r="481" spans="5:48" x14ac:dyDescent="0.2">
      <c r="E481" s="1"/>
      <c r="F481" s="1"/>
      <c r="G481" s="1"/>
      <c r="H481" s="1"/>
      <c r="I481" s="1"/>
      <c r="J481" s="1"/>
      <c r="K481" s="1"/>
      <c r="L481" s="1"/>
      <c r="M481" s="1"/>
      <c r="AA481" s="76"/>
      <c r="AU481" s="18"/>
      <c r="AV481" s="18"/>
    </row>
    <row r="482" spans="5:48" x14ac:dyDescent="0.2">
      <c r="E482" s="1"/>
      <c r="F482" s="1"/>
      <c r="G482" s="1"/>
      <c r="H482" s="1"/>
      <c r="I482" s="1"/>
      <c r="J482" s="1"/>
      <c r="K482" s="1"/>
      <c r="L482" s="1"/>
      <c r="M482" s="1"/>
      <c r="AA482" s="76"/>
      <c r="AU482" s="18"/>
      <c r="AV482" s="18"/>
    </row>
    <row r="483" spans="5:48" x14ac:dyDescent="0.2">
      <c r="E483" s="1"/>
      <c r="F483" s="1"/>
      <c r="G483" s="1"/>
      <c r="H483" s="1"/>
      <c r="I483" s="1"/>
      <c r="J483" s="1"/>
      <c r="K483" s="1"/>
      <c r="L483" s="1"/>
      <c r="M483" s="1"/>
      <c r="AA483" s="76"/>
      <c r="AU483" s="18"/>
      <c r="AV483" s="18"/>
    </row>
    <row r="484" spans="5:48" x14ac:dyDescent="0.2">
      <c r="E484" s="1"/>
      <c r="F484" s="1"/>
      <c r="G484" s="1"/>
      <c r="H484" s="1"/>
      <c r="I484" s="1"/>
      <c r="J484" s="1"/>
      <c r="K484" s="1"/>
      <c r="L484" s="1"/>
      <c r="M484" s="1"/>
      <c r="AA484" s="76"/>
      <c r="AU484" s="18"/>
      <c r="AV484" s="18"/>
    </row>
    <row r="485" spans="5:48" x14ac:dyDescent="0.2">
      <c r="E485" s="1"/>
      <c r="F485" s="1"/>
      <c r="G485" s="1"/>
      <c r="H485" s="1"/>
      <c r="I485" s="1"/>
      <c r="J485" s="1"/>
      <c r="K485" s="1"/>
      <c r="L485" s="1"/>
      <c r="M485" s="1"/>
      <c r="AA485" s="76"/>
      <c r="AU485" s="18"/>
      <c r="AV485" s="18"/>
    </row>
    <row r="486" spans="5:48" x14ac:dyDescent="0.2">
      <c r="E486" s="1"/>
      <c r="F486" s="1"/>
      <c r="G486" s="1"/>
      <c r="H486" s="1"/>
      <c r="I486" s="1"/>
      <c r="J486" s="1"/>
      <c r="K486" s="1"/>
      <c r="L486" s="1"/>
      <c r="M486" s="1"/>
      <c r="AA486" s="76"/>
      <c r="AU486" s="18"/>
      <c r="AV486" s="18"/>
    </row>
    <row r="487" spans="5:48" x14ac:dyDescent="0.2">
      <c r="E487" s="1"/>
      <c r="F487" s="1"/>
      <c r="G487" s="1"/>
      <c r="H487" s="1"/>
      <c r="I487" s="1"/>
      <c r="J487" s="1"/>
      <c r="K487" s="1"/>
      <c r="L487" s="1"/>
      <c r="M487" s="1"/>
      <c r="AA487" s="76"/>
      <c r="AU487" s="18"/>
      <c r="AV487" s="18"/>
    </row>
    <row r="488" spans="5:48" x14ac:dyDescent="0.2">
      <c r="E488" s="1"/>
      <c r="F488" s="1"/>
      <c r="G488" s="1"/>
      <c r="H488" s="1"/>
      <c r="I488" s="1"/>
      <c r="J488" s="1"/>
      <c r="K488" s="1"/>
      <c r="L488" s="1"/>
      <c r="M488" s="1"/>
      <c r="AA488" s="76"/>
      <c r="AU488" s="18"/>
      <c r="AV488" s="18"/>
    </row>
    <row r="489" spans="5:48" x14ac:dyDescent="0.2">
      <c r="E489" s="1"/>
      <c r="F489" s="1"/>
      <c r="G489" s="1"/>
      <c r="H489" s="1"/>
      <c r="I489" s="1"/>
      <c r="J489" s="1"/>
      <c r="K489" s="1"/>
      <c r="L489" s="1"/>
      <c r="M489" s="1"/>
      <c r="AA489" s="76"/>
      <c r="AU489" s="18"/>
      <c r="AV489" s="18"/>
    </row>
    <row r="490" spans="5:48" x14ac:dyDescent="0.2">
      <c r="E490" s="1"/>
      <c r="F490" s="1"/>
      <c r="G490" s="1"/>
      <c r="H490" s="1"/>
      <c r="I490" s="1"/>
      <c r="J490" s="1"/>
      <c r="K490" s="1"/>
      <c r="L490" s="1"/>
      <c r="M490" s="1"/>
      <c r="AA490" s="76"/>
      <c r="AU490" s="18"/>
      <c r="AV490" s="18"/>
    </row>
    <row r="491" spans="5:48" x14ac:dyDescent="0.2">
      <c r="E491" s="1"/>
      <c r="F491" s="1"/>
      <c r="G491" s="1"/>
      <c r="H491" s="1"/>
      <c r="I491" s="1"/>
      <c r="J491" s="1"/>
      <c r="K491" s="1"/>
      <c r="L491" s="1"/>
      <c r="M491" s="1"/>
      <c r="AA491" s="76"/>
      <c r="AU491" s="18"/>
      <c r="AV491" s="18"/>
    </row>
    <row r="492" spans="5:48" x14ac:dyDescent="0.2">
      <c r="E492" s="1"/>
      <c r="F492" s="1"/>
      <c r="G492" s="1"/>
      <c r="H492" s="1"/>
      <c r="I492" s="1"/>
      <c r="J492" s="1"/>
      <c r="K492" s="1"/>
      <c r="L492" s="1"/>
      <c r="M492" s="1"/>
      <c r="AA492" s="76"/>
      <c r="AU492" s="18"/>
      <c r="AV492" s="18"/>
    </row>
    <row r="493" spans="5:48" x14ac:dyDescent="0.2">
      <c r="E493" s="1"/>
      <c r="F493" s="1"/>
      <c r="G493" s="1"/>
      <c r="H493" s="1"/>
      <c r="I493" s="1"/>
      <c r="J493" s="1"/>
      <c r="K493" s="1"/>
      <c r="L493" s="1"/>
      <c r="M493" s="1"/>
      <c r="AA493" s="76"/>
      <c r="AU493" s="18"/>
      <c r="AV493" s="18"/>
    </row>
    <row r="494" spans="5:48" x14ac:dyDescent="0.2">
      <c r="E494" s="1"/>
      <c r="F494" s="1"/>
      <c r="G494" s="1"/>
      <c r="H494" s="1"/>
      <c r="I494" s="1"/>
      <c r="J494" s="1"/>
      <c r="K494" s="1"/>
      <c r="L494" s="1"/>
      <c r="M494" s="1"/>
      <c r="AA494" s="76"/>
      <c r="AU494" s="18"/>
      <c r="AV494" s="18"/>
    </row>
    <row r="495" spans="5:48" x14ac:dyDescent="0.2">
      <c r="E495" s="1"/>
      <c r="F495" s="1"/>
      <c r="G495" s="1"/>
      <c r="H495" s="1"/>
      <c r="I495" s="1"/>
      <c r="J495" s="1"/>
      <c r="K495" s="1"/>
      <c r="L495" s="1"/>
      <c r="M495" s="1"/>
      <c r="AA495" s="76"/>
      <c r="AU495" s="18"/>
      <c r="AV495" s="18"/>
    </row>
    <row r="496" spans="5:48" x14ac:dyDescent="0.2">
      <c r="E496" s="1"/>
      <c r="F496" s="1"/>
      <c r="G496" s="1"/>
      <c r="H496" s="1"/>
      <c r="I496" s="1"/>
      <c r="J496" s="1"/>
      <c r="K496" s="1"/>
      <c r="L496" s="1"/>
      <c r="M496" s="1"/>
      <c r="AA496" s="76"/>
      <c r="AU496" s="18"/>
      <c r="AV496" s="18"/>
    </row>
    <row r="497" spans="5:48" x14ac:dyDescent="0.2">
      <c r="E497" s="1"/>
      <c r="F497" s="1"/>
      <c r="G497" s="1"/>
      <c r="H497" s="1"/>
      <c r="I497" s="1"/>
      <c r="J497" s="1"/>
      <c r="K497" s="1"/>
      <c r="L497" s="1"/>
      <c r="M497" s="1"/>
      <c r="AA497" s="76"/>
      <c r="AU497" s="18"/>
      <c r="AV497" s="18"/>
    </row>
    <row r="498" spans="5:48" x14ac:dyDescent="0.2">
      <c r="E498" s="1"/>
      <c r="F498" s="1"/>
      <c r="G498" s="1"/>
      <c r="H498" s="1"/>
      <c r="I498" s="1"/>
      <c r="J498" s="1"/>
      <c r="K498" s="1"/>
      <c r="L498" s="1"/>
      <c r="M498" s="1"/>
      <c r="AA498" s="76"/>
      <c r="AU498" s="18"/>
      <c r="AV498" s="18"/>
    </row>
    <row r="499" spans="5:48" x14ac:dyDescent="0.2">
      <c r="E499" s="1"/>
      <c r="F499" s="1"/>
      <c r="G499" s="1"/>
      <c r="H499" s="1"/>
      <c r="I499" s="1"/>
      <c r="J499" s="1"/>
      <c r="K499" s="1"/>
      <c r="L499" s="1"/>
      <c r="M499" s="1"/>
      <c r="AA499" s="76"/>
      <c r="AU499" s="18"/>
      <c r="AV499" s="18"/>
    </row>
    <row r="500" spans="5:48" x14ac:dyDescent="0.2">
      <c r="E500" s="1"/>
      <c r="F500" s="1"/>
      <c r="G500" s="1"/>
      <c r="H500" s="1"/>
      <c r="I500" s="1"/>
      <c r="J500" s="1"/>
      <c r="K500" s="1"/>
      <c r="L500" s="1"/>
      <c r="M500" s="1"/>
      <c r="AA500" s="76"/>
      <c r="AU500" s="18"/>
      <c r="AV500" s="18"/>
    </row>
    <row r="501" spans="5:48" x14ac:dyDescent="0.2">
      <c r="E501" s="1"/>
      <c r="F501" s="1"/>
      <c r="G501" s="1"/>
      <c r="H501" s="1"/>
      <c r="I501" s="1"/>
      <c r="J501" s="1"/>
      <c r="K501" s="1"/>
      <c r="L501" s="1"/>
      <c r="M501" s="1"/>
      <c r="AA501" s="76"/>
      <c r="AU501" s="18"/>
      <c r="AV501" s="18"/>
    </row>
    <row r="502" spans="5:48" x14ac:dyDescent="0.2">
      <c r="E502" s="1"/>
      <c r="F502" s="1"/>
      <c r="G502" s="1"/>
      <c r="H502" s="1"/>
      <c r="I502" s="1"/>
      <c r="J502" s="1"/>
      <c r="K502" s="1"/>
      <c r="L502" s="1"/>
      <c r="M502" s="1"/>
      <c r="AA502" s="76"/>
      <c r="AU502" s="18"/>
      <c r="AV502" s="18"/>
    </row>
    <row r="503" spans="5:48" x14ac:dyDescent="0.2">
      <c r="E503" s="1"/>
      <c r="F503" s="1"/>
      <c r="G503" s="1"/>
      <c r="H503" s="1"/>
      <c r="I503" s="1"/>
      <c r="J503" s="1"/>
      <c r="K503" s="1"/>
      <c r="L503" s="1"/>
      <c r="M503" s="1"/>
      <c r="AA503" s="76"/>
      <c r="AU503" s="18"/>
      <c r="AV503" s="18"/>
    </row>
    <row r="504" spans="5:48" x14ac:dyDescent="0.2">
      <c r="E504" s="1"/>
      <c r="F504" s="1"/>
      <c r="G504" s="1"/>
      <c r="H504" s="1"/>
      <c r="I504" s="1"/>
      <c r="J504" s="1"/>
      <c r="K504" s="1"/>
      <c r="L504" s="1"/>
      <c r="M504" s="1"/>
      <c r="AA504" s="76"/>
      <c r="AU504" s="18"/>
      <c r="AV504" s="18"/>
    </row>
    <row r="505" spans="5:48" x14ac:dyDescent="0.2">
      <c r="E505" s="1"/>
      <c r="F505" s="1"/>
      <c r="G505" s="1"/>
      <c r="H505" s="1"/>
      <c r="I505" s="1"/>
      <c r="J505" s="1"/>
      <c r="K505" s="1"/>
      <c r="L505" s="1"/>
      <c r="M505" s="1"/>
      <c r="AA505" s="76"/>
      <c r="AU505" s="18"/>
      <c r="AV505" s="18"/>
    </row>
    <row r="506" spans="5:48" x14ac:dyDescent="0.2">
      <c r="E506" s="1"/>
      <c r="F506" s="1"/>
      <c r="G506" s="1"/>
      <c r="H506" s="1"/>
      <c r="I506" s="1"/>
      <c r="J506" s="1"/>
      <c r="K506" s="1"/>
      <c r="L506" s="1"/>
      <c r="M506" s="1"/>
      <c r="AA506" s="76"/>
      <c r="AU506" s="18"/>
      <c r="AV506" s="18"/>
    </row>
    <row r="507" spans="5:48" x14ac:dyDescent="0.2">
      <c r="E507" s="1"/>
      <c r="F507" s="1"/>
      <c r="G507" s="1"/>
      <c r="H507" s="1"/>
      <c r="I507" s="1"/>
      <c r="J507" s="1"/>
      <c r="K507" s="1"/>
      <c r="L507" s="1"/>
      <c r="M507" s="1"/>
      <c r="AA507" s="76"/>
      <c r="AU507" s="18"/>
      <c r="AV507" s="18"/>
    </row>
    <row r="508" spans="5:48" x14ac:dyDescent="0.2">
      <c r="E508" s="1"/>
      <c r="F508" s="1"/>
      <c r="G508" s="1"/>
      <c r="H508" s="1"/>
      <c r="I508" s="1"/>
      <c r="J508" s="1"/>
      <c r="K508" s="1"/>
      <c r="L508" s="1"/>
      <c r="M508" s="1"/>
      <c r="AA508" s="76"/>
      <c r="AU508" s="18"/>
      <c r="AV508" s="18"/>
    </row>
    <row r="509" spans="5:48" x14ac:dyDescent="0.2">
      <c r="E509" s="1"/>
      <c r="F509" s="1"/>
      <c r="G509" s="1"/>
      <c r="H509" s="1"/>
      <c r="I509" s="1"/>
      <c r="J509" s="1"/>
      <c r="K509" s="1"/>
      <c r="L509" s="1"/>
      <c r="M509" s="1"/>
      <c r="AA509" s="76"/>
      <c r="AU509" s="18"/>
      <c r="AV509" s="18"/>
    </row>
    <row r="510" spans="5:48" x14ac:dyDescent="0.2">
      <c r="E510" s="1"/>
      <c r="F510" s="1"/>
      <c r="G510" s="1"/>
      <c r="H510" s="1"/>
      <c r="I510" s="1"/>
      <c r="J510" s="1"/>
      <c r="K510" s="1"/>
      <c r="L510" s="1"/>
      <c r="M510" s="1"/>
      <c r="AA510" s="76"/>
      <c r="AU510" s="18"/>
      <c r="AV510" s="18"/>
    </row>
    <row r="511" spans="5:48" x14ac:dyDescent="0.2">
      <c r="E511" s="1"/>
      <c r="F511" s="1"/>
      <c r="G511" s="1"/>
      <c r="H511" s="1"/>
      <c r="I511" s="1"/>
      <c r="J511" s="1"/>
      <c r="K511" s="1"/>
      <c r="L511" s="1"/>
      <c r="M511" s="1"/>
      <c r="AA511" s="76"/>
      <c r="AU511" s="18"/>
      <c r="AV511" s="18"/>
    </row>
    <row r="512" spans="5:48" x14ac:dyDescent="0.2">
      <c r="E512" s="1"/>
      <c r="F512" s="1"/>
      <c r="G512" s="1"/>
      <c r="H512" s="1"/>
      <c r="I512" s="1"/>
      <c r="J512" s="1"/>
      <c r="K512" s="1"/>
      <c r="L512" s="1"/>
      <c r="M512" s="1"/>
      <c r="AA512" s="76"/>
      <c r="AU512" s="18"/>
      <c r="AV512" s="18"/>
    </row>
    <row r="513" spans="5:48" x14ac:dyDescent="0.2">
      <c r="E513" s="1"/>
      <c r="F513" s="1"/>
      <c r="G513" s="1"/>
      <c r="H513" s="1"/>
      <c r="I513" s="1"/>
      <c r="J513" s="1"/>
      <c r="K513" s="1"/>
      <c r="L513" s="1"/>
      <c r="M513" s="1"/>
      <c r="AA513" s="76"/>
      <c r="AU513" s="18"/>
      <c r="AV513" s="18"/>
    </row>
    <row r="514" spans="5:48" x14ac:dyDescent="0.2">
      <c r="E514" s="1"/>
      <c r="F514" s="1"/>
      <c r="G514" s="1"/>
      <c r="H514" s="1"/>
      <c r="I514" s="1"/>
      <c r="J514" s="1"/>
      <c r="K514" s="1"/>
      <c r="L514" s="1"/>
      <c r="M514" s="1"/>
      <c r="AA514" s="76"/>
      <c r="AU514" s="18"/>
      <c r="AV514" s="18"/>
    </row>
    <row r="515" spans="5:48" x14ac:dyDescent="0.2">
      <c r="E515" s="1"/>
      <c r="F515" s="1"/>
      <c r="G515" s="1"/>
      <c r="H515" s="1"/>
      <c r="I515" s="1"/>
      <c r="J515" s="1"/>
      <c r="K515" s="1"/>
      <c r="L515" s="1"/>
      <c r="M515" s="1"/>
      <c r="AA515" s="76"/>
      <c r="AU515" s="18"/>
      <c r="AV515" s="18"/>
    </row>
    <row r="516" spans="5:48" x14ac:dyDescent="0.2">
      <c r="E516" s="1"/>
      <c r="F516" s="1"/>
      <c r="G516" s="1"/>
      <c r="H516" s="1"/>
      <c r="I516" s="1"/>
      <c r="J516" s="1"/>
      <c r="K516" s="1"/>
      <c r="L516" s="1"/>
      <c r="M516" s="1"/>
      <c r="AA516" s="76"/>
      <c r="AU516" s="18"/>
      <c r="AV516" s="18"/>
    </row>
    <row r="517" spans="5:48" x14ac:dyDescent="0.2">
      <c r="E517" s="1"/>
      <c r="F517" s="1"/>
      <c r="G517" s="1"/>
      <c r="H517" s="1"/>
      <c r="I517" s="1"/>
      <c r="J517" s="1"/>
      <c r="K517" s="1"/>
      <c r="L517" s="1"/>
      <c r="M517" s="1"/>
      <c r="AA517" s="76"/>
      <c r="AU517" s="18"/>
      <c r="AV517" s="18"/>
    </row>
    <row r="518" spans="5:48" x14ac:dyDescent="0.2">
      <c r="E518" s="1"/>
      <c r="F518" s="1"/>
      <c r="G518" s="1"/>
      <c r="H518" s="1"/>
      <c r="I518" s="1"/>
      <c r="J518" s="1"/>
      <c r="K518" s="1"/>
      <c r="L518" s="1"/>
      <c r="M518" s="1"/>
      <c r="AA518" s="76"/>
      <c r="AU518" s="18"/>
      <c r="AV518" s="18"/>
    </row>
    <row r="519" spans="5:48" x14ac:dyDescent="0.2">
      <c r="E519" s="1"/>
      <c r="F519" s="1"/>
      <c r="G519" s="1"/>
      <c r="H519" s="1"/>
      <c r="I519" s="1"/>
      <c r="J519" s="1"/>
      <c r="K519" s="1"/>
      <c r="L519" s="1"/>
      <c r="M519" s="1"/>
      <c r="AA519" s="76"/>
      <c r="AU519" s="18"/>
      <c r="AV519" s="18"/>
    </row>
    <row r="520" spans="5:48" x14ac:dyDescent="0.2">
      <c r="E520" s="1"/>
      <c r="F520" s="1"/>
      <c r="G520" s="1"/>
      <c r="H520" s="1"/>
      <c r="I520" s="1"/>
      <c r="J520" s="1"/>
      <c r="K520" s="1"/>
      <c r="L520" s="1"/>
      <c r="M520" s="1"/>
      <c r="AA520" s="76"/>
      <c r="AU520" s="18"/>
      <c r="AV520" s="18"/>
    </row>
    <row r="521" spans="5:48" x14ac:dyDescent="0.2">
      <c r="E521" s="1"/>
      <c r="F521" s="1"/>
      <c r="G521" s="1"/>
      <c r="H521" s="1"/>
      <c r="I521" s="1"/>
      <c r="J521" s="1"/>
      <c r="K521" s="1"/>
      <c r="L521" s="1"/>
      <c r="M521" s="1"/>
      <c r="AA521" s="76"/>
      <c r="AU521" s="18"/>
      <c r="AV521" s="18"/>
    </row>
    <row r="522" spans="5:48" x14ac:dyDescent="0.2">
      <c r="E522" s="1"/>
      <c r="F522" s="1"/>
      <c r="G522" s="1"/>
      <c r="H522" s="1"/>
      <c r="I522" s="1"/>
      <c r="J522" s="1"/>
      <c r="K522" s="1"/>
      <c r="L522" s="1"/>
      <c r="M522" s="1"/>
      <c r="AA522" s="76"/>
      <c r="AU522" s="18"/>
      <c r="AV522" s="18"/>
    </row>
    <row r="523" spans="5:48" x14ac:dyDescent="0.2">
      <c r="E523" s="1"/>
      <c r="F523" s="1"/>
      <c r="G523" s="1"/>
      <c r="H523" s="1"/>
      <c r="I523" s="1"/>
      <c r="J523" s="1"/>
      <c r="K523" s="1"/>
      <c r="L523" s="1"/>
      <c r="M523" s="1"/>
      <c r="AA523" s="76"/>
      <c r="AU523" s="18"/>
      <c r="AV523" s="18"/>
    </row>
    <row r="524" spans="5:48" x14ac:dyDescent="0.2">
      <c r="E524" s="1"/>
      <c r="F524" s="1"/>
      <c r="G524" s="1"/>
      <c r="H524" s="1"/>
      <c r="I524" s="1"/>
      <c r="J524" s="1"/>
      <c r="K524" s="1"/>
      <c r="L524" s="1"/>
      <c r="M524" s="1"/>
      <c r="AA524" s="76"/>
      <c r="AU524" s="18"/>
      <c r="AV524" s="18"/>
    </row>
    <row r="525" spans="5:48" x14ac:dyDescent="0.2">
      <c r="E525" s="1"/>
      <c r="F525" s="1"/>
      <c r="G525" s="1"/>
      <c r="H525" s="1"/>
      <c r="I525" s="1"/>
      <c r="J525" s="1"/>
      <c r="K525" s="1"/>
      <c r="L525" s="1"/>
      <c r="M525" s="1"/>
      <c r="AA525" s="76"/>
      <c r="AU525" s="18"/>
      <c r="AV525" s="18"/>
    </row>
    <row r="526" spans="5:48" x14ac:dyDescent="0.2">
      <c r="E526" s="1"/>
      <c r="F526" s="1"/>
      <c r="G526" s="1"/>
      <c r="H526" s="1"/>
      <c r="I526" s="1"/>
      <c r="J526" s="1"/>
      <c r="K526" s="1"/>
      <c r="L526" s="1"/>
      <c r="M526" s="1"/>
      <c r="AA526" s="76"/>
      <c r="AU526" s="18"/>
      <c r="AV526" s="18"/>
    </row>
    <row r="527" spans="5:48" x14ac:dyDescent="0.2">
      <c r="E527" s="1"/>
      <c r="F527" s="1"/>
      <c r="G527" s="1"/>
      <c r="H527" s="1"/>
      <c r="I527" s="1"/>
      <c r="J527" s="1"/>
      <c r="K527" s="1"/>
      <c r="L527" s="1"/>
      <c r="M527" s="1"/>
      <c r="AA527" s="76"/>
      <c r="AU527" s="18"/>
      <c r="AV527" s="18"/>
    </row>
    <row r="528" spans="5:48" x14ac:dyDescent="0.2">
      <c r="E528" s="1"/>
      <c r="F528" s="1"/>
      <c r="G528" s="1"/>
      <c r="H528" s="1"/>
      <c r="I528" s="1"/>
      <c r="J528" s="1"/>
      <c r="K528" s="1"/>
      <c r="L528" s="1"/>
      <c r="M528" s="1"/>
      <c r="AA528" s="76"/>
      <c r="AU528" s="18"/>
      <c r="AV528" s="18"/>
    </row>
    <row r="529" spans="5:48" x14ac:dyDescent="0.2">
      <c r="E529" s="1"/>
      <c r="F529" s="1"/>
      <c r="G529" s="1"/>
      <c r="H529" s="1"/>
      <c r="I529" s="1"/>
      <c r="J529" s="1"/>
      <c r="K529" s="1"/>
      <c r="L529" s="1"/>
      <c r="M529" s="1"/>
      <c r="AA529" s="76"/>
      <c r="AU529" s="18"/>
      <c r="AV529" s="18"/>
    </row>
    <row r="530" spans="5:48" x14ac:dyDescent="0.2">
      <c r="E530" s="1"/>
      <c r="F530" s="1"/>
      <c r="G530" s="1"/>
      <c r="H530" s="1"/>
      <c r="I530" s="1"/>
      <c r="J530" s="1"/>
      <c r="K530" s="1"/>
      <c r="L530" s="1"/>
      <c r="M530" s="1"/>
      <c r="AA530" s="76"/>
      <c r="AU530" s="18"/>
      <c r="AV530" s="18"/>
    </row>
    <row r="531" spans="5:48" x14ac:dyDescent="0.2">
      <c r="E531" s="1"/>
      <c r="F531" s="1"/>
      <c r="G531" s="1"/>
      <c r="H531" s="1"/>
      <c r="I531" s="1"/>
      <c r="J531" s="1"/>
      <c r="K531" s="1"/>
      <c r="L531" s="1"/>
      <c r="M531" s="1"/>
      <c r="AA531" s="76"/>
      <c r="AU531" s="18"/>
      <c r="AV531" s="18"/>
    </row>
    <row r="532" spans="5:48" x14ac:dyDescent="0.2">
      <c r="E532" s="1"/>
      <c r="F532" s="1"/>
      <c r="G532" s="1"/>
      <c r="H532" s="1"/>
      <c r="I532" s="1"/>
      <c r="J532" s="1"/>
      <c r="K532" s="1"/>
      <c r="L532" s="1"/>
      <c r="M532" s="1"/>
      <c r="AA532" s="76"/>
      <c r="AU532" s="18"/>
      <c r="AV532" s="18"/>
    </row>
    <row r="533" spans="5:48" x14ac:dyDescent="0.2">
      <c r="E533" s="1"/>
      <c r="F533" s="1"/>
      <c r="G533" s="1"/>
      <c r="H533" s="1"/>
      <c r="I533" s="1"/>
      <c r="J533" s="1"/>
      <c r="K533" s="1"/>
      <c r="L533" s="1"/>
      <c r="M533" s="1"/>
      <c r="AA533" s="76"/>
      <c r="AU533" s="18"/>
      <c r="AV533" s="18"/>
    </row>
    <row r="534" spans="5:48" x14ac:dyDescent="0.2">
      <c r="E534" s="1"/>
      <c r="F534" s="1"/>
      <c r="G534" s="1"/>
      <c r="H534" s="1"/>
      <c r="I534" s="1"/>
      <c r="J534" s="1"/>
      <c r="K534" s="1"/>
      <c r="L534" s="1"/>
      <c r="M534" s="1"/>
      <c r="AA534" s="76"/>
      <c r="AU534" s="18"/>
      <c r="AV534" s="18"/>
    </row>
    <row r="535" spans="5:48" x14ac:dyDescent="0.2">
      <c r="E535" s="1"/>
      <c r="F535" s="1"/>
      <c r="G535" s="1"/>
      <c r="H535" s="1"/>
      <c r="I535" s="1"/>
      <c r="J535" s="1"/>
      <c r="K535" s="1"/>
      <c r="L535" s="1"/>
      <c r="M535" s="1"/>
      <c r="AA535" s="76"/>
      <c r="AU535" s="18"/>
      <c r="AV535" s="18"/>
    </row>
    <row r="536" spans="5:48" x14ac:dyDescent="0.2">
      <c r="E536" s="1"/>
      <c r="F536" s="1"/>
      <c r="G536" s="1"/>
      <c r="H536" s="1"/>
      <c r="I536" s="1"/>
      <c r="J536" s="1"/>
      <c r="K536" s="1"/>
      <c r="L536" s="1"/>
      <c r="M536" s="1"/>
      <c r="AA536" s="76"/>
      <c r="AU536" s="18"/>
      <c r="AV536" s="18"/>
    </row>
    <row r="537" spans="5:48" x14ac:dyDescent="0.2">
      <c r="E537" s="1"/>
      <c r="F537" s="1"/>
      <c r="G537" s="1"/>
      <c r="H537" s="1"/>
      <c r="I537" s="1"/>
      <c r="J537" s="1"/>
      <c r="K537" s="1"/>
      <c r="L537" s="1"/>
      <c r="M537" s="1"/>
      <c r="AA537" s="76"/>
      <c r="AU537" s="18"/>
      <c r="AV537" s="18"/>
    </row>
    <row r="538" spans="5:48" x14ac:dyDescent="0.2">
      <c r="E538" s="1"/>
      <c r="F538" s="1"/>
      <c r="G538" s="1"/>
      <c r="H538" s="1"/>
      <c r="I538" s="1"/>
      <c r="J538" s="1"/>
      <c r="K538" s="1"/>
      <c r="L538" s="1"/>
      <c r="M538" s="1"/>
      <c r="AA538" s="76"/>
      <c r="AU538" s="18"/>
      <c r="AV538" s="18"/>
    </row>
    <row r="539" spans="5:48" x14ac:dyDescent="0.2">
      <c r="E539" s="1"/>
      <c r="F539" s="1"/>
      <c r="G539" s="1"/>
      <c r="H539" s="1"/>
      <c r="I539" s="1"/>
      <c r="J539" s="1"/>
      <c r="K539" s="1"/>
      <c r="L539" s="1"/>
      <c r="M539" s="1"/>
      <c r="AA539" s="76"/>
      <c r="AU539" s="18"/>
      <c r="AV539" s="18"/>
    </row>
    <row r="540" spans="5:48" x14ac:dyDescent="0.2">
      <c r="E540" s="1"/>
      <c r="F540" s="1"/>
      <c r="G540" s="1"/>
      <c r="H540" s="1"/>
      <c r="I540" s="1"/>
      <c r="J540" s="1"/>
      <c r="K540" s="1"/>
      <c r="L540" s="1"/>
      <c r="M540" s="1"/>
      <c r="AA540" s="76"/>
      <c r="AU540" s="18"/>
      <c r="AV540" s="18"/>
    </row>
    <row r="541" spans="5:48" x14ac:dyDescent="0.2">
      <c r="E541" s="1"/>
      <c r="F541" s="1"/>
      <c r="G541" s="1"/>
      <c r="H541" s="1"/>
      <c r="I541" s="1"/>
      <c r="J541" s="1"/>
      <c r="K541" s="1"/>
      <c r="L541" s="1"/>
      <c r="M541" s="1"/>
      <c r="AA541" s="76"/>
      <c r="AU541" s="18"/>
      <c r="AV541" s="18"/>
    </row>
    <row r="542" spans="5:48" x14ac:dyDescent="0.2">
      <c r="E542" s="1"/>
      <c r="F542" s="1"/>
      <c r="G542" s="1"/>
      <c r="H542" s="1"/>
      <c r="I542" s="1"/>
      <c r="J542" s="1"/>
      <c r="K542" s="1"/>
      <c r="L542" s="1"/>
      <c r="M542" s="1"/>
      <c r="AA542" s="76"/>
      <c r="AU542" s="18"/>
      <c r="AV542" s="18"/>
    </row>
    <row r="543" spans="5:48" x14ac:dyDescent="0.2">
      <c r="E543" s="1"/>
      <c r="F543" s="1"/>
      <c r="G543" s="1"/>
      <c r="H543" s="1"/>
      <c r="I543" s="1"/>
      <c r="J543" s="1"/>
      <c r="K543" s="1"/>
      <c r="L543" s="1"/>
      <c r="M543" s="1"/>
      <c r="AA543" s="76"/>
      <c r="AU543" s="18"/>
      <c r="AV543" s="18"/>
    </row>
    <row r="544" spans="5:48" x14ac:dyDescent="0.2">
      <c r="E544" s="1"/>
      <c r="F544" s="1"/>
      <c r="G544" s="1"/>
      <c r="H544" s="1"/>
      <c r="I544" s="1"/>
      <c r="J544" s="1"/>
      <c r="K544" s="1"/>
      <c r="L544" s="1"/>
      <c r="M544" s="1"/>
      <c r="AA544" s="76"/>
      <c r="AU544" s="18"/>
      <c r="AV544" s="18"/>
    </row>
    <row r="545" spans="5:48" x14ac:dyDescent="0.2">
      <c r="E545" s="1"/>
      <c r="F545" s="1"/>
      <c r="G545" s="1"/>
      <c r="H545" s="1"/>
      <c r="I545" s="1"/>
      <c r="J545" s="1"/>
      <c r="K545" s="1"/>
      <c r="L545" s="1"/>
      <c r="M545" s="1"/>
      <c r="AA545" s="76"/>
      <c r="AU545" s="18"/>
      <c r="AV545" s="18"/>
    </row>
    <row r="546" spans="5:48" x14ac:dyDescent="0.2">
      <c r="E546" s="1"/>
      <c r="F546" s="1"/>
      <c r="G546" s="1"/>
      <c r="H546" s="1"/>
      <c r="I546" s="1"/>
      <c r="J546" s="1"/>
      <c r="K546" s="1"/>
      <c r="L546" s="1"/>
      <c r="M546" s="1"/>
      <c r="AA546" s="76"/>
      <c r="AU546" s="18"/>
      <c r="AV546" s="18"/>
    </row>
    <row r="547" spans="5:48" x14ac:dyDescent="0.2">
      <c r="E547" s="1"/>
      <c r="F547" s="1"/>
      <c r="G547" s="1"/>
      <c r="H547" s="1"/>
      <c r="I547" s="1"/>
      <c r="J547" s="1"/>
      <c r="K547" s="1"/>
      <c r="L547" s="1"/>
      <c r="M547" s="1"/>
      <c r="AA547" s="76"/>
      <c r="AU547" s="18"/>
      <c r="AV547" s="18"/>
    </row>
    <row r="548" spans="5:48" x14ac:dyDescent="0.2">
      <c r="E548" s="1"/>
      <c r="F548" s="1"/>
      <c r="G548" s="1"/>
      <c r="H548" s="1"/>
      <c r="I548" s="1"/>
      <c r="J548" s="1"/>
      <c r="K548" s="1"/>
      <c r="L548" s="1"/>
      <c r="M548" s="1"/>
      <c r="AA548" s="76"/>
      <c r="AU548" s="18"/>
      <c r="AV548" s="18"/>
    </row>
    <row r="549" spans="5:48" x14ac:dyDescent="0.2">
      <c r="E549" s="1"/>
      <c r="F549" s="1"/>
      <c r="G549" s="1"/>
      <c r="H549" s="1"/>
      <c r="I549" s="1"/>
      <c r="J549" s="1"/>
      <c r="K549" s="1"/>
      <c r="L549" s="1"/>
      <c r="M549" s="1"/>
      <c r="AA549" s="76"/>
      <c r="AU549" s="18"/>
      <c r="AV549" s="18"/>
    </row>
    <row r="550" spans="5:48" x14ac:dyDescent="0.2">
      <c r="E550" s="1"/>
      <c r="F550" s="1"/>
      <c r="G550" s="1"/>
      <c r="H550" s="1"/>
      <c r="I550" s="1"/>
      <c r="J550" s="1"/>
      <c r="K550" s="1"/>
      <c r="L550" s="1"/>
      <c r="M550" s="1"/>
      <c r="AA550" s="76"/>
      <c r="AU550" s="18"/>
      <c r="AV550" s="18"/>
    </row>
    <row r="551" spans="5:48" x14ac:dyDescent="0.2">
      <c r="E551" s="1"/>
      <c r="F551" s="1"/>
      <c r="G551" s="1"/>
      <c r="H551" s="1"/>
      <c r="I551" s="1"/>
      <c r="J551" s="1"/>
      <c r="K551" s="1"/>
      <c r="L551" s="1"/>
      <c r="M551" s="1"/>
      <c r="AA551" s="76"/>
      <c r="AU551" s="18"/>
      <c r="AV551" s="18"/>
    </row>
    <row r="552" spans="5:48" x14ac:dyDescent="0.2">
      <c r="E552" s="1"/>
      <c r="F552" s="1"/>
      <c r="G552" s="1"/>
      <c r="H552" s="1"/>
      <c r="I552" s="1"/>
      <c r="J552" s="1"/>
      <c r="K552" s="1"/>
      <c r="L552" s="1"/>
      <c r="M552" s="1"/>
      <c r="AA552" s="76"/>
      <c r="AU552" s="18"/>
      <c r="AV552" s="18"/>
    </row>
    <row r="553" spans="5:48" x14ac:dyDescent="0.2">
      <c r="E553" s="1"/>
      <c r="F553" s="1"/>
      <c r="G553" s="1"/>
      <c r="H553" s="1"/>
      <c r="I553" s="1"/>
      <c r="J553" s="1"/>
      <c r="K553" s="1"/>
      <c r="L553" s="1"/>
      <c r="M553" s="1"/>
      <c r="AA553" s="76"/>
      <c r="AU553" s="18"/>
      <c r="AV553" s="18"/>
    </row>
    <row r="554" spans="5:48" x14ac:dyDescent="0.2">
      <c r="E554" s="1"/>
      <c r="F554" s="1"/>
      <c r="G554" s="1"/>
      <c r="H554" s="1"/>
      <c r="I554" s="1"/>
      <c r="J554" s="1"/>
      <c r="K554" s="1"/>
      <c r="L554" s="1"/>
      <c r="M554" s="1"/>
      <c r="AA554" s="76"/>
      <c r="AU554" s="18"/>
      <c r="AV554" s="18"/>
    </row>
    <row r="555" spans="5:48" x14ac:dyDescent="0.2">
      <c r="E555" s="1"/>
      <c r="F555" s="1"/>
      <c r="G555" s="1"/>
      <c r="H555" s="1"/>
      <c r="I555" s="1"/>
      <c r="J555" s="1"/>
      <c r="K555" s="1"/>
      <c r="L555" s="1"/>
      <c r="M555" s="1"/>
      <c r="AA555" s="76"/>
      <c r="AU555" s="18"/>
      <c r="AV555" s="18"/>
    </row>
    <row r="556" spans="5:48" x14ac:dyDescent="0.2">
      <c r="E556" s="1"/>
      <c r="F556" s="1"/>
      <c r="G556" s="1"/>
      <c r="H556" s="1"/>
      <c r="I556" s="1"/>
      <c r="J556" s="1"/>
      <c r="K556" s="1"/>
      <c r="L556" s="1"/>
      <c r="M556" s="1"/>
      <c r="AA556" s="76"/>
      <c r="AU556" s="18"/>
      <c r="AV556" s="18"/>
    </row>
    <row r="557" spans="5:48" x14ac:dyDescent="0.2">
      <c r="E557" s="1"/>
      <c r="F557" s="1"/>
      <c r="G557" s="1"/>
      <c r="H557" s="1"/>
      <c r="I557" s="1"/>
      <c r="J557" s="1"/>
      <c r="K557" s="1"/>
      <c r="L557" s="1"/>
      <c r="M557" s="1"/>
      <c r="AA557" s="76"/>
      <c r="AU557" s="18"/>
      <c r="AV557" s="18"/>
    </row>
    <row r="558" spans="5:48" x14ac:dyDescent="0.2">
      <c r="E558" s="1"/>
      <c r="F558" s="1"/>
      <c r="G558" s="1"/>
      <c r="H558" s="1"/>
      <c r="I558" s="1"/>
      <c r="J558" s="1"/>
      <c r="K558" s="1"/>
      <c r="L558" s="1"/>
      <c r="M558" s="1"/>
      <c r="AA558" s="76"/>
      <c r="AU558" s="18"/>
      <c r="AV558" s="18"/>
    </row>
    <row r="559" spans="5:48" x14ac:dyDescent="0.2">
      <c r="E559" s="1"/>
      <c r="F559" s="1"/>
      <c r="G559" s="1"/>
      <c r="H559" s="1"/>
      <c r="I559" s="1"/>
      <c r="J559" s="1"/>
      <c r="K559" s="1"/>
      <c r="L559" s="1"/>
      <c r="M559" s="1"/>
      <c r="AA559" s="76"/>
      <c r="AU559" s="18"/>
      <c r="AV559" s="18"/>
    </row>
    <row r="560" spans="5:48" x14ac:dyDescent="0.2">
      <c r="E560" s="1"/>
      <c r="F560" s="1"/>
      <c r="G560" s="1"/>
      <c r="H560" s="1"/>
      <c r="I560" s="1"/>
      <c r="J560" s="1"/>
      <c r="K560" s="1"/>
      <c r="L560" s="1"/>
      <c r="M560" s="1"/>
      <c r="AA560" s="76"/>
      <c r="AU560" s="18"/>
      <c r="AV560" s="18"/>
    </row>
    <row r="561" spans="5:48" x14ac:dyDescent="0.2">
      <c r="E561" s="1"/>
      <c r="F561" s="1"/>
      <c r="G561" s="1"/>
      <c r="H561" s="1"/>
      <c r="I561" s="1"/>
      <c r="J561" s="1"/>
      <c r="K561" s="1"/>
      <c r="L561" s="1"/>
      <c r="M561" s="1"/>
      <c r="AA561" s="76"/>
      <c r="AU561" s="18"/>
      <c r="AV561" s="18"/>
    </row>
    <row r="562" spans="5:48" x14ac:dyDescent="0.2">
      <c r="E562" s="1"/>
      <c r="F562" s="1"/>
      <c r="G562" s="1"/>
      <c r="H562" s="1"/>
      <c r="I562" s="1"/>
      <c r="J562" s="1"/>
      <c r="K562" s="1"/>
      <c r="L562" s="1"/>
      <c r="M562" s="1"/>
      <c r="AA562" s="76"/>
      <c r="AU562" s="18"/>
      <c r="AV562" s="18"/>
    </row>
    <row r="563" spans="5:48" x14ac:dyDescent="0.2">
      <c r="E563" s="1"/>
      <c r="F563" s="1"/>
      <c r="G563" s="1"/>
      <c r="H563" s="1"/>
      <c r="I563" s="1"/>
      <c r="J563" s="1"/>
      <c r="K563" s="1"/>
      <c r="L563" s="1"/>
      <c r="M563" s="1"/>
      <c r="AA563" s="76"/>
      <c r="AU563" s="18"/>
      <c r="AV563" s="18"/>
    </row>
    <row r="564" spans="5:48" x14ac:dyDescent="0.2">
      <c r="E564" s="1"/>
      <c r="F564" s="1"/>
      <c r="G564" s="1"/>
      <c r="H564" s="1"/>
      <c r="I564" s="1"/>
      <c r="J564" s="1"/>
      <c r="K564" s="1"/>
      <c r="L564" s="1"/>
      <c r="M564" s="1"/>
      <c r="AA564" s="76"/>
      <c r="AU564" s="18"/>
      <c r="AV564" s="18"/>
    </row>
    <row r="565" spans="5:48" x14ac:dyDescent="0.2">
      <c r="E565" s="1"/>
      <c r="F565" s="1"/>
      <c r="G565" s="1"/>
      <c r="H565" s="1"/>
      <c r="I565" s="1"/>
      <c r="J565" s="1"/>
      <c r="K565" s="1"/>
      <c r="L565" s="1"/>
      <c r="M565" s="1"/>
      <c r="AA565" s="76"/>
      <c r="AU565" s="18"/>
      <c r="AV565" s="18"/>
    </row>
    <row r="566" spans="5:48" x14ac:dyDescent="0.2">
      <c r="E566" s="1"/>
      <c r="F566" s="1"/>
      <c r="G566" s="1"/>
      <c r="H566" s="1"/>
      <c r="I566" s="1"/>
      <c r="J566" s="1"/>
      <c r="K566" s="1"/>
      <c r="L566" s="1"/>
      <c r="M566" s="1"/>
      <c r="AA566" s="76"/>
      <c r="AU566" s="18"/>
      <c r="AV566" s="18"/>
    </row>
    <row r="567" spans="5:48" x14ac:dyDescent="0.2">
      <c r="E567" s="1"/>
      <c r="F567" s="1"/>
      <c r="G567" s="1"/>
      <c r="H567" s="1"/>
      <c r="I567" s="1"/>
      <c r="J567" s="1"/>
      <c r="K567" s="1"/>
      <c r="L567" s="1"/>
      <c r="M567" s="1"/>
      <c r="AA567" s="76"/>
      <c r="AU567" s="18"/>
      <c r="AV567" s="18"/>
    </row>
    <row r="568" spans="5:48" x14ac:dyDescent="0.2">
      <c r="E568" s="1"/>
      <c r="F568" s="1"/>
      <c r="G568" s="1"/>
      <c r="H568" s="1"/>
      <c r="I568" s="1"/>
      <c r="J568" s="1"/>
      <c r="K568" s="1"/>
      <c r="L568" s="1"/>
      <c r="M568" s="1"/>
      <c r="AA568" s="76"/>
      <c r="AU568" s="18"/>
      <c r="AV568" s="18"/>
    </row>
    <row r="569" spans="5:48" x14ac:dyDescent="0.2">
      <c r="E569" s="1"/>
      <c r="F569" s="1"/>
      <c r="G569" s="1"/>
      <c r="H569" s="1"/>
      <c r="I569" s="1"/>
      <c r="J569" s="1"/>
      <c r="K569" s="1"/>
      <c r="L569" s="1"/>
      <c r="M569" s="1"/>
      <c r="AA569" s="76"/>
      <c r="AU569" s="18"/>
      <c r="AV569" s="18"/>
    </row>
    <row r="570" spans="5:48" x14ac:dyDescent="0.2">
      <c r="E570" s="1"/>
      <c r="F570" s="1"/>
      <c r="G570" s="1"/>
      <c r="H570" s="1"/>
      <c r="I570" s="1"/>
      <c r="J570" s="1"/>
      <c r="K570" s="1"/>
      <c r="L570" s="1"/>
      <c r="M570" s="1"/>
      <c r="AA570" s="76"/>
      <c r="AU570" s="18"/>
      <c r="AV570" s="18"/>
    </row>
    <row r="571" spans="5:48" x14ac:dyDescent="0.2">
      <c r="E571" s="1"/>
      <c r="F571" s="1"/>
      <c r="G571" s="1"/>
      <c r="H571" s="1"/>
      <c r="I571" s="1"/>
      <c r="J571" s="1"/>
      <c r="K571" s="1"/>
      <c r="L571" s="1"/>
      <c r="M571" s="1"/>
      <c r="AA571" s="76"/>
      <c r="AU571" s="18"/>
      <c r="AV571" s="18"/>
    </row>
    <row r="572" spans="5:48" x14ac:dyDescent="0.2">
      <c r="E572" s="1"/>
      <c r="F572" s="1"/>
      <c r="G572" s="1"/>
      <c r="H572" s="1"/>
      <c r="I572" s="1"/>
      <c r="J572" s="1"/>
      <c r="K572" s="1"/>
      <c r="L572" s="1"/>
      <c r="M572" s="1"/>
      <c r="AA572" s="76"/>
      <c r="AU572" s="18"/>
      <c r="AV572" s="18"/>
    </row>
    <row r="573" spans="5:48" x14ac:dyDescent="0.2">
      <c r="E573" s="1"/>
      <c r="F573" s="1"/>
      <c r="G573" s="1"/>
      <c r="H573" s="1"/>
      <c r="I573" s="1"/>
      <c r="J573" s="1"/>
      <c r="K573" s="1"/>
      <c r="L573" s="1"/>
      <c r="M573" s="1"/>
      <c r="AA573" s="76"/>
      <c r="AU573" s="18"/>
      <c r="AV573" s="18"/>
    </row>
    <row r="574" spans="5:48" x14ac:dyDescent="0.2">
      <c r="E574" s="1"/>
      <c r="F574" s="1"/>
      <c r="G574" s="1"/>
      <c r="H574" s="1"/>
      <c r="I574" s="1"/>
      <c r="J574" s="1"/>
      <c r="K574" s="1"/>
      <c r="L574" s="1"/>
      <c r="M574" s="1"/>
      <c r="AA574" s="76"/>
      <c r="AU574" s="18"/>
      <c r="AV574" s="18"/>
    </row>
    <row r="575" spans="5:48" x14ac:dyDescent="0.2">
      <c r="E575" s="1"/>
      <c r="F575" s="1"/>
      <c r="G575" s="1"/>
      <c r="H575" s="1"/>
      <c r="I575" s="1"/>
      <c r="J575" s="1"/>
      <c r="K575" s="1"/>
      <c r="L575" s="1"/>
      <c r="M575" s="1"/>
      <c r="AA575" s="76"/>
      <c r="AU575" s="18"/>
      <c r="AV575" s="18"/>
    </row>
    <row r="576" spans="5:48" x14ac:dyDescent="0.2">
      <c r="E576" s="1"/>
      <c r="F576" s="1"/>
      <c r="G576" s="1"/>
      <c r="H576" s="1"/>
      <c r="I576" s="1"/>
      <c r="J576" s="1"/>
      <c r="K576" s="1"/>
      <c r="L576" s="1"/>
      <c r="M576" s="1"/>
      <c r="AA576" s="76"/>
      <c r="AU576" s="18"/>
      <c r="AV576" s="18"/>
    </row>
    <row r="577" spans="5:48" x14ac:dyDescent="0.2">
      <c r="E577" s="1"/>
      <c r="F577" s="1"/>
      <c r="G577" s="1"/>
      <c r="H577" s="1"/>
      <c r="I577" s="1"/>
      <c r="J577" s="1"/>
      <c r="K577" s="1"/>
      <c r="L577" s="1"/>
      <c r="M577" s="1"/>
      <c r="AA577" s="76"/>
      <c r="AU577" s="18"/>
      <c r="AV577" s="18"/>
    </row>
    <row r="578" spans="5:48" x14ac:dyDescent="0.2">
      <c r="E578" s="1"/>
      <c r="F578" s="1"/>
      <c r="G578" s="1"/>
      <c r="H578" s="1"/>
      <c r="I578" s="1"/>
      <c r="J578" s="1"/>
      <c r="K578" s="1"/>
      <c r="L578" s="1"/>
      <c r="M578" s="1"/>
      <c r="AA578" s="76"/>
      <c r="AU578" s="18"/>
      <c r="AV578" s="18"/>
    </row>
    <row r="579" spans="5:48" x14ac:dyDescent="0.2">
      <c r="E579" s="1"/>
      <c r="F579" s="1"/>
      <c r="G579" s="1"/>
      <c r="H579" s="1"/>
      <c r="I579" s="1"/>
      <c r="J579" s="1"/>
      <c r="K579" s="1"/>
      <c r="L579" s="1"/>
      <c r="M579" s="1"/>
      <c r="AA579" s="76"/>
      <c r="AU579" s="18"/>
      <c r="AV579" s="18"/>
    </row>
    <row r="580" spans="5:48" x14ac:dyDescent="0.2">
      <c r="E580" s="1"/>
      <c r="F580" s="1"/>
      <c r="G580" s="1"/>
      <c r="H580" s="1"/>
      <c r="I580" s="1"/>
      <c r="J580" s="1"/>
      <c r="K580" s="1"/>
      <c r="L580" s="1"/>
      <c r="M580" s="1"/>
      <c r="AA580" s="76"/>
      <c r="AU580" s="18"/>
      <c r="AV580" s="18"/>
    </row>
    <row r="581" spans="5:48" x14ac:dyDescent="0.2">
      <c r="E581" s="1"/>
      <c r="F581" s="1"/>
      <c r="G581" s="1"/>
      <c r="H581" s="1"/>
      <c r="I581" s="1"/>
      <c r="J581" s="1"/>
      <c r="K581" s="1"/>
      <c r="L581" s="1"/>
      <c r="M581" s="1"/>
      <c r="AA581" s="76"/>
      <c r="AU581" s="18"/>
      <c r="AV581" s="18"/>
    </row>
    <row r="582" spans="5:48" x14ac:dyDescent="0.2">
      <c r="E582" s="1"/>
      <c r="F582" s="1"/>
      <c r="G582" s="1"/>
      <c r="H582" s="1"/>
      <c r="I582" s="1"/>
      <c r="J582" s="1"/>
      <c r="K582" s="1"/>
      <c r="L582" s="1"/>
      <c r="M582" s="1"/>
      <c r="AA582" s="76"/>
      <c r="AU582" s="18"/>
      <c r="AV582" s="18"/>
    </row>
    <row r="583" spans="5:48" x14ac:dyDescent="0.2">
      <c r="E583" s="1"/>
      <c r="F583" s="1"/>
      <c r="G583" s="1"/>
      <c r="H583" s="1"/>
      <c r="I583" s="1"/>
      <c r="J583" s="1"/>
      <c r="K583" s="1"/>
      <c r="L583" s="1"/>
      <c r="M583" s="1"/>
      <c r="AA583" s="76"/>
      <c r="AU583" s="18"/>
      <c r="AV583" s="18"/>
    </row>
    <row r="584" spans="5:48" x14ac:dyDescent="0.2">
      <c r="E584" s="1"/>
      <c r="F584" s="1"/>
      <c r="G584" s="1"/>
      <c r="H584" s="1"/>
      <c r="I584" s="1"/>
      <c r="J584" s="1"/>
      <c r="K584" s="1"/>
      <c r="L584" s="1"/>
      <c r="M584" s="1"/>
      <c r="AA584" s="76"/>
      <c r="AU584" s="18"/>
      <c r="AV584" s="18"/>
    </row>
    <row r="585" spans="5:48" x14ac:dyDescent="0.2">
      <c r="E585" s="1"/>
      <c r="F585" s="1"/>
      <c r="G585" s="1"/>
      <c r="H585" s="1"/>
      <c r="I585" s="1"/>
      <c r="J585" s="1"/>
      <c r="K585" s="1"/>
      <c r="L585" s="1"/>
      <c r="M585" s="1"/>
      <c r="AA585" s="76"/>
      <c r="AU585" s="18"/>
      <c r="AV585" s="18"/>
    </row>
    <row r="586" spans="5:48" x14ac:dyDescent="0.2">
      <c r="E586" s="1"/>
      <c r="F586" s="1"/>
      <c r="G586" s="1"/>
      <c r="H586" s="1"/>
      <c r="I586" s="1"/>
      <c r="J586" s="1"/>
      <c r="K586" s="1"/>
      <c r="L586" s="1"/>
      <c r="M586" s="1"/>
      <c r="AA586" s="76"/>
      <c r="AU586" s="18"/>
      <c r="AV586" s="18"/>
    </row>
    <row r="587" spans="5:48" x14ac:dyDescent="0.2">
      <c r="E587" s="1"/>
      <c r="F587" s="1"/>
      <c r="G587" s="1"/>
      <c r="H587" s="1"/>
      <c r="I587" s="1"/>
      <c r="J587" s="1"/>
      <c r="K587" s="1"/>
      <c r="L587" s="1"/>
      <c r="M587" s="1"/>
      <c r="AA587" s="76"/>
      <c r="AU587" s="18"/>
      <c r="AV587" s="18"/>
    </row>
    <row r="588" spans="5:48" x14ac:dyDescent="0.2">
      <c r="E588" s="1"/>
      <c r="F588" s="1"/>
      <c r="G588" s="1"/>
      <c r="H588" s="1"/>
      <c r="I588" s="1"/>
      <c r="J588" s="1"/>
      <c r="K588" s="1"/>
      <c r="L588" s="1"/>
      <c r="M588" s="1"/>
      <c r="AA588" s="76"/>
      <c r="AU588" s="18"/>
      <c r="AV588" s="18"/>
    </row>
    <row r="589" spans="5:48" x14ac:dyDescent="0.2">
      <c r="E589" s="1"/>
      <c r="F589" s="1"/>
      <c r="G589" s="1"/>
      <c r="H589" s="1"/>
      <c r="I589" s="1"/>
      <c r="J589" s="1"/>
      <c r="K589" s="1"/>
      <c r="L589" s="1"/>
      <c r="M589" s="1"/>
      <c r="AA589" s="76"/>
      <c r="AU589" s="18"/>
      <c r="AV589" s="18"/>
    </row>
    <row r="590" spans="5:48" x14ac:dyDescent="0.2">
      <c r="E590" s="1"/>
      <c r="F590" s="1"/>
      <c r="G590" s="1"/>
      <c r="H590" s="1"/>
      <c r="I590" s="1"/>
      <c r="J590" s="1"/>
      <c r="K590" s="1"/>
      <c r="L590" s="1"/>
      <c r="M590" s="1"/>
      <c r="AA590" s="76"/>
      <c r="AU590" s="18"/>
      <c r="AV590" s="18"/>
    </row>
    <row r="591" spans="5:48" x14ac:dyDescent="0.2">
      <c r="E591" s="1"/>
      <c r="F591" s="1"/>
      <c r="G591" s="1"/>
      <c r="H591" s="1"/>
      <c r="I591" s="1"/>
      <c r="J591" s="1"/>
      <c r="K591" s="1"/>
      <c r="L591" s="1"/>
      <c r="M591" s="1"/>
      <c r="AU591" s="18"/>
      <c r="AV591" s="18"/>
    </row>
    <row r="592" spans="5:48" x14ac:dyDescent="0.2">
      <c r="E592" s="1"/>
      <c r="F592" s="1"/>
      <c r="G592" s="1"/>
      <c r="H592" s="1"/>
      <c r="I592" s="1"/>
      <c r="J592" s="1"/>
      <c r="K592" s="1"/>
      <c r="L592" s="1"/>
      <c r="M592" s="1"/>
      <c r="AU592" s="18"/>
      <c r="AV592" s="18"/>
    </row>
    <row r="593" spans="5:48" x14ac:dyDescent="0.2">
      <c r="E593" s="1"/>
      <c r="F593" s="1"/>
      <c r="G593" s="1"/>
      <c r="H593" s="1"/>
      <c r="I593" s="1"/>
      <c r="J593" s="1"/>
      <c r="K593" s="1"/>
      <c r="L593" s="1"/>
      <c r="M593" s="1"/>
      <c r="AU593" s="18"/>
      <c r="AV593" s="18"/>
    </row>
    <row r="594" spans="5:48" x14ac:dyDescent="0.2">
      <c r="E594" s="1"/>
      <c r="F594" s="1"/>
      <c r="G594" s="1"/>
      <c r="H594" s="1"/>
      <c r="I594" s="1"/>
      <c r="J594" s="1"/>
      <c r="K594" s="1"/>
      <c r="L594" s="1"/>
      <c r="M594" s="1"/>
      <c r="AU594" s="18"/>
      <c r="AV594" s="18"/>
    </row>
    <row r="595" spans="5:48" x14ac:dyDescent="0.2">
      <c r="E595" s="1"/>
      <c r="F595" s="1"/>
      <c r="G595" s="1"/>
      <c r="H595" s="1"/>
      <c r="I595" s="1"/>
      <c r="J595" s="1"/>
      <c r="K595" s="1"/>
      <c r="L595" s="1"/>
      <c r="M595" s="1"/>
      <c r="AU595" s="18"/>
      <c r="AV595" s="18"/>
    </row>
    <row r="596" spans="5:48" x14ac:dyDescent="0.2">
      <c r="E596" s="1"/>
      <c r="F596" s="1"/>
      <c r="G596" s="1"/>
      <c r="H596" s="1"/>
      <c r="I596" s="1"/>
      <c r="J596" s="1"/>
      <c r="K596" s="1"/>
      <c r="L596" s="1"/>
      <c r="M596" s="1"/>
      <c r="AU596" s="18"/>
      <c r="AV596" s="18"/>
    </row>
    <row r="597" spans="5:48" x14ac:dyDescent="0.2">
      <c r="E597" s="1"/>
      <c r="F597" s="1"/>
      <c r="G597" s="1"/>
      <c r="H597" s="1"/>
      <c r="I597" s="1"/>
      <c r="J597" s="1"/>
      <c r="K597" s="1"/>
      <c r="L597" s="1"/>
      <c r="M597" s="1"/>
      <c r="AU597" s="18"/>
      <c r="AV597" s="18"/>
    </row>
    <row r="598" spans="5:48" x14ac:dyDescent="0.2">
      <c r="E598" s="1"/>
      <c r="F598" s="1"/>
      <c r="G598" s="1"/>
      <c r="H598" s="1"/>
      <c r="I598" s="1"/>
      <c r="J598" s="1"/>
      <c r="K598" s="1"/>
      <c r="L598" s="1"/>
      <c r="M598" s="1"/>
      <c r="AU598" s="18"/>
      <c r="AV598" s="18"/>
    </row>
    <row r="599" spans="5:48" x14ac:dyDescent="0.2">
      <c r="E599" s="1"/>
      <c r="F599" s="1"/>
      <c r="G599" s="1"/>
      <c r="H599" s="1"/>
      <c r="I599" s="1"/>
      <c r="J599" s="1"/>
      <c r="K599" s="1"/>
      <c r="L599" s="1"/>
      <c r="M599" s="1"/>
      <c r="AU599" s="18"/>
      <c r="AV599" s="18"/>
    </row>
    <row r="600" spans="5:48" x14ac:dyDescent="0.2">
      <c r="E600" s="1"/>
      <c r="F600" s="1"/>
      <c r="G600" s="1"/>
      <c r="H600" s="1"/>
      <c r="I600" s="1"/>
      <c r="J600" s="1"/>
      <c r="K600" s="1"/>
      <c r="L600" s="1"/>
      <c r="M600" s="1"/>
      <c r="AU600" s="18"/>
      <c r="AV600" s="18"/>
    </row>
    <row r="601" spans="5:48" x14ac:dyDescent="0.2">
      <c r="E601" s="1"/>
      <c r="F601" s="1"/>
      <c r="G601" s="1"/>
      <c r="H601" s="1"/>
      <c r="I601" s="1"/>
      <c r="J601" s="1"/>
      <c r="K601" s="1"/>
      <c r="L601" s="1"/>
      <c r="M601" s="1"/>
      <c r="AU601" s="18"/>
      <c r="AV601" s="18"/>
    </row>
    <row r="602" spans="5:48" x14ac:dyDescent="0.2">
      <c r="E602" s="1"/>
      <c r="F602" s="1"/>
      <c r="G602" s="1"/>
      <c r="H602" s="1"/>
      <c r="I602" s="1"/>
      <c r="J602" s="1"/>
      <c r="K602" s="1"/>
      <c r="L602" s="1"/>
      <c r="M602" s="1"/>
      <c r="AU602" s="18"/>
      <c r="AV602" s="18"/>
    </row>
    <row r="603" spans="5:48" x14ac:dyDescent="0.2">
      <c r="E603" s="1"/>
      <c r="F603" s="1"/>
      <c r="G603" s="1"/>
      <c r="H603" s="1"/>
      <c r="I603" s="1"/>
      <c r="J603" s="1"/>
      <c r="K603" s="1"/>
      <c r="L603" s="1"/>
      <c r="M603" s="1"/>
      <c r="AU603" s="18"/>
      <c r="AV603" s="18"/>
    </row>
    <row r="604" spans="5:48" x14ac:dyDescent="0.2">
      <c r="E604" s="1"/>
      <c r="F604" s="1"/>
      <c r="G604" s="1"/>
      <c r="H604" s="1"/>
      <c r="I604" s="1"/>
      <c r="J604" s="1"/>
      <c r="K604" s="1"/>
      <c r="L604" s="1"/>
      <c r="M604" s="1"/>
      <c r="AU604" s="18"/>
      <c r="AV604" s="18"/>
    </row>
    <row r="605" spans="5:48" x14ac:dyDescent="0.2">
      <c r="E605" s="1"/>
      <c r="F605" s="1"/>
      <c r="G605" s="1"/>
      <c r="H605" s="1"/>
      <c r="I605" s="1"/>
      <c r="J605" s="1"/>
      <c r="K605" s="1"/>
      <c r="L605" s="1"/>
      <c r="M605" s="1"/>
      <c r="AU605" s="18"/>
      <c r="AV605" s="18"/>
    </row>
    <row r="606" spans="5:48" x14ac:dyDescent="0.2">
      <c r="E606" s="1"/>
      <c r="F606" s="1"/>
      <c r="G606" s="1"/>
      <c r="H606" s="1"/>
      <c r="I606" s="1"/>
      <c r="J606" s="1"/>
      <c r="K606" s="1"/>
      <c r="L606" s="1"/>
      <c r="M606" s="1"/>
      <c r="AU606" s="18"/>
      <c r="AV606" s="18"/>
    </row>
    <row r="607" spans="5:48" x14ac:dyDescent="0.2">
      <c r="E607" s="1"/>
      <c r="F607" s="1"/>
      <c r="G607" s="1"/>
      <c r="H607" s="1"/>
      <c r="I607" s="1"/>
      <c r="J607" s="1"/>
      <c r="K607" s="1"/>
      <c r="L607" s="1"/>
      <c r="M607" s="1"/>
      <c r="AU607" s="18"/>
      <c r="AV607" s="18"/>
    </row>
    <row r="608" spans="5:48" x14ac:dyDescent="0.2">
      <c r="E608" s="1"/>
      <c r="F608" s="1"/>
      <c r="G608" s="1"/>
      <c r="H608" s="1"/>
      <c r="I608" s="1"/>
      <c r="J608" s="1"/>
      <c r="K608" s="1"/>
      <c r="L608" s="1"/>
      <c r="M608" s="1"/>
      <c r="AU608" s="18"/>
      <c r="AV608" s="18"/>
    </row>
    <row r="609" spans="5:48" x14ac:dyDescent="0.2">
      <c r="E609" s="1"/>
      <c r="F609" s="1"/>
      <c r="G609" s="1"/>
      <c r="H609" s="1"/>
      <c r="I609" s="1"/>
      <c r="J609" s="1"/>
      <c r="K609" s="1"/>
      <c r="L609" s="1"/>
      <c r="M609" s="1"/>
      <c r="AU609" s="18"/>
      <c r="AV609" s="18"/>
    </row>
    <row r="610" spans="5:48" x14ac:dyDescent="0.2">
      <c r="E610" s="1"/>
      <c r="F610" s="1"/>
      <c r="G610" s="1"/>
      <c r="H610" s="1"/>
      <c r="I610" s="1"/>
      <c r="J610" s="1"/>
      <c r="K610" s="1"/>
      <c r="L610" s="1"/>
      <c r="M610" s="1"/>
      <c r="AU610" s="18"/>
      <c r="AV610" s="18"/>
    </row>
    <row r="611" spans="5:48" x14ac:dyDescent="0.2">
      <c r="E611" s="1"/>
      <c r="F611" s="1"/>
      <c r="G611" s="1"/>
      <c r="H611" s="1"/>
      <c r="I611" s="1"/>
      <c r="J611" s="1"/>
      <c r="K611" s="1"/>
      <c r="L611" s="1"/>
      <c r="M611" s="1"/>
      <c r="AU611" s="18"/>
      <c r="AV611" s="18"/>
    </row>
    <row r="612" spans="5:48" x14ac:dyDescent="0.2">
      <c r="E612" s="1"/>
      <c r="F612" s="1"/>
      <c r="G612" s="1"/>
      <c r="H612" s="1"/>
      <c r="I612" s="1"/>
      <c r="J612" s="1"/>
      <c r="K612" s="1"/>
      <c r="L612" s="1"/>
      <c r="M612" s="1"/>
      <c r="AU612" s="18"/>
      <c r="AV612" s="18"/>
    </row>
    <row r="613" spans="5:48" x14ac:dyDescent="0.2">
      <c r="E613" s="1"/>
      <c r="F613" s="1"/>
      <c r="G613" s="1"/>
      <c r="H613" s="1"/>
      <c r="I613" s="1"/>
      <c r="J613" s="1"/>
      <c r="K613" s="1"/>
      <c r="L613" s="1"/>
      <c r="M613" s="1"/>
      <c r="AU613" s="18"/>
      <c r="AV613" s="18"/>
    </row>
    <row r="614" spans="5:48" x14ac:dyDescent="0.2">
      <c r="E614" s="1"/>
      <c r="F614" s="1"/>
      <c r="G614" s="1"/>
      <c r="H614" s="1"/>
      <c r="I614" s="1"/>
      <c r="J614" s="1"/>
      <c r="K614" s="1"/>
      <c r="L614" s="1"/>
      <c r="M614" s="1"/>
      <c r="AU614" s="18"/>
      <c r="AV614" s="18"/>
    </row>
    <row r="615" spans="5:48" x14ac:dyDescent="0.2">
      <c r="E615" s="1"/>
      <c r="F615" s="1"/>
      <c r="G615" s="1"/>
      <c r="H615" s="1"/>
      <c r="I615" s="1"/>
      <c r="J615" s="1"/>
      <c r="K615" s="1"/>
      <c r="L615" s="1"/>
      <c r="M615" s="1"/>
      <c r="AU615" s="18"/>
      <c r="AV615" s="18"/>
    </row>
    <row r="616" spans="5:48" x14ac:dyDescent="0.2">
      <c r="E616" s="1"/>
      <c r="F616" s="1"/>
      <c r="G616" s="1"/>
      <c r="H616" s="1"/>
      <c r="I616" s="1"/>
      <c r="J616" s="1"/>
      <c r="K616" s="1"/>
      <c r="L616" s="1"/>
      <c r="M616" s="1"/>
      <c r="AU616" s="18"/>
      <c r="AV616" s="18"/>
    </row>
    <row r="617" spans="5:48" x14ac:dyDescent="0.2">
      <c r="E617" s="1"/>
      <c r="F617" s="1"/>
      <c r="G617" s="1"/>
      <c r="H617" s="1"/>
      <c r="I617" s="1"/>
      <c r="J617" s="1"/>
      <c r="K617" s="1"/>
      <c r="L617" s="1"/>
      <c r="M617" s="1"/>
      <c r="AU617" s="18"/>
      <c r="AV617" s="18"/>
    </row>
    <row r="618" spans="5:48" x14ac:dyDescent="0.2">
      <c r="E618" s="1"/>
      <c r="F618" s="1"/>
      <c r="G618" s="1"/>
      <c r="H618" s="1"/>
      <c r="I618" s="1"/>
      <c r="J618" s="1"/>
      <c r="K618" s="1"/>
      <c r="L618" s="1"/>
      <c r="M618" s="1"/>
      <c r="AU618" s="18"/>
      <c r="AV618" s="18"/>
    </row>
    <row r="619" spans="5:48" x14ac:dyDescent="0.2">
      <c r="E619" s="1"/>
      <c r="F619" s="1"/>
      <c r="G619" s="1"/>
      <c r="H619" s="1"/>
      <c r="I619" s="1"/>
      <c r="J619" s="1"/>
      <c r="K619" s="1"/>
      <c r="L619" s="1"/>
      <c r="M619" s="1"/>
      <c r="AU619" s="18"/>
      <c r="AV619" s="18"/>
    </row>
    <row r="620" spans="5:48" x14ac:dyDescent="0.2">
      <c r="E620" s="1"/>
      <c r="F620" s="1"/>
      <c r="G620" s="1"/>
      <c r="H620" s="1"/>
      <c r="I620" s="1"/>
      <c r="J620" s="1"/>
      <c r="K620" s="1"/>
      <c r="L620" s="1"/>
      <c r="M620" s="1"/>
      <c r="AU620" s="18"/>
      <c r="AV620" s="18"/>
    </row>
    <row r="621" spans="5:48" x14ac:dyDescent="0.2">
      <c r="E621" s="1"/>
      <c r="F621" s="1"/>
      <c r="G621" s="1"/>
      <c r="H621" s="1"/>
      <c r="I621" s="1"/>
      <c r="J621" s="1"/>
      <c r="K621" s="1"/>
      <c r="L621" s="1"/>
      <c r="M621" s="1"/>
      <c r="AU621" s="18"/>
      <c r="AV621" s="18"/>
    </row>
    <row r="622" spans="5:48" x14ac:dyDescent="0.2">
      <c r="E622" s="1"/>
      <c r="F622" s="1"/>
      <c r="G622" s="1"/>
      <c r="H622" s="1"/>
      <c r="I622" s="1"/>
      <c r="J622" s="1"/>
      <c r="K622" s="1"/>
      <c r="L622" s="1"/>
      <c r="M622" s="1"/>
      <c r="AU622" s="18"/>
      <c r="AV622" s="18"/>
    </row>
    <row r="623" spans="5:48" x14ac:dyDescent="0.2">
      <c r="E623" s="1"/>
      <c r="F623" s="1"/>
      <c r="G623" s="1"/>
      <c r="H623" s="1"/>
      <c r="I623" s="1"/>
      <c r="J623" s="1"/>
      <c r="K623" s="1"/>
      <c r="L623" s="1"/>
      <c r="M623" s="1"/>
      <c r="AU623" s="18"/>
      <c r="AV623" s="18"/>
    </row>
    <row r="624" spans="5:48" x14ac:dyDescent="0.2">
      <c r="E624" s="1"/>
      <c r="F624" s="1"/>
      <c r="G624" s="1"/>
      <c r="H624" s="1"/>
      <c r="I624" s="1"/>
      <c r="J624" s="1"/>
      <c r="K624" s="1"/>
      <c r="L624" s="1"/>
      <c r="M624" s="1"/>
      <c r="AU624" s="18"/>
      <c r="AV624" s="18"/>
    </row>
    <row r="625" spans="5:48" x14ac:dyDescent="0.2">
      <c r="E625" s="1"/>
      <c r="F625" s="1"/>
      <c r="G625" s="1"/>
      <c r="H625" s="1"/>
      <c r="I625" s="1"/>
      <c r="J625" s="1"/>
      <c r="K625" s="1"/>
      <c r="L625" s="1"/>
      <c r="M625" s="1"/>
      <c r="AU625" s="18"/>
      <c r="AV625" s="18"/>
    </row>
    <row r="626" spans="5:48" x14ac:dyDescent="0.2">
      <c r="E626" s="1"/>
      <c r="F626" s="1"/>
      <c r="G626" s="1"/>
      <c r="H626" s="1"/>
      <c r="I626" s="1"/>
      <c r="J626" s="1"/>
      <c r="K626" s="1"/>
      <c r="L626" s="1"/>
      <c r="M626" s="1"/>
      <c r="AU626" s="18"/>
      <c r="AV626" s="18"/>
    </row>
    <row r="627" spans="5:48" x14ac:dyDescent="0.2">
      <c r="E627" s="1"/>
      <c r="F627" s="1"/>
      <c r="G627" s="1"/>
      <c r="H627" s="1"/>
      <c r="I627" s="1"/>
      <c r="J627" s="1"/>
      <c r="K627" s="1"/>
      <c r="L627" s="1"/>
      <c r="M627" s="1"/>
      <c r="AU627" s="18"/>
      <c r="AV627" s="18"/>
    </row>
    <row r="628" spans="5:48" x14ac:dyDescent="0.2">
      <c r="E628" s="1"/>
      <c r="F628" s="1"/>
      <c r="G628" s="1"/>
      <c r="H628" s="1"/>
      <c r="I628" s="1"/>
      <c r="J628" s="1"/>
      <c r="K628" s="1"/>
      <c r="L628" s="1"/>
      <c r="M628" s="1"/>
      <c r="AU628" s="18"/>
      <c r="AV628" s="18"/>
    </row>
    <row r="629" spans="5:48" x14ac:dyDescent="0.2">
      <c r="E629" s="1"/>
      <c r="F629" s="1"/>
      <c r="G629" s="1"/>
      <c r="H629" s="1"/>
      <c r="I629" s="1"/>
      <c r="J629" s="1"/>
      <c r="K629" s="1"/>
      <c r="L629" s="1"/>
      <c r="M629" s="1"/>
      <c r="AU629" s="18"/>
      <c r="AV629" s="18"/>
    </row>
    <row r="630" spans="5:48" x14ac:dyDescent="0.2">
      <c r="E630" s="1"/>
      <c r="F630" s="1"/>
      <c r="G630" s="1"/>
      <c r="H630" s="1"/>
      <c r="I630" s="1"/>
      <c r="J630" s="1"/>
      <c r="K630" s="1"/>
      <c r="L630" s="1"/>
      <c r="M630" s="1"/>
      <c r="AU630" s="18"/>
      <c r="AV630" s="18"/>
    </row>
    <row r="631" spans="5:48" x14ac:dyDescent="0.2">
      <c r="E631" s="1"/>
      <c r="F631" s="1"/>
      <c r="G631" s="1"/>
      <c r="H631" s="1"/>
      <c r="I631" s="1"/>
      <c r="J631" s="1"/>
      <c r="K631" s="1"/>
      <c r="L631" s="1"/>
      <c r="M631" s="1"/>
      <c r="AU631" s="18"/>
      <c r="AV631" s="18"/>
    </row>
    <row r="632" spans="5:48" x14ac:dyDescent="0.2">
      <c r="E632" s="1"/>
      <c r="F632" s="1"/>
      <c r="G632" s="1"/>
      <c r="H632" s="1"/>
      <c r="I632" s="1"/>
      <c r="J632" s="1"/>
      <c r="K632" s="1"/>
      <c r="L632" s="1"/>
      <c r="M632" s="1"/>
      <c r="AU632" s="18"/>
      <c r="AV632" s="18"/>
    </row>
    <row r="633" spans="5:48" x14ac:dyDescent="0.2">
      <c r="E633" s="1"/>
      <c r="F633" s="1"/>
      <c r="G633" s="1"/>
      <c r="H633" s="1"/>
      <c r="I633" s="1"/>
      <c r="J633" s="1"/>
      <c r="K633" s="1"/>
      <c r="L633" s="1"/>
      <c r="M633" s="1"/>
      <c r="AU633" s="18"/>
      <c r="AV633" s="18"/>
    </row>
    <row r="634" spans="5:48" x14ac:dyDescent="0.2">
      <c r="E634" s="1"/>
      <c r="F634" s="1"/>
      <c r="G634" s="1"/>
      <c r="H634" s="1"/>
      <c r="I634" s="1"/>
      <c r="J634" s="1"/>
      <c r="K634" s="1"/>
      <c r="L634" s="1"/>
      <c r="M634" s="1"/>
      <c r="AU634" s="18"/>
      <c r="AV634" s="18"/>
    </row>
    <row r="635" spans="5:48" x14ac:dyDescent="0.2">
      <c r="E635" s="1"/>
      <c r="F635" s="1"/>
      <c r="G635" s="1"/>
      <c r="H635" s="1"/>
      <c r="I635" s="1"/>
      <c r="J635" s="1"/>
      <c r="K635" s="1"/>
      <c r="L635" s="1"/>
      <c r="M635" s="1"/>
      <c r="AU635" s="18"/>
      <c r="AV635" s="18"/>
    </row>
    <row r="636" spans="5:48" x14ac:dyDescent="0.2">
      <c r="E636" s="1"/>
      <c r="F636" s="1"/>
      <c r="G636" s="1"/>
      <c r="H636" s="1"/>
      <c r="I636" s="1"/>
      <c r="J636" s="1"/>
      <c r="K636" s="1"/>
      <c r="L636" s="1"/>
      <c r="M636" s="1"/>
      <c r="AU636" s="18"/>
      <c r="AV636" s="18"/>
    </row>
    <row r="637" spans="5:48" x14ac:dyDescent="0.2">
      <c r="E637" s="1"/>
      <c r="F637" s="1"/>
      <c r="G637" s="1"/>
      <c r="H637" s="1"/>
      <c r="I637" s="1"/>
      <c r="J637" s="1"/>
      <c r="K637" s="1"/>
      <c r="L637" s="1"/>
      <c r="M637" s="1"/>
      <c r="AU637" s="18"/>
      <c r="AV637" s="18"/>
    </row>
    <row r="638" spans="5:48" x14ac:dyDescent="0.2">
      <c r="E638" s="1"/>
      <c r="F638" s="1"/>
      <c r="G638" s="1"/>
      <c r="H638" s="1"/>
      <c r="I638" s="1"/>
      <c r="J638" s="1"/>
      <c r="K638" s="1"/>
      <c r="L638" s="1"/>
      <c r="M638" s="1"/>
      <c r="AU638" s="18"/>
      <c r="AV638" s="18"/>
    </row>
    <row r="639" spans="5:48" x14ac:dyDescent="0.2">
      <c r="E639" s="1"/>
      <c r="F639" s="1"/>
      <c r="G639" s="1"/>
      <c r="H639" s="1"/>
      <c r="I639" s="1"/>
      <c r="J639" s="1"/>
      <c r="K639" s="1"/>
      <c r="L639" s="1"/>
      <c r="M639" s="1"/>
      <c r="AU639" s="18"/>
      <c r="AV639" s="18"/>
    </row>
    <row r="640" spans="5:48" x14ac:dyDescent="0.2">
      <c r="E640" s="1"/>
      <c r="F640" s="1"/>
      <c r="G640" s="1"/>
      <c r="H640" s="1"/>
      <c r="I640" s="1"/>
      <c r="J640" s="1"/>
      <c r="K640" s="1"/>
      <c r="L640" s="1"/>
      <c r="M640" s="1"/>
      <c r="AU640" s="18"/>
      <c r="AV640" s="18"/>
    </row>
    <row r="641" spans="5:48" x14ac:dyDescent="0.2">
      <c r="E641" s="1"/>
      <c r="F641" s="1"/>
      <c r="G641" s="1"/>
      <c r="H641" s="1"/>
      <c r="I641" s="1"/>
      <c r="J641" s="1"/>
      <c r="K641" s="1"/>
      <c r="L641" s="1"/>
      <c r="M641" s="1"/>
      <c r="AU641" s="18"/>
      <c r="AV641" s="18"/>
    </row>
    <row r="642" spans="5:48" x14ac:dyDescent="0.2">
      <c r="E642" s="1"/>
      <c r="F642" s="1"/>
      <c r="G642" s="1"/>
      <c r="H642" s="1"/>
      <c r="I642" s="1"/>
      <c r="J642" s="1"/>
      <c r="K642" s="1"/>
      <c r="L642" s="1"/>
      <c r="M642" s="1"/>
      <c r="AU642" s="18"/>
      <c r="AV642" s="18"/>
    </row>
    <row r="643" spans="5:48" x14ac:dyDescent="0.2">
      <c r="E643" s="1"/>
      <c r="F643" s="1"/>
      <c r="G643" s="1"/>
      <c r="H643" s="1"/>
      <c r="I643" s="1"/>
      <c r="J643" s="1"/>
      <c r="K643" s="1"/>
      <c r="L643" s="1"/>
      <c r="M643" s="1"/>
      <c r="AU643" s="18"/>
      <c r="AV643" s="18"/>
    </row>
    <row r="644" spans="5:48" x14ac:dyDescent="0.2">
      <c r="E644" s="1"/>
      <c r="F644" s="1"/>
      <c r="G644" s="1"/>
      <c r="H644" s="1"/>
      <c r="I644" s="1"/>
      <c r="J644" s="1"/>
      <c r="K644" s="1"/>
      <c r="L644" s="1"/>
      <c r="M644" s="1"/>
      <c r="AU644" s="18"/>
      <c r="AV644" s="18"/>
    </row>
    <row r="645" spans="5:48" x14ac:dyDescent="0.2">
      <c r="E645" s="1"/>
      <c r="F645" s="1"/>
      <c r="G645" s="1"/>
      <c r="H645" s="1"/>
      <c r="I645" s="1"/>
      <c r="J645" s="1"/>
      <c r="K645" s="1"/>
      <c r="L645" s="1"/>
      <c r="M645" s="1"/>
      <c r="AU645" s="18"/>
      <c r="AV645" s="18"/>
    </row>
    <row r="646" spans="5:48" x14ac:dyDescent="0.2">
      <c r="E646" s="1"/>
      <c r="F646" s="1"/>
      <c r="G646" s="1"/>
      <c r="H646" s="1"/>
      <c r="I646" s="1"/>
      <c r="J646" s="1"/>
      <c r="K646" s="1"/>
      <c r="L646" s="1"/>
      <c r="M646" s="1"/>
      <c r="AU646" s="18"/>
      <c r="AV646" s="18"/>
    </row>
    <row r="647" spans="5:48" x14ac:dyDescent="0.2">
      <c r="E647" s="1"/>
      <c r="F647" s="1"/>
      <c r="G647" s="1"/>
      <c r="H647" s="1"/>
      <c r="I647" s="1"/>
      <c r="J647" s="1"/>
      <c r="K647" s="1"/>
      <c r="L647" s="1"/>
      <c r="M647" s="1"/>
      <c r="AU647" s="18"/>
      <c r="AV647" s="18"/>
    </row>
    <row r="648" spans="5:48" x14ac:dyDescent="0.2">
      <c r="E648" s="1"/>
      <c r="F648" s="1"/>
      <c r="G648" s="1"/>
      <c r="H648" s="1"/>
      <c r="I648" s="1"/>
      <c r="J648" s="1"/>
      <c r="K648" s="1"/>
      <c r="L648" s="1"/>
      <c r="M648" s="1"/>
      <c r="AU648" s="18"/>
      <c r="AV648" s="18"/>
    </row>
    <row r="649" spans="5:48" x14ac:dyDescent="0.2">
      <c r="E649" s="1"/>
      <c r="F649" s="1"/>
      <c r="G649" s="1"/>
      <c r="H649" s="1"/>
      <c r="I649" s="1"/>
      <c r="J649" s="1"/>
      <c r="K649" s="1"/>
      <c r="L649" s="1"/>
      <c r="M649" s="1"/>
      <c r="AU649" s="18"/>
      <c r="AV649" s="18"/>
    </row>
    <row r="650" spans="5:48" x14ac:dyDescent="0.2">
      <c r="E650" s="1"/>
      <c r="F650" s="1"/>
      <c r="G650" s="1"/>
      <c r="H650" s="1"/>
      <c r="I650" s="1"/>
      <c r="J650" s="1"/>
      <c r="K650" s="1"/>
      <c r="L650" s="1"/>
      <c r="M650" s="1"/>
      <c r="AU650" s="18"/>
      <c r="AV650" s="18"/>
    </row>
    <row r="651" spans="5:48" x14ac:dyDescent="0.2">
      <c r="E651" s="1"/>
      <c r="F651" s="1"/>
      <c r="G651" s="1"/>
      <c r="H651" s="1"/>
      <c r="I651" s="1"/>
      <c r="J651" s="1"/>
      <c r="K651" s="1"/>
      <c r="L651" s="1"/>
      <c r="M651" s="1"/>
      <c r="AU651" s="18"/>
      <c r="AV651" s="18"/>
    </row>
    <row r="652" spans="5:48" x14ac:dyDescent="0.2">
      <c r="E652" s="1"/>
      <c r="F652" s="1"/>
      <c r="G652" s="1"/>
      <c r="H652" s="1"/>
      <c r="I652" s="1"/>
      <c r="J652" s="1"/>
      <c r="K652" s="1"/>
      <c r="L652" s="1"/>
      <c r="M652" s="1"/>
      <c r="AU652" s="18"/>
      <c r="AV652" s="18"/>
    </row>
    <row r="653" spans="5:48" x14ac:dyDescent="0.2">
      <c r="E653" s="1"/>
      <c r="F653" s="1"/>
      <c r="G653" s="1"/>
      <c r="H653" s="1"/>
      <c r="I653" s="1"/>
      <c r="J653" s="1"/>
      <c r="K653" s="1"/>
      <c r="L653" s="1"/>
      <c r="M653" s="1"/>
      <c r="AU653" s="18"/>
      <c r="AV653" s="18"/>
    </row>
    <row r="654" spans="5:48" x14ac:dyDescent="0.2">
      <c r="E654" s="1"/>
      <c r="F654" s="1"/>
      <c r="G654" s="1"/>
      <c r="H654" s="1"/>
      <c r="I654" s="1"/>
      <c r="J654" s="1"/>
      <c r="K654" s="1"/>
      <c r="L654" s="1"/>
      <c r="M654" s="1"/>
      <c r="AU654" s="18"/>
      <c r="AV654" s="18"/>
    </row>
    <row r="655" spans="5:48" x14ac:dyDescent="0.2">
      <c r="E655" s="1"/>
      <c r="F655" s="1"/>
      <c r="G655" s="1"/>
      <c r="H655" s="1"/>
      <c r="I655" s="1"/>
      <c r="J655" s="1"/>
      <c r="K655" s="1"/>
      <c r="L655" s="1"/>
      <c r="M655" s="1"/>
      <c r="AU655" s="18"/>
      <c r="AV655" s="18"/>
    </row>
    <row r="656" spans="5:48" x14ac:dyDescent="0.2">
      <c r="E656" s="1"/>
      <c r="F656" s="1"/>
      <c r="G656" s="1"/>
      <c r="H656" s="1"/>
      <c r="I656" s="1"/>
      <c r="J656" s="1"/>
      <c r="K656" s="1"/>
      <c r="L656" s="1"/>
      <c r="M656" s="1"/>
      <c r="AU656" s="18"/>
      <c r="AV656" s="18"/>
    </row>
    <row r="657" spans="5:48" x14ac:dyDescent="0.2">
      <c r="E657" s="1"/>
      <c r="F657" s="1"/>
      <c r="G657" s="1"/>
      <c r="H657" s="1"/>
      <c r="I657" s="1"/>
      <c r="J657" s="1"/>
      <c r="K657" s="1"/>
      <c r="L657" s="1"/>
      <c r="M657" s="1"/>
      <c r="AU657" s="18"/>
      <c r="AV657" s="18"/>
    </row>
    <row r="658" spans="5:48" x14ac:dyDescent="0.2">
      <c r="E658" s="1"/>
      <c r="F658" s="1"/>
      <c r="G658" s="1"/>
      <c r="H658" s="1"/>
      <c r="I658" s="1"/>
      <c r="J658" s="1"/>
      <c r="K658" s="1"/>
      <c r="L658" s="1"/>
      <c r="M658" s="1"/>
      <c r="AU658" s="18"/>
      <c r="AV658" s="18"/>
    </row>
    <row r="659" spans="5:48" x14ac:dyDescent="0.2">
      <c r="E659" s="1"/>
      <c r="F659" s="1"/>
      <c r="G659" s="1"/>
      <c r="H659" s="1"/>
      <c r="I659" s="1"/>
      <c r="J659" s="1"/>
      <c r="K659" s="1"/>
      <c r="L659" s="1"/>
      <c r="M659" s="1"/>
      <c r="AU659" s="18"/>
      <c r="AV659" s="18"/>
    </row>
    <row r="660" spans="5:48" x14ac:dyDescent="0.2">
      <c r="E660" s="1"/>
      <c r="F660" s="1"/>
      <c r="G660" s="1"/>
      <c r="H660" s="1"/>
      <c r="I660" s="1"/>
      <c r="J660" s="1"/>
      <c r="K660" s="1"/>
      <c r="L660" s="1"/>
      <c r="M660" s="1"/>
      <c r="AU660" s="18"/>
      <c r="AV660" s="18"/>
    </row>
    <row r="661" spans="5:48" x14ac:dyDescent="0.2">
      <c r="E661" s="1"/>
      <c r="F661" s="1"/>
      <c r="G661" s="1"/>
      <c r="H661" s="1"/>
      <c r="I661" s="1"/>
      <c r="J661" s="1"/>
      <c r="K661" s="1"/>
      <c r="L661" s="1"/>
      <c r="M661" s="1"/>
      <c r="AU661" s="18"/>
      <c r="AV661" s="18"/>
    </row>
    <row r="662" spans="5:48" x14ac:dyDescent="0.2">
      <c r="E662" s="1"/>
      <c r="F662" s="1"/>
      <c r="G662" s="1"/>
      <c r="H662" s="1"/>
      <c r="I662" s="1"/>
      <c r="J662" s="1"/>
      <c r="K662" s="1"/>
      <c r="L662" s="1"/>
      <c r="M662" s="1"/>
      <c r="AU662" s="18"/>
      <c r="AV662" s="18"/>
    </row>
    <row r="663" spans="5:48" x14ac:dyDescent="0.2">
      <c r="E663" s="1"/>
      <c r="F663" s="1"/>
      <c r="G663" s="1"/>
      <c r="H663" s="1"/>
      <c r="I663" s="1"/>
      <c r="J663" s="1"/>
      <c r="K663" s="1"/>
      <c r="L663" s="1"/>
      <c r="M663" s="1"/>
      <c r="AU663" s="18"/>
      <c r="AV663" s="18"/>
    </row>
    <row r="664" spans="5:48" x14ac:dyDescent="0.2">
      <c r="E664" s="1"/>
      <c r="F664" s="1"/>
      <c r="G664" s="1"/>
      <c r="H664" s="1"/>
      <c r="I664" s="1"/>
      <c r="J664" s="1"/>
      <c r="K664" s="1"/>
      <c r="L664" s="1"/>
      <c r="M664" s="1"/>
      <c r="AU664" s="18"/>
      <c r="AV664" s="18"/>
    </row>
    <row r="665" spans="5:48" x14ac:dyDescent="0.2">
      <c r="E665" s="1"/>
      <c r="F665" s="1"/>
      <c r="G665" s="1"/>
      <c r="H665" s="1"/>
      <c r="I665" s="1"/>
      <c r="J665" s="1"/>
      <c r="K665" s="1"/>
      <c r="L665" s="1"/>
      <c r="M665" s="1"/>
      <c r="AU665" s="18"/>
      <c r="AV665" s="18"/>
    </row>
    <row r="666" spans="5:48" x14ac:dyDescent="0.2">
      <c r="E666" s="1"/>
      <c r="F666" s="1"/>
      <c r="G666" s="1"/>
      <c r="H666" s="1"/>
      <c r="I666" s="1"/>
      <c r="J666" s="1"/>
      <c r="K666" s="1"/>
      <c r="L666" s="1"/>
      <c r="M666" s="1"/>
      <c r="AU666" s="18"/>
      <c r="AV666" s="18"/>
    </row>
    <row r="667" spans="5:48" x14ac:dyDescent="0.2">
      <c r="E667" s="1"/>
      <c r="F667" s="1"/>
      <c r="G667" s="1"/>
      <c r="H667" s="1"/>
      <c r="I667" s="1"/>
      <c r="J667" s="1"/>
      <c r="K667" s="1"/>
      <c r="L667" s="1"/>
      <c r="M667" s="1"/>
      <c r="AU667" s="18"/>
      <c r="AV667" s="18"/>
    </row>
    <row r="668" spans="5:48" x14ac:dyDescent="0.2">
      <c r="E668" s="1"/>
      <c r="F668" s="1"/>
      <c r="G668" s="1"/>
      <c r="H668" s="1"/>
      <c r="I668" s="1"/>
      <c r="J668" s="1"/>
      <c r="K668" s="1"/>
      <c r="L668" s="1"/>
      <c r="M668" s="1"/>
      <c r="AU668" s="18"/>
      <c r="AV668" s="18"/>
    </row>
    <row r="669" spans="5:48" x14ac:dyDescent="0.2">
      <c r="E669" s="1"/>
      <c r="F669" s="1"/>
      <c r="G669" s="1"/>
      <c r="H669" s="1"/>
      <c r="I669" s="1"/>
      <c r="J669" s="1"/>
      <c r="K669" s="1"/>
      <c r="L669" s="1"/>
      <c r="M669" s="1"/>
      <c r="AU669" s="18"/>
      <c r="AV669" s="18"/>
    </row>
    <row r="670" spans="5:48" x14ac:dyDescent="0.2">
      <c r="E670" s="1"/>
      <c r="F670" s="1"/>
      <c r="G670" s="1"/>
      <c r="H670" s="1"/>
      <c r="I670" s="1"/>
      <c r="J670" s="1"/>
      <c r="K670" s="1"/>
      <c r="L670" s="1"/>
      <c r="M670" s="1"/>
      <c r="AU670" s="18"/>
      <c r="AV670" s="18"/>
    </row>
    <row r="671" spans="5:48" x14ac:dyDescent="0.2">
      <c r="E671" s="1"/>
      <c r="F671" s="1"/>
      <c r="G671" s="1"/>
      <c r="H671" s="1"/>
      <c r="I671" s="1"/>
      <c r="J671" s="1"/>
      <c r="K671" s="1"/>
      <c r="L671" s="1"/>
      <c r="M671" s="1"/>
      <c r="AU671" s="18"/>
      <c r="AV671" s="18"/>
    </row>
    <row r="672" spans="5:48" x14ac:dyDescent="0.2">
      <c r="E672" s="1"/>
      <c r="F672" s="1"/>
      <c r="G672" s="1"/>
      <c r="H672" s="1"/>
      <c r="I672" s="1"/>
      <c r="J672" s="1"/>
      <c r="K672" s="1"/>
      <c r="L672" s="1"/>
      <c r="M672" s="1"/>
      <c r="AU672" s="18"/>
      <c r="AV672" s="18"/>
    </row>
    <row r="673" spans="5:48" x14ac:dyDescent="0.2">
      <c r="E673" s="1"/>
      <c r="F673" s="1"/>
      <c r="G673" s="1"/>
      <c r="H673" s="1"/>
      <c r="I673" s="1"/>
      <c r="J673" s="1"/>
      <c r="K673" s="1"/>
      <c r="L673" s="1"/>
      <c r="M673" s="1"/>
      <c r="AU673" s="18"/>
      <c r="AV673" s="18"/>
    </row>
    <row r="674" spans="5:48" x14ac:dyDescent="0.2">
      <c r="E674" s="1"/>
      <c r="F674" s="1"/>
      <c r="G674" s="1"/>
      <c r="H674" s="1"/>
      <c r="I674" s="1"/>
      <c r="J674" s="1"/>
      <c r="K674" s="1"/>
      <c r="L674" s="1"/>
      <c r="M674" s="1"/>
      <c r="AU674" s="18"/>
      <c r="AV674" s="18"/>
    </row>
    <row r="675" spans="5:48" x14ac:dyDescent="0.2">
      <c r="E675" s="1"/>
      <c r="F675" s="1"/>
      <c r="G675" s="1"/>
      <c r="H675" s="1"/>
      <c r="I675" s="1"/>
      <c r="J675" s="1"/>
      <c r="K675" s="1"/>
      <c r="L675" s="1"/>
      <c r="M675" s="1"/>
      <c r="AU675" s="18"/>
      <c r="AV675" s="18"/>
    </row>
    <row r="676" spans="5:48" x14ac:dyDescent="0.2">
      <c r="E676" s="1"/>
      <c r="F676" s="1"/>
      <c r="G676" s="1"/>
      <c r="H676" s="1"/>
      <c r="I676" s="1"/>
      <c r="J676" s="1"/>
      <c r="K676" s="1"/>
      <c r="L676" s="1"/>
      <c r="M676" s="1"/>
      <c r="AU676" s="18"/>
      <c r="AV676" s="18"/>
    </row>
    <row r="677" spans="5:48" x14ac:dyDescent="0.2">
      <c r="E677" s="1"/>
      <c r="F677" s="1"/>
      <c r="G677" s="1"/>
      <c r="H677" s="1"/>
      <c r="I677" s="1"/>
      <c r="J677" s="1"/>
      <c r="K677" s="1"/>
      <c r="L677" s="1"/>
      <c r="M677" s="1"/>
      <c r="AU677" s="18"/>
      <c r="AV677" s="18"/>
    </row>
    <row r="678" spans="5:48" x14ac:dyDescent="0.2">
      <c r="E678" s="1"/>
      <c r="F678" s="1"/>
      <c r="G678" s="1"/>
      <c r="H678" s="1"/>
      <c r="I678" s="1"/>
      <c r="J678" s="1"/>
      <c r="K678" s="1"/>
      <c r="L678" s="1"/>
      <c r="M678" s="1"/>
      <c r="AU678" s="18"/>
      <c r="AV678" s="18"/>
    </row>
    <row r="679" spans="5:48" x14ac:dyDescent="0.2">
      <c r="E679" s="1"/>
      <c r="F679" s="1"/>
      <c r="G679" s="1"/>
      <c r="H679" s="1"/>
      <c r="I679" s="1"/>
      <c r="J679" s="1"/>
      <c r="K679" s="1"/>
      <c r="L679" s="1"/>
      <c r="M679" s="1"/>
      <c r="AU679" s="18"/>
      <c r="AV679" s="18"/>
    </row>
    <row r="680" spans="5:48" x14ac:dyDescent="0.2">
      <c r="E680" s="1"/>
      <c r="F680" s="1"/>
      <c r="G680" s="1"/>
      <c r="H680" s="1"/>
      <c r="I680" s="1"/>
      <c r="J680" s="1"/>
      <c r="K680" s="1"/>
      <c r="L680" s="1"/>
      <c r="M680" s="1"/>
      <c r="AU680" s="18"/>
      <c r="AV680" s="18"/>
    </row>
    <row r="681" spans="5:48" x14ac:dyDescent="0.2">
      <c r="E681" s="1"/>
      <c r="F681" s="1"/>
      <c r="G681" s="1"/>
      <c r="H681" s="1"/>
      <c r="I681" s="1"/>
      <c r="J681" s="1"/>
      <c r="K681" s="1"/>
      <c r="L681" s="1"/>
      <c r="M681" s="1"/>
      <c r="AU681" s="18"/>
      <c r="AV681" s="18"/>
    </row>
    <row r="682" spans="5:48" x14ac:dyDescent="0.2">
      <c r="E682" s="1"/>
      <c r="F682" s="1"/>
      <c r="G682" s="1"/>
      <c r="H682" s="1"/>
      <c r="I682" s="1"/>
      <c r="J682" s="1"/>
      <c r="K682" s="1"/>
      <c r="L682" s="1"/>
      <c r="M682" s="1"/>
      <c r="AU682" s="18"/>
      <c r="AV682" s="18"/>
    </row>
    <row r="683" spans="5:48" x14ac:dyDescent="0.2">
      <c r="E683" s="1"/>
      <c r="F683" s="1"/>
      <c r="G683" s="1"/>
      <c r="H683" s="1"/>
      <c r="I683" s="1"/>
      <c r="J683" s="1"/>
      <c r="K683" s="1"/>
      <c r="L683" s="1"/>
      <c r="M683" s="1"/>
      <c r="AU683" s="18"/>
      <c r="AV683" s="18"/>
    </row>
    <row r="684" spans="5:48" x14ac:dyDescent="0.2">
      <c r="E684" s="1"/>
      <c r="F684" s="1"/>
      <c r="G684" s="1"/>
      <c r="H684" s="1"/>
      <c r="I684" s="1"/>
      <c r="J684" s="1"/>
      <c r="K684" s="1"/>
      <c r="L684" s="1"/>
      <c r="M684" s="1"/>
      <c r="AU684" s="18"/>
      <c r="AV684" s="18"/>
    </row>
    <row r="685" spans="5:48" x14ac:dyDescent="0.2">
      <c r="E685" s="1"/>
      <c r="F685" s="1"/>
      <c r="G685" s="1"/>
      <c r="H685" s="1"/>
      <c r="I685" s="1"/>
      <c r="J685" s="1"/>
      <c r="K685" s="1"/>
      <c r="L685" s="1"/>
      <c r="M685" s="1"/>
      <c r="AU685" s="18"/>
      <c r="AV685" s="18"/>
    </row>
    <row r="686" spans="5:48" x14ac:dyDescent="0.2">
      <c r="E686" s="1"/>
      <c r="F686" s="1"/>
      <c r="G686" s="1"/>
      <c r="H686" s="1"/>
      <c r="I686" s="1"/>
      <c r="J686" s="1"/>
      <c r="K686" s="1"/>
      <c r="L686" s="1"/>
      <c r="M686" s="1"/>
      <c r="AU686" s="18"/>
      <c r="AV686" s="18"/>
    </row>
    <row r="687" spans="5:48" x14ac:dyDescent="0.2">
      <c r="E687" s="1"/>
      <c r="F687" s="1"/>
      <c r="G687" s="1"/>
      <c r="H687" s="1"/>
      <c r="I687" s="1"/>
      <c r="J687" s="1"/>
      <c r="K687" s="1"/>
      <c r="L687" s="1"/>
      <c r="M687" s="1"/>
      <c r="AU687" s="18"/>
      <c r="AV687" s="18"/>
    </row>
    <row r="688" spans="5:48" x14ac:dyDescent="0.2">
      <c r="E688" s="1"/>
      <c r="F688" s="1"/>
      <c r="G688" s="1"/>
      <c r="H688" s="1"/>
      <c r="I688" s="1"/>
      <c r="J688" s="1"/>
      <c r="K688" s="1"/>
      <c r="L688" s="1"/>
      <c r="M688" s="1"/>
      <c r="AU688" s="18"/>
      <c r="AV688" s="18"/>
    </row>
    <row r="689" spans="5:48" x14ac:dyDescent="0.2">
      <c r="E689" s="1"/>
      <c r="F689" s="1"/>
      <c r="G689" s="1"/>
      <c r="H689" s="1"/>
      <c r="I689" s="1"/>
      <c r="J689" s="1"/>
      <c r="K689" s="1"/>
      <c r="L689" s="1"/>
      <c r="M689" s="1"/>
      <c r="AU689" s="18"/>
      <c r="AV689" s="18"/>
    </row>
    <row r="690" spans="5:48" x14ac:dyDescent="0.2">
      <c r="E690" s="1"/>
      <c r="F690" s="1"/>
      <c r="G690" s="1"/>
      <c r="H690" s="1"/>
      <c r="I690" s="1"/>
      <c r="J690" s="1"/>
      <c r="K690" s="1"/>
      <c r="L690" s="1"/>
      <c r="M690" s="1"/>
      <c r="AU690" s="18"/>
      <c r="AV690" s="18"/>
    </row>
    <row r="691" spans="5:48" x14ac:dyDescent="0.2">
      <c r="E691" s="1"/>
      <c r="F691" s="1"/>
      <c r="G691" s="1"/>
      <c r="H691" s="1"/>
      <c r="I691" s="1"/>
      <c r="J691" s="1"/>
      <c r="K691" s="1"/>
      <c r="L691" s="1"/>
      <c r="M691" s="1"/>
      <c r="AU691" s="18"/>
      <c r="AV691" s="18"/>
    </row>
    <row r="692" spans="5:48" x14ac:dyDescent="0.2">
      <c r="E692" s="1"/>
      <c r="F692" s="1"/>
      <c r="G692" s="1"/>
      <c r="H692" s="1"/>
      <c r="I692" s="1"/>
      <c r="J692" s="1"/>
      <c r="K692" s="1"/>
      <c r="L692" s="1"/>
      <c r="M692" s="1"/>
      <c r="AU692" s="18"/>
      <c r="AV692" s="18"/>
    </row>
    <row r="693" spans="5:48" x14ac:dyDescent="0.2">
      <c r="E693" s="1"/>
      <c r="F693" s="1"/>
      <c r="G693" s="1"/>
      <c r="H693" s="1"/>
      <c r="I693" s="1"/>
      <c r="J693" s="1"/>
      <c r="K693" s="1"/>
      <c r="L693" s="1"/>
      <c r="M693" s="1"/>
      <c r="AU693" s="18"/>
      <c r="AV693" s="18"/>
    </row>
    <row r="694" spans="5:48" x14ac:dyDescent="0.2">
      <c r="E694" s="1"/>
      <c r="F694" s="1"/>
      <c r="G694" s="1"/>
      <c r="H694" s="1"/>
      <c r="I694" s="1"/>
      <c r="J694" s="1"/>
      <c r="K694" s="1"/>
      <c r="L694" s="1"/>
      <c r="M694" s="1"/>
      <c r="AU694" s="18"/>
      <c r="AV694" s="18"/>
    </row>
    <row r="695" spans="5:48" x14ac:dyDescent="0.2">
      <c r="E695" s="1"/>
      <c r="F695" s="1"/>
      <c r="G695" s="1"/>
      <c r="H695" s="1"/>
      <c r="I695" s="1"/>
      <c r="J695" s="1"/>
      <c r="K695" s="1"/>
      <c r="L695" s="1"/>
      <c r="M695" s="1"/>
      <c r="AU695" s="18"/>
      <c r="AV695" s="18"/>
    </row>
    <row r="696" spans="5:48" x14ac:dyDescent="0.2">
      <c r="E696" s="1"/>
      <c r="F696" s="1"/>
      <c r="G696" s="1"/>
      <c r="H696" s="1"/>
      <c r="I696" s="1"/>
      <c r="J696" s="1"/>
      <c r="K696" s="1"/>
      <c r="L696" s="1"/>
      <c r="M696" s="1"/>
      <c r="AU696" s="18"/>
      <c r="AV696" s="18"/>
    </row>
    <row r="697" spans="5:48" x14ac:dyDescent="0.2">
      <c r="E697" s="1"/>
      <c r="F697" s="1"/>
      <c r="G697" s="1"/>
      <c r="H697" s="1"/>
      <c r="I697" s="1"/>
      <c r="J697" s="1"/>
      <c r="K697" s="1"/>
      <c r="L697" s="1"/>
      <c r="M697" s="1"/>
      <c r="AU697" s="18"/>
      <c r="AV697" s="18"/>
    </row>
    <row r="698" spans="5:48" x14ac:dyDescent="0.2">
      <c r="E698" s="1"/>
      <c r="F698" s="1"/>
      <c r="G698" s="1"/>
      <c r="H698" s="1"/>
      <c r="I698" s="1"/>
      <c r="J698" s="1"/>
      <c r="K698" s="1"/>
      <c r="L698" s="1"/>
      <c r="M698" s="1"/>
      <c r="AU698" s="18"/>
      <c r="AV698" s="18"/>
    </row>
    <row r="699" spans="5:48" x14ac:dyDescent="0.2">
      <c r="E699" s="1"/>
      <c r="F699" s="1"/>
      <c r="G699" s="1"/>
      <c r="H699" s="1"/>
      <c r="I699" s="1"/>
      <c r="J699" s="1"/>
      <c r="K699" s="1"/>
      <c r="L699" s="1"/>
      <c r="M699" s="1"/>
      <c r="AU699" s="18"/>
      <c r="AV699" s="18"/>
    </row>
    <row r="700" spans="5:48" x14ac:dyDescent="0.2">
      <c r="E700" s="1"/>
      <c r="F700" s="1"/>
      <c r="G700" s="1"/>
      <c r="H700" s="1"/>
      <c r="I700" s="1"/>
      <c r="J700" s="1"/>
      <c r="K700" s="1"/>
      <c r="L700" s="1"/>
      <c r="M700" s="1"/>
      <c r="AU700" s="18"/>
      <c r="AV700" s="18"/>
    </row>
    <row r="701" spans="5:48" x14ac:dyDescent="0.2">
      <c r="E701" s="1"/>
      <c r="F701" s="1"/>
      <c r="G701" s="1"/>
      <c r="H701" s="1"/>
      <c r="I701" s="1"/>
      <c r="J701" s="1"/>
      <c r="K701" s="1"/>
      <c r="L701" s="1"/>
      <c r="M701" s="1"/>
      <c r="AU701" s="18"/>
      <c r="AV701" s="18"/>
    </row>
    <row r="702" spans="5:48" x14ac:dyDescent="0.2">
      <c r="E702" s="1"/>
      <c r="F702" s="1"/>
      <c r="G702" s="1"/>
      <c r="H702" s="1"/>
      <c r="I702" s="1"/>
      <c r="J702" s="1"/>
      <c r="K702" s="1"/>
      <c r="L702" s="1"/>
      <c r="M702" s="1"/>
      <c r="AU702" s="18"/>
      <c r="AV702" s="18"/>
    </row>
    <row r="703" spans="5:48" x14ac:dyDescent="0.2">
      <c r="E703" s="1"/>
      <c r="F703" s="1"/>
      <c r="G703" s="1"/>
      <c r="H703" s="1"/>
      <c r="I703" s="1"/>
      <c r="J703" s="1"/>
      <c r="K703" s="1"/>
      <c r="L703" s="1"/>
      <c r="M703" s="1"/>
      <c r="AU703" s="18"/>
      <c r="AV703" s="18"/>
    </row>
    <row r="704" spans="5:48" x14ac:dyDescent="0.2">
      <c r="E704" s="1"/>
      <c r="F704" s="1"/>
      <c r="G704" s="1"/>
      <c r="H704" s="1"/>
      <c r="I704" s="1"/>
      <c r="J704" s="1"/>
      <c r="K704" s="1"/>
      <c r="L704" s="1"/>
      <c r="M704" s="1"/>
      <c r="AU704" s="18"/>
      <c r="AV704" s="18"/>
    </row>
    <row r="705" spans="5:48" x14ac:dyDescent="0.2">
      <c r="E705" s="1"/>
      <c r="F705" s="1"/>
      <c r="G705" s="1"/>
      <c r="H705" s="1"/>
      <c r="I705" s="1"/>
      <c r="J705" s="1"/>
      <c r="K705" s="1"/>
      <c r="L705" s="1"/>
      <c r="M705" s="1"/>
      <c r="AU705" s="18"/>
      <c r="AV705" s="18"/>
    </row>
    <row r="706" spans="5:48" x14ac:dyDescent="0.2">
      <c r="E706" s="1"/>
      <c r="F706" s="1"/>
      <c r="G706" s="1"/>
      <c r="H706" s="1"/>
      <c r="I706" s="1"/>
      <c r="J706" s="1"/>
      <c r="K706" s="1"/>
      <c r="L706" s="1"/>
      <c r="M706" s="1"/>
      <c r="AU706" s="18"/>
      <c r="AV706" s="18"/>
    </row>
    <row r="707" spans="5:48" x14ac:dyDescent="0.2">
      <c r="E707" s="1"/>
      <c r="F707" s="1"/>
      <c r="G707" s="1"/>
      <c r="H707" s="1"/>
      <c r="I707" s="1"/>
      <c r="J707" s="1"/>
      <c r="K707" s="1"/>
      <c r="L707" s="1"/>
      <c r="M707" s="1"/>
      <c r="AU707" s="18"/>
      <c r="AV707" s="18"/>
    </row>
    <row r="708" spans="5:48" x14ac:dyDescent="0.2">
      <c r="E708" s="1"/>
      <c r="F708" s="1"/>
      <c r="G708" s="1"/>
      <c r="H708" s="1"/>
      <c r="I708" s="1"/>
      <c r="J708" s="1"/>
      <c r="K708" s="1"/>
      <c r="L708" s="1"/>
      <c r="M708" s="1"/>
      <c r="AU708" s="18"/>
      <c r="AV708" s="18"/>
    </row>
    <row r="709" spans="5:48" x14ac:dyDescent="0.2">
      <c r="E709" s="1"/>
      <c r="F709" s="1"/>
      <c r="G709" s="1"/>
      <c r="H709" s="1"/>
      <c r="I709" s="1"/>
      <c r="J709" s="1"/>
      <c r="K709" s="1"/>
      <c r="L709" s="1"/>
      <c r="M709" s="1"/>
      <c r="AU709" s="18"/>
      <c r="AV709" s="18"/>
    </row>
    <row r="710" spans="5:48" x14ac:dyDescent="0.2">
      <c r="E710" s="1"/>
      <c r="F710" s="1"/>
      <c r="G710" s="1"/>
      <c r="H710" s="1"/>
      <c r="I710" s="1"/>
      <c r="J710" s="1"/>
      <c r="K710" s="1"/>
      <c r="L710" s="1"/>
      <c r="M710" s="1"/>
      <c r="AU710" s="18"/>
      <c r="AV710" s="18"/>
    </row>
    <row r="711" spans="5:48" x14ac:dyDescent="0.2">
      <c r="E711" s="1"/>
      <c r="F711" s="1"/>
      <c r="G711" s="1"/>
      <c r="H711" s="1"/>
      <c r="I711" s="1"/>
      <c r="J711" s="1"/>
      <c r="K711" s="1"/>
      <c r="L711" s="1"/>
      <c r="M711" s="1"/>
      <c r="AU711" s="18"/>
      <c r="AV711" s="18"/>
    </row>
    <row r="712" spans="5:48" x14ac:dyDescent="0.2">
      <c r="E712" s="1"/>
      <c r="F712" s="1"/>
      <c r="G712" s="1"/>
      <c r="H712" s="1"/>
      <c r="I712" s="1"/>
      <c r="J712" s="1"/>
      <c r="K712" s="1"/>
      <c r="L712" s="1"/>
      <c r="M712" s="1"/>
      <c r="AU712" s="18"/>
      <c r="AV712" s="18"/>
    </row>
    <row r="713" spans="5:48" x14ac:dyDescent="0.2">
      <c r="E713" s="1"/>
      <c r="F713" s="1"/>
      <c r="G713" s="1"/>
      <c r="H713" s="1"/>
      <c r="I713" s="1"/>
      <c r="J713" s="1"/>
      <c r="K713" s="1"/>
      <c r="L713" s="1"/>
      <c r="M713" s="1"/>
      <c r="AU713" s="18"/>
      <c r="AV713" s="18"/>
    </row>
    <row r="714" spans="5:48" x14ac:dyDescent="0.2">
      <c r="E714" s="1"/>
      <c r="F714" s="1"/>
      <c r="G714" s="1"/>
      <c r="H714" s="1"/>
      <c r="I714" s="1"/>
      <c r="J714" s="1"/>
      <c r="K714" s="1"/>
      <c r="L714" s="1"/>
      <c r="M714" s="1"/>
      <c r="AU714" s="18"/>
      <c r="AV714" s="18"/>
    </row>
    <row r="715" spans="5:48" x14ac:dyDescent="0.2">
      <c r="E715" s="1"/>
      <c r="F715" s="1"/>
      <c r="G715" s="1"/>
      <c r="H715" s="1"/>
      <c r="I715" s="1"/>
      <c r="J715" s="1"/>
      <c r="K715" s="1"/>
      <c r="L715" s="1"/>
      <c r="M715" s="1"/>
      <c r="AU715" s="18"/>
      <c r="AV715" s="18"/>
    </row>
    <row r="716" spans="5:48" x14ac:dyDescent="0.2">
      <c r="E716" s="1"/>
      <c r="F716" s="1"/>
      <c r="G716" s="1"/>
      <c r="H716" s="1"/>
      <c r="I716" s="1"/>
      <c r="J716" s="1"/>
      <c r="K716" s="1"/>
      <c r="L716" s="1"/>
      <c r="M716" s="1"/>
      <c r="AU716" s="18"/>
      <c r="AV716" s="18"/>
    </row>
    <row r="717" spans="5:48" x14ac:dyDescent="0.2">
      <c r="E717" s="1"/>
      <c r="F717" s="1"/>
      <c r="G717" s="1"/>
      <c r="H717" s="1"/>
      <c r="I717" s="1"/>
      <c r="J717" s="1"/>
      <c r="K717" s="1"/>
      <c r="L717" s="1"/>
      <c r="M717" s="1"/>
      <c r="AU717" s="18"/>
      <c r="AV717" s="18"/>
    </row>
    <row r="718" spans="5:48" x14ac:dyDescent="0.2">
      <c r="E718" s="1"/>
      <c r="F718" s="1"/>
      <c r="G718" s="1"/>
      <c r="H718" s="1"/>
      <c r="I718" s="1"/>
      <c r="J718" s="1"/>
      <c r="K718" s="1"/>
      <c r="L718" s="1"/>
      <c r="M718" s="1"/>
      <c r="AU718" s="18"/>
      <c r="AV718" s="18"/>
    </row>
    <row r="719" spans="5:48" x14ac:dyDescent="0.2">
      <c r="E719" s="1"/>
      <c r="F719" s="1"/>
      <c r="G719" s="1"/>
      <c r="H719" s="1"/>
      <c r="I719" s="1"/>
      <c r="J719" s="1"/>
      <c r="K719" s="1"/>
      <c r="L719" s="1"/>
      <c r="M719" s="1"/>
      <c r="AU719" s="18"/>
      <c r="AV719" s="18"/>
    </row>
    <row r="720" spans="5:48" x14ac:dyDescent="0.2">
      <c r="E720" s="1"/>
      <c r="F720" s="1"/>
      <c r="G720" s="1"/>
      <c r="H720" s="1"/>
      <c r="I720" s="1"/>
      <c r="J720" s="1"/>
      <c r="K720" s="1"/>
      <c r="L720" s="1"/>
      <c r="M720" s="1"/>
      <c r="AU720" s="18"/>
      <c r="AV720" s="18"/>
    </row>
    <row r="721" spans="5:48" x14ac:dyDescent="0.2">
      <c r="E721" s="1"/>
      <c r="F721" s="1"/>
      <c r="G721" s="1"/>
      <c r="H721" s="1"/>
      <c r="I721" s="1"/>
      <c r="J721" s="1"/>
      <c r="K721" s="1"/>
      <c r="L721" s="1"/>
      <c r="M721" s="1"/>
      <c r="AU721" s="18"/>
      <c r="AV721" s="18"/>
    </row>
    <row r="722" spans="5:48" x14ac:dyDescent="0.2">
      <c r="E722" s="1"/>
      <c r="F722" s="1"/>
      <c r="G722" s="1"/>
      <c r="H722" s="1"/>
      <c r="I722" s="1"/>
      <c r="J722" s="1"/>
      <c r="K722" s="1"/>
      <c r="L722" s="1"/>
      <c r="M722" s="1"/>
      <c r="AU722" s="18"/>
      <c r="AV722" s="18"/>
    </row>
    <row r="723" spans="5:48" x14ac:dyDescent="0.2">
      <c r="E723" s="1"/>
      <c r="F723" s="1"/>
      <c r="G723" s="1"/>
      <c r="H723" s="1"/>
      <c r="I723" s="1"/>
      <c r="J723" s="1"/>
      <c r="K723" s="1"/>
      <c r="L723" s="1"/>
      <c r="M723" s="1"/>
      <c r="AU723" s="18"/>
      <c r="AV723" s="18"/>
    </row>
    <row r="724" spans="5:48" x14ac:dyDescent="0.2">
      <c r="E724" s="1"/>
      <c r="F724" s="1"/>
      <c r="G724" s="1"/>
      <c r="H724" s="1"/>
      <c r="I724" s="1"/>
      <c r="J724" s="1"/>
      <c r="K724" s="1"/>
      <c r="L724" s="1"/>
      <c r="M724" s="1"/>
      <c r="AU724" s="18"/>
      <c r="AV724" s="18"/>
    </row>
    <row r="725" spans="5:48" x14ac:dyDescent="0.2">
      <c r="E725" s="1"/>
      <c r="F725" s="1"/>
      <c r="G725" s="1"/>
      <c r="H725" s="1"/>
      <c r="I725" s="1"/>
      <c r="J725" s="1"/>
      <c r="K725" s="1"/>
      <c r="L725" s="1"/>
      <c r="M725" s="1"/>
      <c r="AU725" s="18"/>
      <c r="AV725" s="18"/>
    </row>
    <row r="726" spans="5:48" x14ac:dyDescent="0.2">
      <c r="E726" s="1"/>
      <c r="F726" s="1"/>
      <c r="G726" s="1"/>
      <c r="H726" s="1"/>
      <c r="I726" s="1"/>
      <c r="J726" s="1"/>
      <c r="K726" s="1"/>
      <c r="L726" s="1"/>
      <c r="M726" s="1"/>
      <c r="AU726" s="18"/>
      <c r="AV726" s="18"/>
    </row>
    <row r="727" spans="5:48" x14ac:dyDescent="0.2">
      <c r="E727" s="1"/>
      <c r="F727" s="1"/>
      <c r="G727" s="1"/>
      <c r="H727" s="1"/>
      <c r="I727" s="1"/>
      <c r="J727" s="1"/>
      <c r="K727" s="1"/>
      <c r="L727" s="1"/>
      <c r="M727" s="1"/>
      <c r="AU727" s="18"/>
      <c r="AV727" s="18"/>
    </row>
    <row r="728" spans="5:48" x14ac:dyDescent="0.2">
      <c r="E728" s="1"/>
      <c r="F728" s="1"/>
      <c r="G728" s="1"/>
      <c r="H728" s="1"/>
      <c r="I728" s="1"/>
      <c r="J728" s="1"/>
      <c r="K728" s="1"/>
      <c r="L728" s="1"/>
      <c r="M728" s="1"/>
      <c r="AU728" s="18"/>
      <c r="AV728" s="18"/>
    </row>
    <row r="729" spans="5:48" x14ac:dyDescent="0.2">
      <c r="E729" s="1"/>
      <c r="F729" s="1"/>
      <c r="G729" s="1"/>
      <c r="H729" s="1"/>
      <c r="I729" s="1"/>
      <c r="J729" s="1"/>
      <c r="K729" s="1"/>
      <c r="L729" s="1"/>
      <c r="M729" s="1"/>
      <c r="AU729" s="18"/>
      <c r="AV729" s="18"/>
    </row>
    <row r="730" spans="5:48" x14ac:dyDescent="0.2">
      <c r="E730" s="1"/>
      <c r="F730" s="1"/>
      <c r="G730" s="1"/>
      <c r="H730" s="1"/>
      <c r="I730" s="1"/>
      <c r="J730" s="1"/>
      <c r="K730" s="1"/>
      <c r="L730" s="1"/>
      <c r="M730" s="1"/>
      <c r="AU730" s="18"/>
      <c r="AV730" s="18"/>
    </row>
    <row r="731" spans="5:48" x14ac:dyDescent="0.2">
      <c r="E731" s="1"/>
      <c r="F731" s="1"/>
      <c r="G731" s="1"/>
      <c r="H731" s="1"/>
      <c r="I731" s="1"/>
      <c r="J731" s="1"/>
      <c r="K731" s="1"/>
      <c r="L731" s="1"/>
      <c r="M731" s="1"/>
      <c r="AU731" s="18"/>
      <c r="AV731" s="18"/>
    </row>
    <row r="732" spans="5:48" x14ac:dyDescent="0.2">
      <c r="E732" s="1"/>
      <c r="F732" s="1"/>
      <c r="G732" s="1"/>
      <c r="H732" s="1"/>
      <c r="I732" s="1"/>
      <c r="J732" s="1"/>
      <c r="K732" s="1"/>
      <c r="L732" s="1"/>
      <c r="M732" s="1"/>
      <c r="AU732" s="18"/>
      <c r="AV732" s="18"/>
    </row>
    <row r="733" spans="5:48" x14ac:dyDescent="0.2">
      <c r="E733" s="1"/>
      <c r="F733" s="1"/>
      <c r="G733" s="1"/>
      <c r="H733" s="1"/>
      <c r="I733" s="1"/>
      <c r="J733" s="1"/>
      <c r="K733" s="1"/>
      <c r="L733" s="1"/>
      <c r="M733" s="1"/>
      <c r="AU733" s="18"/>
      <c r="AV733" s="18"/>
    </row>
    <row r="734" spans="5:48" x14ac:dyDescent="0.2">
      <c r="E734" s="1"/>
      <c r="F734" s="1"/>
      <c r="G734" s="1"/>
      <c r="H734" s="1"/>
      <c r="I734" s="1"/>
      <c r="J734" s="1"/>
      <c r="K734" s="1"/>
      <c r="L734" s="1"/>
      <c r="M734" s="1"/>
      <c r="AU734" s="18"/>
      <c r="AV734" s="18"/>
    </row>
    <row r="735" spans="5:48" x14ac:dyDescent="0.2">
      <c r="E735" s="1"/>
      <c r="F735" s="1"/>
      <c r="G735" s="1"/>
      <c r="H735" s="1"/>
      <c r="I735" s="1"/>
      <c r="J735" s="1"/>
      <c r="K735" s="1"/>
      <c r="L735" s="1"/>
      <c r="M735" s="1"/>
      <c r="AU735" s="18"/>
      <c r="AV735" s="18"/>
    </row>
    <row r="736" spans="5:48" x14ac:dyDescent="0.2">
      <c r="E736" s="1"/>
      <c r="F736" s="1"/>
      <c r="G736" s="1"/>
      <c r="H736" s="1"/>
      <c r="I736" s="1"/>
      <c r="J736" s="1"/>
      <c r="K736" s="1"/>
      <c r="L736" s="1"/>
      <c r="M736" s="1"/>
      <c r="AU736" s="18"/>
      <c r="AV736" s="18"/>
    </row>
    <row r="737" spans="5:48" x14ac:dyDescent="0.2">
      <c r="E737" s="1"/>
      <c r="F737" s="1"/>
      <c r="G737" s="1"/>
      <c r="H737" s="1"/>
      <c r="I737" s="1"/>
      <c r="J737" s="1"/>
      <c r="K737" s="1"/>
      <c r="L737" s="1"/>
      <c r="M737" s="1"/>
      <c r="AU737" s="18"/>
      <c r="AV737" s="18"/>
    </row>
    <row r="738" spans="5:48" x14ac:dyDescent="0.2">
      <c r="E738" s="1"/>
      <c r="F738" s="1"/>
      <c r="G738" s="1"/>
      <c r="H738" s="1"/>
      <c r="I738" s="1"/>
      <c r="J738" s="1"/>
      <c r="K738" s="1"/>
      <c r="L738" s="1"/>
      <c r="M738" s="1"/>
      <c r="AU738" s="18"/>
      <c r="AV738" s="18"/>
    </row>
    <row r="739" spans="5:48" x14ac:dyDescent="0.2">
      <c r="E739" s="1"/>
      <c r="F739" s="1"/>
      <c r="G739" s="1"/>
      <c r="H739" s="1"/>
      <c r="I739" s="1"/>
      <c r="J739" s="1"/>
      <c r="K739" s="1"/>
      <c r="L739" s="1"/>
      <c r="M739" s="1"/>
      <c r="AU739" s="18"/>
      <c r="AV739" s="18"/>
    </row>
    <row r="740" spans="5:48" x14ac:dyDescent="0.2">
      <c r="E740" s="1"/>
      <c r="F740" s="1"/>
      <c r="G740" s="1"/>
      <c r="H740" s="1"/>
      <c r="I740" s="1"/>
      <c r="J740" s="1"/>
      <c r="K740" s="1"/>
      <c r="L740" s="1"/>
      <c r="M740" s="1"/>
      <c r="AU740" s="18"/>
      <c r="AV740" s="18"/>
    </row>
    <row r="741" spans="5:48" x14ac:dyDescent="0.2">
      <c r="E741" s="1"/>
      <c r="F741" s="1"/>
      <c r="G741" s="1"/>
      <c r="H741" s="1"/>
      <c r="I741" s="1"/>
      <c r="J741" s="1"/>
      <c r="K741" s="1"/>
      <c r="L741" s="1"/>
      <c r="M741" s="1"/>
      <c r="AU741" s="18"/>
      <c r="AV741" s="18"/>
    </row>
    <row r="742" spans="5:48" x14ac:dyDescent="0.2">
      <c r="E742" s="1"/>
      <c r="F742" s="1"/>
      <c r="G742" s="1"/>
      <c r="H742" s="1"/>
      <c r="I742" s="1"/>
      <c r="J742" s="1"/>
      <c r="K742" s="1"/>
      <c r="L742" s="1"/>
      <c r="M742" s="1"/>
      <c r="AU742" s="18"/>
      <c r="AV742" s="18"/>
    </row>
    <row r="743" spans="5:48" x14ac:dyDescent="0.2">
      <c r="E743" s="1"/>
      <c r="F743" s="1"/>
      <c r="G743" s="1"/>
      <c r="H743" s="1"/>
      <c r="I743" s="1"/>
      <c r="J743" s="1"/>
      <c r="K743" s="1"/>
      <c r="L743" s="1"/>
      <c r="M743" s="1"/>
      <c r="AU743" s="18"/>
      <c r="AV743" s="18"/>
    </row>
    <row r="744" spans="5:48" x14ac:dyDescent="0.2">
      <c r="E744" s="1"/>
      <c r="F744" s="1"/>
      <c r="G744" s="1"/>
      <c r="H744" s="1"/>
      <c r="I744" s="1"/>
      <c r="J744" s="1"/>
      <c r="K744" s="1"/>
      <c r="L744" s="1"/>
      <c r="M744" s="1"/>
      <c r="AU744" s="18"/>
      <c r="AV744" s="18"/>
    </row>
    <row r="745" spans="5:48" x14ac:dyDescent="0.2">
      <c r="E745" s="1"/>
      <c r="F745" s="1"/>
      <c r="G745" s="1"/>
      <c r="H745" s="1"/>
      <c r="I745" s="1"/>
      <c r="J745" s="1"/>
      <c r="K745" s="1"/>
      <c r="L745" s="1"/>
      <c r="M745" s="1"/>
      <c r="AU745" s="18"/>
      <c r="AV745" s="18"/>
    </row>
    <row r="746" spans="5:48" x14ac:dyDescent="0.2">
      <c r="E746" s="1"/>
      <c r="F746" s="1"/>
      <c r="G746" s="1"/>
      <c r="H746" s="1"/>
      <c r="I746" s="1"/>
      <c r="J746" s="1"/>
      <c r="K746" s="1"/>
      <c r="L746" s="1"/>
      <c r="M746" s="1"/>
      <c r="AU746" s="18"/>
      <c r="AV746" s="18"/>
    </row>
    <row r="747" spans="5:48" x14ac:dyDescent="0.2">
      <c r="E747" s="1"/>
      <c r="F747" s="1"/>
      <c r="G747" s="1"/>
      <c r="H747" s="1"/>
      <c r="I747" s="1"/>
      <c r="J747" s="1"/>
      <c r="K747" s="1"/>
      <c r="L747" s="1"/>
      <c r="M747" s="1"/>
      <c r="AU747" s="18"/>
      <c r="AV747" s="18"/>
    </row>
    <row r="748" spans="5:48" x14ac:dyDescent="0.2">
      <c r="E748" s="1"/>
      <c r="F748" s="1"/>
      <c r="G748" s="1"/>
      <c r="H748" s="1"/>
      <c r="I748" s="1"/>
      <c r="J748" s="1"/>
      <c r="K748" s="1"/>
      <c r="L748" s="1"/>
      <c r="M748" s="1"/>
      <c r="AU748" s="18"/>
      <c r="AV748" s="18"/>
    </row>
    <row r="749" spans="5:48" x14ac:dyDescent="0.2">
      <c r="E749" s="1"/>
      <c r="F749" s="1"/>
      <c r="G749" s="1"/>
      <c r="H749" s="1"/>
      <c r="I749" s="1"/>
      <c r="J749" s="1"/>
      <c r="K749" s="1"/>
      <c r="L749" s="1"/>
      <c r="M749" s="1"/>
      <c r="AU749" s="18"/>
      <c r="AV749" s="18"/>
    </row>
    <row r="750" spans="5:48" x14ac:dyDescent="0.2">
      <c r="E750" s="1"/>
      <c r="F750" s="1"/>
      <c r="G750" s="1"/>
      <c r="H750" s="1"/>
      <c r="I750" s="1"/>
      <c r="J750" s="1"/>
      <c r="K750" s="1"/>
      <c r="L750" s="1"/>
      <c r="M750" s="1"/>
      <c r="AU750" s="18"/>
      <c r="AV750" s="18"/>
    </row>
    <row r="751" spans="5:48" x14ac:dyDescent="0.2">
      <c r="E751" s="1"/>
      <c r="F751" s="1"/>
      <c r="G751" s="1"/>
      <c r="H751" s="1"/>
      <c r="I751" s="1"/>
      <c r="J751" s="1"/>
      <c r="K751" s="1"/>
      <c r="L751" s="1"/>
      <c r="M751" s="1"/>
      <c r="AU751" s="18"/>
      <c r="AV751" s="18"/>
    </row>
    <row r="752" spans="5:48" x14ac:dyDescent="0.2">
      <c r="E752" s="1"/>
      <c r="F752" s="1"/>
      <c r="G752" s="1"/>
      <c r="H752" s="1"/>
      <c r="I752" s="1"/>
      <c r="J752" s="1"/>
      <c r="K752" s="1"/>
      <c r="L752" s="1"/>
      <c r="M752" s="1"/>
      <c r="AU752" s="18"/>
      <c r="AV752" s="18"/>
    </row>
    <row r="753" spans="5:48" x14ac:dyDescent="0.2">
      <c r="E753" s="1"/>
      <c r="F753" s="1"/>
      <c r="G753" s="1"/>
      <c r="H753" s="1"/>
      <c r="I753" s="1"/>
      <c r="J753" s="1"/>
      <c r="K753" s="1"/>
      <c r="L753" s="1"/>
      <c r="M753" s="1"/>
      <c r="AU753" s="18"/>
      <c r="AV753" s="18"/>
    </row>
    <row r="754" spans="5:48" x14ac:dyDescent="0.2">
      <c r="E754" s="1"/>
      <c r="F754" s="1"/>
      <c r="G754" s="1"/>
      <c r="H754" s="1"/>
      <c r="I754" s="1"/>
      <c r="J754" s="1"/>
      <c r="K754" s="1"/>
      <c r="L754" s="1"/>
      <c r="M754" s="1"/>
      <c r="AU754" s="18"/>
      <c r="AV754" s="18"/>
    </row>
    <row r="755" spans="5:48" x14ac:dyDescent="0.2">
      <c r="E755" s="1"/>
      <c r="F755" s="1"/>
      <c r="G755" s="1"/>
      <c r="H755" s="1"/>
      <c r="I755" s="1"/>
      <c r="J755" s="1"/>
      <c r="K755" s="1"/>
      <c r="L755" s="1"/>
      <c r="M755" s="1"/>
      <c r="AU755" s="18"/>
      <c r="AV755" s="18"/>
    </row>
    <row r="756" spans="5:48" x14ac:dyDescent="0.2">
      <c r="E756" s="1"/>
      <c r="F756" s="1"/>
      <c r="G756" s="1"/>
      <c r="H756" s="1"/>
      <c r="I756" s="1"/>
      <c r="J756" s="1"/>
      <c r="K756" s="1"/>
      <c r="L756" s="1"/>
      <c r="M756" s="1"/>
      <c r="AU756" s="18"/>
      <c r="AV756" s="18"/>
    </row>
    <row r="757" spans="5:48" x14ac:dyDescent="0.2">
      <c r="E757" s="1"/>
      <c r="F757" s="1"/>
      <c r="G757" s="1"/>
      <c r="H757" s="1"/>
      <c r="I757" s="1"/>
      <c r="J757" s="1"/>
      <c r="K757" s="1"/>
      <c r="L757" s="1"/>
      <c r="M757" s="1"/>
      <c r="AU757" s="18"/>
      <c r="AV757" s="18"/>
    </row>
    <row r="758" spans="5:48" x14ac:dyDescent="0.2">
      <c r="E758" s="1"/>
      <c r="F758" s="1"/>
      <c r="G758" s="1"/>
      <c r="H758" s="1"/>
      <c r="I758" s="1"/>
      <c r="J758" s="1"/>
      <c r="K758" s="1"/>
      <c r="L758" s="1"/>
      <c r="M758" s="1"/>
      <c r="AU758" s="18"/>
      <c r="AV758" s="18"/>
    </row>
    <row r="759" spans="5:48" x14ac:dyDescent="0.2">
      <c r="E759" s="1"/>
      <c r="F759" s="1"/>
      <c r="G759" s="1"/>
      <c r="H759" s="1"/>
      <c r="I759" s="1"/>
      <c r="J759" s="1"/>
      <c r="K759" s="1"/>
      <c r="L759" s="1"/>
      <c r="M759" s="1"/>
      <c r="AU759" s="18"/>
      <c r="AV759" s="18"/>
    </row>
    <row r="760" spans="5:48" x14ac:dyDescent="0.2">
      <c r="E760" s="1"/>
      <c r="F760" s="1"/>
      <c r="G760" s="1"/>
      <c r="H760" s="1"/>
      <c r="I760" s="1"/>
      <c r="J760" s="1"/>
      <c r="K760" s="1"/>
      <c r="L760" s="1"/>
      <c r="M760" s="1"/>
      <c r="AU760" s="18"/>
      <c r="AV760" s="18"/>
    </row>
    <row r="761" spans="5:48" x14ac:dyDescent="0.2">
      <c r="E761" s="1"/>
      <c r="F761" s="1"/>
      <c r="G761" s="1"/>
      <c r="H761" s="1"/>
      <c r="I761" s="1"/>
      <c r="J761" s="1"/>
      <c r="K761" s="1"/>
      <c r="L761" s="1"/>
      <c r="M761" s="1"/>
      <c r="AU761" s="18"/>
      <c r="AV761" s="18"/>
    </row>
    <row r="762" spans="5:48" x14ac:dyDescent="0.2">
      <c r="E762" s="1"/>
      <c r="F762" s="1"/>
      <c r="G762" s="1"/>
      <c r="H762" s="1"/>
      <c r="I762" s="1"/>
      <c r="J762" s="1"/>
      <c r="K762" s="1"/>
      <c r="L762" s="1"/>
      <c r="M762" s="1"/>
      <c r="AU762" s="18"/>
      <c r="AV762" s="18"/>
    </row>
    <row r="763" spans="5:48" x14ac:dyDescent="0.2">
      <c r="E763" s="1"/>
      <c r="F763" s="1"/>
      <c r="G763" s="1"/>
      <c r="H763" s="1"/>
      <c r="I763" s="1"/>
      <c r="J763" s="1"/>
      <c r="K763" s="1"/>
      <c r="L763" s="1"/>
      <c r="M763" s="1"/>
      <c r="AU763" s="18"/>
      <c r="AV763" s="18"/>
    </row>
    <row r="764" spans="5:48" x14ac:dyDescent="0.2">
      <c r="E764" s="1"/>
      <c r="F764" s="1"/>
      <c r="G764" s="1"/>
      <c r="H764" s="1"/>
      <c r="I764" s="1"/>
      <c r="J764" s="1"/>
      <c r="K764" s="1"/>
      <c r="L764" s="1"/>
      <c r="M764" s="1"/>
      <c r="AU764" s="18"/>
      <c r="AV764" s="18"/>
    </row>
    <row r="765" spans="5:48" x14ac:dyDescent="0.2">
      <c r="E765" s="1"/>
      <c r="F765" s="1"/>
      <c r="G765" s="1"/>
      <c r="H765" s="1"/>
      <c r="I765" s="1"/>
      <c r="J765" s="1"/>
      <c r="K765" s="1"/>
      <c r="L765" s="1"/>
      <c r="M765" s="1"/>
      <c r="AU765" s="18"/>
      <c r="AV765" s="18"/>
    </row>
    <row r="766" spans="5:48" x14ac:dyDescent="0.2">
      <c r="E766" s="1"/>
      <c r="F766" s="1"/>
      <c r="G766" s="1"/>
      <c r="H766" s="1"/>
      <c r="I766" s="1"/>
      <c r="J766" s="1"/>
      <c r="K766" s="1"/>
      <c r="L766" s="1"/>
      <c r="M766" s="1"/>
      <c r="AU766" s="18"/>
      <c r="AV766" s="18"/>
    </row>
    <row r="767" spans="5:48" x14ac:dyDescent="0.2">
      <c r="E767" s="1"/>
      <c r="F767" s="1"/>
      <c r="G767" s="1"/>
      <c r="H767" s="1"/>
      <c r="I767" s="1"/>
      <c r="J767" s="1"/>
      <c r="K767" s="1"/>
      <c r="L767" s="1"/>
      <c r="M767" s="1"/>
      <c r="AU767" s="18"/>
      <c r="AV767" s="18"/>
    </row>
    <row r="768" spans="5:48" x14ac:dyDescent="0.2">
      <c r="E768" s="1"/>
      <c r="F768" s="1"/>
      <c r="G768" s="1"/>
      <c r="H768" s="1"/>
      <c r="I768" s="1"/>
      <c r="J768" s="1"/>
      <c r="K768" s="1"/>
      <c r="L768" s="1"/>
      <c r="M768" s="1"/>
      <c r="AU768" s="18"/>
      <c r="AV768" s="18"/>
    </row>
    <row r="769" spans="5:48" x14ac:dyDescent="0.2">
      <c r="E769" s="1"/>
      <c r="F769" s="1"/>
      <c r="G769" s="1"/>
      <c r="H769" s="1"/>
      <c r="I769" s="1"/>
      <c r="J769" s="1"/>
      <c r="K769" s="1"/>
      <c r="L769" s="1"/>
      <c r="M769" s="1"/>
      <c r="AU769" s="18"/>
      <c r="AV769" s="18"/>
    </row>
    <row r="770" spans="5:48" x14ac:dyDescent="0.2">
      <c r="E770" s="1"/>
      <c r="F770" s="1"/>
      <c r="G770" s="1"/>
      <c r="H770" s="1"/>
      <c r="I770" s="1"/>
      <c r="J770" s="1"/>
      <c r="K770" s="1"/>
      <c r="L770" s="1"/>
      <c r="M770" s="1"/>
      <c r="AU770" s="18"/>
      <c r="AV770" s="18"/>
    </row>
    <row r="771" spans="5:48" x14ac:dyDescent="0.2">
      <c r="E771" s="1"/>
      <c r="F771" s="1"/>
      <c r="G771" s="1"/>
      <c r="H771" s="1"/>
      <c r="I771" s="1"/>
      <c r="J771" s="1"/>
      <c r="K771" s="1"/>
      <c r="L771" s="1"/>
      <c r="M771" s="1"/>
      <c r="AU771" s="18"/>
      <c r="AV771" s="18"/>
    </row>
    <row r="772" spans="5:48" x14ac:dyDescent="0.2">
      <c r="E772" s="1"/>
      <c r="F772" s="1"/>
      <c r="G772" s="1"/>
      <c r="H772" s="1"/>
      <c r="I772" s="1"/>
      <c r="J772" s="1"/>
      <c r="K772" s="1"/>
      <c r="L772" s="1"/>
      <c r="M772" s="1"/>
      <c r="AU772" s="18"/>
      <c r="AV772" s="18"/>
    </row>
    <row r="773" spans="5:48" x14ac:dyDescent="0.2">
      <c r="E773" s="1"/>
      <c r="F773" s="1"/>
      <c r="G773" s="1"/>
      <c r="H773" s="1"/>
      <c r="I773" s="1"/>
      <c r="J773" s="1"/>
      <c r="K773" s="1"/>
      <c r="L773" s="1"/>
      <c r="M773" s="1"/>
      <c r="AU773" s="18"/>
      <c r="AV773" s="18"/>
    </row>
    <row r="774" spans="5:48" x14ac:dyDescent="0.2">
      <c r="E774" s="1"/>
      <c r="F774" s="1"/>
      <c r="G774" s="1"/>
      <c r="H774" s="1"/>
      <c r="I774" s="1"/>
      <c r="J774" s="1"/>
      <c r="K774" s="1"/>
      <c r="L774" s="1"/>
      <c r="M774" s="1"/>
      <c r="AU774" s="18"/>
      <c r="AV774" s="18"/>
    </row>
    <row r="775" spans="5:48" x14ac:dyDescent="0.2">
      <c r="E775" s="1"/>
      <c r="F775" s="1"/>
      <c r="G775" s="1"/>
      <c r="H775" s="1"/>
      <c r="I775" s="1"/>
      <c r="J775" s="1"/>
      <c r="K775" s="1"/>
      <c r="L775" s="1"/>
      <c r="M775" s="1"/>
      <c r="AU775" s="18"/>
      <c r="AV775" s="18"/>
    </row>
    <row r="776" spans="5:48" x14ac:dyDescent="0.2">
      <c r="E776" s="1"/>
      <c r="F776" s="1"/>
      <c r="G776" s="1"/>
      <c r="H776" s="1"/>
      <c r="I776" s="1"/>
      <c r="J776" s="1"/>
      <c r="K776" s="1"/>
      <c r="L776" s="1"/>
      <c r="M776" s="1"/>
      <c r="AU776" s="18"/>
      <c r="AV776" s="18"/>
    </row>
    <row r="777" spans="5:48" x14ac:dyDescent="0.2">
      <c r="E777" s="1"/>
      <c r="F777" s="1"/>
      <c r="G777" s="1"/>
      <c r="H777" s="1"/>
      <c r="I777" s="1"/>
      <c r="J777" s="1"/>
      <c r="K777" s="1"/>
      <c r="L777" s="1"/>
      <c r="M777" s="1"/>
      <c r="AU777" s="18"/>
      <c r="AV777" s="18"/>
    </row>
    <row r="778" spans="5:48" x14ac:dyDescent="0.2">
      <c r="E778" s="1"/>
      <c r="F778" s="1"/>
      <c r="G778" s="1"/>
      <c r="H778" s="1"/>
      <c r="I778" s="1"/>
      <c r="J778" s="1"/>
      <c r="K778" s="1"/>
      <c r="L778" s="1"/>
      <c r="M778" s="1"/>
      <c r="AU778" s="18"/>
      <c r="AV778" s="18"/>
    </row>
    <row r="779" spans="5:48" x14ac:dyDescent="0.2">
      <c r="E779" s="1"/>
      <c r="F779" s="1"/>
      <c r="G779" s="1"/>
      <c r="H779" s="1"/>
      <c r="I779" s="1"/>
      <c r="J779" s="1"/>
      <c r="K779" s="1"/>
      <c r="L779" s="1"/>
      <c r="M779" s="1"/>
      <c r="AU779" s="18"/>
      <c r="AV779" s="18"/>
    </row>
    <row r="780" spans="5:48" x14ac:dyDescent="0.2">
      <c r="E780" s="1"/>
      <c r="F780" s="1"/>
      <c r="G780" s="1"/>
      <c r="H780" s="1"/>
      <c r="I780" s="1"/>
      <c r="J780" s="1"/>
      <c r="K780" s="1"/>
      <c r="L780" s="1"/>
      <c r="M780" s="1"/>
      <c r="AU780" s="18"/>
      <c r="AV780" s="18"/>
    </row>
    <row r="781" spans="5:48" x14ac:dyDescent="0.2">
      <c r="E781" s="1"/>
      <c r="F781" s="1"/>
      <c r="G781" s="1"/>
      <c r="H781" s="1"/>
      <c r="I781" s="1"/>
      <c r="J781" s="1"/>
      <c r="K781" s="1"/>
      <c r="L781" s="1"/>
      <c r="M781" s="1"/>
      <c r="AU781" s="18"/>
      <c r="AV781" s="18"/>
    </row>
    <row r="782" spans="5:48" x14ac:dyDescent="0.2">
      <c r="E782" s="1"/>
      <c r="F782" s="1"/>
      <c r="G782" s="1"/>
      <c r="H782" s="1"/>
      <c r="I782" s="1"/>
      <c r="J782" s="1"/>
      <c r="K782" s="1"/>
      <c r="L782" s="1"/>
      <c r="M782" s="1"/>
      <c r="AU782" s="18"/>
      <c r="AV782" s="18"/>
    </row>
    <row r="783" spans="5:48" x14ac:dyDescent="0.2">
      <c r="E783" s="1"/>
      <c r="F783" s="1"/>
      <c r="G783" s="1"/>
      <c r="H783" s="1"/>
      <c r="I783" s="1"/>
      <c r="J783" s="1"/>
      <c r="K783" s="1"/>
      <c r="L783" s="1"/>
      <c r="M783" s="1"/>
      <c r="AU783" s="18"/>
      <c r="AV783" s="18"/>
    </row>
    <row r="784" spans="5:48" x14ac:dyDescent="0.2">
      <c r="E784" s="1"/>
      <c r="F784" s="1"/>
      <c r="G784" s="1"/>
      <c r="H784" s="1"/>
      <c r="I784" s="1"/>
      <c r="J784" s="1"/>
      <c r="K784" s="1"/>
      <c r="L784" s="1"/>
      <c r="M784" s="1"/>
      <c r="AU784" s="18"/>
      <c r="AV784" s="18"/>
    </row>
    <row r="785" spans="5:48" x14ac:dyDescent="0.2">
      <c r="E785" s="1"/>
      <c r="F785" s="1"/>
      <c r="G785" s="1"/>
      <c r="H785" s="1"/>
      <c r="I785" s="1"/>
      <c r="J785" s="1"/>
      <c r="K785" s="1"/>
      <c r="L785" s="1"/>
      <c r="M785" s="1"/>
      <c r="AU785" s="18"/>
      <c r="AV785" s="18"/>
    </row>
    <row r="786" spans="5:48" x14ac:dyDescent="0.2">
      <c r="E786" s="1"/>
      <c r="F786" s="1"/>
      <c r="G786" s="1"/>
      <c r="H786" s="1"/>
      <c r="I786" s="1"/>
      <c r="J786" s="1"/>
      <c r="K786" s="1"/>
      <c r="L786" s="1"/>
      <c r="M786" s="1"/>
      <c r="AU786" s="18"/>
      <c r="AV786" s="18"/>
    </row>
    <row r="787" spans="5:48" x14ac:dyDescent="0.2">
      <c r="E787" s="1"/>
      <c r="F787" s="1"/>
      <c r="G787" s="1"/>
      <c r="H787" s="1"/>
      <c r="I787" s="1"/>
      <c r="J787" s="1"/>
      <c r="K787" s="1"/>
      <c r="L787" s="1"/>
      <c r="M787" s="1"/>
      <c r="AU787" s="18"/>
      <c r="AV787" s="18"/>
    </row>
    <row r="788" spans="5:48" x14ac:dyDescent="0.2">
      <c r="E788" s="1"/>
      <c r="F788" s="1"/>
      <c r="G788" s="1"/>
      <c r="H788" s="1"/>
      <c r="I788" s="1"/>
      <c r="J788" s="1"/>
      <c r="K788" s="1"/>
      <c r="L788" s="1"/>
      <c r="M788" s="1"/>
      <c r="AU788" s="18"/>
      <c r="AV788" s="18"/>
    </row>
    <row r="789" spans="5:48" x14ac:dyDescent="0.2">
      <c r="E789" s="1"/>
      <c r="F789" s="1"/>
      <c r="G789" s="1"/>
      <c r="H789" s="1"/>
      <c r="I789" s="1"/>
      <c r="J789" s="1"/>
      <c r="K789" s="1"/>
      <c r="L789" s="1"/>
      <c r="M789" s="1"/>
      <c r="AU789" s="18"/>
      <c r="AV789" s="18"/>
    </row>
    <row r="790" spans="5:48" x14ac:dyDescent="0.2">
      <c r="E790" s="1"/>
      <c r="F790" s="1"/>
      <c r="G790" s="1"/>
      <c r="H790" s="1"/>
      <c r="I790" s="1"/>
      <c r="J790" s="1"/>
      <c r="K790" s="1"/>
      <c r="L790" s="1"/>
      <c r="M790" s="1"/>
      <c r="AU790" s="18"/>
      <c r="AV790" s="18"/>
    </row>
    <row r="791" spans="5:48" x14ac:dyDescent="0.2">
      <c r="E791" s="1"/>
      <c r="F791" s="1"/>
      <c r="G791" s="1"/>
      <c r="H791" s="1"/>
      <c r="I791" s="1"/>
      <c r="J791" s="1"/>
      <c r="K791" s="1"/>
      <c r="L791" s="1"/>
      <c r="M791" s="1"/>
      <c r="AU791" s="18"/>
      <c r="AV791" s="18"/>
    </row>
    <row r="792" spans="5:48" x14ac:dyDescent="0.2">
      <c r="E792" s="1"/>
      <c r="F792" s="1"/>
      <c r="G792" s="1"/>
      <c r="H792" s="1"/>
      <c r="I792" s="1"/>
      <c r="J792" s="1"/>
      <c r="K792" s="1"/>
      <c r="L792" s="1"/>
      <c r="M792" s="1"/>
      <c r="AU792" s="18"/>
      <c r="AV792" s="18"/>
    </row>
    <row r="793" spans="5:48" x14ac:dyDescent="0.2">
      <c r="E793" s="1"/>
      <c r="F793" s="1"/>
      <c r="G793" s="1"/>
      <c r="H793" s="1"/>
      <c r="I793" s="1"/>
      <c r="J793" s="1"/>
      <c r="K793" s="1"/>
      <c r="L793" s="1"/>
      <c r="M793" s="1"/>
      <c r="AU793" s="18"/>
      <c r="AV793" s="18"/>
    </row>
    <row r="794" spans="5:48" x14ac:dyDescent="0.2">
      <c r="E794" s="1"/>
      <c r="F794" s="1"/>
      <c r="G794" s="1"/>
      <c r="H794" s="1"/>
      <c r="I794" s="1"/>
      <c r="J794" s="1"/>
      <c r="K794" s="1"/>
      <c r="L794" s="1"/>
      <c r="M794" s="1"/>
      <c r="AU794" s="18"/>
      <c r="AV794" s="18"/>
    </row>
    <row r="795" spans="5:48" x14ac:dyDescent="0.2">
      <c r="E795" s="1"/>
      <c r="F795" s="1"/>
      <c r="G795" s="1"/>
      <c r="H795" s="1"/>
      <c r="I795" s="1"/>
      <c r="J795" s="1"/>
      <c r="K795" s="1"/>
      <c r="L795" s="1"/>
      <c r="M795" s="1"/>
      <c r="AU795" s="18"/>
      <c r="AV795" s="18"/>
    </row>
    <row r="796" spans="5:48" x14ac:dyDescent="0.2">
      <c r="E796" s="1"/>
      <c r="F796" s="1"/>
      <c r="G796" s="1"/>
      <c r="H796" s="1"/>
      <c r="I796" s="1"/>
      <c r="J796" s="1"/>
      <c r="K796" s="1"/>
      <c r="L796" s="1"/>
      <c r="M796" s="1"/>
      <c r="AU796" s="18"/>
      <c r="AV796" s="18"/>
    </row>
    <row r="797" spans="5:48" x14ac:dyDescent="0.2">
      <c r="E797" s="1"/>
      <c r="F797" s="1"/>
      <c r="G797" s="1"/>
      <c r="H797" s="1"/>
      <c r="I797" s="1"/>
      <c r="J797" s="1"/>
      <c r="K797" s="1"/>
      <c r="L797" s="1"/>
      <c r="M797" s="1"/>
      <c r="AU797" s="18"/>
      <c r="AV797" s="18"/>
    </row>
    <row r="798" spans="5:48" x14ac:dyDescent="0.2">
      <c r="E798" s="1"/>
      <c r="F798" s="1"/>
      <c r="G798" s="1"/>
      <c r="H798" s="1"/>
      <c r="I798" s="1"/>
      <c r="J798" s="1"/>
      <c r="K798" s="1"/>
      <c r="L798" s="1"/>
      <c r="M798" s="1"/>
      <c r="AU798" s="18"/>
      <c r="AV798" s="18"/>
    </row>
    <row r="799" spans="5:48" x14ac:dyDescent="0.2">
      <c r="E799" s="1"/>
      <c r="F799" s="1"/>
      <c r="G799" s="1"/>
      <c r="H799" s="1"/>
      <c r="I799" s="1"/>
      <c r="J799" s="1"/>
      <c r="K799" s="1"/>
      <c r="L799" s="1"/>
      <c r="M799" s="1"/>
      <c r="AU799" s="18"/>
      <c r="AV799" s="18"/>
    </row>
    <row r="800" spans="5:48" x14ac:dyDescent="0.2">
      <c r="E800" s="1"/>
      <c r="F800" s="1"/>
      <c r="G800" s="1"/>
      <c r="H800" s="1"/>
      <c r="I800" s="1"/>
      <c r="J800" s="1"/>
      <c r="K800" s="1"/>
      <c r="L800" s="1"/>
      <c r="M800" s="1"/>
      <c r="AU800" s="18"/>
      <c r="AV800" s="18"/>
    </row>
    <row r="801" spans="5:48" x14ac:dyDescent="0.2">
      <c r="E801" s="1"/>
      <c r="F801" s="1"/>
      <c r="G801" s="1"/>
      <c r="H801" s="1"/>
      <c r="I801" s="1"/>
      <c r="J801" s="1"/>
      <c r="K801" s="1"/>
      <c r="L801" s="1"/>
      <c r="M801" s="1"/>
      <c r="AU801" s="18"/>
      <c r="AV801" s="18"/>
    </row>
    <row r="802" spans="5:48" x14ac:dyDescent="0.2">
      <c r="E802" s="1"/>
      <c r="F802" s="1"/>
      <c r="G802" s="1"/>
      <c r="H802" s="1"/>
      <c r="I802" s="1"/>
      <c r="J802" s="1"/>
      <c r="K802" s="1"/>
      <c r="L802" s="1"/>
      <c r="M802" s="1"/>
      <c r="AU802" s="18"/>
      <c r="AV802" s="18"/>
    </row>
    <row r="803" spans="5:48" x14ac:dyDescent="0.2">
      <c r="E803" s="1"/>
      <c r="F803" s="1"/>
      <c r="G803" s="1"/>
      <c r="H803" s="1"/>
      <c r="I803" s="1"/>
      <c r="J803" s="1"/>
      <c r="K803" s="1"/>
      <c r="L803" s="1"/>
      <c r="M803" s="1"/>
      <c r="AU803" s="18"/>
      <c r="AV803" s="18"/>
    </row>
    <row r="804" spans="5:48" x14ac:dyDescent="0.2">
      <c r="E804" s="1"/>
      <c r="F804" s="1"/>
      <c r="G804" s="1"/>
      <c r="H804" s="1"/>
      <c r="I804" s="1"/>
      <c r="J804" s="1"/>
      <c r="K804" s="1"/>
      <c r="L804" s="1"/>
      <c r="M804" s="1"/>
      <c r="AU804" s="18"/>
      <c r="AV804" s="18"/>
    </row>
    <row r="805" spans="5:48" x14ac:dyDescent="0.2">
      <c r="E805" s="1"/>
      <c r="F805" s="1"/>
      <c r="G805" s="1"/>
      <c r="H805" s="1"/>
      <c r="I805" s="1"/>
      <c r="J805" s="1"/>
      <c r="K805" s="1"/>
      <c r="L805" s="1"/>
      <c r="M805" s="1"/>
      <c r="AU805" s="18"/>
      <c r="AV805" s="18"/>
    </row>
    <row r="806" spans="5:48" x14ac:dyDescent="0.2">
      <c r="E806" s="1"/>
      <c r="F806" s="1"/>
      <c r="G806" s="1"/>
      <c r="H806" s="1"/>
      <c r="I806" s="1"/>
      <c r="J806" s="1"/>
      <c r="K806" s="1"/>
      <c r="L806" s="1"/>
      <c r="M806" s="1"/>
      <c r="AU806" s="18"/>
      <c r="AV806" s="18"/>
    </row>
    <row r="807" spans="5:48" x14ac:dyDescent="0.2">
      <c r="E807" s="1"/>
      <c r="F807" s="1"/>
      <c r="G807" s="1"/>
      <c r="H807" s="1"/>
      <c r="I807" s="1"/>
      <c r="J807" s="1"/>
      <c r="K807" s="1"/>
      <c r="L807" s="1"/>
      <c r="M807" s="1"/>
      <c r="AU807" s="18"/>
      <c r="AV807" s="18"/>
    </row>
    <row r="808" spans="5:48" x14ac:dyDescent="0.2">
      <c r="E808" s="1"/>
      <c r="F808" s="1"/>
      <c r="G808" s="1"/>
      <c r="H808" s="1"/>
      <c r="I808" s="1"/>
      <c r="J808" s="1"/>
      <c r="K808" s="1"/>
      <c r="L808" s="1"/>
      <c r="M808" s="1"/>
      <c r="AU808" s="18"/>
      <c r="AV808" s="18"/>
    </row>
    <row r="809" spans="5:48" x14ac:dyDescent="0.2">
      <c r="E809" s="1"/>
      <c r="F809" s="1"/>
      <c r="G809" s="1"/>
      <c r="H809" s="1"/>
      <c r="I809" s="1"/>
      <c r="J809" s="1"/>
      <c r="K809" s="1"/>
      <c r="L809" s="1"/>
      <c r="M809" s="1"/>
      <c r="AU809" s="18"/>
      <c r="AV809" s="18"/>
    </row>
    <row r="810" spans="5:48" x14ac:dyDescent="0.2">
      <c r="E810" s="1"/>
      <c r="F810" s="1"/>
      <c r="G810" s="1"/>
      <c r="H810" s="1"/>
      <c r="I810" s="1"/>
      <c r="J810" s="1"/>
      <c r="K810" s="1"/>
      <c r="L810" s="1"/>
      <c r="M810" s="1"/>
      <c r="AU810" s="18"/>
      <c r="AV810" s="18"/>
    </row>
    <row r="811" spans="5:48" x14ac:dyDescent="0.2">
      <c r="E811" s="1"/>
      <c r="F811" s="1"/>
      <c r="G811" s="1"/>
      <c r="H811" s="1"/>
      <c r="I811" s="1"/>
      <c r="J811" s="1"/>
      <c r="K811" s="1"/>
      <c r="L811" s="1"/>
      <c r="M811" s="1"/>
      <c r="AU811" s="18"/>
      <c r="AV811" s="18"/>
    </row>
    <row r="812" spans="5:48" x14ac:dyDescent="0.2">
      <c r="E812" s="1"/>
      <c r="F812" s="1"/>
      <c r="G812" s="1"/>
      <c r="H812" s="1"/>
      <c r="I812" s="1"/>
      <c r="J812" s="1"/>
      <c r="K812" s="1"/>
      <c r="L812" s="1"/>
      <c r="M812" s="1"/>
      <c r="AU812" s="18"/>
      <c r="AV812" s="18"/>
    </row>
    <row r="813" spans="5:48" x14ac:dyDescent="0.2">
      <c r="E813" s="1"/>
      <c r="F813" s="1"/>
      <c r="G813" s="1"/>
      <c r="H813" s="1"/>
      <c r="I813" s="1"/>
      <c r="J813" s="1"/>
      <c r="K813" s="1"/>
      <c r="L813" s="1"/>
      <c r="M813" s="1"/>
      <c r="AU813" s="18"/>
      <c r="AV813" s="18"/>
    </row>
    <row r="814" spans="5:48" x14ac:dyDescent="0.2">
      <c r="E814" s="1"/>
      <c r="F814" s="1"/>
      <c r="G814" s="1"/>
      <c r="H814" s="1"/>
      <c r="I814" s="1"/>
      <c r="J814" s="1"/>
      <c r="K814" s="1"/>
      <c r="L814" s="1"/>
      <c r="M814" s="1"/>
      <c r="AU814" s="18"/>
      <c r="AV814" s="18"/>
    </row>
    <row r="815" spans="5:48" x14ac:dyDescent="0.2">
      <c r="E815" s="1"/>
      <c r="F815" s="1"/>
      <c r="G815" s="1"/>
      <c r="H815" s="1"/>
      <c r="I815" s="1"/>
      <c r="J815" s="1"/>
      <c r="K815" s="1"/>
      <c r="L815" s="1"/>
      <c r="M815" s="1"/>
      <c r="AU815" s="18"/>
      <c r="AV815" s="18"/>
    </row>
    <row r="816" spans="5:48" x14ac:dyDescent="0.2">
      <c r="E816" s="1"/>
      <c r="F816" s="1"/>
      <c r="G816" s="1"/>
      <c r="H816" s="1"/>
      <c r="I816" s="1"/>
      <c r="J816" s="1"/>
      <c r="K816" s="1"/>
      <c r="L816" s="1"/>
      <c r="M816" s="1"/>
      <c r="AU816" s="18"/>
      <c r="AV816" s="18"/>
    </row>
    <row r="817" spans="5:48" x14ac:dyDescent="0.2">
      <c r="E817" s="1"/>
      <c r="F817" s="1"/>
      <c r="G817" s="1"/>
      <c r="H817" s="1"/>
      <c r="I817" s="1"/>
      <c r="J817" s="1"/>
      <c r="K817" s="1"/>
      <c r="L817" s="1"/>
      <c r="M817" s="1"/>
      <c r="AU817" s="18"/>
      <c r="AV817" s="18"/>
    </row>
    <row r="818" spans="5:48" x14ac:dyDescent="0.2">
      <c r="E818" s="1"/>
      <c r="F818" s="1"/>
      <c r="G818" s="1"/>
      <c r="H818" s="1"/>
      <c r="I818" s="1"/>
      <c r="J818" s="1"/>
      <c r="K818" s="1"/>
      <c r="L818" s="1"/>
      <c r="M818" s="1"/>
      <c r="AU818" s="18"/>
      <c r="AV818" s="18"/>
    </row>
    <row r="819" spans="5:48" x14ac:dyDescent="0.2">
      <c r="E819" s="1"/>
      <c r="F819" s="1"/>
      <c r="G819" s="1"/>
      <c r="H819" s="1"/>
      <c r="I819" s="1"/>
      <c r="J819" s="1"/>
      <c r="K819" s="1"/>
      <c r="L819" s="1"/>
      <c r="M819" s="1"/>
      <c r="AU819" s="18"/>
      <c r="AV819" s="18"/>
    </row>
    <row r="820" spans="5:48" x14ac:dyDescent="0.2">
      <c r="E820" s="1"/>
      <c r="F820" s="1"/>
      <c r="G820" s="1"/>
      <c r="H820" s="1"/>
      <c r="I820" s="1"/>
      <c r="J820" s="1"/>
      <c r="K820" s="1"/>
      <c r="L820" s="1"/>
      <c r="M820" s="1"/>
      <c r="AU820" s="18"/>
      <c r="AV820" s="18"/>
    </row>
    <row r="821" spans="5:48" x14ac:dyDescent="0.2">
      <c r="E821" s="1"/>
      <c r="F821" s="1"/>
      <c r="G821" s="1"/>
      <c r="H821" s="1"/>
      <c r="I821" s="1"/>
      <c r="J821" s="1"/>
      <c r="K821" s="1"/>
      <c r="L821" s="1"/>
      <c r="M821" s="1"/>
      <c r="AU821" s="18"/>
      <c r="AV821" s="18"/>
    </row>
    <row r="822" spans="5:48" x14ac:dyDescent="0.2">
      <c r="E822" s="1"/>
      <c r="F822" s="1"/>
      <c r="G822" s="1"/>
      <c r="H822" s="1"/>
      <c r="I822" s="1"/>
      <c r="J822" s="1"/>
      <c r="K822" s="1"/>
      <c r="L822" s="1"/>
      <c r="M822" s="1"/>
      <c r="AU822" s="18"/>
      <c r="AV822" s="18"/>
    </row>
    <row r="823" spans="5:48" x14ac:dyDescent="0.2">
      <c r="E823" s="1"/>
      <c r="F823" s="1"/>
      <c r="G823" s="1"/>
      <c r="H823" s="1"/>
      <c r="I823" s="1"/>
      <c r="J823" s="1"/>
      <c r="K823" s="1"/>
      <c r="L823" s="1"/>
      <c r="M823" s="1"/>
      <c r="AU823" s="18"/>
      <c r="AV823" s="18"/>
    </row>
    <row r="824" spans="5:48" x14ac:dyDescent="0.2">
      <c r="E824" s="1"/>
      <c r="F824" s="1"/>
      <c r="G824" s="1"/>
      <c r="H824" s="1"/>
      <c r="I824" s="1"/>
      <c r="J824" s="1"/>
      <c r="K824" s="1"/>
      <c r="L824" s="1"/>
      <c r="M824" s="1"/>
      <c r="AU824" s="18"/>
      <c r="AV824" s="18"/>
    </row>
    <row r="825" spans="5:48" x14ac:dyDescent="0.2">
      <c r="E825" s="1"/>
      <c r="F825" s="1"/>
      <c r="G825" s="1"/>
      <c r="H825" s="1"/>
      <c r="I825" s="1"/>
      <c r="J825" s="1"/>
      <c r="K825" s="1"/>
      <c r="L825" s="1"/>
      <c r="M825" s="1"/>
      <c r="AU825" s="18"/>
      <c r="AV825" s="18"/>
    </row>
    <row r="826" spans="5:48" x14ac:dyDescent="0.2">
      <c r="E826" s="1"/>
      <c r="F826" s="1"/>
      <c r="G826" s="1"/>
      <c r="H826" s="1"/>
      <c r="I826" s="1"/>
      <c r="J826" s="1"/>
      <c r="K826" s="1"/>
      <c r="L826" s="1"/>
      <c r="M826" s="1"/>
      <c r="AU826" s="18"/>
      <c r="AV826" s="18"/>
    </row>
    <row r="827" spans="5:48" x14ac:dyDescent="0.2">
      <c r="E827" s="1"/>
      <c r="F827" s="1"/>
      <c r="G827" s="1"/>
      <c r="H827" s="1"/>
      <c r="I827" s="1"/>
      <c r="J827" s="1"/>
      <c r="K827" s="1"/>
      <c r="L827" s="1"/>
      <c r="M827" s="1"/>
      <c r="AU827" s="18"/>
      <c r="AV827" s="18"/>
    </row>
    <row r="828" spans="5:48" x14ac:dyDescent="0.2">
      <c r="E828" s="1"/>
      <c r="F828" s="1"/>
      <c r="G828" s="1"/>
      <c r="H828" s="1"/>
      <c r="I828" s="1"/>
      <c r="J828" s="1"/>
      <c r="K828" s="1"/>
      <c r="L828" s="1"/>
      <c r="M828" s="1"/>
      <c r="AU828" s="18"/>
      <c r="AV828" s="18"/>
    </row>
    <row r="829" spans="5:48" x14ac:dyDescent="0.2">
      <c r="E829" s="1"/>
      <c r="F829" s="1"/>
      <c r="G829" s="1"/>
      <c r="H829" s="1"/>
      <c r="I829" s="1"/>
      <c r="J829" s="1"/>
      <c r="K829" s="1"/>
      <c r="L829" s="1"/>
      <c r="M829" s="1"/>
      <c r="AU829" s="18"/>
      <c r="AV829" s="18"/>
    </row>
    <row r="830" spans="5:48" x14ac:dyDescent="0.2">
      <c r="E830" s="1"/>
      <c r="F830" s="1"/>
      <c r="G830" s="1"/>
      <c r="H830" s="1"/>
      <c r="I830" s="1"/>
      <c r="J830" s="1"/>
      <c r="K830" s="1"/>
      <c r="L830" s="1"/>
      <c r="M830" s="1"/>
      <c r="AU830" s="18"/>
      <c r="AV830" s="18"/>
    </row>
    <row r="831" spans="5:48" x14ac:dyDescent="0.2">
      <c r="E831" s="1"/>
      <c r="F831" s="1"/>
      <c r="G831" s="1"/>
      <c r="H831" s="1"/>
      <c r="I831" s="1"/>
      <c r="J831" s="1"/>
      <c r="K831" s="1"/>
      <c r="L831" s="1"/>
      <c r="M831" s="1"/>
      <c r="AU831" s="18"/>
      <c r="AV831" s="18"/>
    </row>
    <row r="832" spans="5:48" x14ac:dyDescent="0.2">
      <c r="E832" s="1"/>
      <c r="F832" s="1"/>
      <c r="G832" s="1"/>
      <c r="H832" s="1"/>
      <c r="I832" s="1"/>
      <c r="J832" s="1"/>
      <c r="K832" s="1"/>
      <c r="L832" s="1"/>
      <c r="M832" s="1"/>
      <c r="AU832" s="18"/>
      <c r="AV832" s="18"/>
    </row>
    <row r="833" spans="5:48" x14ac:dyDescent="0.2">
      <c r="E833" s="1"/>
      <c r="F833" s="1"/>
      <c r="G833" s="1"/>
      <c r="H833" s="1"/>
      <c r="I833" s="1"/>
      <c r="J833" s="1"/>
      <c r="K833" s="1"/>
      <c r="L833" s="1"/>
      <c r="M833" s="1"/>
      <c r="AU833" s="18"/>
      <c r="AV833" s="18"/>
    </row>
    <row r="834" spans="5:48" x14ac:dyDescent="0.2">
      <c r="E834" s="1"/>
      <c r="F834" s="1"/>
      <c r="G834" s="1"/>
      <c r="H834" s="1"/>
      <c r="I834" s="1"/>
      <c r="J834" s="1"/>
      <c r="K834" s="1"/>
      <c r="L834" s="1"/>
      <c r="M834" s="1"/>
      <c r="AU834" s="18"/>
      <c r="AV834" s="18"/>
    </row>
    <row r="835" spans="5:48" x14ac:dyDescent="0.2">
      <c r="E835" s="1"/>
      <c r="F835" s="1"/>
      <c r="G835" s="1"/>
      <c r="H835" s="1"/>
      <c r="I835" s="1"/>
      <c r="J835" s="1"/>
      <c r="K835" s="1"/>
      <c r="L835" s="1"/>
      <c r="M835" s="1"/>
      <c r="AU835" s="18"/>
      <c r="AV835" s="18"/>
    </row>
    <row r="836" spans="5:48" x14ac:dyDescent="0.2">
      <c r="E836" s="1"/>
      <c r="F836" s="1"/>
      <c r="G836" s="1"/>
      <c r="H836" s="1"/>
      <c r="I836" s="1"/>
      <c r="J836" s="1"/>
      <c r="K836" s="1"/>
      <c r="L836" s="1"/>
      <c r="M836" s="1"/>
      <c r="AU836" s="18"/>
      <c r="AV836" s="18"/>
    </row>
    <row r="837" spans="5:48" x14ac:dyDescent="0.2">
      <c r="E837" s="1"/>
      <c r="F837" s="1"/>
      <c r="G837" s="1"/>
      <c r="H837" s="1"/>
      <c r="I837" s="1"/>
      <c r="J837" s="1"/>
      <c r="K837" s="1"/>
      <c r="L837" s="1"/>
      <c r="M837" s="1"/>
      <c r="AU837" s="18"/>
      <c r="AV837" s="18"/>
    </row>
    <row r="838" spans="5:48" x14ac:dyDescent="0.2">
      <c r="E838" s="1"/>
      <c r="F838" s="1"/>
      <c r="G838" s="1"/>
      <c r="H838" s="1"/>
      <c r="I838" s="1"/>
      <c r="J838" s="1"/>
      <c r="K838" s="1"/>
      <c r="L838" s="1"/>
      <c r="M838" s="1"/>
      <c r="AU838" s="18"/>
      <c r="AV838" s="18"/>
    </row>
    <row r="839" spans="5:48" x14ac:dyDescent="0.2">
      <c r="E839" s="1"/>
      <c r="F839" s="1"/>
      <c r="G839" s="1"/>
      <c r="H839" s="1"/>
      <c r="I839" s="1"/>
      <c r="J839" s="1"/>
      <c r="K839" s="1"/>
      <c r="L839" s="1"/>
      <c r="M839" s="1"/>
      <c r="AU839" s="18"/>
      <c r="AV839" s="18"/>
    </row>
    <row r="840" spans="5:48" x14ac:dyDescent="0.2">
      <c r="E840" s="1"/>
      <c r="F840" s="1"/>
      <c r="G840" s="1"/>
      <c r="H840" s="1"/>
      <c r="I840" s="1"/>
      <c r="J840" s="1"/>
      <c r="K840" s="1"/>
      <c r="L840" s="1"/>
      <c r="M840" s="1"/>
      <c r="AU840" s="18"/>
      <c r="AV840" s="18"/>
    </row>
    <row r="841" spans="5:48" x14ac:dyDescent="0.2">
      <c r="E841" s="1"/>
      <c r="F841" s="1"/>
      <c r="G841" s="1"/>
      <c r="H841" s="1"/>
      <c r="I841" s="1"/>
      <c r="J841" s="1"/>
      <c r="K841" s="1"/>
      <c r="L841" s="1"/>
      <c r="M841" s="1"/>
      <c r="AU841" s="18"/>
      <c r="AV841" s="18"/>
    </row>
    <row r="842" spans="5:48" x14ac:dyDescent="0.2">
      <c r="E842" s="1"/>
      <c r="F842" s="1"/>
      <c r="G842" s="1"/>
      <c r="H842" s="1"/>
      <c r="I842" s="1"/>
      <c r="J842" s="1"/>
      <c r="K842" s="1"/>
      <c r="L842" s="1"/>
      <c r="M842" s="1"/>
      <c r="AU842" s="18"/>
      <c r="AV842" s="18"/>
    </row>
    <row r="843" spans="5:48" x14ac:dyDescent="0.2">
      <c r="E843" s="1"/>
      <c r="F843" s="1"/>
      <c r="G843" s="1"/>
      <c r="H843" s="1"/>
      <c r="I843" s="1"/>
      <c r="J843" s="1"/>
      <c r="K843" s="1"/>
      <c r="L843" s="1"/>
      <c r="M843" s="1"/>
      <c r="AU843" s="18"/>
      <c r="AV843" s="18"/>
    </row>
    <row r="844" spans="5:48" x14ac:dyDescent="0.2">
      <c r="E844" s="1"/>
      <c r="F844" s="1"/>
      <c r="G844" s="1"/>
      <c r="H844" s="1"/>
      <c r="I844" s="1"/>
      <c r="J844" s="1"/>
      <c r="K844" s="1"/>
      <c r="L844" s="1"/>
      <c r="M844" s="1"/>
      <c r="AU844" s="18"/>
      <c r="AV844" s="18"/>
    </row>
    <row r="845" spans="5:48" x14ac:dyDescent="0.2">
      <c r="E845" s="1"/>
      <c r="F845" s="1"/>
      <c r="G845" s="1"/>
      <c r="H845" s="1"/>
      <c r="I845" s="1"/>
      <c r="J845" s="1"/>
      <c r="K845" s="1"/>
      <c r="L845" s="1"/>
      <c r="M845" s="1"/>
      <c r="AU845" s="18"/>
      <c r="AV845" s="18"/>
    </row>
    <row r="846" spans="5:48" x14ac:dyDescent="0.2">
      <c r="E846" s="1"/>
      <c r="F846" s="1"/>
      <c r="G846" s="1"/>
      <c r="H846" s="1"/>
      <c r="I846" s="1"/>
      <c r="J846" s="1"/>
      <c r="K846" s="1"/>
      <c r="L846" s="1"/>
      <c r="M846" s="1"/>
      <c r="AU846" s="18"/>
      <c r="AV846" s="18"/>
    </row>
    <row r="847" spans="5:48" x14ac:dyDescent="0.2">
      <c r="E847" s="1"/>
      <c r="F847" s="1"/>
      <c r="G847" s="1"/>
      <c r="H847" s="1"/>
      <c r="I847" s="1"/>
      <c r="J847" s="1"/>
      <c r="K847" s="1"/>
      <c r="L847" s="1"/>
      <c r="M847" s="1"/>
      <c r="AU847" s="18"/>
      <c r="AV847" s="18"/>
    </row>
    <row r="848" spans="5:48" x14ac:dyDescent="0.2">
      <c r="E848" s="1"/>
      <c r="F848" s="1"/>
      <c r="G848" s="1"/>
      <c r="H848" s="1"/>
      <c r="I848" s="1"/>
      <c r="J848" s="1"/>
      <c r="K848" s="1"/>
      <c r="L848" s="1"/>
      <c r="M848" s="1"/>
      <c r="AU848" s="18"/>
      <c r="AV848" s="18"/>
    </row>
    <row r="849" spans="5:48" x14ac:dyDescent="0.2">
      <c r="E849" s="1"/>
      <c r="F849" s="1"/>
      <c r="G849" s="1"/>
      <c r="H849" s="1"/>
      <c r="I849" s="1"/>
      <c r="J849" s="1"/>
      <c r="K849" s="1"/>
      <c r="L849" s="1"/>
      <c r="M849" s="1"/>
      <c r="AU849" s="18"/>
      <c r="AV849" s="18"/>
    </row>
    <row r="850" spans="5:48" x14ac:dyDescent="0.2">
      <c r="E850" s="1"/>
      <c r="F850" s="1"/>
      <c r="G850" s="1"/>
      <c r="H850" s="1"/>
      <c r="I850" s="1"/>
      <c r="J850" s="1"/>
      <c r="K850" s="1"/>
      <c r="L850" s="1"/>
      <c r="M850" s="1"/>
      <c r="AU850" s="18"/>
      <c r="AV850" s="18"/>
    </row>
    <row r="851" spans="5:48" x14ac:dyDescent="0.2">
      <c r="E851" s="1"/>
      <c r="F851" s="1"/>
      <c r="G851" s="1"/>
      <c r="H851" s="1"/>
      <c r="I851" s="1"/>
      <c r="J851" s="1"/>
      <c r="K851" s="1"/>
      <c r="L851" s="1"/>
      <c r="M851" s="1"/>
      <c r="AU851" s="18"/>
      <c r="AV851" s="18"/>
    </row>
    <row r="852" spans="5:48" x14ac:dyDescent="0.2">
      <c r="E852" s="1"/>
      <c r="F852" s="1"/>
      <c r="G852" s="1"/>
      <c r="H852" s="1"/>
      <c r="I852" s="1"/>
      <c r="J852" s="1"/>
      <c r="K852" s="1"/>
      <c r="L852" s="1"/>
      <c r="M852" s="1"/>
      <c r="AU852" s="18"/>
      <c r="AV852" s="18"/>
    </row>
    <row r="853" spans="5:48" x14ac:dyDescent="0.2">
      <c r="E853" s="1"/>
      <c r="F853" s="1"/>
      <c r="G853" s="1"/>
      <c r="H853" s="1"/>
      <c r="I853" s="1"/>
      <c r="J853" s="1"/>
      <c r="K853" s="1"/>
      <c r="L853" s="1"/>
      <c r="M853" s="1"/>
      <c r="AU853" s="18"/>
      <c r="AV853" s="18"/>
    </row>
    <row r="854" spans="5:48" x14ac:dyDescent="0.2">
      <c r="E854" s="1"/>
      <c r="F854" s="1"/>
      <c r="G854" s="1"/>
      <c r="H854" s="1"/>
      <c r="I854" s="1"/>
      <c r="J854" s="1"/>
      <c r="K854" s="1"/>
      <c r="L854" s="1"/>
      <c r="M854" s="1"/>
      <c r="AU854" s="18"/>
      <c r="AV854" s="18"/>
    </row>
    <row r="855" spans="5:48" x14ac:dyDescent="0.2">
      <c r="E855" s="1"/>
      <c r="F855" s="1"/>
      <c r="G855" s="1"/>
      <c r="H855" s="1"/>
      <c r="I855" s="1"/>
      <c r="J855" s="1"/>
      <c r="K855" s="1"/>
      <c r="L855" s="1"/>
      <c r="M855" s="1"/>
      <c r="AU855" s="18"/>
      <c r="AV855" s="18"/>
    </row>
    <row r="856" spans="5:48" x14ac:dyDescent="0.2">
      <c r="E856" s="1"/>
      <c r="F856" s="1"/>
      <c r="G856" s="1"/>
      <c r="H856" s="1"/>
      <c r="I856" s="1"/>
      <c r="J856" s="1"/>
      <c r="K856" s="1"/>
      <c r="L856" s="1"/>
      <c r="M856" s="1"/>
      <c r="AU856" s="18"/>
      <c r="AV856" s="18"/>
    </row>
    <row r="857" spans="5:48" x14ac:dyDescent="0.2">
      <c r="E857" s="1"/>
      <c r="F857" s="1"/>
      <c r="G857" s="1"/>
      <c r="H857" s="1"/>
      <c r="I857" s="1"/>
      <c r="J857" s="1"/>
      <c r="K857" s="1"/>
      <c r="L857" s="1"/>
      <c r="M857" s="1"/>
      <c r="AU857" s="18"/>
      <c r="AV857" s="18"/>
    </row>
    <row r="858" spans="5:48" x14ac:dyDescent="0.2">
      <c r="E858" s="1"/>
      <c r="F858" s="1"/>
      <c r="G858" s="1"/>
      <c r="H858" s="1"/>
      <c r="I858" s="1"/>
      <c r="J858" s="1"/>
      <c r="K858" s="1"/>
      <c r="L858" s="1"/>
      <c r="M858" s="1"/>
      <c r="AU858" s="18"/>
      <c r="AV858" s="18"/>
    </row>
    <row r="859" spans="5:48" x14ac:dyDescent="0.2">
      <c r="E859" s="1"/>
      <c r="F859" s="1"/>
      <c r="G859" s="1"/>
      <c r="H859" s="1"/>
      <c r="I859" s="1"/>
      <c r="J859" s="1"/>
      <c r="K859" s="1"/>
      <c r="L859" s="1"/>
      <c r="M859" s="1"/>
      <c r="AU859" s="18"/>
      <c r="AV859" s="18"/>
    </row>
    <row r="860" spans="5:48" x14ac:dyDescent="0.2">
      <c r="E860" s="1"/>
      <c r="F860" s="1"/>
      <c r="G860" s="1"/>
      <c r="H860" s="1"/>
      <c r="I860" s="1"/>
      <c r="J860" s="1"/>
      <c r="K860" s="1"/>
      <c r="L860" s="1"/>
      <c r="M860" s="1"/>
      <c r="AU860" s="18"/>
      <c r="AV860" s="18"/>
    </row>
    <row r="861" spans="5:48" x14ac:dyDescent="0.2">
      <c r="E861" s="1"/>
      <c r="F861" s="1"/>
      <c r="G861" s="1"/>
      <c r="H861" s="1"/>
      <c r="I861" s="1"/>
      <c r="J861" s="1"/>
      <c r="K861" s="1"/>
      <c r="L861" s="1"/>
      <c r="M861" s="1"/>
      <c r="AU861" s="18"/>
      <c r="AV861" s="18"/>
    </row>
    <row r="862" spans="5:48" x14ac:dyDescent="0.2">
      <c r="E862" s="1"/>
      <c r="F862" s="1"/>
      <c r="G862" s="1"/>
      <c r="H862" s="1"/>
      <c r="I862" s="1"/>
      <c r="J862" s="1"/>
      <c r="K862" s="1"/>
      <c r="L862" s="1"/>
      <c r="M862" s="1"/>
      <c r="AU862" s="18"/>
      <c r="AV862" s="18"/>
    </row>
    <row r="863" spans="5:48" x14ac:dyDescent="0.2">
      <c r="E863" s="1"/>
      <c r="F863" s="1"/>
      <c r="G863" s="1"/>
      <c r="H863" s="1"/>
      <c r="I863" s="1"/>
      <c r="J863" s="1"/>
      <c r="K863" s="1"/>
      <c r="L863" s="1"/>
      <c r="M863" s="1"/>
      <c r="AU863" s="18"/>
      <c r="AV863" s="18"/>
    </row>
    <row r="864" spans="5:48" x14ac:dyDescent="0.2">
      <c r="E864" s="1"/>
      <c r="F864" s="1"/>
      <c r="G864" s="1"/>
      <c r="H864" s="1"/>
      <c r="I864" s="1"/>
      <c r="J864" s="1"/>
      <c r="K864" s="1"/>
      <c r="L864" s="1"/>
      <c r="M864" s="1"/>
      <c r="AU864" s="18"/>
      <c r="AV864" s="18"/>
    </row>
    <row r="865" spans="5:48" x14ac:dyDescent="0.2">
      <c r="E865" s="1"/>
      <c r="F865" s="1"/>
      <c r="G865" s="1"/>
      <c r="H865" s="1"/>
      <c r="I865" s="1"/>
      <c r="J865" s="1"/>
      <c r="K865" s="1"/>
      <c r="L865" s="1"/>
      <c r="M865" s="1"/>
      <c r="AU865" s="18"/>
      <c r="AV865" s="18"/>
    </row>
    <row r="866" spans="5:48" x14ac:dyDescent="0.2">
      <c r="E866" s="1"/>
      <c r="F866" s="1"/>
      <c r="G866" s="1"/>
      <c r="H866" s="1"/>
      <c r="I866" s="1"/>
      <c r="J866" s="1"/>
      <c r="K866" s="1"/>
      <c r="L866" s="1"/>
      <c r="M866" s="1"/>
      <c r="AU866" s="18"/>
      <c r="AV866" s="18"/>
    </row>
    <row r="867" spans="5:48" x14ac:dyDescent="0.2">
      <c r="E867" s="1"/>
      <c r="F867" s="1"/>
      <c r="G867" s="1"/>
      <c r="H867" s="1"/>
      <c r="I867" s="1"/>
      <c r="J867" s="1"/>
      <c r="K867" s="1"/>
      <c r="L867" s="1"/>
      <c r="M867" s="1"/>
      <c r="AU867" s="18"/>
      <c r="AV867" s="18"/>
    </row>
    <row r="868" spans="5:48" x14ac:dyDescent="0.2">
      <c r="E868" s="1"/>
      <c r="F868" s="1"/>
      <c r="G868" s="1"/>
      <c r="H868" s="1"/>
      <c r="I868" s="1"/>
      <c r="J868" s="1"/>
      <c r="K868" s="1"/>
      <c r="L868" s="1"/>
      <c r="M868" s="1"/>
      <c r="AU868" s="18"/>
      <c r="AV868" s="18"/>
    </row>
    <row r="869" spans="5:48" x14ac:dyDescent="0.2">
      <c r="E869" s="1"/>
      <c r="F869" s="1"/>
      <c r="G869" s="1"/>
      <c r="H869" s="1"/>
      <c r="I869" s="1"/>
      <c r="J869" s="1"/>
      <c r="K869" s="1"/>
      <c r="L869" s="1"/>
      <c r="M869" s="1"/>
      <c r="AU869" s="18"/>
      <c r="AV869" s="18"/>
    </row>
    <row r="870" spans="5:48" x14ac:dyDescent="0.2">
      <c r="E870" s="1"/>
      <c r="F870" s="1"/>
      <c r="G870" s="1"/>
      <c r="H870" s="1"/>
      <c r="I870" s="1"/>
      <c r="J870" s="1"/>
      <c r="K870" s="1"/>
      <c r="L870" s="1"/>
      <c r="M870" s="1"/>
      <c r="AU870" s="18"/>
      <c r="AV870" s="18"/>
    </row>
    <row r="871" spans="5:48" x14ac:dyDescent="0.2">
      <c r="E871" s="1"/>
      <c r="F871" s="1"/>
      <c r="G871" s="1"/>
      <c r="H871" s="1"/>
      <c r="I871" s="1"/>
      <c r="J871" s="1"/>
      <c r="K871" s="1"/>
      <c r="L871" s="1"/>
      <c r="M871" s="1"/>
      <c r="AU871" s="18"/>
      <c r="AV871" s="18"/>
    </row>
    <row r="872" spans="5:48" x14ac:dyDescent="0.2">
      <c r="E872" s="1"/>
      <c r="F872" s="1"/>
      <c r="G872" s="1"/>
      <c r="H872" s="1"/>
      <c r="I872" s="1"/>
      <c r="J872" s="1"/>
      <c r="K872" s="1"/>
      <c r="L872" s="1"/>
      <c r="M872" s="1"/>
      <c r="AU872" s="18"/>
      <c r="AV872" s="18"/>
    </row>
    <row r="873" spans="5:48" x14ac:dyDescent="0.2">
      <c r="E873" s="1"/>
      <c r="F873" s="1"/>
      <c r="G873" s="1"/>
      <c r="H873" s="1"/>
      <c r="I873" s="1"/>
      <c r="J873" s="1"/>
      <c r="K873" s="1"/>
      <c r="L873" s="1"/>
      <c r="M873" s="1"/>
      <c r="AU873" s="18"/>
      <c r="AV873" s="18"/>
    </row>
    <row r="874" spans="5:48" x14ac:dyDescent="0.2">
      <c r="E874" s="1"/>
      <c r="F874" s="1"/>
      <c r="G874" s="1"/>
      <c r="H874" s="1"/>
      <c r="I874" s="1"/>
      <c r="J874" s="1"/>
      <c r="K874" s="1"/>
      <c r="L874" s="1"/>
      <c r="M874" s="1"/>
      <c r="AU874" s="18"/>
      <c r="AV874" s="18"/>
    </row>
    <row r="875" spans="5:48" x14ac:dyDescent="0.2">
      <c r="E875" s="1"/>
      <c r="F875" s="1"/>
      <c r="G875" s="1"/>
      <c r="H875" s="1"/>
      <c r="I875" s="1"/>
      <c r="J875" s="1"/>
      <c r="K875" s="1"/>
      <c r="L875" s="1"/>
      <c r="M875" s="1"/>
      <c r="AU875" s="18"/>
      <c r="AV875" s="18"/>
    </row>
    <row r="876" spans="5:48" x14ac:dyDescent="0.2">
      <c r="E876" s="1"/>
      <c r="F876" s="1"/>
      <c r="G876" s="1"/>
      <c r="H876" s="1"/>
      <c r="I876" s="1"/>
      <c r="J876" s="1"/>
      <c r="K876" s="1"/>
      <c r="L876" s="1"/>
      <c r="M876" s="1"/>
      <c r="AU876" s="18"/>
      <c r="AV876" s="18"/>
    </row>
    <row r="877" spans="5:48" x14ac:dyDescent="0.2">
      <c r="E877" s="1"/>
      <c r="F877" s="1"/>
      <c r="G877" s="1"/>
      <c r="H877" s="1"/>
      <c r="I877" s="1"/>
      <c r="J877" s="1"/>
      <c r="K877" s="1"/>
      <c r="L877" s="1"/>
      <c r="M877" s="1"/>
      <c r="AU877" s="18"/>
      <c r="AV877" s="18"/>
    </row>
    <row r="878" spans="5:48" x14ac:dyDescent="0.2">
      <c r="E878" s="1"/>
      <c r="F878" s="1"/>
      <c r="G878" s="1"/>
      <c r="H878" s="1"/>
      <c r="I878" s="1"/>
      <c r="J878" s="1"/>
      <c r="K878" s="1"/>
      <c r="L878" s="1"/>
      <c r="M878" s="1"/>
      <c r="AU878" s="18"/>
      <c r="AV878" s="18"/>
    </row>
    <row r="879" spans="5:48" x14ac:dyDescent="0.2">
      <c r="E879" s="1"/>
      <c r="F879" s="1"/>
      <c r="G879" s="1"/>
      <c r="H879" s="1"/>
      <c r="I879" s="1"/>
      <c r="J879" s="1"/>
      <c r="K879" s="1"/>
      <c r="L879" s="1"/>
      <c r="M879" s="1"/>
      <c r="AU879" s="18"/>
      <c r="AV879" s="18"/>
    </row>
    <row r="880" spans="5:48" x14ac:dyDescent="0.2">
      <c r="E880" s="1"/>
      <c r="F880" s="1"/>
      <c r="G880" s="1"/>
      <c r="H880" s="1"/>
      <c r="I880" s="1"/>
      <c r="J880" s="1"/>
      <c r="K880" s="1"/>
      <c r="L880" s="1"/>
      <c r="M880" s="1"/>
      <c r="AU880" s="18"/>
      <c r="AV880" s="18"/>
    </row>
    <row r="881" spans="5:48" x14ac:dyDescent="0.2">
      <c r="E881" s="1"/>
      <c r="F881" s="1"/>
      <c r="G881" s="1"/>
      <c r="H881" s="1"/>
      <c r="I881" s="1"/>
      <c r="J881" s="1"/>
      <c r="K881" s="1"/>
      <c r="L881" s="1"/>
      <c r="M881" s="1"/>
      <c r="AU881" s="18"/>
      <c r="AV881" s="18"/>
    </row>
    <row r="882" spans="5:48" x14ac:dyDescent="0.2">
      <c r="E882" s="1"/>
      <c r="F882" s="1"/>
      <c r="G882" s="1"/>
      <c r="H882" s="1"/>
      <c r="I882" s="1"/>
      <c r="J882" s="1"/>
      <c r="K882" s="1"/>
      <c r="L882" s="1"/>
      <c r="M882" s="1"/>
      <c r="AU882" s="18"/>
      <c r="AV882" s="18"/>
    </row>
    <row r="883" spans="5:48" x14ac:dyDescent="0.2">
      <c r="E883" s="1"/>
      <c r="F883" s="1"/>
      <c r="G883" s="1"/>
      <c r="H883" s="1"/>
      <c r="I883" s="1"/>
      <c r="J883" s="1"/>
      <c r="K883" s="1"/>
      <c r="L883" s="1"/>
      <c r="M883" s="1"/>
      <c r="AU883" s="18"/>
      <c r="AV883" s="18"/>
    </row>
    <row r="884" spans="5:48" x14ac:dyDescent="0.2">
      <c r="E884" s="1"/>
      <c r="F884" s="1"/>
      <c r="G884" s="1"/>
      <c r="H884" s="1"/>
      <c r="I884" s="1"/>
      <c r="J884" s="1"/>
      <c r="K884" s="1"/>
      <c r="L884" s="1"/>
      <c r="M884" s="1"/>
      <c r="AU884" s="18"/>
      <c r="AV884" s="18"/>
    </row>
    <row r="885" spans="5:48" x14ac:dyDescent="0.2">
      <c r="E885" s="1"/>
      <c r="F885" s="1"/>
      <c r="G885" s="1"/>
      <c r="H885" s="1"/>
      <c r="I885" s="1"/>
      <c r="J885" s="1"/>
      <c r="K885" s="1"/>
      <c r="L885" s="1"/>
      <c r="M885" s="1"/>
      <c r="AU885" s="18"/>
      <c r="AV885" s="18"/>
    </row>
    <row r="886" spans="5:48" x14ac:dyDescent="0.2">
      <c r="E886" s="1"/>
      <c r="F886" s="1"/>
      <c r="G886" s="1"/>
      <c r="H886" s="1"/>
      <c r="I886" s="1"/>
      <c r="J886" s="1"/>
      <c r="K886" s="1"/>
      <c r="L886" s="1"/>
      <c r="M886" s="1"/>
      <c r="AU886" s="18"/>
      <c r="AV886" s="18"/>
    </row>
    <row r="887" spans="5:48" x14ac:dyDescent="0.2">
      <c r="E887" s="1"/>
      <c r="F887" s="1"/>
      <c r="G887" s="1"/>
      <c r="H887" s="1"/>
      <c r="I887" s="1"/>
      <c r="J887" s="1"/>
      <c r="K887" s="1"/>
      <c r="L887" s="1"/>
      <c r="M887" s="1"/>
      <c r="AU887" s="18"/>
      <c r="AV887" s="18"/>
    </row>
    <row r="888" spans="5:48" x14ac:dyDescent="0.2">
      <c r="E888" s="1"/>
      <c r="F888" s="1"/>
      <c r="G888" s="1"/>
      <c r="H888" s="1"/>
      <c r="I888" s="1"/>
      <c r="J888" s="1"/>
      <c r="K888" s="1"/>
      <c r="L888" s="1"/>
      <c r="M888" s="1"/>
      <c r="AU888" s="18"/>
      <c r="AV888" s="18"/>
    </row>
    <row r="889" spans="5:48" x14ac:dyDescent="0.2">
      <c r="E889" s="1"/>
      <c r="F889" s="1"/>
      <c r="G889" s="1"/>
      <c r="H889" s="1"/>
      <c r="I889" s="1"/>
      <c r="J889" s="1"/>
      <c r="K889" s="1"/>
      <c r="L889" s="1"/>
      <c r="M889" s="1"/>
      <c r="AU889" s="18"/>
      <c r="AV889" s="18"/>
    </row>
    <row r="890" spans="5:48" x14ac:dyDescent="0.2">
      <c r="E890" s="1"/>
      <c r="F890" s="1"/>
      <c r="G890" s="1"/>
      <c r="H890" s="1"/>
      <c r="I890" s="1"/>
      <c r="J890" s="1"/>
      <c r="K890" s="1"/>
      <c r="L890" s="1"/>
      <c r="M890" s="1"/>
      <c r="AU890" s="18"/>
      <c r="AV890" s="18"/>
    </row>
    <row r="891" spans="5:48" x14ac:dyDescent="0.2">
      <c r="E891" s="1"/>
      <c r="F891" s="1"/>
      <c r="G891" s="1"/>
      <c r="H891" s="1"/>
      <c r="I891" s="1"/>
      <c r="J891" s="1"/>
      <c r="K891" s="1"/>
      <c r="L891" s="1"/>
      <c r="M891" s="1"/>
      <c r="AU891" s="18"/>
      <c r="AV891" s="18"/>
    </row>
    <row r="892" spans="5:48" x14ac:dyDescent="0.2">
      <c r="E892" s="1"/>
      <c r="F892" s="1"/>
      <c r="G892" s="1"/>
      <c r="H892" s="1"/>
      <c r="I892" s="1"/>
      <c r="J892" s="1"/>
      <c r="K892" s="1"/>
      <c r="L892" s="1"/>
      <c r="M892" s="1"/>
      <c r="AU892" s="18"/>
      <c r="AV892" s="18"/>
    </row>
    <row r="893" spans="5:48" x14ac:dyDescent="0.2">
      <c r="E893" s="1"/>
      <c r="F893" s="1"/>
      <c r="G893" s="1"/>
      <c r="H893" s="1"/>
      <c r="I893" s="1"/>
      <c r="J893" s="1"/>
      <c r="K893" s="1"/>
      <c r="L893" s="1"/>
      <c r="M893" s="1"/>
      <c r="AU893" s="18"/>
      <c r="AV893" s="18"/>
    </row>
    <row r="894" spans="5:48" x14ac:dyDescent="0.2">
      <c r="E894" s="1"/>
      <c r="F894" s="1"/>
      <c r="G894" s="1"/>
      <c r="H894" s="1"/>
      <c r="I894" s="1"/>
      <c r="J894" s="1"/>
      <c r="K894" s="1"/>
      <c r="L894" s="1"/>
      <c r="M894" s="1"/>
      <c r="AU894" s="18"/>
      <c r="AV894" s="18"/>
    </row>
    <row r="895" spans="5:48" x14ac:dyDescent="0.2">
      <c r="E895" s="1"/>
      <c r="F895" s="1"/>
      <c r="G895" s="1"/>
      <c r="H895" s="1"/>
      <c r="I895" s="1"/>
      <c r="J895" s="1"/>
      <c r="K895" s="1"/>
      <c r="L895" s="1"/>
      <c r="M895" s="1"/>
      <c r="AU895" s="18"/>
      <c r="AV895" s="18"/>
    </row>
    <row r="896" spans="5:48" x14ac:dyDescent="0.2">
      <c r="E896" s="1"/>
      <c r="F896" s="1"/>
      <c r="G896" s="1"/>
      <c r="H896" s="1"/>
      <c r="I896" s="1"/>
      <c r="J896" s="1"/>
      <c r="K896" s="1"/>
      <c r="L896" s="1"/>
      <c r="M896" s="1"/>
      <c r="AU896" s="18"/>
      <c r="AV896" s="18"/>
    </row>
    <row r="897" spans="5:48" x14ac:dyDescent="0.2">
      <c r="E897" s="1"/>
      <c r="F897" s="1"/>
      <c r="G897" s="1"/>
      <c r="H897" s="1"/>
      <c r="I897" s="1"/>
      <c r="J897" s="1"/>
      <c r="K897" s="1"/>
      <c r="L897" s="1"/>
      <c r="M897" s="1"/>
      <c r="AU897" s="18"/>
      <c r="AV897" s="18"/>
    </row>
    <row r="898" spans="5:48" x14ac:dyDescent="0.2">
      <c r="E898" s="1"/>
      <c r="F898" s="1"/>
      <c r="G898" s="1"/>
      <c r="H898" s="1"/>
      <c r="I898" s="1"/>
      <c r="J898" s="1"/>
      <c r="K898" s="1"/>
      <c r="L898" s="1"/>
      <c r="M898" s="1"/>
      <c r="AU898" s="18"/>
      <c r="AV898" s="18"/>
    </row>
    <row r="899" spans="5:48" x14ac:dyDescent="0.2">
      <c r="E899" s="1"/>
      <c r="F899" s="1"/>
      <c r="G899" s="1"/>
      <c r="H899" s="1"/>
      <c r="I899" s="1"/>
      <c r="J899" s="1"/>
      <c r="K899" s="1"/>
      <c r="L899" s="1"/>
      <c r="M899" s="1"/>
      <c r="AU899" s="18"/>
      <c r="AV899" s="18"/>
    </row>
    <row r="900" spans="5:48" x14ac:dyDescent="0.2">
      <c r="E900" s="1"/>
      <c r="F900" s="1"/>
      <c r="G900" s="1"/>
      <c r="H900" s="1"/>
      <c r="I900" s="1"/>
      <c r="J900" s="1"/>
      <c r="K900" s="1"/>
      <c r="L900" s="1"/>
      <c r="M900" s="1"/>
      <c r="AU900" s="18"/>
      <c r="AV900" s="18"/>
    </row>
    <row r="901" spans="5:48" x14ac:dyDescent="0.2">
      <c r="E901" s="1"/>
      <c r="F901" s="1"/>
      <c r="G901" s="1"/>
      <c r="H901" s="1"/>
      <c r="I901" s="1"/>
      <c r="J901" s="1"/>
      <c r="K901" s="1"/>
      <c r="L901" s="1"/>
      <c r="M901" s="1"/>
      <c r="AU901" s="18"/>
      <c r="AV901" s="18"/>
    </row>
    <row r="902" spans="5:48" x14ac:dyDescent="0.2">
      <c r="E902" s="1"/>
      <c r="F902" s="1"/>
      <c r="G902" s="1"/>
      <c r="H902" s="1"/>
      <c r="I902" s="1"/>
      <c r="J902" s="1"/>
      <c r="K902" s="1"/>
      <c r="L902" s="1"/>
      <c r="M902" s="1"/>
      <c r="AU902" s="18"/>
      <c r="AV902" s="18"/>
    </row>
    <row r="903" spans="5:48" x14ac:dyDescent="0.2">
      <c r="E903" s="1"/>
      <c r="F903" s="1"/>
      <c r="G903" s="1"/>
      <c r="H903" s="1"/>
      <c r="I903" s="1"/>
      <c r="J903" s="1"/>
      <c r="K903" s="1"/>
      <c r="L903" s="1"/>
      <c r="M903" s="1"/>
      <c r="AU903" s="18"/>
      <c r="AV903" s="18"/>
    </row>
    <row r="904" spans="5:48" x14ac:dyDescent="0.2">
      <c r="E904" s="1"/>
      <c r="F904" s="1"/>
      <c r="G904" s="1"/>
      <c r="H904" s="1"/>
      <c r="I904" s="1"/>
      <c r="J904" s="1"/>
      <c r="K904" s="1"/>
      <c r="L904" s="1"/>
      <c r="M904" s="1"/>
      <c r="AU904" s="18"/>
      <c r="AV904" s="18"/>
    </row>
    <row r="905" spans="5:48" x14ac:dyDescent="0.2">
      <c r="E905" s="1"/>
      <c r="F905" s="1"/>
      <c r="G905" s="1"/>
      <c r="H905" s="1"/>
      <c r="I905" s="1"/>
      <c r="J905" s="1"/>
      <c r="K905" s="1"/>
      <c r="L905" s="1"/>
      <c r="M905" s="1"/>
      <c r="AU905" s="18"/>
      <c r="AV905" s="18"/>
    </row>
    <row r="906" spans="5:48" x14ac:dyDescent="0.2">
      <c r="E906" s="1"/>
      <c r="F906" s="1"/>
      <c r="G906" s="1"/>
      <c r="H906" s="1"/>
      <c r="I906" s="1"/>
      <c r="J906" s="1"/>
      <c r="K906" s="1"/>
      <c r="L906" s="1"/>
      <c r="M906" s="1"/>
      <c r="AU906" s="18"/>
      <c r="AV906" s="18"/>
    </row>
    <row r="907" spans="5:48" x14ac:dyDescent="0.2">
      <c r="E907" s="1"/>
      <c r="F907" s="1"/>
      <c r="G907" s="1"/>
      <c r="H907" s="1"/>
      <c r="I907" s="1"/>
      <c r="J907" s="1"/>
      <c r="K907" s="1"/>
      <c r="L907" s="1"/>
      <c r="M907" s="1"/>
      <c r="AU907" s="18"/>
      <c r="AV907" s="18"/>
    </row>
    <row r="908" spans="5:48" x14ac:dyDescent="0.2">
      <c r="E908" s="1"/>
      <c r="F908" s="1"/>
      <c r="G908" s="1"/>
      <c r="H908" s="1"/>
      <c r="I908" s="1"/>
      <c r="J908" s="1"/>
      <c r="K908" s="1"/>
      <c r="L908" s="1"/>
      <c r="M908" s="1"/>
      <c r="AU908" s="18"/>
      <c r="AV908" s="18"/>
    </row>
    <row r="909" spans="5:48" x14ac:dyDescent="0.2">
      <c r="E909" s="1"/>
      <c r="F909" s="1"/>
      <c r="G909" s="1"/>
      <c r="H909" s="1"/>
      <c r="I909" s="1"/>
      <c r="J909" s="1"/>
      <c r="K909" s="1"/>
      <c r="L909" s="1"/>
      <c r="M909" s="1"/>
      <c r="AU909" s="18"/>
      <c r="AV909" s="18"/>
    </row>
    <row r="910" spans="5:48" x14ac:dyDescent="0.2">
      <c r="E910" s="1"/>
      <c r="F910" s="1"/>
      <c r="G910" s="1"/>
      <c r="H910" s="1"/>
      <c r="I910" s="1"/>
      <c r="J910" s="1"/>
      <c r="K910" s="1"/>
      <c r="L910" s="1"/>
      <c r="M910" s="1"/>
      <c r="AU910" s="18"/>
      <c r="AV910" s="18"/>
    </row>
    <row r="911" spans="5:48" x14ac:dyDescent="0.2">
      <c r="E911" s="1"/>
      <c r="F911" s="1"/>
      <c r="G911" s="1"/>
      <c r="H911" s="1"/>
      <c r="I911" s="1"/>
      <c r="J911" s="1"/>
      <c r="K911" s="1"/>
      <c r="L911" s="1"/>
      <c r="M911" s="1"/>
      <c r="AU911" s="18"/>
      <c r="AV911" s="18"/>
    </row>
    <row r="912" spans="5:48" x14ac:dyDescent="0.2">
      <c r="E912" s="1"/>
      <c r="F912" s="1"/>
      <c r="G912" s="1"/>
      <c r="H912" s="1"/>
      <c r="I912" s="1"/>
      <c r="J912" s="1"/>
      <c r="K912" s="1"/>
      <c r="L912" s="1"/>
      <c r="M912" s="1"/>
      <c r="AU912" s="18"/>
      <c r="AV912" s="18"/>
    </row>
    <row r="913" spans="5:48" x14ac:dyDescent="0.2">
      <c r="E913" s="1"/>
      <c r="F913" s="1"/>
      <c r="G913" s="1"/>
      <c r="H913" s="1"/>
      <c r="I913" s="1"/>
      <c r="J913" s="1"/>
      <c r="K913" s="1"/>
      <c r="L913" s="1"/>
      <c r="M913" s="1"/>
      <c r="AU913" s="18"/>
      <c r="AV913" s="18"/>
    </row>
    <row r="914" spans="5:48" x14ac:dyDescent="0.2">
      <c r="E914" s="1"/>
      <c r="F914" s="1"/>
      <c r="G914" s="1"/>
      <c r="H914" s="1"/>
      <c r="I914" s="1"/>
      <c r="J914" s="1"/>
      <c r="K914" s="1"/>
      <c r="L914" s="1"/>
      <c r="M914" s="1"/>
      <c r="AU914" s="18"/>
      <c r="AV914" s="18"/>
    </row>
    <row r="915" spans="5:48" x14ac:dyDescent="0.2">
      <c r="E915" s="1"/>
      <c r="F915" s="1"/>
      <c r="G915" s="1"/>
      <c r="H915" s="1"/>
      <c r="I915" s="1"/>
      <c r="J915" s="1"/>
      <c r="K915" s="1"/>
      <c r="L915" s="1"/>
      <c r="M915" s="1"/>
      <c r="AU915" s="18"/>
      <c r="AV915" s="18"/>
    </row>
    <row r="916" spans="5:48" x14ac:dyDescent="0.2">
      <c r="E916" s="1"/>
      <c r="F916" s="1"/>
      <c r="G916" s="1"/>
      <c r="H916" s="1"/>
      <c r="I916" s="1"/>
      <c r="J916" s="1"/>
      <c r="K916" s="1"/>
      <c r="L916" s="1"/>
      <c r="M916" s="1"/>
      <c r="AU916" s="18"/>
      <c r="AV916" s="18"/>
    </row>
    <row r="917" spans="5:48" x14ac:dyDescent="0.2">
      <c r="E917" s="1"/>
      <c r="F917" s="1"/>
      <c r="G917" s="1"/>
      <c r="H917" s="1"/>
      <c r="I917" s="1"/>
      <c r="J917" s="1"/>
      <c r="K917" s="1"/>
      <c r="L917" s="1"/>
      <c r="M917" s="1"/>
      <c r="AU917" s="18"/>
      <c r="AV917" s="18"/>
    </row>
    <row r="918" spans="5:48" x14ac:dyDescent="0.2">
      <c r="E918" s="1"/>
      <c r="F918" s="1"/>
      <c r="G918" s="1"/>
      <c r="H918" s="1"/>
      <c r="I918" s="1"/>
      <c r="J918" s="1"/>
      <c r="K918" s="1"/>
      <c r="L918" s="1"/>
      <c r="M918" s="1"/>
      <c r="AU918" s="18"/>
      <c r="AV918" s="18"/>
    </row>
    <row r="919" spans="5:48" x14ac:dyDescent="0.2">
      <c r="E919" s="1"/>
      <c r="F919" s="1"/>
      <c r="G919" s="1"/>
      <c r="H919" s="1"/>
      <c r="I919" s="1"/>
      <c r="J919" s="1"/>
      <c r="K919" s="1"/>
      <c r="L919" s="1"/>
      <c r="M919" s="1"/>
      <c r="AU919" s="18"/>
      <c r="AV919" s="18"/>
    </row>
    <row r="920" spans="5:48" x14ac:dyDescent="0.2">
      <c r="E920" s="1"/>
      <c r="F920" s="1"/>
      <c r="G920" s="1"/>
      <c r="H920" s="1"/>
      <c r="I920" s="1"/>
      <c r="J920" s="1"/>
      <c r="K920" s="1"/>
      <c r="L920" s="1"/>
      <c r="M920" s="1"/>
      <c r="AU920" s="18"/>
      <c r="AV920" s="18"/>
    </row>
    <row r="921" spans="5:48" x14ac:dyDescent="0.2">
      <c r="E921" s="1"/>
      <c r="F921" s="1"/>
      <c r="G921" s="1"/>
      <c r="H921" s="1"/>
      <c r="I921" s="1"/>
      <c r="J921" s="1"/>
      <c r="K921" s="1"/>
      <c r="L921" s="1"/>
      <c r="M921" s="1"/>
      <c r="AU921" s="18"/>
      <c r="AV921" s="18"/>
    </row>
    <row r="922" spans="5:48" x14ac:dyDescent="0.2">
      <c r="E922" s="1"/>
      <c r="F922" s="1"/>
      <c r="G922" s="1"/>
      <c r="H922" s="1"/>
      <c r="I922" s="1"/>
      <c r="J922" s="1"/>
      <c r="K922" s="1"/>
      <c r="L922" s="1"/>
      <c r="M922" s="1"/>
      <c r="AU922" s="18"/>
      <c r="AV922" s="18"/>
    </row>
    <row r="923" spans="5:48" x14ac:dyDescent="0.2">
      <c r="E923" s="1"/>
      <c r="F923" s="1"/>
      <c r="G923" s="1"/>
      <c r="H923" s="1"/>
      <c r="I923" s="1"/>
      <c r="J923" s="1"/>
      <c r="K923" s="1"/>
      <c r="L923" s="1"/>
      <c r="M923" s="1"/>
      <c r="AU923" s="18"/>
      <c r="AV923" s="18"/>
    </row>
    <row r="924" spans="5:48" x14ac:dyDescent="0.2">
      <c r="E924" s="1"/>
      <c r="F924" s="1"/>
      <c r="G924" s="1"/>
      <c r="H924" s="1"/>
      <c r="I924" s="1"/>
      <c r="J924" s="1"/>
      <c r="K924" s="1"/>
      <c r="L924" s="1"/>
      <c r="M924" s="1"/>
      <c r="AU924" s="18"/>
      <c r="AV924" s="18"/>
    </row>
    <row r="925" spans="5:48" x14ac:dyDescent="0.2">
      <c r="E925" s="1"/>
      <c r="F925" s="1"/>
      <c r="G925" s="1"/>
      <c r="H925" s="1"/>
      <c r="I925" s="1"/>
      <c r="J925" s="1"/>
      <c r="K925" s="1"/>
      <c r="L925" s="1"/>
      <c r="M925" s="1"/>
      <c r="AU925" s="18"/>
      <c r="AV925" s="18"/>
    </row>
    <row r="926" spans="5:48" x14ac:dyDescent="0.2">
      <c r="E926" s="1"/>
      <c r="F926" s="1"/>
      <c r="G926" s="1"/>
      <c r="H926" s="1"/>
      <c r="I926" s="1"/>
      <c r="J926" s="1"/>
      <c r="K926" s="1"/>
      <c r="L926" s="1"/>
      <c r="M926" s="1"/>
      <c r="AU926" s="18"/>
      <c r="AV926" s="18"/>
    </row>
    <row r="927" spans="5:48" x14ac:dyDescent="0.2">
      <c r="E927" s="1"/>
      <c r="F927" s="1"/>
      <c r="G927" s="1"/>
      <c r="H927" s="1"/>
      <c r="I927" s="1"/>
      <c r="J927" s="1"/>
      <c r="K927" s="1"/>
      <c r="L927" s="1"/>
      <c r="M927" s="1"/>
      <c r="AU927" s="18"/>
      <c r="AV927" s="18"/>
    </row>
    <row r="928" spans="5:48" x14ac:dyDescent="0.2">
      <c r="E928" s="1"/>
      <c r="F928" s="1"/>
      <c r="G928" s="1"/>
      <c r="H928" s="1"/>
      <c r="I928" s="1"/>
      <c r="J928" s="1"/>
      <c r="K928" s="1"/>
      <c r="L928" s="1"/>
      <c r="M928" s="1"/>
      <c r="AU928" s="18"/>
      <c r="AV928" s="18"/>
    </row>
    <row r="929" spans="5:48" x14ac:dyDescent="0.2">
      <c r="E929" s="1"/>
      <c r="F929" s="1"/>
      <c r="G929" s="1"/>
      <c r="H929" s="1"/>
      <c r="I929" s="1"/>
      <c r="J929" s="1"/>
      <c r="K929" s="1"/>
      <c r="L929" s="1"/>
      <c r="M929" s="1"/>
      <c r="AU929" s="18"/>
      <c r="AV929" s="18"/>
    </row>
    <row r="930" spans="5:48" x14ac:dyDescent="0.2">
      <c r="E930" s="1"/>
      <c r="F930" s="1"/>
      <c r="G930" s="1"/>
      <c r="H930" s="1"/>
      <c r="I930" s="1"/>
      <c r="J930" s="1"/>
      <c r="K930" s="1"/>
      <c r="L930" s="1"/>
      <c r="M930" s="1"/>
      <c r="AU930" s="18"/>
      <c r="AV930" s="18"/>
    </row>
    <row r="931" spans="5:48" x14ac:dyDescent="0.2">
      <c r="E931" s="1"/>
      <c r="F931" s="1"/>
      <c r="G931" s="1"/>
      <c r="H931" s="1"/>
      <c r="I931" s="1"/>
      <c r="J931" s="1"/>
      <c r="K931" s="1"/>
      <c r="L931" s="1"/>
      <c r="M931" s="1"/>
      <c r="AU931" s="18"/>
      <c r="AV931" s="18"/>
    </row>
    <row r="932" spans="5:48" x14ac:dyDescent="0.2">
      <c r="E932" s="1"/>
      <c r="F932" s="1"/>
      <c r="G932" s="1"/>
      <c r="H932" s="1"/>
      <c r="I932" s="1"/>
      <c r="J932" s="1"/>
      <c r="K932" s="1"/>
      <c r="L932" s="1"/>
      <c r="M932" s="1"/>
      <c r="AU932" s="18"/>
      <c r="AV932" s="18"/>
    </row>
    <row r="933" spans="5:48" x14ac:dyDescent="0.2">
      <c r="E933" s="1"/>
      <c r="F933" s="1"/>
      <c r="G933" s="1"/>
      <c r="H933" s="1"/>
      <c r="I933" s="1"/>
      <c r="J933" s="1"/>
      <c r="K933" s="1"/>
      <c r="L933" s="1"/>
      <c r="M933" s="1"/>
      <c r="AU933" s="18"/>
      <c r="AV933" s="18"/>
    </row>
    <row r="934" spans="5:48" x14ac:dyDescent="0.2">
      <c r="E934" s="1"/>
      <c r="F934" s="1"/>
      <c r="G934" s="1"/>
      <c r="H934" s="1"/>
      <c r="I934" s="1"/>
      <c r="J934" s="1"/>
      <c r="K934" s="1"/>
      <c r="L934" s="1"/>
      <c r="M934" s="1"/>
      <c r="AU934" s="18"/>
      <c r="AV934" s="18"/>
    </row>
    <row r="935" spans="5:48" x14ac:dyDescent="0.2">
      <c r="E935" s="1"/>
      <c r="F935" s="1"/>
      <c r="G935" s="1"/>
      <c r="H935" s="1"/>
      <c r="I935" s="1"/>
      <c r="J935" s="1"/>
      <c r="K935" s="1"/>
      <c r="L935" s="1"/>
      <c r="M935" s="1"/>
      <c r="AU935" s="18"/>
      <c r="AV935" s="18"/>
    </row>
    <row r="936" spans="5:48" x14ac:dyDescent="0.2">
      <c r="E936" s="1"/>
      <c r="F936" s="1"/>
      <c r="G936" s="1"/>
      <c r="H936" s="1"/>
      <c r="I936" s="1"/>
      <c r="J936" s="1"/>
      <c r="K936" s="1"/>
      <c r="L936" s="1"/>
      <c r="M936" s="1"/>
      <c r="AU936" s="18"/>
      <c r="AV936" s="18"/>
    </row>
    <row r="937" spans="5:48" x14ac:dyDescent="0.2">
      <c r="E937" s="1"/>
      <c r="F937" s="1"/>
      <c r="G937" s="1"/>
      <c r="H937" s="1"/>
      <c r="I937" s="1"/>
      <c r="J937" s="1"/>
      <c r="K937" s="1"/>
      <c r="L937" s="1"/>
      <c r="M937" s="1"/>
      <c r="AU937" s="18"/>
      <c r="AV937" s="18"/>
    </row>
    <row r="938" spans="5:48" x14ac:dyDescent="0.2">
      <c r="E938" s="1"/>
      <c r="F938" s="1"/>
      <c r="G938" s="1"/>
      <c r="H938" s="1"/>
      <c r="I938" s="1"/>
      <c r="J938" s="1"/>
      <c r="K938" s="1"/>
      <c r="L938" s="1"/>
      <c r="M938" s="1"/>
      <c r="AU938" s="18"/>
      <c r="AV938" s="18"/>
    </row>
    <row r="939" spans="5:48" x14ac:dyDescent="0.2">
      <c r="E939" s="1"/>
      <c r="F939" s="1"/>
      <c r="G939" s="1"/>
      <c r="H939" s="1"/>
      <c r="I939" s="1"/>
      <c r="J939" s="1"/>
      <c r="K939" s="1"/>
      <c r="L939" s="1"/>
      <c r="M939" s="1"/>
      <c r="AU939" s="18"/>
      <c r="AV939" s="18"/>
    </row>
    <row r="940" spans="5:48" x14ac:dyDescent="0.2">
      <c r="E940" s="1"/>
      <c r="F940" s="1"/>
      <c r="G940" s="1"/>
      <c r="H940" s="1"/>
      <c r="I940" s="1"/>
      <c r="J940" s="1"/>
      <c r="K940" s="1"/>
      <c r="L940" s="1"/>
      <c r="M940" s="1"/>
      <c r="AU940" s="18"/>
      <c r="AV940" s="18"/>
    </row>
    <row r="941" spans="5:48" x14ac:dyDescent="0.2">
      <c r="E941" s="1"/>
      <c r="F941" s="1"/>
      <c r="G941" s="1"/>
      <c r="H941" s="1"/>
      <c r="I941" s="1"/>
      <c r="J941" s="1"/>
      <c r="K941" s="1"/>
      <c r="L941" s="1"/>
      <c r="M941" s="1"/>
      <c r="AU941" s="18"/>
      <c r="AV941" s="18"/>
    </row>
    <row r="942" spans="5:48" x14ac:dyDescent="0.2">
      <c r="E942" s="1"/>
      <c r="F942" s="1"/>
      <c r="G942" s="1"/>
      <c r="H942" s="1"/>
      <c r="I942" s="1"/>
      <c r="J942" s="1"/>
      <c r="K942" s="1"/>
      <c r="L942" s="1"/>
      <c r="M942" s="1"/>
      <c r="AU942" s="18"/>
      <c r="AV942" s="18"/>
    </row>
    <row r="943" spans="5:48" x14ac:dyDescent="0.2">
      <c r="E943" s="1"/>
      <c r="F943" s="1"/>
      <c r="G943" s="1"/>
      <c r="H943" s="1"/>
      <c r="I943" s="1"/>
      <c r="J943" s="1"/>
      <c r="K943" s="1"/>
      <c r="L943" s="1"/>
      <c r="M943" s="1"/>
      <c r="AU943" s="18"/>
      <c r="AV943" s="18"/>
    </row>
    <row r="944" spans="5:48" x14ac:dyDescent="0.2">
      <c r="E944" s="1"/>
      <c r="F944" s="1"/>
      <c r="G944" s="1"/>
      <c r="H944" s="1"/>
      <c r="I944" s="1"/>
      <c r="J944" s="1"/>
      <c r="K944" s="1"/>
      <c r="L944" s="1"/>
      <c r="M944" s="1"/>
      <c r="AU944" s="18"/>
      <c r="AV944" s="18"/>
    </row>
    <row r="945" spans="5:48" x14ac:dyDescent="0.2">
      <c r="E945" s="1"/>
      <c r="F945" s="1"/>
      <c r="G945" s="1"/>
      <c r="H945" s="1"/>
      <c r="I945" s="1"/>
      <c r="J945" s="1"/>
      <c r="K945" s="1"/>
      <c r="L945" s="1"/>
      <c r="M945" s="1"/>
      <c r="AU945" s="18"/>
      <c r="AV945" s="18"/>
    </row>
    <row r="946" spans="5:48" x14ac:dyDescent="0.2">
      <c r="E946" s="1"/>
      <c r="F946" s="1"/>
      <c r="G946" s="1"/>
      <c r="H946" s="1"/>
      <c r="I946" s="1"/>
      <c r="J946" s="1"/>
      <c r="K946" s="1"/>
      <c r="L946" s="1"/>
      <c r="M946" s="1"/>
      <c r="AU946" s="18"/>
      <c r="AV946" s="18"/>
    </row>
    <row r="947" spans="5:48" x14ac:dyDescent="0.2">
      <c r="E947" s="1"/>
      <c r="F947" s="1"/>
      <c r="G947" s="1"/>
      <c r="H947" s="1"/>
      <c r="I947" s="1"/>
      <c r="J947" s="1"/>
      <c r="K947" s="1"/>
      <c r="L947" s="1"/>
      <c r="M947" s="1"/>
      <c r="AU947" s="18"/>
      <c r="AV947" s="18"/>
    </row>
    <row r="948" spans="5:48" x14ac:dyDescent="0.2">
      <c r="E948" s="1"/>
      <c r="F948" s="1"/>
      <c r="G948" s="1"/>
      <c r="H948" s="1"/>
      <c r="I948" s="1"/>
      <c r="J948" s="1"/>
      <c r="K948" s="1"/>
      <c r="L948" s="1"/>
      <c r="M948" s="1"/>
      <c r="AU948" s="18"/>
      <c r="AV948" s="18"/>
    </row>
    <row r="949" spans="5:48" x14ac:dyDescent="0.2">
      <c r="E949" s="1"/>
      <c r="F949" s="1"/>
      <c r="G949" s="1"/>
      <c r="H949" s="1"/>
      <c r="I949" s="1"/>
      <c r="J949" s="1"/>
      <c r="K949" s="1"/>
      <c r="L949" s="1"/>
      <c r="M949" s="1"/>
      <c r="AU949" s="18"/>
      <c r="AV949" s="18"/>
    </row>
    <row r="950" spans="5:48" x14ac:dyDescent="0.2">
      <c r="E950" s="1"/>
      <c r="F950" s="1"/>
      <c r="G950" s="1"/>
      <c r="H950" s="1"/>
      <c r="I950" s="1"/>
      <c r="J950" s="1"/>
      <c r="K950" s="1"/>
      <c r="L950" s="1"/>
      <c r="M950" s="1"/>
      <c r="AU950" s="18"/>
      <c r="AV950" s="18"/>
    </row>
    <row r="951" spans="5:48" x14ac:dyDescent="0.2">
      <c r="E951" s="1"/>
      <c r="F951" s="1"/>
      <c r="G951" s="1"/>
      <c r="H951" s="1"/>
      <c r="I951" s="1"/>
      <c r="J951" s="1"/>
      <c r="K951" s="1"/>
      <c r="L951" s="1"/>
      <c r="M951" s="1"/>
      <c r="AU951" s="18"/>
      <c r="AV951" s="18"/>
    </row>
    <row r="952" spans="5:48" x14ac:dyDescent="0.2">
      <c r="E952" s="1"/>
      <c r="F952" s="1"/>
      <c r="G952" s="1"/>
      <c r="H952" s="1"/>
      <c r="I952" s="1"/>
      <c r="J952" s="1"/>
      <c r="K952" s="1"/>
      <c r="L952" s="1"/>
      <c r="M952" s="1"/>
      <c r="AU952" s="18"/>
      <c r="AV952" s="18"/>
    </row>
    <row r="953" spans="5:48" x14ac:dyDescent="0.2">
      <c r="E953" s="1"/>
      <c r="F953" s="1"/>
      <c r="G953" s="1"/>
      <c r="H953" s="1"/>
      <c r="I953" s="1"/>
      <c r="J953" s="1"/>
      <c r="K953" s="1"/>
      <c r="L953" s="1"/>
      <c r="M953" s="1"/>
      <c r="AU953" s="18"/>
      <c r="AV953" s="18"/>
    </row>
    <row r="954" spans="5:48" x14ac:dyDescent="0.2">
      <c r="E954" s="1"/>
      <c r="F954" s="1"/>
      <c r="G954" s="1"/>
      <c r="H954" s="1"/>
      <c r="I954" s="1"/>
      <c r="J954" s="1"/>
      <c r="K954" s="1"/>
      <c r="L954" s="1"/>
      <c r="M954" s="1"/>
      <c r="AU954" s="18"/>
      <c r="AV954" s="18"/>
    </row>
    <row r="955" spans="5:48" x14ac:dyDescent="0.2">
      <c r="E955" s="1"/>
      <c r="F955" s="1"/>
      <c r="G955" s="1"/>
      <c r="H955" s="1"/>
      <c r="I955" s="1"/>
      <c r="J955" s="1"/>
      <c r="K955" s="1"/>
      <c r="L955" s="1"/>
      <c r="M955" s="1"/>
      <c r="AU955" s="18"/>
      <c r="AV955" s="18"/>
    </row>
    <row r="956" spans="5:48" x14ac:dyDescent="0.2">
      <c r="E956" s="1"/>
      <c r="F956" s="1"/>
      <c r="G956" s="1"/>
      <c r="H956" s="1"/>
      <c r="I956" s="1"/>
      <c r="J956" s="1"/>
      <c r="K956" s="1"/>
      <c r="L956" s="1"/>
      <c r="M956" s="1"/>
      <c r="AU956" s="18"/>
      <c r="AV956" s="18"/>
    </row>
    <row r="957" spans="5:48" x14ac:dyDescent="0.2">
      <c r="E957" s="1"/>
      <c r="F957" s="1"/>
      <c r="G957" s="1"/>
      <c r="H957" s="1"/>
      <c r="I957" s="1"/>
      <c r="J957" s="1"/>
      <c r="K957" s="1"/>
      <c r="L957" s="1"/>
      <c r="M957" s="1"/>
      <c r="AU957" s="18"/>
      <c r="AV957" s="18"/>
    </row>
    <row r="958" spans="5:48" x14ac:dyDescent="0.2">
      <c r="E958" s="1"/>
      <c r="F958" s="1"/>
      <c r="G958" s="1"/>
      <c r="H958" s="1"/>
      <c r="I958" s="1"/>
      <c r="J958" s="1"/>
      <c r="K958" s="1"/>
      <c r="L958" s="1"/>
      <c r="M958" s="1"/>
      <c r="AU958" s="18"/>
      <c r="AV958" s="18"/>
    </row>
    <row r="959" spans="5:48" x14ac:dyDescent="0.2">
      <c r="E959" s="1"/>
      <c r="F959" s="1"/>
      <c r="G959" s="1"/>
      <c r="H959" s="1"/>
      <c r="I959" s="1"/>
      <c r="J959" s="1"/>
      <c r="K959" s="1"/>
      <c r="L959" s="1"/>
      <c r="M959" s="1"/>
      <c r="AU959" s="18"/>
      <c r="AV959" s="18"/>
    </row>
    <row r="960" spans="5:48" x14ac:dyDescent="0.2">
      <c r="E960" s="1"/>
      <c r="F960" s="1"/>
      <c r="G960" s="1"/>
      <c r="H960" s="1"/>
      <c r="I960" s="1"/>
      <c r="J960" s="1"/>
      <c r="K960" s="1"/>
      <c r="L960" s="1"/>
      <c r="M960" s="1"/>
      <c r="AU960" s="18"/>
      <c r="AV960" s="18"/>
    </row>
    <row r="961" spans="5:48" x14ac:dyDescent="0.2">
      <c r="E961" s="1"/>
      <c r="F961" s="1"/>
      <c r="G961" s="1"/>
      <c r="H961" s="1"/>
      <c r="I961" s="1"/>
      <c r="J961" s="1"/>
      <c r="K961" s="1"/>
      <c r="L961" s="1"/>
      <c r="M961" s="1"/>
      <c r="AU961" s="18"/>
      <c r="AV961" s="18"/>
    </row>
    <row r="962" spans="5:48" x14ac:dyDescent="0.2">
      <c r="E962" s="1"/>
      <c r="F962" s="1"/>
      <c r="G962" s="1"/>
      <c r="H962" s="1"/>
      <c r="I962" s="1"/>
      <c r="J962" s="1"/>
      <c r="K962" s="1"/>
      <c r="L962" s="1"/>
      <c r="M962" s="1"/>
      <c r="AU962" s="18"/>
      <c r="AV962" s="18"/>
    </row>
    <row r="963" spans="5:48" x14ac:dyDescent="0.2">
      <c r="E963" s="1"/>
      <c r="F963" s="1"/>
      <c r="G963" s="1"/>
      <c r="H963" s="1"/>
      <c r="I963" s="1"/>
      <c r="J963" s="1"/>
      <c r="K963" s="1"/>
      <c r="L963" s="1"/>
      <c r="M963" s="1"/>
      <c r="AU963" s="18"/>
      <c r="AV963" s="18"/>
    </row>
    <row r="964" spans="5:48" x14ac:dyDescent="0.2">
      <c r="E964" s="1"/>
      <c r="F964" s="1"/>
      <c r="G964" s="1"/>
      <c r="H964" s="1"/>
      <c r="I964" s="1"/>
      <c r="J964" s="1"/>
      <c r="K964" s="1"/>
      <c r="L964" s="1"/>
      <c r="M964" s="1"/>
      <c r="AU964" s="18"/>
      <c r="AV964" s="18"/>
    </row>
    <row r="965" spans="5:48" x14ac:dyDescent="0.2">
      <c r="E965" s="1"/>
      <c r="F965" s="1"/>
      <c r="G965" s="1"/>
      <c r="H965" s="1"/>
      <c r="I965" s="1"/>
      <c r="J965" s="1"/>
      <c r="K965" s="1"/>
      <c r="L965" s="1"/>
      <c r="M965" s="1"/>
      <c r="AU965" s="18"/>
      <c r="AV965" s="18"/>
    </row>
    <row r="966" spans="5:48" x14ac:dyDescent="0.2">
      <c r="E966" s="1"/>
      <c r="F966" s="1"/>
      <c r="G966" s="1"/>
      <c r="H966" s="1"/>
      <c r="I966" s="1"/>
      <c r="J966" s="1"/>
      <c r="K966" s="1"/>
      <c r="L966" s="1"/>
      <c r="M966" s="1"/>
      <c r="AU966" s="18"/>
      <c r="AV966" s="18"/>
    </row>
    <row r="967" spans="5:48" x14ac:dyDescent="0.2">
      <c r="E967" s="1"/>
      <c r="F967" s="1"/>
      <c r="G967" s="1"/>
      <c r="H967" s="1"/>
      <c r="I967" s="1"/>
      <c r="J967" s="1"/>
      <c r="K967" s="1"/>
      <c r="L967" s="1"/>
      <c r="M967" s="1"/>
      <c r="AU967" s="18"/>
      <c r="AV967" s="18"/>
    </row>
    <row r="968" spans="5:48" x14ac:dyDescent="0.2">
      <c r="E968" s="1"/>
      <c r="F968" s="1"/>
      <c r="G968" s="1"/>
      <c r="H968" s="1"/>
      <c r="I968" s="1"/>
      <c r="J968" s="1"/>
      <c r="K968" s="1"/>
      <c r="L968" s="1"/>
      <c r="M968" s="1"/>
      <c r="AU968" s="18"/>
      <c r="AV968" s="18"/>
    </row>
    <row r="969" spans="5:48" x14ac:dyDescent="0.2">
      <c r="E969" s="1"/>
      <c r="F969" s="1"/>
      <c r="G969" s="1"/>
      <c r="H969" s="1"/>
      <c r="I969" s="1"/>
      <c r="J969" s="1"/>
      <c r="K969" s="1"/>
      <c r="L969" s="1"/>
      <c r="M969" s="1"/>
      <c r="AU969" s="18"/>
      <c r="AV969" s="18"/>
    </row>
    <row r="970" spans="5:48" x14ac:dyDescent="0.2">
      <c r="E970" s="1"/>
      <c r="F970" s="1"/>
      <c r="G970" s="1"/>
      <c r="H970" s="1"/>
      <c r="I970" s="1"/>
      <c r="J970" s="1"/>
      <c r="K970" s="1"/>
      <c r="L970" s="1"/>
      <c r="M970" s="1"/>
      <c r="AU970" s="18"/>
      <c r="AV970" s="18"/>
    </row>
    <row r="971" spans="5:48" x14ac:dyDescent="0.2">
      <c r="E971" s="1"/>
      <c r="F971" s="1"/>
      <c r="G971" s="1"/>
      <c r="H971" s="1"/>
      <c r="I971" s="1"/>
      <c r="J971" s="1"/>
      <c r="K971" s="1"/>
      <c r="L971" s="1"/>
      <c r="M971" s="1"/>
      <c r="AU971" s="18"/>
      <c r="AV971" s="18"/>
    </row>
    <row r="972" spans="5:48" x14ac:dyDescent="0.2">
      <c r="E972" s="1"/>
      <c r="F972" s="1"/>
      <c r="G972" s="1"/>
      <c r="H972" s="1"/>
      <c r="I972" s="1"/>
      <c r="J972" s="1"/>
      <c r="K972" s="1"/>
      <c r="L972" s="1"/>
      <c r="M972" s="1"/>
      <c r="AU972" s="18"/>
      <c r="AV972" s="18"/>
    </row>
    <row r="973" spans="5:48" x14ac:dyDescent="0.2">
      <c r="E973" s="1"/>
      <c r="F973" s="1"/>
      <c r="G973" s="1"/>
      <c r="H973" s="1"/>
      <c r="I973" s="1"/>
      <c r="J973" s="1"/>
      <c r="K973" s="1"/>
      <c r="L973" s="1"/>
      <c r="M973" s="1"/>
      <c r="AU973" s="18"/>
      <c r="AV973" s="18"/>
    </row>
    <row r="974" spans="5:48" x14ac:dyDescent="0.2">
      <c r="E974" s="1"/>
      <c r="F974" s="1"/>
      <c r="G974" s="1"/>
      <c r="H974" s="1"/>
      <c r="I974" s="1"/>
      <c r="J974" s="1"/>
      <c r="K974" s="1"/>
      <c r="L974" s="1"/>
      <c r="M974" s="1"/>
      <c r="AU974" s="18"/>
      <c r="AV974" s="18"/>
    </row>
    <row r="975" spans="5:48" x14ac:dyDescent="0.2">
      <c r="E975" s="1"/>
      <c r="F975" s="1"/>
      <c r="G975" s="1"/>
      <c r="H975" s="1"/>
      <c r="I975" s="1"/>
      <c r="J975" s="1"/>
      <c r="K975" s="1"/>
      <c r="L975" s="1"/>
      <c r="M975" s="1"/>
      <c r="AU975" s="18"/>
      <c r="AV975" s="18"/>
    </row>
    <row r="976" spans="5:48" x14ac:dyDescent="0.2">
      <c r="E976" s="1"/>
      <c r="F976" s="1"/>
      <c r="G976" s="1"/>
      <c r="H976" s="1"/>
      <c r="I976" s="1"/>
      <c r="J976" s="1"/>
      <c r="K976" s="1"/>
      <c r="L976" s="1"/>
      <c r="M976" s="1"/>
      <c r="AU976" s="18"/>
      <c r="AV976" s="18"/>
    </row>
    <row r="977" spans="5:48" x14ac:dyDescent="0.2">
      <c r="E977" s="1"/>
      <c r="F977" s="1"/>
      <c r="G977" s="1"/>
      <c r="H977" s="1"/>
      <c r="I977" s="1"/>
      <c r="J977" s="1"/>
      <c r="K977" s="1"/>
      <c r="L977" s="1"/>
      <c r="M977" s="1"/>
      <c r="AU977" s="18"/>
      <c r="AV977" s="18"/>
    </row>
    <row r="978" spans="5:48" x14ac:dyDescent="0.2">
      <c r="E978" s="1"/>
      <c r="F978" s="1"/>
      <c r="G978" s="1"/>
      <c r="H978" s="1"/>
      <c r="I978" s="1"/>
      <c r="J978" s="1"/>
      <c r="K978" s="1"/>
      <c r="L978" s="1"/>
      <c r="M978" s="1"/>
      <c r="AU978" s="18"/>
      <c r="AV978" s="18"/>
    </row>
    <row r="979" spans="5:48" x14ac:dyDescent="0.2">
      <c r="E979" s="1"/>
      <c r="F979" s="1"/>
      <c r="G979" s="1"/>
      <c r="H979" s="1"/>
      <c r="I979" s="1"/>
      <c r="J979" s="1"/>
      <c r="K979" s="1"/>
      <c r="L979" s="1"/>
      <c r="M979" s="1"/>
      <c r="AU979" s="18"/>
      <c r="AV979" s="18"/>
    </row>
    <row r="980" spans="5:48" x14ac:dyDescent="0.2">
      <c r="E980" s="1"/>
      <c r="F980" s="1"/>
      <c r="G980" s="1"/>
      <c r="H980" s="1"/>
      <c r="I980" s="1"/>
      <c r="J980" s="1"/>
      <c r="K980" s="1"/>
      <c r="L980" s="1"/>
      <c r="M980" s="1"/>
      <c r="AU980" s="18"/>
      <c r="AV980" s="18"/>
    </row>
    <row r="981" spans="5:48" x14ac:dyDescent="0.2">
      <c r="E981" s="1"/>
      <c r="F981" s="1"/>
      <c r="G981" s="1"/>
      <c r="H981" s="1"/>
      <c r="I981" s="1"/>
      <c r="J981" s="1"/>
      <c r="K981" s="1"/>
      <c r="L981" s="1"/>
      <c r="M981" s="1"/>
      <c r="AU981" s="18"/>
      <c r="AV981" s="18"/>
    </row>
    <row r="982" spans="5:48" x14ac:dyDescent="0.2">
      <c r="E982" s="1"/>
      <c r="F982" s="1"/>
      <c r="G982" s="1"/>
      <c r="H982" s="1"/>
      <c r="I982" s="1"/>
      <c r="J982" s="1"/>
      <c r="K982" s="1"/>
      <c r="L982" s="1"/>
      <c r="M982" s="1"/>
      <c r="AU982" s="18"/>
      <c r="AV982" s="18"/>
    </row>
    <row r="983" spans="5:48" x14ac:dyDescent="0.2">
      <c r="E983" s="1"/>
      <c r="F983" s="1"/>
      <c r="G983" s="1"/>
      <c r="H983" s="1"/>
      <c r="I983" s="1"/>
      <c r="J983" s="1"/>
      <c r="K983" s="1"/>
      <c r="L983" s="1"/>
      <c r="M983" s="1"/>
      <c r="AU983" s="18"/>
      <c r="AV983" s="18"/>
    </row>
    <row r="984" spans="5:48" x14ac:dyDescent="0.2">
      <c r="E984" s="1"/>
      <c r="F984" s="1"/>
      <c r="G984" s="1"/>
      <c r="H984" s="1"/>
      <c r="I984" s="1"/>
      <c r="J984" s="1"/>
      <c r="K984" s="1"/>
      <c r="L984" s="1"/>
      <c r="M984" s="1"/>
      <c r="AU984" s="18"/>
      <c r="AV984" s="18"/>
    </row>
    <row r="985" spans="5:48" x14ac:dyDescent="0.2">
      <c r="E985" s="1"/>
      <c r="F985" s="1"/>
      <c r="G985" s="1"/>
      <c r="H985" s="1"/>
      <c r="I985" s="1"/>
      <c r="J985" s="1"/>
      <c r="K985" s="1"/>
      <c r="L985" s="1"/>
      <c r="M985" s="1"/>
      <c r="AU985" s="18"/>
      <c r="AV985" s="18"/>
    </row>
    <row r="986" spans="5:48" x14ac:dyDescent="0.2">
      <c r="E986" s="1"/>
      <c r="F986" s="1"/>
      <c r="G986" s="1"/>
      <c r="H986" s="1"/>
      <c r="I986" s="1"/>
      <c r="J986" s="1"/>
      <c r="K986" s="1"/>
      <c r="L986" s="1"/>
      <c r="M986" s="1"/>
      <c r="AU986" s="18"/>
      <c r="AV986" s="18"/>
    </row>
    <row r="987" spans="5:48" x14ac:dyDescent="0.2">
      <c r="E987" s="1"/>
      <c r="F987" s="1"/>
      <c r="G987" s="1"/>
      <c r="H987" s="1"/>
      <c r="I987" s="1"/>
      <c r="J987" s="1"/>
      <c r="K987" s="1"/>
      <c r="L987" s="1"/>
      <c r="M987" s="1"/>
      <c r="AU987" s="18"/>
      <c r="AV987" s="18"/>
    </row>
    <row r="988" spans="5:48" x14ac:dyDescent="0.2">
      <c r="E988" s="1"/>
      <c r="F988" s="1"/>
      <c r="G988" s="1"/>
      <c r="H988" s="1"/>
      <c r="I988" s="1"/>
      <c r="J988" s="1"/>
      <c r="K988" s="1"/>
      <c r="L988" s="1"/>
      <c r="M988" s="1"/>
      <c r="AU988" s="18"/>
      <c r="AV988" s="18"/>
    </row>
    <row r="989" spans="5:48" x14ac:dyDescent="0.2">
      <c r="E989" s="1"/>
      <c r="F989" s="1"/>
      <c r="G989" s="1"/>
      <c r="H989" s="1"/>
      <c r="I989" s="1"/>
      <c r="J989" s="1"/>
      <c r="K989" s="1"/>
      <c r="L989" s="1"/>
      <c r="M989" s="1"/>
      <c r="AU989" s="18"/>
      <c r="AV989" s="18"/>
    </row>
    <row r="990" spans="5:48" x14ac:dyDescent="0.2">
      <c r="E990" s="1"/>
      <c r="F990" s="1"/>
      <c r="G990" s="1"/>
      <c r="H990" s="1"/>
      <c r="I990" s="1"/>
      <c r="J990" s="1"/>
      <c r="K990" s="1"/>
      <c r="L990" s="1"/>
      <c r="M990" s="1"/>
      <c r="AU990" s="18"/>
      <c r="AV990" s="18"/>
    </row>
    <row r="991" spans="5:48" x14ac:dyDescent="0.2">
      <c r="E991" s="1"/>
      <c r="F991" s="1"/>
      <c r="G991" s="1"/>
      <c r="H991" s="1"/>
      <c r="I991" s="1"/>
      <c r="J991" s="1"/>
      <c r="K991" s="1"/>
      <c r="L991" s="1"/>
      <c r="M991" s="1"/>
      <c r="AU991" s="18"/>
      <c r="AV991" s="18"/>
    </row>
    <row r="992" spans="5:48" x14ac:dyDescent="0.2">
      <c r="E992" s="1"/>
      <c r="F992" s="1"/>
      <c r="G992" s="1"/>
      <c r="H992" s="1"/>
      <c r="I992" s="1"/>
      <c r="J992" s="1"/>
      <c r="K992" s="1"/>
      <c r="L992" s="1"/>
      <c r="M992" s="1"/>
      <c r="AU992" s="18"/>
      <c r="AV992" s="18"/>
    </row>
    <row r="993" spans="5:48" x14ac:dyDescent="0.2">
      <c r="E993" s="1"/>
      <c r="F993" s="1"/>
      <c r="G993" s="1"/>
      <c r="H993" s="1"/>
      <c r="I993" s="1"/>
      <c r="J993" s="1"/>
      <c r="K993" s="1"/>
      <c r="L993" s="1"/>
      <c r="M993" s="1"/>
      <c r="AU993" s="18"/>
      <c r="AV993" s="18"/>
    </row>
    <row r="994" spans="5:48" x14ac:dyDescent="0.2">
      <c r="E994" s="1"/>
      <c r="F994" s="1"/>
      <c r="G994" s="1"/>
      <c r="H994" s="1"/>
      <c r="I994" s="1"/>
      <c r="J994" s="1"/>
      <c r="K994" s="1"/>
      <c r="L994" s="1"/>
      <c r="M994" s="1"/>
      <c r="AU994" s="18"/>
      <c r="AV994" s="18"/>
    </row>
    <row r="995" spans="5:48" x14ac:dyDescent="0.2">
      <c r="E995" s="1"/>
      <c r="F995" s="1"/>
      <c r="G995" s="1"/>
      <c r="H995" s="1"/>
      <c r="I995" s="1"/>
      <c r="J995" s="1"/>
      <c r="K995" s="1"/>
      <c r="L995" s="1"/>
      <c r="M995" s="1"/>
      <c r="AU995" s="18"/>
      <c r="AV995" s="18"/>
    </row>
    <row r="996" spans="5:48" x14ac:dyDescent="0.2">
      <c r="E996" s="1"/>
      <c r="F996" s="1"/>
      <c r="G996" s="1"/>
      <c r="H996" s="1"/>
      <c r="I996" s="1"/>
      <c r="J996" s="1"/>
      <c r="K996" s="1"/>
      <c r="L996" s="1"/>
      <c r="M996" s="1"/>
      <c r="AU996" s="18"/>
      <c r="AV996" s="18"/>
    </row>
    <row r="997" spans="5:48" x14ac:dyDescent="0.2">
      <c r="E997" s="1"/>
      <c r="F997" s="1"/>
      <c r="G997" s="1"/>
      <c r="H997" s="1"/>
      <c r="I997" s="1"/>
      <c r="J997" s="1"/>
      <c r="K997" s="1"/>
      <c r="L997" s="1"/>
      <c r="M997" s="1"/>
      <c r="AU997" s="18"/>
      <c r="AV997" s="18"/>
    </row>
    <row r="998" spans="5:48" x14ac:dyDescent="0.2">
      <c r="E998" s="1"/>
      <c r="F998" s="1"/>
      <c r="G998" s="1"/>
      <c r="H998" s="1"/>
      <c r="I998" s="1"/>
      <c r="J998" s="1"/>
      <c r="K998" s="1"/>
      <c r="L998" s="1"/>
      <c r="M998" s="1"/>
      <c r="AU998" s="18"/>
      <c r="AV998" s="18"/>
    </row>
    <row r="999" spans="5:48" x14ac:dyDescent="0.2">
      <c r="E999" s="1"/>
      <c r="F999" s="1"/>
      <c r="G999" s="1"/>
      <c r="H999" s="1"/>
      <c r="I999" s="1"/>
      <c r="J999" s="1"/>
      <c r="K999" s="1"/>
      <c r="L999" s="1"/>
      <c r="M999" s="1"/>
      <c r="AU999" s="18"/>
      <c r="AV999" s="18"/>
    </row>
    <row r="1000" spans="5:48" x14ac:dyDescent="0.2">
      <c r="E1000" s="1"/>
      <c r="F1000" s="1"/>
      <c r="G1000" s="1"/>
      <c r="H1000" s="1"/>
      <c r="I1000" s="1"/>
      <c r="J1000" s="1"/>
      <c r="K1000" s="1"/>
      <c r="L1000" s="1"/>
      <c r="M1000" s="1"/>
      <c r="AU1000" s="18"/>
      <c r="AV1000" s="18"/>
    </row>
    <row r="1001" spans="5:48" x14ac:dyDescent="0.2">
      <c r="E1001" s="1"/>
      <c r="F1001" s="1"/>
      <c r="G1001" s="1"/>
      <c r="H1001" s="1"/>
      <c r="I1001" s="1"/>
      <c r="J1001" s="1"/>
      <c r="K1001" s="1"/>
      <c r="L1001" s="1"/>
      <c r="M1001" s="1"/>
      <c r="AU1001" s="18"/>
      <c r="AV1001" s="18"/>
    </row>
    <row r="1002" spans="5:48" x14ac:dyDescent="0.2">
      <c r="E1002" s="1"/>
      <c r="F1002" s="1"/>
      <c r="G1002" s="1"/>
      <c r="H1002" s="1"/>
      <c r="I1002" s="1"/>
      <c r="J1002" s="1"/>
      <c r="K1002" s="1"/>
      <c r="L1002" s="1"/>
      <c r="M1002" s="1"/>
      <c r="AU1002" s="18"/>
      <c r="AV1002" s="18"/>
    </row>
    <row r="1003" spans="5:48" x14ac:dyDescent="0.2">
      <c r="E1003" s="1"/>
      <c r="F1003" s="1"/>
      <c r="G1003" s="1"/>
      <c r="H1003" s="1"/>
      <c r="I1003" s="1"/>
      <c r="J1003" s="1"/>
      <c r="K1003" s="1"/>
      <c r="L1003" s="1"/>
      <c r="M1003" s="1"/>
      <c r="AU1003" s="18"/>
      <c r="AV1003" s="18"/>
    </row>
    <row r="1004" spans="5:48" x14ac:dyDescent="0.2">
      <c r="E1004" s="1"/>
      <c r="F1004" s="1"/>
      <c r="G1004" s="1"/>
      <c r="H1004" s="1"/>
      <c r="I1004" s="1"/>
      <c r="J1004" s="1"/>
      <c r="K1004" s="1"/>
      <c r="L1004" s="1"/>
      <c r="M1004" s="1"/>
      <c r="AU1004" s="18"/>
      <c r="AV1004" s="18"/>
    </row>
    <row r="1005" spans="5:48" x14ac:dyDescent="0.2">
      <c r="E1005" s="1"/>
      <c r="F1005" s="1"/>
      <c r="G1005" s="1"/>
      <c r="H1005" s="1"/>
      <c r="I1005" s="1"/>
      <c r="J1005" s="1"/>
      <c r="K1005" s="1"/>
      <c r="L1005" s="1"/>
      <c r="M1005" s="1"/>
      <c r="AU1005" s="18"/>
      <c r="AV1005" s="18"/>
    </row>
    <row r="1006" spans="5:48" x14ac:dyDescent="0.2">
      <c r="E1006" s="1"/>
      <c r="F1006" s="1"/>
      <c r="G1006" s="1"/>
      <c r="H1006" s="1"/>
      <c r="I1006" s="1"/>
      <c r="J1006" s="1"/>
      <c r="K1006" s="1"/>
      <c r="L1006" s="1"/>
      <c r="M1006" s="1"/>
      <c r="AU1006" s="18"/>
      <c r="AV1006" s="18"/>
    </row>
    <row r="1007" spans="5:48" x14ac:dyDescent="0.2">
      <c r="E1007" s="1"/>
      <c r="F1007" s="1"/>
      <c r="G1007" s="1"/>
      <c r="H1007" s="1"/>
      <c r="I1007" s="1"/>
      <c r="J1007" s="1"/>
      <c r="K1007" s="1"/>
      <c r="L1007" s="1"/>
      <c r="M1007" s="1"/>
      <c r="AU1007" s="18"/>
      <c r="AV1007" s="18"/>
    </row>
    <row r="1008" spans="5:48" x14ac:dyDescent="0.2">
      <c r="E1008" s="1"/>
      <c r="F1008" s="1"/>
      <c r="G1008" s="1"/>
      <c r="H1008" s="1"/>
      <c r="I1008" s="1"/>
      <c r="J1008" s="1"/>
      <c r="K1008" s="1"/>
      <c r="L1008" s="1"/>
      <c r="M1008" s="1"/>
      <c r="AU1008" s="18"/>
      <c r="AV1008" s="18"/>
    </row>
    <row r="1009" spans="5:48" x14ac:dyDescent="0.2">
      <c r="E1009" s="1"/>
      <c r="F1009" s="1"/>
      <c r="G1009" s="1"/>
      <c r="H1009" s="1"/>
      <c r="I1009" s="1"/>
      <c r="J1009" s="1"/>
      <c r="K1009" s="1"/>
      <c r="L1009" s="1"/>
      <c r="M1009" s="1"/>
      <c r="AU1009" s="18"/>
      <c r="AV1009" s="18"/>
    </row>
    <row r="1010" spans="5:48" x14ac:dyDescent="0.2">
      <c r="E1010" s="1"/>
      <c r="F1010" s="1"/>
      <c r="G1010" s="1"/>
      <c r="H1010" s="1"/>
      <c r="I1010" s="1"/>
      <c r="J1010" s="1"/>
      <c r="K1010" s="1"/>
      <c r="L1010" s="1"/>
      <c r="M1010" s="1"/>
      <c r="AU1010" s="18"/>
      <c r="AV1010" s="18"/>
    </row>
    <row r="1011" spans="5:48" x14ac:dyDescent="0.2">
      <c r="E1011" s="1"/>
      <c r="F1011" s="1"/>
      <c r="G1011" s="1"/>
      <c r="H1011" s="1"/>
      <c r="I1011" s="1"/>
      <c r="J1011" s="1"/>
      <c r="K1011" s="1"/>
      <c r="L1011" s="1"/>
      <c r="M1011" s="1"/>
      <c r="AU1011" s="18"/>
      <c r="AV1011" s="18"/>
    </row>
    <row r="1012" spans="5:48" x14ac:dyDescent="0.2">
      <c r="E1012" s="1"/>
      <c r="F1012" s="1"/>
      <c r="G1012" s="1"/>
      <c r="H1012" s="1"/>
      <c r="I1012" s="1"/>
      <c r="J1012" s="1"/>
      <c r="K1012" s="1"/>
      <c r="L1012" s="1"/>
      <c r="M1012" s="1"/>
      <c r="AU1012" s="18"/>
      <c r="AV1012" s="18"/>
    </row>
    <row r="1013" spans="5:48" x14ac:dyDescent="0.2">
      <c r="E1013" s="1"/>
      <c r="F1013" s="1"/>
      <c r="G1013" s="1"/>
      <c r="H1013" s="1"/>
      <c r="I1013" s="1"/>
      <c r="J1013" s="1"/>
      <c r="K1013" s="1"/>
      <c r="L1013" s="1"/>
      <c r="M1013" s="1"/>
      <c r="AU1013" s="18"/>
      <c r="AV1013" s="18"/>
    </row>
    <row r="1014" spans="5:48" x14ac:dyDescent="0.2">
      <c r="E1014" s="1"/>
      <c r="F1014" s="1"/>
      <c r="G1014" s="1"/>
      <c r="H1014" s="1"/>
      <c r="I1014" s="1"/>
      <c r="J1014" s="1"/>
      <c r="K1014" s="1"/>
      <c r="L1014" s="1"/>
      <c r="M1014" s="1"/>
      <c r="AU1014" s="18"/>
      <c r="AV1014" s="18"/>
    </row>
    <row r="1015" spans="5:48" x14ac:dyDescent="0.2">
      <c r="E1015" s="1"/>
      <c r="F1015" s="1"/>
      <c r="G1015" s="1"/>
      <c r="H1015" s="1"/>
      <c r="I1015" s="1"/>
      <c r="J1015" s="1"/>
      <c r="K1015" s="1"/>
      <c r="L1015" s="1"/>
      <c r="M1015" s="1"/>
      <c r="AU1015" s="18"/>
      <c r="AV1015" s="18"/>
    </row>
    <row r="1016" spans="5:48" x14ac:dyDescent="0.2">
      <c r="E1016" s="1"/>
      <c r="F1016" s="1"/>
      <c r="G1016" s="1"/>
      <c r="H1016" s="1"/>
      <c r="I1016" s="1"/>
      <c r="J1016" s="1"/>
      <c r="K1016" s="1"/>
      <c r="L1016" s="1"/>
      <c r="M1016" s="1"/>
      <c r="AU1016" s="18"/>
      <c r="AV1016" s="18"/>
    </row>
    <row r="1017" spans="5:48" x14ac:dyDescent="0.2">
      <c r="E1017" s="1"/>
      <c r="F1017" s="1"/>
      <c r="G1017" s="1"/>
      <c r="H1017" s="1"/>
      <c r="I1017" s="1"/>
      <c r="J1017" s="1"/>
      <c r="K1017" s="1"/>
      <c r="L1017" s="1"/>
      <c r="M1017" s="1"/>
      <c r="AU1017" s="18"/>
      <c r="AV1017" s="18"/>
    </row>
    <row r="1018" spans="5:48" x14ac:dyDescent="0.2">
      <c r="E1018" s="1"/>
      <c r="F1018" s="1"/>
      <c r="G1018" s="1"/>
      <c r="H1018" s="1"/>
      <c r="I1018" s="1"/>
      <c r="J1018" s="1"/>
      <c r="K1018" s="1"/>
      <c r="L1018" s="1"/>
      <c r="M1018" s="1"/>
      <c r="AU1018" s="18"/>
      <c r="AV1018" s="18"/>
    </row>
    <row r="1019" spans="5:48" x14ac:dyDescent="0.2">
      <c r="E1019" s="1"/>
      <c r="F1019" s="1"/>
      <c r="G1019" s="1"/>
      <c r="H1019" s="1"/>
      <c r="I1019" s="1"/>
      <c r="J1019" s="1"/>
      <c r="K1019" s="1"/>
      <c r="L1019" s="1"/>
      <c r="M1019" s="1"/>
      <c r="AU1019" s="18"/>
      <c r="AV1019" s="18"/>
    </row>
    <row r="1020" spans="5:48" x14ac:dyDescent="0.2">
      <c r="E1020" s="1"/>
      <c r="F1020" s="1"/>
      <c r="G1020" s="1"/>
      <c r="H1020" s="1"/>
      <c r="I1020" s="1"/>
      <c r="J1020" s="1"/>
      <c r="K1020" s="1"/>
      <c r="L1020" s="1"/>
      <c r="M1020" s="1"/>
      <c r="AU1020" s="18"/>
      <c r="AV1020" s="18"/>
    </row>
    <row r="1021" spans="5:48" x14ac:dyDescent="0.2">
      <c r="E1021" s="1"/>
      <c r="F1021" s="1"/>
      <c r="G1021" s="1"/>
      <c r="H1021" s="1"/>
      <c r="I1021" s="1"/>
      <c r="J1021" s="1"/>
      <c r="K1021" s="1"/>
      <c r="L1021" s="1"/>
      <c r="M1021" s="1"/>
      <c r="AU1021" s="18"/>
      <c r="AV1021" s="18"/>
    </row>
    <row r="1022" spans="5:48" x14ac:dyDescent="0.2">
      <c r="E1022" s="1"/>
      <c r="F1022" s="1"/>
      <c r="G1022" s="1"/>
      <c r="H1022" s="1"/>
      <c r="I1022" s="1"/>
      <c r="J1022" s="1"/>
      <c r="K1022" s="1"/>
      <c r="L1022" s="1"/>
      <c r="M1022" s="1"/>
      <c r="AU1022" s="18"/>
      <c r="AV1022" s="18"/>
    </row>
    <row r="1023" spans="5:48" x14ac:dyDescent="0.2">
      <c r="E1023" s="1"/>
      <c r="F1023" s="1"/>
      <c r="G1023" s="1"/>
      <c r="H1023" s="1"/>
      <c r="I1023" s="1"/>
      <c r="J1023" s="1"/>
      <c r="K1023" s="1"/>
      <c r="L1023" s="1"/>
      <c r="M1023" s="1"/>
      <c r="AU1023" s="18"/>
      <c r="AV1023" s="18"/>
    </row>
    <row r="1024" spans="5:48" x14ac:dyDescent="0.2">
      <c r="E1024" s="1"/>
      <c r="F1024" s="1"/>
      <c r="G1024" s="1"/>
      <c r="H1024" s="1"/>
      <c r="I1024" s="1"/>
      <c r="J1024" s="1"/>
      <c r="K1024" s="1"/>
      <c r="L1024" s="1"/>
      <c r="M1024" s="1"/>
      <c r="AU1024" s="18"/>
      <c r="AV1024" s="18"/>
    </row>
    <row r="1025" spans="5:48" x14ac:dyDescent="0.2">
      <c r="E1025" s="1"/>
      <c r="F1025" s="1"/>
      <c r="G1025" s="1"/>
      <c r="H1025" s="1"/>
      <c r="I1025" s="1"/>
      <c r="J1025" s="1"/>
      <c r="K1025" s="1"/>
      <c r="L1025" s="1"/>
      <c r="M1025" s="1"/>
      <c r="AU1025" s="18"/>
      <c r="AV1025" s="18"/>
    </row>
    <row r="1026" spans="5:48" x14ac:dyDescent="0.2">
      <c r="E1026" s="1"/>
      <c r="F1026" s="1"/>
      <c r="G1026" s="1"/>
      <c r="H1026" s="1"/>
      <c r="I1026" s="1"/>
      <c r="J1026" s="1"/>
      <c r="K1026" s="1"/>
      <c r="L1026" s="1"/>
      <c r="M1026" s="1"/>
      <c r="AU1026" s="18"/>
      <c r="AV1026" s="18"/>
    </row>
    <row r="1027" spans="5:48" x14ac:dyDescent="0.2">
      <c r="E1027" s="1"/>
      <c r="F1027" s="1"/>
      <c r="G1027" s="1"/>
      <c r="H1027" s="1"/>
      <c r="I1027" s="1"/>
      <c r="J1027" s="1"/>
      <c r="K1027" s="1"/>
      <c r="L1027" s="1"/>
      <c r="M1027" s="1"/>
      <c r="AU1027" s="18"/>
      <c r="AV1027" s="18"/>
    </row>
    <row r="1028" spans="5:48" x14ac:dyDescent="0.2">
      <c r="E1028" s="1"/>
      <c r="F1028" s="1"/>
      <c r="G1028" s="1"/>
      <c r="H1028" s="1"/>
      <c r="I1028" s="1"/>
      <c r="J1028" s="1"/>
      <c r="K1028" s="1"/>
      <c r="L1028" s="1"/>
      <c r="M1028" s="1"/>
      <c r="AU1028" s="18"/>
      <c r="AV1028" s="18"/>
    </row>
    <row r="1029" spans="5:48" x14ac:dyDescent="0.2">
      <c r="E1029" s="1"/>
      <c r="F1029" s="1"/>
      <c r="G1029" s="1"/>
      <c r="H1029" s="1"/>
      <c r="I1029" s="1"/>
      <c r="J1029" s="1"/>
      <c r="K1029" s="1"/>
      <c r="L1029" s="1"/>
      <c r="M1029" s="1"/>
      <c r="AU1029" s="18"/>
      <c r="AV1029" s="18"/>
    </row>
    <row r="1030" spans="5:48" x14ac:dyDescent="0.2">
      <c r="E1030" s="1"/>
      <c r="F1030" s="1"/>
      <c r="G1030" s="1"/>
      <c r="H1030" s="1"/>
      <c r="I1030" s="1"/>
      <c r="J1030" s="1"/>
      <c r="K1030" s="1"/>
      <c r="L1030" s="1"/>
      <c r="M1030" s="1"/>
      <c r="AU1030" s="18"/>
      <c r="AV1030" s="18"/>
    </row>
    <row r="1031" spans="5:48" x14ac:dyDescent="0.2">
      <c r="E1031" s="1"/>
      <c r="F1031" s="1"/>
      <c r="G1031" s="1"/>
      <c r="H1031" s="1"/>
      <c r="I1031" s="1"/>
      <c r="J1031" s="1"/>
      <c r="K1031" s="1"/>
      <c r="L1031" s="1"/>
      <c r="M1031" s="1"/>
      <c r="AU1031" s="18"/>
      <c r="AV1031" s="18"/>
    </row>
    <row r="1032" spans="5:48" x14ac:dyDescent="0.2">
      <c r="E1032" s="1"/>
      <c r="F1032" s="1"/>
      <c r="G1032" s="1"/>
      <c r="H1032" s="1"/>
      <c r="I1032" s="1"/>
      <c r="J1032" s="1"/>
      <c r="K1032" s="1"/>
      <c r="L1032" s="1"/>
      <c r="M1032" s="1"/>
      <c r="AU1032" s="18"/>
      <c r="AV1032" s="18"/>
    </row>
    <row r="1033" spans="5:48" x14ac:dyDescent="0.2">
      <c r="E1033" s="1"/>
      <c r="F1033" s="1"/>
      <c r="G1033" s="1"/>
      <c r="H1033" s="1"/>
      <c r="I1033" s="1"/>
      <c r="J1033" s="1"/>
      <c r="K1033" s="1"/>
      <c r="L1033" s="1"/>
      <c r="M1033" s="1"/>
      <c r="AU1033" s="18"/>
      <c r="AV1033" s="18"/>
    </row>
    <row r="1034" spans="5:48" x14ac:dyDescent="0.2">
      <c r="E1034" s="1"/>
      <c r="F1034" s="1"/>
      <c r="G1034" s="1"/>
      <c r="H1034" s="1"/>
      <c r="I1034" s="1"/>
      <c r="J1034" s="1"/>
      <c r="K1034" s="1"/>
      <c r="L1034" s="1"/>
      <c r="M1034" s="1"/>
      <c r="AU1034" s="18"/>
      <c r="AV1034" s="18"/>
    </row>
    <row r="1035" spans="5:48" x14ac:dyDescent="0.2">
      <c r="E1035" s="1"/>
      <c r="F1035" s="1"/>
      <c r="G1035" s="1"/>
      <c r="H1035" s="1"/>
      <c r="I1035" s="1"/>
      <c r="J1035" s="1"/>
      <c r="K1035" s="1"/>
      <c r="L1035" s="1"/>
      <c r="M1035" s="1"/>
      <c r="AU1035" s="18"/>
      <c r="AV1035" s="18"/>
    </row>
    <row r="1036" spans="5:48" x14ac:dyDescent="0.2">
      <c r="E1036" s="1"/>
      <c r="F1036" s="1"/>
      <c r="G1036" s="1"/>
      <c r="H1036" s="1"/>
      <c r="I1036" s="1"/>
      <c r="J1036" s="1"/>
      <c r="K1036" s="1"/>
      <c r="L1036" s="1"/>
      <c r="M1036" s="1"/>
      <c r="AU1036" s="18"/>
      <c r="AV1036" s="18"/>
    </row>
    <row r="1037" spans="5:48" x14ac:dyDescent="0.2">
      <c r="E1037" s="1"/>
      <c r="F1037" s="1"/>
      <c r="G1037" s="1"/>
      <c r="H1037" s="1"/>
      <c r="I1037" s="1"/>
      <c r="J1037" s="1"/>
      <c r="K1037" s="1"/>
      <c r="L1037" s="1"/>
      <c r="M1037" s="1"/>
      <c r="AU1037" s="18"/>
      <c r="AV1037" s="18"/>
    </row>
    <row r="1038" spans="5:48" x14ac:dyDescent="0.2">
      <c r="E1038" s="1"/>
      <c r="F1038" s="1"/>
      <c r="G1038" s="1"/>
      <c r="H1038" s="1"/>
      <c r="I1038" s="1"/>
      <c r="J1038" s="1"/>
      <c r="K1038" s="1"/>
      <c r="L1038" s="1"/>
      <c r="M1038" s="1"/>
      <c r="AU1038" s="18"/>
      <c r="AV1038" s="18"/>
    </row>
    <row r="1039" spans="5:48" x14ac:dyDescent="0.2">
      <c r="E1039" s="1"/>
      <c r="F1039" s="1"/>
      <c r="G1039" s="1"/>
      <c r="H1039" s="1"/>
      <c r="I1039" s="1"/>
      <c r="J1039" s="1"/>
      <c r="K1039" s="1"/>
      <c r="L1039" s="1"/>
      <c r="M1039" s="1"/>
      <c r="AU1039" s="18"/>
      <c r="AV1039" s="18"/>
    </row>
    <row r="1040" spans="5:48" x14ac:dyDescent="0.2">
      <c r="E1040" s="1"/>
      <c r="F1040" s="1"/>
      <c r="G1040" s="1"/>
      <c r="H1040" s="1"/>
      <c r="I1040" s="1"/>
      <c r="J1040" s="1"/>
      <c r="K1040" s="1"/>
      <c r="L1040" s="1"/>
      <c r="M1040" s="1"/>
      <c r="AU1040" s="18"/>
      <c r="AV1040" s="18"/>
    </row>
    <row r="1041" spans="5:48" x14ac:dyDescent="0.2">
      <c r="E1041" s="1"/>
      <c r="F1041" s="1"/>
      <c r="G1041" s="1"/>
      <c r="H1041" s="1"/>
      <c r="I1041" s="1"/>
      <c r="J1041" s="1"/>
      <c r="K1041" s="1"/>
      <c r="L1041" s="1"/>
      <c r="M1041" s="1"/>
      <c r="AU1041" s="18"/>
      <c r="AV1041" s="18"/>
    </row>
    <row r="1042" spans="5:48" x14ac:dyDescent="0.2">
      <c r="E1042" s="1"/>
      <c r="F1042" s="1"/>
      <c r="G1042" s="1"/>
      <c r="H1042" s="1"/>
      <c r="I1042" s="1"/>
      <c r="J1042" s="1"/>
      <c r="K1042" s="1"/>
      <c r="L1042" s="1"/>
      <c r="M1042" s="1"/>
      <c r="AU1042" s="18"/>
      <c r="AV1042" s="18"/>
    </row>
    <row r="1043" spans="5:48" x14ac:dyDescent="0.2">
      <c r="E1043" s="1"/>
      <c r="F1043" s="1"/>
      <c r="G1043" s="1"/>
      <c r="H1043" s="1"/>
      <c r="I1043" s="1"/>
      <c r="J1043" s="1"/>
      <c r="K1043" s="1"/>
      <c r="L1043" s="1"/>
      <c r="M1043" s="1"/>
      <c r="AU1043" s="18"/>
      <c r="AV1043" s="18"/>
    </row>
    <row r="1044" spans="5:48" x14ac:dyDescent="0.2">
      <c r="E1044" s="1"/>
      <c r="F1044" s="1"/>
      <c r="G1044" s="1"/>
      <c r="H1044" s="1"/>
      <c r="I1044" s="1"/>
      <c r="J1044" s="1"/>
      <c r="K1044" s="1"/>
      <c r="L1044" s="1"/>
      <c r="M1044" s="1"/>
      <c r="AU1044" s="18"/>
      <c r="AV1044" s="18"/>
    </row>
    <row r="1045" spans="5:48" x14ac:dyDescent="0.2">
      <c r="E1045" s="1"/>
      <c r="F1045" s="1"/>
      <c r="G1045" s="1"/>
      <c r="H1045" s="1"/>
      <c r="I1045" s="1"/>
      <c r="J1045" s="1"/>
      <c r="K1045" s="1"/>
      <c r="L1045" s="1"/>
      <c r="M1045" s="1"/>
      <c r="AU1045" s="18"/>
      <c r="AV1045" s="18"/>
    </row>
    <row r="1046" spans="5:48" x14ac:dyDescent="0.2">
      <c r="E1046" s="1"/>
      <c r="F1046" s="1"/>
      <c r="G1046" s="1"/>
      <c r="H1046" s="1"/>
      <c r="I1046" s="1"/>
      <c r="J1046" s="1"/>
      <c r="K1046" s="1"/>
      <c r="L1046" s="1"/>
      <c r="M1046" s="1"/>
      <c r="AU1046" s="18"/>
      <c r="AV1046" s="18"/>
    </row>
    <row r="1047" spans="5:48" x14ac:dyDescent="0.2">
      <c r="E1047" s="1"/>
      <c r="F1047" s="1"/>
      <c r="G1047" s="1"/>
      <c r="H1047" s="1"/>
      <c r="I1047" s="1"/>
      <c r="J1047" s="1"/>
      <c r="K1047" s="1"/>
      <c r="L1047" s="1"/>
      <c r="M1047" s="1"/>
      <c r="AU1047" s="18"/>
      <c r="AV1047" s="18"/>
    </row>
    <row r="1048" spans="5:48" x14ac:dyDescent="0.2">
      <c r="E1048" s="1"/>
      <c r="F1048" s="1"/>
      <c r="G1048" s="1"/>
      <c r="H1048" s="1"/>
      <c r="I1048" s="1"/>
      <c r="J1048" s="1"/>
      <c r="K1048" s="1"/>
      <c r="L1048" s="1"/>
      <c r="M1048" s="1"/>
      <c r="AU1048" s="18"/>
      <c r="AV1048" s="18"/>
    </row>
    <row r="1049" spans="5:48" x14ac:dyDescent="0.2">
      <c r="E1049" s="1"/>
      <c r="F1049" s="1"/>
      <c r="G1049" s="1"/>
      <c r="H1049" s="1"/>
      <c r="I1049" s="1"/>
      <c r="J1049" s="1"/>
      <c r="K1049" s="1"/>
      <c r="L1049" s="1"/>
      <c r="M1049" s="1"/>
      <c r="AU1049" s="18"/>
      <c r="AV1049" s="18"/>
    </row>
    <row r="1050" spans="5:48" x14ac:dyDescent="0.2">
      <c r="E1050" s="1"/>
      <c r="F1050" s="1"/>
      <c r="G1050" s="1"/>
      <c r="H1050" s="1"/>
      <c r="I1050" s="1"/>
      <c r="J1050" s="1"/>
      <c r="K1050" s="1"/>
      <c r="L1050" s="1"/>
      <c r="M1050" s="1"/>
      <c r="AU1050" s="18"/>
      <c r="AV1050" s="18"/>
    </row>
    <row r="1051" spans="5:48" x14ac:dyDescent="0.2">
      <c r="E1051" s="1"/>
      <c r="F1051" s="1"/>
      <c r="G1051" s="1"/>
      <c r="H1051" s="1"/>
      <c r="I1051" s="1"/>
      <c r="J1051" s="1"/>
      <c r="K1051" s="1"/>
      <c r="L1051" s="1"/>
      <c r="M1051" s="1"/>
      <c r="AU1051" s="18"/>
      <c r="AV1051" s="18"/>
    </row>
    <row r="1052" spans="5:48" x14ac:dyDescent="0.2">
      <c r="E1052" s="1"/>
      <c r="F1052" s="1"/>
      <c r="G1052" s="1"/>
      <c r="H1052" s="1"/>
      <c r="I1052" s="1"/>
      <c r="J1052" s="1"/>
      <c r="K1052" s="1"/>
      <c r="L1052" s="1"/>
      <c r="M1052" s="1"/>
      <c r="AU1052" s="18"/>
      <c r="AV1052" s="18"/>
    </row>
    <row r="1053" spans="5:48" x14ac:dyDescent="0.2">
      <c r="E1053" s="1"/>
      <c r="F1053" s="1"/>
      <c r="G1053" s="1"/>
      <c r="H1053" s="1"/>
      <c r="I1053" s="1"/>
      <c r="J1053" s="1"/>
      <c r="K1053" s="1"/>
      <c r="L1053" s="1"/>
      <c r="M1053" s="1"/>
      <c r="AU1053" s="18"/>
      <c r="AV1053" s="18"/>
    </row>
    <row r="1054" spans="5:48" x14ac:dyDescent="0.2">
      <c r="E1054" s="1"/>
      <c r="F1054" s="1"/>
      <c r="G1054" s="1"/>
      <c r="H1054" s="1"/>
      <c r="I1054" s="1"/>
      <c r="J1054" s="1"/>
      <c r="K1054" s="1"/>
      <c r="L1054" s="1"/>
      <c r="M1054" s="1"/>
      <c r="AU1054" s="18"/>
      <c r="AV1054" s="18"/>
    </row>
    <row r="1055" spans="5:48" x14ac:dyDescent="0.2">
      <c r="E1055" s="1"/>
      <c r="F1055" s="1"/>
      <c r="G1055" s="1"/>
      <c r="H1055" s="1"/>
      <c r="I1055" s="1"/>
      <c r="J1055" s="1"/>
      <c r="K1055" s="1"/>
      <c r="L1055" s="1"/>
      <c r="M1055" s="1"/>
      <c r="AU1055" s="18"/>
      <c r="AV1055" s="18"/>
    </row>
    <row r="1056" spans="5:48" x14ac:dyDescent="0.2">
      <c r="E1056" s="1"/>
      <c r="F1056" s="1"/>
      <c r="G1056" s="1"/>
      <c r="H1056" s="1"/>
      <c r="I1056" s="1"/>
      <c r="J1056" s="1"/>
      <c r="K1056" s="1"/>
      <c r="L1056" s="1"/>
      <c r="M1056" s="1"/>
      <c r="AU1056" s="18"/>
      <c r="AV1056" s="18"/>
    </row>
    <row r="1057" spans="5:48" x14ac:dyDescent="0.2">
      <c r="E1057" s="1"/>
      <c r="F1057" s="1"/>
      <c r="G1057" s="1"/>
      <c r="H1057" s="1"/>
      <c r="I1057" s="1"/>
      <c r="J1057" s="1"/>
      <c r="K1057" s="1"/>
      <c r="L1057" s="1"/>
      <c r="M1057" s="1"/>
      <c r="AU1057" s="18"/>
      <c r="AV1057" s="18"/>
    </row>
    <row r="1058" spans="5:48" x14ac:dyDescent="0.2">
      <c r="E1058" s="1"/>
      <c r="F1058" s="1"/>
      <c r="G1058" s="1"/>
      <c r="H1058" s="1"/>
      <c r="I1058" s="1"/>
      <c r="J1058" s="1"/>
      <c r="K1058" s="1"/>
      <c r="L1058" s="1"/>
      <c r="M1058" s="1"/>
      <c r="AU1058" s="18"/>
      <c r="AV1058" s="18"/>
    </row>
    <row r="1059" spans="5:48" x14ac:dyDescent="0.2">
      <c r="E1059" s="1"/>
      <c r="F1059" s="1"/>
      <c r="G1059" s="1"/>
      <c r="H1059" s="1"/>
      <c r="I1059" s="1"/>
      <c r="J1059" s="1"/>
      <c r="K1059" s="1"/>
      <c r="L1059" s="1"/>
      <c r="M1059" s="1"/>
      <c r="AU1059" s="18"/>
      <c r="AV1059" s="18"/>
    </row>
    <row r="1060" spans="5:48" x14ac:dyDescent="0.2">
      <c r="E1060" s="1"/>
      <c r="F1060" s="1"/>
      <c r="G1060" s="1"/>
      <c r="H1060" s="1"/>
      <c r="I1060" s="1"/>
      <c r="J1060" s="1"/>
      <c r="K1060" s="1"/>
      <c r="L1060" s="1"/>
      <c r="M1060" s="1"/>
      <c r="AU1060" s="18"/>
      <c r="AV1060" s="18"/>
    </row>
    <row r="1061" spans="5:48" x14ac:dyDescent="0.2">
      <c r="E1061" s="1"/>
      <c r="F1061" s="1"/>
      <c r="G1061" s="1"/>
      <c r="H1061" s="1"/>
      <c r="I1061" s="1"/>
      <c r="J1061" s="1"/>
      <c r="K1061" s="1"/>
      <c r="L1061" s="1"/>
      <c r="M1061" s="1"/>
      <c r="AU1061" s="18"/>
      <c r="AV1061" s="18"/>
    </row>
    <row r="1062" spans="5:48" x14ac:dyDescent="0.2">
      <c r="E1062" s="1"/>
      <c r="F1062" s="1"/>
      <c r="G1062" s="1"/>
      <c r="H1062" s="1"/>
      <c r="I1062" s="1"/>
      <c r="J1062" s="1"/>
      <c r="K1062" s="1"/>
      <c r="L1062" s="1"/>
      <c r="M1062" s="1"/>
      <c r="AU1062" s="18"/>
      <c r="AV1062" s="18"/>
    </row>
    <row r="1063" spans="5:48" x14ac:dyDescent="0.2">
      <c r="E1063" s="1"/>
      <c r="F1063" s="1"/>
      <c r="G1063" s="1"/>
      <c r="H1063" s="1"/>
      <c r="I1063" s="1"/>
      <c r="J1063" s="1"/>
      <c r="K1063" s="1"/>
      <c r="L1063" s="1"/>
      <c r="M1063" s="1"/>
      <c r="AU1063" s="18"/>
      <c r="AV1063" s="18"/>
    </row>
    <row r="1064" spans="5:48" x14ac:dyDescent="0.2">
      <c r="E1064" s="1"/>
      <c r="F1064" s="1"/>
      <c r="G1064" s="1"/>
      <c r="H1064" s="1"/>
      <c r="I1064" s="1"/>
      <c r="J1064" s="1"/>
      <c r="K1064" s="1"/>
      <c r="L1064" s="1"/>
      <c r="M1064" s="1"/>
      <c r="AU1064" s="18"/>
      <c r="AV1064" s="18"/>
    </row>
    <row r="1065" spans="5:48" x14ac:dyDescent="0.2">
      <c r="E1065" s="1"/>
      <c r="F1065" s="1"/>
      <c r="G1065" s="1"/>
      <c r="H1065" s="1"/>
      <c r="I1065" s="1"/>
      <c r="J1065" s="1"/>
      <c r="K1065" s="1"/>
      <c r="L1065" s="1"/>
      <c r="M1065" s="1"/>
      <c r="AU1065" s="18"/>
      <c r="AV1065" s="18"/>
    </row>
    <row r="1066" spans="5:48" x14ac:dyDescent="0.2">
      <c r="E1066" s="1"/>
      <c r="F1066" s="1"/>
      <c r="G1066" s="1"/>
      <c r="H1066" s="1"/>
      <c r="I1066" s="1"/>
      <c r="J1066" s="1"/>
      <c r="K1066" s="1"/>
      <c r="L1066" s="1"/>
      <c r="M1066" s="1"/>
      <c r="AU1066" s="18"/>
      <c r="AV1066" s="18"/>
    </row>
    <row r="1067" spans="5:48" x14ac:dyDescent="0.2">
      <c r="E1067" s="1"/>
      <c r="F1067" s="1"/>
      <c r="G1067" s="1"/>
      <c r="H1067" s="1"/>
      <c r="I1067" s="1"/>
      <c r="J1067" s="1"/>
      <c r="K1067" s="1"/>
      <c r="L1067" s="1"/>
      <c r="M1067" s="1"/>
      <c r="AU1067" s="18"/>
      <c r="AV1067" s="18"/>
    </row>
    <row r="1068" spans="5:48" x14ac:dyDescent="0.2">
      <c r="E1068" s="1"/>
      <c r="F1068" s="1"/>
      <c r="G1068" s="1"/>
      <c r="H1068" s="1"/>
      <c r="I1068" s="1"/>
      <c r="J1068" s="1"/>
      <c r="K1068" s="1"/>
      <c r="L1068" s="1"/>
      <c r="M1068" s="1"/>
      <c r="AU1068" s="18"/>
      <c r="AV1068" s="18"/>
    </row>
    <row r="1069" spans="5:48" x14ac:dyDescent="0.2">
      <c r="E1069" s="1"/>
      <c r="F1069" s="1"/>
      <c r="G1069" s="1"/>
      <c r="H1069" s="1"/>
      <c r="I1069" s="1"/>
      <c r="J1069" s="1"/>
      <c r="K1069" s="1"/>
      <c r="L1069" s="1"/>
      <c r="M1069" s="1"/>
      <c r="AU1069" s="18"/>
      <c r="AV1069" s="18"/>
    </row>
    <row r="1070" spans="5:48" x14ac:dyDescent="0.2">
      <c r="E1070" s="1"/>
      <c r="F1070" s="1"/>
      <c r="G1070" s="1"/>
      <c r="H1070" s="1"/>
      <c r="I1070" s="1"/>
      <c r="J1070" s="1"/>
      <c r="K1070" s="1"/>
      <c r="L1070" s="1"/>
      <c r="M1070" s="1"/>
      <c r="AU1070" s="18"/>
      <c r="AV1070" s="18"/>
    </row>
    <row r="1071" spans="5:48" x14ac:dyDescent="0.2">
      <c r="E1071" s="1"/>
      <c r="F1071" s="1"/>
      <c r="G1071" s="1"/>
      <c r="H1071" s="1"/>
      <c r="I1071" s="1"/>
      <c r="J1071" s="1"/>
      <c r="K1071" s="1"/>
      <c r="L1071" s="1"/>
      <c r="M1071" s="1"/>
      <c r="AU1071" s="18"/>
      <c r="AV1071" s="18"/>
    </row>
    <row r="1072" spans="5:48" x14ac:dyDescent="0.2">
      <c r="E1072" s="1"/>
      <c r="F1072" s="1"/>
      <c r="G1072" s="1"/>
      <c r="H1072" s="1"/>
      <c r="I1072" s="1"/>
      <c r="J1072" s="1"/>
      <c r="K1072" s="1"/>
      <c r="L1072" s="1"/>
      <c r="M1072" s="1"/>
      <c r="AU1072" s="18"/>
      <c r="AV1072" s="18"/>
    </row>
    <row r="1073" spans="5:48" x14ac:dyDescent="0.2">
      <c r="E1073" s="1"/>
      <c r="F1073" s="1"/>
      <c r="G1073" s="1"/>
      <c r="H1073" s="1"/>
      <c r="I1073" s="1"/>
      <c r="J1073" s="1"/>
      <c r="K1073" s="1"/>
      <c r="L1073" s="1"/>
      <c r="M1073" s="1"/>
      <c r="AU1073" s="18"/>
      <c r="AV1073" s="18"/>
    </row>
    <row r="1074" spans="5:48" x14ac:dyDescent="0.2">
      <c r="E1074" s="1"/>
      <c r="F1074" s="1"/>
      <c r="G1074" s="1"/>
      <c r="H1074" s="1"/>
      <c r="I1074" s="1"/>
      <c r="J1074" s="1"/>
      <c r="K1074" s="1"/>
      <c r="L1074" s="1"/>
      <c r="M1074" s="1"/>
      <c r="AU1074" s="18"/>
      <c r="AV1074" s="18"/>
    </row>
    <row r="1075" spans="5:48" x14ac:dyDescent="0.2">
      <c r="E1075" s="1"/>
      <c r="F1075" s="1"/>
      <c r="G1075" s="1"/>
      <c r="H1075" s="1"/>
      <c r="I1075" s="1"/>
      <c r="J1075" s="1"/>
      <c r="K1075" s="1"/>
      <c r="L1075" s="1"/>
      <c r="M1075" s="1"/>
      <c r="AU1075" s="18"/>
      <c r="AV1075" s="18"/>
    </row>
    <row r="1076" spans="5:48" x14ac:dyDescent="0.2">
      <c r="E1076" s="1"/>
      <c r="F1076" s="1"/>
      <c r="G1076" s="1"/>
      <c r="H1076" s="1"/>
      <c r="I1076" s="1"/>
      <c r="J1076" s="1"/>
      <c r="K1076" s="1"/>
      <c r="L1076" s="1"/>
      <c r="M1076" s="1"/>
      <c r="AU1076" s="18"/>
      <c r="AV1076" s="18"/>
    </row>
    <row r="1077" spans="5:48" x14ac:dyDescent="0.2">
      <c r="E1077" s="1"/>
      <c r="F1077" s="1"/>
      <c r="G1077" s="1"/>
      <c r="H1077" s="1"/>
      <c r="I1077" s="1"/>
      <c r="J1077" s="1"/>
      <c r="K1077" s="1"/>
      <c r="L1077" s="1"/>
      <c r="M1077" s="1"/>
      <c r="AU1077" s="18"/>
      <c r="AV1077" s="18"/>
    </row>
    <row r="1078" spans="5:48" x14ac:dyDescent="0.2">
      <c r="E1078" s="1"/>
      <c r="F1078" s="1"/>
      <c r="G1078" s="1"/>
      <c r="H1078" s="1"/>
      <c r="I1078" s="1"/>
      <c r="J1078" s="1"/>
      <c r="K1078" s="1"/>
      <c r="L1078" s="1"/>
      <c r="M1078" s="1"/>
      <c r="AU1078" s="18"/>
      <c r="AV1078" s="18"/>
    </row>
    <row r="1079" spans="5:48" x14ac:dyDescent="0.2">
      <c r="E1079" s="1"/>
      <c r="F1079" s="1"/>
      <c r="G1079" s="1"/>
      <c r="H1079" s="1"/>
      <c r="I1079" s="1"/>
      <c r="J1079" s="1"/>
      <c r="K1079" s="1"/>
      <c r="L1079" s="1"/>
      <c r="M1079" s="1"/>
      <c r="AU1079" s="18"/>
      <c r="AV1079" s="18"/>
    </row>
    <row r="1080" spans="5:48" x14ac:dyDescent="0.2">
      <c r="E1080" s="1"/>
      <c r="F1080" s="1"/>
      <c r="G1080" s="1"/>
      <c r="H1080" s="1"/>
      <c r="I1080" s="1"/>
      <c r="J1080" s="1"/>
      <c r="K1080" s="1"/>
      <c r="L1080" s="1"/>
      <c r="M1080" s="1"/>
      <c r="AU1080" s="18"/>
      <c r="AV1080" s="18"/>
    </row>
    <row r="1081" spans="5:48" x14ac:dyDescent="0.2">
      <c r="E1081" s="1"/>
      <c r="F1081" s="1"/>
      <c r="G1081" s="1"/>
      <c r="H1081" s="1"/>
      <c r="I1081" s="1"/>
      <c r="J1081" s="1"/>
      <c r="K1081" s="1"/>
      <c r="L1081" s="1"/>
      <c r="M1081" s="1"/>
      <c r="AU1081" s="18"/>
      <c r="AV1081" s="18"/>
    </row>
    <row r="1082" spans="5:48" x14ac:dyDescent="0.2">
      <c r="E1082" s="1"/>
      <c r="F1082" s="1"/>
      <c r="G1082" s="1"/>
      <c r="H1082" s="1"/>
      <c r="I1082" s="1"/>
      <c r="J1082" s="1"/>
      <c r="K1082" s="1"/>
      <c r="L1082" s="1"/>
      <c r="M1082" s="1"/>
      <c r="AU1082" s="18"/>
      <c r="AV1082" s="18"/>
    </row>
    <row r="1083" spans="5:48" x14ac:dyDescent="0.2">
      <c r="E1083" s="1"/>
      <c r="F1083" s="1"/>
      <c r="G1083" s="1"/>
      <c r="H1083" s="1"/>
      <c r="I1083" s="1"/>
      <c r="J1083" s="1"/>
      <c r="K1083" s="1"/>
      <c r="L1083" s="1"/>
      <c r="M1083" s="1"/>
      <c r="AU1083" s="18"/>
      <c r="AV1083" s="18"/>
    </row>
    <row r="1084" spans="5:48" x14ac:dyDescent="0.2">
      <c r="E1084" s="1"/>
      <c r="F1084" s="1"/>
      <c r="G1084" s="1"/>
      <c r="H1084" s="1"/>
      <c r="I1084" s="1"/>
      <c r="J1084" s="1"/>
      <c r="K1084" s="1"/>
      <c r="L1084" s="1"/>
      <c r="M1084" s="1"/>
      <c r="AU1084" s="18"/>
      <c r="AV1084" s="18"/>
    </row>
    <row r="1085" spans="5:48" x14ac:dyDescent="0.2">
      <c r="E1085" s="1"/>
      <c r="F1085" s="1"/>
      <c r="G1085" s="1"/>
      <c r="H1085" s="1"/>
      <c r="I1085" s="1"/>
      <c r="J1085" s="1"/>
      <c r="K1085" s="1"/>
      <c r="L1085" s="1"/>
      <c r="M1085" s="1"/>
      <c r="AU1085" s="18"/>
      <c r="AV1085" s="18"/>
    </row>
    <row r="1086" spans="5:48" x14ac:dyDescent="0.2">
      <c r="E1086" s="1"/>
      <c r="F1086" s="1"/>
      <c r="G1086" s="1"/>
      <c r="H1086" s="1"/>
      <c r="I1086" s="1"/>
      <c r="J1086" s="1"/>
      <c r="K1086" s="1"/>
      <c r="L1086" s="1"/>
      <c r="M1086" s="1"/>
      <c r="AU1086" s="18"/>
      <c r="AV1086" s="18"/>
    </row>
    <row r="1087" spans="5:48" x14ac:dyDescent="0.2">
      <c r="E1087" s="1"/>
      <c r="F1087" s="1"/>
      <c r="G1087" s="1"/>
      <c r="H1087" s="1"/>
      <c r="I1087" s="1"/>
      <c r="J1087" s="1"/>
      <c r="K1087" s="1"/>
      <c r="L1087" s="1"/>
      <c r="M1087" s="1"/>
      <c r="AU1087" s="18"/>
      <c r="AV1087" s="18"/>
    </row>
    <row r="1088" spans="5:48" x14ac:dyDescent="0.2">
      <c r="E1088" s="1"/>
      <c r="F1088" s="1"/>
      <c r="G1088" s="1"/>
      <c r="H1088" s="1"/>
      <c r="I1088" s="1"/>
      <c r="J1088" s="1"/>
      <c r="K1088" s="1"/>
      <c r="L1088" s="1"/>
      <c r="M1088" s="1"/>
      <c r="AU1088" s="18"/>
      <c r="AV1088" s="18"/>
    </row>
    <row r="1089" spans="5:48" x14ac:dyDescent="0.2">
      <c r="E1089" s="1"/>
      <c r="F1089" s="1"/>
      <c r="G1089" s="1"/>
      <c r="H1089" s="1"/>
      <c r="I1089" s="1"/>
      <c r="J1089" s="1"/>
      <c r="K1089" s="1"/>
      <c r="L1089" s="1"/>
      <c r="M1089" s="1"/>
      <c r="AU1089" s="18"/>
      <c r="AV1089" s="18"/>
    </row>
    <row r="1090" spans="5:48" x14ac:dyDescent="0.2">
      <c r="E1090" s="1"/>
      <c r="F1090" s="1"/>
      <c r="G1090" s="1"/>
      <c r="H1090" s="1"/>
      <c r="I1090" s="1"/>
      <c r="J1090" s="1"/>
      <c r="K1090" s="1"/>
      <c r="L1090" s="1"/>
      <c r="M1090" s="1"/>
      <c r="AU1090" s="18"/>
      <c r="AV1090" s="18"/>
    </row>
    <row r="1091" spans="5:48" x14ac:dyDescent="0.2">
      <c r="E1091" s="1"/>
      <c r="F1091" s="1"/>
      <c r="G1091" s="1"/>
      <c r="H1091" s="1"/>
      <c r="I1091" s="1"/>
      <c r="J1091" s="1"/>
      <c r="K1091" s="1"/>
      <c r="L1091" s="1"/>
      <c r="M1091" s="1"/>
      <c r="AU1091" s="18"/>
      <c r="AV1091" s="18"/>
    </row>
    <row r="1092" spans="5:48" x14ac:dyDescent="0.2">
      <c r="E1092" s="1"/>
      <c r="F1092" s="1"/>
      <c r="G1092" s="1"/>
      <c r="H1092" s="1"/>
      <c r="I1092" s="1"/>
      <c r="J1092" s="1"/>
      <c r="K1092" s="1"/>
      <c r="L1092" s="1"/>
      <c r="M1092" s="1"/>
      <c r="AU1092" s="18"/>
      <c r="AV1092" s="18"/>
    </row>
    <row r="1093" spans="5:48" x14ac:dyDescent="0.2">
      <c r="E1093" s="1"/>
      <c r="F1093" s="1"/>
      <c r="G1093" s="1"/>
      <c r="H1093" s="1"/>
      <c r="I1093" s="1"/>
      <c r="J1093" s="1"/>
      <c r="K1093" s="1"/>
      <c r="L1093" s="1"/>
      <c r="M1093" s="1"/>
      <c r="AU1093" s="18"/>
      <c r="AV1093" s="18"/>
    </row>
    <row r="1094" spans="5:48" x14ac:dyDescent="0.2">
      <c r="E1094" s="1"/>
      <c r="F1094" s="1"/>
      <c r="G1094" s="1"/>
      <c r="H1094" s="1"/>
      <c r="I1094" s="1"/>
      <c r="J1094" s="1"/>
      <c r="K1094" s="1"/>
      <c r="L1094" s="1"/>
      <c r="M1094" s="1"/>
      <c r="AU1094" s="18"/>
      <c r="AV1094" s="18"/>
    </row>
    <row r="1095" spans="5:48" x14ac:dyDescent="0.2">
      <c r="E1095" s="1"/>
      <c r="F1095" s="1"/>
      <c r="G1095" s="1"/>
      <c r="H1095" s="1"/>
      <c r="I1095" s="1"/>
      <c r="J1095" s="1"/>
      <c r="K1095" s="1"/>
      <c r="L1095" s="1"/>
      <c r="M1095" s="1"/>
      <c r="AU1095" s="18"/>
      <c r="AV1095" s="18"/>
    </row>
    <row r="1096" spans="5:48" x14ac:dyDescent="0.2">
      <c r="E1096" s="1"/>
      <c r="F1096" s="1"/>
      <c r="G1096" s="1"/>
      <c r="H1096" s="1"/>
      <c r="I1096" s="1"/>
      <c r="J1096" s="1"/>
      <c r="K1096" s="1"/>
      <c r="L1096" s="1"/>
      <c r="M1096" s="1"/>
      <c r="AU1096" s="18"/>
      <c r="AV1096" s="18"/>
    </row>
    <row r="1097" spans="5:48" x14ac:dyDescent="0.2">
      <c r="E1097" s="1"/>
      <c r="F1097" s="1"/>
      <c r="G1097" s="1"/>
      <c r="H1097" s="1"/>
      <c r="I1097" s="1"/>
      <c r="J1097" s="1"/>
      <c r="K1097" s="1"/>
      <c r="L1097" s="1"/>
      <c r="M1097" s="1"/>
      <c r="AU1097" s="18"/>
      <c r="AV1097" s="18"/>
    </row>
    <row r="1098" spans="5:48" x14ac:dyDescent="0.2">
      <c r="E1098" s="1"/>
      <c r="F1098" s="1"/>
      <c r="G1098" s="1"/>
      <c r="H1098" s="1"/>
      <c r="I1098" s="1"/>
      <c r="J1098" s="1"/>
      <c r="K1098" s="1"/>
      <c r="L1098" s="1"/>
      <c r="M1098" s="1"/>
      <c r="AU1098" s="18"/>
      <c r="AV1098" s="18"/>
    </row>
    <row r="1099" spans="5:48" x14ac:dyDescent="0.2">
      <c r="E1099" s="1"/>
      <c r="F1099" s="1"/>
      <c r="G1099" s="1"/>
      <c r="H1099" s="1"/>
      <c r="I1099" s="1"/>
      <c r="J1099" s="1"/>
      <c r="K1099" s="1"/>
      <c r="L1099" s="1"/>
      <c r="M1099" s="1"/>
      <c r="AU1099" s="18"/>
      <c r="AV1099" s="18"/>
    </row>
    <row r="1100" spans="5:48" x14ac:dyDescent="0.2">
      <c r="E1100" s="1"/>
      <c r="F1100" s="1"/>
      <c r="G1100" s="1"/>
      <c r="H1100" s="1"/>
      <c r="I1100" s="1"/>
      <c r="J1100" s="1"/>
      <c r="K1100" s="1"/>
      <c r="L1100" s="1"/>
      <c r="M1100" s="1"/>
      <c r="AU1100" s="18"/>
      <c r="AV1100" s="18"/>
    </row>
    <row r="1101" spans="5:48" x14ac:dyDescent="0.2">
      <c r="E1101" s="1"/>
      <c r="F1101" s="1"/>
      <c r="G1101" s="1"/>
      <c r="H1101" s="1"/>
      <c r="I1101" s="1"/>
      <c r="J1101" s="1"/>
      <c r="K1101" s="1"/>
      <c r="L1101" s="1"/>
      <c r="M1101" s="1"/>
      <c r="AU1101" s="18"/>
      <c r="AV1101" s="18"/>
    </row>
    <row r="1102" spans="5:48" x14ac:dyDescent="0.2">
      <c r="E1102" s="1"/>
      <c r="F1102" s="1"/>
      <c r="G1102" s="1"/>
      <c r="H1102" s="1"/>
      <c r="I1102" s="1"/>
      <c r="J1102" s="1"/>
      <c r="K1102" s="1"/>
      <c r="L1102" s="1"/>
      <c r="M1102" s="1"/>
      <c r="AU1102" s="18"/>
      <c r="AV1102" s="18"/>
    </row>
    <row r="1103" spans="5:48" x14ac:dyDescent="0.2">
      <c r="E1103" s="1"/>
      <c r="F1103" s="1"/>
      <c r="G1103" s="1"/>
      <c r="H1103" s="1"/>
      <c r="I1103" s="1"/>
      <c r="J1103" s="1"/>
      <c r="K1103" s="1"/>
      <c r="L1103" s="1"/>
      <c r="M1103" s="1"/>
      <c r="AU1103" s="18"/>
      <c r="AV1103" s="18"/>
    </row>
    <row r="1104" spans="5:48" x14ac:dyDescent="0.2">
      <c r="E1104" s="1"/>
      <c r="F1104" s="1"/>
      <c r="G1104" s="1"/>
      <c r="H1104" s="1"/>
      <c r="I1104" s="1"/>
      <c r="J1104" s="1"/>
      <c r="K1104" s="1"/>
      <c r="L1104" s="1"/>
      <c r="M1104" s="1"/>
      <c r="AU1104" s="18"/>
      <c r="AV1104" s="18"/>
    </row>
    <row r="1105" spans="5:48" x14ac:dyDescent="0.2">
      <c r="E1105" s="1"/>
      <c r="F1105" s="1"/>
      <c r="G1105" s="1"/>
      <c r="H1105" s="1"/>
      <c r="I1105" s="1"/>
      <c r="J1105" s="1"/>
      <c r="K1105" s="1"/>
      <c r="L1105" s="1"/>
      <c r="M1105" s="1"/>
      <c r="AU1105" s="18"/>
      <c r="AV1105" s="18"/>
    </row>
    <row r="1106" spans="5:48" x14ac:dyDescent="0.2">
      <c r="E1106" s="1"/>
      <c r="F1106" s="1"/>
      <c r="G1106" s="1"/>
      <c r="H1106" s="1"/>
      <c r="I1106" s="1"/>
      <c r="J1106" s="1"/>
      <c r="K1106" s="1"/>
      <c r="L1106" s="1"/>
      <c r="M1106" s="1"/>
      <c r="AU1106" s="18"/>
      <c r="AV1106" s="18"/>
    </row>
    <row r="1107" spans="5:48" x14ac:dyDescent="0.2">
      <c r="E1107" s="1"/>
      <c r="F1107" s="1"/>
      <c r="G1107" s="1"/>
      <c r="H1107" s="1"/>
      <c r="I1107" s="1"/>
      <c r="J1107" s="1"/>
      <c r="K1107" s="1"/>
      <c r="L1107" s="1"/>
      <c r="M1107" s="1"/>
      <c r="AU1107" s="18"/>
      <c r="AV1107" s="18"/>
    </row>
    <row r="1108" spans="5:48" x14ac:dyDescent="0.2">
      <c r="E1108" s="1"/>
      <c r="F1108" s="1"/>
      <c r="G1108" s="1"/>
      <c r="H1108" s="1"/>
      <c r="I1108" s="1"/>
      <c r="J1108" s="1"/>
      <c r="K1108" s="1"/>
      <c r="L1108" s="1"/>
      <c r="M1108" s="1"/>
      <c r="AU1108" s="18"/>
      <c r="AV1108" s="18"/>
    </row>
    <row r="1109" spans="5:48" x14ac:dyDescent="0.2">
      <c r="E1109" s="1"/>
      <c r="F1109" s="1"/>
      <c r="G1109" s="1"/>
      <c r="H1109" s="1"/>
      <c r="I1109" s="1"/>
      <c r="J1109" s="1"/>
      <c r="K1109" s="1"/>
      <c r="L1109" s="1"/>
      <c r="M1109" s="1"/>
      <c r="AU1109" s="18"/>
      <c r="AV1109" s="18"/>
    </row>
    <row r="1110" spans="5:48" x14ac:dyDescent="0.2">
      <c r="E1110" s="1"/>
      <c r="F1110" s="1"/>
      <c r="G1110" s="1"/>
      <c r="H1110" s="1"/>
      <c r="I1110" s="1"/>
      <c r="J1110" s="1"/>
      <c r="K1110" s="1"/>
      <c r="L1110" s="1"/>
      <c r="M1110" s="1"/>
      <c r="AU1110" s="18"/>
      <c r="AV1110" s="18"/>
    </row>
    <row r="1111" spans="5:48" x14ac:dyDescent="0.2">
      <c r="E1111" s="1"/>
      <c r="F1111" s="1"/>
      <c r="G1111" s="1"/>
      <c r="H1111" s="1"/>
      <c r="I1111" s="1"/>
      <c r="J1111" s="1"/>
      <c r="K1111" s="1"/>
      <c r="L1111" s="1"/>
      <c r="M1111" s="1"/>
      <c r="AU1111" s="18"/>
      <c r="AV1111" s="18"/>
    </row>
    <row r="1112" spans="5:48" x14ac:dyDescent="0.2">
      <c r="E1112" s="1"/>
      <c r="F1112" s="1"/>
      <c r="G1112" s="1"/>
      <c r="H1112" s="1"/>
      <c r="I1112" s="1"/>
      <c r="J1112" s="1"/>
      <c r="K1112" s="1"/>
      <c r="L1112" s="1"/>
      <c r="M1112" s="1"/>
      <c r="AU1112" s="18"/>
      <c r="AV1112" s="18"/>
    </row>
    <row r="1113" spans="5:48" x14ac:dyDescent="0.2">
      <c r="E1113" s="1"/>
      <c r="F1113" s="1"/>
      <c r="G1113" s="1"/>
      <c r="H1113" s="1"/>
      <c r="I1113" s="1"/>
      <c r="J1113" s="1"/>
      <c r="K1113" s="1"/>
      <c r="L1113" s="1"/>
      <c r="M1113" s="1"/>
      <c r="AU1113" s="18"/>
      <c r="AV1113" s="18"/>
    </row>
    <row r="1114" spans="5:48" x14ac:dyDescent="0.2">
      <c r="E1114" s="1"/>
      <c r="F1114" s="1"/>
      <c r="G1114" s="1"/>
      <c r="H1114" s="1"/>
      <c r="I1114" s="1"/>
      <c r="J1114" s="1"/>
      <c r="K1114" s="1"/>
      <c r="L1114" s="1"/>
      <c r="M1114" s="1"/>
      <c r="AU1114" s="18"/>
      <c r="AV1114" s="18"/>
    </row>
    <row r="1115" spans="5:48" x14ac:dyDescent="0.2">
      <c r="E1115" s="1"/>
      <c r="F1115" s="1"/>
      <c r="G1115" s="1"/>
      <c r="H1115" s="1"/>
      <c r="I1115" s="1"/>
      <c r="J1115" s="1"/>
      <c r="K1115" s="1"/>
      <c r="L1115" s="1"/>
      <c r="M1115" s="1"/>
      <c r="AU1115" s="18"/>
      <c r="AV1115" s="18"/>
    </row>
    <row r="1116" spans="5:48" x14ac:dyDescent="0.2">
      <c r="E1116" s="1"/>
      <c r="F1116" s="1"/>
      <c r="G1116" s="1"/>
      <c r="H1116" s="1"/>
      <c r="I1116" s="1"/>
      <c r="J1116" s="1"/>
      <c r="K1116" s="1"/>
      <c r="L1116" s="1"/>
      <c r="M1116" s="1"/>
      <c r="AU1116" s="18"/>
      <c r="AV1116" s="18"/>
    </row>
    <row r="1117" spans="5:48" x14ac:dyDescent="0.2">
      <c r="E1117" s="1"/>
      <c r="F1117" s="1"/>
      <c r="G1117" s="1"/>
      <c r="H1117" s="1"/>
      <c r="I1117" s="1"/>
      <c r="J1117" s="1"/>
      <c r="K1117" s="1"/>
      <c r="L1117" s="1"/>
      <c r="M1117" s="1"/>
      <c r="AU1117" s="18"/>
      <c r="AV1117" s="18"/>
    </row>
    <row r="1118" spans="5:48" x14ac:dyDescent="0.2">
      <c r="E1118" s="1"/>
      <c r="F1118" s="1"/>
      <c r="G1118" s="1"/>
      <c r="H1118" s="1"/>
      <c r="I1118" s="1"/>
      <c r="J1118" s="1"/>
      <c r="K1118" s="1"/>
      <c r="L1118" s="1"/>
      <c r="M1118" s="1"/>
      <c r="AU1118" s="18"/>
      <c r="AV1118" s="18"/>
    </row>
    <row r="1119" spans="5:48" x14ac:dyDescent="0.2">
      <c r="E1119" s="1"/>
      <c r="F1119" s="1"/>
      <c r="G1119" s="1"/>
      <c r="H1119" s="1"/>
      <c r="I1119" s="1"/>
      <c r="J1119" s="1"/>
      <c r="K1119" s="1"/>
      <c r="L1119" s="1"/>
      <c r="M1119" s="1"/>
      <c r="AU1119" s="18"/>
      <c r="AV1119" s="18"/>
    </row>
    <row r="1120" spans="5:48" x14ac:dyDescent="0.2">
      <c r="E1120" s="1"/>
      <c r="F1120" s="1"/>
      <c r="G1120" s="1"/>
      <c r="H1120" s="1"/>
      <c r="I1120" s="1"/>
      <c r="J1120" s="1"/>
      <c r="K1120" s="1"/>
      <c r="L1120" s="1"/>
      <c r="M1120" s="1"/>
      <c r="AU1120" s="18"/>
      <c r="AV1120" s="18"/>
    </row>
    <row r="1121" spans="5:48" x14ac:dyDescent="0.2">
      <c r="E1121" s="1"/>
      <c r="F1121" s="1"/>
      <c r="G1121" s="1"/>
      <c r="H1121" s="1"/>
      <c r="I1121" s="1"/>
      <c r="J1121" s="1"/>
      <c r="K1121" s="1"/>
      <c r="L1121" s="1"/>
      <c r="M1121" s="1"/>
      <c r="AU1121" s="18"/>
      <c r="AV1121" s="18"/>
    </row>
    <row r="1122" spans="5:48" x14ac:dyDescent="0.2">
      <c r="E1122" s="1"/>
      <c r="F1122" s="1"/>
      <c r="G1122" s="1"/>
      <c r="H1122" s="1"/>
      <c r="I1122" s="1"/>
      <c r="J1122" s="1"/>
      <c r="K1122" s="1"/>
      <c r="L1122" s="1"/>
      <c r="M1122" s="1"/>
      <c r="AU1122" s="18"/>
      <c r="AV1122" s="18"/>
    </row>
    <row r="1123" spans="5:48" x14ac:dyDescent="0.2">
      <c r="E1123" s="1"/>
      <c r="F1123" s="1"/>
      <c r="G1123" s="1"/>
      <c r="H1123" s="1"/>
      <c r="I1123" s="1"/>
      <c r="J1123" s="1"/>
      <c r="K1123" s="1"/>
      <c r="L1123" s="1"/>
      <c r="M1123" s="1"/>
      <c r="AU1123" s="18"/>
      <c r="AV1123" s="18"/>
    </row>
    <row r="1124" spans="5:48" x14ac:dyDescent="0.2">
      <c r="E1124" s="1"/>
      <c r="F1124" s="1"/>
      <c r="G1124" s="1"/>
      <c r="H1124" s="1"/>
      <c r="I1124" s="1"/>
      <c r="J1124" s="1"/>
      <c r="K1124" s="1"/>
      <c r="L1124" s="1"/>
      <c r="M1124" s="1"/>
      <c r="AU1124" s="18"/>
      <c r="AV1124" s="18"/>
    </row>
    <row r="1125" spans="5:48" x14ac:dyDescent="0.2">
      <c r="E1125" s="1"/>
      <c r="F1125" s="1"/>
      <c r="G1125" s="1"/>
      <c r="H1125" s="1"/>
      <c r="I1125" s="1"/>
      <c r="J1125" s="1"/>
      <c r="K1125" s="1"/>
      <c r="L1125" s="1"/>
      <c r="M1125" s="1"/>
      <c r="AU1125" s="18"/>
      <c r="AV1125" s="18"/>
    </row>
    <row r="1126" spans="5:48" x14ac:dyDescent="0.2">
      <c r="E1126" s="1"/>
      <c r="F1126" s="1"/>
      <c r="G1126" s="1"/>
      <c r="H1126" s="1"/>
      <c r="I1126" s="1"/>
      <c r="J1126" s="1"/>
      <c r="K1126" s="1"/>
      <c r="L1126" s="1"/>
      <c r="M1126" s="1"/>
      <c r="AU1126" s="18"/>
      <c r="AV1126" s="18"/>
    </row>
    <row r="1127" spans="5:48" x14ac:dyDescent="0.2">
      <c r="E1127" s="1"/>
      <c r="F1127" s="1"/>
      <c r="G1127" s="1"/>
      <c r="H1127" s="1"/>
      <c r="I1127" s="1"/>
      <c r="J1127" s="1"/>
      <c r="K1127" s="1"/>
      <c r="L1127" s="1"/>
      <c r="M1127" s="1"/>
      <c r="AU1127" s="18"/>
      <c r="AV1127" s="18"/>
    </row>
    <row r="1128" spans="5:48" x14ac:dyDescent="0.2">
      <c r="E1128" s="1"/>
      <c r="F1128" s="1"/>
      <c r="G1128" s="1"/>
      <c r="H1128" s="1"/>
      <c r="I1128" s="1"/>
      <c r="J1128" s="1"/>
      <c r="K1128" s="1"/>
      <c r="L1128" s="1"/>
      <c r="M1128" s="1"/>
      <c r="AU1128" s="18"/>
      <c r="AV1128" s="18"/>
    </row>
    <row r="1129" spans="5:48" x14ac:dyDescent="0.2">
      <c r="E1129" s="1"/>
      <c r="F1129" s="1"/>
      <c r="G1129" s="1"/>
      <c r="H1129" s="1"/>
      <c r="I1129" s="1"/>
      <c r="J1129" s="1"/>
      <c r="K1129" s="1"/>
      <c r="L1129" s="1"/>
      <c r="M1129" s="1"/>
      <c r="AU1129" s="18"/>
      <c r="AV1129" s="18"/>
    </row>
    <row r="1130" spans="5:48" x14ac:dyDescent="0.2">
      <c r="E1130" s="1"/>
      <c r="F1130" s="1"/>
      <c r="G1130" s="1"/>
      <c r="H1130" s="1"/>
      <c r="I1130" s="1"/>
      <c r="J1130" s="1"/>
      <c r="K1130" s="1"/>
      <c r="L1130" s="1"/>
      <c r="M1130" s="1"/>
      <c r="AU1130" s="18"/>
      <c r="AV1130" s="18"/>
    </row>
    <row r="1131" spans="5:48" x14ac:dyDescent="0.2">
      <c r="E1131" s="1"/>
      <c r="F1131" s="1"/>
      <c r="G1131" s="1"/>
      <c r="H1131" s="1"/>
      <c r="I1131" s="1"/>
      <c r="J1131" s="1"/>
      <c r="K1131" s="1"/>
      <c r="L1131" s="1"/>
      <c r="M1131" s="1"/>
      <c r="AU1131" s="18"/>
      <c r="AV1131" s="18"/>
    </row>
    <row r="1132" spans="5:48" x14ac:dyDescent="0.2">
      <c r="E1132" s="1"/>
      <c r="F1132" s="1"/>
      <c r="G1132" s="1"/>
      <c r="H1132" s="1"/>
      <c r="I1132" s="1"/>
      <c r="J1132" s="1"/>
      <c r="K1132" s="1"/>
      <c r="L1132" s="1"/>
      <c r="M1132" s="1"/>
      <c r="AU1132" s="18"/>
      <c r="AV1132" s="18"/>
    </row>
    <row r="1133" spans="5:48" x14ac:dyDescent="0.2">
      <c r="E1133" s="1"/>
      <c r="F1133" s="1"/>
      <c r="G1133" s="1"/>
      <c r="H1133" s="1"/>
      <c r="I1133" s="1"/>
      <c r="J1133" s="1"/>
      <c r="K1133" s="1"/>
      <c r="L1133" s="1"/>
      <c r="M1133" s="1"/>
      <c r="AU1133" s="18"/>
      <c r="AV1133" s="18"/>
    </row>
    <row r="1134" spans="5:48" x14ac:dyDescent="0.2">
      <c r="E1134" s="1"/>
      <c r="F1134" s="1"/>
      <c r="G1134" s="1"/>
      <c r="H1134" s="1"/>
      <c r="I1134" s="1"/>
      <c r="J1134" s="1"/>
      <c r="K1134" s="1"/>
      <c r="L1134" s="1"/>
      <c r="M1134" s="1"/>
      <c r="AU1134" s="18"/>
      <c r="AV1134" s="18"/>
    </row>
    <row r="1135" spans="5:48" x14ac:dyDescent="0.2">
      <c r="E1135" s="1"/>
      <c r="F1135" s="1"/>
      <c r="G1135" s="1"/>
      <c r="H1135" s="1"/>
      <c r="I1135" s="1"/>
      <c r="J1135" s="1"/>
      <c r="K1135" s="1"/>
      <c r="L1135" s="1"/>
      <c r="M1135" s="1"/>
      <c r="AU1135" s="18"/>
      <c r="AV1135" s="18"/>
    </row>
    <row r="1136" spans="5:48" x14ac:dyDescent="0.2">
      <c r="E1136" s="1"/>
      <c r="F1136" s="1"/>
      <c r="G1136" s="1"/>
      <c r="H1136" s="1"/>
      <c r="I1136" s="1"/>
      <c r="J1136" s="1"/>
      <c r="K1136" s="1"/>
      <c r="L1136" s="1"/>
      <c r="M1136" s="1"/>
      <c r="AU1136" s="18"/>
      <c r="AV1136" s="18"/>
    </row>
    <row r="1137" spans="5:48" x14ac:dyDescent="0.2">
      <c r="E1137" s="1"/>
      <c r="F1137" s="1"/>
      <c r="G1137" s="1"/>
      <c r="H1137" s="1"/>
      <c r="I1137" s="1"/>
      <c r="J1137" s="1"/>
      <c r="K1137" s="1"/>
      <c r="L1137" s="1"/>
      <c r="M1137" s="1"/>
      <c r="AU1137" s="18"/>
      <c r="AV1137" s="18"/>
    </row>
    <row r="1138" spans="5:48" x14ac:dyDescent="0.2">
      <c r="E1138" s="1"/>
      <c r="F1138" s="1"/>
      <c r="G1138" s="1"/>
      <c r="H1138" s="1"/>
      <c r="I1138" s="1"/>
      <c r="J1138" s="1"/>
      <c r="K1138" s="1"/>
      <c r="L1138" s="1"/>
      <c r="M1138" s="1"/>
      <c r="AU1138" s="18"/>
      <c r="AV1138" s="18"/>
    </row>
    <row r="1139" spans="5:48" x14ac:dyDescent="0.2">
      <c r="E1139" s="1"/>
      <c r="F1139" s="1"/>
      <c r="G1139" s="1"/>
      <c r="H1139" s="1"/>
      <c r="I1139" s="1"/>
      <c r="J1139" s="1"/>
      <c r="K1139" s="1"/>
      <c r="L1139" s="1"/>
      <c r="M1139" s="1"/>
      <c r="AU1139" s="18"/>
      <c r="AV1139" s="18"/>
    </row>
    <row r="1140" spans="5:48" x14ac:dyDescent="0.2">
      <c r="E1140" s="1"/>
      <c r="F1140" s="1"/>
      <c r="G1140" s="1"/>
      <c r="H1140" s="1"/>
      <c r="I1140" s="1"/>
      <c r="J1140" s="1"/>
      <c r="K1140" s="1"/>
      <c r="L1140" s="1"/>
      <c r="M1140" s="1"/>
      <c r="AU1140" s="18"/>
      <c r="AV1140" s="18"/>
    </row>
    <row r="1141" spans="5:48" x14ac:dyDescent="0.2">
      <c r="E1141" s="1"/>
      <c r="F1141" s="1"/>
      <c r="G1141" s="1"/>
      <c r="H1141" s="1"/>
      <c r="I1141" s="1"/>
      <c r="J1141" s="1"/>
      <c r="K1141" s="1"/>
      <c r="L1141" s="1"/>
      <c r="M1141" s="1"/>
      <c r="AU1141" s="18"/>
      <c r="AV1141" s="18"/>
    </row>
    <row r="1142" spans="5:48" x14ac:dyDescent="0.2">
      <c r="E1142" s="1"/>
      <c r="F1142" s="1"/>
      <c r="G1142" s="1"/>
      <c r="H1142" s="1"/>
      <c r="I1142" s="1"/>
      <c r="J1142" s="1"/>
      <c r="K1142" s="1"/>
      <c r="L1142" s="1"/>
      <c r="M1142" s="1"/>
      <c r="AU1142" s="18"/>
      <c r="AV1142" s="18"/>
    </row>
    <row r="1143" spans="5:48" x14ac:dyDescent="0.2">
      <c r="E1143" s="1"/>
      <c r="F1143" s="1"/>
      <c r="G1143" s="1"/>
      <c r="H1143" s="1"/>
      <c r="I1143" s="1"/>
      <c r="J1143" s="1"/>
      <c r="K1143" s="1"/>
      <c r="L1143" s="1"/>
      <c r="M1143" s="1"/>
      <c r="AU1143" s="18"/>
      <c r="AV1143" s="18"/>
    </row>
    <row r="1144" spans="5:48" x14ac:dyDescent="0.2">
      <c r="E1144" s="1"/>
      <c r="F1144" s="1"/>
      <c r="G1144" s="1"/>
      <c r="H1144" s="1"/>
      <c r="I1144" s="1"/>
      <c r="J1144" s="1"/>
      <c r="K1144" s="1"/>
      <c r="L1144" s="1"/>
      <c r="M1144" s="1"/>
      <c r="AU1144" s="18"/>
      <c r="AV1144" s="18"/>
    </row>
    <row r="1145" spans="5:48" x14ac:dyDescent="0.2">
      <c r="E1145" s="1"/>
      <c r="F1145" s="1"/>
      <c r="G1145" s="1"/>
      <c r="H1145" s="1"/>
      <c r="I1145" s="1"/>
      <c r="J1145" s="1"/>
      <c r="K1145" s="1"/>
      <c r="L1145" s="1"/>
      <c r="M1145" s="1"/>
      <c r="AU1145" s="18"/>
      <c r="AV1145" s="18"/>
    </row>
    <row r="1146" spans="5:48" x14ac:dyDescent="0.2">
      <c r="E1146" s="1"/>
      <c r="F1146" s="1"/>
      <c r="G1146" s="1"/>
      <c r="H1146" s="1"/>
      <c r="I1146" s="1"/>
      <c r="J1146" s="1"/>
      <c r="K1146" s="1"/>
      <c r="L1146" s="1"/>
      <c r="M1146" s="1"/>
      <c r="AU1146" s="18"/>
      <c r="AV1146" s="18"/>
    </row>
    <row r="1147" spans="5:48" x14ac:dyDescent="0.2">
      <c r="E1147" s="1"/>
      <c r="F1147" s="1"/>
      <c r="G1147" s="1"/>
      <c r="H1147" s="1"/>
      <c r="I1147" s="1"/>
      <c r="J1147" s="1"/>
      <c r="K1147" s="1"/>
      <c r="L1147" s="1"/>
      <c r="M1147" s="1"/>
      <c r="AU1147" s="18"/>
      <c r="AV1147" s="18"/>
    </row>
    <row r="1148" spans="5:48" x14ac:dyDescent="0.2">
      <c r="E1148" s="1"/>
      <c r="F1148" s="1"/>
      <c r="G1148" s="1"/>
      <c r="H1148" s="1"/>
      <c r="I1148" s="1"/>
      <c r="J1148" s="1"/>
      <c r="K1148" s="1"/>
      <c r="L1148" s="1"/>
      <c r="M1148" s="1"/>
      <c r="AU1148" s="18"/>
      <c r="AV1148" s="18"/>
    </row>
    <row r="1149" spans="5:48" x14ac:dyDescent="0.2">
      <c r="E1149" s="1"/>
      <c r="F1149" s="1"/>
      <c r="G1149" s="1"/>
      <c r="H1149" s="1"/>
      <c r="I1149" s="1"/>
      <c r="J1149" s="1"/>
      <c r="K1149" s="1"/>
      <c r="L1149" s="1"/>
      <c r="M1149" s="1"/>
      <c r="AU1149" s="18"/>
      <c r="AV1149" s="18"/>
    </row>
    <row r="1150" spans="5:48" x14ac:dyDescent="0.2">
      <c r="E1150" s="1"/>
      <c r="F1150" s="1"/>
      <c r="G1150" s="1"/>
      <c r="H1150" s="1"/>
      <c r="I1150" s="1"/>
      <c r="J1150" s="1"/>
      <c r="K1150" s="1"/>
      <c r="L1150" s="1"/>
      <c r="M1150" s="1"/>
      <c r="AU1150" s="18"/>
      <c r="AV1150" s="18"/>
    </row>
    <row r="1151" spans="5:48" x14ac:dyDescent="0.2">
      <c r="E1151" s="1"/>
      <c r="F1151" s="1"/>
      <c r="G1151" s="1"/>
      <c r="H1151" s="1"/>
      <c r="I1151" s="1"/>
      <c r="J1151" s="1"/>
      <c r="K1151" s="1"/>
      <c r="L1151" s="1"/>
      <c r="M1151" s="1"/>
      <c r="AU1151" s="18"/>
      <c r="AV1151" s="18"/>
    </row>
    <row r="1152" spans="5:48" x14ac:dyDescent="0.2">
      <c r="E1152" s="1"/>
      <c r="F1152" s="1"/>
      <c r="G1152" s="1"/>
      <c r="H1152" s="1"/>
      <c r="I1152" s="1"/>
      <c r="J1152" s="1"/>
      <c r="K1152" s="1"/>
      <c r="L1152" s="1"/>
      <c r="M1152" s="1"/>
      <c r="AU1152" s="18"/>
      <c r="AV1152" s="18"/>
    </row>
    <row r="1153" spans="5:48" x14ac:dyDescent="0.2">
      <c r="E1153" s="1"/>
      <c r="F1153" s="1"/>
      <c r="G1153" s="1"/>
      <c r="H1153" s="1"/>
      <c r="I1153" s="1"/>
      <c r="J1153" s="1"/>
      <c r="K1153" s="1"/>
      <c r="L1153" s="1"/>
      <c r="M1153" s="1"/>
      <c r="AU1153" s="18"/>
      <c r="AV1153" s="18"/>
    </row>
    <row r="1154" spans="5:48" x14ac:dyDescent="0.2">
      <c r="E1154" s="1"/>
      <c r="F1154" s="1"/>
      <c r="G1154" s="1"/>
      <c r="H1154" s="1"/>
      <c r="I1154" s="1"/>
      <c r="J1154" s="1"/>
      <c r="K1154" s="1"/>
      <c r="L1154" s="1"/>
      <c r="M1154" s="1"/>
      <c r="AU1154" s="18"/>
      <c r="AV1154" s="18"/>
    </row>
    <row r="1155" spans="5:48" x14ac:dyDescent="0.2">
      <c r="E1155" s="1"/>
      <c r="F1155" s="1"/>
      <c r="G1155" s="1"/>
      <c r="H1155" s="1"/>
      <c r="I1155" s="1"/>
      <c r="J1155" s="1"/>
      <c r="K1155" s="1"/>
      <c r="L1155" s="1"/>
      <c r="M1155" s="1"/>
      <c r="AU1155" s="18"/>
      <c r="AV1155" s="18"/>
    </row>
    <row r="1156" spans="5:48" x14ac:dyDescent="0.2">
      <c r="E1156" s="1"/>
      <c r="F1156" s="1"/>
      <c r="G1156" s="1"/>
      <c r="H1156" s="1"/>
      <c r="I1156" s="1"/>
      <c r="J1156" s="1"/>
      <c r="K1156" s="1"/>
      <c r="L1156" s="1"/>
      <c r="M1156" s="1"/>
      <c r="AU1156" s="18"/>
      <c r="AV1156" s="18"/>
    </row>
    <row r="1157" spans="5:48" x14ac:dyDescent="0.2">
      <c r="E1157" s="1"/>
      <c r="F1157" s="1"/>
      <c r="G1157" s="1"/>
      <c r="H1157" s="1"/>
      <c r="I1157" s="1"/>
      <c r="J1157" s="1"/>
      <c r="K1157" s="1"/>
      <c r="L1157" s="1"/>
      <c r="M1157" s="1"/>
      <c r="AU1157" s="18"/>
      <c r="AV1157" s="18"/>
    </row>
    <row r="1158" spans="5:48" x14ac:dyDescent="0.2">
      <c r="E1158" s="1"/>
      <c r="F1158" s="1"/>
      <c r="G1158" s="1"/>
      <c r="H1158" s="1"/>
      <c r="I1158" s="1"/>
      <c r="J1158" s="1"/>
      <c r="K1158" s="1"/>
      <c r="L1158" s="1"/>
      <c r="M1158" s="1"/>
      <c r="AU1158" s="18"/>
      <c r="AV1158" s="18"/>
    </row>
    <row r="1159" spans="5:48" x14ac:dyDescent="0.2">
      <c r="E1159" s="1"/>
      <c r="F1159" s="1"/>
      <c r="G1159" s="1"/>
      <c r="H1159" s="1"/>
      <c r="I1159" s="1"/>
      <c r="J1159" s="1"/>
      <c r="K1159" s="1"/>
      <c r="L1159" s="1"/>
      <c r="M1159" s="1"/>
      <c r="AU1159" s="18"/>
      <c r="AV1159" s="18"/>
    </row>
    <row r="1160" spans="5:48" x14ac:dyDescent="0.2">
      <c r="E1160" s="1"/>
      <c r="F1160" s="1"/>
      <c r="G1160" s="1"/>
      <c r="H1160" s="1"/>
      <c r="I1160" s="1"/>
      <c r="J1160" s="1"/>
      <c r="K1160" s="1"/>
      <c r="L1160" s="1"/>
      <c r="M1160" s="1"/>
      <c r="AU1160" s="18"/>
      <c r="AV1160" s="18"/>
    </row>
    <row r="1161" spans="5:48" x14ac:dyDescent="0.2">
      <c r="E1161" s="1"/>
      <c r="F1161" s="1"/>
      <c r="G1161" s="1"/>
      <c r="H1161" s="1"/>
      <c r="I1161" s="1"/>
      <c r="J1161" s="1"/>
      <c r="K1161" s="1"/>
      <c r="L1161" s="1"/>
      <c r="M1161" s="1"/>
      <c r="AU1161" s="18"/>
      <c r="AV1161" s="18"/>
    </row>
    <row r="1162" spans="5:48" x14ac:dyDescent="0.2">
      <c r="E1162" s="1"/>
      <c r="F1162" s="1"/>
      <c r="G1162" s="1"/>
      <c r="H1162" s="1"/>
      <c r="I1162" s="1"/>
      <c r="J1162" s="1"/>
      <c r="K1162" s="1"/>
      <c r="L1162" s="1"/>
      <c r="M1162" s="1"/>
      <c r="AU1162" s="18"/>
      <c r="AV1162" s="18"/>
    </row>
    <row r="1163" spans="5:48" x14ac:dyDescent="0.2">
      <c r="E1163" s="1"/>
      <c r="F1163" s="1"/>
      <c r="G1163" s="1"/>
      <c r="H1163" s="1"/>
      <c r="I1163" s="1"/>
      <c r="J1163" s="1"/>
      <c r="K1163" s="1"/>
      <c r="L1163" s="1"/>
      <c r="M1163" s="1"/>
      <c r="AU1163" s="18"/>
      <c r="AV1163" s="18"/>
    </row>
    <row r="1164" spans="5:48" x14ac:dyDescent="0.2">
      <c r="E1164" s="1"/>
      <c r="F1164" s="1"/>
      <c r="G1164" s="1"/>
      <c r="H1164" s="1"/>
      <c r="I1164" s="1"/>
      <c r="J1164" s="1"/>
      <c r="K1164" s="1"/>
      <c r="L1164" s="1"/>
      <c r="M1164" s="1"/>
      <c r="AU1164" s="18"/>
      <c r="AV1164" s="18"/>
    </row>
    <row r="1165" spans="5:48" x14ac:dyDescent="0.2">
      <c r="E1165" s="1"/>
      <c r="F1165" s="1"/>
      <c r="G1165" s="1"/>
      <c r="H1165" s="1"/>
      <c r="I1165" s="1"/>
      <c r="J1165" s="1"/>
      <c r="K1165" s="1"/>
      <c r="L1165" s="1"/>
      <c r="M1165" s="1"/>
      <c r="AU1165" s="18"/>
      <c r="AV1165" s="18"/>
    </row>
    <row r="1166" spans="5:48" x14ac:dyDescent="0.2">
      <c r="E1166" s="1"/>
      <c r="F1166" s="1"/>
      <c r="G1166" s="1"/>
      <c r="H1166" s="1"/>
      <c r="I1166" s="1"/>
      <c r="J1166" s="1"/>
      <c r="K1166" s="1"/>
      <c r="L1166" s="1"/>
      <c r="M1166" s="1"/>
      <c r="AU1166" s="18"/>
      <c r="AV1166" s="18"/>
    </row>
    <row r="1167" spans="5:48" x14ac:dyDescent="0.2">
      <c r="E1167" s="1"/>
      <c r="F1167" s="1"/>
      <c r="G1167" s="1"/>
      <c r="H1167" s="1"/>
      <c r="I1167" s="1"/>
      <c r="J1167" s="1"/>
      <c r="K1167" s="1"/>
      <c r="L1167" s="1"/>
      <c r="M1167" s="1"/>
      <c r="AU1167" s="18"/>
      <c r="AV1167" s="18"/>
    </row>
    <row r="1168" spans="5:48" x14ac:dyDescent="0.2">
      <c r="E1168" s="1"/>
      <c r="F1168" s="1"/>
      <c r="G1168" s="1"/>
      <c r="H1168" s="1"/>
      <c r="I1168" s="1"/>
      <c r="J1168" s="1"/>
      <c r="K1168" s="1"/>
      <c r="L1168" s="1"/>
      <c r="M1168" s="1"/>
      <c r="AU1168" s="18"/>
      <c r="AV1168" s="18"/>
    </row>
    <row r="1169" spans="5:48" x14ac:dyDescent="0.2">
      <c r="E1169" s="1"/>
      <c r="F1169" s="1"/>
      <c r="G1169" s="1"/>
      <c r="H1169" s="1"/>
      <c r="I1169" s="1"/>
      <c r="J1169" s="1"/>
      <c r="K1169" s="1"/>
      <c r="L1169" s="1"/>
      <c r="M1169" s="1"/>
      <c r="AU1169" s="18"/>
      <c r="AV1169" s="18"/>
    </row>
    <row r="1170" spans="5:48" x14ac:dyDescent="0.2">
      <c r="E1170" s="1"/>
      <c r="F1170" s="1"/>
      <c r="G1170" s="1"/>
      <c r="H1170" s="1"/>
      <c r="I1170" s="1"/>
      <c r="J1170" s="1"/>
      <c r="K1170" s="1"/>
      <c r="L1170" s="1"/>
      <c r="M1170" s="1"/>
      <c r="AU1170" s="18"/>
      <c r="AV1170" s="18"/>
    </row>
    <row r="1171" spans="5:48" x14ac:dyDescent="0.2">
      <c r="E1171" s="1"/>
      <c r="F1171" s="1"/>
      <c r="G1171" s="1"/>
      <c r="H1171" s="1"/>
      <c r="I1171" s="1"/>
      <c r="J1171" s="1"/>
      <c r="K1171" s="1"/>
      <c r="L1171" s="1"/>
      <c r="M1171" s="1"/>
      <c r="AU1171" s="18"/>
      <c r="AV1171" s="18"/>
    </row>
    <row r="1172" spans="5:48" x14ac:dyDescent="0.2">
      <c r="E1172" s="1"/>
      <c r="F1172" s="1"/>
      <c r="G1172" s="1"/>
      <c r="H1172" s="1"/>
      <c r="I1172" s="1"/>
      <c r="J1172" s="1"/>
      <c r="K1172" s="1"/>
      <c r="L1172" s="1"/>
      <c r="M1172" s="1"/>
      <c r="AU1172" s="18"/>
      <c r="AV1172" s="18"/>
    </row>
    <row r="1173" spans="5:48" x14ac:dyDescent="0.2">
      <c r="E1173" s="1"/>
      <c r="F1173" s="1"/>
      <c r="G1173" s="1"/>
      <c r="H1173" s="1"/>
      <c r="I1173" s="1"/>
      <c r="J1173" s="1"/>
      <c r="K1173" s="1"/>
      <c r="L1173" s="1"/>
      <c r="M1173" s="1"/>
      <c r="AU1173" s="18"/>
      <c r="AV1173" s="18"/>
    </row>
    <row r="1174" spans="5:48" x14ac:dyDescent="0.2">
      <c r="E1174" s="1"/>
      <c r="F1174" s="1"/>
      <c r="G1174" s="1"/>
      <c r="H1174" s="1"/>
      <c r="I1174" s="1"/>
      <c r="J1174" s="1"/>
      <c r="K1174" s="1"/>
      <c r="L1174" s="1"/>
      <c r="M1174" s="1"/>
      <c r="AU1174" s="18"/>
      <c r="AV1174" s="18"/>
    </row>
    <row r="1175" spans="5:48" x14ac:dyDescent="0.2">
      <c r="E1175" s="1"/>
      <c r="F1175" s="1"/>
      <c r="G1175" s="1"/>
      <c r="H1175" s="1"/>
      <c r="I1175" s="1"/>
      <c r="J1175" s="1"/>
      <c r="K1175" s="1"/>
      <c r="L1175" s="1"/>
      <c r="M1175" s="1"/>
      <c r="AU1175" s="18"/>
      <c r="AV1175" s="18"/>
    </row>
    <row r="1176" spans="5:48" x14ac:dyDescent="0.2">
      <c r="E1176" s="1"/>
      <c r="F1176" s="1"/>
      <c r="G1176" s="1"/>
      <c r="H1176" s="1"/>
      <c r="I1176" s="1"/>
      <c r="J1176" s="1"/>
      <c r="K1176" s="1"/>
      <c r="L1176" s="1"/>
      <c r="M1176" s="1"/>
      <c r="AU1176" s="18"/>
      <c r="AV1176" s="18"/>
    </row>
    <row r="1177" spans="5:48" x14ac:dyDescent="0.2">
      <c r="E1177" s="1"/>
      <c r="F1177" s="1"/>
      <c r="G1177" s="1"/>
      <c r="H1177" s="1"/>
      <c r="I1177" s="1"/>
      <c r="J1177" s="1"/>
      <c r="K1177" s="1"/>
      <c r="L1177" s="1"/>
      <c r="M1177" s="1"/>
      <c r="AU1177" s="18"/>
      <c r="AV1177" s="18"/>
    </row>
    <row r="1178" spans="5:48" x14ac:dyDescent="0.2">
      <c r="E1178" s="1"/>
      <c r="F1178" s="1"/>
      <c r="G1178" s="1"/>
      <c r="H1178" s="1"/>
      <c r="I1178" s="1"/>
      <c r="J1178" s="1"/>
      <c r="K1178" s="1"/>
      <c r="L1178" s="1"/>
      <c r="M1178" s="1"/>
      <c r="AU1178" s="18"/>
      <c r="AV1178" s="18"/>
    </row>
    <row r="1179" spans="5:48" x14ac:dyDescent="0.2">
      <c r="E1179" s="1"/>
      <c r="F1179" s="1"/>
      <c r="G1179" s="1"/>
      <c r="H1179" s="1"/>
      <c r="I1179" s="1"/>
      <c r="J1179" s="1"/>
      <c r="K1179" s="1"/>
      <c r="L1179" s="1"/>
      <c r="M1179" s="1"/>
      <c r="AU1179" s="18"/>
      <c r="AV1179" s="18"/>
    </row>
    <row r="1180" spans="5:48" x14ac:dyDescent="0.2">
      <c r="E1180" s="1"/>
      <c r="F1180" s="1"/>
      <c r="G1180" s="1"/>
      <c r="H1180" s="1"/>
      <c r="I1180" s="1"/>
      <c r="J1180" s="1"/>
      <c r="K1180" s="1"/>
      <c r="L1180" s="1"/>
      <c r="M1180" s="1"/>
      <c r="AU1180" s="18"/>
      <c r="AV1180" s="18"/>
    </row>
    <row r="1181" spans="5:48" x14ac:dyDescent="0.2">
      <c r="E1181" s="1"/>
      <c r="F1181" s="1"/>
      <c r="G1181" s="1"/>
      <c r="H1181" s="1"/>
      <c r="I1181" s="1"/>
      <c r="J1181" s="1"/>
      <c r="K1181" s="1"/>
      <c r="L1181" s="1"/>
      <c r="M1181" s="1"/>
      <c r="AU1181" s="18"/>
      <c r="AV1181" s="18"/>
    </row>
    <row r="1182" spans="5:48" x14ac:dyDescent="0.2">
      <c r="E1182" s="1"/>
      <c r="F1182" s="1"/>
      <c r="G1182" s="1"/>
      <c r="H1182" s="1"/>
      <c r="I1182" s="1"/>
      <c r="J1182" s="1"/>
      <c r="K1182" s="1"/>
      <c r="L1182" s="1"/>
      <c r="M1182" s="1"/>
      <c r="AU1182" s="18"/>
      <c r="AV1182" s="18"/>
    </row>
    <row r="1183" spans="5:48" x14ac:dyDescent="0.2">
      <c r="E1183" s="1"/>
      <c r="F1183" s="1"/>
      <c r="G1183" s="1"/>
      <c r="H1183" s="1"/>
      <c r="I1183" s="1"/>
      <c r="J1183" s="1"/>
      <c r="K1183" s="1"/>
      <c r="L1183" s="1"/>
      <c r="M1183" s="1"/>
      <c r="AU1183" s="18"/>
      <c r="AV1183" s="18"/>
    </row>
    <row r="1184" spans="5:48" x14ac:dyDescent="0.2">
      <c r="E1184" s="1"/>
      <c r="F1184" s="1"/>
      <c r="G1184" s="1"/>
      <c r="H1184" s="1"/>
      <c r="I1184" s="1"/>
      <c r="J1184" s="1"/>
      <c r="K1184" s="1"/>
      <c r="L1184" s="1"/>
      <c r="M1184" s="1"/>
      <c r="AU1184" s="18"/>
      <c r="AV1184" s="18"/>
    </row>
    <row r="1185" spans="5:48" x14ac:dyDescent="0.2">
      <c r="E1185" s="1"/>
      <c r="F1185" s="1"/>
      <c r="G1185" s="1"/>
      <c r="H1185" s="1"/>
      <c r="I1185" s="1"/>
      <c r="J1185" s="1"/>
      <c r="K1185" s="1"/>
      <c r="L1185" s="1"/>
      <c r="M1185" s="1"/>
      <c r="AU1185" s="18"/>
      <c r="AV1185" s="18"/>
    </row>
    <row r="1186" spans="5:48" x14ac:dyDescent="0.2">
      <c r="E1186" s="1"/>
      <c r="F1186" s="1"/>
      <c r="G1186" s="1"/>
      <c r="H1186" s="1"/>
      <c r="I1186" s="1"/>
      <c r="J1186" s="1"/>
      <c r="K1186" s="1"/>
      <c r="L1186" s="1"/>
      <c r="M1186" s="1"/>
      <c r="AU1186" s="18"/>
      <c r="AV1186" s="18"/>
    </row>
    <row r="1187" spans="5:48" x14ac:dyDescent="0.2">
      <c r="E1187" s="1"/>
      <c r="F1187" s="1"/>
      <c r="G1187" s="1"/>
      <c r="H1187" s="1"/>
      <c r="I1187" s="1"/>
      <c r="J1187" s="1"/>
      <c r="K1187" s="1"/>
      <c r="L1187" s="1"/>
      <c r="M1187" s="1"/>
      <c r="AU1187" s="18"/>
      <c r="AV1187" s="18"/>
    </row>
    <row r="1188" spans="5:48" x14ac:dyDescent="0.2">
      <c r="E1188" s="1"/>
      <c r="F1188" s="1"/>
      <c r="G1188" s="1"/>
      <c r="H1188" s="1"/>
      <c r="I1188" s="1"/>
      <c r="J1188" s="1"/>
      <c r="K1188" s="1"/>
      <c r="L1188" s="1"/>
      <c r="M1188" s="1"/>
      <c r="AU1188" s="18"/>
      <c r="AV1188" s="18"/>
    </row>
    <row r="1189" spans="5:48" x14ac:dyDescent="0.2">
      <c r="E1189" s="1"/>
      <c r="F1189" s="1"/>
      <c r="G1189" s="1"/>
      <c r="H1189" s="1"/>
      <c r="I1189" s="1"/>
      <c r="J1189" s="1"/>
      <c r="K1189" s="1"/>
      <c r="L1189" s="1"/>
      <c r="M1189" s="1"/>
      <c r="AU1189" s="18"/>
      <c r="AV1189" s="18"/>
    </row>
    <row r="1190" spans="5:48" x14ac:dyDescent="0.2">
      <c r="E1190" s="1"/>
      <c r="F1190" s="1"/>
      <c r="G1190" s="1"/>
      <c r="H1190" s="1"/>
      <c r="I1190" s="1"/>
      <c r="J1190" s="1"/>
      <c r="K1190" s="1"/>
      <c r="L1190" s="1"/>
      <c r="M1190" s="1"/>
      <c r="AU1190" s="18"/>
      <c r="AV1190" s="18"/>
    </row>
    <row r="1191" spans="5:48" x14ac:dyDescent="0.2">
      <c r="E1191" s="1"/>
      <c r="F1191" s="1"/>
      <c r="G1191" s="1"/>
      <c r="H1191" s="1"/>
      <c r="I1191" s="1"/>
      <c r="J1191" s="1"/>
      <c r="K1191" s="1"/>
      <c r="L1191" s="1"/>
      <c r="M1191" s="1"/>
      <c r="AU1191" s="18"/>
      <c r="AV1191" s="18"/>
    </row>
    <row r="1192" spans="5:48" x14ac:dyDescent="0.2">
      <c r="E1192" s="1"/>
      <c r="F1192" s="1"/>
      <c r="G1192" s="1"/>
      <c r="H1192" s="1"/>
      <c r="I1192" s="1"/>
      <c r="J1192" s="1"/>
      <c r="K1192" s="1"/>
      <c r="L1192" s="1"/>
      <c r="M1192" s="1"/>
      <c r="AU1192" s="18"/>
      <c r="AV1192" s="18"/>
    </row>
    <row r="1193" spans="5:48" x14ac:dyDescent="0.2">
      <c r="E1193" s="1"/>
      <c r="F1193" s="1"/>
      <c r="G1193" s="1"/>
      <c r="H1193" s="1"/>
      <c r="I1193" s="1"/>
      <c r="J1193" s="1"/>
      <c r="K1193" s="1"/>
      <c r="L1193" s="1"/>
      <c r="M1193" s="1"/>
      <c r="AU1193" s="18"/>
      <c r="AV1193" s="18"/>
    </row>
    <row r="1194" spans="5:48" x14ac:dyDescent="0.2">
      <c r="E1194" s="1"/>
      <c r="F1194" s="1"/>
      <c r="G1194" s="1"/>
      <c r="H1194" s="1"/>
      <c r="I1194" s="1"/>
      <c r="J1194" s="1"/>
      <c r="K1194" s="1"/>
      <c r="L1194" s="1"/>
      <c r="M1194" s="1"/>
      <c r="AU1194" s="18"/>
      <c r="AV1194" s="18"/>
    </row>
    <row r="1195" spans="5:48" x14ac:dyDescent="0.2">
      <c r="E1195" s="1"/>
      <c r="F1195" s="1"/>
      <c r="G1195" s="1"/>
      <c r="H1195" s="1"/>
      <c r="I1195" s="1"/>
      <c r="J1195" s="1"/>
      <c r="K1195" s="1"/>
      <c r="L1195" s="1"/>
      <c r="M1195" s="1"/>
      <c r="AU1195" s="18"/>
      <c r="AV1195" s="18"/>
    </row>
    <row r="1196" spans="5:48" x14ac:dyDescent="0.2">
      <c r="E1196" s="1"/>
      <c r="F1196" s="1"/>
      <c r="G1196" s="1"/>
      <c r="H1196" s="1"/>
      <c r="I1196" s="1"/>
      <c r="J1196" s="1"/>
      <c r="K1196" s="1"/>
      <c r="L1196" s="1"/>
      <c r="M1196" s="1"/>
      <c r="AU1196" s="18"/>
      <c r="AV1196" s="18"/>
    </row>
    <row r="1197" spans="5:48" x14ac:dyDescent="0.2">
      <c r="E1197" s="1"/>
      <c r="F1197" s="1"/>
      <c r="G1197" s="1"/>
      <c r="H1197" s="1"/>
      <c r="I1197" s="1"/>
      <c r="J1197" s="1"/>
      <c r="K1197" s="1"/>
      <c r="L1197" s="1"/>
      <c r="M1197" s="1"/>
      <c r="AU1197" s="18"/>
      <c r="AV1197" s="18"/>
    </row>
    <row r="1198" spans="5:48" x14ac:dyDescent="0.2">
      <c r="E1198" s="1"/>
      <c r="F1198" s="1"/>
      <c r="G1198" s="1"/>
      <c r="H1198" s="1"/>
      <c r="I1198" s="1"/>
      <c r="J1198" s="1"/>
      <c r="K1198" s="1"/>
      <c r="L1198" s="1"/>
      <c r="M1198" s="1"/>
      <c r="AU1198" s="18"/>
      <c r="AV1198" s="18"/>
    </row>
    <row r="1199" spans="5:48" x14ac:dyDescent="0.2">
      <c r="E1199" s="1"/>
      <c r="F1199" s="1"/>
      <c r="G1199" s="1"/>
      <c r="H1199" s="1"/>
      <c r="I1199" s="1"/>
      <c r="J1199" s="1"/>
      <c r="K1199" s="1"/>
      <c r="L1199" s="1"/>
      <c r="M1199" s="1"/>
      <c r="AU1199" s="18"/>
      <c r="AV1199" s="18"/>
    </row>
    <row r="1200" spans="5:48" x14ac:dyDescent="0.2">
      <c r="E1200" s="1"/>
      <c r="F1200" s="1"/>
      <c r="G1200" s="1"/>
      <c r="H1200" s="1"/>
      <c r="I1200" s="1"/>
      <c r="J1200" s="1"/>
      <c r="K1200" s="1"/>
      <c r="L1200" s="1"/>
      <c r="M1200" s="1"/>
      <c r="AU1200" s="18"/>
      <c r="AV1200" s="18"/>
    </row>
    <row r="1201" spans="5:48" x14ac:dyDescent="0.2">
      <c r="E1201" s="1"/>
      <c r="F1201" s="1"/>
      <c r="G1201" s="1"/>
      <c r="H1201" s="1"/>
      <c r="I1201" s="1"/>
      <c r="J1201" s="1"/>
      <c r="K1201" s="1"/>
      <c r="L1201" s="1"/>
      <c r="M1201" s="1"/>
      <c r="AU1201" s="18"/>
      <c r="AV1201" s="18"/>
    </row>
    <row r="1202" spans="5:48" x14ac:dyDescent="0.2">
      <c r="E1202" s="1"/>
      <c r="F1202" s="1"/>
      <c r="G1202" s="1"/>
      <c r="H1202" s="1"/>
      <c r="I1202" s="1"/>
      <c r="J1202" s="1"/>
      <c r="K1202" s="1"/>
      <c r="L1202" s="1"/>
      <c r="M1202" s="1"/>
      <c r="AU1202" s="18"/>
      <c r="AV1202" s="18"/>
    </row>
    <row r="1203" spans="5:48" x14ac:dyDescent="0.2">
      <c r="E1203" s="1"/>
      <c r="F1203" s="1"/>
      <c r="G1203" s="1"/>
      <c r="H1203" s="1"/>
      <c r="I1203" s="1"/>
      <c r="J1203" s="1"/>
      <c r="K1203" s="1"/>
      <c r="L1203" s="1"/>
      <c r="M1203" s="1"/>
      <c r="AU1203" s="18"/>
      <c r="AV1203" s="18"/>
    </row>
    <row r="1204" spans="5:48" x14ac:dyDescent="0.2">
      <c r="E1204" s="1"/>
      <c r="F1204" s="1"/>
      <c r="G1204" s="1"/>
      <c r="H1204" s="1"/>
      <c r="I1204" s="1"/>
      <c r="J1204" s="1"/>
      <c r="K1204" s="1"/>
      <c r="L1204" s="1"/>
      <c r="M1204" s="1"/>
      <c r="AU1204" s="18"/>
      <c r="AV1204" s="18"/>
    </row>
    <row r="1205" spans="5:48" x14ac:dyDescent="0.2">
      <c r="E1205" s="1"/>
      <c r="F1205" s="1"/>
      <c r="G1205" s="1"/>
      <c r="H1205" s="1"/>
      <c r="I1205" s="1"/>
      <c r="J1205" s="1"/>
      <c r="K1205" s="1"/>
      <c r="L1205" s="1"/>
      <c r="M1205" s="1"/>
      <c r="AU1205" s="18"/>
      <c r="AV1205" s="18"/>
    </row>
    <row r="1206" spans="5:48" x14ac:dyDescent="0.2">
      <c r="E1206" s="1"/>
      <c r="F1206" s="1"/>
      <c r="G1206" s="1"/>
      <c r="H1206" s="1"/>
      <c r="I1206" s="1"/>
      <c r="J1206" s="1"/>
      <c r="K1206" s="1"/>
      <c r="L1206" s="1"/>
      <c r="M1206" s="1"/>
      <c r="AU1206" s="18"/>
      <c r="AV1206" s="18"/>
    </row>
    <row r="1207" spans="5:48" x14ac:dyDescent="0.2">
      <c r="E1207" s="1"/>
      <c r="F1207" s="1"/>
      <c r="G1207" s="1"/>
      <c r="H1207" s="1"/>
      <c r="I1207" s="1"/>
      <c r="J1207" s="1"/>
      <c r="K1207" s="1"/>
      <c r="L1207" s="1"/>
      <c r="M1207" s="1"/>
      <c r="AU1207" s="18"/>
      <c r="AV1207" s="18"/>
    </row>
    <row r="1208" spans="5:48" x14ac:dyDescent="0.2">
      <c r="E1208" s="1"/>
      <c r="F1208" s="1"/>
      <c r="G1208" s="1"/>
      <c r="H1208" s="1"/>
      <c r="I1208" s="1"/>
      <c r="J1208" s="1"/>
      <c r="K1208" s="1"/>
      <c r="L1208" s="1"/>
      <c r="M1208" s="1"/>
      <c r="AU1208" s="18"/>
      <c r="AV1208" s="18"/>
    </row>
    <row r="1209" spans="5:48" x14ac:dyDescent="0.2">
      <c r="E1209" s="1"/>
      <c r="F1209" s="1"/>
      <c r="G1209" s="1"/>
      <c r="H1209" s="1"/>
      <c r="I1209" s="1"/>
      <c r="J1209" s="1"/>
      <c r="K1209" s="1"/>
      <c r="L1209" s="1"/>
      <c r="M1209" s="1"/>
      <c r="AU1209" s="18"/>
      <c r="AV1209" s="18"/>
    </row>
    <row r="1210" spans="5:48" x14ac:dyDescent="0.2">
      <c r="E1210" s="1"/>
      <c r="F1210" s="1"/>
      <c r="G1210" s="1"/>
      <c r="H1210" s="1"/>
      <c r="I1210" s="1"/>
      <c r="J1210" s="1"/>
      <c r="K1210" s="1"/>
      <c r="L1210" s="1"/>
      <c r="M1210" s="1"/>
      <c r="AU1210" s="18"/>
      <c r="AV1210" s="18"/>
    </row>
    <row r="1211" spans="5:48" x14ac:dyDescent="0.2">
      <c r="E1211" s="1"/>
      <c r="F1211" s="1"/>
      <c r="G1211" s="1"/>
      <c r="H1211" s="1"/>
      <c r="I1211" s="1"/>
      <c r="J1211" s="1"/>
      <c r="K1211" s="1"/>
      <c r="L1211" s="1"/>
      <c r="M1211" s="1"/>
      <c r="AU1211" s="18"/>
      <c r="AV1211" s="18"/>
    </row>
    <row r="1212" spans="5:48" x14ac:dyDescent="0.2">
      <c r="E1212" s="1"/>
      <c r="F1212" s="1"/>
      <c r="G1212" s="1"/>
      <c r="H1212" s="1"/>
      <c r="I1212" s="1"/>
      <c r="J1212" s="1"/>
      <c r="K1212" s="1"/>
      <c r="L1212" s="1"/>
      <c r="M1212" s="1"/>
      <c r="AU1212" s="18"/>
      <c r="AV1212" s="18"/>
    </row>
    <row r="1213" spans="5:48" x14ac:dyDescent="0.2">
      <c r="E1213" s="1"/>
      <c r="F1213" s="1"/>
      <c r="G1213" s="1"/>
      <c r="H1213" s="1"/>
      <c r="I1213" s="1"/>
      <c r="J1213" s="1"/>
      <c r="K1213" s="1"/>
      <c r="L1213" s="1"/>
      <c r="M1213" s="1"/>
      <c r="AU1213" s="18"/>
      <c r="AV1213" s="18"/>
    </row>
    <row r="1214" spans="5:48" x14ac:dyDescent="0.2">
      <c r="E1214" s="1"/>
      <c r="F1214" s="1"/>
      <c r="G1214" s="1"/>
      <c r="H1214" s="1"/>
      <c r="I1214" s="1"/>
      <c r="J1214" s="1"/>
      <c r="K1214" s="1"/>
      <c r="L1214" s="1"/>
      <c r="M1214" s="1"/>
      <c r="AU1214" s="18"/>
      <c r="AV1214" s="18"/>
    </row>
    <row r="1215" spans="5:48" x14ac:dyDescent="0.2">
      <c r="E1215" s="1"/>
      <c r="F1215" s="1"/>
      <c r="G1215" s="1"/>
      <c r="H1215" s="1"/>
      <c r="I1215" s="1"/>
      <c r="J1215" s="1"/>
      <c r="K1215" s="1"/>
      <c r="L1215" s="1"/>
      <c r="M1215" s="1"/>
      <c r="AU1215" s="18"/>
      <c r="AV1215" s="18"/>
    </row>
    <row r="1216" spans="5:48" x14ac:dyDescent="0.2">
      <c r="E1216" s="1"/>
      <c r="F1216" s="1"/>
      <c r="G1216" s="1"/>
      <c r="H1216" s="1"/>
      <c r="I1216" s="1"/>
      <c r="J1216" s="1"/>
      <c r="K1216" s="1"/>
      <c r="L1216" s="1"/>
      <c r="M1216" s="1"/>
      <c r="AU1216" s="18"/>
      <c r="AV1216" s="18"/>
    </row>
    <row r="1217" spans="5:48" x14ac:dyDescent="0.2">
      <c r="E1217" s="1"/>
      <c r="F1217" s="1"/>
      <c r="G1217" s="1"/>
      <c r="H1217" s="1"/>
      <c r="I1217" s="1"/>
      <c r="J1217" s="1"/>
      <c r="K1217" s="1"/>
      <c r="L1217" s="1"/>
      <c r="M1217" s="1"/>
      <c r="AU1217" s="18"/>
      <c r="AV1217" s="18"/>
    </row>
    <row r="1218" spans="5:48" x14ac:dyDescent="0.2">
      <c r="E1218" s="1"/>
      <c r="F1218" s="1"/>
      <c r="G1218" s="1"/>
      <c r="H1218" s="1"/>
      <c r="I1218" s="1"/>
      <c r="J1218" s="1"/>
      <c r="K1218" s="1"/>
      <c r="L1218" s="1"/>
      <c r="M1218" s="1"/>
      <c r="AU1218" s="18"/>
      <c r="AV1218" s="18"/>
    </row>
    <row r="1219" spans="5:48" x14ac:dyDescent="0.2">
      <c r="E1219" s="1"/>
      <c r="F1219" s="1"/>
      <c r="G1219" s="1"/>
      <c r="H1219" s="1"/>
      <c r="I1219" s="1"/>
      <c r="J1219" s="1"/>
      <c r="K1219" s="1"/>
      <c r="L1219" s="1"/>
      <c r="M1219" s="1"/>
      <c r="AU1219" s="18"/>
      <c r="AV1219" s="18"/>
    </row>
    <row r="1220" spans="5:48" x14ac:dyDescent="0.2">
      <c r="E1220" s="1"/>
      <c r="F1220" s="1"/>
      <c r="G1220" s="1"/>
      <c r="H1220" s="1"/>
      <c r="I1220" s="1"/>
      <c r="J1220" s="1"/>
      <c r="K1220" s="1"/>
      <c r="L1220" s="1"/>
      <c r="M1220" s="1"/>
      <c r="AU1220" s="18"/>
      <c r="AV1220" s="18"/>
    </row>
    <row r="1221" spans="5:48" x14ac:dyDescent="0.2">
      <c r="E1221" s="1"/>
      <c r="F1221" s="1"/>
      <c r="G1221" s="1"/>
      <c r="H1221" s="1"/>
      <c r="I1221" s="1"/>
      <c r="J1221" s="1"/>
      <c r="K1221" s="1"/>
      <c r="L1221" s="1"/>
      <c r="M1221" s="1"/>
      <c r="AU1221" s="18"/>
      <c r="AV1221" s="18"/>
    </row>
    <row r="1222" spans="5:48" x14ac:dyDescent="0.2">
      <c r="E1222" s="1"/>
      <c r="F1222" s="1"/>
      <c r="G1222" s="1"/>
      <c r="H1222" s="1"/>
      <c r="I1222" s="1"/>
      <c r="J1222" s="1"/>
      <c r="K1222" s="1"/>
      <c r="L1222" s="1"/>
      <c r="M1222" s="1"/>
      <c r="AU1222" s="18"/>
      <c r="AV1222" s="18"/>
    </row>
    <row r="1223" spans="5:48" x14ac:dyDescent="0.2">
      <c r="E1223" s="1"/>
      <c r="F1223" s="1"/>
      <c r="G1223" s="1"/>
      <c r="H1223" s="1"/>
      <c r="I1223" s="1"/>
      <c r="J1223" s="1"/>
      <c r="K1223" s="1"/>
      <c r="L1223" s="1"/>
      <c r="M1223" s="1"/>
      <c r="AU1223" s="18"/>
      <c r="AV1223" s="18"/>
    </row>
    <row r="1224" spans="5:48" x14ac:dyDescent="0.2">
      <c r="E1224" s="1"/>
      <c r="F1224" s="1"/>
      <c r="G1224" s="1"/>
      <c r="H1224" s="1"/>
      <c r="I1224" s="1"/>
      <c r="J1224" s="1"/>
      <c r="K1224" s="1"/>
      <c r="L1224" s="1"/>
      <c r="M1224" s="1"/>
      <c r="AU1224" s="18"/>
      <c r="AV1224" s="18"/>
    </row>
    <row r="1225" spans="5:48" x14ac:dyDescent="0.2">
      <c r="E1225" s="1"/>
      <c r="F1225" s="1"/>
      <c r="G1225" s="1"/>
      <c r="H1225" s="1"/>
      <c r="I1225" s="1"/>
      <c r="J1225" s="1"/>
      <c r="K1225" s="1"/>
      <c r="L1225" s="1"/>
      <c r="M1225" s="1"/>
      <c r="AU1225" s="18"/>
      <c r="AV1225" s="18"/>
    </row>
    <row r="1226" spans="5:48" x14ac:dyDescent="0.2">
      <c r="E1226" s="1"/>
      <c r="F1226" s="1"/>
      <c r="G1226" s="1"/>
      <c r="H1226" s="1"/>
      <c r="I1226" s="1"/>
      <c r="J1226" s="1"/>
      <c r="K1226" s="1"/>
      <c r="L1226" s="1"/>
      <c r="M1226" s="1"/>
      <c r="AU1226" s="18"/>
      <c r="AV1226" s="18"/>
    </row>
    <row r="1227" spans="5:48" x14ac:dyDescent="0.2">
      <c r="E1227" s="1"/>
      <c r="F1227" s="1"/>
      <c r="G1227" s="1"/>
      <c r="H1227" s="1"/>
      <c r="I1227" s="1"/>
      <c r="J1227" s="1"/>
      <c r="K1227" s="1"/>
      <c r="L1227" s="1"/>
      <c r="M1227" s="1"/>
      <c r="AU1227" s="18"/>
      <c r="AV1227" s="18"/>
    </row>
    <row r="1228" spans="5:48" x14ac:dyDescent="0.2">
      <c r="E1228" s="1"/>
      <c r="F1228" s="1"/>
      <c r="G1228" s="1"/>
      <c r="H1228" s="1"/>
      <c r="I1228" s="1"/>
      <c r="J1228" s="1"/>
      <c r="K1228" s="1"/>
      <c r="L1228" s="1"/>
      <c r="M1228" s="1"/>
      <c r="AU1228" s="18"/>
      <c r="AV1228" s="18"/>
    </row>
    <row r="1229" spans="5:48" x14ac:dyDescent="0.2">
      <c r="E1229" s="1"/>
      <c r="F1229" s="1"/>
      <c r="G1229" s="1"/>
      <c r="H1229" s="1"/>
      <c r="I1229" s="1"/>
      <c r="J1229" s="1"/>
      <c r="K1229" s="1"/>
      <c r="L1229" s="1"/>
      <c r="M1229" s="1"/>
      <c r="AU1229" s="18"/>
      <c r="AV1229" s="18"/>
    </row>
    <row r="1230" spans="5:48" x14ac:dyDescent="0.2">
      <c r="E1230" s="1"/>
      <c r="F1230" s="1"/>
      <c r="G1230" s="1"/>
      <c r="H1230" s="1"/>
      <c r="I1230" s="1"/>
      <c r="J1230" s="1"/>
      <c r="K1230" s="1"/>
      <c r="L1230" s="1"/>
      <c r="M1230" s="1"/>
      <c r="AU1230" s="18"/>
      <c r="AV1230" s="18"/>
    </row>
    <row r="1231" spans="5:48" x14ac:dyDescent="0.2">
      <c r="E1231" s="1"/>
      <c r="F1231" s="1"/>
      <c r="G1231" s="1"/>
      <c r="H1231" s="1"/>
      <c r="I1231" s="1"/>
      <c r="J1231" s="1"/>
      <c r="K1231" s="1"/>
      <c r="L1231" s="1"/>
      <c r="M1231" s="1"/>
      <c r="AU1231" s="18"/>
      <c r="AV1231" s="18"/>
    </row>
    <row r="1232" spans="5:48" x14ac:dyDescent="0.2">
      <c r="E1232" s="1"/>
      <c r="F1232" s="1"/>
      <c r="G1232" s="1"/>
      <c r="H1232" s="1"/>
      <c r="I1232" s="1"/>
      <c r="J1232" s="1"/>
      <c r="K1232" s="1"/>
      <c r="L1232" s="1"/>
      <c r="M1232" s="1"/>
      <c r="AU1232" s="18"/>
      <c r="AV1232" s="18"/>
    </row>
    <row r="1233" spans="5:48" x14ac:dyDescent="0.2">
      <c r="E1233" s="1"/>
      <c r="F1233" s="1"/>
      <c r="G1233" s="1"/>
      <c r="H1233" s="1"/>
      <c r="I1233" s="1"/>
      <c r="J1233" s="1"/>
      <c r="K1233" s="1"/>
      <c r="L1233" s="1"/>
      <c r="M1233" s="1"/>
      <c r="AU1233" s="18"/>
      <c r="AV1233" s="18"/>
    </row>
    <row r="1234" spans="5:48" x14ac:dyDescent="0.2">
      <c r="E1234" s="1"/>
      <c r="F1234" s="1"/>
      <c r="G1234" s="1"/>
      <c r="H1234" s="1"/>
      <c r="I1234" s="1"/>
      <c r="J1234" s="1"/>
      <c r="K1234" s="1"/>
      <c r="L1234" s="1"/>
      <c r="M1234" s="1"/>
      <c r="AU1234" s="18"/>
      <c r="AV1234" s="18"/>
    </row>
    <row r="1235" spans="5:48" x14ac:dyDescent="0.2">
      <c r="E1235" s="1"/>
      <c r="F1235" s="1"/>
      <c r="G1235" s="1"/>
      <c r="H1235" s="1"/>
      <c r="I1235" s="1"/>
      <c r="J1235" s="1"/>
      <c r="K1235" s="1"/>
      <c r="L1235" s="1"/>
      <c r="M1235" s="1"/>
      <c r="AU1235" s="18"/>
      <c r="AV1235" s="18"/>
    </row>
    <row r="1236" spans="5:48" x14ac:dyDescent="0.2">
      <c r="E1236" s="1"/>
      <c r="F1236" s="1"/>
      <c r="G1236" s="1"/>
      <c r="H1236" s="1"/>
      <c r="I1236" s="1"/>
      <c r="J1236" s="1"/>
      <c r="K1236" s="1"/>
      <c r="L1236" s="1"/>
      <c r="M1236" s="1"/>
      <c r="AU1236" s="18"/>
      <c r="AV1236" s="18"/>
    </row>
    <row r="1237" spans="5:48" x14ac:dyDescent="0.2">
      <c r="E1237" s="1"/>
      <c r="F1237" s="1"/>
      <c r="G1237" s="1"/>
      <c r="H1237" s="1"/>
      <c r="I1237" s="1"/>
      <c r="J1237" s="1"/>
      <c r="K1237" s="1"/>
      <c r="L1237" s="1"/>
      <c r="M1237" s="1"/>
      <c r="AU1237" s="18"/>
      <c r="AV1237" s="18"/>
    </row>
    <row r="1238" spans="5:48" x14ac:dyDescent="0.2">
      <c r="E1238" s="1"/>
      <c r="F1238" s="1"/>
      <c r="G1238" s="1"/>
      <c r="H1238" s="1"/>
      <c r="I1238" s="1"/>
      <c r="J1238" s="1"/>
      <c r="K1238" s="1"/>
      <c r="L1238" s="1"/>
      <c r="M1238" s="1"/>
      <c r="AU1238" s="18"/>
      <c r="AV1238" s="18"/>
    </row>
    <row r="1239" spans="5:48" x14ac:dyDescent="0.2">
      <c r="E1239" s="1"/>
      <c r="F1239" s="1"/>
      <c r="G1239" s="1"/>
      <c r="H1239" s="1"/>
      <c r="I1239" s="1"/>
      <c r="J1239" s="1"/>
      <c r="K1239" s="1"/>
      <c r="L1239" s="1"/>
      <c r="M1239" s="1"/>
      <c r="AU1239" s="18"/>
      <c r="AV1239" s="18"/>
    </row>
    <row r="1240" spans="5:48" x14ac:dyDescent="0.2">
      <c r="E1240" s="1"/>
      <c r="F1240" s="1"/>
      <c r="G1240" s="1"/>
      <c r="H1240" s="1"/>
      <c r="I1240" s="1"/>
      <c r="J1240" s="1"/>
      <c r="K1240" s="1"/>
      <c r="L1240" s="1"/>
      <c r="M1240" s="1"/>
      <c r="AU1240" s="18"/>
      <c r="AV1240" s="18"/>
    </row>
    <row r="1241" spans="5:48" x14ac:dyDescent="0.2">
      <c r="E1241" s="1"/>
      <c r="F1241" s="1"/>
      <c r="G1241" s="1"/>
      <c r="H1241" s="1"/>
      <c r="I1241" s="1"/>
      <c r="J1241" s="1"/>
      <c r="K1241" s="1"/>
      <c r="L1241" s="1"/>
      <c r="M1241" s="1"/>
      <c r="AU1241" s="18"/>
      <c r="AV1241" s="18"/>
    </row>
    <row r="1242" spans="5:48" x14ac:dyDescent="0.2">
      <c r="E1242" s="1"/>
      <c r="F1242" s="1"/>
      <c r="G1242" s="1"/>
      <c r="H1242" s="1"/>
      <c r="I1242" s="1"/>
      <c r="J1242" s="1"/>
      <c r="K1242" s="1"/>
      <c r="L1242" s="1"/>
      <c r="M1242" s="1"/>
      <c r="AU1242" s="18"/>
      <c r="AV1242" s="18"/>
    </row>
    <row r="1243" spans="5:48" x14ac:dyDescent="0.2">
      <c r="E1243" s="1"/>
      <c r="F1243" s="1"/>
      <c r="G1243" s="1"/>
      <c r="H1243" s="1"/>
      <c r="I1243" s="1"/>
      <c r="J1243" s="1"/>
      <c r="K1243" s="1"/>
      <c r="L1243" s="1"/>
      <c r="M1243" s="1"/>
      <c r="AU1243" s="18"/>
      <c r="AV1243" s="18"/>
    </row>
    <row r="1244" spans="5:48" x14ac:dyDescent="0.2">
      <c r="E1244" s="1"/>
      <c r="F1244" s="1"/>
      <c r="G1244" s="1"/>
      <c r="H1244" s="1"/>
      <c r="I1244" s="1"/>
      <c r="J1244" s="1"/>
      <c r="K1244" s="1"/>
      <c r="L1244" s="1"/>
      <c r="M1244" s="1"/>
      <c r="AU1244" s="18"/>
      <c r="AV1244" s="18"/>
    </row>
    <row r="1245" spans="5:48" x14ac:dyDescent="0.2">
      <c r="E1245" s="1"/>
      <c r="F1245" s="1"/>
      <c r="G1245" s="1"/>
      <c r="H1245" s="1"/>
      <c r="I1245" s="1"/>
      <c r="J1245" s="1"/>
      <c r="K1245" s="1"/>
      <c r="L1245" s="1"/>
      <c r="M1245" s="1"/>
      <c r="AU1245" s="18"/>
      <c r="AV1245" s="18"/>
    </row>
    <row r="1246" spans="5:48" x14ac:dyDescent="0.2">
      <c r="E1246" s="1"/>
      <c r="F1246" s="1"/>
      <c r="G1246" s="1"/>
      <c r="H1246" s="1"/>
      <c r="I1246" s="1"/>
      <c r="J1246" s="1"/>
      <c r="K1246" s="1"/>
      <c r="L1246" s="1"/>
      <c r="M1246" s="1"/>
      <c r="AU1246" s="18"/>
      <c r="AV1246" s="18"/>
    </row>
    <row r="1247" spans="5:48" x14ac:dyDescent="0.2">
      <c r="E1247" s="1"/>
      <c r="F1247" s="1"/>
      <c r="G1247" s="1"/>
      <c r="H1247" s="1"/>
      <c r="I1247" s="1"/>
      <c r="J1247" s="1"/>
      <c r="K1247" s="1"/>
      <c r="L1247" s="1"/>
      <c r="M1247" s="1"/>
      <c r="AU1247" s="18"/>
      <c r="AV1247" s="18"/>
    </row>
    <row r="1248" spans="5:48" x14ac:dyDescent="0.2">
      <c r="E1248" s="1"/>
      <c r="F1248" s="1"/>
      <c r="G1248" s="1"/>
      <c r="H1248" s="1"/>
      <c r="I1248" s="1"/>
      <c r="J1248" s="1"/>
      <c r="K1248" s="1"/>
      <c r="L1248" s="1"/>
      <c r="M1248" s="1"/>
      <c r="AU1248" s="18"/>
      <c r="AV1248" s="18"/>
    </row>
    <row r="1249" spans="5:48" x14ac:dyDescent="0.2">
      <c r="E1249" s="1"/>
      <c r="F1249" s="1"/>
      <c r="G1249" s="1"/>
      <c r="H1249" s="1"/>
      <c r="I1249" s="1"/>
      <c r="J1249" s="1"/>
      <c r="K1249" s="1"/>
      <c r="L1249" s="1"/>
      <c r="M1249" s="1"/>
      <c r="AU1249" s="18"/>
      <c r="AV1249" s="18"/>
    </row>
    <row r="1250" spans="5:48" x14ac:dyDescent="0.2">
      <c r="E1250" s="1"/>
      <c r="F1250" s="1"/>
      <c r="G1250" s="1"/>
      <c r="H1250" s="1"/>
      <c r="I1250" s="1"/>
      <c r="J1250" s="1"/>
      <c r="K1250" s="1"/>
      <c r="L1250" s="1"/>
      <c r="M1250" s="1"/>
      <c r="AU1250" s="18"/>
      <c r="AV1250" s="18"/>
    </row>
    <row r="1251" spans="5:48" x14ac:dyDescent="0.2">
      <c r="E1251" s="1"/>
      <c r="F1251" s="1"/>
      <c r="G1251" s="1"/>
      <c r="H1251" s="1"/>
      <c r="I1251" s="1"/>
      <c r="J1251" s="1"/>
      <c r="K1251" s="1"/>
      <c r="L1251" s="1"/>
      <c r="M1251" s="1"/>
      <c r="AU1251" s="18"/>
      <c r="AV1251" s="18"/>
    </row>
    <row r="1252" spans="5:48" x14ac:dyDescent="0.2">
      <c r="E1252" s="1"/>
      <c r="F1252" s="1"/>
      <c r="G1252" s="1"/>
      <c r="H1252" s="1"/>
      <c r="I1252" s="1"/>
      <c r="J1252" s="1"/>
      <c r="K1252" s="1"/>
      <c r="L1252" s="1"/>
      <c r="M1252" s="1"/>
      <c r="AU1252" s="18"/>
      <c r="AV1252" s="18"/>
    </row>
    <row r="1253" spans="5:48" x14ac:dyDescent="0.2">
      <c r="E1253" s="1"/>
      <c r="F1253" s="1"/>
      <c r="G1253" s="1"/>
      <c r="H1253" s="1"/>
      <c r="I1253" s="1"/>
      <c r="J1253" s="1"/>
      <c r="K1253" s="1"/>
      <c r="L1253" s="1"/>
      <c r="M1253" s="1"/>
      <c r="AU1253" s="18"/>
      <c r="AV1253" s="18"/>
    </row>
    <row r="1254" spans="5:48" x14ac:dyDescent="0.2">
      <c r="E1254" s="1"/>
      <c r="F1254" s="1"/>
      <c r="G1254" s="1"/>
      <c r="H1254" s="1"/>
      <c r="I1254" s="1"/>
      <c r="J1254" s="1"/>
      <c r="K1254" s="1"/>
      <c r="L1254" s="1"/>
      <c r="M1254" s="1"/>
      <c r="AU1254" s="18"/>
      <c r="AV1254" s="18"/>
    </row>
    <row r="1255" spans="5:48" x14ac:dyDescent="0.2">
      <c r="E1255" s="1"/>
      <c r="F1255" s="1"/>
      <c r="G1255" s="1"/>
      <c r="H1255" s="1"/>
      <c r="I1255" s="1"/>
      <c r="J1255" s="1"/>
      <c r="K1255" s="1"/>
      <c r="L1255" s="1"/>
      <c r="M1255" s="1"/>
      <c r="AU1255" s="18"/>
      <c r="AV1255" s="18"/>
    </row>
    <row r="1256" spans="5:48" x14ac:dyDescent="0.2">
      <c r="E1256" s="1"/>
      <c r="F1256" s="1"/>
      <c r="G1256" s="1"/>
      <c r="H1256" s="1"/>
      <c r="I1256" s="1"/>
      <c r="J1256" s="1"/>
      <c r="K1256" s="1"/>
      <c r="L1256" s="1"/>
      <c r="M1256" s="1"/>
      <c r="AU1256" s="18"/>
      <c r="AV1256" s="18"/>
    </row>
    <row r="1257" spans="5:48" x14ac:dyDescent="0.2">
      <c r="E1257" s="1"/>
      <c r="F1257" s="1"/>
      <c r="G1257" s="1"/>
      <c r="H1257" s="1"/>
      <c r="I1257" s="1"/>
      <c r="J1257" s="1"/>
      <c r="K1257" s="1"/>
      <c r="L1257" s="1"/>
      <c r="M1257" s="1"/>
      <c r="AU1257" s="18"/>
      <c r="AV1257" s="18"/>
    </row>
    <row r="1258" spans="5:48" x14ac:dyDescent="0.2">
      <c r="E1258" s="1"/>
      <c r="F1258" s="1"/>
      <c r="G1258" s="1"/>
      <c r="H1258" s="1"/>
      <c r="I1258" s="1"/>
      <c r="J1258" s="1"/>
      <c r="K1258" s="1"/>
      <c r="L1258" s="1"/>
      <c r="M1258" s="1"/>
      <c r="AU1258" s="18"/>
      <c r="AV1258" s="18"/>
    </row>
    <row r="1259" spans="5:48" x14ac:dyDescent="0.2">
      <c r="E1259" s="1"/>
      <c r="F1259" s="1"/>
      <c r="G1259" s="1"/>
      <c r="H1259" s="1"/>
      <c r="I1259" s="1"/>
      <c r="J1259" s="1"/>
      <c r="K1259" s="1"/>
      <c r="L1259" s="1"/>
      <c r="M1259" s="1"/>
      <c r="AU1259" s="18"/>
      <c r="AV1259" s="18"/>
    </row>
    <row r="1260" spans="5:48" x14ac:dyDescent="0.2">
      <c r="E1260" s="1"/>
      <c r="F1260" s="1"/>
      <c r="G1260" s="1"/>
      <c r="H1260" s="1"/>
      <c r="I1260" s="1"/>
      <c r="J1260" s="1"/>
      <c r="K1260" s="1"/>
      <c r="L1260" s="1"/>
      <c r="M1260" s="1"/>
      <c r="AU1260" s="18"/>
      <c r="AV1260" s="18"/>
    </row>
    <row r="1261" spans="5:48" x14ac:dyDescent="0.2">
      <c r="E1261" s="1"/>
      <c r="F1261" s="1"/>
      <c r="G1261" s="1"/>
      <c r="H1261" s="1"/>
      <c r="I1261" s="1"/>
      <c r="J1261" s="1"/>
      <c r="K1261" s="1"/>
      <c r="L1261" s="1"/>
      <c r="M1261" s="1"/>
      <c r="AU1261" s="18"/>
      <c r="AV1261" s="18"/>
    </row>
    <row r="1262" spans="5:48" x14ac:dyDescent="0.2">
      <c r="E1262" s="1"/>
      <c r="F1262" s="1"/>
      <c r="G1262" s="1"/>
      <c r="H1262" s="1"/>
      <c r="I1262" s="1"/>
      <c r="J1262" s="1"/>
      <c r="K1262" s="1"/>
      <c r="L1262" s="1"/>
      <c r="M1262" s="1"/>
      <c r="AU1262" s="18"/>
      <c r="AV1262" s="18"/>
    </row>
    <row r="1263" spans="5:48" x14ac:dyDescent="0.2">
      <c r="E1263" s="1"/>
      <c r="F1263" s="1"/>
      <c r="G1263" s="1"/>
      <c r="H1263" s="1"/>
      <c r="I1263" s="1"/>
      <c r="J1263" s="1"/>
      <c r="K1263" s="1"/>
      <c r="L1263" s="1"/>
      <c r="M1263" s="1"/>
      <c r="AU1263" s="18"/>
      <c r="AV1263" s="18"/>
    </row>
    <row r="1264" spans="5:48" x14ac:dyDescent="0.2">
      <c r="E1264" s="1"/>
      <c r="F1264" s="1"/>
      <c r="G1264" s="1"/>
      <c r="H1264" s="1"/>
      <c r="I1264" s="1"/>
      <c r="J1264" s="1"/>
      <c r="K1264" s="1"/>
      <c r="L1264" s="1"/>
      <c r="M1264" s="1"/>
      <c r="AU1264" s="18"/>
      <c r="AV1264" s="18"/>
    </row>
    <row r="1265" spans="5:48" x14ac:dyDescent="0.2">
      <c r="E1265" s="1"/>
      <c r="F1265" s="1"/>
      <c r="G1265" s="1"/>
      <c r="H1265" s="1"/>
      <c r="I1265" s="1"/>
      <c r="J1265" s="1"/>
      <c r="K1265" s="1"/>
      <c r="L1265" s="1"/>
      <c r="M1265" s="1"/>
      <c r="AU1265" s="18"/>
      <c r="AV1265" s="18"/>
    </row>
    <row r="1266" spans="5:48" x14ac:dyDescent="0.2">
      <c r="E1266" s="1"/>
      <c r="F1266" s="1"/>
      <c r="G1266" s="1"/>
      <c r="H1266" s="1"/>
      <c r="I1266" s="1"/>
      <c r="J1266" s="1"/>
      <c r="K1266" s="1"/>
      <c r="L1266" s="1"/>
      <c r="M1266" s="1"/>
      <c r="AU1266" s="18"/>
      <c r="AV1266" s="18"/>
    </row>
    <row r="1267" spans="5:48" x14ac:dyDescent="0.2">
      <c r="E1267" s="1"/>
      <c r="F1267" s="1"/>
      <c r="G1267" s="1"/>
      <c r="H1267" s="1"/>
      <c r="I1267" s="1"/>
      <c r="J1267" s="1"/>
      <c r="K1267" s="1"/>
      <c r="L1267" s="1"/>
      <c r="M1267" s="1"/>
      <c r="AU1267" s="18"/>
      <c r="AV1267" s="18"/>
    </row>
    <row r="1268" spans="5:48" x14ac:dyDescent="0.2">
      <c r="E1268" s="1"/>
      <c r="F1268" s="1"/>
      <c r="G1268" s="1"/>
      <c r="H1268" s="1"/>
      <c r="I1268" s="1"/>
      <c r="J1268" s="1"/>
      <c r="K1268" s="1"/>
      <c r="L1268" s="1"/>
      <c r="M1268" s="1"/>
      <c r="AU1268" s="18"/>
      <c r="AV1268" s="18"/>
    </row>
    <row r="1269" spans="5:48" x14ac:dyDescent="0.2">
      <c r="E1269" s="1"/>
      <c r="F1269" s="1"/>
      <c r="G1269" s="1"/>
      <c r="H1269" s="1"/>
      <c r="I1269" s="1"/>
      <c r="J1269" s="1"/>
      <c r="K1269" s="1"/>
      <c r="L1269" s="1"/>
      <c r="M1269" s="1"/>
      <c r="AU1269" s="18"/>
      <c r="AV1269" s="18"/>
    </row>
    <row r="1270" spans="5:48" x14ac:dyDescent="0.2">
      <c r="E1270" s="1"/>
      <c r="F1270" s="1"/>
      <c r="G1270" s="1"/>
      <c r="H1270" s="1"/>
      <c r="I1270" s="1"/>
      <c r="J1270" s="1"/>
      <c r="K1270" s="1"/>
      <c r="L1270" s="1"/>
      <c r="M1270" s="1"/>
      <c r="AU1270" s="18"/>
      <c r="AV1270" s="18"/>
    </row>
    <row r="1271" spans="5:48" x14ac:dyDescent="0.2">
      <c r="E1271" s="1"/>
      <c r="F1271" s="1"/>
      <c r="G1271" s="1"/>
      <c r="H1271" s="1"/>
      <c r="I1271" s="1"/>
      <c r="J1271" s="1"/>
      <c r="K1271" s="1"/>
      <c r="L1271" s="1"/>
      <c r="M1271" s="1"/>
      <c r="AU1271" s="18"/>
      <c r="AV1271" s="18"/>
    </row>
    <row r="1272" spans="5:48" x14ac:dyDescent="0.2">
      <c r="E1272" s="1"/>
      <c r="F1272" s="1"/>
      <c r="G1272" s="1"/>
      <c r="H1272" s="1"/>
      <c r="I1272" s="1"/>
      <c r="J1272" s="1"/>
      <c r="K1272" s="1"/>
      <c r="L1272" s="1"/>
      <c r="M1272" s="1"/>
      <c r="AU1272" s="18"/>
      <c r="AV1272" s="18"/>
    </row>
    <row r="1273" spans="5:48" x14ac:dyDescent="0.2">
      <c r="E1273" s="1"/>
      <c r="F1273" s="1"/>
      <c r="G1273" s="1"/>
      <c r="H1273" s="1"/>
      <c r="I1273" s="1"/>
      <c r="J1273" s="1"/>
      <c r="K1273" s="1"/>
      <c r="L1273" s="1"/>
      <c r="M1273" s="1"/>
      <c r="AU1273" s="18"/>
      <c r="AV1273" s="18"/>
    </row>
    <row r="1274" spans="5:48" x14ac:dyDescent="0.2">
      <c r="E1274" s="1"/>
      <c r="F1274" s="1"/>
      <c r="G1274" s="1"/>
      <c r="H1274" s="1"/>
      <c r="I1274" s="1"/>
      <c r="J1274" s="1"/>
      <c r="K1274" s="1"/>
      <c r="L1274" s="1"/>
      <c r="M1274" s="1"/>
      <c r="AU1274" s="18"/>
      <c r="AV1274" s="18"/>
    </row>
    <row r="1275" spans="5:48" x14ac:dyDescent="0.2">
      <c r="E1275" s="1"/>
      <c r="F1275" s="1"/>
      <c r="G1275" s="1"/>
      <c r="H1275" s="1"/>
      <c r="I1275" s="1"/>
      <c r="J1275" s="1"/>
      <c r="K1275" s="1"/>
      <c r="L1275" s="1"/>
      <c r="M1275" s="1"/>
      <c r="AU1275" s="18"/>
      <c r="AV1275" s="18"/>
    </row>
    <row r="1276" spans="5:48" x14ac:dyDescent="0.2">
      <c r="E1276" s="1"/>
      <c r="F1276" s="1"/>
      <c r="G1276" s="1"/>
      <c r="H1276" s="1"/>
      <c r="I1276" s="1"/>
      <c r="J1276" s="1"/>
      <c r="K1276" s="1"/>
      <c r="L1276" s="1"/>
      <c r="M1276" s="1"/>
      <c r="AU1276" s="18"/>
      <c r="AV1276" s="18"/>
    </row>
    <row r="1277" spans="5:48" x14ac:dyDescent="0.2">
      <c r="E1277" s="1"/>
      <c r="F1277" s="1"/>
      <c r="G1277" s="1"/>
      <c r="H1277" s="1"/>
      <c r="I1277" s="1"/>
      <c r="J1277" s="1"/>
      <c r="K1277" s="1"/>
      <c r="L1277" s="1"/>
      <c r="M1277" s="1"/>
      <c r="AU1277" s="18"/>
      <c r="AV1277" s="18"/>
    </row>
    <row r="1278" spans="5:48" x14ac:dyDescent="0.2">
      <c r="E1278" s="1"/>
      <c r="F1278" s="1"/>
      <c r="G1278" s="1"/>
      <c r="H1278" s="1"/>
      <c r="I1278" s="1"/>
      <c r="J1278" s="1"/>
      <c r="K1278" s="1"/>
      <c r="L1278" s="1"/>
      <c r="M1278" s="1"/>
      <c r="AU1278" s="18"/>
      <c r="AV1278" s="18"/>
    </row>
    <row r="1279" spans="5:48" x14ac:dyDescent="0.2">
      <c r="E1279" s="1"/>
      <c r="F1279" s="1"/>
      <c r="G1279" s="1"/>
      <c r="H1279" s="1"/>
      <c r="I1279" s="1"/>
      <c r="J1279" s="1"/>
      <c r="K1279" s="1"/>
      <c r="L1279" s="1"/>
      <c r="M1279" s="1"/>
      <c r="AU1279" s="18"/>
      <c r="AV1279" s="18"/>
    </row>
    <row r="1280" spans="5:48" x14ac:dyDescent="0.2">
      <c r="E1280" s="1"/>
      <c r="F1280" s="1"/>
      <c r="G1280" s="1"/>
      <c r="H1280" s="1"/>
      <c r="I1280" s="1"/>
      <c r="J1280" s="1"/>
      <c r="K1280" s="1"/>
      <c r="L1280" s="1"/>
      <c r="M1280" s="1"/>
      <c r="AU1280" s="18"/>
      <c r="AV1280" s="18"/>
    </row>
    <row r="1281" spans="5:48" x14ac:dyDescent="0.2">
      <c r="E1281" s="1"/>
      <c r="F1281" s="1"/>
      <c r="G1281" s="1"/>
      <c r="H1281" s="1"/>
      <c r="I1281" s="1"/>
      <c r="J1281" s="1"/>
      <c r="K1281" s="1"/>
      <c r="L1281" s="1"/>
      <c r="M1281" s="1"/>
      <c r="AU1281" s="18"/>
      <c r="AV1281" s="18"/>
    </row>
    <row r="1282" spans="5:48" x14ac:dyDescent="0.2">
      <c r="E1282" s="1"/>
      <c r="F1282" s="1"/>
      <c r="G1282" s="1"/>
      <c r="H1282" s="1"/>
      <c r="I1282" s="1"/>
      <c r="J1282" s="1"/>
      <c r="K1282" s="1"/>
      <c r="L1282" s="1"/>
      <c r="M1282" s="1"/>
      <c r="AU1282" s="18"/>
      <c r="AV1282" s="18"/>
    </row>
    <row r="1283" spans="5:48" x14ac:dyDescent="0.2">
      <c r="E1283" s="1"/>
      <c r="F1283" s="1"/>
      <c r="G1283" s="1"/>
      <c r="H1283" s="1"/>
      <c r="I1283" s="1"/>
      <c r="J1283" s="1"/>
      <c r="K1283" s="1"/>
      <c r="L1283" s="1"/>
      <c r="M1283" s="1"/>
      <c r="AU1283" s="18"/>
      <c r="AV1283" s="18"/>
    </row>
    <row r="1284" spans="5:48" x14ac:dyDescent="0.2">
      <c r="E1284" s="1"/>
      <c r="F1284" s="1"/>
      <c r="G1284" s="1"/>
      <c r="H1284" s="1"/>
      <c r="I1284" s="1"/>
      <c r="J1284" s="1"/>
      <c r="K1284" s="1"/>
      <c r="L1284" s="1"/>
      <c r="M1284" s="1"/>
      <c r="AU1284" s="18"/>
      <c r="AV1284" s="18"/>
    </row>
    <row r="1285" spans="5:48" x14ac:dyDescent="0.2">
      <c r="E1285" s="1"/>
      <c r="F1285" s="1"/>
      <c r="G1285" s="1"/>
      <c r="H1285" s="1"/>
      <c r="I1285" s="1"/>
      <c r="J1285" s="1"/>
      <c r="K1285" s="1"/>
      <c r="L1285" s="1"/>
      <c r="M1285" s="1"/>
      <c r="AU1285" s="18"/>
      <c r="AV1285" s="18"/>
    </row>
    <row r="1286" spans="5:48" x14ac:dyDescent="0.2">
      <c r="E1286" s="1"/>
      <c r="F1286" s="1"/>
      <c r="G1286" s="1"/>
      <c r="H1286" s="1"/>
      <c r="I1286" s="1"/>
      <c r="J1286" s="1"/>
      <c r="K1286" s="1"/>
      <c r="L1286" s="1"/>
      <c r="M1286" s="1"/>
      <c r="AU1286" s="18"/>
      <c r="AV1286" s="18"/>
    </row>
    <row r="1287" spans="5:48" x14ac:dyDescent="0.2">
      <c r="E1287" s="1"/>
      <c r="F1287" s="1"/>
      <c r="G1287" s="1"/>
      <c r="H1287" s="1"/>
      <c r="I1287" s="1"/>
      <c r="J1287" s="1"/>
      <c r="K1287" s="1"/>
      <c r="L1287" s="1"/>
      <c r="M1287" s="1"/>
      <c r="AU1287" s="18"/>
      <c r="AV1287" s="18"/>
    </row>
    <row r="1288" spans="5:48" x14ac:dyDescent="0.2">
      <c r="E1288" s="1"/>
      <c r="F1288" s="1"/>
      <c r="G1288" s="1"/>
      <c r="H1288" s="1"/>
      <c r="I1288" s="1"/>
      <c r="J1288" s="1"/>
      <c r="K1288" s="1"/>
      <c r="L1288" s="1"/>
      <c r="M1288" s="1"/>
      <c r="AU1288" s="18"/>
      <c r="AV1288" s="18"/>
    </row>
    <row r="1289" spans="5:48" x14ac:dyDescent="0.2">
      <c r="E1289" s="1"/>
      <c r="F1289" s="1"/>
      <c r="G1289" s="1"/>
      <c r="H1289" s="1"/>
      <c r="I1289" s="1"/>
      <c r="J1289" s="1"/>
      <c r="K1289" s="1"/>
      <c r="L1289" s="1"/>
      <c r="M1289" s="1"/>
      <c r="AU1289" s="18"/>
      <c r="AV1289" s="18"/>
    </row>
    <row r="1290" spans="5:48" x14ac:dyDescent="0.2">
      <c r="E1290" s="1"/>
      <c r="F1290" s="1"/>
      <c r="G1290" s="1"/>
      <c r="H1290" s="1"/>
      <c r="I1290" s="1"/>
      <c r="J1290" s="1"/>
      <c r="K1290" s="1"/>
      <c r="L1290" s="1"/>
      <c r="M1290" s="1"/>
      <c r="AU1290" s="18"/>
      <c r="AV1290" s="18"/>
    </row>
    <row r="1291" spans="5:48" x14ac:dyDescent="0.2">
      <c r="E1291" s="1"/>
      <c r="F1291" s="1"/>
      <c r="G1291" s="1"/>
      <c r="H1291" s="1"/>
      <c r="I1291" s="1"/>
      <c r="J1291" s="1"/>
      <c r="K1291" s="1"/>
      <c r="L1291" s="1"/>
      <c r="M1291" s="1"/>
      <c r="AU1291" s="18"/>
      <c r="AV1291" s="18"/>
    </row>
    <row r="1292" spans="5:48" x14ac:dyDescent="0.2">
      <c r="E1292" s="1"/>
      <c r="F1292" s="1"/>
      <c r="G1292" s="1"/>
      <c r="H1292" s="1"/>
      <c r="I1292" s="1"/>
      <c r="J1292" s="1"/>
      <c r="K1292" s="1"/>
      <c r="L1292" s="1"/>
      <c r="M1292" s="1"/>
      <c r="AU1292" s="18"/>
      <c r="AV1292" s="18"/>
    </row>
    <row r="1293" spans="5:48" x14ac:dyDescent="0.2">
      <c r="E1293" s="1"/>
      <c r="F1293" s="1"/>
      <c r="G1293" s="1"/>
      <c r="H1293" s="1"/>
      <c r="I1293" s="1"/>
      <c r="J1293" s="1"/>
      <c r="K1293" s="1"/>
      <c r="L1293" s="1"/>
      <c r="M1293" s="1"/>
      <c r="AU1293" s="18"/>
      <c r="AV1293" s="18"/>
    </row>
    <row r="1294" spans="5:48" x14ac:dyDescent="0.2">
      <c r="E1294" s="1"/>
      <c r="F1294" s="1"/>
      <c r="G1294" s="1"/>
      <c r="H1294" s="1"/>
      <c r="I1294" s="1"/>
      <c r="J1294" s="1"/>
      <c r="K1294" s="1"/>
      <c r="L1294" s="1"/>
      <c r="M1294" s="1"/>
      <c r="AU1294" s="18"/>
      <c r="AV1294" s="18"/>
    </row>
    <row r="1295" spans="5:48" x14ac:dyDescent="0.2">
      <c r="E1295" s="1"/>
      <c r="F1295" s="1"/>
      <c r="G1295" s="1"/>
      <c r="H1295" s="1"/>
      <c r="I1295" s="1"/>
      <c r="J1295" s="1"/>
      <c r="K1295" s="1"/>
      <c r="L1295" s="1"/>
      <c r="M1295" s="1"/>
      <c r="AU1295" s="18"/>
      <c r="AV1295" s="18"/>
    </row>
    <row r="1296" spans="5:48" x14ac:dyDescent="0.2">
      <c r="E1296" s="1"/>
      <c r="F1296" s="1"/>
      <c r="G1296" s="1"/>
      <c r="H1296" s="1"/>
      <c r="I1296" s="1"/>
      <c r="J1296" s="1"/>
      <c r="K1296" s="1"/>
      <c r="L1296" s="1"/>
      <c r="M1296" s="1"/>
      <c r="AU1296" s="18"/>
      <c r="AV1296" s="18"/>
    </row>
    <row r="1297" spans="5:48" x14ac:dyDescent="0.2">
      <c r="E1297" s="1"/>
      <c r="F1297" s="1"/>
      <c r="G1297" s="1"/>
      <c r="H1297" s="1"/>
      <c r="I1297" s="1"/>
      <c r="J1297" s="1"/>
      <c r="K1297" s="1"/>
      <c r="L1297" s="1"/>
      <c r="M1297" s="1"/>
      <c r="AU1297" s="18"/>
      <c r="AV1297" s="18"/>
    </row>
    <row r="1298" spans="5:48" x14ac:dyDescent="0.2">
      <c r="E1298" s="1"/>
      <c r="F1298" s="1"/>
      <c r="G1298" s="1"/>
      <c r="H1298" s="1"/>
      <c r="I1298" s="1"/>
      <c r="J1298" s="1"/>
      <c r="K1298" s="1"/>
      <c r="L1298" s="1"/>
      <c r="M1298" s="1"/>
      <c r="AU1298" s="18"/>
      <c r="AV1298" s="18"/>
    </row>
    <row r="1299" spans="5:48" x14ac:dyDescent="0.2">
      <c r="E1299" s="1"/>
      <c r="F1299" s="1"/>
      <c r="G1299" s="1"/>
      <c r="H1299" s="1"/>
      <c r="I1299" s="1"/>
      <c r="J1299" s="1"/>
      <c r="K1299" s="1"/>
      <c r="L1299" s="1"/>
      <c r="M1299" s="1"/>
      <c r="AU1299" s="18"/>
      <c r="AV1299" s="18"/>
    </row>
    <row r="1300" spans="5:48" x14ac:dyDescent="0.2">
      <c r="E1300" s="1"/>
      <c r="F1300" s="1"/>
      <c r="G1300" s="1"/>
      <c r="H1300" s="1"/>
      <c r="I1300" s="1"/>
      <c r="J1300" s="1"/>
      <c r="K1300" s="1"/>
      <c r="L1300" s="1"/>
      <c r="M1300" s="1"/>
      <c r="AU1300" s="18"/>
      <c r="AV1300" s="18"/>
    </row>
    <row r="1301" spans="5:48" x14ac:dyDescent="0.2">
      <c r="E1301" s="1"/>
      <c r="F1301" s="1"/>
      <c r="G1301" s="1"/>
      <c r="H1301" s="1"/>
      <c r="I1301" s="1"/>
      <c r="J1301" s="1"/>
      <c r="K1301" s="1"/>
      <c r="L1301" s="1"/>
      <c r="M1301" s="1"/>
      <c r="AU1301" s="18"/>
      <c r="AV1301" s="18"/>
    </row>
    <row r="1302" spans="5:48" x14ac:dyDescent="0.2">
      <c r="E1302" s="1"/>
      <c r="F1302" s="1"/>
      <c r="G1302" s="1"/>
      <c r="H1302" s="1"/>
      <c r="I1302" s="1"/>
      <c r="J1302" s="1"/>
      <c r="K1302" s="1"/>
      <c r="L1302" s="1"/>
      <c r="M1302" s="1"/>
      <c r="AU1302" s="18"/>
      <c r="AV1302" s="18"/>
    </row>
    <row r="1303" spans="5:48" x14ac:dyDescent="0.2">
      <c r="E1303" s="1"/>
      <c r="F1303" s="1"/>
      <c r="G1303" s="1"/>
      <c r="H1303" s="1"/>
      <c r="I1303" s="1"/>
      <c r="J1303" s="1"/>
      <c r="K1303" s="1"/>
      <c r="L1303" s="1"/>
      <c r="M1303" s="1"/>
      <c r="AU1303" s="18"/>
      <c r="AV1303" s="18"/>
    </row>
    <row r="1304" spans="5:48" x14ac:dyDescent="0.2">
      <c r="E1304" s="1"/>
      <c r="F1304" s="1"/>
      <c r="G1304" s="1"/>
      <c r="H1304" s="1"/>
      <c r="I1304" s="1"/>
      <c r="J1304" s="1"/>
      <c r="K1304" s="1"/>
      <c r="L1304" s="1"/>
      <c r="M1304" s="1"/>
      <c r="AU1304" s="18"/>
      <c r="AV1304" s="18"/>
    </row>
    <row r="1305" spans="5:48" x14ac:dyDescent="0.2">
      <c r="E1305" s="1"/>
      <c r="F1305" s="1"/>
      <c r="G1305" s="1"/>
      <c r="H1305" s="1"/>
      <c r="I1305" s="1"/>
      <c r="J1305" s="1"/>
      <c r="K1305" s="1"/>
      <c r="L1305" s="1"/>
      <c r="M1305" s="1"/>
      <c r="AU1305" s="18"/>
      <c r="AV1305" s="18"/>
    </row>
    <row r="1306" spans="5:48" x14ac:dyDescent="0.2">
      <c r="E1306" s="1"/>
      <c r="F1306" s="1"/>
      <c r="G1306" s="1"/>
      <c r="H1306" s="1"/>
      <c r="I1306" s="1"/>
      <c r="J1306" s="1"/>
      <c r="K1306" s="1"/>
      <c r="L1306" s="1"/>
      <c r="M1306" s="1"/>
      <c r="AU1306" s="18"/>
      <c r="AV1306" s="18"/>
    </row>
    <row r="1307" spans="5:48" x14ac:dyDescent="0.2">
      <c r="E1307" s="1"/>
      <c r="F1307" s="1"/>
      <c r="G1307" s="1"/>
      <c r="H1307" s="1"/>
      <c r="I1307" s="1"/>
      <c r="J1307" s="1"/>
      <c r="K1307" s="1"/>
      <c r="L1307" s="1"/>
      <c r="M1307" s="1"/>
      <c r="AU1307" s="18"/>
      <c r="AV1307" s="18"/>
    </row>
    <row r="1308" spans="5:48" x14ac:dyDescent="0.2">
      <c r="E1308" s="1"/>
      <c r="F1308" s="1"/>
      <c r="G1308" s="1"/>
      <c r="H1308" s="1"/>
      <c r="I1308" s="1"/>
      <c r="J1308" s="1"/>
      <c r="K1308" s="1"/>
      <c r="L1308" s="1"/>
      <c r="M1308" s="1"/>
      <c r="AU1308" s="18"/>
      <c r="AV1308" s="18"/>
    </row>
    <row r="1309" spans="5:48" x14ac:dyDescent="0.2">
      <c r="E1309" s="1"/>
      <c r="F1309" s="1"/>
      <c r="G1309" s="1"/>
      <c r="H1309" s="1"/>
      <c r="I1309" s="1"/>
      <c r="J1309" s="1"/>
      <c r="K1309" s="1"/>
      <c r="L1309" s="1"/>
      <c r="M1309" s="1"/>
      <c r="AU1309" s="18"/>
      <c r="AV1309" s="18"/>
    </row>
    <row r="1310" spans="5:48" x14ac:dyDescent="0.2">
      <c r="E1310" s="1"/>
      <c r="F1310" s="1"/>
      <c r="G1310" s="1"/>
      <c r="H1310" s="1"/>
      <c r="I1310" s="1"/>
      <c r="J1310" s="1"/>
      <c r="K1310" s="1"/>
      <c r="L1310" s="1"/>
      <c r="M1310" s="1"/>
      <c r="AU1310" s="18"/>
      <c r="AV1310" s="18"/>
    </row>
    <row r="1311" spans="5:48" x14ac:dyDescent="0.2">
      <c r="E1311" s="1"/>
      <c r="F1311" s="1"/>
      <c r="G1311" s="1"/>
      <c r="H1311" s="1"/>
      <c r="I1311" s="1"/>
      <c r="J1311" s="1"/>
      <c r="K1311" s="1"/>
      <c r="L1311" s="1"/>
      <c r="M1311" s="1"/>
      <c r="AU1311" s="18"/>
      <c r="AV1311" s="18"/>
    </row>
    <row r="1312" spans="5:48" x14ac:dyDescent="0.2">
      <c r="E1312" s="1"/>
      <c r="F1312" s="1"/>
      <c r="G1312" s="1"/>
      <c r="H1312" s="1"/>
      <c r="I1312" s="1"/>
      <c r="J1312" s="1"/>
      <c r="K1312" s="1"/>
      <c r="L1312" s="1"/>
      <c r="M1312" s="1"/>
      <c r="AU1312" s="18"/>
      <c r="AV1312" s="18"/>
    </row>
    <row r="1313" spans="5:48" x14ac:dyDescent="0.2">
      <c r="E1313" s="1"/>
      <c r="F1313" s="1"/>
      <c r="G1313" s="1"/>
      <c r="H1313" s="1"/>
      <c r="I1313" s="1"/>
      <c r="J1313" s="1"/>
      <c r="K1313" s="1"/>
      <c r="L1313" s="1"/>
      <c r="M1313" s="1"/>
      <c r="AU1313" s="18"/>
      <c r="AV1313" s="18"/>
    </row>
    <row r="1314" spans="5:48" x14ac:dyDescent="0.2">
      <c r="E1314" s="1"/>
      <c r="F1314" s="1"/>
      <c r="G1314" s="1"/>
      <c r="H1314" s="1"/>
      <c r="I1314" s="1"/>
      <c r="J1314" s="1"/>
      <c r="K1314" s="1"/>
      <c r="L1314" s="1"/>
      <c r="M1314" s="1"/>
      <c r="AU1314" s="18"/>
      <c r="AV1314" s="18"/>
    </row>
    <row r="1315" spans="5:48" x14ac:dyDescent="0.2">
      <c r="E1315" s="1"/>
      <c r="F1315" s="1"/>
      <c r="G1315" s="1"/>
      <c r="H1315" s="1"/>
      <c r="I1315" s="1"/>
      <c r="J1315" s="1"/>
      <c r="K1315" s="1"/>
      <c r="L1315" s="1"/>
      <c r="M1315" s="1"/>
      <c r="AU1315" s="18"/>
      <c r="AV1315" s="18"/>
    </row>
    <row r="1316" spans="5:48" x14ac:dyDescent="0.2">
      <c r="E1316" s="1"/>
      <c r="F1316" s="1"/>
      <c r="G1316" s="1"/>
      <c r="H1316" s="1"/>
      <c r="I1316" s="1"/>
      <c r="J1316" s="1"/>
      <c r="K1316" s="1"/>
      <c r="L1316" s="1"/>
      <c r="M1316" s="1"/>
      <c r="AU1316" s="18"/>
      <c r="AV1316" s="18"/>
    </row>
    <row r="1317" spans="5:48" x14ac:dyDescent="0.2">
      <c r="E1317" s="1"/>
      <c r="F1317" s="1"/>
      <c r="G1317" s="1"/>
      <c r="H1317" s="1"/>
      <c r="I1317" s="1"/>
      <c r="J1317" s="1"/>
      <c r="K1317" s="1"/>
      <c r="L1317" s="1"/>
      <c r="M1317" s="1"/>
      <c r="AU1317" s="18"/>
      <c r="AV1317" s="18"/>
    </row>
    <row r="1318" spans="5:48" x14ac:dyDescent="0.2">
      <c r="E1318" s="1"/>
      <c r="F1318" s="1"/>
      <c r="G1318" s="1"/>
      <c r="H1318" s="1"/>
      <c r="I1318" s="1"/>
      <c r="J1318" s="1"/>
      <c r="K1318" s="1"/>
      <c r="L1318" s="1"/>
      <c r="M1318" s="1"/>
      <c r="AU1318" s="18"/>
      <c r="AV1318" s="18"/>
    </row>
    <row r="1319" spans="5:48" x14ac:dyDescent="0.2">
      <c r="E1319" s="1"/>
      <c r="F1319" s="1"/>
      <c r="G1319" s="1"/>
      <c r="H1319" s="1"/>
      <c r="I1319" s="1"/>
      <c r="J1319" s="1"/>
      <c r="K1319" s="1"/>
      <c r="L1319" s="1"/>
      <c r="M1319" s="1"/>
      <c r="AU1319" s="18"/>
      <c r="AV1319" s="18"/>
    </row>
    <row r="1320" spans="5:48" x14ac:dyDescent="0.2">
      <c r="E1320" s="1"/>
      <c r="F1320" s="1"/>
      <c r="G1320" s="1"/>
      <c r="H1320" s="1"/>
      <c r="I1320" s="1"/>
      <c r="J1320" s="1"/>
      <c r="K1320" s="1"/>
      <c r="L1320" s="1"/>
      <c r="M1320" s="1"/>
      <c r="AU1320" s="18"/>
      <c r="AV1320" s="18"/>
    </row>
    <row r="1321" spans="5:48" x14ac:dyDescent="0.2">
      <c r="E1321" s="1"/>
      <c r="F1321" s="1"/>
      <c r="G1321" s="1"/>
      <c r="H1321" s="1"/>
      <c r="I1321" s="1"/>
      <c r="J1321" s="1"/>
      <c r="K1321" s="1"/>
      <c r="L1321" s="1"/>
      <c r="M1321" s="1"/>
      <c r="AU1321" s="18"/>
      <c r="AV1321" s="18"/>
    </row>
    <row r="1322" spans="5:48" x14ac:dyDescent="0.2">
      <c r="E1322" s="1"/>
      <c r="F1322" s="1"/>
      <c r="G1322" s="1"/>
      <c r="H1322" s="1"/>
      <c r="I1322" s="1"/>
      <c r="J1322" s="1"/>
      <c r="K1322" s="1"/>
      <c r="L1322" s="1"/>
      <c r="M1322" s="1"/>
      <c r="AU1322" s="18"/>
      <c r="AV1322" s="18"/>
    </row>
    <row r="1323" spans="5:48" x14ac:dyDescent="0.2">
      <c r="E1323" s="1"/>
      <c r="F1323" s="1"/>
      <c r="G1323" s="1"/>
      <c r="H1323" s="1"/>
      <c r="I1323" s="1"/>
      <c r="J1323" s="1"/>
      <c r="K1323" s="1"/>
      <c r="L1323" s="1"/>
      <c r="M1323" s="1"/>
      <c r="AU1323" s="18"/>
      <c r="AV1323" s="18"/>
    </row>
    <row r="1324" spans="5:48" x14ac:dyDescent="0.2">
      <c r="E1324" s="1"/>
      <c r="F1324" s="1"/>
      <c r="G1324" s="1"/>
      <c r="H1324" s="1"/>
      <c r="I1324" s="1"/>
      <c r="J1324" s="1"/>
      <c r="K1324" s="1"/>
      <c r="L1324" s="1"/>
      <c r="M1324" s="1"/>
      <c r="AU1324" s="18"/>
      <c r="AV1324" s="18"/>
    </row>
    <row r="1325" spans="5:48" x14ac:dyDescent="0.2">
      <c r="E1325" s="1"/>
      <c r="F1325" s="1"/>
      <c r="G1325" s="1"/>
      <c r="H1325" s="1"/>
      <c r="I1325" s="1"/>
      <c r="J1325" s="1"/>
      <c r="K1325" s="1"/>
      <c r="L1325" s="1"/>
      <c r="M1325" s="1"/>
      <c r="AU1325" s="18"/>
      <c r="AV1325" s="18"/>
    </row>
    <row r="1326" spans="5:48" x14ac:dyDescent="0.2">
      <c r="E1326" s="1"/>
      <c r="F1326" s="1"/>
      <c r="G1326" s="1"/>
      <c r="H1326" s="1"/>
      <c r="I1326" s="1"/>
      <c r="J1326" s="1"/>
      <c r="K1326" s="1"/>
      <c r="L1326" s="1"/>
      <c r="M1326" s="1"/>
      <c r="AU1326" s="18"/>
      <c r="AV1326" s="18"/>
    </row>
    <row r="1327" spans="5:48" x14ac:dyDescent="0.2">
      <c r="E1327" s="1"/>
      <c r="F1327" s="1"/>
      <c r="G1327" s="1"/>
      <c r="H1327" s="1"/>
      <c r="I1327" s="1"/>
      <c r="J1327" s="1"/>
      <c r="K1327" s="1"/>
      <c r="L1327" s="1"/>
      <c r="M1327" s="1"/>
      <c r="AU1327" s="18"/>
      <c r="AV1327" s="18"/>
    </row>
    <row r="1328" spans="5:48" x14ac:dyDescent="0.2">
      <c r="E1328" s="1"/>
      <c r="F1328" s="1"/>
      <c r="G1328" s="1"/>
      <c r="H1328" s="1"/>
      <c r="I1328" s="1"/>
      <c r="J1328" s="1"/>
      <c r="K1328" s="1"/>
      <c r="L1328" s="1"/>
      <c r="M1328" s="1"/>
      <c r="AU1328" s="18"/>
      <c r="AV1328" s="18"/>
    </row>
    <row r="1329" spans="5:48" x14ac:dyDescent="0.2">
      <c r="E1329" s="1"/>
      <c r="F1329" s="1"/>
      <c r="G1329" s="1"/>
      <c r="H1329" s="1"/>
      <c r="I1329" s="1"/>
      <c r="J1329" s="1"/>
      <c r="K1329" s="1"/>
      <c r="L1329" s="1"/>
      <c r="M1329" s="1"/>
      <c r="AU1329" s="18"/>
      <c r="AV1329" s="18"/>
    </row>
    <row r="1330" spans="5:48" x14ac:dyDescent="0.2">
      <c r="E1330" s="1"/>
      <c r="F1330" s="1"/>
      <c r="G1330" s="1"/>
      <c r="H1330" s="1"/>
      <c r="I1330" s="1"/>
      <c r="J1330" s="1"/>
      <c r="K1330" s="1"/>
      <c r="L1330" s="1"/>
      <c r="M1330" s="1"/>
      <c r="AU1330" s="18"/>
      <c r="AV1330" s="18"/>
    </row>
    <row r="1331" spans="5:48" x14ac:dyDescent="0.2">
      <c r="E1331" s="1"/>
      <c r="F1331" s="1"/>
      <c r="G1331" s="1"/>
      <c r="H1331" s="1"/>
      <c r="I1331" s="1"/>
      <c r="J1331" s="1"/>
      <c r="K1331" s="1"/>
      <c r="L1331" s="1"/>
      <c r="M1331" s="1"/>
      <c r="AU1331" s="18"/>
      <c r="AV1331" s="18"/>
    </row>
    <row r="1332" spans="5:48" x14ac:dyDescent="0.2">
      <c r="E1332" s="1"/>
      <c r="F1332" s="1"/>
      <c r="G1332" s="1"/>
      <c r="H1332" s="1"/>
      <c r="I1332" s="1"/>
      <c r="J1332" s="1"/>
      <c r="K1332" s="1"/>
      <c r="L1332" s="1"/>
      <c r="M1332" s="1"/>
      <c r="AU1332" s="18"/>
      <c r="AV1332" s="18"/>
    </row>
    <row r="1333" spans="5:48" x14ac:dyDescent="0.2">
      <c r="E1333" s="1"/>
      <c r="F1333" s="1"/>
      <c r="G1333" s="1"/>
      <c r="H1333" s="1"/>
      <c r="I1333" s="1"/>
      <c r="J1333" s="1"/>
      <c r="K1333" s="1"/>
      <c r="L1333" s="1"/>
      <c r="M1333" s="1"/>
      <c r="AU1333" s="18"/>
      <c r="AV1333" s="18"/>
    </row>
    <row r="1334" spans="5:48" x14ac:dyDescent="0.2">
      <c r="E1334" s="1"/>
      <c r="F1334" s="1"/>
      <c r="G1334" s="1"/>
      <c r="H1334" s="1"/>
      <c r="I1334" s="1"/>
      <c r="J1334" s="1"/>
      <c r="K1334" s="1"/>
      <c r="L1334" s="1"/>
      <c r="M1334" s="1"/>
      <c r="AU1334" s="18"/>
      <c r="AV1334" s="18"/>
    </row>
    <row r="1335" spans="5:48" x14ac:dyDescent="0.2">
      <c r="E1335" s="1"/>
      <c r="F1335" s="1"/>
      <c r="G1335" s="1"/>
      <c r="H1335" s="1"/>
      <c r="I1335" s="1"/>
      <c r="J1335" s="1"/>
      <c r="K1335" s="1"/>
      <c r="L1335" s="1"/>
      <c r="M1335" s="1"/>
      <c r="AU1335" s="18"/>
      <c r="AV1335" s="18"/>
    </row>
    <row r="1336" spans="5:48" x14ac:dyDescent="0.2">
      <c r="E1336" s="1"/>
      <c r="F1336" s="1"/>
      <c r="G1336" s="1"/>
      <c r="H1336" s="1"/>
      <c r="I1336" s="1"/>
      <c r="J1336" s="1"/>
      <c r="K1336" s="1"/>
      <c r="L1336" s="1"/>
      <c r="M1336" s="1"/>
      <c r="AU1336" s="18"/>
      <c r="AV1336" s="18"/>
    </row>
    <row r="1337" spans="5:48" x14ac:dyDescent="0.2">
      <c r="E1337" s="1"/>
      <c r="F1337" s="1"/>
      <c r="G1337" s="1"/>
      <c r="H1337" s="1"/>
      <c r="I1337" s="1"/>
      <c r="J1337" s="1"/>
      <c r="K1337" s="1"/>
      <c r="L1337" s="1"/>
      <c r="M1337" s="1"/>
      <c r="AU1337" s="18"/>
      <c r="AV1337" s="18"/>
    </row>
    <row r="1338" spans="5:48" x14ac:dyDescent="0.2">
      <c r="E1338" s="1"/>
      <c r="F1338" s="1"/>
      <c r="G1338" s="1"/>
      <c r="H1338" s="1"/>
      <c r="I1338" s="1"/>
      <c r="J1338" s="1"/>
      <c r="K1338" s="1"/>
      <c r="L1338" s="1"/>
      <c r="M1338" s="1"/>
      <c r="AU1338" s="18"/>
      <c r="AV1338" s="18"/>
    </row>
    <row r="1339" spans="5:48" x14ac:dyDescent="0.2">
      <c r="E1339" s="1"/>
      <c r="F1339" s="1"/>
      <c r="G1339" s="1"/>
      <c r="H1339" s="1"/>
      <c r="I1339" s="1"/>
      <c r="J1339" s="1"/>
      <c r="K1339" s="1"/>
      <c r="L1339" s="1"/>
      <c r="M1339" s="1"/>
      <c r="AU1339" s="18"/>
      <c r="AV1339" s="18"/>
    </row>
    <row r="1340" spans="5:48" x14ac:dyDescent="0.2">
      <c r="E1340" s="1"/>
      <c r="F1340" s="1"/>
      <c r="G1340" s="1"/>
      <c r="H1340" s="1"/>
      <c r="I1340" s="1"/>
      <c r="J1340" s="1"/>
      <c r="K1340" s="1"/>
      <c r="L1340" s="1"/>
      <c r="M1340" s="1"/>
      <c r="AU1340" s="18"/>
      <c r="AV1340" s="18"/>
    </row>
  </sheetData>
  <sheetProtection selectLockedCells="1" selectUnlockedCells="1"/>
  <mergeCells count="59">
    <mergeCell ref="V7:AB7"/>
    <mergeCell ref="AI31:AJ31"/>
    <mergeCell ref="AG29:AH29"/>
    <mergeCell ref="AI29:AJ29"/>
    <mergeCell ref="AE28:AF28"/>
    <mergeCell ref="AC28:AD28"/>
    <mergeCell ref="AC29:AD29"/>
    <mergeCell ref="AC31:AD31"/>
    <mergeCell ref="AA9:AB9"/>
    <mergeCell ref="AA31:AB31"/>
    <mergeCell ref="Y9:Z9"/>
    <mergeCell ref="AI32:AJ32"/>
    <mergeCell ref="AE31:AF31"/>
    <mergeCell ref="AG31:AH31"/>
    <mergeCell ref="AG32:AH32"/>
    <mergeCell ref="O35:O36"/>
    <mergeCell ref="AC32:AD32"/>
    <mergeCell ref="AG35:AJ35"/>
    <mergeCell ref="Y35:AB35"/>
    <mergeCell ref="AA32:AB32"/>
    <mergeCell ref="Y32:Z32"/>
    <mergeCell ref="AE32:AF32"/>
    <mergeCell ref="AN24:AR25"/>
    <mergeCell ref="V18:Y18"/>
    <mergeCell ref="AQ35:AU35"/>
    <mergeCell ref="AL35:AO35"/>
    <mergeCell ref="U31:V31"/>
    <mergeCell ref="W31:X31"/>
    <mergeCell ref="U32:V32"/>
    <mergeCell ref="W32:X32"/>
    <mergeCell ref="AA29:AB29"/>
    <mergeCell ref="AC35:AF35"/>
    <mergeCell ref="AA28:AB28"/>
    <mergeCell ref="Y29:Z29"/>
    <mergeCell ref="Y31:Z31"/>
    <mergeCell ref="AG28:AH28"/>
    <mergeCell ref="AI28:AJ28"/>
    <mergeCell ref="AE29:AF29"/>
    <mergeCell ref="F1:G1"/>
    <mergeCell ref="A3:C3"/>
    <mergeCell ref="A5:C5"/>
    <mergeCell ref="A6:C6"/>
    <mergeCell ref="D3:F3"/>
    <mergeCell ref="D5:F5"/>
    <mergeCell ref="A34:B34"/>
    <mergeCell ref="P35:P36"/>
    <mergeCell ref="Q35:T35"/>
    <mergeCell ref="Y28:Z28"/>
    <mergeCell ref="U35:X35"/>
    <mergeCell ref="U28:V28"/>
    <mergeCell ref="A35:B35"/>
    <mergeCell ref="D35:H35"/>
    <mergeCell ref="C35:C36"/>
    <mergeCell ref="I35:I36"/>
    <mergeCell ref="N35:N36"/>
    <mergeCell ref="J35:M35"/>
    <mergeCell ref="U29:V29"/>
    <mergeCell ref="W29:X29"/>
    <mergeCell ref="W28:X28"/>
  </mergeCells>
  <phoneticPr fontId="11" type="noConversion"/>
  <conditionalFormatting sqref="D39:G218 D221:G400">
    <cfRule type="cellIs" dxfId="5" priority="1" stopIfTrue="1" operator="equal">
      <formula>$H39</formula>
    </cfRule>
  </conditionalFormatting>
  <conditionalFormatting sqref="A39:A218 A221:A400">
    <cfRule type="expression" dxfId="4" priority="2" stopIfTrue="1">
      <formula>$N39=$AE$15</formula>
    </cfRule>
    <cfRule type="expression" dxfId="3" priority="3" stopIfTrue="1">
      <formula>$N39&lt;$AE$15</formula>
    </cfRule>
  </conditionalFormatting>
  <dataValidations disablePrompts="1" count="1">
    <dataValidation type="list" allowBlank="1" showInputMessage="1" showErrorMessage="1" sqref="W19" xr:uid="{00000000-0002-0000-0700-000000000000}">
      <formula1>"Ja, Nein"</formula1>
    </dataValidation>
  </dataValidations>
  <pageMargins left="0.75" right="0.75" top="1" bottom="1" header="0.4921259845" footer="0.4921259845"/>
  <pageSetup paperSize="8" scale="40" orientation="landscape"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6"/>
  <dimension ref="A1:AV1340"/>
  <sheetViews>
    <sheetView topLeftCell="A355" workbookViewId="0">
      <selection activeCell="A364" sqref="A364:XFD364"/>
    </sheetView>
  </sheetViews>
  <sheetFormatPr baseColWidth="10" defaultColWidth="11.42578125" defaultRowHeight="12.75" x14ac:dyDescent="0.2"/>
  <cols>
    <col min="1" max="1" width="8.7109375" customWidth="1"/>
    <col min="2" max="4" width="8.7109375" style="1" customWidth="1"/>
    <col min="5" max="8" width="8.7109375" customWidth="1"/>
    <col min="21" max="36" width="11.28515625" customWidth="1"/>
    <col min="37" max="37" width="3.7109375" customWidth="1"/>
    <col min="38" max="41" width="11.28515625" customWidth="1"/>
    <col min="42" max="42" width="2.85546875" style="6" customWidth="1"/>
    <col min="43" max="45" width="11.28515625" style="6" customWidth="1"/>
    <col min="46" max="46" width="11.7109375" customWidth="1"/>
    <col min="48" max="48" width="9.5703125" customWidth="1"/>
    <col min="50" max="51" width="11.28515625" bestFit="1" customWidth="1"/>
    <col min="52" max="53" width="9.5703125" bestFit="1" customWidth="1"/>
  </cols>
  <sheetData>
    <row r="1" spans="1:45" ht="18" x14ac:dyDescent="0.25">
      <c r="A1" s="4" t="s">
        <v>135</v>
      </c>
      <c r="F1" s="794" t="str">
        <f>Geraetedaten!B1</f>
        <v>P570</v>
      </c>
      <c r="G1" s="794"/>
    </row>
    <row r="2" spans="1:45" x14ac:dyDescent="0.2">
      <c r="AN2" s="108" t="s">
        <v>205</v>
      </c>
      <c r="AO2" s="109"/>
      <c r="AP2" s="110"/>
      <c r="AQ2" s="110"/>
      <c r="AR2" s="110"/>
      <c r="AS2" s="111"/>
    </row>
    <row r="3" spans="1:45" x14ac:dyDescent="0.2">
      <c r="A3" s="795" t="s">
        <v>157</v>
      </c>
      <c r="B3" s="795"/>
      <c r="C3" s="795"/>
      <c r="D3" s="796">
        <f>Eingabewerte!D4</f>
        <v>11570035</v>
      </c>
      <c r="E3" s="796"/>
      <c r="F3" s="796"/>
      <c r="AN3" s="112"/>
      <c r="AO3" s="113"/>
      <c r="AP3" s="114"/>
      <c r="AQ3" s="114"/>
      <c r="AR3" s="114"/>
      <c r="AS3" s="115"/>
    </row>
    <row r="4" spans="1:45" x14ac:dyDescent="0.2">
      <c r="AN4" s="116" t="s">
        <v>206</v>
      </c>
      <c r="AO4" s="113" t="s">
        <v>207</v>
      </c>
      <c r="AP4" s="114"/>
      <c r="AQ4" s="114"/>
      <c r="AR4" s="114"/>
      <c r="AS4" s="115"/>
    </row>
    <row r="5" spans="1:45" x14ac:dyDescent="0.2">
      <c r="A5" s="795" t="s">
        <v>158</v>
      </c>
      <c r="B5" s="795"/>
      <c r="C5" s="795"/>
      <c r="D5" s="796" t="str">
        <f>Eingabewerte!D5</f>
        <v>Sonder</v>
      </c>
      <c r="E5" s="796"/>
      <c r="F5" s="796"/>
      <c r="AN5" s="116" t="s">
        <v>208</v>
      </c>
      <c r="AO5" s="113" t="s">
        <v>209</v>
      </c>
      <c r="AP5" s="114"/>
      <c r="AQ5" s="114"/>
      <c r="AR5" s="114"/>
      <c r="AS5" s="115"/>
    </row>
    <row r="6" spans="1:45" x14ac:dyDescent="0.2">
      <c r="A6" s="795" t="s">
        <v>83</v>
      </c>
      <c r="B6" s="795"/>
      <c r="C6" s="795"/>
      <c r="D6" s="57">
        <f>Geraetedaten!B7</f>
        <v>5701.2195121951218</v>
      </c>
      <c r="E6" t="s">
        <v>28</v>
      </c>
      <c r="Q6" s="76"/>
      <c r="R6" s="76"/>
      <c r="S6" s="76"/>
      <c r="AN6" s="116" t="s">
        <v>210</v>
      </c>
      <c r="AO6" s="113" t="s">
        <v>211</v>
      </c>
      <c r="AP6" s="114"/>
      <c r="AQ6" s="114"/>
      <c r="AR6" s="114"/>
      <c r="AS6" s="115"/>
    </row>
    <row r="7" spans="1:45" s="3" customFormat="1" x14ac:dyDescent="0.2">
      <c r="Q7" s="13"/>
      <c r="R7" s="13"/>
      <c r="S7" s="13"/>
      <c r="V7" s="1053" t="s">
        <v>180</v>
      </c>
      <c r="W7" s="1054"/>
      <c r="X7" s="1054"/>
      <c r="Y7" s="1054"/>
      <c r="Z7" s="1054"/>
      <c r="AA7" s="1054"/>
      <c r="AB7" s="1055"/>
      <c r="AN7" s="116" t="s">
        <v>212</v>
      </c>
      <c r="AO7" s="113" t="s">
        <v>213</v>
      </c>
      <c r="AP7" s="114"/>
      <c r="AQ7" s="114"/>
      <c r="AR7" s="114"/>
      <c r="AS7" s="115"/>
    </row>
    <row r="8" spans="1:45" x14ac:dyDescent="0.2">
      <c r="A8" s="13"/>
      <c r="B8" s="14"/>
      <c r="C8" s="6" t="s">
        <v>133</v>
      </c>
      <c r="D8" s="3"/>
      <c r="E8" s="6" t="s">
        <v>134</v>
      </c>
      <c r="F8" s="3"/>
      <c r="G8" s="55" t="s">
        <v>140</v>
      </c>
      <c r="H8" s="24"/>
      <c r="N8" s="3"/>
      <c r="O8" s="3"/>
      <c r="P8" s="3"/>
      <c r="Q8" s="13"/>
      <c r="R8" s="76"/>
      <c r="S8" s="76"/>
      <c r="AN8" s="116"/>
      <c r="AO8" s="113"/>
      <c r="AP8" s="114"/>
      <c r="AQ8" s="114"/>
      <c r="AR8" s="114"/>
      <c r="AS8" s="115"/>
    </row>
    <row r="9" spans="1:45" ht="13.5" x14ac:dyDescent="0.25">
      <c r="A9" s="3" t="s">
        <v>137</v>
      </c>
      <c r="B9" s="24"/>
      <c r="C9" s="20">
        <f>(Geraetedaten!B20*(Geraetedaten!B17+Geraetedaten!B21))/Geraetedaten!B7</f>
        <v>7200.0000000000009</v>
      </c>
      <c r="D9" s="24" t="s">
        <v>13</v>
      </c>
      <c r="E9" s="20">
        <f>G9-C9</f>
        <v>18000</v>
      </c>
      <c r="F9" s="24" t="s">
        <v>13</v>
      </c>
      <c r="G9" s="20">
        <f>Geraetedaten!B20</f>
        <v>25200</v>
      </c>
      <c r="H9" s="24" t="s">
        <v>13</v>
      </c>
      <c r="N9" s="3"/>
      <c r="O9" s="3"/>
      <c r="P9" s="3"/>
      <c r="Q9" s="13"/>
      <c r="R9" s="76"/>
      <c r="S9" s="76"/>
      <c r="W9" s="1"/>
      <c r="X9" s="1"/>
      <c r="Y9" s="1056" t="s">
        <v>0</v>
      </c>
      <c r="Z9" s="1057"/>
      <c r="AA9" s="1056" t="s">
        <v>45</v>
      </c>
      <c r="AB9" s="1057"/>
      <c r="AD9" t="s">
        <v>2</v>
      </c>
      <c r="AE9" s="1">
        <f>Geraetedaten!B154*10</f>
        <v>980.18000000000006</v>
      </c>
      <c r="AF9" t="s">
        <v>59</v>
      </c>
      <c r="AG9" t="s">
        <v>174</v>
      </c>
      <c r="AN9" s="116" t="s">
        <v>214</v>
      </c>
      <c r="AO9" s="113" t="s">
        <v>215</v>
      </c>
      <c r="AP9" s="114"/>
      <c r="AQ9" s="114"/>
      <c r="AR9" s="114"/>
      <c r="AS9" s="115"/>
    </row>
    <row r="10" spans="1:45" x14ac:dyDescent="0.2">
      <c r="N10" s="3"/>
      <c r="O10" s="3"/>
      <c r="P10" s="3"/>
      <c r="Q10" s="13"/>
      <c r="R10" s="76"/>
      <c r="S10" s="76"/>
      <c r="W10" s="7" t="s">
        <v>56</v>
      </c>
      <c r="X10" s="7" t="s">
        <v>57</v>
      </c>
      <c r="Y10" s="8" t="s">
        <v>6</v>
      </c>
      <c r="Z10" s="9" t="s">
        <v>5</v>
      </c>
      <c r="AA10" s="8" t="s">
        <v>6</v>
      </c>
      <c r="AB10" s="9" t="s">
        <v>5</v>
      </c>
      <c r="AD10" t="s">
        <v>3</v>
      </c>
      <c r="AE10" s="1">
        <f>Geraetedaten!B26*9.81/100</f>
        <v>1533.7554799999998</v>
      </c>
      <c r="AF10" t="s">
        <v>59</v>
      </c>
      <c r="AG10" t="s">
        <v>60</v>
      </c>
      <c r="AN10" s="116" t="s">
        <v>216</v>
      </c>
      <c r="AO10" s="113" t="s">
        <v>217</v>
      </c>
      <c r="AP10" s="114"/>
      <c r="AQ10" s="114"/>
      <c r="AR10" s="114"/>
      <c r="AS10" s="115"/>
    </row>
    <row r="11" spans="1:45" x14ac:dyDescent="0.2">
      <c r="D11" s="6"/>
      <c r="N11" s="3"/>
      <c r="O11" s="3"/>
      <c r="P11" s="3"/>
      <c r="Q11" s="13"/>
      <c r="R11" s="76"/>
      <c r="S11" s="76"/>
      <c r="V11" s="10" t="s">
        <v>46</v>
      </c>
      <c r="W11" s="11">
        <f>(Z11+A16*(Y11-Z11))</f>
        <v>-2690</v>
      </c>
      <c r="X11" s="11">
        <f>AB11+A16*(AA11-AB11)</f>
        <v>6157</v>
      </c>
      <c r="Y11" s="12">
        <f>Geraetedaten!B104</f>
        <v>-4228</v>
      </c>
      <c r="Z11" s="12">
        <f>Geraetedaten!B102</f>
        <v>-1152</v>
      </c>
      <c r="AA11" s="12">
        <f>Geraetedaten!B103</f>
        <v>6186</v>
      </c>
      <c r="AB11" s="12">
        <f>Geraetedaten!B101</f>
        <v>6128</v>
      </c>
      <c r="AD11" t="s">
        <v>307</v>
      </c>
      <c r="AE11" s="24">
        <f>Geraetedaten!B27</f>
        <v>4238.9881903056585</v>
      </c>
      <c r="AF11" t="s">
        <v>28</v>
      </c>
      <c r="AG11" t="s">
        <v>310</v>
      </c>
      <c r="AN11" s="116" t="s">
        <v>218</v>
      </c>
      <c r="AO11" s="113" t="s">
        <v>219</v>
      </c>
      <c r="AP11" s="114"/>
      <c r="AQ11" s="114"/>
      <c r="AR11" s="114"/>
      <c r="AS11" s="115"/>
    </row>
    <row r="12" spans="1:45" ht="13.5" x14ac:dyDescent="0.25">
      <c r="A12" s="13"/>
      <c r="B12" s="14"/>
      <c r="C12" s="75"/>
      <c r="D12" s="79"/>
      <c r="E12" s="75"/>
      <c r="F12" s="14"/>
      <c r="G12" s="75"/>
      <c r="H12" s="14"/>
      <c r="V12" s="10" t="s">
        <v>47</v>
      </c>
      <c r="W12" s="11">
        <f>(Z12+A28*(Y12-Z12))</f>
        <v>-2682.5</v>
      </c>
      <c r="X12" s="11">
        <f>AB12+A28*(AA12-AB12)</f>
        <v>-750</v>
      </c>
      <c r="Y12" s="12">
        <f>Geraetedaten!B109</f>
        <v>-4225</v>
      </c>
      <c r="Z12" s="12">
        <f>Geraetedaten!B107</f>
        <v>-1140</v>
      </c>
      <c r="AA12" s="12">
        <f>Geraetedaten!B108</f>
        <v>-750</v>
      </c>
      <c r="AB12" s="12">
        <f>Geraetedaten!B106</f>
        <v>-750</v>
      </c>
      <c r="AD12" t="s">
        <v>308</v>
      </c>
      <c r="AE12" s="1">
        <f>Geraetedaten!B86</f>
        <v>-33.057238032144035</v>
      </c>
      <c r="AF12" t="s">
        <v>28</v>
      </c>
      <c r="AG12" t="s">
        <v>309</v>
      </c>
      <c r="AN12" s="116" t="s">
        <v>220</v>
      </c>
      <c r="AO12" s="113" t="s">
        <v>221</v>
      </c>
      <c r="AP12" s="114"/>
      <c r="AQ12" s="114"/>
      <c r="AR12" s="114"/>
      <c r="AS12" s="115"/>
    </row>
    <row r="13" spans="1:45" ht="13.5" x14ac:dyDescent="0.25">
      <c r="A13" s="13"/>
      <c r="B13" s="14"/>
      <c r="C13" s="75"/>
      <c r="D13" s="14"/>
      <c r="E13" s="75"/>
      <c r="F13" s="14"/>
      <c r="G13" s="75"/>
      <c r="H13" s="14"/>
      <c r="V13" s="10" t="s">
        <v>48</v>
      </c>
      <c r="W13" s="11">
        <f>(Z13+G28*(Y13-Z13))</f>
        <v>2597.5</v>
      </c>
      <c r="X13" s="11">
        <f>AB13+G28*(AA13-AB13)</f>
        <v>-912.5</v>
      </c>
      <c r="Y13" s="12">
        <f>Geraetedaten!B114</f>
        <v>4140</v>
      </c>
      <c r="Z13" s="12">
        <f>Geraetedaten!B112</f>
        <v>1055</v>
      </c>
      <c r="AA13" s="12">
        <f>Geraetedaten!B113</f>
        <v>-1075</v>
      </c>
      <c r="AB13" s="12">
        <f>Geraetedaten!B111</f>
        <v>-750</v>
      </c>
      <c r="AD13" t="s">
        <v>4</v>
      </c>
      <c r="AE13">
        <v>1</v>
      </c>
      <c r="AG13" t="s">
        <v>175</v>
      </c>
      <c r="AN13" s="116"/>
      <c r="AO13" s="113"/>
      <c r="AP13" s="114"/>
      <c r="AQ13" s="114"/>
      <c r="AR13" s="114"/>
      <c r="AS13" s="115"/>
    </row>
    <row r="14" spans="1:45" x14ac:dyDescent="0.2">
      <c r="A14" s="3"/>
      <c r="B14" s="24"/>
      <c r="C14" s="24"/>
      <c r="D14" s="24"/>
      <c r="E14" s="3"/>
      <c r="F14" s="3"/>
      <c r="V14" s="10" t="s">
        <v>49</v>
      </c>
      <c r="W14" s="11">
        <f>(Z14+G16*(Y14-Z14))</f>
        <v>2602.5</v>
      </c>
      <c r="X14" s="11">
        <f>AB14+G16*(AA14-AB14)</f>
        <v>6209</v>
      </c>
      <c r="Y14" s="12">
        <f>Geraetedaten!B119</f>
        <v>4143</v>
      </c>
      <c r="Z14" s="12">
        <f>Geraetedaten!B117</f>
        <v>1062</v>
      </c>
      <c r="AA14" s="12">
        <f>Geraetedaten!B118</f>
        <v>6290</v>
      </c>
      <c r="AB14" s="12">
        <f>Geraetedaten!B116</f>
        <v>6128</v>
      </c>
      <c r="AD14" t="s">
        <v>55</v>
      </c>
      <c r="AE14">
        <f>PI()/180</f>
        <v>1.7453292519943295E-2</v>
      </c>
      <c r="AF14" s="3"/>
      <c r="AG14" t="s">
        <v>176</v>
      </c>
      <c r="AN14" s="116" t="s">
        <v>222</v>
      </c>
      <c r="AO14" s="113" t="s">
        <v>223</v>
      </c>
      <c r="AP14" s="114"/>
      <c r="AQ14" s="114"/>
      <c r="AR14" s="114"/>
      <c r="AS14" s="115"/>
    </row>
    <row r="15" spans="1:45" x14ac:dyDescent="0.2">
      <c r="A15" s="5" t="s">
        <v>46</v>
      </c>
      <c r="G15" s="6" t="s">
        <v>49</v>
      </c>
      <c r="V15" s="13"/>
      <c r="W15" s="14">
        <f>W11</f>
        <v>-2690</v>
      </c>
      <c r="X15" s="14">
        <f>X11</f>
        <v>6157</v>
      </c>
      <c r="Y15" s="13"/>
      <c r="Z15" s="13"/>
      <c r="AA15" s="13"/>
      <c r="AB15" s="13"/>
      <c r="AD15" s="3" t="s">
        <v>164</v>
      </c>
      <c r="AE15" s="3">
        <f>Geraetedaten!B174</f>
        <v>400</v>
      </c>
      <c r="AF15" s="3" t="s">
        <v>14</v>
      </c>
      <c r="AG15" t="s">
        <v>177</v>
      </c>
      <c r="AN15" s="116" t="s">
        <v>224</v>
      </c>
      <c r="AO15" s="113" t="s">
        <v>225</v>
      </c>
      <c r="AP15" s="114"/>
      <c r="AQ15" s="114"/>
      <c r="AR15" s="114"/>
      <c r="AS15" s="115"/>
    </row>
    <row r="16" spans="1:45" x14ac:dyDescent="0.2">
      <c r="A16" s="56">
        <v>0.5</v>
      </c>
      <c r="G16" s="56">
        <v>0.5</v>
      </c>
      <c r="AD16" s="3" t="s">
        <v>70</v>
      </c>
      <c r="AE16">
        <f>Geraetedaten!B90/10000*Geraetedaten!B94*Geraetedaten!B91/1000/100</f>
        <v>29.946840000000002</v>
      </c>
      <c r="AF16" t="s">
        <v>75</v>
      </c>
      <c r="AG16" t="s">
        <v>178</v>
      </c>
      <c r="AN16" s="116" t="s">
        <v>226</v>
      </c>
      <c r="AO16" s="113" t="s">
        <v>227</v>
      </c>
      <c r="AP16" s="114"/>
      <c r="AQ16" s="114"/>
      <c r="AR16" s="114"/>
      <c r="AS16" s="115"/>
    </row>
    <row r="17" spans="1:46" x14ac:dyDescent="0.2">
      <c r="AD17" s="3" t="s">
        <v>71</v>
      </c>
      <c r="AE17">
        <f>Geraetedaten!B92/10000*Geraetedaten!B94*Geraetedaten!B93/1000/100</f>
        <v>63.548099999999998</v>
      </c>
      <c r="AF17" t="s">
        <v>75</v>
      </c>
      <c r="AG17" t="s">
        <v>179</v>
      </c>
      <c r="AN17" s="116" t="s">
        <v>228</v>
      </c>
      <c r="AO17" s="113" t="s">
        <v>229</v>
      </c>
      <c r="AP17" s="114"/>
      <c r="AQ17" s="114"/>
      <c r="AR17" s="114"/>
      <c r="AS17" s="115"/>
    </row>
    <row r="18" spans="1:46" x14ac:dyDescent="0.2">
      <c r="C18"/>
      <c r="D18"/>
      <c r="V18" s="1047" t="s">
        <v>247</v>
      </c>
      <c r="W18" s="1048"/>
      <c r="X18" s="1048"/>
      <c r="Y18" s="1048"/>
      <c r="Z18" s="123"/>
      <c r="AA18" s="124"/>
      <c r="AD18" s="3"/>
      <c r="AE18" s="3"/>
      <c r="AF18" s="3"/>
      <c r="AN18" s="116"/>
      <c r="AO18" s="113"/>
      <c r="AP18" s="114"/>
      <c r="AQ18" s="114"/>
      <c r="AR18" s="114"/>
      <c r="AS18" s="115"/>
    </row>
    <row r="19" spans="1:46" x14ac:dyDescent="0.2">
      <c r="C19"/>
      <c r="D19"/>
      <c r="V19" s="107" t="s">
        <v>280</v>
      </c>
      <c r="W19" s="105" t="str">
        <f>Geraetedaten!B122</f>
        <v>Nein</v>
      </c>
      <c r="X19" s="76"/>
      <c r="Y19" s="76"/>
      <c r="Z19" s="76"/>
      <c r="AA19" s="101"/>
      <c r="AD19" s="3"/>
      <c r="AF19" s="3"/>
      <c r="AN19" s="116" t="s">
        <v>230</v>
      </c>
      <c r="AO19" s="113" t="s">
        <v>231</v>
      </c>
      <c r="AP19" s="114"/>
      <c r="AQ19" s="114"/>
      <c r="AR19" s="114"/>
      <c r="AS19" s="115"/>
    </row>
    <row r="20" spans="1:46" x14ac:dyDescent="0.2">
      <c r="C20"/>
      <c r="D20"/>
      <c r="V20" s="140" t="s">
        <v>248</v>
      </c>
      <c r="W20" s="117">
        <f>IF($W$19="Ja",Geraetedaten!B123,0)</f>
        <v>0</v>
      </c>
      <c r="X20" s="118" t="s">
        <v>28</v>
      </c>
      <c r="Y20" s="140" t="s">
        <v>302</v>
      </c>
      <c r="Z20" s="117">
        <f>IF($W$19="Ja",Geraetedaten!B127,0)</f>
        <v>0</v>
      </c>
      <c r="AA20" s="118" t="s">
        <v>28</v>
      </c>
      <c r="AD20" s="3"/>
      <c r="AF20" s="3"/>
      <c r="AN20" s="116" t="s">
        <v>232</v>
      </c>
      <c r="AO20" s="113" t="s">
        <v>233</v>
      </c>
      <c r="AP20" s="114"/>
      <c r="AQ20" s="114"/>
      <c r="AR20" s="114"/>
      <c r="AS20" s="115"/>
    </row>
    <row r="21" spans="1:46" x14ac:dyDescent="0.2">
      <c r="A21" s="6" t="s">
        <v>196</v>
      </c>
      <c r="C21"/>
      <c r="D21"/>
      <c r="G21" s="6" t="s">
        <v>196</v>
      </c>
      <c r="V21" s="140" t="s">
        <v>261</v>
      </c>
      <c r="W21" s="117">
        <f>IF($W$19="Ja",Geraetedaten!B124,0)</f>
        <v>0</v>
      </c>
      <c r="X21" s="118" t="s">
        <v>28</v>
      </c>
      <c r="Y21" s="140" t="s">
        <v>303</v>
      </c>
      <c r="Z21" s="117">
        <f>IF($W$19="Ja",Geraetedaten!B128,0)</f>
        <v>0</v>
      </c>
      <c r="AA21" s="118" t="s">
        <v>28</v>
      </c>
      <c r="AD21" s="3"/>
      <c r="AE21" s="18"/>
      <c r="AF21" s="3"/>
      <c r="AN21" s="116"/>
      <c r="AO21" s="113"/>
      <c r="AP21" s="114"/>
      <c r="AQ21" s="114"/>
      <c r="AR21" s="114"/>
      <c r="AS21" s="115"/>
    </row>
    <row r="22" spans="1:46" x14ac:dyDescent="0.2">
      <c r="A22" s="17">
        <f>180+g_L</f>
        <v>269.93778511981219</v>
      </c>
      <c r="C22"/>
      <c r="D22"/>
      <c r="G22" s="17">
        <f>g_R</f>
        <v>90.040227318752059</v>
      </c>
      <c r="V22" s="140" t="s">
        <v>20</v>
      </c>
      <c r="W22" s="117">
        <f>IF($W$19="Ja",Geraetedaten!B125,0)</f>
        <v>0</v>
      </c>
      <c r="X22" s="118" t="s">
        <v>13</v>
      </c>
      <c r="Y22" s="142" t="s">
        <v>301</v>
      </c>
      <c r="Z22" s="117">
        <f>IF($W$19="Ja",W22*9.81/100,0)</f>
        <v>0</v>
      </c>
      <c r="AA22" s="118" t="s">
        <v>59</v>
      </c>
      <c r="AF22" s="3"/>
      <c r="AN22" s="116" t="s">
        <v>50</v>
      </c>
      <c r="AO22" s="113" t="s">
        <v>234</v>
      </c>
      <c r="AP22" s="114"/>
      <c r="AQ22" s="114"/>
      <c r="AR22" s="114"/>
      <c r="AS22" s="115"/>
    </row>
    <row r="23" spans="1:46" x14ac:dyDescent="0.2">
      <c r="A23" s="1"/>
      <c r="C23"/>
      <c r="D23"/>
      <c r="V23" s="141" t="s">
        <v>305</v>
      </c>
      <c r="W23" s="117">
        <f>IF($W$19="Ja",Geraetedaten!B126,0)</f>
        <v>0</v>
      </c>
      <c r="X23" s="118" t="s">
        <v>28</v>
      </c>
      <c r="Y23" s="141" t="s">
        <v>304</v>
      </c>
      <c r="Z23" s="117">
        <f>IF($W$19="Ja",Geraetedaten!B129,0)</f>
        <v>0</v>
      </c>
      <c r="AA23" s="118" t="s">
        <v>28</v>
      </c>
      <c r="AB23" s="3"/>
      <c r="AF23" s="3"/>
      <c r="AN23" s="112"/>
      <c r="AO23" s="113"/>
      <c r="AP23" s="114"/>
      <c r="AQ23" s="114"/>
      <c r="AR23" s="114"/>
      <c r="AS23" s="115"/>
    </row>
    <row r="24" spans="1:46" ht="12.75" customHeight="1" x14ac:dyDescent="0.2">
      <c r="A24" s="1"/>
      <c r="C24"/>
      <c r="D24"/>
      <c r="V24" s="125" t="s">
        <v>285</v>
      </c>
      <c r="AF24" s="3"/>
      <c r="AM24" s="101"/>
      <c r="AN24" s="1043" t="s">
        <v>306</v>
      </c>
      <c r="AO24" s="1044"/>
      <c r="AP24" s="1044"/>
      <c r="AQ24" s="1044"/>
      <c r="AR24" s="1044"/>
      <c r="AS24" s="115"/>
    </row>
    <row r="25" spans="1:46" x14ac:dyDescent="0.2">
      <c r="A25" s="1"/>
      <c r="C25"/>
      <c r="D25"/>
      <c r="AG25" s="18"/>
      <c r="AM25" s="101"/>
      <c r="AN25" s="1045"/>
      <c r="AO25" s="1046"/>
      <c r="AP25" s="1046"/>
      <c r="AQ25" s="1046"/>
      <c r="AR25" s="1046"/>
      <c r="AS25" s="143"/>
      <c r="AT25" s="107"/>
    </row>
    <row r="26" spans="1:46" x14ac:dyDescent="0.2">
      <c r="A26" s="1"/>
      <c r="C26"/>
      <c r="D26"/>
      <c r="U26" s="76"/>
      <c r="V26" s="76"/>
      <c r="W26" s="76"/>
      <c r="X26" s="76"/>
      <c r="Y26" s="76"/>
      <c r="Z26" s="76"/>
      <c r="AA26" s="76"/>
      <c r="AB26" s="76"/>
      <c r="AC26" s="76"/>
      <c r="AD26" s="76"/>
      <c r="AE26" s="76"/>
      <c r="AF26" s="76"/>
      <c r="AG26" s="18"/>
      <c r="AH26" s="76"/>
      <c r="AI26" s="76"/>
      <c r="AJ26" s="76"/>
      <c r="AK26" s="76"/>
      <c r="AL26" s="76"/>
      <c r="AM26" s="76"/>
      <c r="AN26" s="76"/>
      <c r="AS26"/>
    </row>
    <row r="27" spans="1:46" ht="13.5" thickBot="1" x14ac:dyDescent="0.25">
      <c r="A27" s="5" t="s">
        <v>47</v>
      </c>
      <c r="C27"/>
      <c r="D27"/>
      <c r="G27" s="6" t="s">
        <v>48</v>
      </c>
      <c r="T27" s="76"/>
      <c r="U27" s="139"/>
      <c r="V27" s="139"/>
      <c r="W27" s="139"/>
      <c r="X27" s="139"/>
      <c r="Y27" s="139"/>
      <c r="Z27" s="139"/>
      <c r="AA27" s="139"/>
      <c r="AB27" s="139"/>
      <c r="AC27" s="139"/>
      <c r="AD27" s="139"/>
      <c r="AE27" s="139"/>
      <c r="AF27" s="139"/>
      <c r="AG27" s="139"/>
      <c r="AH27" s="139"/>
      <c r="AI27" s="139"/>
      <c r="AJ27" s="139"/>
      <c r="AK27" s="13"/>
      <c r="AL27" s="6"/>
      <c r="AM27" s="6"/>
      <c r="AN27" s="6"/>
      <c r="AO27" s="6"/>
      <c r="AP27"/>
      <c r="AQ27"/>
      <c r="AR27"/>
      <c r="AS27"/>
    </row>
    <row r="28" spans="1:46" x14ac:dyDescent="0.2">
      <c r="A28" s="56">
        <v>0.5</v>
      </c>
      <c r="C28"/>
      <c r="D28"/>
      <c r="G28" s="56">
        <v>0.5</v>
      </c>
      <c r="T28" s="134"/>
      <c r="U28" s="1026" t="s">
        <v>249</v>
      </c>
      <c r="V28" s="1027"/>
      <c r="W28" s="1027" t="s">
        <v>250</v>
      </c>
      <c r="X28" s="1042"/>
      <c r="Y28" s="1026" t="s">
        <v>241</v>
      </c>
      <c r="Z28" s="1027"/>
      <c r="AA28" s="1027" t="s">
        <v>242</v>
      </c>
      <c r="AB28" s="1042"/>
      <c r="AC28" s="1026" t="s">
        <v>238</v>
      </c>
      <c r="AD28" s="1027"/>
      <c r="AE28" s="1027" t="s">
        <v>239</v>
      </c>
      <c r="AF28" s="1042"/>
      <c r="AG28" s="1026" t="s">
        <v>235</v>
      </c>
      <c r="AH28" s="1027"/>
      <c r="AI28" s="1027" t="s">
        <v>236</v>
      </c>
      <c r="AJ28" s="1042"/>
      <c r="AL28" s="6"/>
      <c r="AM28" s="6"/>
      <c r="AN28" s="6"/>
      <c r="AO28" s="6"/>
      <c r="AP28"/>
      <c r="AQ28"/>
      <c r="AR28"/>
      <c r="AS28"/>
    </row>
    <row r="29" spans="1:46" x14ac:dyDescent="0.2">
      <c r="C29"/>
      <c r="D29"/>
      <c r="T29" s="134"/>
      <c r="U29" s="1038">
        <f>IF(HL_Z-VL_Z=0,0,DEGREES(ATAN((HL_X-VL_X)/(HL_Z-VL_Z))))</f>
        <v>-89.937785119812176</v>
      </c>
      <c r="V29" s="1039"/>
      <c r="W29" s="1040">
        <f>IF(U29&lt;0,ABS(U29),IF(U29=0,90,180-U29))</f>
        <v>89.937785119812176</v>
      </c>
      <c r="X29" s="1041"/>
      <c r="Y29" s="1038">
        <f>IF(HR_X-HL_X=0,90,DEGREES(ATAN((HR_Z-HL_Z)/(HR_X-HL_X))))</f>
        <v>-88.237192006835727</v>
      </c>
      <c r="Z29" s="1039"/>
      <c r="AA29" s="1040">
        <f>IF(Y29&lt;0,180+Y29,Y29)</f>
        <v>91.762807993164273</v>
      </c>
      <c r="AB29" s="1041"/>
      <c r="AC29" s="1038">
        <f>IF(VR_Z-HR_Z=0,0,DEGREES(ATAN((VR_X-HR_X)/(VR_Z-HR_Z))))</f>
        <v>89.959772681247941</v>
      </c>
      <c r="AD29" s="1039"/>
      <c r="AE29" s="1040">
        <f>IF(AC29&lt;0,ABS(AC29),IF(AC29=0,90,180-AC29))</f>
        <v>90.040227318752059</v>
      </c>
      <c r="AF29" s="1041"/>
      <c r="AG29" s="1038">
        <f>IF(VL_X-VR_X=0,90,DEGREES(ATAN((VL_Z-VR_Z)/(VL_X-VR_X))))</f>
        <v>89.437074224147551</v>
      </c>
      <c r="AH29" s="1039"/>
      <c r="AI29" s="1040">
        <f>IF(AG29&lt;0,180+AG29,AG29)</f>
        <v>89.437074224147551</v>
      </c>
      <c r="AJ29" s="1041"/>
      <c r="AL29" s="6"/>
      <c r="AM29" s="6"/>
      <c r="AN29" s="6"/>
      <c r="AO29" s="6"/>
      <c r="AP29"/>
      <c r="AQ29"/>
      <c r="AR29"/>
      <c r="AS29"/>
    </row>
    <row r="30" spans="1:46" x14ac:dyDescent="0.2">
      <c r="C30"/>
      <c r="D30"/>
      <c r="T30" s="134"/>
      <c r="U30" s="99"/>
      <c r="V30" s="99"/>
      <c r="W30" s="99"/>
      <c r="X30" s="132"/>
      <c r="Y30" s="99"/>
      <c r="Z30" s="99"/>
      <c r="AA30" s="99"/>
      <c r="AB30" s="130"/>
      <c r="AC30" s="133"/>
      <c r="AD30" s="99"/>
      <c r="AE30" s="99"/>
      <c r="AF30" s="132"/>
      <c r="AG30" s="99"/>
      <c r="AH30" s="99"/>
      <c r="AI30" s="99"/>
      <c r="AJ30" s="132"/>
      <c r="AL30" s="6"/>
      <c r="AM30" s="6"/>
      <c r="AN30" s="6"/>
      <c r="AO30" s="6"/>
      <c r="AP30"/>
      <c r="AQ30"/>
      <c r="AR30"/>
      <c r="AS30"/>
    </row>
    <row r="31" spans="1:46" x14ac:dyDescent="0.2">
      <c r="C31"/>
      <c r="D31" s="6"/>
      <c r="T31" s="134"/>
      <c r="U31" s="1049" t="s">
        <v>251</v>
      </c>
      <c r="V31" s="1050"/>
      <c r="W31" s="1050" t="s">
        <v>252</v>
      </c>
      <c r="X31" s="1051"/>
      <c r="Y31" s="1049" t="s">
        <v>243</v>
      </c>
      <c r="Z31" s="1050"/>
      <c r="AA31" s="1050" t="s">
        <v>269</v>
      </c>
      <c r="AB31" s="1051"/>
      <c r="AC31" s="1049" t="s">
        <v>240</v>
      </c>
      <c r="AD31" s="1050"/>
      <c r="AE31" s="1050" t="s">
        <v>268</v>
      </c>
      <c r="AF31" s="1051"/>
      <c r="AG31" s="1049" t="s">
        <v>237</v>
      </c>
      <c r="AH31" s="1050"/>
      <c r="AI31" s="1050" t="s">
        <v>270</v>
      </c>
      <c r="AJ31" s="1051"/>
      <c r="AL31" s="6"/>
      <c r="AM31" s="6"/>
      <c r="AN31" s="6"/>
      <c r="AO31" s="6"/>
      <c r="AP31"/>
      <c r="AQ31"/>
      <c r="AR31"/>
      <c r="AS31"/>
    </row>
    <row r="32" spans="1:46" x14ac:dyDescent="0.2">
      <c r="A32" s="1"/>
      <c r="C32"/>
      <c r="D32" s="79"/>
      <c r="T32" s="134"/>
      <c r="U32" s="1038">
        <f>(SIN(RADIANS(W29)))*(((VL_Z-HL_Z)/(VL_X-HL_X))*(HL_X)-HL_Z)</f>
        <v>2683.3128092763232</v>
      </c>
      <c r="V32" s="1039"/>
      <c r="W32" s="1039">
        <f>SIN(RADIANS(W29))*(((VL_Z-HL_Z)/(VL_X-HL_X))*(-SPG_X+HL_X)-HL_Z+SPG_Z)</f>
        <v>2654.8585142428606</v>
      </c>
      <c r="X32" s="1052"/>
      <c r="Y32" s="1038">
        <f>(SIN(RADIANS(AA29)))*(((HL_X-HR_X)/(HL_Z-HR_Z))*(HR_Z)-HR_X)</f>
        <v>832.16398485565549</v>
      </c>
      <c r="Z32" s="1039"/>
      <c r="AA32" s="1039">
        <f>SIN(RADIANS(AA29))*(((HL_X-HR_X)/(HL_Z-HR_Z))*(-SPG_Z+HR_Z)-HR_X+SPG_X)</f>
        <v>5068.1291232624053</v>
      </c>
      <c r="AB32" s="1052"/>
      <c r="AC32" s="1038">
        <f>(SIN(RADIANS(AE29)))*(((HR_Z-VR_Z)/(HR_X-VR_X))*(-VR_X)+VR_Z)</f>
        <v>2598.140025222212</v>
      </c>
      <c r="AD32" s="1039"/>
      <c r="AE32" s="1039">
        <f>SIN(RADIANS(AE29))*(((HR_Z-VR_Z)/(HR_X-VR_X))*(SPG_X-VR_X)+VR_Z-SPG_Z)</f>
        <v>2634.1734449160763</v>
      </c>
      <c r="AF32" s="1052"/>
      <c r="AG32" s="1038">
        <f>(SIN(RADIANS(AI29)))*(((VR_X-VL_X)/(VR_Z-VL_Z))*(-VL_Z)+VL_X)</f>
        <v>6183.1314163678471</v>
      </c>
      <c r="AH32" s="1039"/>
      <c r="AI32" s="1039">
        <f>SIN(RADIANS(AI29))*(((VR_X-VL_X)/(VR_Z-VL_Z))*(SPG_Z-VL_Z)+VL_X-SPG_X)</f>
        <v>1944.0230375792762</v>
      </c>
      <c r="AJ32" s="1052"/>
      <c r="AL32" s="6"/>
      <c r="AM32" s="6"/>
      <c r="AN32" s="6"/>
      <c r="AO32" s="6"/>
      <c r="AP32"/>
      <c r="AQ32"/>
      <c r="AR32"/>
      <c r="AS32"/>
    </row>
    <row r="33" spans="1:47" x14ac:dyDescent="0.2">
      <c r="A33" s="1"/>
      <c r="C33"/>
      <c r="D33"/>
      <c r="T33" s="134"/>
      <c r="U33" s="99"/>
      <c r="V33" s="99"/>
      <c r="W33" s="99"/>
      <c r="X33" s="130"/>
      <c r="Y33" s="99"/>
      <c r="Z33" s="99"/>
      <c r="AA33" s="99"/>
      <c r="AB33" s="130"/>
      <c r="AC33" s="99"/>
      <c r="AD33" s="99"/>
      <c r="AE33" s="99"/>
      <c r="AF33" s="130"/>
      <c r="AG33" s="99"/>
      <c r="AH33" s="99"/>
      <c r="AI33" s="99"/>
      <c r="AJ33" s="138"/>
      <c r="AL33" s="6"/>
      <c r="AM33" s="6"/>
      <c r="AN33" s="6"/>
      <c r="AO33" s="6"/>
      <c r="AP33"/>
      <c r="AQ33"/>
      <c r="AR33"/>
      <c r="AS33"/>
    </row>
    <row r="34" spans="1:47" s="65" customFormat="1" ht="15" customHeight="1" thickBot="1" x14ac:dyDescent="0.3">
      <c r="A34" s="1020" t="s">
        <v>159</v>
      </c>
      <c r="B34" s="1020"/>
      <c r="D34" s="66"/>
      <c r="E34" s="66"/>
      <c r="F34" s="66"/>
      <c r="G34" s="66"/>
      <c r="H34"/>
      <c r="I34" s="66"/>
      <c r="J34" s="126"/>
      <c r="P34" s="20">
        <f>MAX(P39:P400)</f>
        <v>266.67427200306219</v>
      </c>
      <c r="Q34" s="127"/>
      <c r="T34" s="135"/>
      <c r="U34" s="100"/>
      <c r="V34" s="100"/>
      <c r="W34" s="100"/>
      <c r="X34" s="131"/>
      <c r="Y34" s="100"/>
      <c r="Z34" s="100"/>
      <c r="AA34" s="100"/>
      <c r="AB34" s="131"/>
      <c r="AC34" s="100"/>
      <c r="AD34" s="100"/>
      <c r="AE34" s="100"/>
      <c r="AF34" s="131"/>
      <c r="AG34" s="100"/>
      <c r="AH34" s="100"/>
      <c r="AI34" s="100"/>
      <c r="AJ34" s="131"/>
      <c r="AL34" s="94"/>
      <c r="AM34" s="94"/>
      <c r="AN34" s="94"/>
      <c r="AO34" s="94"/>
    </row>
    <row r="35" spans="1:47" s="65" customFormat="1" ht="15" customHeight="1" thickBot="1" x14ac:dyDescent="0.25">
      <c r="A35" s="1031" t="s">
        <v>173</v>
      </c>
      <c r="B35" s="1032"/>
      <c r="C35" s="1021" t="s">
        <v>183</v>
      </c>
      <c r="D35" s="1033" t="s">
        <v>182</v>
      </c>
      <c r="E35" s="1033"/>
      <c r="F35" s="1033"/>
      <c r="G35" s="1033"/>
      <c r="H35" s="1033"/>
      <c r="I35" s="1035" t="s">
        <v>277</v>
      </c>
      <c r="J35" s="1037" t="s">
        <v>161</v>
      </c>
      <c r="K35" s="1037"/>
      <c r="L35" s="1037"/>
      <c r="M35" s="1037"/>
      <c r="N35" s="1021" t="s">
        <v>184</v>
      </c>
      <c r="O35" s="1021" t="s">
        <v>185</v>
      </c>
      <c r="P35" s="1021" t="s">
        <v>186</v>
      </c>
      <c r="Q35" s="1023" t="s">
        <v>166</v>
      </c>
      <c r="R35" s="1024"/>
      <c r="S35" s="1024"/>
      <c r="T35" s="1025"/>
      <c r="U35" s="1028" t="s">
        <v>51</v>
      </c>
      <c r="V35" s="1029"/>
      <c r="W35" s="1029"/>
      <c r="X35" s="1030"/>
      <c r="Y35" s="1028" t="s">
        <v>52</v>
      </c>
      <c r="Z35" s="1029"/>
      <c r="AA35" s="1029"/>
      <c r="AB35" s="1030"/>
      <c r="AC35" s="1028" t="s">
        <v>53</v>
      </c>
      <c r="AD35" s="1029"/>
      <c r="AE35" s="1029"/>
      <c r="AF35" s="1030"/>
      <c r="AG35" s="1028" t="s">
        <v>54</v>
      </c>
      <c r="AH35" s="1029"/>
      <c r="AI35" s="1029"/>
      <c r="AJ35" s="1030"/>
      <c r="AK35" s="69"/>
      <c r="AL35" s="1028" t="s">
        <v>274</v>
      </c>
      <c r="AM35" s="1029"/>
      <c r="AN35" s="1029"/>
      <c r="AO35" s="1030"/>
      <c r="AP35" s="70"/>
      <c r="AQ35" s="1028" t="s">
        <v>287</v>
      </c>
      <c r="AR35" s="1029"/>
      <c r="AS35" s="1029"/>
      <c r="AT35" s="1029"/>
      <c r="AU35" s="1030"/>
    </row>
    <row r="36" spans="1:47" s="65" customFormat="1" ht="15" customHeight="1" x14ac:dyDescent="0.2">
      <c r="A36" s="71" t="s">
        <v>50</v>
      </c>
      <c r="B36" s="72" t="s">
        <v>1</v>
      </c>
      <c r="C36" s="1034"/>
      <c r="D36" s="73" t="s">
        <v>167</v>
      </c>
      <c r="E36" s="74" t="s">
        <v>168</v>
      </c>
      <c r="F36" s="74" t="s">
        <v>169</v>
      </c>
      <c r="G36" s="74" t="s">
        <v>170</v>
      </c>
      <c r="H36" s="72" t="s">
        <v>61</v>
      </c>
      <c r="I36" s="1036"/>
      <c r="J36" s="67" t="s">
        <v>162</v>
      </c>
      <c r="K36" s="71" t="s">
        <v>163</v>
      </c>
      <c r="L36" s="71" t="s">
        <v>171</v>
      </c>
      <c r="M36" s="68" t="s">
        <v>172</v>
      </c>
      <c r="N36" s="1022"/>
      <c r="O36" s="1022"/>
      <c r="P36" s="1022"/>
      <c r="Q36" s="71" t="s">
        <v>278</v>
      </c>
      <c r="R36" s="67" t="s">
        <v>181</v>
      </c>
      <c r="S36" s="71" t="s">
        <v>165</v>
      </c>
      <c r="T36" s="89" t="s">
        <v>58</v>
      </c>
      <c r="U36" s="92" t="s">
        <v>273</v>
      </c>
      <c r="V36" s="91" t="s">
        <v>256</v>
      </c>
      <c r="W36" s="91" t="s">
        <v>257</v>
      </c>
      <c r="X36" s="93" t="s">
        <v>266</v>
      </c>
      <c r="Y36" s="92" t="s">
        <v>272</v>
      </c>
      <c r="Z36" s="91" t="s">
        <v>255</v>
      </c>
      <c r="AA36" s="91" t="s">
        <v>258</v>
      </c>
      <c r="AB36" s="93" t="s">
        <v>265</v>
      </c>
      <c r="AC36" s="92" t="s">
        <v>271</v>
      </c>
      <c r="AD36" s="91" t="s">
        <v>253</v>
      </c>
      <c r="AE36" s="91" t="s">
        <v>259</v>
      </c>
      <c r="AF36" s="93" t="s">
        <v>264</v>
      </c>
      <c r="AG36" s="92" t="s">
        <v>267</v>
      </c>
      <c r="AH36" s="91" t="s">
        <v>254</v>
      </c>
      <c r="AI36" s="91" t="s">
        <v>260</v>
      </c>
      <c r="AJ36" s="136" t="s">
        <v>262</v>
      </c>
      <c r="AL36" s="94" t="s">
        <v>244</v>
      </c>
      <c r="AM36" s="94" t="s">
        <v>245</v>
      </c>
      <c r="AN36" s="94" t="s">
        <v>246</v>
      </c>
      <c r="AO36" s="94" t="s">
        <v>263</v>
      </c>
      <c r="AQ36" s="94" t="s">
        <v>297</v>
      </c>
      <c r="AR36" s="94" t="s">
        <v>298</v>
      </c>
      <c r="AS36" s="94" t="s">
        <v>288</v>
      </c>
      <c r="AT36" s="94" t="s">
        <v>289</v>
      </c>
      <c r="AU36" s="94" t="s">
        <v>296</v>
      </c>
    </row>
    <row r="37" spans="1:47" s="3" customFormat="1" ht="13.5" x14ac:dyDescent="0.25">
      <c r="A37" s="59" t="s">
        <v>76</v>
      </c>
      <c r="B37" s="60"/>
      <c r="C37" s="63"/>
      <c r="D37" s="60"/>
      <c r="E37" s="60"/>
      <c r="F37" s="60"/>
      <c r="G37" s="60"/>
      <c r="H37" s="60"/>
      <c r="I37" s="64"/>
      <c r="J37" s="22"/>
      <c r="K37" s="22"/>
      <c r="L37" s="22"/>
      <c r="M37" s="22"/>
      <c r="N37" s="62"/>
      <c r="O37" s="62"/>
      <c r="P37" s="62"/>
      <c r="Q37" s="62"/>
      <c r="R37" s="61"/>
      <c r="S37" s="61">
        <f>Geraetedaten!B175</f>
        <v>41.1</v>
      </c>
      <c r="T37" s="87">
        <f>Geraetedaten!B175</f>
        <v>41.1</v>
      </c>
      <c r="U37" s="119" t="s">
        <v>75</v>
      </c>
      <c r="V37" s="120" t="s">
        <v>28</v>
      </c>
      <c r="W37" s="120" t="s">
        <v>28</v>
      </c>
      <c r="X37" s="128" t="s">
        <v>28</v>
      </c>
      <c r="Y37" s="129" t="s">
        <v>75</v>
      </c>
      <c r="Z37" s="120" t="s">
        <v>28</v>
      </c>
      <c r="AA37" s="120" t="s">
        <v>28</v>
      </c>
      <c r="AB37" s="128" t="s">
        <v>28</v>
      </c>
      <c r="AC37" s="129" t="s">
        <v>75</v>
      </c>
      <c r="AD37" s="120" t="s">
        <v>28</v>
      </c>
      <c r="AE37" s="120" t="s">
        <v>28</v>
      </c>
      <c r="AF37" s="128" t="s">
        <v>28</v>
      </c>
      <c r="AG37" s="129" t="s">
        <v>75</v>
      </c>
      <c r="AH37" s="120" t="s">
        <v>28</v>
      </c>
      <c r="AI37" s="120" t="s">
        <v>28</v>
      </c>
      <c r="AJ37" s="137" t="s">
        <v>28</v>
      </c>
      <c r="AK37" s="121"/>
      <c r="AL37" s="122" t="s">
        <v>28</v>
      </c>
      <c r="AM37" s="122" t="s">
        <v>28</v>
      </c>
      <c r="AN37" s="122" t="s">
        <v>28</v>
      </c>
      <c r="AO37" s="122" t="s">
        <v>28</v>
      </c>
      <c r="AP37" s="121"/>
      <c r="AQ37" s="122" t="s">
        <v>299</v>
      </c>
      <c r="AR37" s="122" t="s">
        <v>299</v>
      </c>
      <c r="AS37" s="122" t="s">
        <v>300</v>
      </c>
      <c r="AT37" s="122" t="s">
        <v>300</v>
      </c>
      <c r="AU37" s="122" t="s">
        <v>75</v>
      </c>
    </row>
    <row r="38" spans="1:47" s="3" customFormat="1" ht="13.5" x14ac:dyDescent="0.25">
      <c r="A38" s="59" t="s">
        <v>76</v>
      </c>
      <c r="B38" s="60"/>
      <c r="C38" s="22"/>
      <c r="D38" s="60"/>
      <c r="E38" s="60"/>
      <c r="F38" s="60"/>
      <c r="G38" s="60"/>
      <c r="H38" s="60"/>
      <c r="I38" s="60"/>
      <c r="J38" s="22"/>
      <c r="K38" s="22"/>
      <c r="L38" s="22"/>
      <c r="M38" s="22"/>
      <c r="N38" s="61"/>
      <c r="O38" s="61"/>
      <c r="P38" s="22"/>
      <c r="Q38" s="22"/>
      <c r="R38" s="61"/>
      <c r="S38" s="61">
        <f>Geraetedaten!B175</f>
        <v>41.1</v>
      </c>
      <c r="T38" s="87">
        <f>Geraetedaten!B175*(-1)</f>
        <v>-41.1</v>
      </c>
      <c r="U38" s="86"/>
      <c r="V38" s="85"/>
      <c r="W38" s="85"/>
      <c r="X38" s="90"/>
      <c r="Y38" s="86"/>
      <c r="Z38" s="85"/>
      <c r="AA38" s="85"/>
      <c r="AB38" s="90"/>
      <c r="AC38" s="86"/>
      <c r="AD38" s="85"/>
      <c r="AE38" s="85"/>
      <c r="AF38" s="90"/>
      <c r="AG38" s="86"/>
      <c r="AH38" s="85"/>
      <c r="AI38" s="85"/>
      <c r="AJ38" s="90"/>
      <c r="AL38" s="55"/>
      <c r="AM38" s="55"/>
      <c r="AN38" s="55"/>
      <c r="AO38" s="55"/>
    </row>
    <row r="39" spans="1:47" ht="13.5" x14ac:dyDescent="0.25">
      <c r="A39" s="16">
        <v>0</v>
      </c>
      <c r="B39" s="16">
        <f t="shared" ref="B39:B102" si="0">360-A39+90</f>
        <v>450</v>
      </c>
      <c r="C39" s="19">
        <f t="shared" ref="C39:C102" si="1">$AE$16*ABS(COS(RADIANS(A39)))+$AE$17*ABS(SIN(RADIANS(A39)))+AU39</f>
        <v>29.946840000000002</v>
      </c>
      <c r="D39" s="17">
        <f t="shared" ref="D39:D102" si="2">IF(ISNUMBER(U39),U39-C39,"unendlich")</f>
        <v>-6172159.4933799999</v>
      </c>
      <c r="E39" s="17">
        <f t="shared" ref="E39:E102" si="3">IF(ISNUMBER(Y39),Y39-C39,"unendlich")</f>
        <v>-8622.9548800000011</v>
      </c>
      <c r="F39" s="17">
        <f t="shared" ref="F39:F102" si="4">IF(ISNUMBER(AC39),AC39-C39,"unendlich")</f>
        <v>-9381644.0391799994</v>
      </c>
      <c r="G39" s="17">
        <f t="shared" ref="G39:G102" si="5">IF(ISNUMBER(AG39),AG39-C39,"unendlich")</f>
        <v>9012.7273299999997</v>
      </c>
      <c r="H39" s="17">
        <f>SMALL(($U39,$Y39,$AC39,$AG39),COUNTIF(D39:G39,"&lt;0")+1)-C39</f>
        <v>9012.7273299999997</v>
      </c>
      <c r="I39" s="17">
        <f t="shared" ref="I39:I102" si="6">IF(H39+C39=U39,W39,IF(H39+C39=Y39,AA39,IF(H39+C39=AC39,AE39,IF(H39+C39=AG39,AI39,"???"))))</f>
        <v>6183.4298535663675</v>
      </c>
      <c r="J39" s="20">
        <f>(Geraetedaten!$B$152+(Geraetedaten!$B$153*(Geraetedaten!$B$18+d_y_Sw)/1000))*10</f>
        <v>6051.0442000000003</v>
      </c>
      <c r="K39" s="20">
        <f>(Geraetedaten!$B$165+(Geraetedaten!$B$166*(Geraetedaten!$B$18+d_y_Sw)/1000))*10</f>
        <v>10816.164000000001</v>
      </c>
      <c r="L39" s="20">
        <f>(Geraetedaten!$B$158+(Geraetedaten!$B$159*(Geraetedaten!$B$18+d_y_Sw)/1000)-(Geraetedaten!$B$160*I39/1000))*10</f>
        <v>148.10568883797805</v>
      </c>
      <c r="M39" s="20">
        <f>(Geraetedaten!$B$171+(Geraetedaten!$B$172*(Geraetedaten!$B$18+d_y_Sw)/1000)-(Geraetedaten!$B$173*I39/1000))*10</f>
        <v>604.57248170052037</v>
      </c>
      <c r="N39" s="20">
        <f>IF((H39-J39)/(K39-J39)*(Geraetedaten!$B$174-Geraetedaten!$B$161)&lt;Geraetedaten!$B$174,(H39-J39)/(K39-J39)*(Geraetedaten!$B$174-Geraetedaten!$B$161),Geraetedaten!$B$174)</f>
        <v>248.61352950664531</v>
      </c>
      <c r="O39" s="20">
        <f>N39/Geraetedaten!$B$174*(M39-L39)+L39+C39</f>
        <v>461.76208002831657</v>
      </c>
      <c r="P39" s="20">
        <f t="shared" ref="P39:P102" si="7">O39*100/9.81/(Q39-(I39/1000))</f>
        <v>154.7720478487619</v>
      </c>
      <c r="Q39" s="21">
        <f>(N39-Geraetedaten!$B$161)/(Geraetedaten!$B$174-Geraetedaten!$B$161)*(Geraetedaten!$B$175-Geraetedaten!$B$162)+Geraetedaten!$B$162</f>
        <v>36.596252502822701</v>
      </c>
      <c r="R39" s="21">
        <f t="shared" ref="R39:R70" si="8">SQRT((r_K_D/1000)^2+Q39^2-(2*(r_K_D/1000)*Q39*COS(RADIANS(2*A39))))</f>
        <v>36.596252502822701</v>
      </c>
      <c r="S39" s="21">
        <f t="shared" ref="S39:S70" si="9">R39*SIN(A39*Const_2)</f>
        <v>0</v>
      </c>
      <c r="T39" s="88">
        <f t="shared" ref="T39:T70" si="10">R39*COS(A39*Const_2)</f>
        <v>36.596252502822701</v>
      </c>
      <c r="U39" s="86">
        <f t="shared" ref="U39:U70" si="11">ROUND((F_S*r_Su_L-F_G*V39+F_SSw*X39)/(SIN(RADIANS(270+g_L-A39)))/1000,5)</f>
        <v>-6172129.5465399995</v>
      </c>
      <c r="V39" s="85">
        <f t="shared" ref="V39:V70" si="12">(SIN(RADIANS(g_L)))*(((VL_Z-HL_Z)/(VL_X-HL_X))*(-HL_X+AM39)+HL_Z-AL39)</f>
        <v>-2683.3128092763232</v>
      </c>
      <c r="W39" s="85">
        <f t="shared" ref="W39:W70" si="13">V39/(SIN(RADIANS(180-g_L-(90-$A39))))</f>
        <v>-2471153.6666668658</v>
      </c>
      <c r="X39" s="90">
        <f t="shared" ref="X39:X70" si="14">SIN(RADIANS(g_L))*(((VL_Z-HL_Z)/(VL_X-HL_X))*(-AO39+HL_X)-HL_Z+AN39)</f>
        <v>2683.3128092763232</v>
      </c>
      <c r="Y39" s="86">
        <f t="shared" ref="Y39:Y70" si="15">ROUND((F_S*r_Su_H-F_G*Z39+F_SSw*AB39)/(SIN(RADIANS(180+g_H-A39)))/1000,5)</f>
        <v>-8593.0080400000006</v>
      </c>
      <c r="Z39" s="85">
        <f t="shared" ref="Z39:Z70" si="16">(SIN(RADIANS(g_H)))*(((HL_X-HR_X)/(HL_Z-HR_Z))*(-HR_Z+AL39)+HR_X-AM39)</f>
        <v>-832.16398485565549</v>
      </c>
      <c r="AA39" s="85">
        <f t="shared" ref="AA39:AA70" si="17">Z39/(SIN(RADIANS(g_H-$A39)))</f>
        <v>-832.55800189393938</v>
      </c>
      <c r="AB39" s="90">
        <f t="shared" ref="AB39:AB70" si="18">SIN(RADIANS(g_H))*(((HL_X-HR_X)/(HL_Z-HR_Z))*(-AN39+HR_Z)-HR_X+AO39)</f>
        <v>832.16398485565549</v>
      </c>
      <c r="AC39" s="86">
        <f t="shared" ref="AC39:AC70" si="19">ROUND((F_S*r_Su_R+F_G*AD39+F_SSw*AF39)/(SIN(RADIANS(90+g_R-A39)))/1000,5)</f>
        <v>-9381614.09234</v>
      </c>
      <c r="AD39" s="85">
        <f t="shared" ref="AD39:AD70" si="20">(SIN(RADIANS(g_R)))*(((HR_Z-VR_Z)/(HR_X-VR_X))*(-VR_X+AM39)+VR_Z-AL39)</f>
        <v>2598.140025222212</v>
      </c>
      <c r="AE39" s="85">
        <f t="shared" ref="AE39:AE70" si="21">AD39/(SIN(RADIANS(180-g_R-(90-$A39))))</f>
        <v>-3700531.7500001192</v>
      </c>
      <c r="AF39" s="90">
        <f t="shared" ref="AF39:AF70" si="22">(SIN(RADIANS(g_R)))*(((HR_Z-VR_Z)/(HR_X-VR_X))*(-VR_X+AO39)+VR_Z-AN39)</f>
        <v>2598.140025222212</v>
      </c>
      <c r="AG39" s="86">
        <f t="shared" ref="AG39:AG70" si="23">ROUND((F_S*r_Su_V+F_G*AH39+F_SSw*AJ39)/(SIN(RADIANS(g_V-A39)))/1000,5)</f>
        <v>9042.6741700000002</v>
      </c>
      <c r="AH39" s="85">
        <f t="shared" ref="AH39:AH70" si="24">(SIN(RADIANS(g_V)))*(((VR_X-VL_X)/(VR_Z-VL_Z))*(AL39-VL_Z)+VL_X-AM39)</f>
        <v>6183.1314163678471</v>
      </c>
      <c r="AI39" s="85">
        <f t="shared" ref="AI39:AI70" si="25">AH39/(SIN(RADIANS(g_V-$A39)))</f>
        <v>6183.4298535663675</v>
      </c>
      <c r="AJ39" s="90">
        <f t="shared" ref="AJ39:AJ70" si="26">(SIN(RADIANS(g_V)))*(((VR_X-VL_X)/(VR_Z-VL_Z))*(-VL_Z+AN39)+VL_X-AO39)</f>
        <v>6183.1314163678471</v>
      </c>
      <c r="AL39" s="95">
        <f t="shared" ref="AL39:AL70" si="27">SIN(RADIANS(A39))*r_K_D</f>
        <v>0</v>
      </c>
      <c r="AM39" s="95">
        <f t="shared" ref="AM39:AM70" si="28">COS(RADIANS(A39-180))*r_K_D</f>
        <v>0</v>
      </c>
      <c r="AN39" s="95">
        <f t="shared" ref="AN39:AN70" si="29">SIN(RADIANS(A39))*r_K_SSw</f>
        <v>0</v>
      </c>
      <c r="AO39" s="95">
        <f t="shared" ref="AO39:AO70" si="30">-COS(RADIANS(A39))*r_K_SSw</f>
        <v>0</v>
      </c>
      <c r="AP39"/>
      <c r="AQ39" s="95">
        <f t="shared" ref="AQ39:AQ70" si="31">MAX(d_y_Sw*(r_K_D*ABS(COS(RADIANS($A39)))+_r1_Sw+_r2_Sw), 2*_r1_Sw*d_y_Sw)/1000000</f>
        <v>0</v>
      </c>
      <c r="AR39" s="95">
        <f t="shared" ref="AR39:AR70" si="32">MAX(d_y_Sw*(r_K_D*ABS(SIN(RADIANS($A39)))+_r1_Sw+_r2_Sw), 2*_r1_Sw*d_y_Sw)/1000000</f>
        <v>0</v>
      </c>
      <c r="AS39" s="95">
        <f>Geraetedaten!$B$94*ABS(SIN(RADIANS($A39)))</f>
        <v>0</v>
      </c>
      <c r="AT39" s="95">
        <f>Geraetedaten!$B$94*ABS(COS(RADIANS($A39)))</f>
        <v>154</v>
      </c>
      <c r="AU39" s="95">
        <f>((h_Aw_Sw+Geraetedaten!$B$18)/1000)*(AQ39*AS39+AR39*AT39)/100</f>
        <v>0</v>
      </c>
    </row>
    <row r="40" spans="1:47" ht="13.5" x14ac:dyDescent="0.25">
      <c r="A40" s="16">
        <v>1</v>
      </c>
      <c r="B40" s="16">
        <f t="shared" si="0"/>
        <v>449</v>
      </c>
      <c r="C40" s="19">
        <f t="shared" si="1"/>
        <v>31.051346220734363</v>
      </c>
      <c r="D40" s="17">
        <f t="shared" si="2"/>
        <v>-361558.86414622073</v>
      </c>
      <c r="E40" s="17">
        <f t="shared" si="3"/>
        <v>-8620.7539062207343</v>
      </c>
      <c r="F40" s="17">
        <f t="shared" si="4"/>
        <v>393202.47906377929</v>
      </c>
      <c r="G40" s="17">
        <f t="shared" si="5"/>
        <v>9014.5516037792659</v>
      </c>
      <c r="H40" s="17">
        <f t="shared" ref="H40:H103" si="33">SMALL(D40:G40,COUNTIF(D40:G40,"&lt;0")+1)</f>
        <v>9014.5516037792659</v>
      </c>
      <c r="I40" s="17">
        <f t="shared" si="6"/>
        <v>6185.4325645886411</v>
      </c>
      <c r="J40" s="20">
        <f>(Geraetedaten!$B$152+(Geraetedaten!$B$153*(Geraetedaten!$B$18+d_y_Sw)/1000))*10</f>
        <v>6051.0442000000003</v>
      </c>
      <c r="K40" s="20">
        <f>(Geraetedaten!$B$165+(Geraetedaten!$B$166*(Geraetedaten!$B$18+d_y_Sw)/1000))*10</f>
        <v>10816.164000000001</v>
      </c>
      <c r="L40" s="20">
        <f>(Geraetedaten!$B$158+(Geraetedaten!$B$159*(Geraetedaten!$B$18+d_y_Sw)/1000)-(Geraetedaten!$B$160*I40/1000))*10</f>
        <v>147.95883003871481</v>
      </c>
      <c r="M40" s="20">
        <f>(Geraetedaten!$B$171+(Geraetedaten!$B$172*(Geraetedaten!$B$18+d_y_Sw)/1000)-(Geraetedaten!$B$173*I40/1000))*10</f>
        <v>604.4233998920223</v>
      </c>
      <c r="N40" s="20">
        <f>IF((H40-J40)/(K40-J40)*(Geraetedaten!$B$174-Geraetedaten!$B$161)&lt;Geraetedaten!$B$174,(H40-J40)/(K40-J40)*(Geraetedaten!$B$174-Geraetedaten!$B$161),Geraetedaten!$B$174)</f>
        <v>248.76666511337368</v>
      </c>
      <c r="O40" s="20">
        <f>N40/Geraetedaten!$B$174*(M40-L40)+L40+C40</f>
        <v>462.89309822149397</v>
      </c>
      <c r="P40" s="20">
        <f t="shared" si="7"/>
        <v>155.1381157601117</v>
      </c>
      <c r="Q40" s="21">
        <f>(N40-Geraetedaten!$B$161)/(Geraetedaten!$B$174-Geraetedaten!$B$161)*(Geraetedaten!$B$175-Geraetedaten!$B$162)+Geraetedaten!$B$162</f>
        <v>36.600808287122867</v>
      </c>
      <c r="R40" s="21">
        <f t="shared" si="8"/>
        <v>36.600808287122867</v>
      </c>
      <c r="S40" s="21">
        <f t="shared" si="9"/>
        <v>0.63877218215996279</v>
      </c>
      <c r="T40" s="88">
        <f t="shared" si="10"/>
        <v>36.595233806740744</v>
      </c>
      <c r="U40" s="86">
        <f t="shared" si="11"/>
        <v>-361527.81280000001</v>
      </c>
      <c r="V40" s="85">
        <f t="shared" si="12"/>
        <v>-2683.3128092763232</v>
      </c>
      <c r="W40" s="85">
        <f t="shared" si="13"/>
        <v>-144745.95412653871</v>
      </c>
      <c r="X40" s="90">
        <f t="shared" si="14"/>
        <v>2683.3128092763232</v>
      </c>
      <c r="Y40" s="86">
        <f t="shared" si="15"/>
        <v>-8589.7025599999997</v>
      </c>
      <c r="Z40" s="85">
        <f t="shared" si="16"/>
        <v>-832.16398485565549</v>
      </c>
      <c r="AA40" s="85">
        <f t="shared" si="17"/>
        <v>-832.23774065964744</v>
      </c>
      <c r="AB40" s="90">
        <f t="shared" si="18"/>
        <v>832.16398485565549</v>
      </c>
      <c r="AC40" s="86">
        <f t="shared" si="19"/>
        <v>393233.53041000001</v>
      </c>
      <c r="AD40" s="85">
        <f t="shared" si="20"/>
        <v>2598.140025222212</v>
      </c>
      <c r="AE40" s="85">
        <f t="shared" si="21"/>
        <v>155109.04095129404</v>
      </c>
      <c r="AF40" s="90">
        <f t="shared" si="22"/>
        <v>2598.140025222212</v>
      </c>
      <c r="AG40" s="86">
        <f t="shared" si="23"/>
        <v>9045.6029500000004</v>
      </c>
      <c r="AH40" s="85">
        <f t="shared" si="24"/>
        <v>6183.1314163678471</v>
      </c>
      <c r="AI40" s="85">
        <f t="shared" si="25"/>
        <v>6185.4325645886411</v>
      </c>
      <c r="AJ40" s="90">
        <f t="shared" si="26"/>
        <v>6183.1314163678471</v>
      </c>
      <c r="AL40" s="95">
        <f t="shared" si="27"/>
        <v>0</v>
      </c>
      <c r="AM40" s="95">
        <f t="shared" si="28"/>
        <v>0</v>
      </c>
      <c r="AN40" s="95">
        <f t="shared" si="29"/>
        <v>0</v>
      </c>
      <c r="AO40" s="95">
        <f t="shared" si="30"/>
        <v>0</v>
      </c>
      <c r="AP40"/>
      <c r="AQ40" s="95">
        <f t="shared" si="31"/>
        <v>0</v>
      </c>
      <c r="AR40" s="95">
        <f t="shared" si="32"/>
        <v>0</v>
      </c>
      <c r="AS40" s="95">
        <f>Geraetedaten!$B$94*ABS(SIN(RADIANS($A40)))</f>
        <v>2.6876705913416608</v>
      </c>
      <c r="AT40" s="95">
        <f>Geraetedaten!$B$94*ABS(COS(RADIANS($A40)))</f>
        <v>153.97654505408426</v>
      </c>
      <c r="AU40" s="95">
        <f>((h_Aw_Sw+Geraetedaten!$B$18)/1000)*(AQ40*AS40+AR40*AT40)/100</f>
        <v>0</v>
      </c>
    </row>
    <row r="41" spans="1:47" ht="13.5" x14ac:dyDescent="0.25">
      <c r="A41" s="16">
        <v>2</v>
      </c>
      <c r="B41" s="16">
        <f t="shared" si="0"/>
        <v>448</v>
      </c>
      <c r="C41" s="19">
        <f t="shared" si="1"/>
        <v>32.146393900608743</v>
      </c>
      <c r="D41" s="17">
        <f t="shared" si="2"/>
        <v>-186279.05489390061</v>
      </c>
      <c r="E41" s="17">
        <f t="shared" si="3"/>
        <v>-8621.1613039006079</v>
      </c>
      <c r="F41" s="17">
        <f t="shared" si="4"/>
        <v>192577.30890609938</v>
      </c>
      <c r="G41" s="17">
        <f t="shared" si="5"/>
        <v>9019.1452260993919</v>
      </c>
      <c r="H41" s="17">
        <f t="shared" si="33"/>
        <v>9019.1452260993919</v>
      </c>
      <c r="I41" s="17">
        <f t="shared" si="6"/>
        <v>6189.3225117401716</v>
      </c>
      <c r="J41" s="20">
        <f>(Geraetedaten!$B$152+(Geraetedaten!$B$153*(Geraetedaten!$B$18+d_y_Sw)/1000))*10</f>
        <v>6051.0442000000003</v>
      </c>
      <c r="K41" s="20">
        <f>(Geraetedaten!$B$165+(Geraetedaten!$B$166*(Geraetedaten!$B$18+d_y_Sw)/1000))*10</f>
        <v>10816.164000000001</v>
      </c>
      <c r="L41" s="20">
        <f>(Geraetedaten!$B$158+(Geraetedaten!$B$159*(Geraetedaten!$B$18+d_y_Sw)/1000)-(Geraetedaten!$B$160*I41/1000))*10</f>
        <v>147.67358021409308</v>
      </c>
      <c r="M41" s="20">
        <f>(Geraetedaten!$B$171+(Geraetedaten!$B$172*(Geraetedaten!$B$18+d_y_Sw)/1000)-(Geraetedaten!$B$173*I41/1000))*10</f>
        <v>604.1338322260624</v>
      </c>
      <c r="N41" s="20">
        <f>IF((H41-J41)/(K41-J41)*(Geraetedaten!$B$174-Geraetedaten!$B$161)&lt;Geraetedaten!$B$174,(H41-J41)/(K41-J41)*(Geraetedaten!$B$174-Geraetedaten!$B$161),Geraetedaten!$B$174)</f>
        <v>249.1522690446852</v>
      </c>
      <c r="O41" s="20">
        <f>N41/Geraetedaten!$B$174*(M41-L41)+L41+C41</f>
        <v>464.14024290842929</v>
      </c>
      <c r="P41" s="20">
        <f t="shared" si="7"/>
        <v>155.517328473795</v>
      </c>
      <c r="Q41" s="21">
        <f>(N41-Geraetedaten!$B$161)/(Geraetedaten!$B$174-Geraetedaten!$B$161)*(Geraetedaten!$B$175-Geraetedaten!$B$162)+Geraetedaten!$B$162</f>
        <v>36.612280004079388</v>
      </c>
      <c r="R41" s="21">
        <f t="shared" si="8"/>
        <v>36.612280004079388</v>
      </c>
      <c r="S41" s="21">
        <f t="shared" si="9"/>
        <v>1.2777501452734108</v>
      </c>
      <c r="T41" s="88">
        <f t="shared" si="10"/>
        <v>36.589976792331605</v>
      </c>
      <c r="U41" s="86">
        <f t="shared" si="11"/>
        <v>-186246.90849999999</v>
      </c>
      <c r="V41" s="85">
        <f t="shared" si="12"/>
        <v>-2683.3128092763232</v>
      </c>
      <c r="W41" s="85">
        <f t="shared" si="13"/>
        <v>-74568.222745730527</v>
      </c>
      <c r="X41" s="90">
        <f t="shared" si="14"/>
        <v>2683.3128092763232</v>
      </c>
      <c r="Y41" s="86">
        <f t="shared" si="15"/>
        <v>-8589.0149099999999</v>
      </c>
      <c r="Z41" s="85">
        <f t="shared" si="16"/>
        <v>-832.16398485565549</v>
      </c>
      <c r="AA41" s="85">
        <f t="shared" si="17"/>
        <v>-832.17111563267122</v>
      </c>
      <c r="AB41" s="90">
        <f t="shared" si="18"/>
        <v>832.16398485565549</v>
      </c>
      <c r="AC41" s="86">
        <f t="shared" si="19"/>
        <v>192609.4553</v>
      </c>
      <c r="AD41" s="85">
        <f t="shared" si="20"/>
        <v>2598.140025222212</v>
      </c>
      <c r="AE41" s="85">
        <f t="shared" si="21"/>
        <v>75973.856701409488</v>
      </c>
      <c r="AF41" s="90">
        <f t="shared" si="22"/>
        <v>2598.140025222212</v>
      </c>
      <c r="AG41" s="86">
        <f t="shared" si="23"/>
        <v>9051.29162</v>
      </c>
      <c r="AH41" s="85">
        <f t="shared" si="24"/>
        <v>6183.1314163678471</v>
      </c>
      <c r="AI41" s="85">
        <f t="shared" si="25"/>
        <v>6189.3225117401716</v>
      </c>
      <c r="AJ41" s="90">
        <f t="shared" si="26"/>
        <v>6183.1314163678471</v>
      </c>
      <c r="AL41" s="95">
        <f t="shared" si="27"/>
        <v>0</v>
      </c>
      <c r="AM41" s="95">
        <f t="shared" si="28"/>
        <v>0</v>
      </c>
      <c r="AN41" s="95">
        <f t="shared" si="29"/>
        <v>0</v>
      </c>
      <c r="AO41" s="95">
        <f t="shared" si="30"/>
        <v>0</v>
      </c>
      <c r="AP41"/>
      <c r="AQ41" s="95">
        <f t="shared" si="31"/>
        <v>0</v>
      </c>
      <c r="AR41" s="95">
        <f t="shared" si="32"/>
        <v>0</v>
      </c>
      <c r="AS41" s="95">
        <f>Geraetedaten!$B$94*ABS(SIN(RADIANS($A41)))</f>
        <v>5.3745224921851493</v>
      </c>
      <c r="AT41" s="95">
        <f>Geraetedaten!$B$94*ABS(COS(RADIANS($A41)))</f>
        <v>153.90618736094075</v>
      </c>
      <c r="AU41" s="95">
        <f>((h_Aw_Sw+Geraetedaten!$B$18)/1000)*(AQ41*AS41+AR41*AT41)/100</f>
        <v>0</v>
      </c>
    </row>
    <row r="42" spans="1:47" ht="13.5" x14ac:dyDescent="0.25">
      <c r="A42" s="16">
        <v>3</v>
      </c>
      <c r="B42" s="16">
        <f t="shared" si="0"/>
        <v>447</v>
      </c>
      <c r="C42" s="19">
        <f t="shared" si="1"/>
        <v>33.231649477491885</v>
      </c>
      <c r="D42" s="17">
        <f t="shared" si="2"/>
        <v>-125491.80084947748</v>
      </c>
      <c r="E42" s="17">
        <f t="shared" si="3"/>
        <v>-8624.1756894774917</v>
      </c>
      <c r="F42" s="17">
        <f t="shared" si="4"/>
        <v>127532.32539052251</v>
      </c>
      <c r="G42" s="17">
        <f t="shared" si="5"/>
        <v>9026.5172305225078</v>
      </c>
      <c r="H42" s="17">
        <f t="shared" si="33"/>
        <v>9026.5172305225078</v>
      </c>
      <c r="I42" s="17">
        <f t="shared" si="6"/>
        <v>6195.1056313604022</v>
      </c>
      <c r="J42" s="20">
        <f>(Geraetedaten!$B$152+(Geraetedaten!$B$153*(Geraetedaten!$B$18+d_y_Sw)/1000))*10</f>
        <v>6051.0442000000003</v>
      </c>
      <c r="K42" s="20">
        <f>(Geraetedaten!$B$165+(Geraetedaten!$B$166*(Geraetedaten!$B$18+d_y_Sw)/1000))*10</f>
        <v>10816.164000000001</v>
      </c>
      <c r="L42" s="20">
        <f>(Geraetedaten!$B$158+(Geraetedaten!$B$159*(Geraetedaten!$B$18+d_y_Sw)/1000)-(Geraetedaten!$B$160*I42/1000))*10</f>
        <v>147.24950405234159</v>
      </c>
      <c r="M42" s="20">
        <f>(Geraetedaten!$B$171+(Geraetedaten!$B$172*(Geraetedaten!$B$18+d_y_Sw)/1000)-(Geraetedaten!$B$173*I42/1000))*10</f>
        <v>603.70333680153249</v>
      </c>
      <c r="N42" s="20">
        <f>IF((H42-J42)/(K42-J42)*(Geraetedaten!$B$174-Geraetedaten!$B$161)&lt;Geraetedaten!$B$174,(H42-J42)/(K42-J42)*(Geraetedaten!$B$174-Geraetedaten!$B$161),Geraetedaten!$B$174)</f>
        <v>249.77109960782161</v>
      </c>
      <c r="O42" s="20">
        <f>N42/Geraetedaten!$B$174*(M42-L42)+L42+C42</f>
        <v>465.50359284475871</v>
      </c>
      <c r="P42" s="20">
        <f t="shared" si="7"/>
        <v>155.90942942357324</v>
      </c>
      <c r="Q42" s="21">
        <f>(N42-Geraetedaten!$B$161)/(Geraetedaten!$B$174-Geraetedaten!$B$161)*(Geraetedaten!$B$175-Geraetedaten!$B$162)+Geraetedaten!$B$162</f>
        <v>36.630690213332691</v>
      </c>
      <c r="R42" s="21">
        <f t="shared" si="8"/>
        <v>36.630690213332691</v>
      </c>
      <c r="S42" s="21">
        <f t="shared" si="9"/>
        <v>1.9171022001538107</v>
      </c>
      <c r="T42" s="88">
        <f t="shared" si="10"/>
        <v>36.580489125479346</v>
      </c>
      <c r="U42" s="86">
        <f t="shared" si="11"/>
        <v>-125458.5692</v>
      </c>
      <c r="V42" s="85">
        <f t="shared" si="12"/>
        <v>-2683.3128092763232</v>
      </c>
      <c r="W42" s="85">
        <f t="shared" si="13"/>
        <v>-50230.216482827462</v>
      </c>
      <c r="X42" s="90">
        <f t="shared" si="14"/>
        <v>2683.3128092763232</v>
      </c>
      <c r="Y42" s="86">
        <f t="shared" si="15"/>
        <v>-8590.9440400000003</v>
      </c>
      <c r="Z42" s="85">
        <f t="shared" si="16"/>
        <v>-832.16398485565549</v>
      </c>
      <c r="AA42" s="85">
        <f t="shared" si="17"/>
        <v>-832.35802529401246</v>
      </c>
      <c r="AB42" s="90">
        <f t="shared" si="18"/>
        <v>832.16398485565549</v>
      </c>
      <c r="AC42" s="86">
        <f t="shared" si="19"/>
        <v>127565.55704</v>
      </c>
      <c r="AD42" s="85">
        <f t="shared" si="20"/>
        <v>2598.140025222212</v>
      </c>
      <c r="AE42" s="85">
        <f t="shared" si="21"/>
        <v>50317.609462295608</v>
      </c>
      <c r="AF42" s="90">
        <f t="shared" si="22"/>
        <v>2598.140025222212</v>
      </c>
      <c r="AG42" s="86">
        <f t="shared" si="23"/>
        <v>9059.7488799999992</v>
      </c>
      <c r="AH42" s="85">
        <f t="shared" si="24"/>
        <v>6183.1314163678471</v>
      </c>
      <c r="AI42" s="85">
        <f t="shared" si="25"/>
        <v>6195.1056313604022</v>
      </c>
      <c r="AJ42" s="90">
        <f t="shared" si="26"/>
        <v>6183.1314163678471</v>
      </c>
      <c r="AL42" s="95">
        <f t="shared" si="27"/>
        <v>0</v>
      </c>
      <c r="AM42" s="95">
        <f t="shared" si="28"/>
        <v>0</v>
      </c>
      <c r="AN42" s="95">
        <f t="shared" si="29"/>
        <v>0</v>
      </c>
      <c r="AO42" s="95">
        <f t="shared" si="30"/>
        <v>0</v>
      </c>
      <c r="AP42"/>
      <c r="AQ42" s="95">
        <f t="shared" si="31"/>
        <v>0</v>
      </c>
      <c r="AR42" s="95">
        <f t="shared" si="32"/>
        <v>0</v>
      </c>
      <c r="AS42" s="95">
        <f>Geraetedaten!$B$94*ABS(SIN(RADIANS($A42)))</f>
        <v>8.0597372614133498</v>
      </c>
      <c r="AT42" s="95">
        <f>Geraetedaten!$B$94*ABS(COS(RADIANS($A42)))</f>
        <v>153.78894835220436</v>
      </c>
      <c r="AU42" s="95">
        <f>((h_Aw_Sw+Geraetedaten!$B$18)/1000)*(AQ42*AS42+AR42*AT42)/100</f>
        <v>0</v>
      </c>
    </row>
    <row r="43" spans="1:47" ht="13.5" x14ac:dyDescent="0.25">
      <c r="A43" s="16">
        <v>4</v>
      </c>
      <c r="B43" s="16">
        <f t="shared" si="0"/>
        <v>446</v>
      </c>
      <c r="C43" s="19">
        <f t="shared" si="1"/>
        <v>34.306782372021964</v>
      </c>
      <c r="D43" s="17">
        <f t="shared" si="2"/>
        <v>-94642.822182372023</v>
      </c>
      <c r="E43" s="17">
        <f t="shared" si="3"/>
        <v>-8629.7996823720205</v>
      </c>
      <c r="F43" s="17">
        <f t="shared" si="4"/>
        <v>95349.387417627979</v>
      </c>
      <c r="G43" s="17">
        <f t="shared" si="5"/>
        <v>9036.6808676279779</v>
      </c>
      <c r="H43" s="17">
        <f t="shared" si="33"/>
        <v>9036.6808676279779</v>
      </c>
      <c r="I43" s="17">
        <f t="shared" si="6"/>
        <v>6202.7907654729224</v>
      </c>
      <c r="J43" s="20">
        <f>(Geraetedaten!$B$152+(Geraetedaten!$B$153*(Geraetedaten!$B$18+d_y_Sw)/1000))*10</f>
        <v>6051.0442000000003</v>
      </c>
      <c r="K43" s="20">
        <f>(Geraetedaten!$B$165+(Geraetedaten!$B$166*(Geraetedaten!$B$18+d_y_Sw)/1000))*10</f>
        <v>10816.164000000001</v>
      </c>
      <c r="L43" s="20">
        <f>(Geraetedaten!$B$158+(Geraetedaten!$B$159*(Geraetedaten!$B$18+d_y_Sw)/1000)-(Geraetedaten!$B$160*I43/1000))*10</f>
        <v>146.68595316787048</v>
      </c>
      <c r="M43" s="20">
        <f>(Geraetedaten!$B$171+(Geraetedaten!$B$172*(Geraetedaten!$B$18+d_y_Sw)/1000)-(Geraetedaten!$B$173*I43/1000))*10</f>
        <v>603.13125541819647</v>
      </c>
      <c r="N43" s="20">
        <f>IF((H43-J43)/(K43-J43)*(Geraetedaten!$B$174-Geraetedaten!$B$161)&lt;Geraetedaten!$B$174,(H43-J43)/(K43-J43)*(Geraetedaten!$B$174-Geraetedaten!$B$161),Geraetedaten!$B$174)</f>
        <v>250.62426910047276</v>
      </c>
      <c r="O43" s="20">
        <f>N43/Geraetedaten!$B$174*(M43-L43)+L43+C43</f>
        <v>466.98341119197329</v>
      </c>
      <c r="P43" s="20">
        <f t="shared" si="7"/>
        <v>156.31417131573298</v>
      </c>
      <c r="Q43" s="21">
        <f>(N43-Geraetedaten!$B$161)/(Geraetedaten!$B$174-Geraetedaten!$B$161)*(Geraetedaten!$B$175-Geraetedaten!$B$162)+Geraetedaten!$B$162</f>
        <v>36.656072005739063</v>
      </c>
      <c r="R43" s="21">
        <f t="shared" si="8"/>
        <v>36.656072005739063</v>
      </c>
      <c r="S43" s="21">
        <f t="shared" si="9"/>
        <v>2.5569983244311034</v>
      </c>
      <c r="T43" s="88">
        <f t="shared" si="10"/>
        <v>36.56677965666082</v>
      </c>
      <c r="U43" s="86">
        <f t="shared" si="11"/>
        <v>-94608.515400000004</v>
      </c>
      <c r="V43" s="85">
        <f t="shared" si="12"/>
        <v>-2683.3128092763232</v>
      </c>
      <c r="W43" s="85">
        <f t="shared" si="13"/>
        <v>-37878.689674617162</v>
      </c>
      <c r="X43" s="90">
        <f t="shared" si="14"/>
        <v>2683.3128092763232</v>
      </c>
      <c r="Y43" s="86">
        <f t="shared" si="15"/>
        <v>-8595.4928999999993</v>
      </c>
      <c r="Z43" s="85">
        <f t="shared" si="16"/>
        <v>-832.16398485565549</v>
      </c>
      <c r="AA43" s="85">
        <f t="shared" si="17"/>
        <v>-832.79875449420229</v>
      </c>
      <c r="AB43" s="90">
        <f t="shared" si="18"/>
        <v>832.16398485565549</v>
      </c>
      <c r="AC43" s="86">
        <f t="shared" si="19"/>
        <v>95383.694199999998</v>
      </c>
      <c r="AD43" s="85">
        <f t="shared" si="20"/>
        <v>2598.140025222212</v>
      </c>
      <c r="AE43" s="85">
        <f t="shared" si="21"/>
        <v>37623.631214433757</v>
      </c>
      <c r="AF43" s="90">
        <f t="shared" si="22"/>
        <v>2598.140025222212</v>
      </c>
      <c r="AG43" s="86">
        <f t="shared" si="23"/>
        <v>9070.9876499999991</v>
      </c>
      <c r="AH43" s="85">
        <f t="shared" si="24"/>
        <v>6183.1314163678471</v>
      </c>
      <c r="AI43" s="85">
        <f t="shared" si="25"/>
        <v>6202.7907654729224</v>
      </c>
      <c r="AJ43" s="90">
        <f t="shared" si="26"/>
        <v>6183.1314163678471</v>
      </c>
      <c r="AL43" s="95">
        <f t="shared" si="27"/>
        <v>0</v>
      </c>
      <c r="AM43" s="95">
        <f t="shared" si="28"/>
        <v>0</v>
      </c>
      <c r="AN43" s="95">
        <f t="shared" si="29"/>
        <v>0</v>
      </c>
      <c r="AO43" s="95">
        <f t="shared" si="30"/>
        <v>0</v>
      </c>
      <c r="AP43"/>
      <c r="AQ43" s="95">
        <f t="shared" si="31"/>
        <v>0</v>
      </c>
      <c r="AR43" s="95">
        <f t="shared" si="32"/>
        <v>0</v>
      </c>
      <c r="AS43" s="95">
        <f>Geraetedaten!$B$94*ABS(SIN(RADIANS($A43)))</f>
        <v>10.742496956595296</v>
      </c>
      <c r="AT43" s="95">
        <f>Geraetedaten!$B$94*ABS(COS(RADIANS($A43)))</f>
        <v>153.62486374001293</v>
      </c>
      <c r="AU43" s="95">
        <f>((h_Aw_Sw+Geraetedaten!$B$18)/1000)*(AQ43*AS43+AR43*AT43)/100</f>
        <v>0</v>
      </c>
    </row>
    <row r="44" spans="1:47" ht="13.5" x14ac:dyDescent="0.25">
      <c r="A44" s="16">
        <v>5</v>
      </c>
      <c r="B44" s="16">
        <f t="shared" si="0"/>
        <v>445</v>
      </c>
      <c r="C44" s="19">
        <f t="shared" si="1"/>
        <v>35.371465088304269</v>
      </c>
      <c r="D44" s="17">
        <f t="shared" si="2"/>
        <v>-75989.924835088299</v>
      </c>
      <c r="E44" s="17">
        <f t="shared" si="3"/>
        <v>-8638.0398950883045</v>
      </c>
      <c r="F44" s="17">
        <f t="shared" si="4"/>
        <v>76151.364654911697</v>
      </c>
      <c r="G44" s="17">
        <f t="shared" si="5"/>
        <v>9049.653704911696</v>
      </c>
      <c r="H44" s="17">
        <f t="shared" si="33"/>
        <v>9049.653704911696</v>
      </c>
      <c r="I44" s="17">
        <f t="shared" si="6"/>
        <v>6212.3896948425663</v>
      </c>
      <c r="J44" s="20">
        <f>(Geraetedaten!$B$152+(Geraetedaten!$B$153*(Geraetedaten!$B$18+d_y_Sw)/1000))*10</f>
        <v>6051.0442000000003</v>
      </c>
      <c r="K44" s="20">
        <f>(Geraetedaten!$B$165+(Geraetedaten!$B$166*(Geraetedaten!$B$18+d_y_Sw)/1000))*10</f>
        <v>10816.164000000001</v>
      </c>
      <c r="L44" s="20">
        <f>(Geraetedaten!$B$158+(Geraetedaten!$B$159*(Geraetedaten!$B$18+d_y_Sw)/1000)-(Geraetedaten!$B$160*I44/1000))*10</f>
        <v>145.98206367719442</v>
      </c>
      <c r="M44" s="20">
        <f>(Geraetedaten!$B$171+(Geraetedaten!$B$172*(Geraetedaten!$B$18+d_y_Sw)/1000)-(Geraetedaten!$B$173*I44/1000))*10</f>
        <v>602.41671111592018</v>
      </c>
      <c r="N44" s="20">
        <f>IF((H44-J44)/(K44-J44)*(Geraetedaten!$B$174-Geraetedaten!$B$161)&lt;Geraetedaten!$B$174,(H44-J44)/(K44-J44)*(Geraetedaten!$B$174-Geraetedaten!$B$161),Geraetedaten!$B$174)</f>
        <v>251.71325219665582</v>
      </c>
      <c r="O44" s="20">
        <f>N44/Geraetedaten!$B$174*(M44-L44)+L44+C44</f>
        <v>468.58015257058776</v>
      </c>
      <c r="P44" s="20">
        <f t="shared" si="7"/>
        <v>156.73131717456107</v>
      </c>
      <c r="Q44" s="21">
        <f>(N44-Geraetedaten!$B$161)/(Geraetedaten!$B$174-Geraetedaten!$B$161)*(Geraetedaten!$B$175-Geraetedaten!$B$162)+Geraetedaten!$B$162</f>
        <v>36.68846925285051</v>
      </c>
      <c r="R44" s="21">
        <f t="shared" si="8"/>
        <v>36.68846925285051</v>
      </c>
      <c r="S44" s="21">
        <f t="shared" si="9"/>
        <v>3.1976107880068056</v>
      </c>
      <c r="T44" s="88">
        <f t="shared" si="10"/>
        <v>36.548858550791699</v>
      </c>
      <c r="U44" s="86">
        <f t="shared" si="11"/>
        <v>-75954.553369999994</v>
      </c>
      <c r="V44" s="85">
        <f t="shared" si="12"/>
        <v>-2683.3128092763232</v>
      </c>
      <c r="W44" s="85">
        <f t="shared" si="13"/>
        <v>-30410.148011094683</v>
      </c>
      <c r="X44" s="90">
        <f t="shared" si="14"/>
        <v>2683.3128092763232</v>
      </c>
      <c r="Y44" s="86">
        <f t="shared" si="15"/>
        <v>-8602.6684299999997</v>
      </c>
      <c r="Z44" s="85">
        <f t="shared" si="16"/>
        <v>-832.16398485565549</v>
      </c>
      <c r="AA44" s="85">
        <f t="shared" si="17"/>
        <v>-833.49397551324228</v>
      </c>
      <c r="AB44" s="90">
        <f t="shared" si="18"/>
        <v>832.16398485565549</v>
      </c>
      <c r="AC44" s="86">
        <f t="shared" si="19"/>
        <v>76186.736120000001</v>
      </c>
      <c r="AD44" s="85">
        <f t="shared" si="20"/>
        <v>2598.140025222212</v>
      </c>
      <c r="AE44" s="85">
        <f t="shared" si="21"/>
        <v>30051.485081976753</v>
      </c>
      <c r="AF44" s="90">
        <f t="shared" si="22"/>
        <v>2598.140025222212</v>
      </c>
      <c r="AG44" s="86">
        <f t="shared" si="23"/>
        <v>9085.0251700000008</v>
      </c>
      <c r="AH44" s="85">
        <f t="shared" si="24"/>
        <v>6183.1314163678471</v>
      </c>
      <c r="AI44" s="85">
        <f t="shared" si="25"/>
        <v>6212.3896948425663</v>
      </c>
      <c r="AJ44" s="90">
        <f t="shared" si="26"/>
        <v>6183.1314163678471</v>
      </c>
      <c r="AL44" s="95">
        <f t="shared" si="27"/>
        <v>0</v>
      </c>
      <c r="AM44" s="95">
        <f t="shared" si="28"/>
        <v>0</v>
      </c>
      <c r="AN44" s="95">
        <f t="shared" si="29"/>
        <v>0</v>
      </c>
      <c r="AO44" s="95">
        <f t="shared" si="30"/>
        <v>0</v>
      </c>
      <c r="AP44"/>
      <c r="AQ44" s="95">
        <f t="shared" si="31"/>
        <v>0</v>
      </c>
      <c r="AR44" s="95">
        <f t="shared" si="32"/>
        <v>0</v>
      </c>
      <c r="AS44" s="95">
        <f>Geraetedaten!$B$94*ABS(SIN(RADIANS($A44)))</f>
        <v>13.421984383139357</v>
      </c>
      <c r="AT44" s="95">
        <f>Geraetedaten!$B$94*ABS(COS(RADIANS($A44)))</f>
        <v>153.4139835061288</v>
      </c>
      <c r="AU44" s="95">
        <f>((h_Aw_Sw+Geraetedaten!$B$18)/1000)*(AQ44*AS44+AR44*AT44)/100</f>
        <v>0</v>
      </c>
    </row>
    <row r="45" spans="1:47" ht="13.5" x14ac:dyDescent="0.25">
      <c r="A45" s="16">
        <v>6</v>
      </c>
      <c r="B45" s="16">
        <f t="shared" si="0"/>
        <v>444</v>
      </c>
      <c r="C45" s="19">
        <f t="shared" si="1"/>
        <v>36.425373313669596</v>
      </c>
      <c r="D45" s="17">
        <f t="shared" si="2"/>
        <v>-63497.657753313673</v>
      </c>
      <c r="E45" s="17">
        <f t="shared" si="3"/>
        <v>-8648.9069533136699</v>
      </c>
      <c r="F45" s="17">
        <f t="shared" si="4"/>
        <v>63401.994516686325</v>
      </c>
      <c r="G45" s="17">
        <f t="shared" si="5"/>
        <v>9065.4576466863291</v>
      </c>
      <c r="H45" s="17">
        <f t="shared" si="33"/>
        <v>9065.4576466863291</v>
      </c>
      <c r="I45" s="17">
        <f t="shared" si="6"/>
        <v>6223.9171831869635</v>
      </c>
      <c r="J45" s="20">
        <f>(Geraetedaten!$B$152+(Geraetedaten!$B$153*(Geraetedaten!$B$18+d_y_Sw)/1000))*10</f>
        <v>6051.0442000000003</v>
      </c>
      <c r="K45" s="20">
        <f>(Geraetedaten!$B$165+(Geraetedaten!$B$166*(Geraetedaten!$B$18+d_y_Sw)/1000))*10</f>
        <v>10816.164000000001</v>
      </c>
      <c r="L45" s="20">
        <f>(Geraetedaten!$B$158+(Geraetedaten!$B$159*(Geraetedaten!$B$18+d_y_Sw)/1000)-(Geraetedaten!$B$160*I45/1000))*10</f>
        <v>145.13675295689978</v>
      </c>
      <c r="M45" s="20">
        <f>(Geraetedaten!$B$171+(Geraetedaten!$B$172*(Geraetedaten!$B$18+d_y_Sw)/1000)-(Geraetedaten!$B$173*I45/1000))*10</f>
        <v>601.55860488356325</v>
      </c>
      <c r="N45" s="20">
        <f>IF((H45-J45)/(K45-J45)*(Geraetedaten!$B$174-Geraetedaten!$B$161)&lt;Geraetedaten!$B$174,(H45-J45)/(K45-J45)*(Geraetedaten!$B$174-Geraetedaten!$B$161),Geraetedaten!$B$174)</f>
        <v>253.03988761720774</v>
      </c>
      <c r="O45" s="20">
        <f>N45/Geraetedaten!$B$174*(M45-L45)+L45+C45</f>
        <v>470.29446156447125</v>
      </c>
      <c r="P45" s="20">
        <f t="shared" si="7"/>
        <v>157.1606395276799</v>
      </c>
      <c r="Q45" s="21">
        <f>(N45-Geraetedaten!$B$161)/(Geraetedaten!$B$174-Geraetedaten!$B$161)*(Geraetedaten!$B$175-Geraetedaten!$B$162)+Geraetedaten!$B$162</f>
        <v>36.727936656611931</v>
      </c>
      <c r="R45" s="21">
        <f t="shared" si="8"/>
        <v>36.727936656611931</v>
      </c>
      <c r="S45" s="21">
        <f t="shared" si="9"/>
        <v>3.8391147777073638</v>
      </c>
      <c r="T45" s="88">
        <f t="shared" si="10"/>
        <v>36.526737176699577</v>
      </c>
      <c r="U45" s="86">
        <f t="shared" si="11"/>
        <v>-63461.232380000001</v>
      </c>
      <c r="V45" s="85">
        <f t="shared" si="12"/>
        <v>-2683.3128092763232</v>
      </c>
      <c r="W45" s="85">
        <f t="shared" si="13"/>
        <v>-25408.160328846468</v>
      </c>
      <c r="X45" s="90">
        <f t="shared" si="14"/>
        <v>2683.3128092763232</v>
      </c>
      <c r="Y45" s="86">
        <f t="shared" si="15"/>
        <v>-8612.4815799999997</v>
      </c>
      <c r="Z45" s="85">
        <f t="shared" si="16"/>
        <v>-832.16398485565549</v>
      </c>
      <c r="AA45" s="85">
        <f t="shared" si="17"/>
        <v>-834.44475056549561</v>
      </c>
      <c r="AB45" s="90">
        <f t="shared" si="18"/>
        <v>832.16398485565549</v>
      </c>
      <c r="AC45" s="86">
        <f t="shared" si="19"/>
        <v>63438.419889999997</v>
      </c>
      <c r="AD45" s="85">
        <f t="shared" si="20"/>
        <v>2598.140025222212</v>
      </c>
      <c r="AE45" s="85">
        <f t="shared" si="21"/>
        <v>25022.974156398617</v>
      </c>
      <c r="AF45" s="90">
        <f t="shared" si="22"/>
        <v>2598.140025222212</v>
      </c>
      <c r="AG45" s="86">
        <f t="shared" si="23"/>
        <v>9101.8830199999993</v>
      </c>
      <c r="AH45" s="85">
        <f t="shared" si="24"/>
        <v>6183.1314163678471</v>
      </c>
      <c r="AI45" s="85">
        <f t="shared" si="25"/>
        <v>6223.9171831869635</v>
      </c>
      <c r="AJ45" s="90">
        <f t="shared" si="26"/>
        <v>6183.1314163678471</v>
      </c>
      <c r="AL45" s="95">
        <f t="shared" si="27"/>
        <v>0</v>
      </c>
      <c r="AM45" s="95">
        <f t="shared" si="28"/>
        <v>0</v>
      </c>
      <c r="AN45" s="95">
        <f t="shared" si="29"/>
        <v>0</v>
      </c>
      <c r="AO45" s="95">
        <f t="shared" si="30"/>
        <v>0</v>
      </c>
      <c r="AP45"/>
      <c r="AQ45" s="95">
        <f t="shared" si="31"/>
        <v>0</v>
      </c>
      <c r="AR45" s="95">
        <f t="shared" si="32"/>
        <v>0</v>
      </c>
      <c r="AS45" s="95">
        <f>Geraetedaten!$B$94*ABS(SIN(RADIANS($A45)))</f>
        <v>16.097383343218635</v>
      </c>
      <c r="AT45" s="95">
        <f>Geraetedaten!$B$94*ABS(COS(RADIANS($A45)))</f>
        <v>153.15637188671408</v>
      </c>
      <c r="AU45" s="95">
        <f>((h_Aw_Sw+Geraetedaten!$B$18)/1000)*(AQ45*AS45+AR45*AT45)/100</f>
        <v>0</v>
      </c>
    </row>
    <row r="46" spans="1:47" ht="13.5" x14ac:dyDescent="0.25">
      <c r="A46" s="16">
        <v>7</v>
      </c>
      <c r="B46" s="16">
        <f t="shared" si="0"/>
        <v>443</v>
      </c>
      <c r="C46" s="19">
        <f t="shared" si="1"/>
        <v>37.468186017463061</v>
      </c>
      <c r="D46" s="17">
        <f t="shared" si="2"/>
        <v>-54549.018666017459</v>
      </c>
      <c r="E46" s="17">
        <f t="shared" si="3"/>
        <v>-8662.4155760174617</v>
      </c>
      <c r="F46" s="17">
        <f t="shared" si="4"/>
        <v>54321.612413982541</v>
      </c>
      <c r="G46" s="17">
        <f t="shared" si="5"/>
        <v>9084.1190439825368</v>
      </c>
      <c r="H46" s="17">
        <f t="shared" si="33"/>
        <v>9084.1190439825368</v>
      </c>
      <c r="I46" s="17">
        <f t="shared" si="6"/>
        <v>6237.3910328524262</v>
      </c>
      <c r="J46" s="20">
        <f>(Geraetedaten!$B$152+(Geraetedaten!$B$153*(Geraetedaten!$B$18+d_y_Sw)/1000))*10</f>
        <v>6051.0442000000003</v>
      </c>
      <c r="K46" s="20">
        <f>(Geraetedaten!$B$165+(Geraetedaten!$B$166*(Geraetedaten!$B$18+d_y_Sw)/1000))*10</f>
        <v>10816.164000000001</v>
      </c>
      <c r="L46" s="20">
        <f>(Geraetedaten!$B$158+(Geraetedaten!$B$159*(Geraetedaten!$B$18+d_y_Sw)/1000)-(Geraetedaten!$B$160*I46/1000))*10</f>
        <v>144.14871556093146</v>
      </c>
      <c r="M46" s="20">
        <f>(Geraetedaten!$B$171+(Geraetedaten!$B$172*(Geraetedaten!$B$18+d_y_Sw)/1000)-(Geraetedaten!$B$173*I46/1000))*10</f>
        <v>600.55561151446614</v>
      </c>
      <c r="N46" s="20">
        <f>IF((H46-J46)/(K46-J46)*(Geraetedaten!$B$174-Geraetedaten!$B$161)&lt;Geraetedaten!$B$174,(H46-J46)/(K46-J46)*(Geraetedaten!$B$174-Geraetedaten!$B$161),Geraetedaten!$B$174)</f>
        <v>254.60638735525905</v>
      </c>
      <c r="O46" s="20">
        <f>N46/Geraetedaten!$B$174*(M46-L46)+L46+C46</f>
        <v>472.12717893528713</v>
      </c>
      <c r="P46" s="20">
        <f t="shared" si="7"/>
        <v>157.60192100091081</v>
      </c>
      <c r="Q46" s="21">
        <f>(N46-Geraetedaten!$B$161)/(Geraetedaten!$B$174-Geraetedaten!$B$161)*(Geraetedaten!$B$175-Geraetedaten!$B$162)+Geraetedaten!$B$162</f>
        <v>36.774540023818957</v>
      </c>
      <c r="R46" s="21">
        <f t="shared" si="8"/>
        <v>36.774540023818957</v>
      </c>
      <c r="S46" s="21">
        <f t="shared" si="9"/>
        <v>4.4816890467291328</v>
      </c>
      <c r="T46" s="88">
        <f t="shared" si="10"/>
        <v>36.500428179021277</v>
      </c>
      <c r="U46" s="86">
        <f t="shared" si="11"/>
        <v>-54511.550479999998</v>
      </c>
      <c r="V46" s="85">
        <f t="shared" si="12"/>
        <v>-2683.3128092763232</v>
      </c>
      <c r="W46" s="85">
        <f t="shared" si="13"/>
        <v>-21824.949853870407</v>
      </c>
      <c r="X46" s="90">
        <f t="shared" si="14"/>
        <v>2683.3128092763232</v>
      </c>
      <c r="Y46" s="86">
        <f t="shared" si="15"/>
        <v>-8624.9473899999994</v>
      </c>
      <c r="Z46" s="85">
        <f t="shared" si="16"/>
        <v>-832.16398485565549</v>
      </c>
      <c r="AA46" s="85">
        <f t="shared" si="17"/>
        <v>-835.65253576691953</v>
      </c>
      <c r="AB46" s="90">
        <f t="shared" si="18"/>
        <v>832.16398485565549</v>
      </c>
      <c r="AC46" s="86">
        <f t="shared" si="19"/>
        <v>54359.080600000001</v>
      </c>
      <c r="AD46" s="85">
        <f t="shared" si="20"/>
        <v>2598.140025222212</v>
      </c>
      <c r="AE46" s="85">
        <f t="shared" si="21"/>
        <v>21441.673223496957</v>
      </c>
      <c r="AF46" s="90">
        <f t="shared" si="22"/>
        <v>2598.140025222212</v>
      </c>
      <c r="AG46" s="86">
        <f t="shared" si="23"/>
        <v>9121.5872299999992</v>
      </c>
      <c r="AH46" s="85">
        <f t="shared" si="24"/>
        <v>6183.1314163678471</v>
      </c>
      <c r="AI46" s="85">
        <f t="shared" si="25"/>
        <v>6237.3910328524262</v>
      </c>
      <c r="AJ46" s="90">
        <f t="shared" si="26"/>
        <v>6183.1314163678471</v>
      </c>
      <c r="AL46" s="95">
        <f t="shared" si="27"/>
        <v>0</v>
      </c>
      <c r="AM46" s="95">
        <f t="shared" si="28"/>
        <v>0</v>
      </c>
      <c r="AN46" s="95">
        <f t="shared" si="29"/>
        <v>0</v>
      </c>
      <c r="AO46" s="95">
        <f t="shared" si="30"/>
        <v>0</v>
      </c>
      <c r="AP46"/>
      <c r="AQ46" s="95">
        <f t="shared" si="31"/>
        <v>0</v>
      </c>
      <c r="AR46" s="95">
        <f t="shared" si="32"/>
        <v>0</v>
      </c>
      <c r="AS46" s="95">
        <f>Geraetedaten!$B$94*ABS(SIN(RADIANS($A46)))</f>
        <v>18.767878884392712</v>
      </c>
      <c r="AT46" s="95">
        <f>Geraetedaten!$B$94*ABS(COS(RADIANS($A46)))</f>
        <v>152.8521073527636</v>
      </c>
      <c r="AU46" s="95">
        <f>((h_Aw_Sw+Geraetedaten!$B$18)/1000)*(AQ46*AS46+AR46*AT46)/100</f>
        <v>0</v>
      </c>
    </row>
    <row r="47" spans="1:47" ht="13.5" x14ac:dyDescent="0.25">
      <c r="A47" s="16">
        <v>8</v>
      </c>
      <c r="B47" s="16">
        <f t="shared" si="0"/>
        <v>442</v>
      </c>
      <c r="C47" s="19">
        <f t="shared" si="1"/>
        <v>38.499585548833146</v>
      </c>
      <c r="D47" s="17">
        <f t="shared" si="2"/>
        <v>-47825.410865548831</v>
      </c>
      <c r="E47" s="17">
        <f t="shared" si="3"/>
        <v>-8678.5845855488315</v>
      </c>
      <c r="F47" s="17">
        <f t="shared" si="4"/>
        <v>47527.412284451173</v>
      </c>
      <c r="G47" s="17">
        <f t="shared" si="5"/>
        <v>9105.6688044511684</v>
      </c>
      <c r="H47" s="17">
        <f t="shared" si="33"/>
        <v>9105.6688044511684</v>
      </c>
      <c r="I47" s="17">
        <f t="shared" si="6"/>
        <v>6252.8321523468776</v>
      </c>
      <c r="J47" s="20">
        <f>(Geraetedaten!$B$152+(Geraetedaten!$B$153*(Geraetedaten!$B$18+d_y_Sw)/1000))*10</f>
        <v>6051.0442000000003</v>
      </c>
      <c r="K47" s="20">
        <f>(Geraetedaten!$B$165+(Geraetedaten!$B$166*(Geraetedaten!$B$18+d_y_Sw)/1000))*10</f>
        <v>10816.164000000001</v>
      </c>
      <c r="L47" s="20">
        <f>(Geraetedaten!$B$158+(Geraetedaten!$B$159*(Geraetedaten!$B$18+d_y_Sw)/1000)-(Geraetedaten!$B$160*I47/1000))*10</f>
        <v>143.0164182684033</v>
      </c>
      <c r="M47" s="20">
        <f>(Geraetedaten!$B$171+(Geraetedaten!$B$172*(Geraetedaten!$B$18+d_y_Sw)/1000)-(Geraetedaten!$B$173*I47/1000))*10</f>
        <v>599.4061745792992</v>
      </c>
      <c r="N47" s="20">
        <f>IF((H47-J47)/(K47-J47)*(Geraetedaten!$B$174-Geraetedaten!$B$161)&lt;Geraetedaten!$B$174,(H47-J47)/(K47-J47)*(Geraetedaten!$B$174-Geraetedaten!$B$161),Geraetedaten!$B$174)</f>
        <v>256.41534590178975</v>
      </c>
      <c r="O47" s="20">
        <f>N47/Geraetedaten!$B$174*(M47-L47)+L47+C47</f>
        <v>474.07934689346621</v>
      </c>
      <c r="P47" s="20">
        <f t="shared" si="7"/>
        <v>158.05495457144715</v>
      </c>
      <c r="Q47" s="21">
        <f>(N47-Geraetedaten!$B$161)/(Geraetedaten!$B$174-Geraetedaten!$B$161)*(Geraetedaten!$B$175-Geraetedaten!$B$162)+Geraetedaten!$B$162</f>
        <v>36.828356540578248</v>
      </c>
      <c r="R47" s="21">
        <f t="shared" si="8"/>
        <v>36.828356540578248</v>
      </c>
      <c r="S47" s="21">
        <f t="shared" si="9"/>
        <v>5.125516583015183</v>
      </c>
      <c r="T47" s="88">
        <f t="shared" si="10"/>
        <v>36.469945506364404</v>
      </c>
      <c r="U47" s="86">
        <f t="shared" si="11"/>
        <v>-47786.91128</v>
      </c>
      <c r="V47" s="85">
        <f t="shared" si="12"/>
        <v>-2683.3128092763232</v>
      </c>
      <c r="W47" s="85">
        <f t="shared" si="13"/>
        <v>-19132.586273142202</v>
      </c>
      <c r="X47" s="90">
        <f t="shared" si="14"/>
        <v>2683.3128092763232</v>
      </c>
      <c r="Y47" s="86">
        <f t="shared" si="15"/>
        <v>-8640.0849999999991</v>
      </c>
      <c r="Z47" s="85">
        <f t="shared" si="16"/>
        <v>-832.16398485565549</v>
      </c>
      <c r="AA47" s="85">
        <f t="shared" si="17"/>
        <v>-837.11918659227251</v>
      </c>
      <c r="AB47" s="90">
        <f t="shared" si="18"/>
        <v>832.16398485565549</v>
      </c>
      <c r="AC47" s="86">
        <f t="shared" si="19"/>
        <v>47565.911870000004</v>
      </c>
      <c r="AD47" s="85">
        <f t="shared" si="20"/>
        <v>2598.140025222212</v>
      </c>
      <c r="AE47" s="85">
        <f t="shared" si="21"/>
        <v>18762.141072074723</v>
      </c>
      <c r="AF47" s="90">
        <f t="shared" si="22"/>
        <v>2598.140025222212</v>
      </c>
      <c r="AG47" s="86">
        <f t="shared" si="23"/>
        <v>9144.1683900000007</v>
      </c>
      <c r="AH47" s="85">
        <f t="shared" si="24"/>
        <v>6183.1314163678471</v>
      </c>
      <c r="AI47" s="85">
        <f t="shared" si="25"/>
        <v>6252.8321523468776</v>
      </c>
      <c r="AJ47" s="90">
        <f t="shared" si="26"/>
        <v>6183.1314163678471</v>
      </c>
      <c r="AL47" s="95">
        <f t="shared" si="27"/>
        <v>0</v>
      </c>
      <c r="AM47" s="95">
        <f t="shared" si="28"/>
        <v>0</v>
      </c>
      <c r="AN47" s="95">
        <f t="shared" si="29"/>
        <v>0</v>
      </c>
      <c r="AO47" s="95">
        <f t="shared" si="30"/>
        <v>0</v>
      </c>
      <c r="AP47"/>
      <c r="AQ47" s="95">
        <f t="shared" si="31"/>
        <v>0</v>
      </c>
      <c r="AR47" s="95">
        <f t="shared" si="32"/>
        <v>0</v>
      </c>
      <c r="AS47" s="95">
        <f>Geraetedaten!$B$94*ABS(SIN(RADIANS($A47)))</f>
        <v>21.432657547850077</v>
      </c>
      <c r="AT47" s="95">
        <f>Geraetedaten!$B$94*ABS(COS(RADIANS($A47)))</f>
        <v>152.50128258620182</v>
      </c>
      <c r="AU47" s="95">
        <f>((h_Aw_Sw+Geraetedaten!$B$18)/1000)*(AQ47*AS47+AR47*AT47)/100</f>
        <v>0</v>
      </c>
    </row>
    <row r="48" spans="1:47" ht="13.5" x14ac:dyDescent="0.25">
      <c r="A48" s="16">
        <v>9</v>
      </c>
      <c r="B48" s="16">
        <f t="shared" si="0"/>
        <v>441</v>
      </c>
      <c r="C48" s="19">
        <f t="shared" si="1"/>
        <v>39.519257733491195</v>
      </c>
      <c r="D48" s="17">
        <f t="shared" si="2"/>
        <v>-42590.259017733486</v>
      </c>
      <c r="E48" s="17">
        <f t="shared" si="3"/>
        <v>-8697.437027733491</v>
      </c>
      <c r="F48" s="17">
        <f t="shared" si="4"/>
        <v>42253.929842266509</v>
      </c>
      <c r="G48" s="17">
        <f t="shared" si="5"/>
        <v>9130.1424722665088</v>
      </c>
      <c r="H48" s="17">
        <f t="shared" si="33"/>
        <v>9130.1424722665088</v>
      </c>
      <c r="I48" s="17">
        <f t="shared" si="6"/>
        <v>6270.2646362098576</v>
      </c>
      <c r="J48" s="20">
        <f>(Geraetedaten!$B$152+(Geraetedaten!$B$153*(Geraetedaten!$B$18+d_y_Sw)/1000))*10</f>
        <v>6051.0442000000003</v>
      </c>
      <c r="K48" s="20">
        <f>(Geraetedaten!$B$165+(Geraetedaten!$B$166*(Geraetedaten!$B$18+d_y_Sw)/1000))*10</f>
        <v>10816.164000000001</v>
      </c>
      <c r="L48" s="20">
        <f>(Geraetedaten!$B$158+(Geraetedaten!$B$159*(Geraetedaten!$B$18+d_y_Sw)/1000)-(Geraetedaten!$B$160*I48/1000))*10</f>
        <v>141.73809422673094</v>
      </c>
      <c r="M48" s="20">
        <f>(Geraetedaten!$B$171+(Geraetedaten!$B$172*(Geraetedaten!$B$18+d_y_Sw)/1000)-(Geraetedaten!$B$173*I48/1000))*10</f>
        <v>598.10850048053896</v>
      </c>
      <c r="N48" s="20">
        <f>IF((H48-J48)/(K48-J48)*(Geraetedaten!$B$174-Geraetedaten!$B$161)&lt;Geraetedaten!$B$174,(H48-J48)/(K48-J48)*(Geraetedaten!$B$174-Geraetedaten!$B$161),Geraetedaten!$B$174)</f>
        <v>258.46974695297342</v>
      </c>
      <c r="O48" s="20">
        <f>N48/Geraetedaten!$B$174*(M48-L48)+L48+C48</f>
        <v>476.15221051334078</v>
      </c>
      <c r="P48" s="20">
        <f t="shared" si="7"/>
        <v>158.51954290231564</v>
      </c>
      <c r="Q48" s="21">
        <f>(N48-Geraetedaten!$B$161)/(Geraetedaten!$B$174-Geraetedaten!$B$161)*(Geraetedaten!$B$175-Geraetedaten!$B$162)+Geraetedaten!$B$162</f>
        <v>36.889474971850959</v>
      </c>
      <c r="R48" s="21">
        <f t="shared" si="8"/>
        <v>36.889474971850959</v>
      </c>
      <c r="S48" s="21">
        <f t="shared" si="9"/>
        <v>5.7707852828364903</v>
      </c>
      <c r="T48" s="88">
        <f t="shared" si="10"/>
        <v>36.435304320373341</v>
      </c>
      <c r="U48" s="86">
        <f t="shared" si="11"/>
        <v>-42550.739759999997</v>
      </c>
      <c r="V48" s="85">
        <f t="shared" si="12"/>
        <v>-2683.3128092763232</v>
      </c>
      <c r="W48" s="85">
        <f t="shared" si="13"/>
        <v>-17036.164874967926</v>
      </c>
      <c r="X48" s="90">
        <f t="shared" si="14"/>
        <v>2683.3128092763232</v>
      </c>
      <c r="Y48" s="86">
        <f t="shared" si="15"/>
        <v>-8657.91777</v>
      </c>
      <c r="Z48" s="85">
        <f t="shared" si="16"/>
        <v>-832.16398485565549</v>
      </c>
      <c r="AA48" s="85">
        <f t="shared" si="17"/>
        <v>-838.84696486047767</v>
      </c>
      <c r="AB48" s="90">
        <f t="shared" si="18"/>
        <v>832.16398485565549</v>
      </c>
      <c r="AC48" s="86">
        <f t="shared" si="19"/>
        <v>42293.449099999998</v>
      </c>
      <c r="AD48" s="85">
        <f t="shared" si="20"/>
        <v>2598.140025222212</v>
      </c>
      <c r="AE48" s="85">
        <f t="shared" si="21"/>
        <v>16682.443945995783</v>
      </c>
      <c r="AF48" s="90">
        <f t="shared" si="22"/>
        <v>2598.140025222212</v>
      </c>
      <c r="AG48" s="86">
        <f t="shared" si="23"/>
        <v>9169.6617299999998</v>
      </c>
      <c r="AH48" s="85">
        <f t="shared" si="24"/>
        <v>6183.1314163678471</v>
      </c>
      <c r="AI48" s="85">
        <f t="shared" si="25"/>
        <v>6270.2646362098576</v>
      </c>
      <c r="AJ48" s="90">
        <f t="shared" si="26"/>
        <v>6183.1314163678471</v>
      </c>
      <c r="AL48" s="95">
        <f t="shared" si="27"/>
        <v>0</v>
      </c>
      <c r="AM48" s="95">
        <f t="shared" si="28"/>
        <v>0</v>
      </c>
      <c r="AN48" s="95">
        <f t="shared" si="29"/>
        <v>0</v>
      </c>
      <c r="AO48" s="95">
        <f t="shared" si="30"/>
        <v>0</v>
      </c>
      <c r="AP48"/>
      <c r="AQ48" s="95">
        <f t="shared" si="31"/>
        <v>0</v>
      </c>
      <c r="AR48" s="95">
        <f t="shared" si="32"/>
        <v>0</v>
      </c>
      <c r="AS48" s="95">
        <f>Geraetedaten!$B$94*ABS(SIN(RADIANS($A48)))</f>
        <v>24.090907616195555</v>
      </c>
      <c r="AT48" s="95">
        <f>Geraetedaten!$B$94*ABS(COS(RADIANS($A48)))</f>
        <v>152.10400445165121</v>
      </c>
      <c r="AU48" s="95">
        <f>((h_Aw_Sw+Geraetedaten!$B$18)/1000)*(AQ48*AS48+AR48*AT48)/100</f>
        <v>0</v>
      </c>
    </row>
    <row r="49" spans="1:47" ht="13.5" x14ac:dyDescent="0.25">
      <c r="A49" s="16">
        <v>10</v>
      </c>
      <c r="B49" s="16">
        <f t="shared" si="0"/>
        <v>440</v>
      </c>
      <c r="C49" s="19">
        <f t="shared" si="1"/>
        <v>40.52689196941197</v>
      </c>
      <c r="D49" s="17">
        <f t="shared" si="2"/>
        <v>-38399.797791969417</v>
      </c>
      <c r="E49" s="17">
        <f t="shared" si="3"/>
        <v>-8719.0002019694111</v>
      </c>
      <c r="F49" s="17">
        <f t="shared" si="4"/>
        <v>38043.125038030586</v>
      </c>
      <c r="G49" s="17">
        <f t="shared" si="5"/>
        <v>9157.5803880305884</v>
      </c>
      <c r="H49" s="17">
        <f t="shared" si="33"/>
        <v>9157.5803880305884</v>
      </c>
      <c r="I49" s="17">
        <f t="shared" si="6"/>
        <v>6289.7158577924256</v>
      </c>
      <c r="J49" s="20">
        <f>(Geraetedaten!$B$152+(Geraetedaten!$B$153*(Geraetedaten!$B$18+d_y_Sw)/1000))*10</f>
        <v>6051.0442000000003</v>
      </c>
      <c r="K49" s="20">
        <f>(Geraetedaten!$B$165+(Geraetedaten!$B$166*(Geraetedaten!$B$18+d_y_Sw)/1000))*10</f>
        <v>10816.164000000001</v>
      </c>
      <c r="L49" s="20">
        <f>(Geraetedaten!$B$158+(Geraetedaten!$B$159*(Geraetedaten!$B$18+d_y_Sw)/1000)-(Geraetedaten!$B$160*I49/1000))*10</f>
        <v>140.31173614808125</v>
      </c>
      <c r="M49" s="20">
        <f>(Geraetedaten!$B$171+(Geraetedaten!$B$172*(Geraetedaten!$B$18+d_y_Sw)/1000)-(Geraetedaten!$B$173*I49/1000))*10</f>
        <v>596.66055154593266</v>
      </c>
      <c r="N49" s="20">
        <f>IF((H49-J49)/(K49-J49)*(Geraetedaten!$B$174-Geraetedaten!$B$161)&lt;Geraetedaten!$B$174,(H49-J49)/(K49-J49)*(Geraetedaten!$B$174-Geraetedaten!$B$161),Geraetedaten!$B$174)</f>
        <v>260.77297683307671</v>
      </c>
      <c r="O49" s="20">
        <f>N49/Geraetedaten!$B$174*(M49-L49)+L49+C49</f>
        <v>478.34722578135796</v>
      </c>
      <c r="P49" s="20">
        <f t="shared" si="7"/>
        <v>158.99549884177441</v>
      </c>
      <c r="Q49" s="21">
        <f>(N49-Geraetedaten!$B$161)/(Geraetedaten!$B$174-Geraetedaten!$B$161)*(Geraetedaten!$B$175-Geraetedaten!$B$162)+Geraetedaten!$B$162</f>
        <v>36.957996060784033</v>
      </c>
      <c r="R49" s="21">
        <f t="shared" si="8"/>
        <v>36.957996060784033</v>
      </c>
      <c r="S49" s="21">
        <f t="shared" si="9"/>
        <v>6.4176886661767369</v>
      </c>
      <c r="T49" s="88">
        <f t="shared" si="10"/>
        <v>36.396521056454759</v>
      </c>
      <c r="U49" s="86">
        <f t="shared" si="11"/>
        <v>-38359.270900000003</v>
      </c>
      <c r="V49" s="85">
        <f t="shared" si="12"/>
        <v>-2683.3128092763232</v>
      </c>
      <c r="W49" s="85">
        <f t="shared" si="13"/>
        <v>-15358.014154249755</v>
      </c>
      <c r="X49" s="90">
        <f t="shared" si="14"/>
        <v>2683.3128092763232</v>
      </c>
      <c r="Y49" s="86">
        <f t="shared" si="15"/>
        <v>-8678.4733099999994</v>
      </c>
      <c r="Z49" s="85">
        <f t="shared" si="16"/>
        <v>-832.16398485565549</v>
      </c>
      <c r="AA49" s="85">
        <f t="shared" si="17"/>
        <v>-840.83854729730763</v>
      </c>
      <c r="AB49" s="90">
        <f t="shared" si="18"/>
        <v>832.16398485565549</v>
      </c>
      <c r="AC49" s="86">
        <f t="shared" si="19"/>
        <v>38083.65193</v>
      </c>
      <c r="AD49" s="85">
        <f t="shared" si="20"/>
        <v>2598.140025222212</v>
      </c>
      <c r="AE49" s="85">
        <f t="shared" si="21"/>
        <v>15021.910060561857</v>
      </c>
      <c r="AF49" s="90">
        <f t="shared" si="22"/>
        <v>2598.140025222212</v>
      </c>
      <c r="AG49" s="86">
        <f t="shared" si="23"/>
        <v>9198.1072800000002</v>
      </c>
      <c r="AH49" s="85">
        <f t="shared" si="24"/>
        <v>6183.1314163678471</v>
      </c>
      <c r="AI49" s="85">
        <f t="shared" si="25"/>
        <v>6289.7158577924256</v>
      </c>
      <c r="AJ49" s="90">
        <f t="shared" si="26"/>
        <v>6183.1314163678471</v>
      </c>
      <c r="AL49" s="95">
        <f t="shared" si="27"/>
        <v>0</v>
      </c>
      <c r="AM49" s="95">
        <f t="shared" si="28"/>
        <v>0</v>
      </c>
      <c r="AN49" s="95">
        <f t="shared" si="29"/>
        <v>0</v>
      </c>
      <c r="AO49" s="95">
        <f t="shared" si="30"/>
        <v>0</v>
      </c>
      <c r="AP49"/>
      <c r="AQ49" s="95">
        <f t="shared" si="31"/>
        <v>0</v>
      </c>
      <c r="AR49" s="95">
        <f t="shared" si="32"/>
        <v>0</v>
      </c>
      <c r="AS49" s="95">
        <f>Geraetedaten!$B$94*ABS(SIN(RADIANS($A49)))</f>
        <v>26.741819360707272</v>
      </c>
      <c r="AT49" s="95">
        <f>Geraetedaten!$B$94*ABS(COS(RADIANS($A49)))</f>
        <v>151.66039396388004</v>
      </c>
      <c r="AU49" s="95">
        <f>((h_Aw_Sw+Geraetedaten!$B$18)/1000)*(AQ49*AS49+AR49*AT49)/100</f>
        <v>0</v>
      </c>
    </row>
    <row r="50" spans="1:47" ht="13.5" x14ac:dyDescent="0.25">
      <c r="A50" s="16">
        <v>11</v>
      </c>
      <c r="B50" s="16">
        <f t="shared" si="0"/>
        <v>439</v>
      </c>
      <c r="C50" s="19">
        <f t="shared" si="1"/>
        <v>41.522181321446048</v>
      </c>
      <c r="D50" s="17">
        <f t="shared" si="2"/>
        <v>-34970.724971321448</v>
      </c>
      <c r="E50" s="17">
        <f t="shared" si="3"/>
        <v>-8743.305831321446</v>
      </c>
      <c r="F50" s="17">
        <f t="shared" si="4"/>
        <v>34604.130828678557</v>
      </c>
      <c r="G50" s="17">
        <f t="shared" si="5"/>
        <v>9188.027838678554</v>
      </c>
      <c r="H50" s="17">
        <f t="shared" si="33"/>
        <v>9188.027838678554</v>
      </c>
      <c r="I50" s="17">
        <f t="shared" si="6"/>
        <v>6311.2165756193281</v>
      </c>
      <c r="J50" s="20">
        <f>(Geraetedaten!$B$152+(Geraetedaten!$B$153*(Geraetedaten!$B$18+d_y_Sw)/1000))*10</f>
        <v>6051.0442000000003</v>
      </c>
      <c r="K50" s="20">
        <f>(Geraetedaten!$B$165+(Geraetedaten!$B$166*(Geraetedaten!$B$18+d_y_Sw)/1000))*10</f>
        <v>10816.164000000001</v>
      </c>
      <c r="L50" s="20">
        <f>(Geraetedaten!$B$158+(Geraetedaten!$B$159*(Geraetedaten!$B$18+d_y_Sw)/1000)-(Geraetedaten!$B$160*I50/1000))*10</f>
        <v>138.73508850983455</v>
      </c>
      <c r="M50" s="20">
        <f>(Geraetedaten!$B$171+(Geraetedaten!$B$172*(Geraetedaten!$B$18+d_y_Sw)/1000)-(Geraetedaten!$B$173*I50/1000))*10</f>
        <v>595.06003811089806</v>
      </c>
      <c r="N50" s="20">
        <f>IF((H50-J50)/(K50-J50)*(Geraetedaten!$B$174-Geraetedaten!$B$161)&lt;Geraetedaten!$B$174,(H50-J50)/(K50-J50)*(Geraetedaten!$B$174-Geraetedaten!$B$161),Geraetedaten!$B$174)</f>
        <v>263.32883707801454</v>
      </c>
      <c r="O50" s="20">
        <f>N50/Geraetedaten!$B$174*(M50-L50)+L50+C50</f>
        <v>480.66606560160977</v>
      </c>
      <c r="P50" s="20">
        <f t="shared" si="7"/>
        <v>159.48264534673254</v>
      </c>
      <c r="Q50" s="21">
        <f>(N50-Geraetedaten!$B$161)/(Geraetedaten!$B$174-Geraetedaten!$B$161)*(Geraetedaten!$B$175-Geraetedaten!$B$162)+Geraetedaten!$B$162</f>
        <v>37.034032903070937</v>
      </c>
      <c r="R50" s="21">
        <f t="shared" si="8"/>
        <v>37.034032903070937</v>
      </c>
      <c r="S50" s="21">
        <f t="shared" si="9"/>
        <v>7.0664266129768709</v>
      </c>
      <c r="T50" s="88">
        <f t="shared" si="10"/>
        <v>36.353613410349638</v>
      </c>
      <c r="U50" s="86">
        <f t="shared" si="11"/>
        <v>-34929.202790000003</v>
      </c>
      <c r="V50" s="85">
        <f t="shared" si="12"/>
        <v>-2683.3128092763232</v>
      </c>
      <c r="W50" s="85">
        <f t="shared" si="13"/>
        <v>-13984.70769182511</v>
      </c>
      <c r="X50" s="90">
        <f t="shared" si="14"/>
        <v>2683.3128092763232</v>
      </c>
      <c r="Y50" s="86">
        <f t="shared" si="15"/>
        <v>-8701.7836499999994</v>
      </c>
      <c r="Z50" s="85">
        <f t="shared" si="16"/>
        <v>-832.16398485565549</v>
      </c>
      <c r="AA50" s="85">
        <f t="shared" si="17"/>
        <v>-843.09703573608999</v>
      </c>
      <c r="AB50" s="90">
        <f t="shared" si="18"/>
        <v>832.16398485565549</v>
      </c>
      <c r="AC50" s="86">
        <f t="shared" si="19"/>
        <v>34645.653010000002</v>
      </c>
      <c r="AD50" s="85">
        <f t="shared" si="20"/>
        <v>2598.140025222212</v>
      </c>
      <c r="AE50" s="85">
        <f t="shared" si="21"/>
        <v>13665.808217557769</v>
      </c>
      <c r="AF50" s="90">
        <f t="shared" si="22"/>
        <v>2598.140025222212</v>
      </c>
      <c r="AG50" s="86">
        <f t="shared" si="23"/>
        <v>9229.5500200000006</v>
      </c>
      <c r="AH50" s="85">
        <f t="shared" si="24"/>
        <v>6183.1314163678471</v>
      </c>
      <c r="AI50" s="85">
        <f t="shared" si="25"/>
        <v>6311.2165756193281</v>
      </c>
      <c r="AJ50" s="90">
        <f t="shared" si="26"/>
        <v>6183.1314163678471</v>
      </c>
      <c r="AL50" s="95">
        <f t="shared" si="27"/>
        <v>0</v>
      </c>
      <c r="AM50" s="95">
        <f t="shared" si="28"/>
        <v>0</v>
      </c>
      <c r="AN50" s="95">
        <f t="shared" si="29"/>
        <v>0</v>
      </c>
      <c r="AO50" s="95">
        <f t="shared" si="30"/>
        <v>0</v>
      </c>
      <c r="AP50"/>
      <c r="AQ50" s="95">
        <f t="shared" si="31"/>
        <v>0</v>
      </c>
      <c r="AR50" s="95">
        <f t="shared" si="32"/>
        <v>0</v>
      </c>
      <c r="AS50" s="95">
        <f>Geraetedaten!$B$94*ABS(SIN(RADIANS($A50)))</f>
        <v>29.3845852879879</v>
      </c>
      <c r="AT50" s="95">
        <f>Geraetedaten!$B$94*ABS(COS(RADIANS($A50)))</f>
        <v>151.17058625094026</v>
      </c>
      <c r="AU50" s="95">
        <f>((h_Aw_Sw+Geraetedaten!$B$18)/1000)*(AQ50*AS50+AR50*AT50)/100</f>
        <v>0</v>
      </c>
    </row>
    <row r="51" spans="1:47" ht="13.5" x14ac:dyDescent="0.25">
      <c r="A51" s="16">
        <v>12</v>
      </c>
      <c r="B51" s="16">
        <f t="shared" si="0"/>
        <v>438</v>
      </c>
      <c r="C51" s="19">
        <f t="shared" si="1"/>
        <v>42.504822614815218</v>
      </c>
      <c r="D51" s="17">
        <f t="shared" si="2"/>
        <v>-32113.686682614814</v>
      </c>
      <c r="E51" s="17">
        <f t="shared" si="3"/>
        <v>-8770.3901326148152</v>
      </c>
      <c r="F51" s="17">
        <f t="shared" si="4"/>
        <v>31743.363507385187</v>
      </c>
      <c r="G51" s="17">
        <f t="shared" si="5"/>
        <v>9221.5352373851838</v>
      </c>
      <c r="H51" s="17">
        <f t="shared" si="33"/>
        <v>9221.5352373851838</v>
      </c>
      <c r="I51" s="17">
        <f t="shared" si="6"/>
        <v>6334.8010541131052</v>
      </c>
      <c r="J51" s="20">
        <f>(Geraetedaten!$B$152+(Geraetedaten!$B$153*(Geraetedaten!$B$18+d_y_Sw)/1000))*10</f>
        <v>6051.0442000000003</v>
      </c>
      <c r="K51" s="20">
        <f>(Geraetedaten!$B$165+(Geraetedaten!$B$166*(Geraetedaten!$B$18+d_y_Sw)/1000))*10</f>
        <v>10816.164000000001</v>
      </c>
      <c r="L51" s="20">
        <f>(Geraetedaten!$B$158+(Geraetedaten!$B$159*(Geraetedaten!$B$18+d_y_Sw)/1000)-(Geraetedaten!$B$160*I51/1000))*10</f>
        <v>137.0056387018858</v>
      </c>
      <c r="M51" s="20">
        <f>(Geraetedaten!$B$171+(Geraetedaten!$B$172*(Geraetedaten!$B$18+d_y_Sw)/1000)-(Geraetedaten!$B$173*I51/1000))*10</f>
        <v>593.30440953182131</v>
      </c>
      <c r="N51" s="20">
        <f>IF((H51-J51)/(K51-J51)*(Geraetedaten!$B$174-Geraetedaten!$B$161)&lt;Geraetedaten!$B$174,(H51-J51)/(K51-J51)*(Geraetedaten!$B$174-Geraetedaten!$B$161),Geraetedaten!$B$174)</f>
        <v>266.1415595373013</v>
      </c>
      <c r="O51" s="20">
        <f>N51/Geraetedaten!$B$174*(M51-L51)+L51+C51</f>
        <v>483.11062752578272</v>
      </c>
      <c r="P51" s="20">
        <f t="shared" si="7"/>
        <v>159.98081557158588</v>
      </c>
      <c r="Q51" s="21">
        <f>(N51-Geraetedaten!$B$161)/(Geraetedaten!$B$174-Geraetedaten!$B$161)*(Geraetedaten!$B$175-Geraetedaten!$B$162)+Geraetedaten!$B$162</f>
        <v>37.117711396234711</v>
      </c>
      <c r="R51" s="21">
        <f t="shared" si="8"/>
        <v>37.117711396234711</v>
      </c>
      <c r="S51" s="21">
        <f t="shared" si="9"/>
        <v>7.7172061356767738</v>
      </c>
      <c r="T51" s="88">
        <f t="shared" si="10"/>
        <v>36.30660034695682</v>
      </c>
      <c r="U51" s="86">
        <f t="shared" si="11"/>
        <v>-32071.181860000001</v>
      </c>
      <c r="V51" s="85">
        <f t="shared" si="12"/>
        <v>-2683.3128092763232</v>
      </c>
      <c r="W51" s="85">
        <f t="shared" si="13"/>
        <v>-12840.433442789952</v>
      </c>
      <c r="X51" s="90">
        <f t="shared" si="14"/>
        <v>2683.3128092763232</v>
      </c>
      <c r="Y51" s="86">
        <f t="shared" si="15"/>
        <v>-8727.8853099999997</v>
      </c>
      <c r="Z51" s="85">
        <f t="shared" si="16"/>
        <v>-832.16398485565549</v>
      </c>
      <c r="AA51" s="85">
        <f t="shared" si="17"/>
        <v>-845.62596902937287</v>
      </c>
      <c r="AB51" s="90">
        <f t="shared" si="18"/>
        <v>832.16398485565549</v>
      </c>
      <c r="AC51" s="86">
        <f t="shared" si="19"/>
        <v>31785.868330000001</v>
      </c>
      <c r="AD51" s="85">
        <f t="shared" si="20"/>
        <v>2598.140025222212</v>
      </c>
      <c r="AE51" s="85">
        <f t="shared" si="21"/>
        <v>12537.780151511568</v>
      </c>
      <c r="AF51" s="90">
        <f t="shared" si="22"/>
        <v>2598.140025222212</v>
      </c>
      <c r="AG51" s="86">
        <f t="shared" si="23"/>
        <v>9264.0400599999994</v>
      </c>
      <c r="AH51" s="85">
        <f t="shared" si="24"/>
        <v>6183.1314163678471</v>
      </c>
      <c r="AI51" s="85">
        <f t="shared" si="25"/>
        <v>6334.8010541131052</v>
      </c>
      <c r="AJ51" s="90">
        <f t="shared" si="26"/>
        <v>6183.1314163678471</v>
      </c>
      <c r="AL51" s="95">
        <f t="shared" si="27"/>
        <v>0</v>
      </c>
      <c r="AM51" s="95">
        <f t="shared" si="28"/>
        <v>0</v>
      </c>
      <c r="AN51" s="95">
        <f t="shared" si="29"/>
        <v>0</v>
      </c>
      <c r="AO51" s="95">
        <f t="shared" si="30"/>
        <v>0</v>
      </c>
      <c r="AP51"/>
      <c r="AQ51" s="95">
        <f t="shared" si="31"/>
        <v>0</v>
      </c>
      <c r="AR51" s="95">
        <f t="shared" si="32"/>
        <v>0</v>
      </c>
      <c r="AS51" s="95">
        <f>Geraetedaten!$B$94*ABS(SIN(RADIANS($A51)))</f>
        <v>32.018400385934939</v>
      </c>
      <c r="AT51" s="95">
        <f>Geraetedaten!$B$94*ABS(COS(RADIANS($A51)))</f>
        <v>150.63473051300608</v>
      </c>
      <c r="AU51" s="95">
        <f>((h_Aw_Sw+Geraetedaten!$B$18)/1000)*(AQ51*AS51+AR51*AT51)/100</f>
        <v>0</v>
      </c>
    </row>
    <row r="52" spans="1:47" ht="13.5" x14ac:dyDescent="0.25">
      <c r="A52" s="16">
        <v>13</v>
      </c>
      <c r="B52" s="16">
        <f t="shared" si="0"/>
        <v>437</v>
      </c>
      <c r="C52" s="19">
        <f t="shared" si="1"/>
        <v>43.474516527462441</v>
      </c>
      <c r="D52" s="17">
        <f t="shared" si="2"/>
        <v>-29697.315536527462</v>
      </c>
      <c r="E52" s="17">
        <f t="shared" si="3"/>
        <v>-8800.2939765274623</v>
      </c>
      <c r="F52" s="17">
        <f t="shared" si="4"/>
        <v>29326.989903472539</v>
      </c>
      <c r="G52" s="17">
        <f t="shared" si="5"/>
        <v>9258.1583234725385</v>
      </c>
      <c r="H52" s="17">
        <f t="shared" si="33"/>
        <v>9258.1583234725385</v>
      </c>
      <c r="I52" s="17">
        <f t="shared" si="6"/>
        <v>6360.5071995766139</v>
      </c>
      <c r="J52" s="20">
        <f>(Geraetedaten!$B$152+(Geraetedaten!$B$153*(Geraetedaten!$B$18+d_y_Sw)/1000))*10</f>
        <v>6051.0442000000003</v>
      </c>
      <c r="K52" s="20">
        <f>(Geraetedaten!$B$165+(Geraetedaten!$B$166*(Geraetedaten!$B$18+d_y_Sw)/1000))*10</f>
        <v>10816.164000000001</v>
      </c>
      <c r="L52" s="20">
        <f>(Geraetedaten!$B$158+(Geraetedaten!$B$159*(Geraetedaten!$B$18+d_y_Sw)/1000)-(Geraetedaten!$B$160*I52/1000))*10</f>
        <v>135.1206070550468</v>
      </c>
      <c r="M52" s="20">
        <f>(Geraetedaten!$B$171+(Geraetedaten!$B$172*(Geraetedaten!$B$18+d_y_Sw)/1000)-(Geraetedaten!$B$173*I52/1000))*10</f>
        <v>591.39084406351765</v>
      </c>
      <c r="N52" s="20">
        <f>IF((H52-J52)/(K52-J52)*(Geraetedaten!$B$174-Geraetedaten!$B$161)&lt;Geraetedaten!$B$174,(H52-J52)/(K52-J52)*(Geraetedaten!$B$174-Geraetedaten!$B$161),Geraetedaten!$B$174)</f>
        <v>269.21582315496357</v>
      </c>
      <c r="O52" s="20">
        <f>N52/Geraetedaten!$B$174*(M52-L52)+L52+C52</f>
        <v>485.68304217587377</v>
      </c>
      <c r="P52" s="20">
        <f t="shared" si="7"/>
        <v>160.48985290580157</v>
      </c>
      <c r="Q52" s="21">
        <f>(N52-Geraetedaten!$B$161)/(Geraetedaten!$B$174-Geraetedaten!$B$161)*(Geraetedaten!$B$175-Geraetedaten!$B$162)+Geraetedaten!$B$162</f>
        <v>37.209170738860166</v>
      </c>
      <c r="R52" s="21">
        <f t="shared" si="8"/>
        <v>37.209170738860166</v>
      </c>
      <c r="S52" s="21">
        <f t="shared" si="9"/>
        <v>8.3702421889674845</v>
      </c>
      <c r="T52" s="88">
        <f t="shared" si="10"/>
        <v>36.255502103428057</v>
      </c>
      <c r="U52" s="86">
        <f t="shared" si="11"/>
        <v>-29653.84102</v>
      </c>
      <c r="V52" s="85">
        <f t="shared" si="12"/>
        <v>-2683.3128092763232</v>
      </c>
      <c r="W52" s="85">
        <f t="shared" si="13"/>
        <v>-11872.595580979296</v>
      </c>
      <c r="X52" s="90">
        <f t="shared" si="14"/>
        <v>2683.3128092763232</v>
      </c>
      <c r="Y52" s="86">
        <f t="shared" si="15"/>
        <v>-8756.8194600000006</v>
      </c>
      <c r="Z52" s="85">
        <f t="shared" si="16"/>
        <v>-832.16398485565549</v>
      </c>
      <c r="AA52" s="85">
        <f t="shared" si="17"/>
        <v>-848.42933675756501</v>
      </c>
      <c r="AB52" s="90">
        <f t="shared" si="18"/>
        <v>832.16398485565549</v>
      </c>
      <c r="AC52" s="86">
        <f t="shared" si="19"/>
        <v>29370.46442</v>
      </c>
      <c r="AD52" s="85">
        <f t="shared" si="20"/>
        <v>2598.140025222212</v>
      </c>
      <c r="AE52" s="85">
        <f t="shared" si="21"/>
        <v>11585.035902997881</v>
      </c>
      <c r="AF52" s="90">
        <f t="shared" si="22"/>
        <v>2598.140025222212</v>
      </c>
      <c r="AG52" s="86">
        <f t="shared" si="23"/>
        <v>9301.6328400000002</v>
      </c>
      <c r="AH52" s="85">
        <f t="shared" si="24"/>
        <v>6183.1314163678471</v>
      </c>
      <c r="AI52" s="85">
        <f t="shared" si="25"/>
        <v>6360.5071995766139</v>
      </c>
      <c r="AJ52" s="90">
        <f t="shared" si="26"/>
        <v>6183.1314163678471</v>
      </c>
      <c r="AL52" s="95">
        <f t="shared" si="27"/>
        <v>0</v>
      </c>
      <c r="AM52" s="95">
        <f t="shared" si="28"/>
        <v>0</v>
      </c>
      <c r="AN52" s="95">
        <f t="shared" si="29"/>
        <v>0</v>
      </c>
      <c r="AO52" s="95">
        <f t="shared" si="30"/>
        <v>0</v>
      </c>
      <c r="AP52"/>
      <c r="AQ52" s="95">
        <f t="shared" si="31"/>
        <v>0</v>
      </c>
      <c r="AR52" s="95">
        <f t="shared" si="32"/>
        <v>0</v>
      </c>
      <c r="AS52" s="95">
        <f>Geraetedaten!$B$94*ABS(SIN(RADIANS($A52)))</f>
        <v>34.642462368955208</v>
      </c>
      <c r="AT52" s="95">
        <f>Geraetedaten!$B$94*ABS(COS(RADIANS($A52)))</f>
        <v>150.05298997692623</v>
      </c>
      <c r="AU52" s="95">
        <f>((h_Aw_Sw+Geraetedaten!$B$18)/1000)*(AQ52*AS52+AR52*AT52)/100</f>
        <v>0</v>
      </c>
    </row>
    <row r="53" spans="1:47" ht="13.5" x14ac:dyDescent="0.25">
      <c r="A53" s="16">
        <v>14</v>
      </c>
      <c r="B53" s="16">
        <f t="shared" si="0"/>
        <v>436</v>
      </c>
      <c r="C53" s="19">
        <f t="shared" si="1"/>
        <v>44.43096768122831</v>
      </c>
      <c r="D53" s="17">
        <f t="shared" si="2"/>
        <v>-27627.61283768123</v>
      </c>
      <c r="E53" s="17">
        <f t="shared" si="3"/>
        <v>-8833.0630676812289</v>
      </c>
      <c r="F53" s="17">
        <f t="shared" si="4"/>
        <v>27259.52640231877</v>
      </c>
      <c r="G53" s="17">
        <f t="shared" si="5"/>
        <v>9297.9583623187718</v>
      </c>
      <c r="H53" s="17">
        <f t="shared" si="33"/>
        <v>9297.9583623187718</v>
      </c>
      <c r="I53" s="17">
        <f t="shared" si="6"/>
        <v>6388.3767124579263</v>
      </c>
      <c r="J53" s="20">
        <f>(Geraetedaten!$B$152+(Geraetedaten!$B$153*(Geraetedaten!$B$18+d_y_Sw)/1000))*10</f>
        <v>6051.0442000000003</v>
      </c>
      <c r="K53" s="20">
        <f>(Geraetedaten!$B$165+(Geraetedaten!$B$166*(Geraetedaten!$B$18+d_y_Sw)/1000))*10</f>
        <v>10816.164000000001</v>
      </c>
      <c r="L53" s="20">
        <f>(Geraetedaten!$B$158+(Geraetedaten!$B$159*(Geraetedaten!$B$18+d_y_Sw)/1000)-(Geraetedaten!$B$160*I53/1000))*10</f>
        <v>133.07693567546011</v>
      </c>
      <c r="M53" s="20">
        <f>(Geraetedaten!$B$171+(Geraetedaten!$B$172*(Geraetedaten!$B$18+d_y_Sw)/1000)-(Geraetedaten!$B$173*I53/1000))*10</f>
        <v>589.31623752463281</v>
      </c>
      <c r="N53" s="20">
        <f>IF((H53-J53)/(K53-J53)*(Geraetedaten!$B$174-Geraetedaten!$B$161)&lt;Geraetedaten!$B$174,(H53-J53)/(K53-J53)*(Geraetedaten!$B$174-Geraetedaten!$B$161),Geraetedaten!$B$174)</f>
        <v>272.55677075055036</v>
      </c>
      <c r="O53" s="20">
        <f>N53/Geraetedaten!$B$174*(M53-L53)+L53+C53</f>
        <v>488.38568036042869</v>
      </c>
      <c r="P53" s="20">
        <f t="shared" si="7"/>
        <v>161.00961056122023</v>
      </c>
      <c r="Q53" s="21">
        <f>(N53-Geraetedaten!$B$161)/(Geraetedaten!$B$174-Geraetedaten!$B$161)*(Geraetedaten!$B$175-Geraetedaten!$B$162)+Geraetedaten!$B$162</f>
        <v>37.308563929828871</v>
      </c>
      <c r="R53" s="21">
        <f t="shared" si="8"/>
        <v>37.308563929828871</v>
      </c>
      <c r="S53" s="21">
        <f t="shared" si="9"/>
        <v>9.0257585080055893</v>
      </c>
      <c r="T53" s="88">
        <f t="shared" si="10"/>
        <v>36.20034013460775</v>
      </c>
      <c r="U53" s="86">
        <f t="shared" si="11"/>
        <v>-27583.18187</v>
      </c>
      <c r="V53" s="85">
        <f t="shared" si="12"/>
        <v>-2683.3128092763232</v>
      </c>
      <c r="W53" s="85">
        <f t="shared" si="13"/>
        <v>-11043.559681533308</v>
      </c>
      <c r="X53" s="90">
        <f t="shared" si="14"/>
        <v>2683.3128092763232</v>
      </c>
      <c r="Y53" s="86">
        <f t="shared" si="15"/>
        <v>-8788.6321000000007</v>
      </c>
      <c r="Z53" s="85">
        <f t="shared" si="16"/>
        <v>-832.16398485565549</v>
      </c>
      <c r="AA53" s="85">
        <f t="shared" si="17"/>
        <v>-851.51159483465642</v>
      </c>
      <c r="AB53" s="90">
        <f t="shared" si="18"/>
        <v>832.16398485565549</v>
      </c>
      <c r="AC53" s="86">
        <f t="shared" si="19"/>
        <v>27303.95737</v>
      </c>
      <c r="AD53" s="85">
        <f t="shared" si="20"/>
        <v>2598.140025222212</v>
      </c>
      <c r="AE53" s="85">
        <f t="shared" si="21"/>
        <v>10769.912316119066</v>
      </c>
      <c r="AF53" s="90">
        <f t="shared" si="22"/>
        <v>2598.140025222212</v>
      </c>
      <c r="AG53" s="86">
        <f t="shared" si="23"/>
        <v>9342.38933</v>
      </c>
      <c r="AH53" s="85">
        <f t="shared" si="24"/>
        <v>6183.1314163678471</v>
      </c>
      <c r="AI53" s="85">
        <f t="shared" si="25"/>
        <v>6388.3767124579263</v>
      </c>
      <c r="AJ53" s="90">
        <f t="shared" si="26"/>
        <v>6183.1314163678471</v>
      </c>
      <c r="AL53" s="95">
        <f t="shared" si="27"/>
        <v>0</v>
      </c>
      <c r="AM53" s="95">
        <f t="shared" si="28"/>
        <v>0</v>
      </c>
      <c r="AN53" s="95">
        <f t="shared" si="29"/>
        <v>0</v>
      </c>
      <c r="AO53" s="95">
        <f t="shared" si="30"/>
        <v>0</v>
      </c>
      <c r="AP53"/>
      <c r="AQ53" s="95">
        <f t="shared" si="31"/>
        <v>0</v>
      </c>
      <c r="AR53" s="95">
        <f t="shared" si="32"/>
        <v>0</v>
      </c>
      <c r="AS53" s="95">
        <f>Geraetedaten!$B$94*ABS(SIN(RADIANS($A53)))</f>
        <v>37.255971922348827</v>
      </c>
      <c r="AT53" s="95">
        <f>Geraetedaten!$B$94*ABS(COS(RADIANS($A53)))</f>
        <v>149.42554184650345</v>
      </c>
      <c r="AU53" s="95">
        <f>((h_Aw_Sw+Geraetedaten!$B$18)/1000)*(AQ53*AS53+AR53*AT53)/100</f>
        <v>0</v>
      </c>
    </row>
    <row r="54" spans="1:47" ht="13.5" x14ac:dyDescent="0.25">
      <c r="A54" s="16">
        <v>15</v>
      </c>
      <c r="B54" s="16">
        <f t="shared" si="0"/>
        <v>435</v>
      </c>
      <c r="C54" s="19">
        <f t="shared" si="1"/>
        <v>45.373884731826024</v>
      </c>
      <c r="D54" s="17">
        <f t="shared" si="2"/>
        <v>-25835.543754731829</v>
      </c>
      <c r="E54" s="17">
        <f t="shared" si="3"/>
        <v>-8868.7481047318252</v>
      </c>
      <c r="F54" s="17">
        <f t="shared" si="4"/>
        <v>25471.021435268172</v>
      </c>
      <c r="G54" s="17">
        <f t="shared" si="5"/>
        <v>9341.0024452681737</v>
      </c>
      <c r="H54" s="17">
        <f t="shared" si="33"/>
        <v>9341.0024452681737</v>
      </c>
      <c r="I54" s="17">
        <f t="shared" si="6"/>
        <v>6418.455257061798</v>
      </c>
      <c r="J54" s="20">
        <f>(Geraetedaten!$B$152+(Geraetedaten!$B$153*(Geraetedaten!$B$18+d_y_Sw)/1000))*10</f>
        <v>6051.0442000000003</v>
      </c>
      <c r="K54" s="20">
        <f>(Geraetedaten!$B$165+(Geraetedaten!$B$166*(Geraetedaten!$B$18+d_y_Sw)/1000))*10</f>
        <v>10816.164000000001</v>
      </c>
      <c r="L54" s="20">
        <f>(Geraetedaten!$B$158+(Geraetedaten!$B$159*(Geraetedaten!$B$18+d_y_Sw)/1000)-(Geraetedaten!$B$160*I54/1000))*10</f>
        <v>130.87127599965817</v>
      </c>
      <c r="M54" s="20">
        <f>(Geraetedaten!$B$171+(Geraetedaten!$B$172*(Geraetedaten!$B$18+d_y_Sw)/1000)-(Geraetedaten!$B$173*I54/1000))*10</f>
        <v>587.0771906643206</v>
      </c>
      <c r="N54" s="20">
        <f>IF((H54-J54)/(K54-J54)*(Geraetedaten!$B$174-Geraetedaten!$B$161)&lt;Geraetedaten!$B$174,(H54-J54)/(K54-J54)*(Geraetedaten!$B$174-Geraetedaten!$B$161),Geraetedaten!$B$174)</f>
        <v>276.17003419457984</v>
      </c>
      <c r="O54" s="20">
        <f>N54/Geraetedaten!$B$174*(M54-L54)+L54+C54</f>
        <v>491.22116836325773</v>
      </c>
      <c r="P54" s="20">
        <f t="shared" si="7"/>
        <v>161.53995253843698</v>
      </c>
      <c r="Q54" s="21">
        <f>(N54-Geraetedaten!$B$161)/(Geraetedaten!$B$174-Geraetedaten!$B$161)*(Geraetedaten!$B$175-Geraetedaten!$B$162)+Geraetedaten!$B$162</f>
        <v>37.416058517288754</v>
      </c>
      <c r="R54" s="21">
        <f t="shared" si="8"/>
        <v>37.416058517288754</v>
      </c>
      <c r="S54" s="21">
        <f t="shared" si="9"/>
        <v>9.6839885369447138</v>
      </c>
      <c r="T54" s="88">
        <f t="shared" si="10"/>
        <v>36.141137239792272</v>
      </c>
      <c r="U54" s="86">
        <f t="shared" si="11"/>
        <v>-25790.169870000002</v>
      </c>
      <c r="V54" s="85">
        <f t="shared" si="12"/>
        <v>-2683.3128092763232</v>
      </c>
      <c r="W54" s="85">
        <f t="shared" si="13"/>
        <v>-10325.686192221654</v>
      </c>
      <c r="X54" s="90">
        <f t="shared" si="14"/>
        <v>2683.3128092763232</v>
      </c>
      <c r="Y54" s="86">
        <f t="shared" si="15"/>
        <v>-8823.3742199999997</v>
      </c>
      <c r="Z54" s="85">
        <f t="shared" si="16"/>
        <v>-832.16398485565549</v>
      </c>
      <c r="AA54" s="85">
        <f t="shared" si="17"/>
        <v>-854.8776831263981</v>
      </c>
      <c r="AB54" s="90">
        <f t="shared" si="18"/>
        <v>832.16398485565549</v>
      </c>
      <c r="AC54" s="86">
        <f t="shared" si="19"/>
        <v>25516.39532</v>
      </c>
      <c r="AD54" s="85">
        <f t="shared" si="20"/>
        <v>2598.140025222212</v>
      </c>
      <c r="AE54" s="85">
        <f t="shared" si="21"/>
        <v>10064.817217253678</v>
      </c>
      <c r="AF54" s="90">
        <f t="shared" si="22"/>
        <v>2598.140025222212</v>
      </c>
      <c r="AG54" s="86">
        <f t="shared" si="23"/>
        <v>9386.3763299999991</v>
      </c>
      <c r="AH54" s="85">
        <f t="shared" si="24"/>
        <v>6183.1314163678471</v>
      </c>
      <c r="AI54" s="85">
        <f t="shared" si="25"/>
        <v>6418.455257061798</v>
      </c>
      <c r="AJ54" s="90">
        <f t="shared" si="26"/>
        <v>6183.1314163678471</v>
      </c>
      <c r="AL54" s="95">
        <f t="shared" si="27"/>
        <v>0</v>
      </c>
      <c r="AM54" s="95">
        <f t="shared" si="28"/>
        <v>0</v>
      </c>
      <c r="AN54" s="95">
        <f t="shared" si="29"/>
        <v>0</v>
      </c>
      <c r="AO54" s="95">
        <f t="shared" si="30"/>
        <v>0</v>
      </c>
      <c r="AP54"/>
      <c r="AQ54" s="95">
        <f t="shared" si="31"/>
        <v>0</v>
      </c>
      <c r="AR54" s="95">
        <f t="shared" si="32"/>
        <v>0</v>
      </c>
      <c r="AS54" s="95">
        <f>Geraetedaten!$B$94*ABS(SIN(RADIANS($A54)))</f>
        <v>39.858132945788192</v>
      </c>
      <c r="AT54" s="95">
        <f>Geraetedaten!$B$94*ABS(COS(RADIANS($A54)))</f>
        <v>148.75257724851653</v>
      </c>
      <c r="AU54" s="95">
        <f>((h_Aw_Sw+Geraetedaten!$B$18)/1000)*(AQ54*AS54+AR54*AT54)/100</f>
        <v>0</v>
      </c>
    </row>
    <row r="55" spans="1:47" ht="13.5" x14ac:dyDescent="0.25">
      <c r="A55" s="16">
        <v>16</v>
      </c>
      <c r="B55" s="16">
        <f t="shared" si="0"/>
        <v>434</v>
      </c>
      <c r="C55" s="19">
        <f t="shared" si="1"/>
        <v>46.302980457587736</v>
      </c>
      <c r="D55" s="17">
        <f t="shared" si="2"/>
        <v>-24269.266410457589</v>
      </c>
      <c r="E55" s="17">
        <f t="shared" si="3"/>
        <v>-8907.4049704575864</v>
      </c>
      <c r="F55" s="17">
        <f t="shared" si="4"/>
        <v>23909.056589542412</v>
      </c>
      <c r="G55" s="17">
        <f t="shared" si="5"/>
        <v>9387.3636895424133</v>
      </c>
      <c r="H55" s="17">
        <f t="shared" si="33"/>
        <v>9387.3636895424133</v>
      </c>
      <c r="I55" s="17">
        <f t="shared" si="6"/>
        <v>6450.7926500266549</v>
      </c>
      <c r="J55" s="20">
        <f>(Geraetedaten!$B$152+(Geraetedaten!$B$153*(Geraetedaten!$B$18+d_y_Sw)/1000))*10</f>
        <v>6051.0442000000003</v>
      </c>
      <c r="K55" s="20">
        <f>(Geraetedaten!$B$165+(Geraetedaten!$B$166*(Geraetedaten!$B$18+d_y_Sw)/1000))*10</f>
        <v>10816.164000000001</v>
      </c>
      <c r="L55" s="20">
        <f>(Geraetedaten!$B$158+(Geraetedaten!$B$159*(Geraetedaten!$B$18+d_y_Sw)/1000)-(Geraetedaten!$B$160*I55/1000))*10</f>
        <v>128.49997497354522</v>
      </c>
      <c r="M55" s="20">
        <f>(Geraetedaten!$B$171+(Geraetedaten!$B$172*(Geraetedaten!$B$18+d_y_Sw)/1000)-(Geraetedaten!$B$173*I55/1000))*10</f>
        <v>584.66999513201665</v>
      </c>
      <c r="N55" s="20">
        <f>IF((H55-J55)/(K55-J55)*(Geraetedaten!$B$174-Geraetedaten!$B$161)&lt;Geraetedaten!$B$174,(H55-J55)/(K55-J55)*(Geraetedaten!$B$174-Geraetedaten!$B$161),Geraetedaten!$B$174)</f>
        <v>280.0617511897529</v>
      </c>
      <c r="O55" s="20">
        <f>N55/Geraetedaten!$B$174*(M55-L55)+L55+C55</f>
        <v>494.19239214574895</v>
      </c>
      <c r="P55" s="20">
        <f t="shared" si="7"/>
        <v>162.08075221270894</v>
      </c>
      <c r="Q55" s="21">
        <f>(N55-Geraetedaten!$B$161)/(Geraetedaten!$B$174-Geraetedaten!$B$161)*(Geraetedaten!$B$175-Geraetedaten!$B$162)+Geraetedaten!$B$162</f>
        <v>37.531837097895149</v>
      </c>
      <c r="R55" s="21">
        <f t="shared" si="8"/>
        <v>37.531837097895149</v>
      </c>
      <c r="S55" s="21">
        <f t="shared" si="9"/>
        <v>10.345176336618174</v>
      </c>
      <c r="T55" s="88">
        <f t="shared" si="10"/>
        <v>36.077917380403406</v>
      </c>
      <c r="U55" s="86">
        <f t="shared" si="11"/>
        <v>-24222.96343</v>
      </c>
      <c r="V55" s="85">
        <f t="shared" si="12"/>
        <v>-2683.3128092763232</v>
      </c>
      <c r="W55" s="85">
        <f t="shared" si="13"/>
        <v>-9698.2191395340487</v>
      </c>
      <c r="X55" s="90">
        <f t="shared" si="14"/>
        <v>2683.3128092763232</v>
      </c>
      <c r="Y55" s="86">
        <f t="shared" si="15"/>
        <v>-8861.1019899999992</v>
      </c>
      <c r="Z55" s="85">
        <f t="shared" si="16"/>
        <v>-832.16398485565549</v>
      </c>
      <c r="AA55" s="85">
        <f t="shared" si="17"/>
        <v>-858.5330452129914</v>
      </c>
      <c r="AB55" s="90">
        <f t="shared" si="18"/>
        <v>832.16398485565549</v>
      </c>
      <c r="AC55" s="86">
        <f t="shared" si="19"/>
        <v>23955.359570000001</v>
      </c>
      <c r="AD55" s="85">
        <f t="shared" si="20"/>
        <v>2598.140025222212</v>
      </c>
      <c r="AE55" s="85">
        <f t="shared" si="21"/>
        <v>9449.0743060066488</v>
      </c>
      <c r="AF55" s="90">
        <f t="shared" si="22"/>
        <v>2598.140025222212</v>
      </c>
      <c r="AG55" s="86">
        <f t="shared" si="23"/>
        <v>9433.6666700000005</v>
      </c>
      <c r="AH55" s="85">
        <f t="shared" si="24"/>
        <v>6183.1314163678471</v>
      </c>
      <c r="AI55" s="85">
        <f t="shared" si="25"/>
        <v>6450.7926500266549</v>
      </c>
      <c r="AJ55" s="90">
        <f t="shared" si="26"/>
        <v>6183.1314163678471</v>
      </c>
      <c r="AL55" s="95">
        <f t="shared" si="27"/>
        <v>0</v>
      </c>
      <c r="AM55" s="95">
        <f t="shared" si="28"/>
        <v>0</v>
      </c>
      <c r="AN55" s="95">
        <f t="shared" si="29"/>
        <v>0</v>
      </c>
      <c r="AO55" s="95">
        <f t="shared" si="30"/>
        <v>0</v>
      </c>
      <c r="AP55"/>
      <c r="AQ55" s="95">
        <f t="shared" si="31"/>
        <v>0</v>
      </c>
      <c r="AR55" s="95">
        <f t="shared" si="32"/>
        <v>0</v>
      </c>
      <c r="AS55" s="95">
        <f>Geraetedaten!$B$94*ABS(SIN(RADIANS($A55)))</f>
        <v>42.448152795817869</v>
      </c>
      <c r="AT55" s="95">
        <f>Geraetedaten!$B$94*ABS(COS(RADIANS($A55)))</f>
        <v>148.03430117450111</v>
      </c>
      <c r="AU55" s="95">
        <f>((h_Aw_Sw+Geraetedaten!$B$18)/1000)*(AQ55*AS55+AR55*AT55)/100</f>
        <v>0</v>
      </c>
    </row>
    <row r="56" spans="1:47" ht="13.5" x14ac:dyDescent="0.25">
      <c r="A56" s="16">
        <v>17</v>
      </c>
      <c r="B56" s="16">
        <f t="shared" si="0"/>
        <v>433</v>
      </c>
      <c r="C56" s="19">
        <f t="shared" si="1"/>
        <v>47.217971846955017</v>
      </c>
      <c r="D56" s="17">
        <f t="shared" si="2"/>
        <v>-22889.093551846956</v>
      </c>
      <c r="E56" s="17">
        <f t="shared" si="3"/>
        <v>-8949.0949918469541</v>
      </c>
      <c r="F56" s="17">
        <f t="shared" si="4"/>
        <v>22533.577568153043</v>
      </c>
      <c r="G56" s="17">
        <f t="shared" si="5"/>
        <v>9437.1216181530453</v>
      </c>
      <c r="H56" s="17">
        <f t="shared" si="33"/>
        <v>9437.1216181530453</v>
      </c>
      <c r="I56" s="17">
        <f t="shared" si="6"/>
        <v>6485.4430690576937</v>
      </c>
      <c r="J56" s="20">
        <f>(Geraetedaten!$B$152+(Geraetedaten!$B$153*(Geraetedaten!$B$18+d_y_Sw)/1000))*10</f>
        <v>6051.0442000000003</v>
      </c>
      <c r="K56" s="20">
        <f>(Geraetedaten!$B$165+(Geraetedaten!$B$166*(Geraetedaten!$B$18+d_y_Sw)/1000))*10</f>
        <v>10816.164000000001</v>
      </c>
      <c r="L56" s="20">
        <f>(Geraetedaten!$B$158+(Geraetedaten!$B$159*(Geraetedaten!$B$18+d_y_Sw)/1000)-(Geraetedaten!$B$160*I56/1000))*10</f>
        <v>125.95905974599916</v>
      </c>
      <c r="M56" s="20">
        <f>(Geraetedaten!$B$171+(Geraetedaten!$B$172*(Geraetedaten!$B$18+d_y_Sw)/1000)-(Geraetedaten!$B$173*I56/1000))*10</f>
        <v>582.09061793934609</v>
      </c>
      <c r="N56" s="20">
        <f>IF((H56-J56)/(K56-J56)*(Geraetedaten!$B$174-Geraetedaten!$B$161)&lt;Geraetedaten!$B$174,(H56-J56)/(K56-J56)*(Geraetedaten!$B$174-Geraetedaten!$B$161),Geraetedaten!$B$174)</f>
        <v>284.23859716207301</v>
      </c>
      <c r="O56" s="20">
        <f>N56/Geraetedaten!$B$174*(M56-L56)+L56+C56</f>
        <v>497.30251714852272</v>
      </c>
      <c r="P56" s="20">
        <f t="shared" si="7"/>
        <v>162.63189369913374</v>
      </c>
      <c r="Q56" s="21">
        <f>(N56-Geraetedaten!$B$161)/(Geraetedaten!$B$174-Geraetedaten!$B$161)*(Geraetedaten!$B$175-Geraetedaten!$B$162)+Geraetedaten!$B$162</f>
        <v>37.656098265571671</v>
      </c>
      <c r="R56" s="21">
        <f t="shared" si="8"/>
        <v>37.656098265571671</v>
      </c>
      <c r="S56" s="21">
        <f t="shared" si="9"/>
        <v>11.009577643112081</v>
      </c>
      <c r="T56" s="88">
        <f t="shared" si="10"/>
        <v>36.010705862377598</v>
      </c>
      <c r="U56" s="86">
        <f t="shared" si="11"/>
        <v>-22841.87558</v>
      </c>
      <c r="V56" s="85">
        <f t="shared" si="12"/>
        <v>-2683.3128092763232</v>
      </c>
      <c r="W56" s="85">
        <f t="shared" si="13"/>
        <v>-9145.2689348724707</v>
      </c>
      <c r="X56" s="90">
        <f t="shared" si="14"/>
        <v>2683.3128092763232</v>
      </c>
      <c r="Y56" s="86">
        <f t="shared" si="15"/>
        <v>-8901.8770199999999</v>
      </c>
      <c r="Z56" s="85">
        <f t="shared" si="16"/>
        <v>-832.16398485565549</v>
      </c>
      <c r="AA56" s="85">
        <f t="shared" si="17"/>
        <v>-862.48365044662069</v>
      </c>
      <c r="AB56" s="90">
        <f t="shared" si="18"/>
        <v>832.16398485565549</v>
      </c>
      <c r="AC56" s="86">
        <f t="shared" si="19"/>
        <v>22580.795539999999</v>
      </c>
      <c r="AD56" s="85">
        <f t="shared" si="20"/>
        <v>2598.140025222212</v>
      </c>
      <c r="AE56" s="85">
        <f t="shared" si="21"/>
        <v>8906.8842557912885</v>
      </c>
      <c r="AF56" s="90">
        <f t="shared" si="22"/>
        <v>2598.140025222212</v>
      </c>
      <c r="AG56" s="86">
        <f t="shared" si="23"/>
        <v>9484.3395899999996</v>
      </c>
      <c r="AH56" s="85">
        <f t="shared" si="24"/>
        <v>6183.1314163678471</v>
      </c>
      <c r="AI56" s="85">
        <f t="shared" si="25"/>
        <v>6485.4430690576937</v>
      </c>
      <c r="AJ56" s="90">
        <f t="shared" si="26"/>
        <v>6183.1314163678471</v>
      </c>
      <c r="AL56" s="95">
        <f t="shared" si="27"/>
        <v>0</v>
      </c>
      <c r="AM56" s="95">
        <f t="shared" si="28"/>
        <v>0</v>
      </c>
      <c r="AN56" s="95">
        <f t="shared" si="29"/>
        <v>0</v>
      </c>
      <c r="AO56" s="95">
        <f t="shared" si="30"/>
        <v>0</v>
      </c>
      <c r="AP56"/>
      <c r="AQ56" s="95">
        <f t="shared" si="31"/>
        <v>0</v>
      </c>
      <c r="AR56" s="95">
        <f t="shared" si="32"/>
        <v>0</v>
      </c>
      <c r="AS56" s="95">
        <f>Geraetedaten!$B$94*ABS(SIN(RADIANS($A56)))</f>
        <v>45.025242527301465</v>
      </c>
      <c r="AT56" s="95">
        <f>Geraetedaten!$B$94*ABS(COS(RADIANS($A56)))</f>
        <v>147.27093241830747</v>
      </c>
      <c r="AU56" s="95">
        <f>((h_Aw_Sw+Geraetedaten!$B$18)/1000)*(AQ56*AS56+AR56*AT56)/100</f>
        <v>0</v>
      </c>
    </row>
    <row r="57" spans="1:47" ht="13.5" x14ac:dyDescent="0.25">
      <c r="A57" s="16">
        <v>18</v>
      </c>
      <c r="B57" s="16">
        <f t="shared" si="0"/>
        <v>432</v>
      </c>
      <c r="C57" s="19">
        <f t="shared" si="1"/>
        <v>48.118580184686948</v>
      </c>
      <c r="D57" s="17">
        <f t="shared" si="2"/>
        <v>-21664.127930184688</v>
      </c>
      <c r="E57" s="17">
        <f t="shared" si="3"/>
        <v>-8993.8852001846881</v>
      </c>
      <c r="F57" s="17">
        <f t="shared" si="4"/>
        <v>21313.452079815313</v>
      </c>
      <c r="G57" s="17">
        <f t="shared" si="5"/>
        <v>9490.3624498153131</v>
      </c>
      <c r="H57" s="17">
        <f t="shared" si="33"/>
        <v>9490.3624498153131</v>
      </c>
      <c r="I57" s="17">
        <f t="shared" si="6"/>
        <v>6522.4652835977959</v>
      </c>
      <c r="J57" s="20">
        <f>(Geraetedaten!$B$152+(Geraetedaten!$B$153*(Geraetedaten!$B$18+d_y_Sw)/1000))*10</f>
        <v>6051.0442000000003</v>
      </c>
      <c r="K57" s="20">
        <f>(Geraetedaten!$B$165+(Geraetedaten!$B$166*(Geraetedaten!$B$18+d_y_Sw)/1000))*10</f>
        <v>10816.164000000001</v>
      </c>
      <c r="L57" s="20">
        <f>(Geraetedaten!$B$158+(Geraetedaten!$B$159*(Geraetedaten!$B$18+d_y_Sw)/1000)-(Geraetedaten!$B$160*I57/1000))*10</f>
        <v>123.24422075377349</v>
      </c>
      <c r="M57" s="20">
        <f>(Geraetedaten!$B$171+(Geraetedaten!$B$172*(Geraetedaten!$B$18+d_y_Sw)/1000)-(Geraetedaten!$B$173*I57/1000))*10</f>
        <v>579.33468428898084</v>
      </c>
      <c r="N57" s="20">
        <f>IF((H57-J57)/(K57-J57)*(Geraetedaten!$B$174-Geraetedaten!$B$161)&lt;Geraetedaten!$B$174,(H57-J57)/(K57-J57)*(Geraetedaten!$B$174-Geraetedaten!$B$161),Geraetedaten!$B$174)</f>
        <v>288.70780959717422</v>
      </c>
      <c r="O57" s="20">
        <f>N57/Geraetedaten!$B$174*(M57-L57)+L57+C57</f>
        <v>500.55499770198441</v>
      </c>
      <c r="P57" s="20">
        <f t="shared" si="7"/>
        <v>163.1932709417801</v>
      </c>
      <c r="Q57" s="21">
        <f>(N57-Geraetedaten!$B$161)/(Geraetedaten!$B$174-Geraetedaten!$B$161)*(Geraetedaten!$B$175-Geraetedaten!$B$162)+Geraetedaten!$B$162</f>
        <v>37.789057335515935</v>
      </c>
      <c r="R57" s="21">
        <f t="shared" si="8"/>
        <v>37.789057335515935</v>
      </c>
      <c r="S57" s="21">
        <f t="shared" si="9"/>
        <v>11.677460918083693</v>
      </c>
      <c r="T57" s="88">
        <f t="shared" si="10"/>
        <v>35.939529223593603</v>
      </c>
      <c r="U57" s="86">
        <f t="shared" si="11"/>
        <v>-21616.00935</v>
      </c>
      <c r="V57" s="85">
        <f t="shared" si="12"/>
        <v>-2683.3128092763232</v>
      </c>
      <c r="W57" s="85">
        <f t="shared" si="13"/>
        <v>-8654.4652630498567</v>
      </c>
      <c r="X57" s="90">
        <f t="shared" si="14"/>
        <v>2683.3128092763232</v>
      </c>
      <c r="Y57" s="86">
        <f t="shared" si="15"/>
        <v>-8945.7666200000003</v>
      </c>
      <c r="Z57" s="85">
        <f t="shared" si="16"/>
        <v>-832.16398485565549</v>
      </c>
      <c r="AA57" s="85">
        <f t="shared" si="17"/>
        <v>-866.73601847432212</v>
      </c>
      <c r="AB57" s="90">
        <f t="shared" si="18"/>
        <v>832.16398485565549</v>
      </c>
      <c r="AC57" s="86">
        <f t="shared" si="19"/>
        <v>21361.570660000001</v>
      </c>
      <c r="AD57" s="85">
        <f t="shared" si="20"/>
        <v>2598.140025222212</v>
      </c>
      <c r="AE57" s="85">
        <f t="shared" si="21"/>
        <v>8425.9669702488063</v>
      </c>
      <c r="AF57" s="90">
        <f t="shared" si="22"/>
        <v>2598.140025222212</v>
      </c>
      <c r="AG57" s="86">
        <f t="shared" si="23"/>
        <v>9538.4810300000008</v>
      </c>
      <c r="AH57" s="85">
        <f t="shared" si="24"/>
        <v>6183.1314163678471</v>
      </c>
      <c r="AI57" s="85">
        <f t="shared" si="25"/>
        <v>6522.4652835977959</v>
      </c>
      <c r="AJ57" s="90">
        <f t="shared" si="26"/>
        <v>6183.1314163678471</v>
      </c>
      <c r="AL57" s="95">
        <f t="shared" si="27"/>
        <v>0</v>
      </c>
      <c r="AM57" s="95">
        <f t="shared" si="28"/>
        <v>0</v>
      </c>
      <c r="AN57" s="95">
        <f t="shared" si="29"/>
        <v>0</v>
      </c>
      <c r="AO57" s="95">
        <f t="shared" si="30"/>
        <v>0</v>
      </c>
      <c r="AP57"/>
      <c r="AQ57" s="95">
        <f t="shared" si="31"/>
        <v>0</v>
      </c>
      <c r="AR57" s="95">
        <f t="shared" si="32"/>
        <v>0</v>
      </c>
      <c r="AS57" s="95">
        <f>Geraetedaten!$B$94*ABS(SIN(RADIANS($A57)))</f>
        <v>47.588617133741899</v>
      </c>
      <c r="AT57" s="95">
        <f>Geraetedaten!$B$94*ABS(COS(RADIANS($A57)))</f>
        <v>146.46270350945363</v>
      </c>
      <c r="AU57" s="95">
        <f>((h_Aw_Sw+Geraetedaten!$B$18)/1000)*(AQ57*AS57+AR57*AT57)/100</f>
        <v>0</v>
      </c>
    </row>
    <row r="58" spans="1:47" ht="13.5" x14ac:dyDescent="0.25">
      <c r="A58" s="16">
        <v>19</v>
      </c>
      <c r="B58" s="16">
        <f t="shared" si="0"/>
        <v>431</v>
      </c>
      <c r="C58" s="19">
        <f t="shared" si="1"/>
        <v>49.004531136759482</v>
      </c>
      <c r="D58" s="17">
        <f t="shared" si="2"/>
        <v>-20569.956671136762</v>
      </c>
      <c r="E58" s="17">
        <f t="shared" si="3"/>
        <v>-9041.8485511367599</v>
      </c>
      <c r="F58" s="17">
        <f t="shared" si="4"/>
        <v>20224.116928863237</v>
      </c>
      <c r="G58" s="17">
        <f t="shared" si="5"/>
        <v>9547.179498863241</v>
      </c>
      <c r="H58" s="17">
        <f t="shared" si="33"/>
        <v>9547.179498863241</v>
      </c>
      <c r="I58" s="17">
        <f t="shared" si="6"/>
        <v>6561.9229093313952</v>
      </c>
      <c r="J58" s="20">
        <f>(Geraetedaten!$B$152+(Geraetedaten!$B$153*(Geraetedaten!$B$18+d_y_Sw)/1000))*10</f>
        <v>6051.0442000000003</v>
      </c>
      <c r="K58" s="20">
        <f>(Geraetedaten!$B$165+(Geraetedaten!$B$166*(Geraetedaten!$B$18+d_y_Sw)/1000))*10</f>
        <v>10816.164000000001</v>
      </c>
      <c r="L58" s="20">
        <f>(Geraetedaten!$B$158+(Geraetedaten!$B$159*(Geraetedaten!$B$18+d_y_Sw)/1000)-(Geraetedaten!$B$160*I58/1000))*10</f>
        <v>120.35079305872863</v>
      </c>
      <c r="M58" s="20">
        <f>(Geraetedaten!$B$171+(Geraetedaten!$B$172*(Geraetedaten!$B$18+d_y_Sw)/1000)-(Geraetedaten!$B$173*I58/1000))*10</f>
        <v>576.39745862937173</v>
      </c>
      <c r="N58" s="20">
        <f>IF((H58-J58)/(K58-J58)*(Geraetedaten!$B$174-Geraetedaten!$B$161)&lt;Geraetedaten!$B$174,(H58-J58)/(K58-J58)*(Geraetedaten!$B$174-Geraetedaten!$B$161),Geraetedaten!$B$174)</f>
        <v>293.47722161052405</v>
      </c>
      <c r="O58" s="20">
        <f>N58/Geraetedaten!$B$174*(M58-L58)+L58+C58</f>
        <v>503.95359503652855</v>
      </c>
      <c r="P58" s="20">
        <f t="shared" si="7"/>
        <v>163.76478817286161</v>
      </c>
      <c r="Q58" s="21">
        <f>(N58-Geraetedaten!$B$161)/(Geraetedaten!$B$174-Geraetedaten!$B$161)*(Geraetedaten!$B$175-Geraetedaten!$B$162)+Geraetedaten!$B$162</f>
        <v>37.930947342913093</v>
      </c>
      <c r="R58" s="21">
        <f t="shared" si="8"/>
        <v>37.930947342913093</v>
      </c>
      <c r="S58" s="21">
        <f t="shared" si="9"/>
        <v>12.349108523243807</v>
      </c>
      <c r="T58" s="88">
        <f t="shared" si="10"/>
        <v>35.864415302803877</v>
      </c>
      <c r="U58" s="86">
        <f t="shared" si="11"/>
        <v>-20520.952140000001</v>
      </c>
      <c r="V58" s="85">
        <f t="shared" si="12"/>
        <v>-2683.3128092763232</v>
      </c>
      <c r="W58" s="85">
        <f t="shared" si="13"/>
        <v>-8216.0339864140533</v>
      </c>
      <c r="X58" s="90">
        <f t="shared" si="14"/>
        <v>2683.3128092763232</v>
      </c>
      <c r="Y58" s="86">
        <f t="shared" si="15"/>
        <v>-8992.8440200000005</v>
      </c>
      <c r="Z58" s="85">
        <f t="shared" si="16"/>
        <v>-832.16398485565549</v>
      </c>
      <c r="AA58" s="85">
        <f t="shared" si="17"/>
        <v>-871.29724641901123</v>
      </c>
      <c r="AB58" s="90">
        <f t="shared" si="18"/>
        <v>832.16398485565549</v>
      </c>
      <c r="AC58" s="86">
        <f t="shared" si="19"/>
        <v>20273.121459999998</v>
      </c>
      <c r="AD58" s="85">
        <f t="shared" si="20"/>
        <v>2598.140025222212</v>
      </c>
      <c r="AE58" s="85">
        <f t="shared" si="21"/>
        <v>7996.6335109145302</v>
      </c>
      <c r="AF58" s="90">
        <f t="shared" si="22"/>
        <v>2598.140025222212</v>
      </c>
      <c r="AG58" s="86">
        <f t="shared" si="23"/>
        <v>9596.1840300000003</v>
      </c>
      <c r="AH58" s="85">
        <f t="shared" si="24"/>
        <v>6183.1314163678471</v>
      </c>
      <c r="AI58" s="85">
        <f t="shared" si="25"/>
        <v>6561.9229093313952</v>
      </c>
      <c r="AJ58" s="90">
        <f t="shared" si="26"/>
        <v>6183.1314163678471</v>
      </c>
      <c r="AL58" s="95">
        <f t="shared" si="27"/>
        <v>0</v>
      </c>
      <c r="AM58" s="95">
        <f t="shared" si="28"/>
        <v>0</v>
      </c>
      <c r="AN58" s="95">
        <f t="shared" si="29"/>
        <v>0</v>
      </c>
      <c r="AO58" s="95">
        <f t="shared" si="30"/>
        <v>0</v>
      </c>
      <c r="AP58"/>
      <c r="AQ58" s="95">
        <f t="shared" si="31"/>
        <v>0</v>
      </c>
      <c r="AR58" s="95">
        <f t="shared" si="32"/>
        <v>0</v>
      </c>
      <c r="AS58" s="95">
        <f>Geraetedaten!$B$94*ABS(SIN(RADIANS($A58)))</f>
        <v>50.137495786402134</v>
      </c>
      <c r="AT58" s="95">
        <f>Geraetedaten!$B$94*ABS(COS(RADIANS($A58)))</f>
        <v>145.60986064229479</v>
      </c>
      <c r="AU58" s="95">
        <f>((h_Aw_Sw+Geraetedaten!$B$18)/1000)*(AQ58*AS58+AR58*AT58)/100</f>
        <v>0</v>
      </c>
    </row>
    <row r="59" spans="1:47" ht="13.5" x14ac:dyDescent="0.25">
      <c r="A59" s="16">
        <v>20</v>
      </c>
      <c r="B59" s="16">
        <f t="shared" si="0"/>
        <v>430</v>
      </c>
      <c r="C59" s="19">
        <f t="shared" si="1"/>
        <v>49.875554833930202</v>
      </c>
      <c r="D59" s="17">
        <f t="shared" si="2"/>
        <v>-19587.035274833928</v>
      </c>
      <c r="E59" s="17">
        <f t="shared" si="3"/>
        <v>-9093.0643048339298</v>
      </c>
      <c r="F59" s="17">
        <f t="shared" si="4"/>
        <v>19245.932465166072</v>
      </c>
      <c r="G59" s="17">
        <f t="shared" si="5"/>
        <v>9607.6735651660692</v>
      </c>
      <c r="H59" s="17">
        <f t="shared" si="33"/>
        <v>9607.6735651660692</v>
      </c>
      <c r="I59" s="17">
        <f t="shared" si="6"/>
        <v>6603.8846886558113</v>
      </c>
      <c r="J59" s="20">
        <f>(Geraetedaten!$B$152+(Geraetedaten!$B$153*(Geraetedaten!$B$18+d_y_Sw)/1000))*10</f>
        <v>6051.0442000000003</v>
      </c>
      <c r="K59" s="20">
        <f>(Geraetedaten!$B$165+(Geraetedaten!$B$166*(Geraetedaten!$B$18+d_y_Sw)/1000))*10</f>
        <v>10816.164000000001</v>
      </c>
      <c r="L59" s="20">
        <f>(Geraetedaten!$B$158+(Geraetedaten!$B$159*(Geraetedaten!$B$18+d_y_Sw)/1000)-(Geraetedaten!$B$160*I59/1000))*10</f>
        <v>117.27373578086919</v>
      </c>
      <c r="M59" s="20">
        <f>(Geraetedaten!$B$171+(Geraetedaten!$B$172*(Geraetedaten!$B$18+d_y_Sw)/1000)-(Geraetedaten!$B$173*I59/1000))*10</f>
        <v>573.27382377646222</v>
      </c>
      <c r="N59" s="20">
        <f>IF((H59-J59)/(K59-J59)*(Geraetedaten!$B$174-Geraetedaten!$B$161)&lt;Geraetedaten!$B$174,(H59-J59)/(K59-J59)*(Geraetedaten!$B$174-Geraetedaten!$B$161),Geraetedaten!$B$174)</f>
        <v>298.55529467830536</v>
      </c>
      <c r="O59" s="20">
        <f>N59/Geraetedaten!$B$174*(M59-L59)+L59+C59</f>
        <v>507.50239222694302</v>
      </c>
      <c r="P59" s="20">
        <f t="shared" si="7"/>
        <v>164.34635947459705</v>
      </c>
      <c r="Q59" s="21">
        <f>(N59-Geraetedaten!$B$161)/(Geraetedaten!$B$174-Geraetedaten!$B$161)*(Geraetedaten!$B$175-Geraetedaten!$B$162)+Geraetedaten!$B$162</f>
        <v>38.082020016679586</v>
      </c>
      <c r="R59" s="21">
        <f t="shared" si="8"/>
        <v>38.082020016679586</v>
      </c>
      <c r="S59" s="21">
        <f t="shared" si="9"/>
        <v>13.024817944235737</v>
      </c>
      <c r="T59" s="88">
        <f t="shared" si="10"/>
        <v>35.785393194295061</v>
      </c>
      <c r="U59" s="86">
        <f t="shared" si="11"/>
        <v>-19537.15972</v>
      </c>
      <c r="V59" s="85">
        <f t="shared" si="12"/>
        <v>-2683.3128092763232</v>
      </c>
      <c r="W59" s="85">
        <f t="shared" si="13"/>
        <v>-7822.1501193585782</v>
      </c>
      <c r="X59" s="90">
        <f t="shared" si="14"/>
        <v>2683.3128092763232</v>
      </c>
      <c r="Y59" s="86">
        <f t="shared" si="15"/>
        <v>-9043.1887499999993</v>
      </c>
      <c r="Z59" s="85">
        <f t="shared" si="16"/>
        <v>-832.16398485565549</v>
      </c>
      <c r="AA59" s="85">
        <f t="shared" si="17"/>
        <v>-876.17503893630965</v>
      </c>
      <c r="AB59" s="90">
        <f t="shared" si="18"/>
        <v>832.16398485565549</v>
      </c>
      <c r="AC59" s="86">
        <f t="shared" si="19"/>
        <v>19295.80802</v>
      </c>
      <c r="AD59" s="85">
        <f t="shared" si="20"/>
        <v>2598.140025222212</v>
      </c>
      <c r="AE59" s="85">
        <f t="shared" si="21"/>
        <v>7611.1370081158357</v>
      </c>
      <c r="AF59" s="90">
        <f t="shared" si="22"/>
        <v>2598.140025222212</v>
      </c>
      <c r="AG59" s="86">
        <f t="shared" si="23"/>
        <v>9657.5491199999997</v>
      </c>
      <c r="AH59" s="85">
        <f t="shared" si="24"/>
        <v>6183.1314163678471</v>
      </c>
      <c r="AI59" s="85">
        <f t="shared" si="25"/>
        <v>6603.8846886558113</v>
      </c>
      <c r="AJ59" s="90">
        <f t="shared" si="26"/>
        <v>6183.1314163678471</v>
      </c>
      <c r="AL59" s="95">
        <f t="shared" si="27"/>
        <v>0</v>
      </c>
      <c r="AM59" s="95">
        <f t="shared" si="28"/>
        <v>0</v>
      </c>
      <c r="AN59" s="95">
        <f t="shared" si="29"/>
        <v>0</v>
      </c>
      <c r="AO59" s="95">
        <f t="shared" si="30"/>
        <v>0</v>
      </c>
      <c r="AP59"/>
      <c r="AQ59" s="95">
        <f t="shared" si="31"/>
        <v>0</v>
      </c>
      <c r="AR59" s="95">
        <f t="shared" si="32"/>
        <v>0</v>
      </c>
      <c r="AS59" s="95">
        <f>Geraetedaten!$B$94*ABS(SIN(RADIANS($A59)))</f>
        <v>52.671102072152983</v>
      </c>
      <c r="AT59" s="95">
        <f>Geraetedaten!$B$94*ABS(COS(RADIANS($A59)))</f>
        <v>144.7126636010299</v>
      </c>
      <c r="AU59" s="95">
        <f>((h_Aw_Sw+Geraetedaten!$B$18)/1000)*(AQ59*AS59+AR59*AT59)/100</f>
        <v>0</v>
      </c>
    </row>
    <row r="60" spans="1:47" ht="13.5" x14ac:dyDescent="0.25">
      <c r="A60" s="16">
        <v>21</v>
      </c>
      <c r="B60" s="16">
        <f t="shared" si="0"/>
        <v>429</v>
      </c>
      <c r="C60" s="19">
        <f t="shared" si="1"/>
        <v>50.73138595394316</v>
      </c>
      <c r="D60" s="17">
        <f t="shared" si="2"/>
        <v>-18699.531875953944</v>
      </c>
      <c r="E60" s="17">
        <f t="shared" si="3"/>
        <v>-9147.6183359539427</v>
      </c>
      <c r="F60" s="17">
        <f t="shared" si="4"/>
        <v>18363.008074046058</v>
      </c>
      <c r="G60" s="17">
        <f t="shared" si="5"/>
        <v>9671.9533840460572</v>
      </c>
      <c r="H60" s="17">
        <f t="shared" si="33"/>
        <v>9671.9533840460572</v>
      </c>
      <c r="I60" s="17">
        <f t="shared" si="6"/>
        <v>6648.4247995235228</v>
      </c>
      <c r="J60" s="20">
        <f>(Geraetedaten!$B$152+(Geraetedaten!$B$153*(Geraetedaten!$B$18+d_y_Sw)/1000))*10</f>
        <v>6051.0442000000003</v>
      </c>
      <c r="K60" s="20">
        <f>(Geraetedaten!$B$165+(Geraetedaten!$B$166*(Geraetedaten!$B$18+d_y_Sw)/1000))*10</f>
        <v>10816.164000000001</v>
      </c>
      <c r="L60" s="20">
        <f>(Geraetedaten!$B$158+(Geraetedaten!$B$159*(Geraetedaten!$B$18+d_y_Sw)/1000)-(Geraetedaten!$B$160*I60/1000))*10</f>
        <v>114.00760945093992</v>
      </c>
      <c r="M60" s="20">
        <f>(Geraetedaten!$B$171+(Geraetedaten!$B$172*(Geraetedaten!$B$18+d_y_Sw)/1000)-(Geraetedaten!$B$173*I60/1000))*10</f>
        <v>569.95825792346977</v>
      </c>
      <c r="N60" s="20">
        <f>IF((H60-J60)/(K60-J60)*(Geraetedaten!$B$174-Geraetedaten!$B$161)&lt;Geraetedaten!$B$174,(H60-J60)/(K60-J60)*(Geraetedaten!$B$174-Geraetedaten!$B$161),Geraetedaten!$B$174)</f>
        <v>303.95115640501268</v>
      </c>
      <c r="O60" s="20">
        <f>N60/Geraetedaten!$B$174*(M60-L60)+L60+C60</f>
        <v>511.20581257198529</v>
      </c>
      <c r="P60" s="20">
        <f t="shared" si="7"/>
        <v>164.93790866335675</v>
      </c>
      <c r="Q60" s="21">
        <f>(N60-Geraetedaten!$B$161)/(Geraetedaten!$B$174-Geraetedaten!$B$161)*(Geraetedaten!$B$175-Geraetedaten!$B$162)+Geraetedaten!$B$162</f>
        <v>38.242546903049131</v>
      </c>
      <c r="R60" s="21">
        <f t="shared" si="8"/>
        <v>38.242546903049131</v>
      </c>
      <c r="S60" s="21">
        <f t="shared" si="9"/>
        <v>13.70490311903569</v>
      </c>
      <c r="T60" s="88">
        <f t="shared" si="10"/>
        <v>35.702493248087848</v>
      </c>
      <c r="U60" s="86">
        <f t="shared" si="11"/>
        <v>-18648.800490000001</v>
      </c>
      <c r="V60" s="85">
        <f t="shared" si="12"/>
        <v>-2683.3128092763232</v>
      </c>
      <c r="W60" s="85">
        <f t="shared" si="13"/>
        <v>-7466.4751215932911</v>
      </c>
      <c r="X60" s="90">
        <f t="shared" si="14"/>
        <v>2683.3128092763232</v>
      </c>
      <c r="Y60" s="86">
        <f t="shared" si="15"/>
        <v>-9096.8869500000001</v>
      </c>
      <c r="Z60" s="85">
        <f t="shared" si="16"/>
        <v>-832.16398485565549</v>
      </c>
      <c r="AA60" s="85">
        <f t="shared" si="17"/>
        <v>-881.37774139252076</v>
      </c>
      <c r="AB60" s="90">
        <f t="shared" si="18"/>
        <v>832.16398485565549</v>
      </c>
      <c r="AC60" s="86">
        <f t="shared" si="19"/>
        <v>18413.739460000001</v>
      </c>
      <c r="AD60" s="85">
        <f t="shared" si="20"/>
        <v>2598.140025222212</v>
      </c>
      <c r="AE60" s="85">
        <f t="shared" si="21"/>
        <v>7263.2093822209099</v>
      </c>
      <c r="AF60" s="90">
        <f t="shared" si="22"/>
        <v>2598.140025222212</v>
      </c>
      <c r="AG60" s="86">
        <f t="shared" si="23"/>
        <v>9722.6847699999998</v>
      </c>
      <c r="AH60" s="85">
        <f t="shared" si="24"/>
        <v>6183.1314163678471</v>
      </c>
      <c r="AI60" s="85">
        <f t="shared" si="25"/>
        <v>6648.4247995235228</v>
      </c>
      <c r="AJ60" s="90">
        <f t="shared" si="26"/>
        <v>6183.1314163678471</v>
      </c>
      <c r="AL60" s="95">
        <f t="shared" si="27"/>
        <v>0</v>
      </c>
      <c r="AM60" s="95">
        <f t="shared" si="28"/>
        <v>0</v>
      </c>
      <c r="AN60" s="95">
        <f t="shared" si="29"/>
        <v>0</v>
      </c>
      <c r="AO60" s="95">
        <f t="shared" si="30"/>
        <v>0</v>
      </c>
      <c r="AP60"/>
      <c r="AQ60" s="95">
        <f t="shared" si="31"/>
        <v>0</v>
      </c>
      <c r="AR60" s="95">
        <f t="shared" si="32"/>
        <v>0</v>
      </c>
      <c r="AS60" s="95">
        <f>Geraetedaten!$B$94*ABS(SIN(RADIANS($A60)))</f>
        <v>55.18866422997624</v>
      </c>
      <c r="AT60" s="95">
        <f>Geraetedaten!$B$94*ABS(COS(RADIANS($A60)))</f>
        <v>143.77138568056907</v>
      </c>
      <c r="AU60" s="95">
        <f>((h_Aw_Sw+Geraetedaten!$B$18)/1000)*(AQ60*AS60+AR60*AT60)/100</f>
        <v>0</v>
      </c>
    </row>
    <row r="61" spans="1:47" ht="13.5" x14ac:dyDescent="0.25">
      <c r="A61" s="16">
        <v>22</v>
      </c>
      <c r="B61" s="16">
        <f t="shared" si="0"/>
        <v>428</v>
      </c>
      <c r="C61" s="19">
        <f t="shared" si="1"/>
        <v>51.57176380234857</v>
      </c>
      <c r="D61" s="17">
        <f t="shared" si="2"/>
        <v>-17894.48589380235</v>
      </c>
      <c r="E61" s="17">
        <f t="shared" si="3"/>
        <v>-9205.6035038023492</v>
      </c>
      <c r="F61" s="17">
        <f t="shared" si="4"/>
        <v>17562.348576197652</v>
      </c>
      <c r="G61" s="17">
        <f t="shared" si="5"/>
        <v>9740.1361361976506</v>
      </c>
      <c r="H61" s="17">
        <f t="shared" si="33"/>
        <v>9740.1361361976506</v>
      </c>
      <c r="I61" s="17">
        <f t="shared" si="6"/>
        <v>6695.6231953623465</v>
      </c>
      <c r="J61" s="20">
        <f>(Geraetedaten!$B$152+(Geraetedaten!$B$153*(Geraetedaten!$B$18+d_y_Sw)/1000))*10</f>
        <v>6051.0442000000003</v>
      </c>
      <c r="K61" s="20">
        <f>(Geraetedaten!$B$165+(Geraetedaten!$B$166*(Geraetedaten!$B$18+d_y_Sw)/1000))*10</f>
        <v>10816.164000000001</v>
      </c>
      <c r="L61" s="20">
        <f>(Geraetedaten!$B$158+(Geraetedaten!$B$159*(Geraetedaten!$B$18+d_y_Sw)/1000)-(Geraetedaten!$B$160*I61/1000))*10</f>
        <v>110.54655108407893</v>
      </c>
      <c r="M61" s="20">
        <f>(Geraetedaten!$B$171+(Geraetedaten!$B$172*(Geraetedaten!$B$18+d_y_Sw)/1000)-(Geraetedaten!$B$173*I61/1000))*10</f>
        <v>566.44480933722775</v>
      </c>
      <c r="N61" s="20">
        <f>IF((H61-J61)/(K61-J61)*(Geraetedaten!$B$174-Geraetedaten!$B$161)&lt;Geraetedaten!$B$174,(H61-J61)/(K61-J61)*(Geraetedaten!$B$174-Geraetedaten!$B$161),Geraetedaten!$B$174)</f>
        <v>309.67464332776274</v>
      </c>
      <c r="O61" s="20">
        <f>N61/Geraetedaten!$B$174*(M61-L61)+L61+C61</f>
        <v>515.06864118215788</v>
      </c>
      <c r="P61" s="20">
        <f t="shared" si="7"/>
        <v>165.53936940904731</v>
      </c>
      <c r="Q61" s="21">
        <f>(N61-Geraetedaten!$B$161)/(Geraetedaten!$B$174-Geraetedaten!$B$161)*(Geraetedaten!$B$175-Geraetedaten!$B$162)+Geraetedaten!$B$162</f>
        <v>38.412820639000941</v>
      </c>
      <c r="R61" s="21">
        <f t="shared" si="8"/>
        <v>38.412820639000941</v>
      </c>
      <c r="S61" s="21">
        <f t="shared" si="9"/>
        <v>14.389695883072578</v>
      </c>
      <c r="T61" s="88">
        <f t="shared" si="10"/>
        <v>35.615747104851536</v>
      </c>
      <c r="U61" s="86">
        <f t="shared" si="11"/>
        <v>-17842.914130000001</v>
      </c>
      <c r="V61" s="85">
        <f t="shared" si="12"/>
        <v>-2683.3128092763232</v>
      </c>
      <c r="W61" s="85">
        <f t="shared" si="13"/>
        <v>-7143.8200286905676</v>
      </c>
      <c r="X61" s="90">
        <f t="shared" si="14"/>
        <v>2683.3128092763232</v>
      </c>
      <c r="Y61" s="86">
        <f t="shared" si="15"/>
        <v>-9154.0317400000004</v>
      </c>
      <c r="Z61" s="85">
        <f t="shared" si="16"/>
        <v>-832.16398485565549</v>
      </c>
      <c r="AA61" s="85">
        <f t="shared" si="17"/>
        <v>-886.91437644011819</v>
      </c>
      <c r="AB61" s="90">
        <f t="shared" si="18"/>
        <v>832.16398485565549</v>
      </c>
      <c r="AC61" s="86">
        <f t="shared" si="19"/>
        <v>17613.920340000001</v>
      </c>
      <c r="AD61" s="85">
        <f t="shared" si="20"/>
        <v>2598.140025222212</v>
      </c>
      <c r="AE61" s="85">
        <f t="shared" si="21"/>
        <v>6947.7246454712522</v>
      </c>
      <c r="AF61" s="90">
        <f t="shared" si="22"/>
        <v>2598.140025222212</v>
      </c>
      <c r="AG61" s="86">
        <f t="shared" si="23"/>
        <v>9791.7078999999994</v>
      </c>
      <c r="AH61" s="85">
        <f t="shared" si="24"/>
        <v>6183.1314163678471</v>
      </c>
      <c r="AI61" s="85">
        <f t="shared" si="25"/>
        <v>6695.6231953623465</v>
      </c>
      <c r="AJ61" s="90">
        <f t="shared" si="26"/>
        <v>6183.1314163678471</v>
      </c>
      <c r="AL61" s="95">
        <f t="shared" si="27"/>
        <v>0</v>
      </c>
      <c r="AM61" s="95">
        <f t="shared" si="28"/>
        <v>0</v>
      </c>
      <c r="AN61" s="95">
        <f t="shared" si="29"/>
        <v>0</v>
      </c>
      <c r="AO61" s="95">
        <f t="shared" si="30"/>
        <v>0</v>
      </c>
      <c r="AP61"/>
      <c r="AQ61" s="95">
        <f t="shared" si="31"/>
        <v>0</v>
      </c>
      <c r="AR61" s="95">
        <f t="shared" si="32"/>
        <v>0</v>
      </c>
      <c r="AS61" s="95">
        <f>Geraetedaten!$B$94*ABS(SIN(RADIANS($A61)))</f>
        <v>57.689415386050449</v>
      </c>
      <c r="AT61" s="95">
        <f>Geraetedaten!$B$94*ABS(COS(RADIANS($A61)))</f>
        <v>142.78631360328527</v>
      </c>
      <c r="AU61" s="95">
        <f>((h_Aw_Sw+Geraetedaten!$B$18)/1000)*(AQ61*AS61+AR61*AT61)/100</f>
        <v>0</v>
      </c>
    </row>
    <row r="62" spans="1:47" ht="13.5" x14ac:dyDescent="0.25">
      <c r="A62" s="16">
        <v>23</v>
      </c>
      <c r="B62" s="16">
        <f t="shared" si="0"/>
        <v>427</v>
      </c>
      <c r="C62" s="19">
        <f t="shared" si="1"/>
        <v>52.396432391912896</v>
      </c>
      <c r="D62" s="17">
        <f t="shared" si="2"/>
        <v>-17161.185522391912</v>
      </c>
      <c r="E62" s="17">
        <f t="shared" si="3"/>
        <v>-9267.1200723919137</v>
      </c>
      <c r="F62" s="17">
        <f t="shared" si="4"/>
        <v>16833.223687608086</v>
      </c>
      <c r="G62" s="17">
        <f t="shared" si="5"/>
        <v>9812.3480076080868</v>
      </c>
      <c r="H62" s="17">
        <f t="shared" si="33"/>
        <v>9812.3480076080868</v>
      </c>
      <c r="I62" s="17">
        <f t="shared" si="6"/>
        <v>6745.5659791233884</v>
      </c>
      <c r="J62" s="20">
        <f>(Geraetedaten!$B$152+(Geraetedaten!$B$153*(Geraetedaten!$B$18+d_y_Sw)/1000))*10</f>
        <v>6051.0442000000003</v>
      </c>
      <c r="K62" s="20">
        <f>(Geraetedaten!$B$165+(Geraetedaten!$B$166*(Geraetedaten!$B$18+d_y_Sw)/1000))*10</f>
        <v>10816.164000000001</v>
      </c>
      <c r="L62" s="20">
        <f>(Geraetedaten!$B$158+(Geraetedaten!$B$159*(Geraetedaten!$B$18+d_y_Sw)/1000)-(Geraetedaten!$B$160*I62/1000))*10</f>
        <v>106.88424675088179</v>
      </c>
      <c r="M62" s="20">
        <f>(Geraetedaten!$B$171+(Geraetedaten!$B$172*(Geraetedaten!$B$18+d_y_Sw)/1000)-(Geraetedaten!$B$173*I62/1000))*10</f>
        <v>562.72706851405576</v>
      </c>
      <c r="N62" s="20">
        <f>IF((H62-J62)/(K62-J62)*(Geraetedaten!$B$174-Geraetedaten!$B$161)&lt;Geraetedaten!$B$174,(H62-J62)/(K62-J62)*(Geraetedaten!$B$174-Geraetedaten!$B$161),Geraetedaten!$B$174)</f>
        <v>315.73634791789169</v>
      </c>
      <c r="O62" s="20">
        <f>N62/Geraetedaten!$B$174*(M62-L62)+L62+C62</f>
        <v>519.09604856302224</v>
      </c>
      <c r="P62" s="20">
        <f t="shared" si="7"/>
        <v>166.15068531935762</v>
      </c>
      <c r="Q62" s="21">
        <f>(N62-Geraetedaten!$B$161)/(Geraetedaten!$B$174-Geraetedaten!$B$161)*(Geraetedaten!$B$175-Geraetedaten!$B$162)+Geraetedaten!$B$162</f>
        <v>38.59315635055728</v>
      </c>
      <c r="R62" s="21">
        <f t="shared" si="8"/>
        <v>38.59315635055728</v>
      </c>
      <c r="S62" s="21">
        <f t="shared" si="9"/>
        <v>15.079547532816228</v>
      </c>
      <c r="T62" s="88">
        <f t="shared" si="10"/>
        <v>35.525187730736846</v>
      </c>
      <c r="U62" s="86">
        <f t="shared" si="11"/>
        <v>-17108.789089999998</v>
      </c>
      <c r="V62" s="85">
        <f t="shared" si="12"/>
        <v>-2683.3128092763232</v>
      </c>
      <c r="W62" s="85">
        <f t="shared" si="13"/>
        <v>-6849.8962249343313</v>
      </c>
      <c r="X62" s="90">
        <f t="shared" si="14"/>
        <v>2683.3128092763232</v>
      </c>
      <c r="Y62" s="86">
        <f t="shared" si="15"/>
        <v>-9214.7236400000002</v>
      </c>
      <c r="Z62" s="85">
        <f t="shared" si="16"/>
        <v>-832.16398485565549</v>
      </c>
      <c r="AA62" s="85">
        <f t="shared" si="17"/>
        <v>-892.79468430196084</v>
      </c>
      <c r="AB62" s="90">
        <f t="shared" si="18"/>
        <v>832.16398485565549</v>
      </c>
      <c r="AC62" s="86">
        <f t="shared" si="19"/>
        <v>16885.62012</v>
      </c>
      <c r="AD62" s="85">
        <f t="shared" si="20"/>
        <v>2598.140025222212</v>
      </c>
      <c r="AE62" s="85">
        <f t="shared" si="21"/>
        <v>6660.4501923853832</v>
      </c>
      <c r="AF62" s="90">
        <f t="shared" si="22"/>
        <v>2598.140025222212</v>
      </c>
      <c r="AG62" s="86">
        <f t="shared" si="23"/>
        <v>9864.7444400000004</v>
      </c>
      <c r="AH62" s="85">
        <f t="shared" si="24"/>
        <v>6183.1314163678471</v>
      </c>
      <c r="AI62" s="85">
        <f t="shared" si="25"/>
        <v>6745.5659791233884</v>
      </c>
      <c r="AJ62" s="90">
        <f t="shared" si="26"/>
        <v>6183.1314163678471</v>
      </c>
      <c r="AL62" s="95">
        <f t="shared" si="27"/>
        <v>0</v>
      </c>
      <c r="AM62" s="95">
        <f t="shared" si="28"/>
        <v>0</v>
      </c>
      <c r="AN62" s="95">
        <f t="shared" si="29"/>
        <v>0</v>
      </c>
      <c r="AO62" s="95">
        <f t="shared" si="30"/>
        <v>0</v>
      </c>
      <c r="AP62"/>
      <c r="AQ62" s="95">
        <f t="shared" si="31"/>
        <v>0</v>
      </c>
      <c r="AR62" s="95">
        <f t="shared" si="32"/>
        <v>0</v>
      </c>
      <c r="AS62" s="95">
        <f>Geraetedaten!$B$94*ABS(SIN(RADIANS($A62)))</f>
        <v>60.172593787348163</v>
      </c>
      <c r="AT62" s="95">
        <f>Geraetedaten!$B$94*ABS(COS(RADIANS($A62)))</f>
        <v>141.75774743167582</v>
      </c>
      <c r="AU62" s="95">
        <f>((h_Aw_Sw+Geraetedaten!$B$18)/1000)*(AQ62*AS62+AR62*AT62)/100</f>
        <v>0</v>
      </c>
    </row>
    <row r="63" spans="1:47" ht="13.5" x14ac:dyDescent="0.25">
      <c r="A63" s="16">
        <v>24</v>
      </c>
      <c r="B63" s="16">
        <f t="shared" si="0"/>
        <v>426</v>
      </c>
      <c r="C63" s="19">
        <f t="shared" si="1"/>
        <v>53.205140520595009</v>
      </c>
      <c r="D63" s="17">
        <f t="shared" si="2"/>
        <v>-16490.700450520595</v>
      </c>
      <c r="E63" s="17">
        <f t="shared" si="3"/>
        <v>-9332.276200520595</v>
      </c>
      <c r="F63" s="17">
        <f t="shared" si="4"/>
        <v>16166.695429479405</v>
      </c>
      <c r="G63" s="17">
        <f t="shared" si="5"/>
        <v>9888.7247594794044</v>
      </c>
      <c r="H63" s="17">
        <f t="shared" si="33"/>
        <v>9888.7247594794044</v>
      </c>
      <c r="I63" s="17">
        <f t="shared" si="6"/>
        <v>6798.3458148955488</v>
      </c>
      <c r="J63" s="20">
        <f>(Geraetedaten!$B$152+(Geraetedaten!$B$153*(Geraetedaten!$B$18+d_y_Sw)/1000))*10</f>
        <v>6051.0442000000003</v>
      </c>
      <c r="K63" s="20">
        <f>(Geraetedaten!$B$165+(Geraetedaten!$B$166*(Geraetedaten!$B$18+d_y_Sw)/1000))*10</f>
        <v>10816.164000000001</v>
      </c>
      <c r="L63" s="20">
        <f>(Geraetedaten!$B$158+(Geraetedaten!$B$159*(Geraetedaten!$B$18+d_y_Sw)/1000)-(Geraetedaten!$B$160*I63/1000))*10</f>
        <v>103.01390139370923</v>
      </c>
      <c r="M63" s="20">
        <f>(Geraetedaten!$B$171+(Geraetedaten!$B$172*(Geraetedaten!$B$18+d_y_Sw)/1000)-(Geraetedaten!$B$173*I63/1000))*10</f>
        <v>558.7981375391762</v>
      </c>
      <c r="N63" s="20">
        <f>IF((H63-J63)/(K63-J63)*(Geraetedaten!$B$174-Geraetedaten!$B$161)&lt;Geraetedaten!$B$174,(H63-J63)/(K63-J63)*(Geraetedaten!$B$174-Geraetedaten!$B$161),Geraetedaten!$B$174)</f>
        <v>322.14766642210367</v>
      </c>
      <c r="O63" s="20">
        <f>N63/Geraetedaten!$B$174*(M63-L63)+L63+C63</f>
        <v>523.29361207991235</v>
      </c>
      <c r="P63" s="20">
        <f t="shared" si="7"/>
        <v>166.77180919738512</v>
      </c>
      <c r="Q63" s="21">
        <f>(N63-Geraetedaten!$B$161)/(Geraetedaten!$B$174-Geraetedaten!$B$161)*(Geraetedaten!$B$175-Geraetedaten!$B$162)+Geraetedaten!$B$162</f>
        <v>38.783893076057588</v>
      </c>
      <c r="R63" s="21">
        <f t="shared" si="8"/>
        <v>38.783893076057588</v>
      </c>
      <c r="S63" s="21">
        <f t="shared" si="9"/>
        <v>15.774830475166434</v>
      </c>
      <c r="T63" s="88">
        <f t="shared" si="10"/>
        <v>35.430849349328732</v>
      </c>
      <c r="U63" s="86">
        <f t="shared" si="11"/>
        <v>-16437.495309999998</v>
      </c>
      <c r="V63" s="85">
        <f t="shared" si="12"/>
        <v>-2683.3128092763232</v>
      </c>
      <c r="W63" s="85">
        <f t="shared" si="13"/>
        <v>-6581.128362238821</v>
      </c>
      <c r="X63" s="90">
        <f t="shared" si="14"/>
        <v>2683.3128092763232</v>
      </c>
      <c r="Y63" s="86">
        <f t="shared" si="15"/>
        <v>-9279.0710600000002</v>
      </c>
      <c r="Z63" s="85">
        <f t="shared" si="16"/>
        <v>-832.16398485565549</v>
      </c>
      <c r="AA63" s="85">
        <f t="shared" si="17"/>
        <v>-899.02916711469504</v>
      </c>
      <c r="AB63" s="90">
        <f t="shared" si="18"/>
        <v>832.16398485565549</v>
      </c>
      <c r="AC63" s="86">
        <f t="shared" si="19"/>
        <v>16219.90057</v>
      </c>
      <c r="AD63" s="85">
        <f t="shared" si="20"/>
        <v>2598.140025222212</v>
      </c>
      <c r="AE63" s="85">
        <f t="shared" si="21"/>
        <v>6397.8603723242431</v>
      </c>
      <c r="AF63" s="90">
        <f t="shared" si="22"/>
        <v>2598.140025222212</v>
      </c>
      <c r="AG63" s="86">
        <f t="shared" si="23"/>
        <v>9941.9298999999992</v>
      </c>
      <c r="AH63" s="85">
        <f t="shared" si="24"/>
        <v>6183.1314163678471</v>
      </c>
      <c r="AI63" s="85">
        <f t="shared" si="25"/>
        <v>6798.3458148955488</v>
      </c>
      <c r="AJ63" s="90">
        <f t="shared" si="26"/>
        <v>6183.1314163678471</v>
      </c>
      <c r="AL63" s="95">
        <f t="shared" si="27"/>
        <v>0</v>
      </c>
      <c r="AM63" s="95">
        <f t="shared" si="28"/>
        <v>0</v>
      </c>
      <c r="AN63" s="95">
        <f t="shared" si="29"/>
        <v>0</v>
      </c>
      <c r="AO63" s="95">
        <f t="shared" si="30"/>
        <v>0</v>
      </c>
      <c r="AP63"/>
      <c r="AQ63" s="95">
        <f t="shared" si="31"/>
        <v>0</v>
      </c>
      <c r="AR63" s="95">
        <f t="shared" si="32"/>
        <v>0</v>
      </c>
      <c r="AS63" s="95">
        <f>Geraetedaten!$B$94*ABS(SIN(RADIANS($A63)))</f>
        <v>62.637443033673229</v>
      </c>
      <c r="AT63" s="95">
        <f>Geraetedaten!$B$94*ABS(COS(RADIANS($A63)))</f>
        <v>140.68600047696054</v>
      </c>
      <c r="AU63" s="95">
        <f>((h_Aw_Sw+Geraetedaten!$B$18)/1000)*(AQ63*AS63+AR63*AT63)/100</f>
        <v>0</v>
      </c>
    </row>
    <row r="64" spans="1:47" ht="13.5" x14ac:dyDescent="0.25">
      <c r="A64" s="16">
        <v>25</v>
      </c>
      <c r="B64" s="16">
        <f t="shared" si="0"/>
        <v>425</v>
      </c>
      <c r="C64" s="19">
        <f t="shared" si="1"/>
        <v>53.997641848064774</v>
      </c>
      <c r="D64" s="17">
        <f t="shared" si="2"/>
        <v>-15875.526521848065</v>
      </c>
      <c r="E64" s="17">
        <f t="shared" si="3"/>
        <v>-9401.188401848065</v>
      </c>
      <c r="F64" s="17">
        <f t="shared" si="4"/>
        <v>15555.259028151935</v>
      </c>
      <c r="G64" s="17">
        <f t="shared" si="5"/>
        <v>9969.4123981519351</v>
      </c>
      <c r="H64" s="17">
        <f t="shared" si="33"/>
        <v>9969.4123981519351</v>
      </c>
      <c r="I64" s="17">
        <f t="shared" si="6"/>
        <v>6854.0623809671788</v>
      </c>
      <c r="J64" s="20">
        <f>(Geraetedaten!$B$152+(Geraetedaten!$B$153*(Geraetedaten!$B$18+d_y_Sw)/1000))*10</f>
        <v>6051.0442000000003</v>
      </c>
      <c r="K64" s="20">
        <f>(Geraetedaten!$B$165+(Geraetedaten!$B$166*(Geraetedaten!$B$18+d_y_Sw)/1000))*10</f>
        <v>10816.164000000001</v>
      </c>
      <c r="L64" s="20">
        <f>(Geraetedaten!$B$158+(Geraetedaten!$B$159*(Geraetedaten!$B$18+d_y_Sw)/1000)-(Geraetedaten!$B$160*I64/1000))*10</f>
        <v>98.928205603676602</v>
      </c>
      <c r="M64" s="20">
        <f>(Geraetedaten!$B$171+(Geraetedaten!$B$172*(Geraetedaten!$B$18+d_y_Sw)/1000)-(Geraetedaten!$B$173*I64/1000))*10</f>
        <v>554.650596360804</v>
      </c>
      <c r="N64" s="20">
        <f>IF((H64-J64)/(K64-J64)*(Geraetedaten!$B$174-Geraetedaten!$B$161)&lt;Geraetedaten!$B$174,(H64-J64)/(K64-J64)*(Geraetedaten!$B$174-Geraetedaten!$B$161),Geraetedaten!$B$174)</f>
        <v>328.92085509807617</v>
      </c>
      <c r="O64" s="20">
        <f>N64/Geraetedaten!$B$174*(M64-L64)+L64+C64</f>
        <v>527.66734358967631</v>
      </c>
      <c r="P64" s="20">
        <f t="shared" si="7"/>
        <v>167.40270297000438</v>
      </c>
      <c r="Q64" s="21">
        <f>(N64-Geraetedaten!$B$161)/(Geraetedaten!$B$174-Geraetedaten!$B$161)*(Geraetedaten!$B$175-Geraetedaten!$B$162)+Geraetedaten!$B$162</f>
        <v>38.985395439167768</v>
      </c>
      <c r="R64" s="21">
        <f t="shared" si="8"/>
        <v>38.985395439167768</v>
      </c>
      <c r="S64" s="21">
        <f t="shared" si="9"/>
        <v>16.475940053774874</v>
      </c>
      <c r="T64" s="88">
        <f t="shared" si="10"/>
        <v>35.332767467220847</v>
      </c>
      <c r="U64" s="86">
        <f t="shared" si="11"/>
        <v>-15821.52888</v>
      </c>
      <c r="V64" s="85">
        <f t="shared" si="12"/>
        <v>-2683.3128092763232</v>
      </c>
      <c r="W64" s="85">
        <f t="shared" si="13"/>
        <v>-6334.5120674457958</v>
      </c>
      <c r="X64" s="90">
        <f t="shared" si="14"/>
        <v>2683.3128092763232</v>
      </c>
      <c r="Y64" s="86">
        <f t="shared" si="15"/>
        <v>-9347.1907599999995</v>
      </c>
      <c r="Z64" s="85">
        <f t="shared" si="16"/>
        <v>-832.16398485565549</v>
      </c>
      <c r="AA64" s="85">
        <f t="shared" si="17"/>
        <v>-905.62913772615229</v>
      </c>
      <c r="AB64" s="90">
        <f t="shared" si="18"/>
        <v>832.16398485565549</v>
      </c>
      <c r="AC64" s="86">
        <f t="shared" si="19"/>
        <v>15609.256670000001</v>
      </c>
      <c r="AD64" s="85">
        <f t="shared" si="20"/>
        <v>2598.140025222212</v>
      </c>
      <c r="AE64" s="85">
        <f t="shared" si="21"/>
        <v>6156.9948771183099</v>
      </c>
      <c r="AF64" s="90">
        <f t="shared" si="22"/>
        <v>2598.140025222212</v>
      </c>
      <c r="AG64" s="86">
        <f t="shared" si="23"/>
        <v>10023.410040000001</v>
      </c>
      <c r="AH64" s="85">
        <f t="shared" si="24"/>
        <v>6183.1314163678471</v>
      </c>
      <c r="AI64" s="85">
        <f t="shared" si="25"/>
        <v>6854.0623809671788</v>
      </c>
      <c r="AJ64" s="90">
        <f t="shared" si="26"/>
        <v>6183.1314163678471</v>
      </c>
      <c r="AL64" s="95">
        <f t="shared" si="27"/>
        <v>0</v>
      </c>
      <c r="AM64" s="95">
        <f t="shared" si="28"/>
        <v>0</v>
      </c>
      <c r="AN64" s="95">
        <f t="shared" si="29"/>
        <v>0</v>
      </c>
      <c r="AO64" s="95">
        <f t="shared" si="30"/>
        <v>0</v>
      </c>
      <c r="AP64"/>
      <c r="AQ64" s="95">
        <f t="shared" si="31"/>
        <v>0</v>
      </c>
      <c r="AR64" s="95">
        <f t="shared" si="32"/>
        <v>0</v>
      </c>
      <c r="AS64" s="95">
        <f>Geraetedaten!$B$94*ABS(SIN(RADIANS($A64)))</f>
        <v>65.083212308067715</v>
      </c>
      <c r="AT64" s="95">
        <f>Geraetedaten!$B$94*ABS(COS(RADIANS($A64)))</f>
        <v>139.57139920364409</v>
      </c>
      <c r="AU64" s="95">
        <f>((h_Aw_Sw+Geraetedaten!$B$18)/1000)*(AQ64*AS64+AR64*AT64)/100</f>
        <v>0</v>
      </c>
    </row>
    <row r="65" spans="1:47" ht="13.5" x14ac:dyDescent="0.25">
      <c r="A65" s="16">
        <v>26</v>
      </c>
      <c r="B65" s="16">
        <f t="shared" si="0"/>
        <v>424</v>
      </c>
      <c r="C65" s="19">
        <f t="shared" si="1"/>
        <v>54.773694970740721</v>
      </c>
      <c r="D65" s="17">
        <f t="shared" si="2"/>
        <v>-15309.312064970742</v>
      </c>
      <c r="E65" s="17">
        <f t="shared" si="3"/>
        <v>-9473.9821149707423</v>
      </c>
      <c r="F65" s="17">
        <f t="shared" si="4"/>
        <v>14992.566975029258</v>
      </c>
      <c r="G65" s="17">
        <f t="shared" si="5"/>
        <v>10054.567935029259</v>
      </c>
      <c r="H65" s="17">
        <f t="shared" si="33"/>
        <v>10054.567935029259</v>
      </c>
      <c r="I65" s="17">
        <f t="shared" si="6"/>
        <v>6912.8228687189012</v>
      </c>
      <c r="J65" s="20">
        <f>(Geraetedaten!$B$152+(Geraetedaten!$B$153*(Geraetedaten!$B$18+d_y_Sw)/1000))*10</f>
        <v>6051.0442000000003</v>
      </c>
      <c r="K65" s="20">
        <f>(Geraetedaten!$B$165+(Geraetedaten!$B$166*(Geraetedaten!$B$18+d_y_Sw)/1000))*10</f>
        <v>10816.164000000001</v>
      </c>
      <c r="L65" s="20">
        <f>(Geraetedaten!$B$158+(Geraetedaten!$B$159*(Geraetedaten!$B$18+d_y_Sw)/1000)-(Geraetedaten!$B$160*I65/1000))*10</f>
        <v>94.619299036842861</v>
      </c>
      <c r="M65" s="20">
        <f>(Geraetedaten!$B$171+(Geraetedaten!$B$172*(Geraetedaten!$B$18+d_y_Sw)/1000)-(Geraetedaten!$B$173*I65/1000))*10</f>
        <v>550.27646565256578</v>
      </c>
      <c r="N65" s="20">
        <f>IF((H65-J65)/(K65-J65)*(Geraetedaten!$B$174-Geraetedaten!$B$161)&lt;Geraetedaten!$B$174,(H65-J65)/(K65-J65)*(Geraetedaten!$B$174-Geraetedaten!$B$161),Geraetedaten!$B$174)</f>
        <v>336.06909400508744</v>
      </c>
      <c r="O65" s="20">
        <f>N65/Geraetedaten!$B$174*(M65-L65)+L65+C65</f>
        <v>532.22372191126146</v>
      </c>
      <c r="P65" s="20">
        <f t="shared" si="7"/>
        <v>168.0433379647948</v>
      </c>
      <c r="Q65" s="21">
        <f>(N65-Geraetedaten!$B$161)/(Geraetedaten!$B$174-Geraetedaten!$B$161)*(Geraetedaten!$B$175-Geraetedaten!$B$162)+Geraetedaten!$B$162</f>
        <v>39.198055546651354</v>
      </c>
      <c r="R65" s="21">
        <f t="shared" si="8"/>
        <v>39.198055546651354</v>
      </c>
      <c r="S65" s="21">
        <f t="shared" si="9"/>
        <v>17.183296561887509</v>
      </c>
      <c r="T65" s="88">
        <f t="shared" si="10"/>
        <v>35.230978951834281</v>
      </c>
      <c r="U65" s="86">
        <f t="shared" si="11"/>
        <v>-15254.53837</v>
      </c>
      <c r="V65" s="85">
        <f t="shared" si="12"/>
        <v>-2683.3128092763232</v>
      </c>
      <c r="W65" s="85">
        <f t="shared" si="13"/>
        <v>-6107.504408388324</v>
      </c>
      <c r="X65" s="90">
        <f t="shared" si="14"/>
        <v>2683.3128092763232</v>
      </c>
      <c r="Y65" s="86">
        <f t="shared" si="15"/>
        <v>-9419.2084200000008</v>
      </c>
      <c r="Z65" s="85">
        <f t="shared" si="16"/>
        <v>-832.16398485565549</v>
      </c>
      <c r="AA65" s="85">
        <f t="shared" si="17"/>
        <v>-912.60677339176732</v>
      </c>
      <c r="AB65" s="90">
        <f t="shared" si="18"/>
        <v>832.16398485565549</v>
      </c>
      <c r="AC65" s="86">
        <f t="shared" si="19"/>
        <v>15047.34067</v>
      </c>
      <c r="AD65" s="85">
        <f t="shared" si="20"/>
        <v>2598.140025222212</v>
      </c>
      <c r="AE65" s="85">
        <f t="shared" si="21"/>
        <v>5935.349859477903</v>
      </c>
      <c r="AF65" s="90">
        <f t="shared" si="22"/>
        <v>2598.140025222212</v>
      </c>
      <c r="AG65" s="86">
        <f t="shared" si="23"/>
        <v>10109.341630000001</v>
      </c>
      <c r="AH65" s="85">
        <f t="shared" si="24"/>
        <v>6183.1314163678471</v>
      </c>
      <c r="AI65" s="85">
        <f t="shared" si="25"/>
        <v>6912.8228687189012</v>
      </c>
      <c r="AJ65" s="90">
        <f t="shared" si="26"/>
        <v>6183.1314163678471</v>
      </c>
      <c r="AL65" s="95">
        <f t="shared" si="27"/>
        <v>0</v>
      </c>
      <c r="AM65" s="95">
        <f t="shared" si="28"/>
        <v>0</v>
      </c>
      <c r="AN65" s="95">
        <f t="shared" si="29"/>
        <v>0</v>
      </c>
      <c r="AO65" s="95">
        <f t="shared" si="30"/>
        <v>0</v>
      </c>
      <c r="AP65"/>
      <c r="AQ65" s="95">
        <f t="shared" si="31"/>
        <v>0</v>
      </c>
      <c r="AR65" s="95">
        <f t="shared" si="32"/>
        <v>0</v>
      </c>
      <c r="AS65" s="95">
        <f>Geraetedaten!$B$94*ABS(SIN(RADIANS($A65)))</f>
        <v>67.509156605517916</v>
      </c>
      <c r="AT65" s="95">
        <f>Geraetedaten!$B$94*ABS(COS(RADIANS($A65)))</f>
        <v>138.41428313007174</v>
      </c>
      <c r="AU65" s="95">
        <f>((h_Aw_Sw+Geraetedaten!$B$18)/1000)*(AQ65*AS65+AR65*AT65)/100</f>
        <v>0</v>
      </c>
    </row>
    <row r="66" spans="1:47" ht="13.5" x14ac:dyDescent="0.25">
      <c r="A66" s="16">
        <v>27</v>
      </c>
      <c r="B66" s="16">
        <f t="shared" si="0"/>
        <v>423</v>
      </c>
      <c r="C66" s="19">
        <f t="shared" si="1"/>
        <v>55.533063495323873</v>
      </c>
      <c r="D66" s="17">
        <f t="shared" si="2"/>
        <v>-14786.645043495324</v>
      </c>
      <c r="E66" s="17">
        <f t="shared" si="3"/>
        <v>-9550.792323495325</v>
      </c>
      <c r="F66" s="17">
        <f t="shared" si="4"/>
        <v>14473.214336504676</v>
      </c>
      <c r="G66" s="17">
        <f t="shared" si="5"/>
        <v>10144.360146504676</v>
      </c>
      <c r="H66" s="17">
        <f t="shared" si="33"/>
        <v>10144.360146504676</v>
      </c>
      <c r="I66" s="17">
        <f t="shared" si="6"/>
        <v>6974.7425323064699</v>
      </c>
      <c r="J66" s="20">
        <f>(Geraetedaten!$B$152+(Geraetedaten!$B$153*(Geraetedaten!$B$18+d_y_Sw)/1000))*10</f>
        <v>6051.0442000000003</v>
      </c>
      <c r="K66" s="20">
        <f>(Geraetedaten!$B$165+(Geraetedaten!$B$166*(Geraetedaten!$B$18+d_y_Sw)/1000))*10</f>
        <v>10816.164000000001</v>
      </c>
      <c r="L66" s="20">
        <f>(Geraetedaten!$B$158+(Geraetedaten!$B$159*(Geraetedaten!$B$18+d_y_Sw)/1000)-(Geraetedaten!$B$160*I66/1000))*10</f>
        <v>90.0787301059664</v>
      </c>
      <c r="M66" s="20">
        <f>(Geraetedaten!$B$171+(Geraetedaten!$B$172*(Geraetedaten!$B$18+d_y_Sw)/1000)-(Geraetedaten!$B$173*I66/1000))*10</f>
        <v>545.66716589510725</v>
      </c>
      <c r="N66" s="20">
        <f>IF((H66-J66)/(K66-J66)*(Geraetedaten!$B$174-Geraetedaten!$B$161)&lt;Geraetedaten!$B$174,(H66-J66)/(K66-J66)*(Geraetedaten!$B$174-Geraetedaten!$B$161),Geraetedaten!$B$174)</f>
        <v>343.60655079477118</v>
      </c>
      <c r="O66" s="20">
        <f>N66/Geraetedaten!$B$174*(M66-L66)+L66+C66</f>
        <v>536.96972111001969</v>
      </c>
      <c r="P66" s="20">
        <f t="shared" si="7"/>
        <v>168.69369384799728</v>
      </c>
      <c r="Q66" s="21">
        <f>(N66-Geraetedaten!$B$161)/(Geraetedaten!$B$174-Geraetedaten!$B$161)*(Geraetedaten!$B$175-Geraetedaten!$B$162)+Geraetedaten!$B$162</f>
        <v>39.422294886144442</v>
      </c>
      <c r="R66" s="21">
        <f t="shared" si="8"/>
        <v>39.422294886144442</v>
      </c>
      <c r="S66" s="21">
        <f t="shared" si="9"/>
        <v>17.897347356240495</v>
      </c>
      <c r="T66" s="88">
        <f t="shared" si="10"/>
        <v>35.125521942032428</v>
      </c>
      <c r="U66" s="86">
        <f t="shared" si="11"/>
        <v>-14731.11198</v>
      </c>
      <c r="V66" s="85">
        <f t="shared" si="12"/>
        <v>-2683.3128092763232</v>
      </c>
      <c r="W66" s="85">
        <f t="shared" si="13"/>
        <v>-5897.9386452452618</v>
      </c>
      <c r="X66" s="90">
        <f t="shared" si="14"/>
        <v>2683.3128092763232</v>
      </c>
      <c r="Y66" s="86">
        <f t="shared" si="15"/>
        <v>-9495.2592600000007</v>
      </c>
      <c r="Z66" s="85">
        <f t="shared" si="16"/>
        <v>-832.16398485565549</v>
      </c>
      <c r="AA66" s="85">
        <f t="shared" si="17"/>
        <v>-919.97517487207494</v>
      </c>
      <c r="AB66" s="90">
        <f t="shared" si="18"/>
        <v>832.16398485565549</v>
      </c>
      <c r="AC66" s="86">
        <f t="shared" si="19"/>
        <v>14528.7474</v>
      </c>
      <c r="AD66" s="85">
        <f t="shared" si="20"/>
        <v>2598.140025222212</v>
      </c>
      <c r="AE66" s="85">
        <f t="shared" si="21"/>
        <v>5730.7932837783837</v>
      </c>
      <c r="AF66" s="90">
        <f t="shared" si="22"/>
        <v>2598.140025222212</v>
      </c>
      <c r="AG66" s="86">
        <f t="shared" si="23"/>
        <v>10199.89321</v>
      </c>
      <c r="AH66" s="85">
        <f t="shared" si="24"/>
        <v>6183.1314163678471</v>
      </c>
      <c r="AI66" s="85">
        <f t="shared" si="25"/>
        <v>6974.7425323064699</v>
      </c>
      <c r="AJ66" s="90">
        <f t="shared" si="26"/>
        <v>6183.1314163678471</v>
      </c>
      <c r="AL66" s="95">
        <f t="shared" si="27"/>
        <v>0</v>
      </c>
      <c r="AM66" s="95">
        <f t="shared" si="28"/>
        <v>0</v>
      </c>
      <c r="AN66" s="95">
        <f t="shared" si="29"/>
        <v>0</v>
      </c>
      <c r="AO66" s="95">
        <f t="shared" si="30"/>
        <v>0</v>
      </c>
      <c r="AP66"/>
      <c r="AQ66" s="95">
        <f t="shared" si="31"/>
        <v>0</v>
      </c>
      <c r="AR66" s="95">
        <f t="shared" si="32"/>
        <v>0</v>
      </c>
      <c r="AS66" s="95">
        <f>Geraetedaten!$B$94*ABS(SIN(RADIANS($A66)))</f>
        <v>69.914536959890199</v>
      </c>
      <c r="AT66" s="95">
        <f>Geraetedaten!$B$94*ABS(COS(RADIANS($A66)))</f>
        <v>137.21500472500867</v>
      </c>
      <c r="AU66" s="95">
        <f>((h_Aw_Sw+Geraetedaten!$B$18)/1000)*(AQ66*AS66+AR66*AT66)/100</f>
        <v>0</v>
      </c>
    </row>
    <row r="67" spans="1:47" ht="13.5" x14ac:dyDescent="0.25">
      <c r="A67" s="16">
        <v>28</v>
      </c>
      <c r="B67" s="16">
        <f t="shared" si="0"/>
        <v>422</v>
      </c>
      <c r="C67" s="19">
        <f t="shared" si="1"/>
        <v>56.275516110805498</v>
      </c>
      <c r="D67" s="17">
        <f t="shared" si="2"/>
        <v>-14302.885636110805</v>
      </c>
      <c r="E67" s="17">
        <f t="shared" si="3"/>
        <v>-9631.7642061108054</v>
      </c>
      <c r="F67" s="17">
        <f t="shared" si="4"/>
        <v>13992.570273889194</v>
      </c>
      <c r="G67" s="17">
        <f t="shared" si="5"/>
        <v>10238.970493889195</v>
      </c>
      <c r="H67" s="17">
        <f t="shared" si="33"/>
        <v>10238.970493889195</v>
      </c>
      <c r="I67" s="17">
        <f t="shared" si="6"/>
        <v>7039.9452947506215</v>
      </c>
      <c r="J67" s="20">
        <f>(Geraetedaten!$B$152+(Geraetedaten!$B$153*(Geraetedaten!$B$18+d_y_Sw)/1000))*10</f>
        <v>6051.0442000000003</v>
      </c>
      <c r="K67" s="20">
        <f>(Geraetedaten!$B$165+(Geraetedaten!$B$166*(Geraetedaten!$B$18+d_y_Sw)/1000))*10</f>
        <v>10816.164000000001</v>
      </c>
      <c r="L67" s="20">
        <f>(Geraetedaten!$B$158+(Geraetedaten!$B$159*(Geraetedaten!$B$18+d_y_Sw)/1000)-(Geraetedaten!$B$160*I67/1000))*10</f>
        <v>85.29741153593676</v>
      </c>
      <c r="M67" s="20">
        <f>(Geraetedaten!$B$171+(Geraetedaten!$B$172*(Geraetedaten!$B$18+d_y_Sw)/1000)-(Geraetedaten!$B$173*I67/1000))*10</f>
        <v>540.81347225876448</v>
      </c>
      <c r="N67" s="20">
        <f>IF((H67-J67)/(K67-J67)*(Geraetedaten!$B$174-Geraetedaten!$B$161)&lt;Geraetedaten!$B$174,(H67-J67)/(K67-J67)*(Geraetedaten!$B$174-Geraetedaten!$B$161),Geraetedaten!$B$174)</f>
        <v>351.54845793293129</v>
      </c>
      <c r="O67" s="20">
        <f>N67/Geraetedaten!$B$174*(M67-L67)+L67+C67</f>
        <v>541.91284942372624</v>
      </c>
      <c r="P67" s="20">
        <f t="shared" si="7"/>
        <v>169.35375885587624</v>
      </c>
      <c r="Q67" s="21">
        <f>(N67-Geraetedaten!$B$161)/(Geraetedaten!$B$174-Geraetedaten!$B$161)*(Geraetedaten!$B$175-Geraetedaten!$B$162)+Geraetedaten!$B$162</f>
        <v>39.658566623504704</v>
      </c>
      <c r="R67" s="21">
        <f t="shared" si="8"/>
        <v>39.658566623504704</v>
      </c>
      <c r="S67" s="21">
        <f t="shared" si="9"/>
        <v>18.618569250585121</v>
      </c>
      <c r="T67" s="88">
        <f t="shared" si="10"/>
        <v>35.016435936458862</v>
      </c>
      <c r="U67" s="86">
        <f t="shared" si="11"/>
        <v>-14246.610119999999</v>
      </c>
      <c r="V67" s="85">
        <f t="shared" si="12"/>
        <v>-2683.3128092763232</v>
      </c>
      <c r="W67" s="85">
        <f t="shared" si="13"/>
        <v>-5703.9572093370089</v>
      </c>
      <c r="X67" s="90">
        <f t="shared" si="14"/>
        <v>2683.3128092763232</v>
      </c>
      <c r="Y67" s="86">
        <f t="shared" si="15"/>
        <v>-9575.4886900000001</v>
      </c>
      <c r="Z67" s="85">
        <f t="shared" si="16"/>
        <v>-832.16398485565549</v>
      </c>
      <c r="AA67" s="85">
        <f t="shared" si="17"/>
        <v>-927.74843149825563</v>
      </c>
      <c r="AB67" s="90">
        <f t="shared" si="18"/>
        <v>832.16398485565549</v>
      </c>
      <c r="AC67" s="86">
        <f t="shared" si="19"/>
        <v>14048.845789999999</v>
      </c>
      <c r="AD67" s="85">
        <f t="shared" si="20"/>
        <v>2598.140025222212</v>
      </c>
      <c r="AE67" s="85">
        <f t="shared" si="21"/>
        <v>5541.4984424229433</v>
      </c>
      <c r="AF67" s="90">
        <f t="shared" si="22"/>
        <v>2598.140025222212</v>
      </c>
      <c r="AG67" s="86">
        <f t="shared" si="23"/>
        <v>10295.246010000001</v>
      </c>
      <c r="AH67" s="85">
        <f t="shared" si="24"/>
        <v>6183.1314163678471</v>
      </c>
      <c r="AI67" s="85">
        <f t="shared" si="25"/>
        <v>7039.9452947506215</v>
      </c>
      <c r="AJ67" s="90">
        <f t="shared" si="26"/>
        <v>6183.1314163678471</v>
      </c>
      <c r="AL67" s="95">
        <f t="shared" si="27"/>
        <v>0</v>
      </c>
      <c r="AM67" s="95">
        <f t="shared" si="28"/>
        <v>0</v>
      </c>
      <c r="AN67" s="95">
        <f t="shared" si="29"/>
        <v>0</v>
      </c>
      <c r="AO67" s="95">
        <f t="shared" si="30"/>
        <v>0</v>
      </c>
      <c r="AP67"/>
      <c r="AQ67" s="95">
        <f t="shared" si="31"/>
        <v>0</v>
      </c>
      <c r="AR67" s="95">
        <f t="shared" si="32"/>
        <v>0</v>
      </c>
      <c r="AS67" s="95">
        <f>Geraetedaten!$B$94*ABS(SIN(RADIANS($A67)))</f>
        <v>72.298620669027187</v>
      </c>
      <c r="AT67" s="95">
        <f>Geraetedaten!$B$94*ABS(COS(RADIANS($A67)))</f>
        <v>135.97392930027476</v>
      </c>
      <c r="AU67" s="95">
        <f>((h_Aw_Sw+Geraetedaten!$B$18)/1000)*(AQ67*AS67+AR67*AT67)/100</f>
        <v>0</v>
      </c>
    </row>
    <row r="68" spans="1:47" ht="13.5" x14ac:dyDescent="0.25">
      <c r="A68" s="16">
        <v>29</v>
      </c>
      <c r="B68" s="16">
        <f t="shared" si="0"/>
        <v>421</v>
      </c>
      <c r="C68" s="19">
        <f t="shared" si="1"/>
        <v>57.000826658926599</v>
      </c>
      <c r="D68" s="17">
        <f t="shared" si="2"/>
        <v>-13854.033386658926</v>
      </c>
      <c r="E68" s="17">
        <f t="shared" si="3"/>
        <v>-9717.053916658926</v>
      </c>
      <c r="F68" s="17">
        <f t="shared" si="4"/>
        <v>13546.644363341073</v>
      </c>
      <c r="G68" s="17">
        <f t="shared" si="5"/>
        <v>10338.594073341073</v>
      </c>
      <c r="H68" s="17">
        <f t="shared" si="33"/>
        <v>10338.594073341073</v>
      </c>
      <c r="I68" s="17">
        <f t="shared" si="6"/>
        <v>7108.564416805958</v>
      </c>
      <c r="J68" s="20">
        <f>(Geraetedaten!$B$152+(Geraetedaten!$B$153*(Geraetedaten!$B$18+d_y_Sw)/1000))*10</f>
        <v>6051.0442000000003</v>
      </c>
      <c r="K68" s="20">
        <f>(Geraetedaten!$B$165+(Geraetedaten!$B$166*(Geraetedaten!$B$18+d_y_Sw)/1000))*10</f>
        <v>10816.164000000001</v>
      </c>
      <c r="L68" s="20">
        <f>(Geraetedaten!$B$158+(Geraetedaten!$B$159*(Geraetedaten!$B$18+d_y_Sw)/1000)-(Geraetedaten!$B$160*I68/1000))*10</f>
        <v>80.265571315618942</v>
      </c>
      <c r="M68" s="20">
        <f>(Geraetedaten!$B$171+(Geraetedaten!$B$172*(Geraetedaten!$B$18+d_y_Sw)/1000)-(Geraetedaten!$B$173*I68/1000))*10</f>
        <v>535.70546481296537</v>
      </c>
      <c r="N68" s="20">
        <f>IF((H68-J68)/(K68-J68)*(Geraetedaten!$B$174-Geraetedaten!$B$161)&lt;Geraetedaten!$B$174,(H68-J68)/(K68-J68)*(Geraetedaten!$B$174-Geraetedaten!$B$161),Geraetedaten!$B$174)</f>
        <v>359.91119243978488</v>
      </c>
      <c r="O68" s="20">
        <f>N68/Geraetedaten!$B$174*(M68-L68)+L68+C68</f>
        <v>547.06118585774198</v>
      </c>
      <c r="P68" s="20">
        <f t="shared" si="7"/>
        <v>170.02352890002626</v>
      </c>
      <c r="Q68" s="21">
        <f>(N68-Geraetedaten!$B$161)/(Geraetedaten!$B$174-Geraetedaten!$B$161)*(Geraetedaten!$B$175-Geraetedaten!$B$162)+Geraetedaten!$B$162</f>
        <v>39.907357975083599</v>
      </c>
      <c r="R68" s="21">
        <f t="shared" si="8"/>
        <v>39.907357975083599</v>
      </c>
      <c r="S68" s="21">
        <f t="shared" si="9"/>
        <v>19.347471064934911</v>
      </c>
      <c r="T68" s="88">
        <f t="shared" si="10"/>
        <v>34.903761744874643</v>
      </c>
      <c r="U68" s="86">
        <f t="shared" si="11"/>
        <v>-13797.03256</v>
      </c>
      <c r="V68" s="85">
        <f t="shared" si="12"/>
        <v>-2683.3128092763232</v>
      </c>
      <c r="W68" s="85">
        <f t="shared" si="13"/>
        <v>-5523.9585190673397</v>
      </c>
      <c r="X68" s="90">
        <f t="shared" si="14"/>
        <v>2683.3128092763232</v>
      </c>
      <c r="Y68" s="86">
        <f t="shared" si="15"/>
        <v>-9660.0530899999994</v>
      </c>
      <c r="Z68" s="85">
        <f t="shared" si="16"/>
        <v>-832.16398485565549</v>
      </c>
      <c r="AA68" s="85">
        <f t="shared" si="17"/>
        <v>-935.94169284677844</v>
      </c>
      <c r="AB68" s="90">
        <f t="shared" si="18"/>
        <v>832.16398485565549</v>
      </c>
      <c r="AC68" s="86">
        <f t="shared" si="19"/>
        <v>13603.645189999999</v>
      </c>
      <c r="AD68" s="85">
        <f t="shared" si="20"/>
        <v>2598.140025222212</v>
      </c>
      <c r="AE68" s="85">
        <f t="shared" si="21"/>
        <v>5365.8912469103625</v>
      </c>
      <c r="AF68" s="90">
        <f t="shared" si="22"/>
        <v>2598.140025222212</v>
      </c>
      <c r="AG68" s="86">
        <f t="shared" si="23"/>
        <v>10395.5949</v>
      </c>
      <c r="AH68" s="85">
        <f t="shared" si="24"/>
        <v>6183.1314163678471</v>
      </c>
      <c r="AI68" s="85">
        <f t="shared" si="25"/>
        <v>7108.564416805958</v>
      </c>
      <c r="AJ68" s="90">
        <f t="shared" si="26"/>
        <v>6183.1314163678471</v>
      </c>
      <c r="AL68" s="95">
        <f t="shared" si="27"/>
        <v>0</v>
      </c>
      <c r="AM68" s="95">
        <f t="shared" si="28"/>
        <v>0</v>
      </c>
      <c r="AN68" s="95">
        <f t="shared" si="29"/>
        <v>0</v>
      </c>
      <c r="AO68" s="95">
        <f t="shared" si="30"/>
        <v>0</v>
      </c>
      <c r="AP68"/>
      <c r="AQ68" s="95">
        <f t="shared" si="31"/>
        <v>0</v>
      </c>
      <c r="AR68" s="95">
        <f t="shared" si="32"/>
        <v>0</v>
      </c>
      <c r="AS68" s="95">
        <f>Geraetedaten!$B$94*ABS(SIN(RADIANS($A68)))</f>
        <v>74.660681517935913</v>
      </c>
      <c r="AT68" s="95">
        <f>Geraetedaten!$B$94*ABS(COS(RADIANS($A68)))</f>
        <v>134.69143489946694</v>
      </c>
      <c r="AU68" s="95">
        <f>((h_Aw_Sw+Geraetedaten!$B$18)/1000)*(AQ68*AS68+AR68*AT68)/100</f>
        <v>0</v>
      </c>
    </row>
    <row r="69" spans="1:47" ht="13.5" x14ac:dyDescent="0.25">
      <c r="A69" s="16">
        <v>30</v>
      </c>
      <c r="B69" s="16">
        <f t="shared" si="0"/>
        <v>420</v>
      </c>
      <c r="C69" s="19">
        <f t="shared" si="1"/>
        <v>57.708774203067975</v>
      </c>
      <c r="D69" s="17">
        <f t="shared" si="2"/>
        <v>-13436.620894203068</v>
      </c>
      <c r="E69" s="17">
        <f t="shared" si="3"/>
        <v>-9806.8293342030665</v>
      </c>
      <c r="F69" s="17">
        <f t="shared" si="4"/>
        <v>13131.979775796934</v>
      </c>
      <c r="G69" s="17">
        <f t="shared" si="5"/>
        <v>10443.440745796934</v>
      </c>
      <c r="H69" s="17">
        <f t="shared" si="33"/>
        <v>10443.440745796934</v>
      </c>
      <c r="I69" s="17">
        <f t="shared" si="6"/>
        <v>7180.743235849488</v>
      </c>
      <c r="J69" s="20">
        <f>(Geraetedaten!$B$152+(Geraetedaten!$B$153*(Geraetedaten!$B$18+d_y_Sw)/1000))*10</f>
        <v>6051.0442000000003</v>
      </c>
      <c r="K69" s="20">
        <f>(Geraetedaten!$B$165+(Geraetedaten!$B$166*(Geraetedaten!$B$18+d_y_Sw)/1000))*10</f>
        <v>10816.164000000001</v>
      </c>
      <c r="L69" s="20">
        <f>(Geraetedaten!$B$158+(Geraetedaten!$B$159*(Geraetedaten!$B$18+d_y_Sw)/1000)-(Geraetedaten!$B$160*I69/1000))*10</f>
        <v>74.972698515156893</v>
      </c>
      <c r="M69" s="20">
        <f>(Geraetedaten!$B$171+(Geraetedaten!$B$172*(Geraetedaten!$B$18+d_y_Sw)/1000)-(Geraetedaten!$B$173*I69/1000))*10</f>
        <v>530.33247352336491</v>
      </c>
      <c r="N69" s="20">
        <f>IF((H69-J69)/(K69-J69)*(Geraetedaten!$B$174-Geraetedaten!$B$161)&lt;Geraetedaten!$B$174,(H69-J69)/(K69-J69)*(Geraetedaten!$B$174-Geraetedaten!$B$161),Geraetedaten!$B$174)</f>
        <v>368.71237074013823</v>
      </c>
      <c r="O69" s="20">
        <f>N69/Geraetedaten!$B$174*(M69-L69)+L69+C69</f>
        <v>552.42342817565566</v>
      </c>
      <c r="P69" s="20">
        <f t="shared" si="7"/>
        <v>170.70300791631655</v>
      </c>
      <c r="Q69" s="21">
        <f>(N69-Geraetedaten!$B$161)/(Geraetedaten!$B$174-Geraetedaten!$B$161)*(Geraetedaten!$B$175-Geraetedaten!$B$162)+Geraetedaten!$B$162</f>
        <v>40.169193029519114</v>
      </c>
      <c r="R69" s="21">
        <f t="shared" si="8"/>
        <v>40.169193029519114</v>
      </c>
      <c r="S69" s="21">
        <f t="shared" si="9"/>
        <v>20.084596514759554</v>
      </c>
      <c r="T69" s="88">
        <f t="shared" si="10"/>
        <v>34.78754161308435</v>
      </c>
      <c r="U69" s="86">
        <f t="shared" si="11"/>
        <v>-13378.912120000001</v>
      </c>
      <c r="V69" s="85">
        <f t="shared" si="12"/>
        <v>-2683.3128092763232</v>
      </c>
      <c r="W69" s="85">
        <f t="shared" si="13"/>
        <v>-5356.5544110394248</v>
      </c>
      <c r="X69" s="90">
        <f t="shared" si="14"/>
        <v>2683.3128092763232</v>
      </c>
      <c r="Y69" s="86">
        <f t="shared" si="15"/>
        <v>-9749.1205599999994</v>
      </c>
      <c r="Z69" s="85">
        <f t="shared" si="16"/>
        <v>-832.16398485565549</v>
      </c>
      <c r="AA69" s="85">
        <f t="shared" si="17"/>
        <v>-944.57124774891417</v>
      </c>
      <c r="AB69" s="90">
        <f t="shared" si="18"/>
        <v>832.16398485565549</v>
      </c>
      <c r="AC69" s="86">
        <f t="shared" si="19"/>
        <v>13189.688550000001</v>
      </c>
      <c r="AD69" s="85">
        <f t="shared" si="20"/>
        <v>2598.140025222212</v>
      </c>
      <c r="AE69" s="85">
        <f t="shared" si="21"/>
        <v>5202.6080752075604</v>
      </c>
      <c r="AF69" s="90">
        <f t="shared" si="22"/>
        <v>2598.140025222212</v>
      </c>
      <c r="AG69" s="86">
        <f t="shared" si="23"/>
        <v>10501.149520000001</v>
      </c>
      <c r="AH69" s="85">
        <f t="shared" si="24"/>
        <v>6183.1314163678471</v>
      </c>
      <c r="AI69" s="85">
        <f t="shared" si="25"/>
        <v>7180.743235849488</v>
      </c>
      <c r="AJ69" s="90">
        <f t="shared" si="26"/>
        <v>6183.1314163678471</v>
      </c>
      <c r="AL69" s="95">
        <f t="shared" si="27"/>
        <v>0</v>
      </c>
      <c r="AM69" s="95">
        <f t="shared" si="28"/>
        <v>0</v>
      </c>
      <c r="AN69" s="95">
        <f t="shared" si="29"/>
        <v>0</v>
      </c>
      <c r="AO69" s="95">
        <f t="shared" si="30"/>
        <v>0</v>
      </c>
      <c r="AP69"/>
      <c r="AQ69" s="95">
        <f t="shared" si="31"/>
        <v>0</v>
      </c>
      <c r="AR69" s="95">
        <f t="shared" si="32"/>
        <v>0</v>
      </c>
      <c r="AS69" s="95">
        <f>Geraetedaten!$B$94*ABS(SIN(RADIANS($A69)))</f>
        <v>76.999999999999986</v>
      </c>
      <c r="AT69" s="95">
        <f>Geraetedaten!$B$94*ABS(COS(RADIANS($A69)))</f>
        <v>133.36791218280356</v>
      </c>
      <c r="AU69" s="95">
        <f>((h_Aw_Sw+Geraetedaten!$B$18)/1000)*(AQ69*AS69+AR69*AT69)/100</f>
        <v>0</v>
      </c>
    </row>
    <row r="70" spans="1:47" ht="13.5" x14ac:dyDescent="0.25">
      <c r="A70" s="16">
        <v>31</v>
      </c>
      <c r="B70" s="16">
        <f t="shared" si="0"/>
        <v>419</v>
      </c>
      <c r="C70" s="19">
        <f t="shared" si="1"/>
        <v>58.399143095549661</v>
      </c>
      <c r="D70" s="17">
        <f t="shared" si="2"/>
        <v>-13047.62804309555</v>
      </c>
      <c r="E70" s="17">
        <f t="shared" si="3"/>
        <v>-9901.2710230955508</v>
      </c>
      <c r="F70" s="17">
        <f t="shared" si="4"/>
        <v>12745.56706690445</v>
      </c>
      <c r="G70" s="17">
        <f t="shared" si="5"/>
        <v>10553.736246904449</v>
      </c>
      <c r="H70" s="17">
        <f t="shared" si="33"/>
        <v>10553.736246904449</v>
      </c>
      <c r="I70" s="17">
        <f t="shared" si="6"/>
        <v>7256.6359830310212</v>
      </c>
      <c r="J70" s="20">
        <f>(Geraetedaten!$B$152+(Geraetedaten!$B$153*(Geraetedaten!$B$18+d_y_Sw)/1000))*10</f>
        <v>6051.0442000000003</v>
      </c>
      <c r="K70" s="20">
        <f>(Geraetedaten!$B$165+(Geraetedaten!$B$166*(Geraetedaten!$B$18+d_y_Sw)/1000))*10</f>
        <v>10816.164000000001</v>
      </c>
      <c r="L70" s="20">
        <f>(Geraetedaten!$B$158+(Geraetedaten!$B$159*(Geraetedaten!$B$18+d_y_Sw)/1000)-(Geraetedaten!$B$160*I70/1000))*10</f>
        <v>69.407483364335079</v>
      </c>
      <c r="M70" s="20">
        <f>(Geraetedaten!$B$171+(Geraetedaten!$B$172*(Geraetedaten!$B$18+d_y_Sw)/1000)-(Geraetedaten!$B$173*I70/1000))*10</f>
        <v>524.68301742317158</v>
      </c>
      <c r="N70" s="20">
        <f>IF((H70-J70)/(K70-J70)*(Geraetedaten!$B$174-Geraetedaten!$B$161)&lt;Geraetedaten!$B$174,(H70-J70)/(K70-J70)*(Geraetedaten!$B$174-Geraetedaten!$B$161),Geraetedaten!$B$174)</f>
        <v>377.97094183482636</v>
      </c>
      <c r="O70" s="20">
        <f>N70/Geraetedaten!$B$174*(M70-L70)+L70+C70</f>
        <v>558.00893246631472</v>
      </c>
      <c r="P70" s="20">
        <f t="shared" si="7"/>
        <v>171.39220587648416</v>
      </c>
      <c r="Q70" s="21">
        <f>(N70-Geraetedaten!$B$161)/(Geraetedaten!$B$174-Geraetedaten!$B$161)*(Geraetedaten!$B$175-Geraetedaten!$B$162)+Geraetedaten!$B$162</f>
        <v>40.444635519586086</v>
      </c>
      <c r="R70" s="21">
        <f t="shared" si="8"/>
        <v>40.444635519586086</v>
      </c>
      <c r="S70" s="21">
        <f t="shared" si="9"/>
        <v>20.830527218446417</v>
      </c>
      <c r="T70" s="88">
        <f t="shared" si="10"/>
        <v>34.66781905620438</v>
      </c>
      <c r="U70" s="86">
        <f t="shared" si="11"/>
        <v>-12989.2289</v>
      </c>
      <c r="V70" s="85">
        <f t="shared" si="12"/>
        <v>-2683.3128092763232</v>
      </c>
      <c r="W70" s="85">
        <f t="shared" si="13"/>
        <v>-5200.535794186213</v>
      </c>
      <c r="X70" s="90">
        <f t="shared" si="14"/>
        <v>2683.3128092763232</v>
      </c>
      <c r="Y70" s="86">
        <f t="shared" si="15"/>
        <v>-9842.8718800000006</v>
      </c>
      <c r="Z70" s="85">
        <f t="shared" si="16"/>
        <v>-832.16398485565549</v>
      </c>
      <c r="AA70" s="85">
        <f t="shared" si="17"/>
        <v>-953.65461145804727</v>
      </c>
      <c r="AB70" s="90">
        <f t="shared" si="18"/>
        <v>832.16398485565549</v>
      </c>
      <c r="AC70" s="86">
        <f t="shared" si="19"/>
        <v>12803.966210000001</v>
      </c>
      <c r="AD70" s="85">
        <f t="shared" si="20"/>
        <v>2598.140025222212</v>
      </c>
      <c r="AE70" s="85">
        <f t="shared" si="21"/>
        <v>5050.4617886615379</v>
      </c>
      <c r="AF70" s="90">
        <f t="shared" si="22"/>
        <v>2598.140025222212</v>
      </c>
      <c r="AG70" s="86">
        <f t="shared" si="23"/>
        <v>10612.135389999999</v>
      </c>
      <c r="AH70" s="85">
        <f t="shared" si="24"/>
        <v>6183.1314163678471</v>
      </c>
      <c r="AI70" s="85">
        <f t="shared" si="25"/>
        <v>7256.6359830310212</v>
      </c>
      <c r="AJ70" s="90">
        <f t="shared" si="26"/>
        <v>6183.1314163678471</v>
      </c>
      <c r="AL70" s="95">
        <f t="shared" si="27"/>
        <v>0</v>
      </c>
      <c r="AM70" s="95">
        <f t="shared" si="28"/>
        <v>0</v>
      </c>
      <c r="AN70" s="95">
        <f t="shared" si="29"/>
        <v>0</v>
      </c>
      <c r="AO70" s="95">
        <f t="shared" si="30"/>
        <v>0</v>
      </c>
      <c r="AP70"/>
      <c r="AQ70" s="95">
        <f t="shared" si="31"/>
        <v>0</v>
      </c>
      <c r="AR70" s="95">
        <f t="shared" si="32"/>
        <v>0</v>
      </c>
      <c r="AS70" s="95">
        <f>Geraetedaten!$B$94*ABS(SIN(RADIANS($A70)))</f>
        <v>79.315863536148342</v>
      </c>
      <c r="AT70" s="95">
        <f>Geraetedaten!$B$94*ABS(COS(RADIANS($A70)))</f>
        <v>132.00376430812531</v>
      </c>
      <c r="AU70" s="95">
        <f>((h_Aw_Sw+Geraetedaten!$B$18)/1000)*(AQ70*AS70+AR70*AT70)/100</f>
        <v>0</v>
      </c>
    </row>
    <row r="71" spans="1:47" ht="13.5" x14ac:dyDescent="0.25">
      <c r="A71" s="16">
        <v>32</v>
      </c>
      <c r="B71" s="16">
        <f t="shared" si="0"/>
        <v>418</v>
      </c>
      <c r="C71" s="19">
        <f t="shared" si="1"/>
        <v>59.071723043319231</v>
      </c>
      <c r="D71" s="17">
        <f t="shared" si="2"/>
        <v>-12684.412243043318</v>
      </c>
      <c r="E71" s="17">
        <f t="shared" si="3"/>
        <v>-10000.573223043319</v>
      </c>
      <c r="F71" s="17">
        <f t="shared" si="4"/>
        <v>12384.774266956681</v>
      </c>
      <c r="G71" s="17">
        <f t="shared" si="5"/>
        <v>10669.723616956682</v>
      </c>
      <c r="H71" s="17">
        <f t="shared" si="33"/>
        <v>10669.723616956682</v>
      </c>
      <c r="I71" s="17">
        <f t="shared" si="6"/>
        <v>7336.4086880852383</v>
      </c>
      <c r="J71" s="20">
        <f>(Geraetedaten!$B$152+(Geraetedaten!$B$153*(Geraetedaten!$B$18+d_y_Sw)/1000))*10</f>
        <v>6051.0442000000003</v>
      </c>
      <c r="K71" s="20">
        <f>(Geraetedaten!$B$165+(Geraetedaten!$B$166*(Geraetedaten!$B$18+d_y_Sw)/1000))*10</f>
        <v>10816.164000000001</v>
      </c>
      <c r="L71" s="20">
        <f>(Geraetedaten!$B$158+(Geraetedaten!$B$159*(Geraetedaten!$B$18+d_y_Sw)/1000)-(Geraetedaten!$B$160*I71/1000))*10</f>
        <v>63.557750902709316</v>
      </c>
      <c r="M71" s="20">
        <f>(Geraetedaten!$B$171+(Geraetedaten!$B$172*(Geraetedaten!$B$18+d_y_Sw)/1000)-(Geraetedaten!$B$173*I71/1000))*10</f>
        <v>518.74473725893563</v>
      </c>
      <c r="N71" s="20">
        <f>IF((H71-J71)/(K71-J71)*(Geraetedaten!$B$174-Geraetedaten!$B$161)&lt;Geraetedaten!$B$174,(H71-J71)/(K71-J71)*(Geraetedaten!$B$174-Geraetedaten!$B$161),Geraetedaten!$B$174)</f>
        <v>387.70730733415616</v>
      </c>
      <c r="O71" s="20">
        <f>N71/Geraetedaten!$B$174*(M71-L71)+L71+C71</f>
        <v>563.82777598033294</v>
      </c>
      <c r="P71" s="20">
        <f t="shared" si="7"/>
        <v>172.09113991245735</v>
      </c>
      <c r="Q71" s="21">
        <f>(N71-Geraetedaten!$B$161)/(Geraetedaten!$B$174-Geraetedaten!$B$161)*(Geraetedaten!$B$175-Geraetedaten!$B$162)+Geraetedaten!$B$162</f>
        <v>40.734292393191147</v>
      </c>
      <c r="R71" s="21">
        <f t="shared" ref="R71:R102" si="34">SQRT((r_K_D/1000)^2+Q71^2-(2*(r_K_D/1000)*Q71*COS(RADIANS(2*A71))))</f>
        <v>40.734292393191147</v>
      </c>
      <c r="S71" s="21">
        <f t="shared" ref="S71:S102" si="35">R71*SIN(A71*Const_2)</f>
        <v>21.585886254060089</v>
      </c>
      <c r="T71" s="88">
        <f t="shared" ref="T71:T102" si="36">R71*COS(A71*Const_2)</f>
        <v>34.544639112324937</v>
      </c>
      <c r="U71" s="86">
        <f t="shared" ref="U71:U102" si="37">ROUND((F_S*r_Su_L-F_G*V71+F_SSw*X71)/(SIN(RADIANS(270+g_L-A71)))/1000,5)</f>
        <v>-12625.34052</v>
      </c>
      <c r="V71" s="85">
        <f t="shared" ref="V71:V102" si="38">(SIN(RADIANS(g_L)))*(((VL_Z-HL_Z)/(VL_X-HL_X))*(-HL_X+AM71)+HL_Z-AL71)</f>
        <v>-2683.3128092763232</v>
      </c>
      <c r="W71" s="85">
        <f t="shared" ref="W71:W102" si="39">V71/(SIN(RADIANS(180-g_L-(90-$A71))))</f>
        <v>-5054.8447316357096</v>
      </c>
      <c r="X71" s="90">
        <f t="shared" ref="X71:X102" si="40">SIN(RADIANS(g_L))*(((VL_Z-HL_Z)/(VL_X-HL_X))*(-AO71+HL_X)-HL_Z+AN71)</f>
        <v>2683.3128092763232</v>
      </c>
      <c r="Y71" s="86">
        <f t="shared" ref="Y71:Y102" si="41">ROUND((F_S*r_Su_H-F_G*Z71+F_SSw*AB71)/(SIN(RADIANS(180+g_H-A71)))/1000,5)</f>
        <v>-9941.5015000000003</v>
      </c>
      <c r="Z71" s="85">
        <f t="shared" ref="Z71:Z102" si="42">(SIN(RADIANS(g_H)))*(((HL_X-HR_X)/(HL_Z-HR_Z))*(-HR_Z+AL71)+HR_X-AM71)</f>
        <v>-832.16398485565549</v>
      </c>
      <c r="AA71" s="85">
        <f t="shared" ref="AA71:AA102" si="43">Z71/(SIN(RADIANS(g_H-$A71)))</f>
        <v>-963.2106219093655</v>
      </c>
      <c r="AB71" s="90">
        <f t="shared" ref="AB71:AB102" si="44">SIN(RADIANS(g_H))*(((HL_X-HR_X)/(HL_Z-HR_Z))*(-AN71+HR_Z)-HR_X+AO71)</f>
        <v>832.16398485565549</v>
      </c>
      <c r="AC71" s="86">
        <f t="shared" ref="AC71:AC102" si="45">ROUND((F_S*r_Su_R+F_G*AD71+F_SSw*AF71)/(SIN(RADIANS(90+g_R-A71)))/1000,5)</f>
        <v>12443.84599</v>
      </c>
      <c r="AD71" s="85">
        <f t="shared" ref="AD71:AD102" si="46">(SIN(RADIANS(g_R)))*(((HR_Z-VR_Z)/(HR_X-VR_X))*(-VR_X+AM71)+VR_Z-AL71)</f>
        <v>2598.140025222212</v>
      </c>
      <c r="AE71" s="85">
        <f t="shared" ref="AE71:AE102" si="47">AD71/(SIN(RADIANS(180-g_R-(90-$A71))))</f>
        <v>4908.4141291285887</v>
      </c>
      <c r="AF71" s="90">
        <f t="shared" ref="AF71:AF102" si="48">(SIN(RADIANS(g_R)))*(((HR_Z-VR_Z)/(HR_X-VR_X))*(-VR_X+AO71)+VR_Z-AN71)</f>
        <v>2598.140025222212</v>
      </c>
      <c r="AG71" s="86">
        <f t="shared" ref="AG71:AG102" si="49">ROUND((F_S*r_Su_V+F_G*AH71+F_SSw*AJ71)/(SIN(RADIANS(g_V-A71)))/1000,5)</f>
        <v>10728.795340000001</v>
      </c>
      <c r="AH71" s="85">
        <f t="shared" ref="AH71:AH102" si="50">(SIN(RADIANS(g_V)))*(((VR_X-VL_X)/(VR_Z-VL_Z))*(AL71-VL_Z)+VL_X-AM71)</f>
        <v>6183.1314163678471</v>
      </c>
      <c r="AI71" s="85">
        <f t="shared" ref="AI71:AI102" si="51">AH71/(SIN(RADIANS(g_V-$A71)))</f>
        <v>7336.4086880852383</v>
      </c>
      <c r="AJ71" s="90">
        <f t="shared" ref="AJ71:AJ102" si="52">(SIN(RADIANS(g_V)))*(((VR_X-VL_X)/(VR_Z-VL_Z))*(-VL_Z+AN71)+VL_X-AO71)</f>
        <v>6183.1314163678471</v>
      </c>
      <c r="AL71" s="95">
        <f t="shared" ref="AL71:AL102" si="53">SIN(RADIANS(A71))*r_K_D</f>
        <v>0</v>
      </c>
      <c r="AM71" s="95">
        <f t="shared" ref="AM71:AM102" si="54">COS(RADIANS(A71-180))*r_K_D</f>
        <v>0</v>
      </c>
      <c r="AN71" s="95">
        <f t="shared" ref="AN71:AN102" si="55">SIN(RADIANS(A71))*r_K_SSw</f>
        <v>0</v>
      </c>
      <c r="AO71" s="95">
        <f t="shared" ref="AO71:AO102" si="56">-COS(RADIANS(A71))*r_K_SSw</f>
        <v>0</v>
      </c>
      <c r="AP71"/>
      <c r="AQ71" s="95">
        <f t="shared" ref="AQ71:AQ102" si="57">MAX(d_y_Sw*(r_K_D*ABS(COS(RADIANS($A71)))+_r1_Sw+_r2_Sw), 2*_r1_Sw*d_y_Sw)/1000000</f>
        <v>0</v>
      </c>
      <c r="AR71" s="95">
        <f t="shared" ref="AR71:AR102" si="58">MAX(d_y_Sw*(r_K_D*ABS(SIN(RADIANS($A71)))+_r1_Sw+_r2_Sw), 2*_r1_Sw*d_y_Sw)/1000000</f>
        <v>0</v>
      </c>
      <c r="AS71" s="95">
        <f>Geraetedaten!$B$94*ABS(SIN(RADIANS($A71)))</f>
        <v>81.607566691913561</v>
      </c>
      <c r="AT71" s="95">
        <f>Geraetedaten!$B$94*ABS(COS(RADIANS($A71)))</f>
        <v>130.59940680808961</v>
      </c>
      <c r="AU71" s="95">
        <f>((h_Aw_Sw+Geraetedaten!$B$18)/1000)*(AQ71*AS71+AR71*AT71)/100</f>
        <v>0</v>
      </c>
    </row>
    <row r="72" spans="1:47" ht="13.5" x14ac:dyDescent="0.25">
      <c r="A72" s="16">
        <v>33</v>
      </c>
      <c r="B72" s="16">
        <f t="shared" si="0"/>
        <v>417</v>
      </c>
      <c r="C72" s="19">
        <f t="shared" si="1"/>
        <v>59.726309172009181</v>
      </c>
      <c r="D72" s="17">
        <f t="shared" si="2"/>
        <v>-12344.651359172009</v>
      </c>
      <c r="E72" s="17">
        <f t="shared" si="3"/>
        <v>-10104.944889172009</v>
      </c>
      <c r="F72" s="17">
        <f t="shared" si="4"/>
        <v>12047.289570827992</v>
      </c>
      <c r="G72" s="17">
        <f t="shared" si="5"/>
        <v>10791.66456082799</v>
      </c>
      <c r="H72" s="17">
        <f t="shared" si="33"/>
        <v>10791.66456082799</v>
      </c>
      <c r="I72" s="17">
        <f t="shared" si="6"/>
        <v>7420.2401825468933</v>
      </c>
      <c r="J72" s="20">
        <f>(Geraetedaten!$B$152+(Geraetedaten!$B$153*(Geraetedaten!$B$18+d_y_Sw)/1000))*10</f>
        <v>6051.0442000000003</v>
      </c>
      <c r="K72" s="20">
        <f>(Geraetedaten!$B$165+(Geraetedaten!$B$166*(Geraetedaten!$B$18+d_y_Sw)/1000))*10</f>
        <v>10816.164000000001</v>
      </c>
      <c r="L72" s="20">
        <f>(Geraetedaten!$B$158+(Geraetedaten!$B$159*(Geraetedaten!$B$18+d_y_Sw)/1000)-(Geraetedaten!$B$160*I72/1000))*10</f>
        <v>57.410387413836119</v>
      </c>
      <c r="M72" s="20">
        <f>(Geraetedaten!$B$171+(Geraetedaten!$B$172*(Geraetedaten!$B$18+d_y_Sw)/1000)-(Geraetedaten!$B$173*I72/1000))*10</f>
        <v>512.50432081121005</v>
      </c>
      <c r="N72" s="20">
        <f>IF((H72-J72)/(K72-J72)*(Geraetedaten!$B$174-Geraetedaten!$B$161)&lt;Geraetedaten!$B$174,(H72-J72)/(K72-J72)*(Geraetedaten!$B$174-Geraetedaten!$B$161),Geraetedaten!$B$174)</f>
        <v>397.94343561544787</v>
      </c>
      <c r="O72" s="20">
        <f>N72/Geraetedaten!$B$174*(M72-L72)+L72+C72</f>
        <v>569.89080504559229</v>
      </c>
      <c r="P72" s="20">
        <f t="shared" si="7"/>
        <v>172.79983178452468</v>
      </c>
      <c r="Q72" s="21">
        <f>(N72-Geraetedaten!$B$161)/(Geraetedaten!$B$174-Geraetedaten!$B$161)*(Geraetedaten!$B$175-Geraetedaten!$B$162)+Geraetedaten!$B$162</f>
        <v>41.038817209559575</v>
      </c>
      <c r="R72" s="21">
        <f t="shared" si="34"/>
        <v>41.038817209559575</v>
      </c>
      <c r="S72" s="21">
        <f t="shared" si="35"/>
        <v>22.351341803172613</v>
      </c>
      <c r="T72" s="88">
        <f t="shared" si="36"/>
        <v>34.418048136949771</v>
      </c>
      <c r="U72" s="86">
        <f t="shared" si="37"/>
        <v>-12284.92505</v>
      </c>
      <c r="V72" s="85">
        <f t="shared" si="38"/>
        <v>-2683.3128092763232</v>
      </c>
      <c r="W72" s="85">
        <f t="shared" si="39"/>
        <v>-4918.5515894328419</v>
      </c>
      <c r="X72" s="90">
        <f t="shared" si="40"/>
        <v>2683.3128092763232</v>
      </c>
      <c r="Y72" s="86">
        <f t="shared" si="41"/>
        <v>-10045.218580000001</v>
      </c>
      <c r="Z72" s="85">
        <f t="shared" si="42"/>
        <v>-832.16398485565549</v>
      </c>
      <c r="AA72" s="85">
        <f t="shared" si="43"/>
        <v>-973.25954613516103</v>
      </c>
      <c r="AB72" s="90">
        <f t="shared" si="44"/>
        <v>832.16398485565549</v>
      </c>
      <c r="AC72" s="86">
        <f t="shared" si="45"/>
        <v>12107.015880000001</v>
      </c>
      <c r="AD72" s="85">
        <f t="shared" si="46"/>
        <v>2598.140025222212</v>
      </c>
      <c r="AE72" s="85">
        <f t="shared" si="47"/>
        <v>4775.5531413039653</v>
      </c>
      <c r="AF72" s="90">
        <f t="shared" si="48"/>
        <v>2598.140025222212</v>
      </c>
      <c r="AG72" s="86">
        <f t="shared" si="49"/>
        <v>10851.390869999999</v>
      </c>
      <c r="AH72" s="85">
        <f t="shared" si="50"/>
        <v>6183.1314163678471</v>
      </c>
      <c r="AI72" s="85">
        <f t="shared" si="51"/>
        <v>7420.2401825468933</v>
      </c>
      <c r="AJ72" s="90">
        <f t="shared" si="52"/>
        <v>6183.1314163678471</v>
      </c>
      <c r="AL72" s="95">
        <f t="shared" si="53"/>
        <v>0</v>
      </c>
      <c r="AM72" s="95">
        <f t="shared" si="54"/>
        <v>0</v>
      </c>
      <c r="AN72" s="95">
        <f t="shared" si="55"/>
        <v>0</v>
      </c>
      <c r="AO72" s="95">
        <f t="shared" si="56"/>
        <v>0</v>
      </c>
      <c r="AP72"/>
      <c r="AQ72" s="95">
        <f t="shared" si="57"/>
        <v>0</v>
      </c>
      <c r="AR72" s="95">
        <f t="shared" si="58"/>
        <v>0</v>
      </c>
      <c r="AS72" s="95">
        <f>Geraetedaten!$B$94*ABS(SIN(RADIANS($A72)))</f>
        <v>83.874411392314173</v>
      </c>
      <c r="AT72" s="95">
        <f>Geraetedaten!$B$94*ABS(COS(RADIANS($A72)))</f>
        <v>129.15526746359529</v>
      </c>
      <c r="AU72" s="95">
        <f>((h_Aw_Sw+Geraetedaten!$B$18)/1000)*(AQ72*AS72+AR72*AT72)/100</f>
        <v>0</v>
      </c>
    </row>
    <row r="73" spans="1:47" ht="13.5" x14ac:dyDescent="0.25">
      <c r="A73" s="16">
        <v>34</v>
      </c>
      <c r="B73" s="16">
        <f t="shared" si="0"/>
        <v>416</v>
      </c>
      <c r="C73" s="19">
        <f t="shared" si="1"/>
        <v>60.362702088343596</v>
      </c>
      <c r="D73" s="17">
        <f t="shared" si="2"/>
        <v>-12026.296722088344</v>
      </c>
      <c r="E73" s="17">
        <f t="shared" si="3"/>
        <v>-10214.610982088343</v>
      </c>
      <c r="F73" s="17">
        <f t="shared" si="4"/>
        <v>11731.074257911658</v>
      </c>
      <c r="G73" s="17">
        <f t="shared" si="5"/>
        <v>10919.841167911656</v>
      </c>
      <c r="H73" s="17">
        <f t="shared" si="33"/>
        <v>10919.841167911656</v>
      </c>
      <c r="I73" s="17">
        <f t="shared" si="6"/>
        <v>7508.3232136693268</v>
      </c>
      <c r="J73" s="20">
        <f>(Geraetedaten!$B$152+(Geraetedaten!$B$153*(Geraetedaten!$B$18+d_y_Sw)/1000))*10</f>
        <v>6051.0442000000003</v>
      </c>
      <c r="K73" s="20">
        <f>(Geraetedaten!$B$165+(Geraetedaten!$B$166*(Geraetedaten!$B$18+d_y_Sw)/1000))*10</f>
        <v>10816.164000000001</v>
      </c>
      <c r="L73" s="20">
        <f>(Geraetedaten!$B$158+(Geraetedaten!$B$159*(Geraetedaten!$B$18+d_y_Sw)/1000)-(Geraetedaten!$B$160*I73/1000))*10</f>
        <v>50.951258741628109</v>
      </c>
      <c r="M73" s="20">
        <f>(Geraetedaten!$B$171+(Geraetedaten!$B$172*(Geraetedaten!$B$18+d_y_Sw)/1000)-(Geraetedaten!$B$173*I73/1000))*10</f>
        <v>505.94741997445612</v>
      </c>
      <c r="N73" s="20">
        <f>IF((H73-J73)/(K73-J73)*(Geraetedaten!$B$174-Geraetedaten!$B$161)&lt;Geraetedaten!$B$174,(H73-J73)/(K73-J73)*(Geraetedaten!$B$174-Geraetedaten!$B$161),Geraetedaten!$B$174)</f>
        <v>400</v>
      </c>
      <c r="O73" s="20">
        <f>N73/Geraetedaten!$B$174*(M73-L73)+L73+C73</f>
        <v>566.31012206279968</v>
      </c>
      <c r="P73" s="20">
        <f t="shared" si="7"/>
        <v>171.85162132888652</v>
      </c>
      <c r="Q73" s="21">
        <f>(N73-Geraetedaten!$B$161)/(Geraetedaten!$B$174-Geraetedaten!$B$161)*(Geraetedaten!$B$175-Geraetedaten!$B$162)+Geraetedaten!$B$162</f>
        <v>41.1</v>
      </c>
      <c r="R73" s="21">
        <f t="shared" si="34"/>
        <v>41.1</v>
      </c>
      <c r="S73" s="21">
        <f t="shared" si="35"/>
        <v>22.982828332647699</v>
      </c>
      <c r="T73" s="88">
        <f t="shared" si="36"/>
        <v>34.073444232012214</v>
      </c>
      <c r="U73" s="86">
        <f t="shared" si="37"/>
        <v>-11965.934020000001</v>
      </c>
      <c r="V73" s="85">
        <f t="shared" si="38"/>
        <v>-2683.3128092763232</v>
      </c>
      <c r="W73" s="85">
        <f t="shared" si="39"/>
        <v>-4790.8362108622941</v>
      </c>
      <c r="X73" s="90">
        <f t="shared" si="40"/>
        <v>2683.3128092763232</v>
      </c>
      <c r="Y73" s="86">
        <f t="shared" si="41"/>
        <v>-10154.24828</v>
      </c>
      <c r="Z73" s="85">
        <f t="shared" si="42"/>
        <v>-832.16398485565549</v>
      </c>
      <c r="AA73" s="85">
        <f t="shared" si="43"/>
        <v>-983.82319804755377</v>
      </c>
      <c r="AB73" s="90">
        <f t="shared" si="44"/>
        <v>832.16398485565549</v>
      </c>
      <c r="AC73" s="86">
        <f t="shared" si="45"/>
        <v>11791.436960000001</v>
      </c>
      <c r="AD73" s="85">
        <f t="shared" si="46"/>
        <v>2598.140025222212</v>
      </c>
      <c r="AE73" s="85">
        <f t="shared" si="47"/>
        <v>4651.0745844411922</v>
      </c>
      <c r="AF73" s="90">
        <f t="shared" si="48"/>
        <v>2598.140025222212</v>
      </c>
      <c r="AG73" s="86">
        <f t="shared" si="49"/>
        <v>10980.203869999999</v>
      </c>
      <c r="AH73" s="85">
        <f t="shared" si="50"/>
        <v>6183.1314163678471</v>
      </c>
      <c r="AI73" s="85">
        <f t="shared" si="51"/>
        <v>7508.3232136693268</v>
      </c>
      <c r="AJ73" s="90">
        <f t="shared" si="52"/>
        <v>6183.1314163678471</v>
      </c>
      <c r="AL73" s="95">
        <f t="shared" si="53"/>
        <v>0</v>
      </c>
      <c r="AM73" s="95">
        <f t="shared" si="54"/>
        <v>0</v>
      </c>
      <c r="AN73" s="95">
        <f t="shared" si="55"/>
        <v>0</v>
      </c>
      <c r="AO73" s="95">
        <f t="shared" si="56"/>
        <v>0</v>
      </c>
      <c r="AP73"/>
      <c r="AQ73" s="95">
        <f t="shared" si="57"/>
        <v>0</v>
      </c>
      <c r="AR73" s="95">
        <f t="shared" si="58"/>
        <v>0</v>
      </c>
      <c r="AS73" s="95">
        <f>Geraetedaten!$B$94*ABS(SIN(RADIANS($A73)))</f>
        <v>86.115707134495025</v>
      </c>
      <c r="AT73" s="95">
        <f>Geraetedaten!$B$94*ABS(COS(RADIANS($A73)))</f>
        <v>127.67178617347641</v>
      </c>
      <c r="AU73" s="95">
        <f>((h_Aw_Sw+Geraetedaten!$B$18)/1000)*(AQ73*AS73+AR73*AT73)/100</f>
        <v>0</v>
      </c>
    </row>
    <row r="74" spans="1:47" ht="13.5" x14ac:dyDescent="0.25">
      <c r="A74" s="16">
        <v>35</v>
      </c>
      <c r="B74" s="16">
        <f t="shared" si="0"/>
        <v>415</v>
      </c>
      <c r="C74" s="19">
        <f t="shared" si="1"/>
        <v>60.980707940875263</v>
      </c>
      <c r="D74" s="17">
        <f t="shared" si="2"/>
        <v>-11727.534107940875</v>
      </c>
      <c r="E74" s="17">
        <f t="shared" si="3"/>
        <v>-10329.813747940874</v>
      </c>
      <c r="F74" s="17">
        <f t="shared" si="4"/>
        <v>11434.323672059125</v>
      </c>
      <c r="G74" s="17">
        <f t="shared" si="5"/>
        <v>11054.557662059126</v>
      </c>
      <c r="H74" s="17">
        <f t="shared" si="33"/>
        <v>11054.557662059126</v>
      </c>
      <c r="I74" s="17">
        <f t="shared" si="6"/>
        <v>7600.8656831622384</v>
      </c>
      <c r="J74" s="20">
        <f>(Geraetedaten!$B$152+(Geraetedaten!$B$153*(Geraetedaten!$B$18+d_y_Sw)/1000))*10</f>
        <v>6051.0442000000003</v>
      </c>
      <c r="K74" s="20">
        <f>(Geraetedaten!$B$165+(Geraetedaten!$B$166*(Geraetedaten!$B$18+d_y_Sw)/1000))*10</f>
        <v>10816.164000000001</v>
      </c>
      <c r="L74" s="20">
        <f>(Geraetedaten!$B$158+(Geraetedaten!$B$159*(Geraetedaten!$B$18+d_y_Sw)/1000)-(Geraetedaten!$B$160*I74/1000))*10</f>
        <v>44.165119453712904</v>
      </c>
      <c r="M74" s="20">
        <f>(Geraetedaten!$B$171+(Geraetedaten!$B$172*(Geraetedaten!$B$18+d_y_Sw)/1000)-(Geraetedaten!$B$173*I74/1000))*10</f>
        <v>499.0585585454038</v>
      </c>
      <c r="N74" s="20">
        <f>IF((H74-J74)/(K74-J74)*(Geraetedaten!$B$174-Geraetedaten!$B$161)&lt;Geraetedaten!$B$174,(H74-J74)/(K74-J74)*(Geraetedaten!$B$174-Geraetedaten!$B$161),Geraetedaten!$B$174)</f>
        <v>400</v>
      </c>
      <c r="O74" s="20">
        <f>N74/Geraetedaten!$B$174*(M74-L74)+L74+C74</f>
        <v>560.03926648627908</v>
      </c>
      <c r="P74" s="20">
        <f t="shared" si="7"/>
        <v>170.41816574512208</v>
      </c>
      <c r="Q74" s="21">
        <f>(N74-Geraetedaten!$B$161)/(Geraetedaten!$B$174-Geraetedaten!$B$161)*(Geraetedaten!$B$175-Geraetedaten!$B$162)+Geraetedaten!$B$162</f>
        <v>41.1</v>
      </c>
      <c r="R74" s="21">
        <f t="shared" si="34"/>
        <v>41.1</v>
      </c>
      <c r="S74" s="21">
        <f t="shared" si="35"/>
        <v>23.573991534027993</v>
      </c>
      <c r="T74" s="88">
        <f t="shared" si="36"/>
        <v>33.667149020277563</v>
      </c>
      <c r="U74" s="86">
        <f t="shared" si="37"/>
        <v>-11666.553400000001</v>
      </c>
      <c r="V74" s="85">
        <f t="shared" si="38"/>
        <v>-2683.3128092763232</v>
      </c>
      <c r="W74" s="85">
        <f t="shared" si="39"/>
        <v>-4670.9723126966155</v>
      </c>
      <c r="X74" s="90">
        <f t="shared" si="40"/>
        <v>2683.3128092763232</v>
      </c>
      <c r="Y74" s="86">
        <f t="shared" si="41"/>
        <v>-10268.83304</v>
      </c>
      <c r="Z74" s="85">
        <f t="shared" si="42"/>
        <v>-832.16398485565549</v>
      </c>
      <c r="AA74" s="85">
        <f t="shared" si="43"/>
        <v>-994.92506897250121</v>
      </c>
      <c r="AB74" s="90">
        <f t="shared" si="44"/>
        <v>832.16398485565549</v>
      </c>
      <c r="AC74" s="86">
        <f t="shared" si="45"/>
        <v>11495.30438</v>
      </c>
      <c r="AD74" s="85">
        <f t="shared" si="46"/>
        <v>2598.140025222212</v>
      </c>
      <c r="AE74" s="85">
        <f t="shared" si="47"/>
        <v>4534.2665346803178</v>
      </c>
      <c r="AF74" s="90">
        <f t="shared" si="48"/>
        <v>2598.140025222212</v>
      </c>
      <c r="AG74" s="86">
        <f t="shared" si="49"/>
        <v>11115.53837</v>
      </c>
      <c r="AH74" s="85">
        <f t="shared" si="50"/>
        <v>6183.1314163678471</v>
      </c>
      <c r="AI74" s="85">
        <f t="shared" si="51"/>
        <v>7600.8656831622384</v>
      </c>
      <c r="AJ74" s="90">
        <f t="shared" si="52"/>
        <v>6183.1314163678471</v>
      </c>
      <c r="AL74" s="95">
        <f t="shared" si="53"/>
        <v>0</v>
      </c>
      <c r="AM74" s="95">
        <f t="shared" si="54"/>
        <v>0</v>
      </c>
      <c r="AN74" s="95">
        <f t="shared" si="55"/>
        <v>0</v>
      </c>
      <c r="AO74" s="95">
        <f t="shared" si="56"/>
        <v>0</v>
      </c>
      <c r="AP74"/>
      <c r="AQ74" s="95">
        <f t="shared" si="57"/>
        <v>0</v>
      </c>
      <c r="AR74" s="95">
        <f t="shared" si="58"/>
        <v>0</v>
      </c>
      <c r="AS74" s="95">
        <f>Geraetedaten!$B$94*ABS(SIN(RADIANS($A74)))</f>
        <v>88.330771198061086</v>
      </c>
      <c r="AT74" s="95">
        <f>Geraetedaten!$B$94*ABS(COS(RADIANS($A74)))</f>
        <v>126.14941482050473</v>
      </c>
      <c r="AU74" s="95">
        <f>((h_Aw_Sw+Geraetedaten!$B$18)/1000)*(AQ74*AS74+AR74*AT74)/100</f>
        <v>0</v>
      </c>
    </row>
    <row r="75" spans="1:47" ht="13.5" x14ac:dyDescent="0.25">
      <c r="A75" s="16">
        <v>36</v>
      </c>
      <c r="B75" s="16">
        <f t="shared" si="0"/>
        <v>414</v>
      </c>
      <c r="C75" s="19">
        <f t="shared" si="1"/>
        <v>61.580138479034758</v>
      </c>
      <c r="D75" s="17">
        <f t="shared" si="2"/>
        <v>-11446.751308479033</v>
      </c>
      <c r="E75" s="17">
        <f t="shared" si="3"/>
        <v>-10450.814288479036</v>
      </c>
      <c r="F75" s="17">
        <f t="shared" si="4"/>
        <v>11155.434621520966</v>
      </c>
      <c r="G75" s="17">
        <f t="shared" si="5"/>
        <v>11196.142451520966</v>
      </c>
      <c r="H75" s="17">
        <f t="shared" si="33"/>
        <v>11155.434621520966</v>
      </c>
      <c r="I75" s="17">
        <f t="shared" si="6"/>
        <v>4424.4965569106917</v>
      </c>
      <c r="J75" s="20">
        <f>(Geraetedaten!$B$152+(Geraetedaten!$B$153*(Geraetedaten!$B$18+d_y_Sw)/1000))*10</f>
        <v>6051.0442000000003</v>
      </c>
      <c r="K75" s="20">
        <f>(Geraetedaten!$B$165+(Geraetedaten!$B$166*(Geraetedaten!$B$18+d_y_Sw)/1000))*10</f>
        <v>10816.164000000001</v>
      </c>
      <c r="L75" s="20">
        <f>(Geraetedaten!$B$158+(Geraetedaten!$B$159*(Geraetedaten!$B$18+d_y_Sw)/1000)-(Geraetedaten!$B$160*I75/1000))*10</f>
        <v>277.08826748173874</v>
      </c>
      <c r="M75" s="20">
        <f>(Geraetedaten!$B$171+(Geraetedaten!$B$172*(Geraetedaten!$B$18+d_y_Sw)/1000)-(Geraetedaten!$B$173*I75/1000))*10</f>
        <v>735.50747630356898</v>
      </c>
      <c r="N75" s="20">
        <f>IF((H75-J75)/(K75-J75)*(Geraetedaten!$B$174-Geraetedaten!$B$161)&lt;Geraetedaten!$B$174,(H75-J75)/(K75-J75)*(Geraetedaten!$B$174-Geraetedaten!$B$161),Geraetedaten!$B$174)</f>
        <v>400</v>
      </c>
      <c r="O75" s="20">
        <f>N75/Geraetedaten!$B$174*(M75-L75)+L75+C75</f>
        <v>797.08761478260374</v>
      </c>
      <c r="P75" s="20">
        <f t="shared" si="7"/>
        <v>221.54449835060436</v>
      </c>
      <c r="Q75" s="21">
        <f>(N75-Geraetedaten!$B$161)/(Geraetedaten!$B$174-Geraetedaten!$B$161)*(Geraetedaten!$B$175-Geraetedaten!$B$162)+Geraetedaten!$B$162</f>
        <v>41.1</v>
      </c>
      <c r="R75" s="21">
        <f t="shared" si="34"/>
        <v>41.1</v>
      </c>
      <c r="S75" s="21">
        <f t="shared" si="35"/>
        <v>24.157973869220648</v>
      </c>
      <c r="T75" s="88">
        <f t="shared" si="36"/>
        <v>33.250598468810338</v>
      </c>
      <c r="U75" s="86">
        <f t="shared" si="37"/>
        <v>-11385.17117</v>
      </c>
      <c r="V75" s="85">
        <f t="shared" si="38"/>
        <v>-2683.3128092763232</v>
      </c>
      <c r="W75" s="85">
        <f t="shared" si="39"/>
        <v>-4558.3144779812874</v>
      </c>
      <c r="X75" s="90">
        <f t="shared" si="40"/>
        <v>2683.3128092763232</v>
      </c>
      <c r="Y75" s="86">
        <f t="shared" si="41"/>
        <v>-10389.23415</v>
      </c>
      <c r="Z75" s="85">
        <f t="shared" si="42"/>
        <v>-832.16398485565549</v>
      </c>
      <c r="AA75" s="85">
        <f t="shared" si="43"/>
        <v>-1006.5904725186721</v>
      </c>
      <c r="AB75" s="90">
        <f t="shared" si="44"/>
        <v>832.16398485565549</v>
      </c>
      <c r="AC75" s="86">
        <f t="shared" si="45"/>
        <v>11217.01476</v>
      </c>
      <c r="AD75" s="85">
        <f t="shared" si="46"/>
        <v>2598.140025222212</v>
      </c>
      <c r="AE75" s="85">
        <f t="shared" si="47"/>
        <v>4424.4965569106917</v>
      </c>
      <c r="AF75" s="90">
        <f t="shared" si="48"/>
        <v>2598.140025222212</v>
      </c>
      <c r="AG75" s="86">
        <f t="shared" si="49"/>
        <v>11257.722589999999</v>
      </c>
      <c r="AH75" s="85">
        <f t="shared" si="50"/>
        <v>6183.1314163678471</v>
      </c>
      <c r="AI75" s="85">
        <f t="shared" si="51"/>
        <v>7698.0920269857288</v>
      </c>
      <c r="AJ75" s="90">
        <f t="shared" si="52"/>
        <v>6183.1314163678471</v>
      </c>
      <c r="AL75" s="95">
        <f t="shared" si="53"/>
        <v>0</v>
      </c>
      <c r="AM75" s="95">
        <f t="shared" si="54"/>
        <v>0</v>
      </c>
      <c r="AN75" s="95">
        <f t="shared" si="55"/>
        <v>0</v>
      </c>
      <c r="AO75" s="95">
        <f t="shared" si="56"/>
        <v>0</v>
      </c>
      <c r="AP75"/>
      <c r="AQ75" s="95">
        <f t="shared" si="57"/>
        <v>0</v>
      </c>
      <c r="AR75" s="95">
        <f t="shared" si="58"/>
        <v>0</v>
      </c>
      <c r="AS75" s="95">
        <f>Geraetedaten!$B$94*ABS(SIN(RADIANS($A75)))</f>
        <v>90.518928853040862</v>
      </c>
      <c r="AT75" s="95">
        <f>Geraetedaten!$B$94*ABS(COS(RADIANS($A75)))</f>
        <v>124.58861713374191</v>
      </c>
      <c r="AU75" s="95">
        <f>((h_Aw_Sw+Geraetedaten!$B$18)/1000)*(AQ75*AS75+AR75*AT75)/100</f>
        <v>0</v>
      </c>
    </row>
    <row r="76" spans="1:47" ht="13.5" x14ac:dyDescent="0.25">
      <c r="A76" s="16">
        <v>37</v>
      </c>
      <c r="B76" s="16">
        <f t="shared" si="0"/>
        <v>413</v>
      </c>
      <c r="C76" s="19">
        <f t="shared" si="1"/>
        <v>62.160811110473347</v>
      </c>
      <c r="D76" s="17">
        <f t="shared" si="2"/>
        <v>-11182.510831110474</v>
      </c>
      <c r="E76" s="17">
        <f t="shared" si="3"/>
        <v>-10577.894151110475</v>
      </c>
      <c r="F76" s="17">
        <f t="shared" si="4"/>
        <v>10892.978218889526</v>
      </c>
      <c r="G76" s="17">
        <f t="shared" si="5"/>
        <v>11344.950368889526</v>
      </c>
      <c r="H76" s="17">
        <f t="shared" si="33"/>
        <v>10892.978218889526</v>
      </c>
      <c r="I76" s="17">
        <f t="shared" si="6"/>
        <v>4321.200959527313</v>
      </c>
      <c r="J76" s="20">
        <f>(Geraetedaten!$B$152+(Geraetedaten!$B$153*(Geraetedaten!$B$18+d_y_Sw)/1000))*10</f>
        <v>6051.0442000000003</v>
      </c>
      <c r="K76" s="20">
        <f>(Geraetedaten!$B$165+(Geraetedaten!$B$166*(Geraetedaten!$B$18+d_y_Sw)/1000))*10</f>
        <v>10816.164000000001</v>
      </c>
      <c r="L76" s="20">
        <f>(Geraetedaten!$B$158+(Geraetedaten!$B$159*(Geraetedaten!$B$18+d_y_Sw)/1000)-(Geraetedaten!$B$160*I76/1000))*10</f>
        <v>284.6629336378619</v>
      </c>
      <c r="M76" s="20">
        <f>(Geraetedaten!$B$171+(Geraetedaten!$B$172*(Geraetedaten!$B$18+d_y_Sw)/1000)-(Geraetedaten!$B$173*I76/1000))*10</f>
        <v>743.19680057278765</v>
      </c>
      <c r="N76" s="20">
        <f>IF((H76-J76)/(K76-J76)*(Geraetedaten!$B$174-Geraetedaten!$B$161)&lt;Geraetedaten!$B$174,(H76-J76)/(K76-J76)*(Geraetedaten!$B$174-Geraetedaten!$B$161),Geraetedaten!$B$174)</f>
        <v>400</v>
      </c>
      <c r="O76" s="20">
        <f>N76/Geraetedaten!$B$174*(M76-L76)+L76+C76</f>
        <v>805.35761168326098</v>
      </c>
      <c r="P76" s="20">
        <f t="shared" si="7"/>
        <v>223.2144041558528</v>
      </c>
      <c r="Q76" s="21">
        <f>(N76-Geraetedaten!$B$161)/(Geraetedaten!$B$174-Geraetedaten!$B$161)*(Geraetedaten!$B$175-Geraetedaten!$B$162)+Geraetedaten!$B$162</f>
        <v>41.1</v>
      </c>
      <c r="R76" s="21">
        <f t="shared" si="34"/>
        <v>41.1</v>
      </c>
      <c r="S76" s="21">
        <f t="shared" si="35"/>
        <v>24.734597451549185</v>
      </c>
      <c r="T76" s="88">
        <f t="shared" si="36"/>
        <v>32.823919462943735</v>
      </c>
      <c r="U76" s="86">
        <f t="shared" si="37"/>
        <v>-11120.35002</v>
      </c>
      <c r="V76" s="85">
        <f t="shared" si="38"/>
        <v>-2683.3128092763232</v>
      </c>
      <c r="W76" s="85">
        <f t="shared" si="39"/>
        <v>-4452.287254961574</v>
      </c>
      <c r="X76" s="90">
        <f t="shared" si="40"/>
        <v>2683.3128092763232</v>
      </c>
      <c r="Y76" s="86">
        <f t="shared" si="41"/>
        <v>-10515.733340000001</v>
      </c>
      <c r="Z76" s="85">
        <f t="shared" si="42"/>
        <v>-832.16398485565549</v>
      </c>
      <c r="AA76" s="85">
        <f t="shared" si="43"/>
        <v>-1018.8467055972266</v>
      </c>
      <c r="AB76" s="90">
        <f t="shared" si="44"/>
        <v>832.16398485565549</v>
      </c>
      <c r="AC76" s="86">
        <f t="shared" si="45"/>
        <v>10955.13903</v>
      </c>
      <c r="AD76" s="85">
        <f t="shared" si="46"/>
        <v>2598.140025222212</v>
      </c>
      <c r="AE76" s="85">
        <f t="shared" si="47"/>
        <v>4321.200959527313</v>
      </c>
      <c r="AF76" s="90">
        <f t="shared" si="48"/>
        <v>2598.140025222212</v>
      </c>
      <c r="AG76" s="86">
        <f t="shared" si="49"/>
        <v>11407.11118</v>
      </c>
      <c r="AH76" s="85">
        <f t="shared" si="50"/>
        <v>6183.1314163678471</v>
      </c>
      <c r="AI76" s="85">
        <f t="shared" si="51"/>
        <v>7800.2447549220806</v>
      </c>
      <c r="AJ76" s="90">
        <f t="shared" si="52"/>
        <v>6183.1314163678471</v>
      </c>
      <c r="AL76" s="95">
        <f t="shared" si="53"/>
        <v>0</v>
      </c>
      <c r="AM76" s="95">
        <f t="shared" si="54"/>
        <v>0</v>
      </c>
      <c r="AN76" s="95">
        <f t="shared" si="55"/>
        <v>0</v>
      </c>
      <c r="AO76" s="95">
        <f t="shared" si="56"/>
        <v>0</v>
      </c>
      <c r="AP76"/>
      <c r="AQ76" s="95">
        <f t="shared" si="57"/>
        <v>0</v>
      </c>
      <c r="AR76" s="95">
        <f t="shared" si="58"/>
        <v>0</v>
      </c>
      <c r="AS76" s="95">
        <f>Geraetedaten!$B$94*ABS(SIN(RADIANS($A76)))</f>
        <v>92.679513565415434</v>
      </c>
      <c r="AT76" s="95">
        <f>Geraetedaten!$B$94*ABS(COS(RADIANS($A76)))</f>
        <v>122.98986854728309</v>
      </c>
      <c r="AU76" s="95">
        <f>((h_Aw_Sw+Geraetedaten!$B$18)/1000)*(AQ76*AS76+AR76*AT76)/100</f>
        <v>0</v>
      </c>
    </row>
    <row r="77" spans="1:47" ht="13.5" x14ac:dyDescent="0.25">
      <c r="A77" s="16">
        <v>38</v>
      </c>
      <c r="B77" s="16">
        <f t="shared" si="0"/>
        <v>412</v>
      </c>
      <c r="C77" s="19">
        <f t="shared" si="1"/>
        <v>62.722548956682388</v>
      </c>
      <c r="D77" s="17">
        <f t="shared" si="2"/>
        <v>-10933.527028956683</v>
      </c>
      <c r="E77" s="17">
        <f t="shared" si="3"/>
        <v>-10711.357208956682</v>
      </c>
      <c r="F77" s="17">
        <f t="shared" si="4"/>
        <v>10645.676921043318</v>
      </c>
      <c r="G77" s="17">
        <f t="shared" si="5"/>
        <v>11501.365171043317</v>
      </c>
      <c r="H77" s="17">
        <f t="shared" si="33"/>
        <v>10645.676921043318</v>
      </c>
      <c r="I77" s="17">
        <f t="shared" si="6"/>
        <v>4223.8757480000804</v>
      </c>
      <c r="J77" s="20">
        <f>(Geraetedaten!$B$152+(Geraetedaten!$B$153*(Geraetedaten!$B$18+d_y_Sw)/1000))*10</f>
        <v>6051.0442000000003</v>
      </c>
      <c r="K77" s="20">
        <f>(Geraetedaten!$B$165+(Geraetedaten!$B$166*(Geraetedaten!$B$18+d_y_Sw)/1000))*10</f>
        <v>10816.164000000001</v>
      </c>
      <c r="L77" s="20">
        <f>(Geraetedaten!$B$158+(Geraetedaten!$B$159*(Geraetedaten!$B$18+d_y_Sw)/1000)-(Geraetedaten!$B$160*I77/1000))*10</f>
        <v>291.79979139915389</v>
      </c>
      <c r="M77" s="20">
        <f>(Geraetedaten!$B$171+(Geraetedaten!$B$172*(Geraetedaten!$B$18+d_y_Sw)/1000)-(Geraetedaten!$B$173*I77/1000))*10</f>
        <v>750.44168931887486</v>
      </c>
      <c r="N77" s="20">
        <f>IF((H77-J77)/(K77-J77)*(Geraetedaten!$B$174-Geraetedaten!$B$161)&lt;Geraetedaten!$B$174,(H77-J77)/(K77-J77)*(Geraetedaten!$B$174-Geraetedaten!$B$161),Geraetedaten!$B$174)</f>
        <v>385.68874772410271</v>
      </c>
      <c r="O77" s="20">
        <f>N77/Geraetedaten!$B$174*(M77-L77)+L77+C77</f>
        <v>796.75488851199361</v>
      </c>
      <c r="P77" s="20">
        <f t="shared" si="7"/>
        <v>222.81983785558126</v>
      </c>
      <c r="Q77" s="21">
        <f>(N77-Geraetedaten!$B$161)/(Geraetedaten!$B$174-Geraetedaten!$B$161)*(Geraetedaten!$B$175-Geraetedaten!$B$162)+Geraetedaten!$B$162</f>
        <v>40.67424024479206</v>
      </c>
      <c r="R77" s="21">
        <f t="shared" si="34"/>
        <v>40.67424024479206</v>
      </c>
      <c r="S77" s="21">
        <f t="shared" si="35"/>
        <v>25.041562756858944</v>
      </c>
      <c r="T77" s="88">
        <f t="shared" si="36"/>
        <v>32.051738707679448</v>
      </c>
      <c r="U77" s="86">
        <f t="shared" si="37"/>
        <v>-10870.804480000001</v>
      </c>
      <c r="V77" s="85">
        <f t="shared" si="38"/>
        <v>-2683.3128092763232</v>
      </c>
      <c r="W77" s="85">
        <f t="shared" si="39"/>
        <v>-4352.3759748292778</v>
      </c>
      <c r="X77" s="90">
        <f t="shared" si="40"/>
        <v>2683.3128092763232</v>
      </c>
      <c r="Y77" s="86">
        <f t="shared" si="41"/>
        <v>-10648.63466</v>
      </c>
      <c r="Z77" s="85">
        <f t="shared" si="42"/>
        <v>-832.16398485565549</v>
      </c>
      <c r="AA77" s="85">
        <f t="shared" si="43"/>
        <v>-1031.7232276798288</v>
      </c>
      <c r="AB77" s="90">
        <f t="shared" si="44"/>
        <v>832.16398485565549</v>
      </c>
      <c r="AC77" s="86">
        <f t="shared" si="45"/>
        <v>10708.39947</v>
      </c>
      <c r="AD77" s="85">
        <f t="shared" si="46"/>
        <v>2598.140025222212</v>
      </c>
      <c r="AE77" s="85">
        <f t="shared" si="47"/>
        <v>4223.8757480000804</v>
      </c>
      <c r="AF77" s="90">
        <f t="shared" si="48"/>
        <v>2598.140025222212</v>
      </c>
      <c r="AG77" s="86">
        <f t="shared" si="49"/>
        <v>11564.08772</v>
      </c>
      <c r="AH77" s="85">
        <f t="shared" si="50"/>
        <v>6183.1314163678471</v>
      </c>
      <c r="AI77" s="85">
        <f t="shared" si="51"/>
        <v>7907.586171565521</v>
      </c>
      <c r="AJ77" s="90">
        <f t="shared" si="52"/>
        <v>6183.1314163678471</v>
      </c>
      <c r="AL77" s="95">
        <f t="shared" si="53"/>
        <v>0</v>
      </c>
      <c r="AM77" s="95">
        <f t="shared" si="54"/>
        <v>0</v>
      </c>
      <c r="AN77" s="95">
        <f t="shared" si="55"/>
        <v>0</v>
      </c>
      <c r="AO77" s="95">
        <f t="shared" si="56"/>
        <v>0</v>
      </c>
      <c r="AP77"/>
      <c r="AQ77" s="95">
        <f t="shared" si="57"/>
        <v>0</v>
      </c>
      <c r="AR77" s="95">
        <f t="shared" si="58"/>
        <v>0</v>
      </c>
      <c r="AS77" s="95">
        <f>Geraetedaten!$B$94*ABS(SIN(RADIANS($A77)))</f>
        <v>94.811867200151383</v>
      </c>
      <c r="AT77" s="95">
        <f>Geraetedaten!$B$94*ABS(COS(RADIANS($A77)))</f>
        <v>121.35365605543517</v>
      </c>
      <c r="AU77" s="95">
        <f>((h_Aw_Sw+Geraetedaten!$B$18)/1000)*(AQ77*AS77+AR77*AT77)/100</f>
        <v>0</v>
      </c>
    </row>
    <row r="78" spans="1:47" ht="13.5" x14ac:dyDescent="0.25">
      <c r="A78" s="16">
        <v>39</v>
      </c>
      <c r="B78" s="16">
        <f t="shared" si="0"/>
        <v>411</v>
      </c>
      <c r="C78" s="19">
        <f t="shared" si="1"/>
        <v>63.265180906872246</v>
      </c>
      <c r="D78" s="17">
        <f t="shared" si="2"/>
        <v>-10698.646670906872</v>
      </c>
      <c r="E78" s="17">
        <f t="shared" si="3"/>
        <v>-10851.531740906872</v>
      </c>
      <c r="F78" s="17">
        <f t="shared" si="4"/>
        <v>10412.385109093128</v>
      </c>
      <c r="G78" s="17">
        <f t="shared" si="5"/>
        <v>11665.802409093129</v>
      </c>
      <c r="H78" s="17">
        <f t="shared" si="33"/>
        <v>10412.385109093128</v>
      </c>
      <c r="I78" s="17">
        <f t="shared" si="6"/>
        <v>4132.0689720433811</v>
      </c>
      <c r="J78" s="20">
        <f>(Geraetedaten!$B$152+(Geraetedaten!$B$153*(Geraetedaten!$B$18+d_y_Sw)/1000))*10</f>
        <v>6051.0442000000003</v>
      </c>
      <c r="K78" s="20">
        <f>(Geraetedaten!$B$165+(Geraetedaten!$B$166*(Geraetedaten!$B$18+d_y_Sw)/1000))*10</f>
        <v>10816.164000000001</v>
      </c>
      <c r="L78" s="20">
        <f>(Geraetedaten!$B$158+(Geraetedaten!$B$159*(Geraetedaten!$B$18+d_y_Sw)/1000)-(Geraetedaten!$B$160*I78/1000))*10</f>
        <v>298.53198228005863</v>
      </c>
      <c r="M78" s="20">
        <f>(Geraetedaten!$B$171+(Geraetedaten!$B$172*(Geraetedaten!$B$18+d_y_Sw)/1000)-(Geraetedaten!$B$173*I78/1000))*10</f>
        <v>757.27578572109167</v>
      </c>
      <c r="N78" s="20">
        <f>IF((H78-J78)/(K78-J78)*(Geraetedaten!$B$174-Geraetedaten!$B$161)&lt;Geraetedaten!$B$174,(H78-J78)/(K78-J78)*(Geraetedaten!$B$174-Geraetedaten!$B$161),Geraetedaten!$B$174)</f>
        <v>366.10545733545894</v>
      </c>
      <c r="O78" s="20">
        <f>N78/Geraetedaten!$B$174*(M78-L78)+L78+C78</f>
        <v>781.66868808339905</v>
      </c>
      <c r="P78" s="20">
        <f t="shared" si="7"/>
        <v>221.58442847751624</v>
      </c>
      <c r="Q78" s="21">
        <f>(N78-Geraetedaten!$B$161)/(Geraetedaten!$B$174-Geraetedaten!$B$161)*(Geraetedaten!$B$175-Geraetedaten!$B$162)+Geraetedaten!$B$162</f>
        <v>40.091637355729901</v>
      </c>
      <c r="R78" s="21">
        <f t="shared" si="34"/>
        <v>40.091637355729901</v>
      </c>
      <c r="S78" s="21">
        <f t="shared" si="35"/>
        <v>25.230484898536211</v>
      </c>
      <c r="T78" s="88">
        <f t="shared" si="36"/>
        <v>31.157054059202924</v>
      </c>
      <c r="U78" s="86">
        <f t="shared" si="37"/>
        <v>-10635.38149</v>
      </c>
      <c r="V78" s="85">
        <f t="shared" si="38"/>
        <v>-2683.3128092763232</v>
      </c>
      <c r="W78" s="85">
        <f t="shared" si="39"/>
        <v>-4258.118980292691</v>
      </c>
      <c r="X78" s="90">
        <f t="shared" si="40"/>
        <v>2683.3128092763232</v>
      </c>
      <c r="Y78" s="86">
        <f t="shared" si="41"/>
        <v>-10788.26656</v>
      </c>
      <c r="Z78" s="85">
        <f t="shared" si="42"/>
        <v>-832.16398485565549</v>
      </c>
      <c r="AA78" s="85">
        <f t="shared" si="43"/>
        <v>-1045.2518606997135</v>
      </c>
      <c r="AB78" s="90">
        <f t="shared" si="44"/>
        <v>832.16398485565549</v>
      </c>
      <c r="AC78" s="86">
        <f t="shared" si="45"/>
        <v>10475.65029</v>
      </c>
      <c r="AD78" s="85">
        <f t="shared" si="46"/>
        <v>2598.140025222212</v>
      </c>
      <c r="AE78" s="85">
        <f t="shared" si="47"/>
        <v>4132.0689720433811</v>
      </c>
      <c r="AF78" s="90">
        <f t="shared" si="48"/>
        <v>2598.140025222212</v>
      </c>
      <c r="AG78" s="86">
        <f t="shared" si="49"/>
        <v>11729.067590000001</v>
      </c>
      <c r="AH78" s="85">
        <f t="shared" si="50"/>
        <v>6183.1314163678471</v>
      </c>
      <c r="AI78" s="85">
        <f t="shared" si="51"/>
        <v>8020.4003038091814</v>
      </c>
      <c r="AJ78" s="90">
        <f t="shared" si="52"/>
        <v>6183.1314163678471</v>
      </c>
      <c r="AL78" s="95">
        <f t="shared" si="53"/>
        <v>0</v>
      </c>
      <c r="AM78" s="95">
        <f t="shared" si="54"/>
        <v>0</v>
      </c>
      <c r="AN78" s="95">
        <f t="shared" si="55"/>
        <v>0</v>
      </c>
      <c r="AO78" s="95">
        <f t="shared" si="56"/>
        <v>0</v>
      </c>
      <c r="AP78"/>
      <c r="AQ78" s="95">
        <f t="shared" si="57"/>
        <v>0</v>
      </c>
      <c r="AR78" s="95">
        <f t="shared" si="58"/>
        <v>0</v>
      </c>
      <c r="AS78" s="95">
        <f>Geraetedaten!$B$94*ABS(SIN(RADIANS($A78)))</f>
        <v>96.915340221674953</v>
      </c>
      <c r="AT78" s="95">
        <f>Geraetedaten!$B$94*ABS(COS(RADIANS($A78)))</f>
        <v>119.68047806437352</v>
      </c>
      <c r="AU78" s="95">
        <f>((h_Aw_Sw+Geraetedaten!$B$18)/1000)*(AQ78*AS78+AR78*AT78)/100</f>
        <v>0</v>
      </c>
    </row>
    <row r="79" spans="1:47" ht="13.5" x14ac:dyDescent="0.25">
      <c r="A79" s="16">
        <v>40</v>
      </c>
      <c r="B79" s="16">
        <f t="shared" si="0"/>
        <v>410</v>
      </c>
      <c r="C79" s="19">
        <f t="shared" si="1"/>
        <v>63.788541670094304</v>
      </c>
      <c r="D79" s="17">
        <f t="shared" si="2"/>
        <v>-10476.832431670095</v>
      </c>
      <c r="E79" s="17">
        <f t="shared" si="3"/>
        <v>-10998.772701670094</v>
      </c>
      <c r="F79" s="17">
        <f t="shared" si="4"/>
        <v>10192.072608329907</v>
      </c>
      <c r="G79" s="17">
        <f t="shared" si="5"/>
        <v>11838.712528329906</v>
      </c>
      <c r="H79" s="17">
        <f t="shared" si="33"/>
        <v>10192.072608329907</v>
      </c>
      <c r="I79" s="17">
        <f t="shared" si="6"/>
        <v>4045.3742222784863</v>
      </c>
      <c r="J79" s="20">
        <f>(Geraetedaten!$B$152+(Geraetedaten!$B$153*(Geraetedaten!$B$18+d_y_Sw)/1000))*10</f>
        <v>6051.0442000000003</v>
      </c>
      <c r="K79" s="20">
        <f>(Geraetedaten!$B$165+(Geraetedaten!$B$166*(Geraetedaten!$B$18+d_y_Sw)/1000))*10</f>
        <v>10816.164000000001</v>
      </c>
      <c r="L79" s="20">
        <f>(Geraetedaten!$B$158+(Geraetedaten!$B$159*(Geraetedaten!$B$18+d_y_Sw)/1000)-(Geraetedaten!$B$160*I79/1000))*10</f>
        <v>304.8893082803184</v>
      </c>
      <c r="M79" s="20">
        <f>(Geraetedaten!$B$171+(Geraetedaten!$B$172*(Geraetedaten!$B$18+d_y_Sw)/1000)-(Geraetedaten!$B$173*I79/1000))*10</f>
        <v>763.72934289359034</v>
      </c>
      <c r="N79" s="20">
        <f>IF((H79-J79)/(K79-J79)*(Geraetedaten!$B$174-Geraetedaten!$B$161)&lt;Geraetedaten!$B$174,(H79-J79)/(K79-J79)*(Geraetedaten!$B$174-Geraetedaten!$B$161),Geraetedaten!$B$174)</f>
        <v>347.61169348396288</v>
      </c>
      <c r="O79" s="20">
        <f>N79/Geraetedaten!$B$174*(M79-L79)+L79+C79</f>
        <v>767.42325362581175</v>
      </c>
      <c r="P79" s="20">
        <f t="shared" si="7"/>
        <v>220.38682600836694</v>
      </c>
      <c r="Q79" s="21">
        <f>(N79-Geraetedaten!$B$161)/(Geraetedaten!$B$174-Geraetedaten!$B$161)*(Geraetedaten!$B$175-Geraetedaten!$B$162)+Geraetedaten!$B$162</f>
        <v>39.541447881147896</v>
      </c>
      <c r="R79" s="21">
        <f t="shared" si="34"/>
        <v>39.541447881147896</v>
      </c>
      <c r="S79" s="21">
        <f t="shared" si="35"/>
        <v>25.41675276706793</v>
      </c>
      <c r="T79" s="88">
        <f t="shared" si="36"/>
        <v>30.290506422232031</v>
      </c>
      <c r="U79" s="86">
        <f t="shared" si="37"/>
        <v>-10413.043890000001</v>
      </c>
      <c r="V79" s="85">
        <f t="shared" si="38"/>
        <v>-2683.3128092763232</v>
      </c>
      <c r="W79" s="85">
        <f t="shared" si="39"/>
        <v>-4169.1010184777924</v>
      </c>
      <c r="X79" s="90">
        <f t="shared" si="40"/>
        <v>2683.3128092763232</v>
      </c>
      <c r="Y79" s="86">
        <f t="shared" si="41"/>
        <v>-10934.98416</v>
      </c>
      <c r="Z79" s="85">
        <f t="shared" si="42"/>
        <v>-832.16398485565549</v>
      </c>
      <c r="AA79" s="85">
        <f t="shared" si="43"/>
        <v>-1059.4670123732394</v>
      </c>
      <c r="AB79" s="90">
        <f t="shared" si="44"/>
        <v>832.16398485565549</v>
      </c>
      <c r="AC79" s="86">
        <f t="shared" si="45"/>
        <v>10255.861150000001</v>
      </c>
      <c r="AD79" s="85">
        <f t="shared" si="46"/>
        <v>2598.140025222212</v>
      </c>
      <c r="AE79" s="85">
        <f t="shared" si="47"/>
        <v>4045.3742222784863</v>
      </c>
      <c r="AF79" s="90">
        <f t="shared" si="48"/>
        <v>2598.140025222212</v>
      </c>
      <c r="AG79" s="86">
        <f t="shared" si="49"/>
        <v>11902.50107</v>
      </c>
      <c r="AH79" s="85">
        <f t="shared" si="50"/>
        <v>6183.1314163678471</v>
      </c>
      <c r="AI79" s="85">
        <f t="shared" si="51"/>
        <v>8138.9950639731405</v>
      </c>
      <c r="AJ79" s="90">
        <f t="shared" si="52"/>
        <v>6183.1314163678471</v>
      </c>
      <c r="AL79" s="95">
        <f t="shared" si="53"/>
        <v>0</v>
      </c>
      <c r="AM79" s="95">
        <f t="shared" si="54"/>
        <v>0</v>
      </c>
      <c r="AN79" s="95">
        <f t="shared" si="55"/>
        <v>0</v>
      </c>
      <c r="AO79" s="95">
        <f t="shared" si="56"/>
        <v>0</v>
      </c>
      <c r="AP79"/>
      <c r="AQ79" s="95">
        <f t="shared" si="57"/>
        <v>0</v>
      </c>
      <c r="AR79" s="95">
        <f t="shared" si="58"/>
        <v>0</v>
      </c>
      <c r="AS79" s="95">
        <f>Geraetedaten!$B$94*ABS(SIN(RADIANS($A79)))</f>
        <v>98.989291891727049</v>
      </c>
      <c r="AT79" s="95">
        <f>Geraetedaten!$B$94*ABS(COS(RADIANS($A79)))</f>
        <v>117.97084424032262</v>
      </c>
      <c r="AU79" s="95">
        <f>((h_Aw_Sw+Geraetedaten!$B$18)/1000)*(AQ79*AS79+AR79*AT79)/100</f>
        <v>0</v>
      </c>
    </row>
    <row r="80" spans="1:47" ht="13.5" x14ac:dyDescent="0.25">
      <c r="A80" s="16">
        <v>41</v>
      </c>
      <c r="B80" s="16">
        <f t="shared" si="0"/>
        <v>409</v>
      </c>
      <c r="C80" s="19">
        <f t="shared" si="1"/>
        <v>64.292471825590184</v>
      </c>
      <c r="D80" s="17">
        <f t="shared" si="2"/>
        <v>-10267.14878182559</v>
      </c>
      <c r="E80" s="17">
        <f t="shared" si="3"/>
        <v>-11153.464331825591</v>
      </c>
      <c r="F80" s="17">
        <f t="shared" si="4"/>
        <v>9983.8106381744092</v>
      </c>
      <c r="G80" s="17">
        <f t="shared" si="5"/>
        <v>12020.584478174409</v>
      </c>
      <c r="H80" s="17">
        <f t="shared" si="33"/>
        <v>9983.8106381744092</v>
      </c>
      <c r="I80" s="17">
        <f t="shared" si="6"/>
        <v>3963.4250799597999</v>
      </c>
      <c r="J80" s="20">
        <f>(Geraetedaten!$B$152+(Geraetedaten!$B$153*(Geraetedaten!$B$18+d_y_Sw)/1000))*10</f>
        <v>6051.0442000000003</v>
      </c>
      <c r="K80" s="20">
        <f>(Geraetedaten!$B$165+(Geraetedaten!$B$166*(Geraetedaten!$B$18+d_y_Sw)/1000))*10</f>
        <v>10816.164000000001</v>
      </c>
      <c r="L80" s="20">
        <f>(Geraetedaten!$B$158+(Geraetedaten!$B$159*(Geraetedaten!$B$18+d_y_Sw)/1000)-(Geraetedaten!$B$160*I80/1000))*10</f>
        <v>310.89863888654764</v>
      </c>
      <c r="M80" s="20">
        <f>(Geraetedaten!$B$171+(Geraetedaten!$B$172*(Geraetedaten!$B$18+d_y_Sw)/1000)-(Geraetedaten!$B$173*I80/1000))*10</f>
        <v>769.82963704779331</v>
      </c>
      <c r="N80" s="20">
        <f>IF((H80-J80)/(K80-J80)*(Geraetedaten!$B$174-Geraetedaten!$B$161)&lt;Geraetedaten!$B$174,(H80-J80)/(K80-J80)*(Geraetedaten!$B$174-Geraetedaten!$B$161),Geraetedaten!$B$174)</f>
        <v>330.12949123960396</v>
      </c>
      <c r="O80" s="20">
        <f>N80/Geraetedaten!$B$174*(M80-L80)+L80+C80</f>
        <v>753.95775305477696</v>
      </c>
      <c r="P80" s="20">
        <f t="shared" si="7"/>
        <v>219.22585280991416</v>
      </c>
      <c r="Q80" s="21">
        <f>(N80-Geraetedaten!$B$161)/(Geraetedaten!$B$174-Geraetedaten!$B$161)*(Geraetedaten!$B$175-Geraetedaten!$B$162)+Geraetedaten!$B$162</f>
        <v>39.021352364378217</v>
      </c>
      <c r="R80" s="21">
        <f t="shared" si="34"/>
        <v>39.021352364378217</v>
      </c>
      <c r="S80" s="21">
        <f t="shared" si="35"/>
        <v>25.600310542070407</v>
      </c>
      <c r="T80" s="88">
        <f t="shared" si="36"/>
        <v>29.449788462644758</v>
      </c>
      <c r="U80" s="86">
        <f t="shared" si="37"/>
        <v>-10202.856309999999</v>
      </c>
      <c r="V80" s="85">
        <f t="shared" si="38"/>
        <v>-2683.3128092763232</v>
      </c>
      <c r="W80" s="85">
        <f t="shared" si="39"/>
        <v>-4084.94759969294</v>
      </c>
      <c r="X80" s="90">
        <f t="shared" si="40"/>
        <v>2683.3128092763232</v>
      </c>
      <c r="Y80" s="86">
        <f t="shared" si="41"/>
        <v>-11089.17186</v>
      </c>
      <c r="Z80" s="85">
        <f t="shared" si="42"/>
        <v>-832.16398485565549</v>
      </c>
      <c r="AA80" s="85">
        <f t="shared" si="43"/>
        <v>-1074.4059261579923</v>
      </c>
      <c r="AB80" s="90">
        <f t="shared" si="44"/>
        <v>832.16398485565549</v>
      </c>
      <c r="AC80" s="86">
        <f t="shared" si="45"/>
        <v>10048.10311</v>
      </c>
      <c r="AD80" s="85">
        <f t="shared" si="46"/>
        <v>2598.140025222212</v>
      </c>
      <c r="AE80" s="85">
        <f t="shared" si="47"/>
        <v>3963.4250799597999</v>
      </c>
      <c r="AF80" s="90">
        <f t="shared" si="48"/>
        <v>2598.140025222212</v>
      </c>
      <c r="AG80" s="86">
        <f t="shared" si="49"/>
        <v>12084.87695</v>
      </c>
      <c r="AH80" s="85">
        <f t="shared" si="50"/>
        <v>6183.1314163678471</v>
      </c>
      <c r="AI80" s="85">
        <f t="shared" si="51"/>
        <v>8263.7046825368889</v>
      </c>
      <c r="AJ80" s="90">
        <f t="shared" si="52"/>
        <v>6183.1314163678471</v>
      </c>
      <c r="AL80" s="95">
        <f t="shared" si="53"/>
        <v>0</v>
      </c>
      <c r="AM80" s="95">
        <f t="shared" si="54"/>
        <v>0</v>
      </c>
      <c r="AN80" s="95">
        <f t="shared" si="55"/>
        <v>0</v>
      </c>
      <c r="AO80" s="95">
        <f t="shared" si="56"/>
        <v>0</v>
      </c>
      <c r="AP80"/>
      <c r="AQ80" s="95">
        <f t="shared" si="57"/>
        <v>0</v>
      </c>
      <c r="AR80" s="95">
        <f t="shared" si="58"/>
        <v>0</v>
      </c>
      <c r="AS80" s="95">
        <f>Geraetedaten!$B$94*ABS(SIN(RADIANS($A80)))</f>
        <v>101.03309046453812</v>
      </c>
      <c r="AT80" s="95">
        <f>Geraetedaten!$B$94*ABS(COS(RADIANS($A80)))</f>
        <v>116.22527535430689</v>
      </c>
      <c r="AU80" s="95">
        <f>((h_Aw_Sw+Geraetedaten!$B$18)/1000)*(AQ80*AS80+AR80*AT80)/100</f>
        <v>0</v>
      </c>
    </row>
    <row r="81" spans="1:47" ht="13.5" x14ac:dyDescent="0.25">
      <c r="A81" s="16">
        <v>42</v>
      </c>
      <c r="B81" s="16">
        <f t="shared" si="0"/>
        <v>408</v>
      </c>
      <c r="C81" s="19">
        <f t="shared" si="1"/>
        <v>64.776817871352804</v>
      </c>
      <c r="D81" s="17">
        <f t="shared" si="2"/>
        <v>-10068.749957871352</v>
      </c>
      <c r="E81" s="17">
        <f t="shared" si="3"/>
        <v>-11316.023047871353</v>
      </c>
      <c r="F81" s="17">
        <f t="shared" si="4"/>
        <v>9786.7597221286469</v>
      </c>
      <c r="G81" s="17">
        <f t="shared" si="5"/>
        <v>12211.949682128648</v>
      </c>
      <c r="H81" s="17">
        <f t="shared" si="33"/>
        <v>9786.7597221286469</v>
      </c>
      <c r="I81" s="17">
        <f t="shared" si="6"/>
        <v>3885.8903607880279</v>
      </c>
      <c r="J81" s="20">
        <f>(Geraetedaten!$B$152+(Geraetedaten!$B$153*(Geraetedaten!$B$18+d_y_Sw)/1000))*10</f>
        <v>6051.0442000000003</v>
      </c>
      <c r="K81" s="20">
        <f>(Geraetedaten!$B$165+(Geraetedaten!$B$166*(Geraetedaten!$B$18+d_y_Sw)/1000))*10</f>
        <v>10816.164000000001</v>
      </c>
      <c r="L81" s="20">
        <f>(Geraetedaten!$B$158+(Geraetedaten!$B$159*(Geraetedaten!$B$18+d_y_Sw)/1000)-(Geraetedaten!$B$160*I81/1000))*10</f>
        <v>316.58425984341369</v>
      </c>
      <c r="M81" s="20">
        <f>(Geraetedaten!$B$171+(Geraetedaten!$B$172*(Geraetedaten!$B$18+d_y_Sw)/1000)-(Geraetedaten!$B$173*I81/1000))*10</f>
        <v>775.60132154294013</v>
      </c>
      <c r="N81" s="20">
        <f>IF((H81-J81)/(K81-J81)*(Geraetedaten!$B$174-Geraetedaten!$B$161)&lt;Geraetedaten!$B$174,(H81-J81)/(K81-J81)*(Geraetedaten!$B$174-Geraetedaten!$B$161),Geraetedaten!$B$174)</f>
        <v>313.58838215388801</v>
      </c>
      <c r="O81" s="20">
        <f>N81/Geraetedaten!$B$174*(M81-L81)+L81+C81</f>
        <v>741.21712211323131</v>
      </c>
      <c r="P81" s="20">
        <f t="shared" si="7"/>
        <v>218.10035801053499</v>
      </c>
      <c r="Q81" s="21">
        <f>(N81-Geraetedaten!$B$161)/(Geraetedaten!$B$174-Geraetedaten!$B$161)*(Geraetedaten!$B$175-Geraetedaten!$B$162)+Geraetedaten!$B$162</f>
        <v>38.529254369078167</v>
      </c>
      <c r="R81" s="21">
        <f t="shared" si="34"/>
        <v>38.529254369078167</v>
      </c>
      <c r="S81" s="21">
        <f t="shared" si="35"/>
        <v>25.781103338535964</v>
      </c>
      <c r="T81" s="88">
        <f t="shared" si="36"/>
        <v>28.632816013882724</v>
      </c>
      <c r="U81" s="86">
        <f t="shared" si="37"/>
        <v>-10003.97314</v>
      </c>
      <c r="V81" s="85">
        <f t="shared" si="38"/>
        <v>-2683.3128092763232</v>
      </c>
      <c r="W81" s="85">
        <f t="shared" si="39"/>
        <v>-4005.3201613379888</v>
      </c>
      <c r="X81" s="90">
        <f t="shared" si="40"/>
        <v>2683.3128092763232</v>
      </c>
      <c r="Y81" s="86">
        <f t="shared" si="41"/>
        <v>-11251.246230000001</v>
      </c>
      <c r="Z81" s="85">
        <f t="shared" si="42"/>
        <v>-832.16398485565549</v>
      </c>
      <c r="AA81" s="85">
        <f t="shared" si="43"/>
        <v>-1090.1089615813612</v>
      </c>
      <c r="AB81" s="90">
        <f t="shared" si="44"/>
        <v>832.16398485565549</v>
      </c>
      <c r="AC81" s="86">
        <f t="shared" si="45"/>
        <v>9851.5365399999991</v>
      </c>
      <c r="AD81" s="85">
        <f t="shared" si="46"/>
        <v>2598.140025222212</v>
      </c>
      <c r="AE81" s="85">
        <f t="shared" si="47"/>
        <v>3885.8903607880279</v>
      </c>
      <c r="AF81" s="90">
        <f t="shared" si="48"/>
        <v>2598.140025222212</v>
      </c>
      <c r="AG81" s="86">
        <f t="shared" si="49"/>
        <v>12276.726500000001</v>
      </c>
      <c r="AH81" s="85">
        <f t="shared" si="50"/>
        <v>6183.1314163678471</v>
      </c>
      <c r="AI81" s="85">
        <f t="shared" si="51"/>
        <v>8394.892450172958</v>
      </c>
      <c r="AJ81" s="90">
        <f t="shared" si="52"/>
        <v>6183.1314163678471</v>
      </c>
      <c r="AL81" s="95">
        <f t="shared" si="53"/>
        <v>0</v>
      </c>
      <c r="AM81" s="95">
        <f t="shared" si="54"/>
        <v>0</v>
      </c>
      <c r="AN81" s="95">
        <f t="shared" si="55"/>
        <v>0</v>
      </c>
      <c r="AO81" s="95">
        <f t="shared" si="56"/>
        <v>0</v>
      </c>
      <c r="AP81"/>
      <c r="AQ81" s="95">
        <f t="shared" si="57"/>
        <v>0</v>
      </c>
      <c r="AR81" s="95">
        <f t="shared" si="58"/>
        <v>0</v>
      </c>
      <c r="AS81" s="95">
        <f>Geraetedaten!$B$94*ABS(SIN(RADIANS($A81)))</f>
        <v>103.04611337926417</v>
      </c>
      <c r="AT81" s="95">
        <f>Geraetedaten!$B$94*ABS(COS(RADIANS($A81)))</f>
        <v>114.44430312351871</v>
      </c>
      <c r="AU81" s="95">
        <f>((h_Aw_Sw+Geraetedaten!$B$18)/1000)*(AQ81*AS81+AR81*AT81)/100</f>
        <v>0</v>
      </c>
    </row>
    <row r="82" spans="1:47" ht="13.5" x14ac:dyDescent="0.25">
      <c r="A82" s="16">
        <v>43</v>
      </c>
      <c r="B82" s="16">
        <f t="shared" si="0"/>
        <v>407</v>
      </c>
      <c r="C82" s="19">
        <f t="shared" si="1"/>
        <v>65.241432270884701</v>
      </c>
      <c r="D82" s="17">
        <f t="shared" si="2"/>
        <v>-9880.8695422708843</v>
      </c>
      <c r="E82" s="17">
        <f t="shared" si="3"/>
        <v>-11486.900652270884</v>
      </c>
      <c r="F82" s="17">
        <f t="shared" si="4"/>
        <v>9600.1593577291151</v>
      </c>
      <c r="G82" s="17">
        <f t="shared" si="5"/>
        <v>12413.386597729115</v>
      </c>
      <c r="H82" s="17">
        <f t="shared" si="33"/>
        <v>9600.1593577291151</v>
      </c>
      <c r="I82" s="17">
        <f t="shared" si="6"/>
        <v>3812.4700234393176</v>
      </c>
      <c r="J82" s="20">
        <f>(Geraetedaten!$B$152+(Geraetedaten!$B$153*(Geraetedaten!$B$18+d_y_Sw)/1000))*10</f>
        <v>6051.0442000000003</v>
      </c>
      <c r="K82" s="20">
        <f>(Geraetedaten!$B$165+(Geraetedaten!$B$166*(Geraetedaten!$B$18+d_y_Sw)/1000))*10</f>
        <v>10816.164000000001</v>
      </c>
      <c r="L82" s="20">
        <f>(Geraetedaten!$B$158+(Geraetedaten!$B$159*(Geraetedaten!$B$18+d_y_Sw)/1000)-(Geraetedaten!$B$160*I82/1000))*10</f>
        <v>321.96817318119463</v>
      </c>
      <c r="M82" s="20">
        <f>(Geraetedaten!$B$171+(Geraetedaten!$B$172*(Geraetedaten!$B$18+d_y_Sw)/1000)-(Geraetedaten!$B$173*I82/1000))*10</f>
        <v>781.06673145517811</v>
      </c>
      <c r="N82" s="20">
        <f>IF((H82-J82)/(K82-J82)*(Geraetedaten!$B$174-Geraetedaten!$B$161)&lt;Geraetedaten!$B$174,(H82-J82)/(K82-J82)*(Geraetedaten!$B$174-Geraetedaten!$B$161),Geraetedaten!$B$174)</f>
        <v>297.92452712136338</v>
      </c>
      <c r="O82" s="20">
        <f>N82/Geraetedaten!$B$174*(M82-L82)+L82+C82</f>
        <v>729.15140764176988</v>
      </c>
      <c r="P82" s="20">
        <f t="shared" si="7"/>
        <v>217.00921995550195</v>
      </c>
      <c r="Q82" s="21">
        <f>(N82-Geraetedaten!$B$161)/(Geraetedaten!$B$174-Geraetedaten!$B$161)*(Geraetedaten!$B$175-Geraetedaten!$B$162)+Geraetedaten!$B$162</f>
        <v>38.063254681860563</v>
      </c>
      <c r="R82" s="21">
        <f t="shared" si="34"/>
        <v>38.063254681860563</v>
      </c>
      <c r="S82" s="21">
        <f t="shared" si="35"/>
        <v>25.959077271670122</v>
      </c>
      <c r="T82" s="88">
        <f t="shared" si="36"/>
        <v>27.837702207251944</v>
      </c>
      <c r="U82" s="86">
        <f t="shared" si="37"/>
        <v>-9815.6281099999997</v>
      </c>
      <c r="V82" s="85">
        <f t="shared" si="38"/>
        <v>-2683.3128092763232</v>
      </c>
      <c r="W82" s="85">
        <f t="shared" si="39"/>
        <v>-3929.9119060979306</v>
      </c>
      <c r="X82" s="90">
        <f t="shared" si="40"/>
        <v>2683.3128092763232</v>
      </c>
      <c r="Y82" s="86">
        <f t="shared" si="41"/>
        <v>-11421.65922</v>
      </c>
      <c r="Z82" s="85">
        <f t="shared" si="42"/>
        <v>-832.16398485565549</v>
      </c>
      <c r="AA82" s="85">
        <f t="shared" si="43"/>
        <v>-1106.6199092869344</v>
      </c>
      <c r="AB82" s="90">
        <f t="shared" si="44"/>
        <v>832.16398485565549</v>
      </c>
      <c r="AC82" s="86">
        <f t="shared" si="45"/>
        <v>9665.4007899999997</v>
      </c>
      <c r="AD82" s="85">
        <f t="shared" si="46"/>
        <v>2598.140025222212</v>
      </c>
      <c r="AE82" s="85">
        <f t="shared" si="47"/>
        <v>3812.4700234393176</v>
      </c>
      <c r="AF82" s="90">
        <f t="shared" si="48"/>
        <v>2598.140025222212</v>
      </c>
      <c r="AG82" s="86">
        <f t="shared" si="49"/>
        <v>12478.62803</v>
      </c>
      <c r="AH82" s="85">
        <f t="shared" si="50"/>
        <v>6183.1314163678471</v>
      </c>
      <c r="AI82" s="85">
        <f t="shared" si="51"/>
        <v>8532.953815622679</v>
      </c>
      <c r="AJ82" s="90">
        <f t="shared" si="52"/>
        <v>6183.1314163678471</v>
      </c>
      <c r="AL82" s="95">
        <f t="shared" si="53"/>
        <v>0</v>
      </c>
      <c r="AM82" s="95">
        <f t="shared" si="54"/>
        <v>0</v>
      </c>
      <c r="AN82" s="95">
        <f t="shared" si="55"/>
        <v>0</v>
      </c>
      <c r="AO82" s="95">
        <f t="shared" si="56"/>
        <v>0</v>
      </c>
      <c r="AP82"/>
      <c r="AQ82" s="95">
        <f t="shared" si="57"/>
        <v>0</v>
      </c>
      <c r="AR82" s="95">
        <f t="shared" si="58"/>
        <v>0</v>
      </c>
      <c r="AS82" s="95">
        <f>Geraetedaten!$B$94*ABS(SIN(RADIANS($A82)))</f>
        <v>105.02774744962477</v>
      </c>
      <c r="AT82" s="95">
        <f>Geraetedaten!$B$94*ABS(COS(RADIANS($A82)))</f>
        <v>112.62847004935225</v>
      </c>
      <c r="AU82" s="95">
        <f>((h_Aw_Sw+Geraetedaten!$B$18)/1000)*(AQ82*AS82+AR82*AT82)/100</f>
        <v>0</v>
      </c>
    </row>
    <row r="83" spans="1:47" ht="13.5" x14ac:dyDescent="0.25">
      <c r="A83" s="16">
        <v>44</v>
      </c>
      <c r="B83" s="16">
        <f t="shared" si="0"/>
        <v>406</v>
      </c>
      <c r="C83" s="19">
        <f t="shared" si="1"/>
        <v>65.686173498138942</v>
      </c>
      <c r="D83" s="17">
        <f t="shared" si="2"/>
        <v>-9702.8114634981393</v>
      </c>
      <c r="E83" s="17">
        <f t="shared" si="3"/>
        <v>-11666.58808349814</v>
      </c>
      <c r="F83" s="17">
        <f t="shared" si="4"/>
        <v>9423.3190065018607</v>
      </c>
      <c r="G83" s="17">
        <f t="shared" si="5"/>
        <v>12625.52582650186</v>
      </c>
      <c r="H83" s="17">
        <f t="shared" si="33"/>
        <v>9423.3190065018607</v>
      </c>
      <c r="I83" s="17">
        <f t="shared" si="6"/>
        <v>3742.8916369841072</v>
      </c>
      <c r="J83" s="20">
        <f>(Geraetedaten!$B$152+(Geraetedaten!$B$153*(Geraetedaten!$B$18+d_y_Sw)/1000))*10</f>
        <v>6051.0442000000003</v>
      </c>
      <c r="K83" s="20">
        <f>(Geraetedaten!$B$165+(Geraetedaten!$B$166*(Geraetedaten!$B$18+d_y_Sw)/1000))*10</f>
        <v>10816.164000000001</v>
      </c>
      <c r="L83" s="20">
        <f>(Geraetedaten!$B$158+(Geraetedaten!$B$159*(Geraetedaten!$B$18+d_y_Sw)/1000)-(Geraetedaten!$B$160*I83/1000))*10</f>
        <v>327.07035625995525</v>
      </c>
      <c r="M83" s="20">
        <f>(Geraetedaten!$B$171+(Geraetedaten!$B$172*(Geraetedaten!$B$18+d_y_Sw)/1000)-(Geraetedaten!$B$173*I83/1000))*10</f>
        <v>786.24614654290394</v>
      </c>
      <c r="N83" s="20">
        <f>IF((H83-J83)/(K83-J83)*(Geraetedaten!$B$174-Geraetedaten!$B$161)&lt;Geraetedaten!$B$174,(H83-J83)/(K83-J83)*(Geraetedaten!$B$174-Geraetedaten!$B$161),Geraetedaten!$B$174)</f>
        <v>283.07996004649118</v>
      </c>
      <c r="O83" s="20">
        <f>N83/Geraetedaten!$B$174*(M83-L83)+L83+C83</f>
        <v>717.715190677127</v>
      </c>
      <c r="P83" s="20">
        <f t="shared" si="7"/>
        <v>215.95134696758745</v>
      </c>
      <c r="Q83" s="21">
        <f>(N83-Geraetedaten!$B$161)/(Geraetedaten!$B$174-Geraetedaten!$B$161)*(Geraetedaten!$B$175-Geraetedaten!$B$162)+Geraetedaten!$B$162</f>
        <v>37.621628811383111</v>
      </c>
      <c r="R83" s="21">
        <f t="shared" si="34"/>
        <v>37.621628811383111</v>
      </c>
      <c r="S83" s="21">
        <f t="shared" si="35"/>
        <v>26.134179364128652</v>
      </c>
      <c r="T83" s="88">
        <f t="shared" si="36"/>
        <v>27.062734957595175</v>
      </c>
      <c r="U83" s="86">
        <f t="shared" si="37"/>
        <v>-9637.1252899999999</v>
      </c>
      <c r="V83" s="85">
        <f t="shared" si="38"/>
        <v>-2683.3128092763232</v>
      </c>
      <c r="W83" s="85">
        <f t="shared" si="39"/>
        <v>-3858.4442073215669</v>
      </c>
      <c r="X83" s="90">
        <f t="shared" si="40"/>
        <v>2683.3128092763232</v>
      </c>
      <c r="Y83" s="86">
        <f t="shared" si="41"/>
        <v>-11600.90191</v>
      </c>
      <c r="Z83" s="85">
        <f t="shared" si="42"/>
        <v>-832.16398485565549</v>
      </c>
      <c r="AA83" s="85">
        <f t="shared" si="43"/>
        <v>-1123.9863458749776</v>
      </c>
      <c r="AB83" s="90">
        <f t="shared" si="44"/>
        <v>832.16398485565549</v>
      </c>
      <c r="AC83" s="86">
        <f t="shared" si="45"/>
        <v>9489.0051800000001</v>
      </c>
      <c r="AD83" s="85">
        <f t="shared" si="46"/>
        <v>2598.140025222212</v>
      </c>
      <c r="AE83" s="85">
        <f t="shared" si="47"/>
        <v>3742.8916369841072</v>
      </c>
      <c r="AF83" s="90">
        <f t="shared" si="48"/>
        <v>2598.140025222212</v>
      </c>
      <c r="AG83" s="86">
        <f t="shared" si="49"/>
        <v>12691.212</v>
      </c>
      <c r="AH83" s="85">
        <f t="shared" si="50"/>
        <v>6183.1314163678471</v>
      </c>
      <c r="AI83" s="85">
        <f t="shared" si="51"/>
        <v>8678.3198941545652</v>
      </c>
      <c r="AJ83" s="90">
        <f t="shared" si="52"/>
        <v>6183.1314163678471</v>
      </c>
      <c r="AL83" s="95">
        <f t="shared" si="53"/>
        <v>0</v>
      </c>
      <c r="AM83" s="95">
        <f t="shared" si="54"/>
        <v>0</v>
      </c>
      <c r="AN83" s="95">
        <f t="shared" si="55"/>
        <v>0</v>
      </c>
      <c r="AO83" s="95">
        <f t="shared" si="56"/>
        <v>0</v>
      </c>
      <c r="AP83"/>
      <c r="AQ83" s="95">
        <f t="shared" si="57"/>
        <v>0</v>
      </c>
      <c r="AR83" s="95">
        <f t="shared" si="58"/>
        <v>0</v>
      </c>
      <c r="AS83" s="95">
        <f>Geraetedaten!$B$94*ABS(SIN(RADIANS($A83)))</f>
        <v>106.97738905068557</v>
      </c>
      <c r="AT83" s="95">
        <f>Geraetedaten!$B$94*ABS(COS(RADIANS($A83)))</f>
        <v>110.77832925215229</v>
      </c>
      <c r="AU83" s="95">
        <f>((h_Aw_Sw+Geraetedaten!$B$18)/1000)*(AQ83*AS83+AR83*AT83)/100</f>
        <v>0</v>
      </c>
    </row>
    <row r="84" spans="1:47" ht="13.5" x14ac:dyDescent="0.25">
      <c r="A84" s="16">
        <v>45</v>
      </c>
      <c r="B84" s="16">
        <f t="shared" si="0"/>
        <v>405</v>
      </c>
      <c r="C84" s="19">
        <f t="shared" si="1"/>
        <v>66.110906080629391</v>
      </c>
      <c r="D84" s="17">
        <f t="shared" si="2"/>
        <v>-9533.9422560806306</v>
      </c>
      <c r="E84" s="17">
        <f t="shared" si="3"/>
        <v>-11855.619436080629</v>
      </c>
      <c r="F84" s="17">
        <f t="shared" si="4"/>
        <v>9255.6103639193698</v>
      </c>
      <c r="G84" s="17">
        <f t="shared" si="5"/>
        <v>12849.055963919369</v>
      </c>
      <c r="H84" s="17">
        <f t="shared" si="33"/>
        <v>9255.6103639193698</v>
      </c>
      <c r="I84" s="17">
        <f t="shared" si="6"/>
        <v>3676.9073202011132</v>
      </c>
      <c r="J84" s="20">
        <f>(Geraetedaten!$B$152+(Geraetedaten!$B$153*(Geraetedaten!$B$18+d_y_Sw)/1000))*10</f>
        <v>6051.0442000000003</v>
      </c>
      <c r="K84" s="20">
        <f>(Geraetedaten!$B$165+(Geraetedaten!$B$166*(Geraetedaten!$B$18+d_y_Sw)/1000))*10</f>
        <v>10816.164000000001</v>
      </c>
      <c r="L84" s="20">
        <f>(Geraetedaten!$B$158+(Geraetedaten!$B$159*(Geraetedaten!$B$18+d_y_Sw)/1000)-(Geraetedaten!$B$160*I84/1000))*10</f>
        <v>331.90898620965214</v>
      </c>
      <c r="M84" s="20">
        <f>(Geraetedaten!$B$171+(Geraetedaten!$B$172*(Geraetedaten!$B$18+d_y_Sw)/1000)-(Geraetedaten!$B$173*I84/1000))*10</f>
        <v>791.15801908423009</v>
      </c>
      <c r="N84" s="20">
        <f>IF((H84-J84)/(K84-J84)*(Geraetedaten!$B$174-Geraetedaten!$B$161)&lt;Geraetedaten!$B$174,(H84-J84)/(K84-J84)*(Geraetedaten!$B$174-Geraetedaten!$B$161),Geraetedaten!$B$174)</f>
        <v>269.0019389581239</v>
      </c>
      <c r="O84" s="20">
        <f>N84/Geraetedaten!$B$174*(M84-L84)+L84+C84</f>
        <v>706.8670930600432</v>
      </c>
      <c r="P84" s="20">
        <f t="shared" si="7"/>
        <v>214.92567875430828</v>
      </c>
      <c r="Q84" s="21">
        <f>(N84-Geraetedaten!$B$161)/(Geraetedaten!$B$174-Geraetedaten!$B$161)*(Geraetedaten!$B$175-Geraetedaten!$B$162)+Geraetedaten!$B$162</f>
        <v>37.202807684004185</v>
      </c>
      <c r="R84" s="21">
        <f t="shared" si="34"/>
        <v>37.202807684004185</v>
      </c>
      <c r="S84" s="21">
        <f t="shared" si="35"/>
        <v>26.306357592538355</v>
      </c>
      <c r="T84" s="88">
        <f t="shared" si="36"/>
        <v>26.306357592538358</v>
      </c>
      <c r="U84" s="86">
        <f t="shared" si="37"/>
        <v>-9467.8313500000004</v>
      </c>
      <c r="V84" s="85">
        <f t="shared" si="38"/>
        <v>-2683.3128092763232</v>
      </c>
      <c r="W84" s="85">
        <f t="shared" si="39"/>
        <v>-3790.6634935006177</v>
      </c>
      <c r="X84" s="90">
        <f t="shared" si="40"/>
        <v>2683.3128092763232</v>
      </c>
      <c r="Y84" s="86">
        <f t="shared" si="41"/>
        <v>-11789.508529999999</v>
      </c>
      <c r="Z84" s="85">
        <f t="shared" si="42"/>
        <v>-832.16398485565549</v>
      </c>
      <c r="AA84" s="85">
        <f t="shared" si="43"/>
        <v>-1142.2600344824352</v>
      </c>
      <c r="AB84" s="90">
        <f t="shared" si="44"/>
        <v>832.16398485565549</v>
      </c>
      <c r="AC84" s="86">
        <f t="shared" si="45"/>
        <v>9321.72127</v>
      </c>
      <c r="AD84" s="85">
        <f t="shared" si="46"/>
        <v>2598.140025222212</v>
      </c>
      <c r="AE84" s="85">
        <f t="shared" si="47"/>
        <v>3676.9073202011132</v>
      </c>
      <c r="AF84" s="90">
        <f t="shared" si="48"/>
        <v>2598.140025222212</v>
      </c>
      <c r="AG84" s="86">
        <f t="shared" si="49"/>
        <v>12915.166869999999</v>
      </c>
      <c r="AH84" s="85">
        <f t="shared" si="50"/>
        <v>6183.1314163678471</v>
      </c>
      <c r="AI84" s="85">
        <f t="shared" si="51"/>
        <v>8831.4614512056723</v>
      </c>
      <c r="AJ84" s="90">
        <f t="shared" si="52"/>
        <v>6183.1314163678471</v>
      </c>
      <c r="AL84" s="95">
        <f t="shared" si="53"/>
        <v>0</v>
      </c>
      <c r="AM84" s="95">
        <f t="shared" si="54"/>
        <v>0</v>
      </c>
      <c r="AN84" s="95">
        <f t="shared" si="55"/>
        <v>0</v>
      </c>
      <c r="AO84" s="95">
        <f t="shared" si="56"/>
        <v>0</v>
      </c>
      <c r="AP84"/>
      <c r="AQ84" s="95">
        <f t="shared" si="57"/>
        <v>0</v>
      </c>
      <c r="AR84" s="95">
        <f t="shared" si="58"/>
        <v>0</v>
      </c>
      <c r="AS84" s="95">
        <f>Geraetedaten!$B$94*ABS(SIN(RADIANS($A84)))</f>
        <v>108.8944443027283</v>
      </c>
      <c r="AT84" s="95">
        <f>Geraetedaten!$B$94*ABS(COS(RADIANS($A84)))</f>
        <v>108.89444430272833</v>
      </c>
      <c r="AU84" s="95">
        <f>((h_Aw_Sw+Geraetedaten!$B$18)/1000)*(AQ84*AS84+AR84*AT84)/100</f>
        <v>0</v>
      </c>
    </row>
    <row r="85" spans="1:47" ht="13.5" x14ac:dyDescent="0.25">
      <c r="A85" s="16">
        <v>46</v>
      </c>
      <c r="B85" s="16">
        <f t="shared" si="0"/>
        <v>404</v>
      </c>
      <c r="C85" s="19">
        <f t="shared" si="1"/>
        <v>66.515500640696956</v>
      </c>
      <c r="D85" s="17">
        <f t="shared" si="2"/>
        <v>-9373.6842606406972</v>
      </c>
      <c r="E85" s="17">
        <f t="shared" si="3"/>
        <v>-12054.576740640698</v>
      </c>
      <c r="F85" s="17">
        <f t="shared" si="4"/>
        <v>9096.460639359304</v>
      </c>
      <c r="G85" s="17">
        <f t="shared" si="5"/>
        <v>13084.730199359303</v>
      </c>
      <c r="H85" s="17">
        <f t="shared" si="33"/>
        <v>9096.460639359304</v>
      </c>
      <c r="I85" s="17">
        <f t="shared" si="6"/>
        <v>3614.2910809358846</v>
      </c>
      <c r="J85" s="20">
        <f>(Geraetedaten!$B$152+(Geraetedaten!$B$153*(Geraetedaten!$B$18+d_y_Sw)/1000))*10</f>
        <v>6051.0442000000003</v>
      </c>
      <c r="K85" s="20">
        <f>(Geraetedaten!$B$165+(Geraetedaten!$B$166*(Geraetedaten!$B$18+d_y_Sw)/1000))*10</f>
        <v>10816.164000000001</v>
      </c>
      <c r="L85" s="20">
        <f>(Geraetedaten!$B$158+(Geraetedaten!$B$159*(Geraetedaten!$B$18+d_y_Sw)/1000)-(Geraetedaten!$B$160*I85/1000))*10</f>
        <v>336.50063503497137</v>
      </c>
      <c r="M85" s="20">
        <f>(Geraetedaten!$B$171+(Geraetedaten!$B$172*(Geraetedaten!$B$18+d_y_Sw)/1000)-(Geraetedaten!$B$173*I85/1000))*10</f>
        <v>795.81917193513368</v>
      </c>
      <c r="N85" s="20">
        <f>IF((H85-J85)/(K85-J85)*(Geraetedaten!$B$174-Geraetedaten!$B$161)&lt;Geraetedaten!$B$174,(H85-J85)/(K85-J85)*(Geraetedaten!$B$174-Geraetedaten!$B$161),Geraetedaten!$B$174)</f>
        <v>255.64238190689798</v>
      </c>
      <c r="O85" s="20">
        <f>N85/Geraetedaten!$B$174*(M85-L85)+L85+C85</f>
        <v>696.56934774354056</v>
      </c>
      <c r="P85" s="20">
        <f t="shared" si="7"/>
        <v>213.93118747893527</v>
      </c>
      <c r="Q85" s="21">
        <f>(N85-Geraetedaten!$B$161)/(Geraetedaten!$B$174-Geraetedaten!$B$161)*(Geraetedaten!$B$175-Geraetedaten!$B$162)+Geraetedaten!$B$162</f>
        <v>36.805360861730215</v>
      </c>
      <c r="R85" s="21">
        <f t="shared" si="34"/>
        <v>36.805360861730215</v>
      </c>
      <c r="S85" s="21">
        <f t="shared" si="35"/>
        <v>26.475560933669016</v>
      </c>
      <c r="T85" s="88">
        <f t="shared" si="36"/>
        <v>25.567152000364867</v>
      </c>
      <c r="U85" s="86">
        <f t="shared" si="37"/>
        <v>-9307.1687600000005</v>
      </c>
      <c r="V85" s="85">
        <f t="shared" si="38"/>
        <v>-2683.3128092763232</v>
      </c>
      <c r="W85" s="85">
        <f t="shared" si="39"/>
        <v>-3726.3385390644212</v>
      </c>
      <c r="X85" s="90">
        <f t="shared" si="40"/>
        <v>2683.3128092763232</v>
      </c>
      <c r="Y85" s="86">
        <f t="shared" si="41"/>
        <v>-11988.061240000001</v>
      </c>
      <c r="Z85" s="85">
        <f t="shared" si="42"/>
        <v>-832.16398485565549</v>
      </c>
      <c r="AA85" s="85">
        <f t="shared" si="43"/>
        <v>-1161.4973780879495</v>
      </c>
      <c r="AB85" s="90">
        <f t="shared" si="44"/>
        <v>832.16398485565549</v>
      </c>
      <c r="AC85" s="86">
        <f t="shared" si="45"/>
        <v>9162.9761400000007</v>
      </c>
      <c r="AD85" s="85">
        <f t="shared" si="46"/>
        <v>2598.140025222212</v>
      </c>
      <c r="AE85" s="85">
        <f t="shared" si="47"/>
        <v>3614.2910809358846</v>
      </c>
      <c r="AF85" s="90">
        <f t="shared" si="48"/>
        <v>2598.140025222212</v>
      </c>
      <c r="AG85" s="86">
        <f t="shared" si="49"/>
        <v>13151.245699999999</v>
      </c>
      <c r="AH85" s="85">
        <f t="shared" si="50"/>
        <v>6183.1314163678471</v>
      </c>
      <c r="AI85" s="85">
        <f t="shared" si="51"/>
        <v>8992.8934377087571</v>
      </c>
      <c r="AJ85" s="90">
        <f t="shared" si="52"/>
        <v>6183.1314163678471</v>
      </c>
      <c r="AL85" s="95">
        <f t="shared" si="53"/>
        <v>0</v>
      </c>
      <c r="AM85" s="95">
        <f t="shared" si="54"/>
        <v>0</v>
      </c>
      <c r="AN85" s="95">
        <f t="shared" si="55"/>
        <v>0</v>
      </c>
      <c r="AO85" s="95">
        <f t="shared" si="56"/>
        <v>0</v>
      </c>
      <c r="AP85"/>
      <c r="AQ85" s="95">
        <f t="shared" si="57"/>
        <v>0</v>
      </c>
      <c r="AR85" s="95">
        <f t="shared" si="58"/>
        <v>0</v>
      </c>
      <c r="AS85" s="95">
        <f>Geraetedaten!$B$94*ABS(SIN(RADIANS($A85)))</f>
        <v>110.77832925215226</v>
      </c>
      <c r="AT85" s="95">
        <f>Geraetedaten!$B$94*ABS(COS(RADIANS($A85)))</f>
        <v>106.97738905068557</v>
      </c>
      <c r="AU85" s="95">
        <f>((h_Aw_Sw+Geraetedaten!$B$18)/1000)*(AQ85*AS85+AR85*AT85)/100</f>
        <v>0</v>
      </c>
    </row>
    <row r="86" spans="1:47" ht="13.5" x14ac:dyDescent="0.25">
      <c r="A86" s="16">
        <v>47</v>
      </c>
      <c r="B86" s="16">
        <f t="shared" si="0"/>
        <v>403</v>
      </c>
      <c r="C86" s="19">
        <f t="shared" si="1"/>
        <v>66.899833934919243</v>
      </c>
      <c r="D86" s="17">
        <f t="shared" si="2"/>
        <v>-9221.5097339349195</v>
      </c>
      <c r="E86" s="17">
        <f t="shared" si="3"/>
        <v>-12264.095213934919</v>
      </c>
      <c r="F86" s="17">
        <f t="shared" si="4"/>
        <v>8945.3466260650803</v>
      </c>
      <c r="G86" s="17">
        <f t="shared" si="5"/>
        <v>13333.373906065081</v>
      </c>
      <c r="H86" s="17">
        <f t="shared" si="33"/>
        <v>8945.3466260650803</v>
      </c>
      <c r="I86" s="17">
        <f t="shared" si="6"/>
        <v>3554.8364958951188</v>
      </c>
      <c r="J86" s="20">
        <f>(Geraetedaten!$B$152+(Geraetedaten!$B$153*(Geraetedaten!$B$18+d_y_Sw)/1000))*10</f>
        <v>6051.0442000000003</v>
      </c>
      <c r="K86" s="20">
        <f>(Geraetedaten!$B$165+(Geraetedaten!$B$166*(Geraetedaten!$B$18+d_y_Sw)/1000))*10</f>
        <v>10816.164000000001</v>
      </c>
      <c r="L86" s="20">
        <f>(Geraetedaten!$B$158+(Geraetedaten!$B$159*(Geraetedaten!$B$18+d_y_Sw)/1000)-(Geraetedaten!$B$160*I86/1000))*10</f>
        <v>340.86043975601069</v>
      </c>
      <c r="M86" s="20">
        <f>(Geraetedaten!$B$171+(Geraetedaten!$B$172*(Geraetedaten!$B$18+d_y_Sw)/1000)-(Geraetedaten!$B$173*I86/1000))*10</f>
        <v>800.24497124556831</v>
      </c>
      <c r="N86" s="20">
        <f>IF((H86-J86)/(K86-J86)*(Geraetedaten!$B$174-Geraetedaten!$B$161)&lt;Geraetedaten!$B$174,(H86-J86)/(K86-J86)*(Geraetedaten!$B$174-Geraetedaten!$B$161),Geraetedaten!$B$174)</f>
        <v>242.95736917800724</v>
      </c>
      <c r="O86" s="20">
        <f>N86/Geraetedaten!$B$174*(M86-L86)+L86+C86</f>
        <v>686.78741672036574</v>
      </c>
      <c r="P86" s="20">
        <f t="shared" si="7"/>
        <v>212.96687760059791</v>
      </c>
      <c r="Q86" s="21">
        <f>(N86-Geraetedaten!$B$161)/(Geraetedaten!$B$174-Geraetedaten!$B$161)*(Geraetedaten!$B$175-Geraetedaten!$B$162)+Geraetedaten!$B$162</f>
        <v>36.427981733045712</v>
      </c>
      <c r="R86" s="21">
        <f t="shared" si="34"/>
        <v>36.427981733045712</v>
      </c>
      <c r="S86" s="21">
        <f t="shared" si="35"/>
        <v>26.641739282978506</v>
      </c>
      <c r="T86" s="88">
        <f t="shared" si="36"/>
        <v>24.843823802323826</v>
      </c>
      <c r="U86" s="86">
        <f t="shared" si="37"/>
        <v>-9154.6098999999995</v>
      </c>
      <c r="V86" s="85">
        <f t="shared" si="38"/>
        <v>-2683.3128092763232</v>
      </c>
      <c r="W86" s="85">
        <f t="shared" si="39"/>
        <v>-3665.2581010793115</v>
      </c>
      <c r="X86" s="90">
        <f t="shared" si="40"/>
        <v>2683.3128092763232</v>
      </c>
      <c r="Y86" s="86">
        <f t="shared" si="41"/>
        <v>-12197.195379999999</v>
      </c>
      <c r="Z86" s="85">
        <f t="shared" si="42"/>
        <v>-832.16398485565549</v>
      </c>
      <c r="AA86" s="85">
        <f t="shared" si="43"/>
        <v>-1181.7599337765037</v>
      </c>
      <c r="AB86" s="90">
        <f t="shared" si="44"/>
        <v>832.16398485565549</v>
      </c>
      <c r="AC86" s="86">
        <f t="shared" si="45"/>
        <v>9012.2464600000003</v>
      </c>
      <c r="AD86" s="85">
        <f t="shared" si="46"/>
        <v>2598.140025222212</v>
      </c>
      <c r="AE86" s="85">
        <f t="shared" si="47"/>
        <v>3554.8364958951188</v>
      </c>
      <c r="AF86" s="90">
        <f t="shared" si="48"/>
        <v>2598.140025222212</v>
      </c>
      <c r="AG86" s="86">
        <f t="shared" si="49"/>
        <v>13400.273740000001</v>
      </c>
      <c r="AH86" s="85">
        <f t="shared" si="50"/>
        <v>6183.1314163678471</v>
      </c>
      <c r="AI86" s="85">
        <f t="shared" si="51"/>
        <v>9163.1801680344215</v>
      </c>
      <c r="AJ86" s="90">
        <f t="shared" si="52"/>
        <v>6183.1314163678471</v>
      </c>
      <c r="AL86" s="95">
        <f t="shared" si="53"/>
        <v>0</v>
      </c>
      <c r="AM86" s="95">
        <f t="shared" si="54"/>
        <v>0</v>
      </c>
      <c r="AN86" s="95">
        <f t="shared" si="55"/>
        <v>0</v>
      </c>
      <c r="AO86" s="95">
        <f t="shared" si="56"/>
        <v>0</v>
      </c>
      <c r="AP86"/>
      <c r="AQ86" s="95">
        <f t="shared" si="57"/>
        <v>0</v>
      </c>
      <c r="AR86" s="95">
        <f t="shared" si="58"/>
        <v>0</v>
      </c>
      <c r="AS86" s="95">
        <f>Geraetedaten!$B$94*ABS(SIN(RADIANS($A86)))</f>
        <v>112.62847004935225</v>
      </c>
      <c r="AT86" s="95">
        <f>Geraetedaten!$B$94*ABS(COS(RADIANS($A86)))</f>
        <v>105.02774744962477</v>
      </c>
      <c r="AU86" s="95">
        <f>((h_Aw_Sw+Geraetedaten!$B$18)/1000)*(AQ86*AS86+AR86*AT86)/100</f>
        <v>0</v>
      </c>
    </row>
    <row r="87" spans="1:47" ht="13.5" x14ac:dyDescent="0.25">
      <c r="A87" s="16">
        <v>48</v>
      </c>
      <c r="B87" s="16">
        <f t="shared" si="0"/>
        <v>402</v>
      </c>
      <c r="C87" s="19">
        <f t="shared" si="1"/>
        <v>67.2637888916517</v>
      </c>
      <c r="D87" s="17">
        <f t="shared" si="2"/>
        <v>-9076.9356988916516</v>
      </c>
      <c r="E87" s="17">
        <f t="shared" si="3"/>
        <v>-12484.869328891653</v>
      </c>
      <c r="F87" s="17">
        <f t="shared" si="4"/>
        <v>8801.7895811083472</v>
      </c>
      <c r="G87" s="17">
        <f t="shared" si="5"/>
        <v>13595.893321108348</v>
      </c>
      <c r="H87" s="17">
        <f t="shared" si="33"/>
        <v>8801.7895811083472</v>
      </c>
      <c r="I87" s="17">
        <f t="shared" si="6"/>
        <v>3498.3546812124641</v>
      </c>
      <c r="J87" s="20">
        <f>(Geraetedaten!$B$152+(Geraetedaten!$B$153*(Geraetedaten!$B$18+d_y_Sw)/1000))*10</f>
        <v>6051.0442000000003</v>
      </c>
      <c r="K87" s="20">
        <f>(Geraetedaten!$B$165+(Geraetedaten!$B$166*(Geraetedaten!$B$18+d_y_Sw)/1000))*10</f>
        <v>10816.164000000001</v>
      </c>
      <c r="L87" s="20">
        <f>(Geraetedaten!$B$158+(Geraetedaten!$B$159*(Geraetedaten!$B$18+d_y_Sw)/1000)-(Geraetedaten!$B$160*I87/1000))*10</f>
        <v>345.00225122668979</v>
      </c>
      <c r="M87" s="20">
        <f>(Geraetedaten!$B$171+(Geraetedaten!$B$172*(Geraetedaten!$B$18+d_y_Sw)/1000)-(Geraetedaten!$B$173*I87/1000))*10</f>
        <v>804.4494775305451</v>
      </c>
      <c r="N87" s="20">
        <f>IF((H87-J87)/(K87-J87)*(Geraetedaten!$B$174-Geraetedaten!$B$161)&lt;Geraetedaten!$B$174,(H87-J87)/(K87-J87)*(Geraetedaten!$B$174-Geraetedaten!$B$161),Geraetedaten!$B$174)</f>
        <v>230.9067134982291</v>
      </c>
      <c r="O87" s="20">
        <f>N87/Geraetedaten!$B$174*(M87-L87)+L87+C87</f>
        <v>677.48966274759232</v>
      </c>
      <c r="P87" s="20">
        <f t="shared" si="7"/>
        <v>212.03178645653708</v>
      </c>
      <c r="Q87" s="21">
        <f>(N87-Geraetedaten!$B$161)/(Geraetedaten!$B$174-Geraetedaten!$B$161)*(Geraetedaten!$B$175-Geraetedaten!$B$162)+Geraetedaten!$B$162</f>
        <v>36.069474726572317</v>
      </c>
      <c r="R87" s="21">
        <f t="shared" si="34"/>
        <v>36.069474726572317</v>
      </c>
      <c r="S87" s="21">
        <f t="shared" si="35"/>
        <v>26.804843500739867</v>
      </c>
      <c r="T87" s="88">
        <f t="shared" si="36"/>
        <v>24.135189494836848</v>
      </c>
      <c r="U87" s="86">
        <f t="shared" si="37"/>
        <v>-9009.6719099999991</v>
      </c>
      <c r="V87" s="85">
        <f t="shared" si="38"/>
        <v>-2683.3128092763232</v>
      </c>
      <c r="W87" s="85">
        <f t="shared" si="39"/>
        <v>-3607.2288514987058</v>
      </c>
      <c r="X87" s="90">
        <f t="shared" si="40"/>
        <v>2683.3128092763232</v>
      </c>
      <c r="Y87" s="86">
        <f t="shared" si="41"/>
        <v>-12417.60554</v>
      </c>
      <c r="Z87" s="85">
        <f t="shared" si="42"/>
        <v>-832.16398485565549</v>
      </c>
      <c r="AA87" s="85">
        <f t="shared" si="43"/>
        <v>-1203.1149977042705</v>
      </c>
      <c r="AB87" s="90">
        <f t="shared" si="44"/>
        <v>832.16398485565549</v>
      </c>
      <c r="AC87" s="86">
        <f t="shared" si="45"/>
        <v>8869.0533699999996</v>
      </c>
      <c r="AD87" s="85">
        <f t="shared" si="46"/>
        <v>2598.140025222212</v>
      </c>
      <c r="AE87" s="85">
        <f t="shared" si="47"/>
        <v>3498.3546812124641</v>
      </c>
      <c r="AF87" s="90">
        <f t="shared" si="48"/>
        <v>2598.140025222212</v>
      </c>
      <c r="AG87" s="86">
        <f t="shared" si="49"/>
        <v>13663.15711</v>
      </c>
      <c r="AH87" s="85">
        <f t="shared" si="50"/>
        <v>6183.1314163678471</v>
      </c>
      <c r="AI87" s="85">
        <f t="shared" si="51"/>
        <v>9342.9412490369923</v>
      </c>
      <c r="AJ87" s="90">
        <f t="shared" si="52"/>
        <v>6183.1314163678471</v>
      </c>
      <c r="AL87" s="95">
        <f t="shared" si="53"/>
        <v>0</v>
      </c>
      <c r="AM87" s="95">
        <f t="shared" si="54"/>
        <v>0</v>
      </c>
      <c r="AN87" s="95">
        <f t="shared" si="55"/>
        <v>0</v>
      </c>
      <c r="AO87" s="95">
        <f t="shared" si="56"/>
        <v>0</v>
      </c>
      <c r="AP87"/>
      <c r="AQ87" s="95">
        <f t="shared" si="57"/>
        <v>0</v>
      </c>
      <c r="AR87" s="95">
        <f t="shared" si="58"/>
        <v>0</v>
      </c>
      <c r="AS87" s="95">
        <f>Geraetedaten!$B$94*ABS(SIN(RADIANS($A87)))</f>
        <v>114.44430312351871</v>
      </c>
      <c r="AT87" s="95">
        <f>Geraetedaten!$B$94*ABS(COS(RADIANS($A87)))</f>
        <v>103.04611337926417</v>
      </c>
      <c r="AU87" s="95">
        <f>((h_Aw_Sw+Geraetedaten!$B$18)/1000)*(AQ87*AS87+AR87*AT87)/100</f>
        <v>0</v>
      </c>
    </row>
    <row r="88" spans="1:47" ht="13.5" x14ac:dyDescent="0.25">
      <c r="A88" s="16">
        <v>49</v>
      </c>
      <c r="B88" s="16">
        <f t="shared" si="0"/>
        <v>401</v>
      </c>
      <c r="C88" s="19">
        <f t="shared" si="1"/>
        <v>67.60725464668883</v>
      </c>
      <c r="D88" s="17">
        <f t="shared" si="2"/>
        <v>-8939.51938464669</v>
      </c>
      <c r="E88" s="17">
        <f t="shared" si="3"/>
        <v>-12717.65965464669</v>
      </c>
      <c r="F88" s="17">
        <f t="shared" si="4"/>
        <v>8665.3507053533103</v>
      </c>
      <c r="G88" s="17">
        <f t="shared" si="5"/>
        <v>13873.28548535331</v>
      </c>
      <c r="H88" s="17">
        <f t="shared" si="33"/>
        <v>8665.3507053533103</v>
      </c>
      <c r="I88" s="17">
        <f t="shared" si="6"/>
        <v>3444.6725122381695</v>
      </c>
      <c r="J88" s="20">
        <f>(Geraetedaten!$B$152+(Geraetedaten!$B$153*(Geraetedaten!$B$18+d_y_Sw)/1000))*10</f>
        <v>6051.0442000000003</v>
      </c>
      <c r="K88" s="20">
        <f>(Geraetedaten!$B$165+(Geraetedaten!$B$166*(Geraetedaten!$B$18+d_y_Sw)/1000))*10</f>
        <v>10816.164000000001</v>
      </c>
      <c r="L88" s="20">
        <f>(Geraetedaten!$B$158+(Geraetedaten!$B$159*(Geraetedaten!$B$18+d_y_Sw)/1000)-(Geraetedaten!$B$160*I88/1000))*10</f>
        <v>348.9387646775748</v>
      </c>
      <c r="M88" s="20">
        <f>(Geraetedaten!$B$171+(Geraetedaten!$B$172*(Geraetedaten!$B$18+d_y_Sw)/1000)-(Geraetedaten!$B$173*I88/1000))*10</f>
        <v>808.44557818899148</v>
      </c>
      <c r="N88" s="20">
        <f>IF((H88-J88)/(K88-J88)*(Geraetedaten!$B$174-Geraetedaten!$B$161)&lt;Geraetedaten!$B$174,(H88-J88)/(K88-J88)*(Geraetedaten!$B$174-Geraetedaten!$B$161),Geraetedaten!$B$174)</f>
        <v>219.45358060910115</v>
      </c>
      <c r="O88" s="20">
        <f>N88/Geraetedaten!$B$174*(M88-L88)+L88+C88</f>
        <v>668.64705817266088</v>
      </c>
      <c r="P88" s="20">
        <f t="shared" si="7"/>
        <v>211.1249842551027</v>
      </c>
      <c r="Q88" s="21">
        <f>(N88-Geraetedaten!$B$161)/(Geraetedaten!$B$174-Geraetedaten!$B$161)*(Geraetedaten!$B$175-Geraetedaten!$B$162)+Geraetedaten!$B$162</f>
        <v>35.728744023120761</v>
      </c>
      <c r="R88" s="21">
        <f t="shared" si="34"/>
        <v>35.728744023120761</v>
      </c>
      <c r="S88" s="21">
        <f t="shared" si="35"/>
        <v>26.964825403576345</v>
      </c>
      <c r="T88" s="88">
        <f t="shared" si="36"/>
        <v>23.440165110858995</v>
      </c>
      <c r="U88" s="86">
        <f t="shared" si="37"/>
        <v>-8871.9121300000006</v>
      </c>
      <c r="V88" s="85">
        <f t="shared" si="38"/>
        <v>-2683.3128092763232</v>
      </c>
      <c r="W88" s="85">
        <f t="shared" si="39"/>
        <v>-3552.0735628221178</v>
      </c>
      <c r="X88" s="90">
        <f t="shared" si="40"/>
        <v>2683.3128092763232</v>
      </c>
      <c r="Y88" s="86">
        <f t="shared" si="41"/>
        <v>-12650.0524</v>
      </c>
      <c r="Z88" s="85">
        <f t="shared" si="42"/>
        <v>-832.16398485565549</v>
      </c>
      <c r="AA88" s="85">
        <f t="shared" si="43"/>
        <v>-1225.6362723271081</v>
      </c>
      <c r="AB88" s="90">
        <f t="shared" si="44"/>
        <v>832.16398485565549</v>
      </c>
      <c r="AC88" s="86">
        <f t="shared" si="45"/>
        <v>8732.9579599999997</v>
      </c>
      <c r="AD88" s="85">
        <f t="shared" si="46"/>
        <v>2598.140025222212</v>
      </c>
      <c r="AE88" s="85">
        <f t="shared" si="47"/>
        <v>3444.6725122381695</v>
      </c>
      <c r="AF88" s="90">
        <f t="shared" si="48"/>
        <v>2598.140025222212</v>
      </c>
      <c r="AG88" s="86">
        <f t="shared" si="49"/>
        <v>13940.892739999999</v>
      </c>
      <c r="AH88" s="85">
        <f t="shared" si="50"/>
        <v>6183.1314163678471</v>
      </c>
      <c r="AI88" s="85">
        <f t="shared" si="51"/>
        <v>9532.8583901601396</v>
      </c>
      <c r="AJ88" s="90">
        <f t="shared" si="52"/>
        <v>6183.1314163678471</v>
      </c>
      <c r="AL88" s="95">
        <f t="shared" si="53"/>
        <v>0</v>
      </c>
      <c r="AM88" s="95">
        <f t="shared" si="54"/>
        <v>0</v>
      </c>
      <c r="AN88" s="95">
        <f t="shared" si="55"/>
        <v>0</v>
      </c>
      <c r="AO88" s="95">
        <f t="shared" si="56"/>
        <v>0</v>
      </c>
      <c r="AP88"/>
      <c r="AQ88" s="95">
        <f t="shared" si="57"/>
        <v>0</v>
      </c>
      <c r="AR88" s="95">
        <f t="shared" si="58"/>
        <v>0</v>
      </c>
      <c r="AS88" s="95">
        <f>Geraetedaten!$B$94*ABS(SIN(RADIANS($A88)))</f>
        <v>116.22527535430689</v>
      </c>
      <c r="AT88" s="95">
        <f>Geraetedaten!$B$94*ABS(COS(RADIANS($A88)))</f>
        <v>101.03309046453812</v>
      </c>
      <c r="AU88" s="95">
        <f>((h_Aw_Sw+Geraetedaten!$B$18)/1000)*(AQ88*AS88+AR88*AT88)/100</f>
        <v>0</v>
      </c>
    </row>
    <row r="89" spans="1:47" ht="13.5" x14ac:dyDescent="0.25">
      <c r="A89" s="16">
        <v>50</v>
      </c>
      <c r="B89" s="16">
        <f t="shared" si="0"/>
        <v>400</v>
      </c>
      <c r="C89" s="19">
        <f t="shared" si="1"/>
        <v>67.930126577034372</v>
      </c>
      <c r="D89" s="17">
        <f t="shared" si="2"/>
        <v>-8808.8542565770331</v>
      </c>
      <c r="E89" s="17">
        <f t="shared" si="3"/>
        <v>-12963.300786577034</v>
      </c>
      <c r="F89" s="17">
        <f t="shared" si="4"/>
        <v>8535.6271734229667</v>
      </c>
      <c r="G89" s="17">
        <f t="shared" si="5"/>
        <v>14166.649753422966</v>
      </c>
      <c r="H89" s="17">
        <f t="shared" si="33"/>
        <v>8535.6271734229667</v>
      </c>
      <c r="I89" s="17">
        <f t="shared" si="6"/>
        <v>3393.6310576594592</v>
      </c>
      <c r="J89" s="20">
        <f>(Geraetedaten!$B$152+(Geraetedaten!$B$153*(Geraetedaten!$B$18+d_y_Sw)/1000))*10</f>
        <v>6051.0442000000003</v>
      </c>
      <c r="K89" s="20">
        <f>(Geraetedaten!$B$165+(Geraetedaten!$B$166*(Geraetedaten!$B$18+d_y_Sw)/1000))*10</f>
        <v>10816.164000000001</v>
      </c>
      <c r="L89" s="20">
        <f>(Geraetedaten!$B$158+(Geraetedaten!$B$159*(Geraetedaten!$B$18+d_y_Sw)/1000)-(Geraetedaten!$B$160*I89/1000))*10</f>
        <v>352.68163454183167</v>
      </c>
      <c r="M89" s="20">
        <f>(Geraetedaten!$B$171+(Geraetedaten!$B$172*(Geraetedaten!$B$18+d_y_Sw)/1000)-(Geraetedaten!$B$173*I89/1000))*10</f>
        <v>812.24510406783088</v>
      </c>
      <c r="N89" s="20">
        <f>IF((H89-J89)/(K89-J89)*(Geraetedaten!$B$174-Geraetedaten!$B$161)&lt;Geraetedaten!$B$174,(H89-J89)/(K89-J89)*(Geraetedaten!$B$174-Geraetedaten!$B$161),Geraetedaten!$B$174)</f>
        <v>208.56415600908639</v>
      </c>
      <c r="O89" s="20">
        <f>N89/Geraetedaten!$B$174*(M89-L89)+L89+C89</f>
        <v>660.23292900460979</v>
      </c>
      <c r="P89" s="20">
        <f t="shared" si="7"/>
        <v>210.24557401722015</v>
      </c>
      <c r="Q89" s="21">
        <f>(N89-Geraetedaten!$B$161)/(Geraetedaten!$B$174-Geraetedaten!$B$161)*(Geraetedaten!$B$175-Geraetedaten!$B$162)+Geraetedaten!$B$162</f>
        <v>35.404783641270321</v>
      </c>
      <c r="R89" s="21">
        <f t="shared" si="34"/>
        <v>35.404783641270321</v>
      </c>
      <c r="S89" s="21">
        <f t="shared" si="35"/>
        <v>27.121637768224826</v>
      </c>
      <c r="T89" s="88">
        <f t="shared" si="36"/>
        <v>22.75775624824124</v>
      </c>
      <c r="U89" s="86">
        <f t="shared" si="37"/>
        <v>-8740.9241299999994</v>
      </c>
      <c r="V89" s="85">
        <f t="shared" si="38"/>
        <v>-2683.3128092763232</v>
      </c>
      <c r="W89" s="85">
        <f t="shared" si="39"/>
        <v>-3499.6295117572199</v>
      </c>
      <c r="X89" s="90">
        <f t="shared" si="40"/>
        <v>2683.3128092763232</v>
      </c>
      <c r="Y89" s="86">
        <f t="shared" si="41"/>
        <v>-12895.37066</v>
      </c>
      <c r="Z89" s="85">
        <f t="shared" si="42"/>
        <v>-832.16398485565549</v>
      </c>
      <c r="AA89" s="85">
        <f t="shared" si="43"/>
        <v>-1249.4046296718054</v>
      </c>
      <c r="AB89" s="90">
        <f t="shared" si="44"/>
        <v>832.16398485565549</v>
      </c>
      <c r="AC89" s="86">
        <f t="shared" si="45"/>
        <v>8603.5573000000004</v>
      </c>
      <c r="AD89" s="85">
        <f t="shared" si="46"/>
        <v>2598.140025222212</v>
      </c>
      <c r="AE89" s="85">
        <f t="shared" si="47"/>
        <v>3393.6310576594592</v>
      </c>
      <c r="AF89" s="90">
        <f t="shared" si="48"/>
        <v>2598.140025222212</v>
      </c>
      <c r="AG89" s="86">
        <f t="shared" si="49"/>
        <v>14234.579879999999</v>
      </c>
      <c r="AH89" s="85">
        <f t="shared" si="50"/>
        <v>6183.1314163678471</v>
      </c>
      <c r="AI89" s="85">
        <f t="shared" si="51"/>
        <v>9733.6832509245414</v>
      </c>
      <c r="AJ89" s="90">
        <f t="shared" si="52"/>
        <v>6183.1314163678471</v>
      </c>
      <c r="AL89" s="95">
        <f t="shared" si="53"/>
        <v>0</v>
      </c>
      <c r="AM89" s="95">
        <f t="shared" si="54"/>
        <v>0</v>
      </c>
      <c r="AN89" s="95">
        <f t="shared" si="55"/>
        <v>0</v>
      </c>
      <c r="AO89" s="95">
        <f t="shared" si="56"/>
        <v>0</v>
      </c>
      <c r="AP89"/>
      <c r="AQ89" s="95">
        <f t="shared" si="57"/>
        <v>0</v>
      </c>
      <c r="AR89" s="95">
        <f t="shared" si="58"/>
        <v>0</v>
      </c>
      <c r="AS89" s="95">
        <f>Geraetedaten!$B$94*ABS(SIN(RADIANS($A89)))</f>
        <v>117.97084424032262</v>
      </c>
      <c r="AT89" s="95">
        <f>Geraetedaten!$B$94*ABS(COS(RADIANS($A89)))</f>
        <v>98.989291891727063</v>
      </c>
      <c r="AU89" s="95">
        <f>((h_Aw_Sw+Geraetedaten!$B$18)/1000)*(AQ89*AS89+AR89*AT89)/100</f>
        <v>0</v>
      </c>
    </row>
    <row r="90" spans="1:47" ht="13.5" x14ac:dyDescent="0.25">
      <c r="A90" s="16">
        <v>51</v>
      </c>
      <c r="B90" s="16">
        <f t="shared" si="0"/>
        <v>399</v>
      </c>
      <c r="C90" s="19">
        <f t="shared" si="1"/>
        <v>68.232306332770648</v>
      </c>
      <c r="D90" s="17">
        <f t="shared" si="2"/>
        <v>-8684.5664963327708</v>
      </c>
      <c r="E90" s="17">
        <f t="shared" si="3"/>
        <v>-13222.71037633277</v>
      </c>
      <c r="F90" s="17">
        <f t="shared" si="4"/>
        <v>8412.2486536672295</v>
      </c>
      <c r="G90" s="17">
        <f t="shared" si="5"/>
        <v>14477.200993667229</v>
      </c>
      <c r="H90" s="17">
        <f t="shared" si="33"/>
        <v>8412.2486536672295</v>
      </c>
      <c r="I90" s="17">
        <f t="shared" si="6"/>
        <v>3345.0841985379147</v>
      </c>
      <c r="J90" s="20">
        <f>(Geraetedaten!$B$152+(Geraetedaten!$B$153*(Geraetedaten!$B$18+d_y_Sw)/1000))*10</f>
        <v>6051.0442000000003</v>
      </c>
      <c r="K90" s="20">
        <f>(Geraetedaten!$B$165+(Geraetedaten!$B$166*(Geraetedaten!$B$18+d_y_Sw)/1000))*10</f>
        <v>10816.164000000001</v>
      </c>
      <c r="L90" s="20">
        <f>(Geraetedaten!$B$158+(Geraetedaten!$B$159*(Geraetedaten!$B$18+d_y_Sw)/1000)-(Geraetedaten!$B$160*I90/1000))*10</f>
        <v>356.24157572121447</v>
      </c>
      <c r="M90" s="20">
        <f>(Geraetedaten!$B$171+(Geraetedaten!$B$172*(Geraetedaten!$B$18+d_y_Sw)/1000)-(Geraetedaten!$B$173*I90/1000))*10</f>
        <v>815.85893226083851</v>
      </c>
      <c r="N90" s="20">
        <f>IF((H90-J90)/(K90-J90)*(Geraetedaten!$B$174-Geraetedaten!$B$161)&lt;Geraetedaten!$B$174,(H90-J90)/(K90-J90)*(Geraetedaten!$B$174-Geraetedaten!$B$161),Geraetedaten!$B$174)</f>
        <v>198.20735282812652</v>
      </c>
      <c r="O90" s="20">
        <f>N90/Geraetedaten!$B$174*(M90-L90)+L90+C90</f>
        <v>652.22273093793535</v>
      </c>
      <c r="P90" s="20">
        <f t="shared" si="7"/>
        <v>209.39269171425025</v>
      </c>
      <c r="Q90" s="21">
        <f>(N90-Geraetedaten!$B$161)/(Geraetedaten!$B$174-Geraetedaten!$B$161)*(Geraetedaten!$B$175-Geraetedaten!$B$162)+Geraetedaten!$B$162</f>
        <v>35.096668746636766</v>
      </c>
      <c r="R90" s="21">
        <f t="shared" si="34"/>
        <v>35.096668746636766</v>
      </c>
      <c r="S90" s="21">
        <f t="shared" si="35"/>
        <v>27.275234377041851</v>
      </c>
      <c r="T90" s="88">
        <f t="shared" si="36"/>
        <v>22.087049300180059</v>
      </c>
      <c r="U90" s="86">
        <f t="shared" si="37"/>
        <v>-8616.3341899999996</v>
      </c>
      <c r="V90" s="85">
        <f t="shared" si="38"/>
        <v>-2683.3128092763232</v>
      </c>
      <c r="W90" s="85">
        <f t="shared" si="39"/>
        <v>-3449.7470710279022</v>
      </c>
      <c r="X90" s="90">
        <f t="shared" si="40"/>
        <v>2683.3128092763232</v>
      </c>
      <c r="Y90" s="86">
        <f t="shared" si="41"/>
        <v>-13154.478069999999</v>
      </c>
      <c r="Z90" s="85">
        <f t="shared" si="42"/>
        <v>-832.16398485565549</v>
      </c>
      <c r="AA90" s="85">
        <f t="shared" si="43"/>
        <v>-1274.5089871340028</v>
      </c>
      <c r="AB90" s="90">
        <f t="shared" si="44"/>
        <v>832.16398485565549</v>
      </c>
      <c r="AC90" s="86">
        <f t="shared" si="45"/>
        <v>8480.4809600000008</v>
      </c>
      <c r="AD90" s="85">
        <f t="shared" si="46"/>
        <v>2598.140025222212</v>
      </c>
      <c r="AE90" s="85">
        <f t="shared" si="47"/>
        <v>3345.0841985379147</v>
      </c>
      <c r="AF90" s="90">
        <f t="shared" si="48"/>
        <v>2598.140025222212</v>
      </c>
      <c r="AG90" s="86">
        <f t="shared" si="49"/>
        <v>14545.433300000001</v>
      </c>
      <c r="AH90" s="85">
        <f t="shared" si="50"/>
        <v>6183.1314163678471</v>
      </c>
      <c r="AI90" s="85">
        <f t="shared" si="51"/>
        <v>9946.2465146594241</v>
      </c>
      <c r="AJ90" s="90">
        <f t="shared" si="52"/>
        <v>6183.1314163678471</v>
      </c>
      <c r="AL90" s="95">
        <f t="shared" si="53"/>
        <v>0</v>
      </c>
      <c r="AM90" s="95">
        <f t="shared" si="54"/>
        <v>0</v>
      </c>
      <c r="AN90" s="95">
        <f t="shared" si="55"/>
        <v>0</v>
      </c>
      <c r="AO90" s="95">
        <f t="shared" si="56"/>
        <v>0</v>
      </c>
      <c r="AP90"/>
      <c r="AQ90" s="95">
        <f t="shared" si="57"/>
        <v>0</v>
      </c>
      <c r="AR90" s="95">
        <f t="shared" si="58"/>
        <v>0</v>
      </c>
      <c r="AS90" s="95">
        <f>Geraetedaten!$B$94*ABS(SIN(RADIANS($A90)))</f>
        <v>119.68047806437352</v>
      </c>
      <c r="AT90" s="95">
        <f>Geraetedaten!$B$94*ABS(COS(RADIANS($A90)))</f>
        <v>96.915340221674981</v>
      </c>
      <c r="AU90" s="95">
        <f>((h_Aw_Sw+Geraetedaten!$B$18)/1000)*(AQ90*AS90+AR90*AT90)/100</f>
        <v>0</v>
      </c>
    </row>
    <row r="91" spans="1:47" ht="13.5" x14ac:dyDescent="0.25">
      <c r="A91" s="16">
        <v>52</v>
      </c>
      <c r="B91" s="16">
        <f t="shared" si="0"/>
        <v>398</v>
      </c>
      <c r="C91" s="19">
        <f t="shared" si="1"/>
        <v>68.513701867016763</v>
      </c>
      <c r="D91" s="17">
        <f t="shared" si="2"/>
        <v>-8566.311891867017</v>
      </c>
      <c r="E91" s="17">
        <f t="shared" si="3"/>
        <v>-13496.899501867018</v>
      </c>
      <c r="F91" s="17">
        <f t="shared" si="4"/>
        <v>8294.8741881329825</v>
      </c>
      <c r="G91" s="17">
        <f t="shared" si="5"/>
        <v>14806.285068132982</v>
      </c>
      <c r="H91" s="17">
        <f t="shared" si="33"/>
        <v>8294.8741881329825</v>
      </c>
      <c r="I91" s="17">
        <f t="shared" si="6"/>
        <v>3298.8974073805475</v>
      </c>
      <c r="J91" s="20">
        <f>(Geraetedaten!$B$152+(Geraetedaten!$B$153*(Geraetedaten!$B$18+d_y_Sw)/1000))*10</f>
        <v>6051.0442000000003</v>
      </c>
      <c r="K91" s="20">
        <f>(Geraetedaten!$B$165+(Geraetedaten!$B$166*(Geraetedaten!$B$18+d_y_Sw)/1000))*10</f>
        <v>10816.164000000001</v>
      </c>
      <c r="L91" s="20">
        <f>(Geraetedaten!$B$158+(Geraetedaten!$B$159*(Geraetedaten!$B$18+d_y_Sw)/1000)-(Geraetedaten!$B$160*I91/1000))*10</f>
        <v>359.62845311678421</v>
      </c>
      <c r="M91" s="20">
        <f>(Geraetedaten!$B$171+(Geraetedaten!$B$172*(Geraetedaten!$B$18+d_y_Sw)/1000)-(Geraetedaten!$B$173*I91/1000))*10</f>
        <v>819.297076994593</v>
      </c>
      <c r="N91" s="20">
        <f>IF((H91-J91)/(K91-J91)*(Geraetedaten!$B$174-Geraetedaten!$B$161)&lt;Geraetedaten!$B$174,(H91-J91)/(K91-J91)*(Geraetedaten!$B$174-Geraetedaten!$B$161),Geraetedaten!$B$174)</f>
        <v>188.35454992195429</v>
      </c>
      <c r="O91" s="20">
        <f>N91/Geraetedaten!$B$174*(M91-L91)+L91+C91</f>
        <v>644.59384689317278</v>
      </c>
      <c r="P91" s="20">
        <f t="shared" si="7"/>
        <v>208.56550566960024</v>
      </c>
      <c r="Q91" s="21">
        <f>(N91-Geraetedaten!$B$161)/(Geraetedaten!$B$174-Geraetedaten!$B$161)*(Geraetedaten!$B$175-Geraetedaten!$B$162)+Geraetedaten!$B$162</f>
        <v>34.803547860178142</v>
      </c>
      <c r="R91" s="21">
        <f t="shared" si="34"/>
        <v>34.803547860178142</v>
      </c>
      <c r="S91" s="21">
        <f t="shared" si="35"/>
        <v>27.425569977486596</v>
      </c>
      <c r="T91" s="88">
        <f t="shared" si="36"/>
        <v>21.427203622164434</v>
      </c>
      <c r="U91" s="86">
        <f t="shared" si="37"/>
        <v>-8497.7981899999995</v>
      </c>
      <c r="V91" s="85">
        <f t="shared" si="38"/>
        <v>-2683.3128092763232</v>
      </c>
      <c r="W91" s="85">
        <f t="shared" si="39"/>
        <v>-3402.2884640609441</v>
      </c>
      <c r="X91" s="90">
        <f t="shared" si="40"/>
        <v>2683.3128092763232</v>
      </c>
      <c r="Y91" s="86">
        <f t="shared" si="41"/>
        <v>-13428.3858</v>
      </c>
      <c r="Z91" s="85">
        <f t="shared" si="42"/>
        <v>-832.16398485565549</v>
      </c>
      <c r="AA91" s="85">
        <f t="shared" si="43"/>
        <v>-1301.0473156037058</v>
      </c>
      <c r="AB91" s="90">
        <f t="shared" si="44"/>
        <v>832.16398485565549</v>
      </c>
      <c r="AC91" s="86">
        <f t="shared" si="45"/>
        <v>8363.38789</v>
      </c>
      <c r="AD91" s="85">
        <f t="shared" si="46"/>
        <v>2598.140025222212</v>
      </c>
      <c r="AE91" s="85">
        <f t="shared" si="47"/>
        <v>3298.8974073805475</v>
      </c>
      <c r="AF91" s="90">
        <f t="shared" si="48"/>
        <v>2598.140025222212</v>
      </c>
      <c r="AG91" s="86">
        <f t="shared" si="49"/>
        <v>14874.798769999999</v>
      </c>
      <c r="AH91" s="85">
        <f t="shared" si="50"/>
        <v>6183.1314163678471</v>
      </c>
      <c r="AI91" s="85">
        <f t="shared" si="51"/>
        <v>10171.468417701781</v>
      </c>
      <c r="AJ91" s="90">
        <f t="shared" si="52"/>
        <v>6183.1314163678471</v>
      </c>
      <c r="AL91" s="95">
        <f t="shared" si="53"/>
        <v>0</v>
      </c>
      <c r="AM91" s="95">
        <f t="shared" si="54"/>
        <v>0</v>
      </c>
      <c r="AN91" s="95">
        <f t="shared" si="55"/>
        <v>0</v>
      </c>
      <c r="AO91" s="95">
        <f t="shared" si="56"/>
        <v>0</v>
      </c>
      <c r="AP91"/>
      <c r="AQ91" s="95">
        <f t="shared" si="57"/>
        <v>0</v>
      </c>
      <c r="AR91" s="95">
        <f t="shared" si="58"/>
        <v>0</v>
      </c>
      <c r="AS91" s="95">
        <f>Geraetedaten!$B$94*ABS(SIN(RADIANS($A91)))</f>
        <v>121.3536560554352</v>
      </c>
      <c r="AT91" s="95">
        <f>Geraetedaten!$B$94*ABS(COS(RADIANS($A91)))</f>
        <v>94.811867200151383</v>
      </c>
      <c r="AU91" s="95">
        <f>((h_Aw_Sw+Geraetedaten!$B$18)/1000)*(AQ91*AS91+AR91*AT91)/100</f>
        <v>0</v>
      </c>
    </row>
    <row r="92" spans="1:47" ht="13.5" x14ac:dyDescent="0.25">
      <c r="A92" s="16">
        <v>53</v>
      </c>
      <c r="B92" s="16">
        <f t="shared" si="0"/>
        <v>397</v>
      </c>
      <c r="C92" s="19">
        <f t="shared" si="1"/>
        <v>68.774227463967065</v>
      </c>
      <c r="D92" s="17">
        <f t="shared" si="2"/>
        <v>-8453.7730774639676</v>
      </c>
      <c r="E92" s="17">
        <f t="shared" si="3"/>
        <v>-13786.984707463967</v>
      </c>
      <c r="F92" s="17">
        <f t="shared" si="4"/>
        <v>8183.1894325360327</v>
      </c>
      <c r="G92" s="17">
        <f t="shared" si="5"/>
        <v>15155.396712536032</v>
      </c>
      <c r="H92" s="17">
        <f t="shared" si="33"/>
        <v>8183.1894325360327</v>
      </c>
      <c r="I92" s="17">
        <f t="shared" si="6"/>
        <v>3254.9466661218739</v>
      </c>
      <c r="J92" s="20">
        <f>(Geraetedaten!$B$152+(Geraetedaten!$B$153*(Geraetedaten!$B$18+d_y_Sw)/1000))*10</f>
        <v>6051.0442000000003</v>
      </c>
      <c r="K92" s="20">
        <f>(Geraetedaten!$B$165+(Geraetedaten!$B$166*(Geraetedaten!$B$18+d_y_Sw)/1000))*10</f>
        <v>10816.164000000001</v>
      </c>
      <c r="L92" s="20">
        <f>(Geraetedaten!$B$158+(Geraetedaten!$B$159*(Geraetedaten!$B$18+d_y_Sw)/1000)-(Geraetedaten!$B$160*I92/1000))*10</f>
        <v>362.85136097328279</v>
      </c>
      <c r="M92" s="20">
        <f>(Geraetedaten!$B$171+(Geraetedaten!$B$172*(Geraetedaten!$B$18+d_y_Sw)/1000)-(Geraetedaten!$B$173*I92/1000))*10</f>
        <v>822.56877017388865</v>
      </c>
      <c r="N92" s="20">
        <f>IF((H92-J92)/(K92-J92)*(Geraetedaten!$B$174-Geraetedaten!$B$161)&lt;Geraetedaten!$B$174,(H92-J92)/(K92-J92)*(Geraetedaten!$B$174-Geraetedaten!$B$161),Geraetedaten!$B$174)</f>
        <v>178.97936018616213</v>
      </c>
      <c r="O92" s="20">
        <f>N92/Geraetedaten!$B$174*(M92-L92)+L92+C92</f>
        <v>637.32540785016113</v>
      </c>
      <c r="P92" s="20">
        <f t="shared" si="7"/>
        <v>207.76321597930752</v>
      </c>
      <c r="Q92" s="21">
        <f>(N92-Geraetedaten!$B$161)/(Geraetedaten!$B$174-Geraetedaten!$B$161)*(Geraetedaten!$B$175-Geraetedaten!$B$162)+Geraetedaten!$B$162</f>
        <v>34.524635965538323</v>
      </c>
      <c r="R92" s="21">
        <f t="shared" si="34"/>
        <v>34.524635965538323</v>
      </c>
      <c r="S92" s="21">
        <f t="shared" si="35"/>
        <v>27.572600253534809</v>
      </c>
      <c r="T92" s="88">
        <f t="shared" si="36"/>
        <v>20.777444592916488</v>
      </c>
      <c r="U92" s="86">
        <f t="shared" si="37"/>
        <v>-8384.9988499999999</v>
      </c>
      <c r="V92" s="85">
        <f t="shared" si="38"/>
        <v>-2683.3128092763232</v>
      </c>
      <c r="W92" s="85">
        <f t="shared" si="39"/>
        <v>-3357.1266610952594</v>
      </c>
      <c r="X92" s="90">
        <f t="shared" si="40"/>
        <v>2683.3128092763232</v>
      </c>
      <c r="Y92" s="86">
        <f t="shared" si="41"/>
        <v>-13718.21048</v>
      </c>
      <c r="Z92" s="85">
        <f t="shared" si="42"/>
        <v>-832.16398485565549</v>
      </c>
      <c r="AA92" s="85">
        <f t="shared" si="43"/>
        <v>-1329.1278038064099</v>
      </c>
      <c r="AB92" s="90">
        <f t="shared" si="44"/>
        <v>832.16398485565549</v>
      </c>
      <c r="AC92" s="86">
        <f t="shared" si="45"/>
        <v>8251.9636599999994</v>
      </c>
      <c r="AD92" s="85">
        <f t="shared" si="46"/>
        <v>2598.140025222212</v>
      </c>
      <c r="AE92" s="85">
        <f t="shared" si="47"/>
        <v>3254.9466661218739</v>
      </c>
      <c r="AF92" s="90">
        <f t="shared" si="48"/>
        <v>2598.140025222212</v>
      </c>
      <c r="AG92" s="86">
        <f t="shared" si="49"/>
        <v>15224.17094</v>
      </c>
      <c r="AH92" s="85">
        <f t="shared" si="50"/>
        <v>6183.1314163678471</v>
      </c>
      <c r="AI92" s="85">
        <f t="shared" si="51"/>
        <v>10410.371013618236</v>
      </c>
      <c r="AJ92" s="90">
        <f t="shared" si="52"/>
        <v>6183.1314163678471</v>
      </c>
      <c r="AL92" s="95">
        <f t="shared" si="53"/>
        <v>0</v>
      </c>
      <c r="AM92" s="95">
        <f t="shared" si="54"/>
        <v>0</v>
      </c>
      <c r="AN92" s="95">
        <f t="shared" si="55"/>
        <v>0</v>
      </c>
      <c r="AO92" s="95">
        <f t="shared" si="56"/>
        <v>0</v>
      </c>
      <c r="AP92"/>
      <c r="AQ92" s="95">
        <f t="shared" si="57"/>
        <v>0</v>
      </c>
      <c r="AR92" s="95">
        <f t="shared" si="58"/>
        <v>0</v>
      </c>
      <c r="AS92" s="95">
        <f>Geraetedaten!$B$94*ABS(SIN(RADIANS($A92)))</f>
        <v>122.98986854728309</v>
      </c>
      <c r="AT92" s="95">
        <f>Geraetedaten!$B$94*ABS(COS(RADIANS($A92)))</f>
        <v>92.679513565415448</v>
      </c>
      <c r="AU92" s="95">
        <f>((h_Aw_Sw+Geraetedaten!$B$18)/1000)*(AQ92*AS92+AR92*AT92)/100</f>
        <v>0</v>
      </c>
    </row>
    <row r="93" spans="1:47" ht="13.5" x14ac:dyDescent="0.25">
      <c r="A93" s="16">
        <v>54</v>
      </c>
      <c r="B93" s="16">
        <f t="shared" si="0"/>
        <v>396</v>
      </c>
      <c r="C93" s="19">
        <f t="shared" si="1"/>
        <v>69.013803765000915</v>
      </c>
      <c r="D93" s="17">
        <f t="shared" si="2"/>
        <v>-8346.6570937650013</v>
      </c>
      <c r="E93" s="17">
        <f t="shared" si="3"/>
        <v>-14094.201963765001</v>
      </c>
      <c r="F93" s="17">
        <f t="shared" si="4"/>
        <v>8076.9042662349984</v>
      </c>
      <c r="G93" s="17">
        <f t="shared" si="5"/>
        <v>15526.200546234999</v>
      </c>
      <c r="H93" s="17">
        <f t="shared" si="33"/>
        <v>8076.9042662349984</v>
      </c>
      <c r="I93" s="17">
        <f t="shared" si="6"/>
        <v>3213.1175050278307</v>
      </c>
      <c r="J93" s="20">
        <f>(Geraetedaten!$B$152+(Geraetedaten!$B$153*(Geraetedaten!$B$18+d_y_Sw)/1000))*10</f>
        <v>6051.0442000000003</v>
      </c>
      <c r="K93" s="20">
        <f>(Geraetedaten!$B$165+(Geraetedaten!$B$166*(Geraetedaten!$B$18+d_y_Sw)/1000))*10</f>
        <v>10816.164000000001</v>
      </c>
      <c r="L93" s="20">
        <f>(Geraetedaten!$B$158+(Geraetedaten!$B$159*(Geraetedaten!$B$18+d_y_Sw)/1000)-(Geraetedaten!$B$160*I93/1000))*10</f>
        <v>365.91869335630895</v>
      </c>
      <c r="M93" s="20">
        <f>(Geraetedaten!$B$171+(Geraetedaten!$B$172*(Geraetedaten!$B$18+d_y_Sw)/1000)-(Geraetedaten!$B$173*I93/1000))*10</f>
        <v>825.68253292572922</v>
      </c>
      <c r="N93" s="20">
        <f>IF((H93-J93)/(K93-J93)*(Geraetedaten!$B$174-Geraetedaten!$B$161)&lt;Geraetedaten!$B$174,(H93-J93)/(K93-J93)*(Geraetedaten!$B$174-Geraetedaten!$B$161),Geraetedaten!$B$174)</f>
        <v>170.05742992946352</v>
      </c>
      <c r="O93" s="20">
        <f>N93/Geraetedaten!$B$174*(M93-L93)+L93+C93</f>
        <v>630.39813945050435</v>
      </c>
      <c r="P93" s="20">
        <f t="shared" si="7"/>
        <v>206.9850548149</v>
      </c>
      <c r="Q93" s="21">
        <f>(N93-Geraetedaten!$B$161)/(Geraetedaten!$B$174-Geraetedaten!$B$161)*(Geraetedaten!$B$175-Geraetedaten!$B$162)+Geraetedaten!$B$162</f>
        <v>34.259208540401538</v>
      </c>
      <c r="R93" s="21">
        <f t="shared" si="34"/>
        <v>34.259208540401538</v>
      </c>
      <c r="S93" s="21">
        <f t="shared" si="35"/>
        <v>27.716281923020183</v>
      </c>
      <c r="T93" s="88">
        <f t="shared" si="36"/>
        <v>20.137057535260368</v>
      </c>
      <c r="U93" s="86">
        <f t="shared" si="37"/>
        <v>-8277.64329</v>
      </c>
      <c r="V93" s="85">
        <f t="shared" si="38"/>
        <v>-2683.3128092763232</v>
      </c>
      <c r="W93" s="85">
        <f t="shared" si="39"/>
        <v>-3314.1443984346779</v>
      </c>
      <c r="X93" s="90">
        <f t="shared" si="40"/>
        <v>2683.3128092763232</v>
      </c>
      <c r="Y93" s="86">
        <f t="shared" si="41"/>
        <v>-14025.18816</v>
      </c>
      <c r="Z93" s="85">
        <f t="shared" si="42"/>
        <v>-832.16398485565549</v>
      </c>
      <c r="AA93" s="85">
        <f t="shared" si="43"/>
        <v>-1358.8702078090139</v>
      </c>
      <c r="AB93" s="90">
        <f t="shared" si="44"/>
        <v>832.16398485565549</v>
      </c>
      <c r="AC93" s="86">
        <f t="shared" si="45"/>
        <v>8145.9180699999997</v>
      </c>
      <c r="AD93" s="85">
        <f t="shared" si="46"/>
        <v>2598.140025222212</v>
      </c>
      <c r="AE93" s="85">
        <f t="shared" si="47"/>
        <v>3213.1175050278307</v>
      </c>
      <c r="AF93" s="90">
        <f t="shared" si="48"/>
        <v>2598.140025222212</v>
      </c>
      <c r="AG93" s="86">
        <f t="shared" si="49"/>
        <v>15595.21435</v>
      </c>
      <c r="AH93" s="85">
        <f t="shared" si="50"/>
        <v>6183.1314163678471</v>
      </c>
      <c r="AI93" s="85">
        <f t="shared" si="51"/>
        <v>10664.092515118093</v>
      </c>
      <c r="AJ93" s="90">
        <f t="shared" si="52"/>
        <v>6183.1314163678471</v>
      </c>
      <c r="AL93" s="95">
        <f t="shared" si="53"/>
        <v>0</v>
      </c>
      <c r="AM93" s="95">
        <f t="shared" si="54"/>
        <v>0</v>
      </c>
      <c r="AN93" s="95">
        <f t="shared" si="55"/>
        <v>0</v>
      </c>
      <c r="AO93" s="95">
        <f t="shared" si="56"/>
        <v>0</v>
      </c>
      <c r="AP93"/>
      <c r="AQ93" s="95">
        <f t="shared" si="57"/>
        <v>0</v>
      </c>
      <c r="AR93" s="95">
        <f t="shared" si="58"/>
        <v>0</v>
      </c>
      <c r="AS93" s="95">
        <f>Geraetedaten!$B$94*ABS(SIN(RADIANS($A93)))</f>
        <v>124.58861713374191</v>
      </c>
      <c r="AT93" s="95">
        <f>Geraetedaten!$B$94*ABS(COS(RADIANS($A93)))</f>
        <v>90.518928853040862</v>
      </c>
      <c r="AU93" s="95">
        <f>((h_Aw_Sw+Geraetedaten!$B$18)/1000)*(AQ93*AS93+AR93*AT93)/100</f>
        <v>0</v>
      </c>
    </row>
    <row r="94" spans="1:47" ht="13.5" x14ac:dyDescent="0.25">
      <c r="A94" s="16">
        <v>55</v>
      </c>
      <c r="B94" s="16">
        <f t="shared" si="0"/>
        <v>395</v>
      </c>
      <c r="C94" s="19">
        <f t="shared" si="1"/>
        <v>69.232357792856249</v>
      </c>
      <c r="D94" s="17">
        <f t="shared" si="2"/>
        <v>-8244.6931877928564</v>
      </c>
      <c r="E94" s="17">
        <f t="shared" si="3"/>
        <v>-14419.922787792857</v>
      </c>
      <c r="F94" s="17">
        <f t="shared" si="4"/>
        <v>7975.7506122071436</v>
      </c>
      <c r="G94" s="17">
        <f t="shared" si="5"/>
        <v>15920.555652207144</v>
      </c>
      <c r="H94" s="17">
        <f t="shared" si="33"/>
        <v>7975.7506122071436</v>
      </c>
      <c r="I94" s="17">
        <f t="shared" si="6"/>
        <v>3173.3041471528686</v>
      </c>
      <c r="J94" s="20">
        <f>(Geraetedaten!$B$152+(Geraetedaten!$B$153*(Geraetedaten!$B$18+d_y_Sw)/1000))*10</f>
        <v>6051.0442000000003</v>
      </c>
      <c r="K94" s="20">
        <f>(Geraetedaten!$B$165+(Geraetedaten!$B$166*(Geraetedaten!$B$18+d_y_Sw)/1000))*10</f>
        <v>10816.164000000001</v>
      </c>
      <c r="L94" s="20">
        <f>(Geraetedaten!$B$158+(Geraetedaten!$B$159*(Geraetedaten!$B$18+d_y_Sw)/1000)-(Geraetedaten!$B$160*I94/1000))*10</f>
        <v>368.83820688927995</v>
      </c>
      <c r="M94" s="20">
        <f>(Geraetedaten!$B$171+(Geraetedaten!$B$172*(Geraetedaten!$B$18+d_y_Sw)/1000)-(Geraetedaten!$B$173*I94/1000))*10</f>
        <v>828.64623928594142</v>
      </c>
      <c r="N94" s="20">
        <f>IF((H94-J94)/(K94-J94)*(Geraetedaten!$B$174-Geraetedaten!$B$161)&lt;Geraetedaten!$B$174,(H94-J94)/(K94-J94)*(Geraetedaten!$B$174-Geraetedaten!$B$161),Geraetedaten!$B$174)</f>
        <v>161.56625587521583</v>
      </c>
      <c r="O94" s="20">
        <f>N94/Geraetedaten!$B$174*(M94-L94)+L94+C94</f>
        <v>623.79422022133258</v>
      </c>
      <c r="P94" s="20">
        <f t="shared" si="7"/>
        <v>206.23028585809084</v>
      </c>
      <c r="Q94" s="21">
        <f>(N94-Geraetedaten!$B$161)/(Geraetedaten!$B$174-Geraetedaten!$B$161)*(Geraetedaten!$B$175-Geraetedaten!$B$162)+Geraetedaten!$B$162</f>
        <v>34.006596112287667</v>
      </c>
      <c r="R94" s="21">
        <f t="shared" si="34"/>
        <v>34.006596112287667</v>
      </c>
      <c r="S94" s="21">
        <f t="shared" si="35"/>
        <v>27.856572724690523</v>
      </c>
      <c r="T94" s="88">
        <f t="shared" si="36"/>
        <v>19.5053822105153</v>
      </c>
      <c r="U94" s="86">
        <f t="shared" si="37"/>
        <v>-8175.46083</v>
      </c>
      <c r="V94" s="85">
        <f t="shared" si="38"/>
        <v>-2683.3128092763232</v>
      </c>
      <c r="W94" s="85">
        <f t="shared" si="39"/>
        <v>-3273.2333052230292</v>
      </c>
      <c r="X94" s="90">
        <f t="shared" si="40"/>
        <v>2683.3128092763232</v>
      </c>
      <c r="Y94" s="86">
        <f t="shared" si="41"/>
        <v>-14350.690430000001</v>
      </c>
      <c r="Z94" s="85">
        <f t="shared" si="42"/>
        <v>-832.16398485565549</v>
      </c>
      <c r="AA94" s="85">
        <f t="shared" si="43"/>
        <v>-1390.4074209398432</v>
      </c>
      <c r="AB94" s="90">
        <f t="shared" si="44"/>
        <v>832.16398485565549</v>
      </c>
      <c r="AC94" s="86">
        <f t="shared" si="45"/>
        <v>8044.98297</v>
      </c>
      <c r="AD94" s="85">
        <f t="shared" si="46"/>
        <v>2598.140025222212</v>
      </c>
      <c r="AE94" s="85">
        <f t="shared" si="47"/>
        <v>3173.3041471528686</v>
      </c>
      <c r="AF94" s="90">
        <f t="shared" si="48"/>
        <v>2598.140025222212</v>
      </c>
      <c r="AG94" s="86">
        <f t="shared" si="49"/>
        <v>15989.78801</v>
      </c>
      <c r="AH94" s="85">
        <f t="shared" si="50"/>
        <v>6183.1314163678471</v>
      </c>
      <c r="AI94" s="85">
        <f t="shared" si="51"/>
        <v>10933.90413593413</v>
      </c>
      <c r="AJ94" s="90">
        <f t="shared" si="52"/>
        <v>6183.1314163678471</v>
      </c>
      <c r="AL94" s="95">
        <f t="shared" si="53"/>
        <v>0</v>
      </c>
      <c r="AM94" s="95">
        <f t="shared" si="54"/>
        <v>0</v>
      </c>
      <c r="AN94" s="95">
        <f t="shared" si="55"/>
        <v>0</v>
      </c>
      <c r="AO94" s="95">
        <f t="shared" si="56"/>
        <v>0</v>
      </c>
      <c r="AP94"/>
      <c r="AQ94" s="95">
        <f t="shared" si="57"/>
        <v>0</v>
      </c>
      <c r="AR94" s="95">
        <f t="shared" si="58"/>
        <v>0</v>
      </c>
      <c r="AS94" s="95">
        <f>Geraetedaten!$B$94*ABS(SIN(RADIANS($A94)))</f>
        <v>126.14941482050473</v>
      </c>
      <c r="AT94" s="95">
        <f>Geraetedaten!$B$94*ABS(COS(RADIANS($A94)))</f>
        <v>88.330771198061115</v>
      </c>
      <c r="AU94" s="95">
        <f>((h_Aw_Sw+Geraetedaten!$B$18)/1000)*(AQ94*AS94+AR94*AT94)/100</f>
        <v>0</v>
      </c>
    </row>
    <row r="95" spans="1:47" ht="13.5" x14ac:dyDescent="0.25">
      <c r="A95" s="16">
        <v>56</v>
      </c>
      <c r="B95" s="16">
        <f t="shared" si="0"/>
        <v>394</v>
      </c>
      <c r="C95" s="19">
        <f t="shared" si="1"/>
        <v>69.429822973858947</v>
      </c>
      <c r="D95" s="17">
        <f t="shared" si="2"/>
        <v>-8147.6308729738585</v>
      </c>
      <c r="E95" s="17">
        <f t="shared" si="3"/>
        <v>-14765.67327297386</v>
      </c>
      <c r="F95" s="17">
        <f t="shared" si="4"/>
        <v>7879.4804570261413</v>
      </c>
      <c r="G95" s="17">
        <f t="shared" si="5"/>
        <v>16340.54469702614</v>
      </c>
      <c r="H95" s="17">
        <f t="shared" si="33"/>
        <v>7879.4804570261413</v>
      </c>
      <c r="I95" s="17">
        <f t="shared" si="6"/>
        <v>3135.4087451807723</v>
      </c>
      <c r="J95" s="20">
        <f>(Geraetedaten!$B$152+(Geraetedaten!$B$153*(Geraetedaten!$B$18+d_y_Sw)/1000))*10</f>
        <v>6051.0442000000003</v>
      </c>
      <c r="K95" s="20">
        <f>(Geraetedaten!$B$165+(Geraetedaten!$B$166*(Geraetedaten!$B$18+d_y_Sw)/1000))*10</f>
        <v>10816.164000000001</v>
      </c>
      <c r="L95" s="20">
        <f>(Geraetedaten!$B$158+(Geraetedaten!$B$159*(Geraetedaten!$B$18+d_y_Sw)/1000)-(Geraetedaten!$B$160*I95/1000))*10</f>
        <v>371.61707671589375</v>
      </c>
      <c r="M95" s="20">
        <f>(Geraetedaten!$B$171+(Geraetedaten!$B$172*(Geraetedaten!$B$18+d_y_Sw)/1000)-(Geraetedaten!$B$173*I95/1000))*10</f>
        <v>831.46717300874434</v>
      </c>
      <c r="N95" s="20">
        <f>IF((H95-J95)/(K95-J95)*(Geraetedaten!$B$174-Geraetedaten!$B$161)&lt;Geraetedaten!$B$174,(H95-J95)/(K95-J95)*(Geraetedaten!$B$174-Geraetedaten!$B$161),Geraetedaten!$B$174)</f>
        <v>153.4850189517704</v>
      </c>
      <c r="O95" s="20">
        <f>N95/Geraetedaten!$B$174*(M95-L95)+L95+C95</f>
        <v>617.49715155095669</v>
      </c>
      <c r="P95" s="20">
        <f t="shared" si="7"/>
        <v>205.49820316668701</v>
      </c>
      <c r="Q95" s="21">
        <f>(N95-Geraetedaten!$B$161)/(Geraetedaten!$B$174-Geraetedaten!$B$161)*(Geraetedaten!$B$175-Geraetedaten!$B$162)+Geraetedaten!$B$162</f>
        <v>33.766179313815172</v>
      </c>
      <c r="R95" s="21">
        <f t="shared" si="34"/>
        <v>33.766179313815172</v>
      </c>
      <c r="S95" s="21">
        <f t="shared" si="35"/>
        <v>27.993431332783594</v>
      </c>
      <c r="T95" s="88">
        <f t="shared" si="36"/>
        <v>18.881807849606176</v>
      </c>
      <c r="U95" s="86">
        <f t="shared" si="37"/>
        <v>-8078.2010499999997</v>
      </c>
      <c r="V95" s="85">
        <f t="shared" si="38"/>
        <v>-2683.3128092763232</v>
      </c>
      <c r="W95" s="85">
        <f t="shared" si="39"/>
        <v>-3234.2931243516332</v>
      </c>
      <c r="X95" s="90">
        <f t="shared" si="40"/>
        <v>2683.3128092763232</v>
      </c>
      <c r="Y95" s="86">
        <f t="shared" si="41"/>
        <v>-14696.24345</v>
      </c>
      <c r="Z95" s="85">
        <f t="shared" si="42"/>
        <v>-832.16398485565549</v>
      </c>
      <c r="AA95" s="85">
        <f t="shared" si="43"/>
        <v>-1423.8873072577051</v>
      </c>
      <c r="AB95" s="90">
        <f t="shared" si="44"/>
        <v>832.16398485565549</v>
      </c>
      <c r="AC95" s="86">
        <f t="shared" si="45"/>
        <v>7948.9102800000001</v>
      </c>
      <c r="AD95" s="85">
        <f t="shared" si="46"/>
        <v>2598.140025222212</v>
      </c>
      <c r="AE95" s="85">
        <f t="shared" si="47"/>
        <v>3135.4087451807723</v>
      </c>
      <c r="AF95" s="90">
        <f t="shared" si="48"/>
        <v>2598.140025222212</v>
      </c>
      <c r="AG95" s="86">
        <f t="shared" si="49"/>
        <v>16409.97452</v>
      </c>
      <c r="AH95" s="85">
        <f t="shared" si="50"/>
        <v>6183.1314163678471</v>
      </c>
      <c r="AI95" s="85">
        <f t="shared" si="51"/>
        <v>11221.229955982684</v>
      </c>
      <c r="AJ95" s="90">
        <f t="shared" si="52"/>
        <v>6183.1314163678471</v>
      </c>
      <c r="AL95" s="95">
        <f t="shared" si="53"/>
        <v>0</v>
      </c>
      <c r="AM95" s="95">
        <f t="shared" si="54"/>
        <v>0</v>
      </c>
      <c r="AN95" s="95">
        <f t="shared" si="55"/>
        <v>0</v>
      </c>
      <c r="AO95" s="95">
        <f t="shared" si="56"/>
        <v>0</v>
      </c>
      <c r="AP95"/>
      <c r="AQ95" s="95">
        <f t="shared" si="57"/>
        <v>0</v>
      </c>
      <c r="AR95" s="95">
        <f t="shared" si="58"/>
        <v>0</v>
      </c>
      <c r="AS95" s="95">
        <f>Geraetedaten!$B$94*ABS(SIN(RADIANS($A95)))</f>
        <v>127.67178617347643</v>
      </c>
      <c r="AT95" s="95">
        <f>Geraetedaten!$B$94*ABS(COS(RADIANS($A95)))</f>
        <v>86.115707134495011</v>
      </c>
      <c r="AU95" s="95">
        <f>((h_Aw_Sw+Geraetedaten!$B$18)/1000)*(AQ95*AS95+AR95*AT95)/100</f>
        <v>0</v>
      </c>
    </row>
    <row r="96" spans="1:47" ht="13.5" x14ac:dyDescent="0.25">
      <c r="A96" s="16">
        <v>57</v>
      </c>
      <c r="B96" s="16">
        <f t="shared" si="0"/>
        <v>393</v>
      </c>
      <c r="C96" s="19">
        <f t="shared" si="1"/>
        <v>69.606139158202012</v>
      </c>
      <c r="D96" s="17">
        <f t="shared" si="2"/>
        <v>-8055.2382291582016</v>
      </c>
      <c r="E96" s="17">
        <f t="shared" si="3"/>
        <v>-15133.156199158202</v>
      </c>
      <c r="F96" s="17">
        <f t="shared" si="4"/>
        <v>7787.8641808417988</v>
      </c>
      <c r="G96" s="17">
        <f t="shared" si="5"/>
        <v>16788.508280841801</v>
      </c>
      <c r="H96" s="17">
        <f t="shared" si="33"/>
        <v>7787.8641808417988</v>
      </c>
      <c r="I96" s="17">
        <f t="shared" si="6"/>
        <v>3099.3406993316185</v>
      </c>
      <c r="J96" s="20">
        <f>(Geraetedaten!$B$152+(Geraetedaten!$B$153*(Geraetedaten!$B$18+d_y_Sw)/1000))*10</f>
        <v>6051.0442000000003</v>
      </c>
      <c r="K96" s="20">
        <f>(Geraetedaten!$B$165+(Geraetedaten!$B$166*(Geraetedaten!$B$18+d_y_Sw)/1000))*10</f>
        <v>10816.164000000001</v>
      </c>
      <c r="L96" s="20">
        <f>(Geraetedaten!$B$158+(Geraetedaten!$B$159*(Geraetedaten!$B$18+d_y_Sw)/1000)-(Geraetedaten!$B$160*I96/1000))*10</f>
        <v>374.26194651801222</v>
      </c>
      <c r="M96" s="20">
        <f>(Geraetedaten!$B$171+(Geraetedaten!$B$172*(Geraetedaten!$B$18+d_y_Sw)/1000)-(Geraetedaten!$B$173*I96/1000))*10</f>
        <v>834.15207834175521</v>
      </c>
      <c r="N96" s="20">
        <f>IF((H96-J96)/(K96-J96)*(Geraetedaten!$B$174-Geraetedaten!$B$161)&lt;Geraetedaten!$B$174,(H96-J96)/(K96-J96)*(Geraetedaten!$B$174-Geraetedaten!$B$161),Geraetedaten!$B$174)</f>
        <v>145.79444410541774</v>
      </c>
      <c r="O96" s="20">
        <f>N96/Geraetedaten!$B$174*(M96-L96)+L96+C96</f>
        <v>611.49165097323896</v>
      </c>
      <c r="P96" s="20">
        <f t="shared" si="7"/>
        <v>204.78813159623078</v>
      </c>
      <c r="Q96" s="21">
        <f>(N96-Geraetedaten!$B$161)/(Geraetedaten!$B$174-Geraetedaten!$B$161)*(Geraetedaten!$B$175-Geraetedaten!$B$162)+Geraetedaten!$B$162</f>
        <v>33.537384712136181</v>
      </c>
      <c r="R96" s="21">
        <f t="shared" si="34"/>
        <v>33.537384712136181</v>
      </c>
      <c r="S96" s="21">
        <f t="shared" si="35"/>
        <v>28.126817483931433</v>
      </c>
      <c r="T96" s="88">
        <f t="shared" si="36"/>
        <v>18.265768846545573</v>
      </c>
      <c r="U96" s="86">
        <f t="shared" si="37"/>
        <v>-7985.6320900000001</v>
      </c>
      <c r="V96" s="85">
        <f t="shared" si="38"/>
        <v>-2683.3128092763232</v>
      </c>
      <c r="W96" s="85">
        <f t="shared" si="39"/>
        <v>-3197.2310159888184</v>
      </c>
      <c r="X96" s="90">
        <f t="shared" si="40"/>
        <v>2683.3128092763232</v>
      </c>
      <c r="Y96" s="86">
        <f t="shared" si="41"/>
        <v>-15063.55006</v>
      </c>
      <c r="Z96" s="85">
        <f t="shared" si="42"/>
        <v>-832.16398485565549</v>
      </c>
      <c r="AA96" s="85">
        <f t="shared" si="43"/>
        <v>-1459.4748516320531</v>
      </c>
      <c r="AB96" s="90">
        <f t="shared" si="44"/>
        <v>832.16398485565549</v>
      </c>
      <c r="AC96" s="86">
        <f t="shared" si="45"/>
        <v>7857.4703200000004</v>
      </c>
      <c r="AD96" s="85">
        <f t="shared" si="46"/>
        <v>2598.140025222212</v>
      </c>
      <c r="AE96" s="85">
        <f t="shared" si="47"/>
        <v>3099.3406993316185</v>
      </c>
      <c r="AF96" s="90">
        <f t="shared" si="48"/>
        <v>2598.140025222212</v>
      </c>
      <c r="AG96" s="86">
        <f t="shared" si="49"/>
        <v>16858.114420000002</v>
      </c>
      <c r="AH96" s="85">
        <f t="shared" si="50"/>
        <v>6183.1314163678471</v>
      </c>
      <c r="AI96" s="85">
        <f t="shared" si="51"/>
        <v>11527.67046218299</v>
      </c>
      <c r="AJ96" s="90">
        <f t="shared" si="52"/>
        <v>6183.1314163678471</v>
      </c>
      <c r="AL96" s="95">
        <f t="shared" si="53"/>
        <v>0</v>
      </c>
      <c r="AM96" s="95">
        <f t="shared" si="54"/>
        <v>0</v>
      </c>
      <c r="AN96" s="95">
        <f t="shared" si="55"/>
        <v>0</v>
      </c>
      <c r="AO96" s="95">
        <f t="shared" si="56"/>
        <v>0</v>
      </c>
      <c r="AP96"/>
      <c r="AQ96" s="95">
        <f t="shared" si="57"/>
        <v>0</v>
      </c>
      <c r="AR96" s="95">
        <f t="shared" si="58"/>
        <v>0</v>
      </c>
      <c r="AS96" s="95">
        <f>Geraetedaten!$B$94*ABS(SIN(RADIANS($A96)))</f>
        <v>129.15526746359529</v>
      </c>
      <c r="AT96" s="95">
        <f>Geraetedaten!$B$94*ABS(COS(RADIANS($A96)))</f>
        <v>83.874411392314173</v>
      </c>
      <c r="AU96" s="95">
        <f>((h_Aw_Sw+Geraetedaten!$B$18)/1000)*(AQ96*AS96+AR96*AT96)/100</f>
        <v>0</v>
      </c>
    </row>
    <row r="97" spans="1:47" ht="13.5" x14ac:dyDescent="0.25">
      <c r="A97" s="16">
        <v>58</v>
      </c>
      <c r="B97" s="16">
        <f t="shared" si="0"/>
        <v>392</v>
      </c>
      <c r="C97" s="19">
        <f t="shared" si="1"/>
        <v>69.761252638267678</v>
      </c>
      <c r="D97" s="17">
        <f t="shared" si="2"/>
        <v>-7967.3002726382674</v>
      </c>
      <c r="E97" s="17">
        <f t="shared" si="3"/>
        <v>-15524.277192638267</v>
      </c>
      <c r="F97" s="17">
        <f t="shared" si="4"/>
        <v>7700.6889673617325</v>
      </c>
      <c r="G97" s="17">
        <f t="shared" si="5"/>
        <v>17267.08600736173</v>
      </c>
      <c r="H97" s="17">
        <f t="shared" si="33"/>
        <v>7700.6889673617325</v>
      </c>
      <c r="I97" s="17">
        <f t="shared" si="6"/>
        <v>3065.0160465817344</v>
      </c>
      <c r="J97" s="20">
        <f>(Geraetedaten!$B$152+(Geraetedaten!$B$153*(Geraetedaten!$B$18+d_y_Sw)/1000))*10</f>
        <v>6051.0442000000003</v>
      </c>
      <c r="K97" s="20">
        <f>(Geraetedaten!$B$165+(Geraetedaten!$B$166*(Geraetedaten!$B$18+d_y_Sw)/1000))*10</f>
        <v>10816.164000000001</v>
      </c>
      <c r="L97" s="20">
        <f>(Geraetedaten!$B$158+(Geraetedaten!$B$159*(Geraetedaten!$B$18+d_y_Sw)/1000)-(Geraetedaten!$B$160*I97/1000))*10</f>
        <v>376.77897330416124</v>
      </c>
      <c r="M97" s="20">
        <f>(Geraetedaten!$B$171+(Geraetedaten!$B$172*(Geraetedaten!$B$18+d_y_Sw)/1000)-(Geraetedaten!$B$173*I97/1000))*10</f>
        <v>836.70720549245652</v>
      </c>
      <c r="N97" s="20">
        <f>IF((H97-J97)/(K97-J97)*(Geraetedaten!$B$174-Geraetedaten!$B$161)&lt;Geraetedaten!$B$174,(H97-J97)/(K97-J97)*(Geraetedaten!$B$174-Geraetedaten!$B$161),Geraetedaten!$B$174)</f>
        <v>138.47666682896258</v>
      </c>
      <c r="O97" s="20">
        <f>N97/Geraetedaten!$B$174*(M97-L97)+L97+C97</f>
        <v>605.76354737735971</v>
      </c>
      <c r="P97" s="20">
        <f t="shared" si="7"/>
        <v>204.09942568421724</v>
      </c>
      <c r="Q97" s="21">
        <f>(N97-Geraetedaten!$B$161)/(Geraetedaten!$B$174-Geraetedaten!$B$161)*(Geraetedaten!$B$175-Geraetedaten!$B$162)+Geraetedaten!$B$162</f>
        <v>33.319680838161638</v>
      </c>
      <c r="R97" s="21">
        <f t="shared" si="34"/>
        <v>33.319680838161638</v>
      </c>
      <c r="S97" s="21">
        <f t="shared" si="35"/>
        <v>28.256691899342723</v>
      </c>
      <c r="T97" s="88">
        <f t="shared" si="36"/>
        <v>17.656740754243831</v>
      </c>
      <c r="U97" s="86">
        <f t="shared" si="37"/>
        <v>-7897.5390200000002</v>
      </c>
      <c r="V97" s="85">
        <f t="shared" si="38"/>
        <v>-2683.3128092763232</v>
      </c>
      <c r="W97" s="85">
        <f t="shared" si="39"/>
        <v>-3161.9609338094524</v>
      </c>
      <c r="X97" s="90">
        <f t="shared" si="40"/>
        <v>2683.3128092763232</v>
      </c>
      <c r="Y97" s="86">
        <f t="shared" si="41"/>
        <v>-15454.515939999999</v>
      </c>
      <c r="Z97" s="85">
        <f t="shared" si="42"/>
        <v>-832.16398485565549</v>
      </c>
      <c r="AA97" s="85">
        <f t="shared" si="43"/>
        <v>-1497.3546920696592</v>
      </c>
      <c r="AB97" s="90">
        <f t="shared" si="44"/>
        <v>832.16398485565549</v>
      </c>
      <c r="AC97" s="86">
        <f t="shared" si="45"/>
        <v>7770.4502199999997</v>
      </c>
      <c r="AD97" s="85">
        <f t="shared" si="46"/>
        <v>2598.140025222212</v>
      </c>
      <c r="AE97" s="85">
        <f t="shared" si="47"/>
        <v>3065.0160465817344</v>
      </c>
      <c r="AF97" s="90">
        <f t="shared" si="48"/>
        <v>2598.140025222212</v>
      </c>
      <c r="AG97" s="86">
        <f t="shared" si="49"/>
        <v>17336.847259999999</v>
      </c>
      <c r="AH97" s="85">
        <f t="shared" si="50"/>
        <v>6183.1314163678471</v>
      </c>
      <c r="AI97" s="85">
        <f t="shared" si="51"/>
        <v>11855.030583333964</v>
      </c>
      <c r="AJ97" s="90">
        <f t="shared" si="52"/>
        <v>6183.1314163678471</v>
      </c>
      <c r="AL97" s="95">
        <f t="shared" si="53"/>
        <v>0</v>
      </c>
      <c r="AM97" s="95">
        <f t="shared" si="54"/>
        <v>0</v>
      </c>
      <c r="AN97" s="95">
        <f t="shared" si="55"/>
        <v>0</v>
      </c>
      <c r="AO97" s="95">
        <f t="shared" si="56"/>
        <v>0</v>
      </c>
      <c r="AP97"/>
      <c r="AQ97" s="95">
        <f t="shared" si="57"/>
        <v>0</v>
      </c>
      <c r="AR97" s="95">
        <f t="shared" si="58"/>
        <v>0</v>
      </c>
      <c r="AS97" s="95">
        <f>Geraetedaten!$B$94*ABS(SIN(RADIANS($A97)))</f>
        <v>130.59940680808961</v>
      </c>
      <c r="AT97" s="95">
        <f>Geraetedaten!$B$94*ABS(COS(RADIANS($A97)))</f>
        <v>81.607566691913561</v>
      </c>
      <c r="AU97" s="95">
        <f>((h_Aw_Sw+Geraetedaten!$B$18)/1000)*(AQ97*AS97+AR97*AT97)/100</f>
        <v>0</v>
      </c>
    </row>
    <row r="98" spans="1:47" ht="13.5" x14ac:dyDescent="0.25">
      <c r="A98" s="16">
        <v>59</v>
      </c>
      <c r="B98" s="16">
        <f t="shared" si="0"/>
        <v>391</v>
      </c>
      <c r="C98" s="19">
        <f t="shared" si="1"/>
        <v>69.895116164987314</v>
      </c>
      <c r="D98" s="17">
        <f t="shared" si="2"/>
        <v>-7883.6176061649876</v>
      </c>
      <c r="E98" s="17">
        <f t="shared" si="3"/>
        <v>-15941.175676164987</v>
      </c>
      <c r="F98" s="17">
        <f t="shared" si="4"/>
        <v>7617.7574338350123</v>
      </c>
      <c r="G98" s="17">
        <f t="shared" si="5"/>
        <v>17779.265503835013</v>
      </c>
      <c r="H98" s="17">
        <f t="shared" si="33"/>
        <v>7617.7574338350123</v>
      </c>
      <c r="I98" s="17">
        <f t="shared" si="6"/>
        <v>3032.3569127693686</v>
      </c>
      <c r="J98" s="20">
        <f>(Geraetedaten!$B$152+(Geraetedaten!$B$153*(Geraetedaten!$B$18+d_y_Sw)/1000))*10</f>
        <v>6051.0442000000003</v>
      </c>
      <c r="K98" s="20">
        <f>(Geraetedaten!$B$165+(Geraetedaten!$B$166*(Geraetedaten!$B$18+d_y_Sw)/1000))*10</f>
        <v>10816.164000000001</v>
      </c>
      <c r="L98" s="20">
        <f>(Geraetedaten!$B$158+(Geraetedaten!$B$159*(Geraetedaten!$B$18+d_y_Sw)/1000)-(Geraetedaten!$B$160*I98/1000))*10</f>
        <v>379.17386758662201</v>
      </c>
      <c r="M98" s="20">
        <f>(Geraetedaten!$B$171+(Geraetedaten!$B$172*(Geraetedaten!$B$18+d_y_Sw)/1000)-(Geraetedaten!$B$173*I98/1000))*10</f>
        <v>839.13835141344919</v>
      </c>
      <c r="N98" s="20">
        <f>IF((H98-J98)/(K98-J98)*(Geraetedaten!$B$174-Geraetedaten!$B$161)&lt;Geraetedaten!$B$174,(H98-J98)/(K98-J98)*(Geraetedaten!$B$174-Geraetedaten!$B$161),Geraetedaten!$B$174)</f>
        <v>131.51511815799569</v>
      </c>
      <c r="O98" s="20">
        <f>N98/Geraetedaten!$B$174*(M98-L98)+L98+C98</f>
        <v>600.29969234902592</v>
      </c>
      <c r="P98" s="20">
        <f t="shared" si="7"/>
        <v>203.43146944515141</v>
      </c>
      <c r="Q98" s="21">
        <f>(N98-Geraetedaten!$B$161)/(Geraetedaten!$B$174-Geraetedaten!$B$161)*(Geraetedaten!$B$175-Geraetedaten!$B$162)+Geraetedaten!$B$162</f>
        <v>33.112574765200371</v>
      </c>
      <c r="R98" s="21">
        <f t="shared" si="34"/>
        <v>33.112574765200371</v>
      </c>
      <c r="S98" s="21">
        <f t="shared" si="35"/>
        <v>28.383016330783683</v>
      </c>
      <c r="T98" s="88">
        <f t="shared" si="36"/>
        <v>17.054236762384036</v>
      </c>
      <c r="U98" s="86">
        <f t="shared" si="37"/>
        <v>-7813.7224900000001</v>
      </c>
      <c r="V98" s="85">
        <f t="shared" si="38"/>
        <v>-2683.3128092763232</v>
      </c>
      <c r="W98" s="85">
        <f t="shared" si="39"/>
        <v>-3128.4030653489654</v>
      </c>
      <c r="X98" s="90">
        <f t="shared" si="40"/>
        <v>2683.3128092763232</v>
      </c>
      <c r="Y98" s="86">
        <f t="shared" si="41"/>
        <v>-15871.280559999999</v>
      </c>
      <c r="Z98" s="85">
        <f t="shared" si="42"/>
        <v>-832.16398485565549</v>
      </c>
      <c r="AA98" s="85">
        <f t="shared" si="43"/>
        <v>-1537.7341159504463</v>
      </c>
      <c r="AB98" s="90">
        <f t="shared" si="44"/>
        <v>832.16398485565549</v>
      </c>
      <c r="AC98" s="86">
        <f t="shared" si="45"/>
        <v>7687.6525499999998</v>
      </c>
      <c r="AD98" s="85">
        <f t="shared" si="46"/>
        <v>2598.140025222212</v>
      </c>
      <c r="AE98" s="85">
        <f t="shared" si="47"/>
        <v>3032.3569127693686</v>
      </c>
      <c r="AF98" s="90">
        <f t="shared" si="48"/>
        <v>2598.140025222212</v>
      </c>
      <c r="AG98" s="86">
        <f t="shared" si="49"/>
        <v>17849.160619999999</v>
      </c>
      <c r="AH98" s="85">
        <f t="shared" si="50"/>
        <v>6183.1314163678471</v>
      </c>
      <c r="AI98" s="85">
        <f t="shared" si="51"/>
        <v>12205.353252555433</v>
      </c>
      <c r="AJ98" s="90">
        <f t="shared" si="52"/>
        <v>6183.1314163678471</v>
      </c>
      <c r="AL98" s="95">
        <f t="shared" si="53"/>
        <v>0</v>
      </c>
      <c r="AM98" s="95">
        <f t="shared" si="54"/>
        <v>0</v>
      </c>
      <c r="AN98" s="95">
        <f t="shared" si="55"/>
        <v>0</v>
      </c>
      <c r="AO98" s="95">
        <f t="shared" si="56"/>
        <v>0</v>
      </c>
      <c r="AP98"/>
      <c r="AQ98" s="95">
        <f t="shared" si="57"/>
        <v>0</v>
      </c>
      <c r="AR98" s="95">
        <f t="shared" si="58"/>
        <v>0</v>
      </c>
      <c r="AS98" s="95">
        <f>Geraetedaten!$B$94*ABS(SIN(RADIANS($A98)))</f>
        <v>132.00376430812531</v>
      </c>
      <c r="AT98" s="95">
        <f>Geraetedaten!$B$94*ABS(COS(RADIANS($A98)))</f>
        <v>79.315863536148342</v>
      </c>
      <c r="AU98" s="95">
        <f>((h_Aw_Sw+Geraetedaten!$B$18)/1000)*(AQ98*AS98+AR98*AT98)/100</f>
        <v>0</v>
      </c>
    </row>
    <row r="99" spans="1:47" ht="13.5" x14ac:dyDescent="0.25">
      <c r="A99" s="16">
        <v>60</v>
      </c>
      <c r="B99" s="16">
        <f t="shared" si="0"/>
        <v>390</v>
      </c>
      <c r="C99" s="19">
        <f t="shared" si="1"/>
        <v>70.007688962233885</v>
      </c>
      <c r="D99" s="17">
        <f t="shared" si="2"/>
        <v>-7804.0051789622339</v>
      </c>
      <c r="E99" s="17">
        <f t="shared" si="3"/>
        <v>-16386.261588962232</v>
      </c>
      <c r="F99" s="17">
        <f t="shared" si="4"/>
        <v>7538.8863910377659</v>
      </c>
      <c r="G99" s="17">
        <f t="shared" si="5"/>
        <v>18328.441561037769</v>
      </c>
      <c r="H99" s="17">
        <f t="shared" si="33"/>
        <v>7538.8863910377659</v>
      </c>
      <c r="I99" s="17">
        <f t="shared" si="6"/>
        <v>3001.2910202857493</v>
      </c>
      <c r="J99" s="20">
        <f>(Geraetedaten!$B$152+(Geraetedaten!$B$153*(Geraetedaten!$B$18+d_y_Sw)/1000))*10</f>
        <v>6051.0442000000003</v>
      </c>
      <c r="K99" s="20">
        <f>(Geraetedaten!$B$165+(Geraetedaten!$B$166*(Geraetedaten!$B$18+d_y_Sw)/1000))*10</f>
        <v>10816.164000000001</v>
      </c>
      <c r="L99" s="20">
        <f>(Geraetedaten!$B$158+(Geraetedaten!$B$159*(Geraetedaten!$B$18+d_y_Sw)/1000)-(Geraetedaten!$B$160*I99/1000))*10</f>
        <v>381.45192948244585</v>
      </c>
      <c r="M99" s="20">
        <f>(Geraetedaten!$B$171+(Geraetedaten!$B$172*(Geraetedaten!$B$18+d_y_Sw)/1000)-(Geraetedaten!$B$173*I99/1000))*10</f>
        <v>841.45089644992981</v>
      </c>
      <c r="N99" s="20">
        <f>IF((H99-J99)/(K99-J99)*(Geraetedaten!$B$174-Geraetedaten!$B$161)&lt;Geraetedaten!$B$174,(H99-J99)/(K99-J99)*(Geraetedaten!$B$174-Geraetedaten!$B$161),Geraetedaten!$B$174)</f>
        <v>124.89442057996236</v>
      </c>
      <c r="O99" s="20">
        <f>N99/Geraetedaten!$B$174*(M99-L99)+L99+C99</f>
        <v>595.08787956164269</v>
      </c>
      <c r="P99" s="20">
        <f t="shared" si="7"/>
        <v>202.78367600523518</v>
      </c>
      <c r="Q99" s="21">
        <f>(N99-Geraetedaten!$B$161)/(Geraetedaten!$B$174-Geraetedaten!$B$161)*(Geraetedaten!$B$175-Geraetedaten!$B$162)+Geraetedaten!$B$162</f>
        <v>32.915609012253881</v>
      </c>
      <c r="R99" s="21">
        <f t="shared" si="34"/>
        <v>32.915609012253881</v>
      </c>
      <c r="S99" s="21">
        <f t="shared" si="35"/>
        <v>28.505753585647874</v>
      </c>
      <c r="T99" s="88">
        <f t="shared" si="36"/>
        <v>16.457804506126944</v>
      </c>
      <c r="U99" s="86">
        <f t="shared" si="37"/>
        <v>-7733.9974899999997</v>
      </c>
      <c r="V99" s="85">
        <f t="shared" si="38"/>
        <v>-2683.3128092763232</v>
      </c>
      <c r="W99" s="85">
        <f t="shared" si="39"/>
        <v>-3096.4833290512806</v>
      </c>
      <c r="X99" s="90">
        <f t="shared" si="40"/>
        <v>2683.3128092763232</v>
      </c>
      <c r="Y99" s="86">
        <f t="shared" si="41"/>
        <v>-16316.2539</v>
      </c>
      <c r="Z99" s="85">
        <f t="shared" si="42"/>
        <v>-832.16398485565549</v>
      </c>
      <c r="AA99" s="85">
        <f t="shared" si="43"/>
        <v>-1580.8466224036506</v>
      </c>
      <c r="AB99" s="90">
        <f t="shared" si="44"/>
        <v>832.16398485565549</v>
      </c>
      <c r="AC99" s="86">
        <f t="shared" si="45"/>
        <v>7608.89408</v>
      </c>
      <c r="AD99" s="85">
        <f t="shared" si="46"/>
        <v>2598.140025222212</v>
      </c>
      <c r="AE99" s="85">
        <f t="shared" si="47"/>
        <v>3001.2910202857493</v>
      </c>
      <c r="AF99" s="90">
        <f t="shared" si="48"/>
        <v>2598.140025222212</v>
      </c>
      <c r="AG99" s="86">
        <f t="shared" si="49"/>
        <v>18398.449250000001</v>
      </c>
      <c r="AH99" s="85">
        <f t="shared" si="50"/>
        <v>6183.1314163678471</v>
      </c>
      <c r="AI99" s="85">
        <f t="shared" si="51"/>
        <v>12580.959811675733</v>
      </c>
      <c r="AJ99" s="90">
        <f t="shared" si="52"/>
        <v>6183.1314163678471</v>
      </c>
      <c r="AL99" s="95">
        <f t="shared" si="53"/>
        <v>0</v>
      </c>
      <c r="AM99" s="95">
        <f t="shared" si="54"/>
        <v>0</v>
      </c>
      <c r="AN99" s="95">
        <f t="shared" si="55"/>
        <v>0</v>
      </c>
      <c r="AO99" s="95">
        <f t="shared" si="56"/>
        <v>0</v>
      </c>
      <c r="AP99"/>
      <c r="AQ99" s="95">
        <f t="shared" si="57"/>
        <v>0</v>
      </c>
      <c r="AR99" s="95">
        <f t="shared" si="58"/>
        <v>0</v>
      </c>
      <c r="AS99" s="95">
        <f>Geraetedaten!$B$94*ABS(SIN(RADIANS($A99)))</f>
        <v>133.36791218280354</v>
      </c>
      <c r="AT99" s="95">
        <f>Geraetedaten!$B$94*ABS(COS(RADIANS($A99)))</f>
        <v>77.000000000000014</v>
      </c>
      <c r="AU99" s="95">
        <f>((h_Aw_Sw+Geraetedaten!$B$18)/1000)*(AQ99*AS99+AR99*AT99)/100</f>
        <v>0</v>
      </c>
    </row>
    <row r="100" spans="1:47" ht="13.5" x14ac:dyDescent="0.25">
      <c r="A100" s="16">
        <v>61</v>
      </c>
      <c r="B100" s="16">
        <f t="shared" si="0"/>
        <v>389</v>
      </c>
      <c r="C100" s="19">
        <f t="shared" si="1"/>
        <v>70.098936739242845</v>
      </c>
      <c r="D100" s="17">
        <f t="shared" si="2"/>
        <v>-7728.2910767392432</v>
      </c>
      <c r="E100" s="17">
        <f t="shared" si="3"/>
        <v>-16862.259376739243</v>
      </c>
      <c r="F100" s="17">
        <f t="shared" si="4"/>
        <v>7463.905703260757</v>
      </c>
      <c r="G100" s="17">
        <f t="shared" si="5"/>
        <v>18918.487663260756</v>
      </c>
      <c r="H100" s="17">
        <f t="shared" si="33"/>
        <v>7463.905703260757</v>
      </c>
      <c r="I100" s="17">
        <f t="shared" si="6"/>
        <v>2971.7512450120425</v>
      </c>
      <c r="J100" s="20">
        <f>(Geraetedaten!$B$152+(Geraetedaten!$B$153*(Geraetedaten!$B$18+d_y_Sw)/1000))*10</f>
        <v>6051.0442000000003</v>
      </c>
      <c r="K100" s="20">
        <f>(Geraetedaten!$B$165+(Geraetedaten!$B$166*(Geraetedaten!$B$18+d_y_Sw)/1000))*10</f>
        <v>10816.164000000001</v>
      </c>
      <c r="L100" s="20">
        <f>(Geraetedaten!$B$158+(Geraetedaten!$B$159*(Geraetedaten!$B$18+d_y_Sw)/1000)-(Geraetedaten!$B$160*I100/1000))*10</f>
        <v>383.61808120326668</v>
      </c>
      <c r="M100" s="20">
        <f>(Geraetedaten!$B$171+(Geraetedaten!$B$172*(Geraetedaten!$B$18+d_y_Sw)/1000)-(Geraetedaten!$B$173*I100/1000))*10</f>
        <v>843.6498373213044</v>
      </c>
      <c r="N100" s="20">
        <f>IF((H100-J100)/(K100-J100)*(Geraetedaten!$B$174-Geraetedaten!$B$161)&lt;Geraetedaten!$B$174,(H100-J100)/(K100-J100)*(Geraetedaten!$B$174-Geraetedaten!$B$161),Geraetedaten!$B$174)</f>
        <v>118.6002923377294</v>
      </c>
      <c r="O100" s="20">
        <f>N100/Geraetedaten!$B$174*(M100-L100)+L100+C100</f>
        <v>590.11676984310532</v>
      </c>
      <c r="P100" s="20">
        <f t="shared" si="7"/>
        <v>202.15548684395154</v>
      </c>
      <c r="Q100" s="21">
        <f>(N100-Geraetedaten!$B$161)/(Geraetedaten!$B$174-Geraetedaten!$B$161)*(Geraetedaten!$B$175-Geraetedaten!$B$162)+Geraetedaten!$B$162</f>
        <v>32.728358697047447</v>
      </c>
      <c r="R100" s="21">
        <f t="shared" si="34"/>
        <v>32.728358697047447</v>
      </c>
      <c r="S100" s="21">
        <f t="shared" si="35"/>
        <v>28.624867498764733</v>
      </c>
      <c r="T100" s="88">
        <f t="shared" si="36"/>
        <v>15.867023151201478</v>
      </c>
      <c r="U100" s="86">
        <f t="shared" si="37"/>
        <v>-7658.1921400000001</v>
      </c>
      <c r="V100" s="85">
        <f t="shared" si="38"/>
        <v>-2683.3128092763232</v>
      </c>
      <c r="W100" s="85">
        <f t="shared" si="39"/>
        <v>-3066.1329215564219</v>
      </c>
      <c r="X100" s="90">
        <f t="shared" si="40"/>
        <v>2683.3128092763232</v>
      </c>
      <c r="Y100" s="86">
        <f t="shared" si="41"/>
        <v>-16792.16044</v>
      </c>
      <c r="Z100" s="85">
        <f t="shared" si="42"/>
        <v>-832.16398485565549</v>
      </c>
      <c r="AA100" s="85">
        <f t="shared" si="43"/>
        <v>-1626.9561796415521</v>
      </c>
      <c r="AB100" s="90">
        <f t="shared" si="44"/>
        <v>832.16398485565549</v>
      </c>
      <c r="AC100" s="86">
        <f t="shared" si="45"/>
        <v>7534.0046400000001</v>
      </c>
      <c r="AD100" s="85">
        <f t="shared" si="46"/>
        <v>2598.140025222212</v>
      </c>
      <c r="AE100" s="85">
        <f t="shared" si="47"/>
        <v>2971.7512450120425</v>
      </c>
      <c r="AF100" s="90">
        <f t="shared" si="48"/>
        <v>2598.140025222212</v>
      </c>
      <c r="AG100" s="86">
        <f t="shared" si="49"/>
        <v>18988.586599999999</v>
      </c>
      <c r="AH100" s="85">
        <f t="shared" si="50"/>
        <v>6183.1314163678471</v>
      </c>
      <c r="AI100" s="85">
        <f t="shared" si="51"/>
        <v>12984.498941716301</v>
      </c>
      <c r="AJ100" s="90">
        <f t="shared" si="52"/>
        <v>6183.1314163678471</v>
      </c>
      <c r="AL100" s="95">
        <f t="shared" si="53"/>
        <v>0</v>
      </c>
      <c r="AM100" s="95">
        <f t="shared" si="54"/>
        <v>0</v>
      </c>
      <c r="AN100" s="95">
        <f t="shared" si="55"/>
        <v>0</v>
      </c>
      <c r="AO100" s="95">
        <f t="shared" si="56"/>
        <v>0</v>
      </c>
      <c r="AP100"/>
      <c r="AQ100" s="95">
        <f t="shared" si="57"/>
        <v>0</v>
      </c>
      <c r="AR100" s="95">
        <f t="shared" si="58"/>
        <v>0</v>
      </c>
      <c r="AS100" s="95">
        <f>Geraetedaten!$B$94*ABS(SIN(RADIANS($A100)))</f>
        <v>134.69143489946694</v>
      </c>
      <c r="AT100" s="95">
        <f>Geraetedaten!$B$94*ABS(COS(RADIANS($A100)))</f>
        <v>74.660681517935913</v>
      </c>
      <c r="AU100" s="95">
        <f>((h_Aw_Sw+Geraetedaten!$B$18)/1000)*(AQ100*AS100+AR100*AT100)/100</f>
        <v>0</v>
      </c>
    </row>
    <row r="101" spans="1:47" ht="13.5" x14ac:dyDescent="0.25">
      <c r="A101" s="16">
        <v>62</v>
      </c>
      <c r="B101" s="16">
        <f t="shared" si="0"/>
        <v>388</v>
      </c>
      <c r="C101" s="19">
        <f t="shared" si="1"/>
        <v>70.1688317010574</v>
      </c>
      <c r="D101" s="17">
        <f t="shared" si="2"/>
        <v>-7656.3156217010574</v>
      </c>
      <c r="E101" s="17">
        <f t="shared" si="3"/>
        <v>-17372.260751701055</v>
      </c>
      <c r="F101" s="17">
        <f t="shared" si="4"/>
        <v>7392.657258298942</v>
      </c>
      <c r="G101" s="17">
        <f t="shared" si="5"/>
        <v>19553.843168298943</v>
      </c>
      <c r="H101" s="17">
        <f t="shared" si="33"/>
        <v>7392.657258298942</v>
      </c>
      <c r="I101" s="17">
        <f t="shared" si="6"/>
        <v>2943.6752169841452</v>
      </c>
      <c r="J101" s="20">
        <f>(Geraetedaten!$B$152+(Geraetedaten!$B$153*(Geraetedaten!$B$18+d_y_Sw)/1000))*10</f>
        <v>6051.0442000000003</v>
      </c>
      <c r="K101" s="20">
        <f>(Geraetedaten!$B$165+(Geraetedaten!$B$166*(Geraetedaten!$B$18+d_y_Sw)/1000))*10</f>
        <v>10816.164000000001</v>
      </c>
      <c r="L101" s="20">
        <f>(Geraetedaten!$B$158+(Geraetedaten!$B$159*(Geraetedaten!$B$18+d_y_Sw)/1000)-(Geraetedaten!$B$160*I101/1000))*10</f>
        <v>385.67689633855241</v>
      </c>
      <c r="M101" s="20">
        <f>(Geraetedaten!$B$171+(Geraetedaten!$B$172*(Geraetedaten!$B$18+d_y_Sw)/1000)-(Geraetedaten!$B$173*I101/1000))*10</f>
        <v>845.73981684770115</v>
      </c>
      <c r="N101" s="20">
        <f>IF((H101-J101)/(K101-J101)*(Geraetedaten!$B$174-Geraetedaten!$B$161)&lt;Geraetedaten!$B$174,(H101-J101)/(K101-J101)*(Geraetedaten!$B$174-Geraetedaten!$B$161),Geraetedaten!$B$174)</f>
        <v>112.61946096708348</v>
      </c>
      <c r="O101" s="20">
        <f>N101/Geraetedaten!$B$174*(M101-L101)+L101+C101</f>
        <v>585.37582333631599</v>
      </c>
      <c r="P101" s="20">
        <f t="shared" si="7"/>
        <v>201.54637101129393</v>
      </c>
      <c r="Q101" s="21">
        <f>(N101-Geraetedaten!$B$161)/(Geraetedaten!$B$174-Geraetedaten!$B$161)*(Geraetedaten!$B$175-Geraetedaten!$B$162)+Geraetedaten!$B$162</f>
        <v>32.550428963770734</v>
      </c>
      <c r="R101" s="21">
        <f t="shared" si="34"/>
        <v>32.550428963770734</v>
      </c>
      <c r="S101" s="21">
        <f t="shared" si="35"/>
        <v>28.740322900086863</v>
      </c>
      <c r="T101" s="88">
        <f t="shared" si="36"/>
        <v>15.281500754972573</v>
      </c>
      <c r="U101" s="86">
        <f t="shared" si="37"/>
        <v>-7586.1467899999998</v>
      </c>
      <c r="V101" s="85">
        <f t="shared" si="38"/>
        <v>-2683.3128092763232</v>
      </c>
      <c r="W101" s="85">
        <f t="shared" si="39"/>
        <v>-3037.2879096085799</v>
      </c>
      <c r="X101" s="90">
        <f t="shared" si="40"/>
        <v>2683.3128092763232</v>
      </c>
      <c r="Y101" s="86">
        <f t="shared" si="41"/>
        <v>-17302.091919999999</v>
      </c>
      <c r="Z101" s="85">
        <f t="shared" si="42"/>
        <v>-832.16398485565549</v>
      </c>
      <c r="AA101" s="85">
        <f t="shared" si="43"/>
        <v>-1676.3623406934187</v>
      </c>
      <c r="AB101" s="90">
        <f t="shared" si="44"/>
        <v>832.16398485565549</v>
      </c>
      <c r="AC101" s="86">
        <f t="shared" si="45"/>
        <v>7462.8260899999996</v>
      </c>
      <c r="AD101" s="85">
        <f t="shared" si="46"/>
        <v>2598.140025222212</v>
      </c>
      <c r="AE101" s="85">
        <f t="shared" si="47"/>
        <v>2943.6752169841452</v>
      </c>
      <c r="AF101" s="90">
        <f t="shared" si="48"/>
        <v>2598.140025222212</v>
      </c>
      <c r="AG101" s="86">
        <f t="shared" si="49"/>
        <v>19624.011999999999</v>
      </c>
      <c r="AH101" s="85">
        <f t="shared" si="50"/>
        <v>6183.1314163678471</v>
      </c>
      <c r="AI101" s="85">
        <f t="shared" si="51"/>
        <v>13419.006294684888</v>
      </c>
      <c r="AJ101" s="90">
        <f t="shared" si="52"/>
        <v>6183.1314163678471</v>
      </c>
      <c r="AL101" s="95">
        <f t="shared" si="53"/>
        <v>0</v>
      </c>
      <c r="AM101" s="95">
        <f t="shared" si="54"/>
        <v>0</v>
      </c>
      <c r="AN101" s="95">
        <f t="shared" si="55"/>
        <v>0</v>
      </c>
      <c r="AO101" s="95">
        <f t="shared" si="56"/>
        <v>0</v>
      </c>
      <c r="AP101"/>
      <c r="AQ101" s="95">
        <f t="shared" si="57"/>
        <v>0</v>
      </c>
      <c r="AR101" s="95">
        <f t="shared" si="58"/>
        <v>0</v>
      </c>
      <c r="AS101" s="95">
        <f>Geraetedaten!$B$94*ABS(SIN(RADIANS($A101)))</f>
        <v>135.97392930027473</v>
      </c>
      <c r="AT101" s="95">
        <f>Geraetedaten!$B$94*ABS(COS(RADIANS($A101)))</f>
        <v>72.298620669027187</v>
      </c>
      <c r="AU101" s="95">
        <f>((h_Aw_Sw+Geraetedaten!$B$18)/1000)*(AQ101*AS101+AR101*AT101)/100</f>
        <v>0</v>
      </c>
    </row>
    <row r="102" spans="1:47" ht="13.5" x14ac:dyDescent="0.25">
      <c r="A102" s="16">
        <v>63</v>
      </c>
      <c r="B102" s="16">
        <f t="shared" si="0"/>
        <v>387</v>
      </c>
      <c r="C102" s="19">
        <f t="shared" si="1"/>
        <v>70.217352556995067</v>
      </c>
      <c r="D102" s="17">
        <f t="shared" si="2"/>
        <v>-7587.9303225569947</v>
      </c>
      <c r="E102" s="17">
        <f t="shared" si="3"/>
        <v>-17919.788552556995</v>
      </c>
      <c r="F102" s="17">
        <f t="shared" si="4"/>
        <v>7324.9941174430051</v>
      </c>
      <c r="G102" s="17">
        <f t="shared" si="5"/>
        <v>20239.620377443003</v>
      </c>
      <c r="H102" s="17">
        <f t="shared" si="33"/>
        <v>7324.9941174430051</v>
      </c>
      <c r="I102" s="17">
        <f t="shared" si="6"/>
        <v>2917.004959971498</v>
      </c>
      <c r="J102" s="20">
        <f>(Geraetedaten!$B$152+(Geraetedaten!$B$153*(Geraetedaten!$B$18+d_y_Sw)/1000))*10</f>
        <v>6051.0442000000003</v>
      </c>
      <c r="K102" s="20">
        <f>(Geraetedaten!$B$165+(Geraetedaten!$B$166*(Geraetedaten!$B$18+d_y_Sw)/1000))*10</f>
        <v>10816.164000000001</v>
      </c>
      <c r="L102" s="20">
        <f>(Geraetedaten!$B$158+(Geraetedaten!$B$159*(Geraetedaten!$B$18+d_y_Sw)/1000)-(Geraetedaten!$B$160*I102/1000))*10</f>
        <v>387.63262628528986</v>
      </c>
      <c r="M102" s="20">
        <f>(Geraetedaten!$B$171+(Geraetedaten!$B$172*(Geraetedaten!$B$18+d_y_Sw)/1000)-(Geraetedaten!$B$173*I102/1000))*10</f>
        <v>847.72515077972253</v>
      </c>
      <c r="N102" s="20">
        <f>IF((H102-J102)/(K102-J102)*(Geraetedaten!$B$174-Geraetedaten!$B$161)&lt;Geraetedaten!$B$174,(H102-J102)/(K102-J102)*(Geraetedaten!$B$174-Geraetedaten!$B$161),Geraetedaten!$B$174)</f>
        <v>106.93959194419453</v>
      </c>
      <c r="O102" s="20">
        <f>N102/Geraetedaten!$B$174*(M102-L102)+L102+C102</f>
        <v>580.85524590730734</v>
      </c>
      <c r="P102" s="20">
        <f t="shared" si="7"/>
        <v>200.95582567009416</v>
      </c>
      <c r="Q102" s="21">
        <f>(N102-Geraetedaten!$B$161)/(Geraetedaten!$B$174-Geraetedaten!$B$161)*(Geraetedaten!$B$175-Geraetedaten!$B$162)+Geraetedaten!$B$162</f>
        <v>32.381452860339785</v>
      </c>
      <c r="R102" s="21">
        <f t="shared" si="34"/>
        <v>32.381452860339785</v>
      </c>
      <c r="S102" s="21">
        <f t="shared" si="35"/>
        <v>28.852085761260831</v>
      </c>
      <c r="T102" s="88">
        <f t="shared" si="36"/>
        <v>14.700871966358235</v>
      </c>
      <c r="U102" s="86">
        <f t="shared" si="37"/>
        <v>-7517.7129699999996</v>
      </c>
      <c r="V102" s="85">
        <f t="shared" si="38"/>
        <v>-2683.3128092763232</v>
      </c>
      <c r="W102" s="85">
        <f t="shared" si="39"/>
        <v>-3009.8888616814602</v>
      </c>
      <c r="X102" s="90">
        <f t="shared" si="40"/>
        <v>2683.3128092763232</v>
      </c>
      <c r="Y102" s="86">
        <f t="shared" si="41"/>
        <v>-17849.571199999998</v>
      </c>
      <c r="Z102" s="85">
        <f t="shared" si="42"/>
        <v>-832.16398485565549</v>
      </c>
      <c r="AA102" s="85">
        <f t="shared" si="43"/>
        <v>-1729.4064264421343</v>
      </c>
      <c r="AB102" s="90">
        <f t="shared" si="44"/>
        <v>832.16398485565549</v>
      </c>
      <c r="AC102" s="86">
        <f t="shared" si="45"/>
        <v>7395.2114700000002</v>
      </c>
      <c r="AD102" s="85">
        <f t="shared" si="46"/>
        <v>2598.140025222212</v>
      </c>
      <c r="AE102" s="85">
        <f t="shared" si="47"/>
        <v>2917.004959971498</v>
      </c>
      <c r="AF102" s="90">
        <f t="shared" si="48"/>
        <v>2598.140025222212</v>
      </c>
      <c r="AG102" s="86">
        <f t="shared" si="49"/>
        <v>20309.837729999999</v>
      </c>
      <c r="AH102" s="85">
        <f t="shared" si="50"/>
        <v>6183.1314163678471</v>
      </c>
      <c r="AI102" s="85">
        <f t="shared" si="51"/>
        <v>13887.977660122529</v>
      </c>
      <c r="AJ102" s="90">
        <f t="shared" si="52"/>
        <v>6183.1314163678471</v>
      </c>
      <c r="AL102" s="95">
        <f t="shared" si="53"/>
        <v>0</v>
      </c>
      <c r="AM102" s="95">
        <f t="shared" si="54"/>
        <v>0</v>
      </c>
      <c r="AN102" s="95">
        <f t="shared" si="55"/>
        <v>0</v>
      </c>
      <c r="AO102" s="95">
        <f t="shared" si="56"/>
        <v>0</v>
      </c>
      <c r="AP102"/>
      <c r="AQ102" s="95">
        <f t="shared" si="57"/>
        <v>0</v>
      </c>
      <c r="AR102" s="95">
        <f t="shared" si="58"/>
        <v>0</v>
      </c>
      <c r="AS102" s="95">
        <f>Geraetedaten!$B$94*ABS(SIN(RADIANS($A102)))</f>
        <v>137.21500472500864</v>
      </c>
      <c r="AT102" s="95">
        <f>Geraetedaten!$B$94*ABS(COS(RADIANS($A102)))</f>
        <v>69.914536959890214</v>
      </c>
      <c r="AU102" s="95">
        <f>((h_Aw_Sw+Geraetedaten!$B$18)/1000)*(AQ102*AS102+AR102*AT102)/100</f>
        <v>0</v>
      </c>
    </row>
    <row r="103" spans="1:47" ht="13.5" x14ac:dyDescent="0.25">
      <c r="A103" s="16">
        <v>64</v>
      </c>
      <c r="B103" s="16">
        <f t="shared" ref="B103:B166" si="59">360-A103+90</f>
        <v>386</v>
      </c>
      <c r="C103" s="19">
        <f t="shared" ref="C103:C166" si="60">$AE$16*ABS(COS(RADIANS(A103)))+$AE$17*ABS(SIN(RADIANS(A103)))+AU103</f>
        <v>70.24448452713311</v>
      </c>
      <c r="D103" s="17">
        <f t="shared" ref="D103:D166" si="61">IF(ISNUMBER(U103),U103-C103,"unendlich")</f>
        <v>-7522.9971545271328</v>
      </c>
      <c r="E103" s="17">
        <f t="shared" ref="E103:E166" si="62">IF(ISNUMBER(Y103),Y103-C103,"unendlich")</f>
        <v>-18508.874314527136</v>
      </c>
      <c r="F103" s="17">
        <f t="shared" ref="F103:F166" si="63">IF(ISNUMBER(AC103),AC103-C103,"unendlich")</f>
        <v>7260.7796154728667</v>
      </c>
      <c r="G103" s="17">
        <f t="shared" ref="G103:G166" si="64">IF(ISNUMBER(AG103),AG103-C103,"unendlich")</f>
        <v>20981.736685472864</v>
      </c>
      <c r="H103" s="17">
        <f t="shared" si="33"/>
        <v>7260.7796154728667</v>
      </c>
      <c r="I103" s="17">
        <f t="shared" ref="I103:I166" si="65">IF(H103+C103=U103,W103,IF(H103+C103=Y103,AA103,IF(H103+C103=AC103,AE103,IF(H103+C103=AG103,AI103,"???"))))</f>
        <v>2891.6865657614881</v>
      </c>
      <c r="J103" s="20">
        <f>(Geraetedaten!$B$152+(Geraetedaten!$B$153*(Geraetedaten!$B$18+d_y_Sw)/1000))*10</f>
        <v>6051.0442000000003</v>
      </c>
      <c r="K103" s="20">
        <f>(Geraetedaten!$B$165+(Geraetedaten!$B$166*(Geraetedaten!$B$18+d_y_Sw)/1000))*10</f>
        <v>10816.164000000001</v>
      </c>
      <c r="L103" s="20">
        <f>(Geraetedaten!$B$158+(Geraetedaten!$B$159*(Geraetedaten!$B$18+d_y_Sw)/1000)-(Geraetedaten!$B$160*I103/1000))*10</f>
        <v>389.48922413270986</v>
      </c>
      <c r="M103" s="20">
        <f>(Geraetedaten!$B$171+(Geraetedaten!$B$172*(Geraetedaten!$B$18+d_y_Sw)/1000)-(Geraetedaten!$B$173*I103/1000))*10</f>
        <v>849.60985204471569</v>
      </c>
      <c r="N103" s="20">
        <f>IF((H103-J103)/(K103-J103)*(Geraetedaten!$B$174-Geraetedaten!$B$161)&lt;Geraetedaten!$B$174,(H103-J103)/(K103-J103)*(Geraetedaten!$B$174-Geraetedaten!$B$161),Geraetedaten!$B$174)</f>
        <v>101.54921313607824</v>
      </c>
      <c r="O103" s="20">
        <f>N103/Geraetedaten!$B$174*(M103-L103)+L103+C103</f>
        <v>576.54592794019902</v>
      </c>
      <c r="P103" s="20">
        <f t="shared" ref="P103:P166" si="66">O103*100/9.81/(Q103-(I103/1000))</f>
        <v>200.38337442065122</v>
      </c>
      <c r="Q103" s="21">
        <f>(N103-Geraetedaten!$B$161)/(Geraetedaten!$B$174-Geraetedaten!$B$161)*(Geraetedaten!$B$175-Geraetedaten!$B$162)+Geraetedaten!$B$162</f>
        <v>32.22108909079833</v>
      </c>
      <c r="R103" s="21">
        <f t="shared" ref="R103:R134" si="67">SQRT((r_K_D/1000)^2+Q103^2-(2*(r_K_D/1000)*Q103*COS(RADIANS(2*A103))))</f>
        <v>32.22108909079833</v>
      </c>
      <c r="S103" s="21">
        <f t="shared" ref="S103:S134" si="68">R103*SIN(A103*Const_2)</f>
        <v>28.960123040084579</v>
      </c>
      <c r="T103" s="88">
        <f t="shared" ref="T103:T134" si="69">R103*COS(A103*Const_2)</f>
        <v>14.124795775526296</v>
      </c>
      <c r="U103" s="86">
        <f t="shared" ref="U103:U134" si="70">ROUND((F_S*r_Su_L-F_G*V103+F_SSw*X103)/(SIN(RADIANS(270+g_L-A103)))/1000,5)</f>
        <v>-7452.7526699999999</v>
      </c>
      <c r="V103" s="85">
        <f t="shared" ref="V103:V134" si="71">(SIN(RADIANS(g_L)))*(((VL_Z-HL_Z)/(VL_X-HL_X))*(-HL_X+AM103)+HL_Z-AL103)</f>
        <v>-2683.3128092763232</v>
      </c>
      <c r="W103" s="85">
        <f t="shared" ref="W103:W134" si="72">V103/(SIN(RADIANS(180-g_L-(90-$A103))))</f>
        <v>-2983.8805150334556</v>
      </c>
      <c r="X103" s="90">
        <f t="shared" ref="X103:X134" si="73">SIN(RADIANS(g_L))*(((VL_Z-HL_Z)/(VL_X-HL_X))*(-AO103+HL_X)-HL_Z+AN103)</f>
        <v>2683.3128092763232</v>
      </c>
      <c r="Y103" s="86">
        <f t="shared" ref="Y103:Y134" si="74">ROUND((F_S*r_Su_H-F_G*Z103+F_SSw*AB103)/(SIN(RADIANS(180+g_H-A103)))/1000,5)</f>
        <v>-18438.629830000002</v>
      </c>
      <c r="Z103" s="85">
        <f t="shared" ref="Z103:Z134" si="75">(SIN(RADIANS(g_H)))*(((HL_X-HR_X)/(HL_Z-HR_Z))*(-HR_Z+AL103)+HR_X-AM103)</f>
        <v>-832.16398485565549</v>
      </c>
      <c r="AA103" s="85">
        <f t="shared" ref="AA103:AA134" si="76">Z103/(SIN(RADIANS(g_H-$A103)))</f>
        <v>-1786.4790450627149</v>
      </c>
      <c r="AB103" s="90">
        <f t="shared" ref="AB103:AB134" si="77">SIN(RADIANS(g_H))*(((HL_X-HR_X)/(HL_Z-HR_Z))*(-AN103+HR_Z)-HR_X+AO103)</f>
        <v>832.16398485565549</v>
      </c>
      <c r="AC103" s="86">
        <f t="shared" ref="AC103:AC134" si="78">ROUND((F_S*r_Su_R+F_G*AD103+F_SSw*AF103)/(SIN(RADIANS(90+g_R-A103)))/1000,5)</f>
        <v>7331.0240999999996</v>
      </c>
      <c r="AD103" s="85">
        <f t="shared" ref="AD103:AD134" si="79">(SIN(RADIANS(g_R)))*(((HR_Z-VR_Z)/(HR_X-VR_X))*(-VR_X+AM103)+VR_Z-AL103)</f>
        <v>2598.140025222212</v>
      </c>
      <c r="AE103" s="85">
        <f t="shared" ref="AE103:AE134" si="80">AD103/(SIN(RADIANS(180-g_R-(90-$A103))))</f>
        <v>2891.6865657614881</v>
      </c>
      <c r="AF103" s="90">
        <f t="shared" ref="AF103:AF134" si="81">(SIN(RADIANS(g_R)))*(((HR_Z-VR_Z)/(HR_X-VR_X))*(-VR_X+AO103)+VR_Z-AN103)</f>
        <v>2598.140025222212</v>
      </c>
      <c r="AG103" s="86">
        <f t="shared" ref="AG103:AG134" si="82">ROUND((F_S*r_Su_V+F_G*AH103+F_SSw*AJ103)/(SIN(RADIANS(g_V-A103)))/1000,5)</f>
        <v>21051.981169999999</v>
      </c>
      <c r="AH103" s="85">
        <f t="shared" ref="AH103:AH134" si="83">(SIN(RADIANS(g_V)))*(((VR_X-VL_X)/(VR_Z-VL_Z))*(AL103-VL_Z)+VL_X-AM103)</f>
        <v>6183.1314163678471</v>
      </c>
      <c r="AI103" s="85">
        <f t="shared" ref="AI103:AI134" si="84">AH103/(SIN(RADIANS(g_V-$A103)))</f>
        <v>14395.459390974909</v>
      </c>
      <c r="AJ103" s="90">
        <f t="shared" ref="AJ103:AJ134" si="85">(SIN(RADIANS(g_V)))*(((VR_X-VL_X)/(VR_Z-VL_Z))*(-VL_Z+AN103)+VL_X-AO103)</f>
        <v>6183.1314163678471</v>
      </c>
      <c r="AL103" s="95">
        <f t="shared" ref="AL103:AL134" si="86">SIN(RADIANS(A103))*r_K_D</f>
        <v>0</v>
      </c>
      <c r="AM103" s="95">
        <f t="shared" ref="AM103:AM134" si="87">COS(RADIANS(A103-180))*r_K_D</f>
        <v>0</v>
      </c>
      <c r="AN103" s="95">
        <f t="shared" ref="AN103:AN134" si="88">SIN(RADIANS(A103))*r_K_SSw</f>
        <v>0</v>
      </c>
      <c r="AO103" s="95">
        <f t="shared" ref="AO103:AO134" si="89">-COS(RADIANS(A103))*r_K_SSw</f>
        <v>0</v>
      </c>
      <c r="AP103"/>
      <c r="AQ103" s="95">
        <f t="shared" ref="AQ103:AQ134" si="90">MAX(d_y_Sw*(r_K_D*ABS(COS(RADIANS($A103)))+_r1_Sw+_r2_Sw), 2*_r1_Sw*d_y_Sw)/1000000</f>
        <v>0</v>
      </c>
      <c r="AR103" s="95">
        <f t="shared" ref="AR103:AR134" si="91">MAX(d_y_Sw*(r_K_D*ABS(SIN(RADIANS($A103)))+_r1_Sw+_r2_Sw), 2*_r1_Sw*d_y_Sw)/1000000</f>
        <v>0</v>
      </c>
      <c r="AS103" s="95">
        <f>Geraetedaten!$B$94*ABS(SIN(RADIANS($A103)))</f>
        <v>138.41428313007174</v>
      </c>
      <c r="AT103" s="95">
        <f>Geraetedaten!$B$94*ABS(COS(RADIANS($A103)))</f>
        <v>67.50915660551793</v>
      </c>
      <c r="AU103" s="95">
        <f>((h_Aw_Sw+Geraetedaten!$B$18)/1000)*(AQ103*AS103+AR103*AT103)/100</f>
        <v>0</v>
      </c>
    </row>
    <row r="104" spans="1:47" ht="13.5" x14ac:dyDescent="0.25">
      <c r="A104" s="16">
        <v>65</v>
      </c>
      <c r="B104" s="16">
        <f t="shared" si="59"/>
        <v>385</v>
      </c>
      <c r="C104" s="19">
        <f t="shared" si="60"/>
        <v>70.250219346810582</v>
      </c>
      <c r="D104" s="17">
        <f t="shared" si="61"/>
        <v>-7461.387739346811</v>
      </c>
      <c r="E104" s="17">
        <f t="shared" si="62"/>
        <v>-19144.15327934681</v>
      </c>
      <c r="F104" s="17">
        <f t="shared" si="63"/>
        <v>7199.8866606531892</v>
      </c>
      <c r="G104" s="17">
        <f t="shared" si="64"/>
        <v>21787.079380653191</v>
      </c>
      <c r="H104" s="17">
        <f t="shared" ref="H104:H167" si="92">SMALL(D104:G104,COUNTIF(D104:G104,"&lt;0")+1)</f>
        <v>7199.8866606531892</v>
      </c>
      <c r="I104" s="17">
        <f t="shared" si="65"/>
        <v>2867.66989946276</v>
      </c>
      <c r="J104" s="20">
        <f>(Geraetedaten!$B$152+(Geraetedaten!$B$153*(Geraetedaten!$B$18+d_y_Sw)/1000))*10</f>
        <v>6051.0442000000003</v>
      </c>
      <c r="K104" s="20">
        <f>(Geraetedaten!$B$165+(Geraetedaten!$B$166*(Geraetedaten!$B$18+d_y_Sw)/1000))*10</f>
        <v>10816.164000000001</v>
      </c>
      <c r="L104" s="20">
        <f>(Geraetedaten!$B$158+(Geraetedaten!$B$159*(Geraetedaten!$B$18+d_y_Sw)/1000)-(Geraetedaten!$B$160*I104/1000))*10</f>
        <v>391.25036627239558</v>
      </c>
      <c r="M104" s="20">
        <f>(Geraetedaten!$B$171+(Geraetedaten!$B$172*(Geraetedaten!$B$18+d_y_Sw)/1000)-(Geraetedaten!$B$173*I104/1000))*10</f>
        <v>851.3976526839931</v>
      </c>
      <c r="N104" s="20">
        <f>IF((H104-J104)/(K104-J104)*(Geraetedaten!$B$174-Geraetedaten!$B$161)&lt;Geraetedaten!$B$174,(H104-J104)/(K104-J104)*(Geraetedaten!$B$174-Geraetedaten!$B$161),Geraetedaten!$B$174)</f>
        <v>96.43765603989128</v>
      </c>
      <c r="O104" s="20">
        <f>N104/Geraetedaten!$B$174*(M104-L104)+L104+C104</f>
        <v>572.43939995583355</v>
      </c>
      <c r="P104" s="20">
        <f t="shared" si="66"/>
        <v>199.8285675962895</v>
      </c>
      <c r="Q104" s="21">
        <f>(N104-Geraetedaten!$B$161)/(Geraetedaten!$B$174-Geraetedaten!$B$161)*(Geraetedaten!$B$175-Geraetedaten!$B$162)+Geraetedaten!$B$162</f>
        <v>32.069020267186765</v>
      </c>
      <c r="R104" s="21">
        <f t="shared" si="67"/>
        <v>32.069020267186765</v>
      </c>
      <c r="S104" s="21">
        <f t="shared" si="68"/>
        <v>29.064402790787515</v>
      </c>
      <c r="T104" s="88">
        <f t="shared" si="69"/>
        <v>13.552953601045731</v>
      </c>
      <c r="U104" s="86">
        <f t="shared" si="70"/>
        <v>-7391.1375200000002</v>
      </c>
      <c r="V104" s="85">
        <f t="shared" si="71"/>
        <v>-2683.3128092763232</v>
      </c>
      <c r="W104" s="85">
        <f t="shared" si="72"/>
        <v>-2959.2114744359728</v>
      </c>
      <c r="X104" s="90">
        <f t="shared" si="73"/>
        <v>2683.3128092763232</v>
      </c>
      <c r="Y104" s="86">
        <f t="shared" si="74"/>
        <v>-19073.903060000001</v>
      </c>
      <c r="Z104" s="85">
        <f t="shared" si="75"/>
        <v>-832.16398485565549</v>
      </c>
      <c r="AA104" s="85">
        <f t="shared" si="76"/>
        <v>-1848.0292974020294</v>
      </c>
      <c r="AB104" s="90">
        <f t="shared" si="77"/>
        <v>832.16398485565549</v>
      </c>
      <c r="AC104" s="86">
        <f t="shared" si="78"/>
        <v>7270.13688</v>
      </c>
      <c r="AD104" s="85">
        <f t="shared" si="79"/>
        <v>2598.140025222212</v>
      </c>
      <c r="AE104" s="85">
        <f t="shared" si="80"/>
        <v>2867.66989946276</v>
      </c>
      <c r="AF104" s="90">
        <f t="shared" si="81"/>
        <v>2598.140025222212</v>
      </c>
      <c r="AG104" s="86">
        <f t="shared" si="82"/>
        <v>21857.329600000001</v>
      </c>
      <c r="AH104" s="85">
        <f t="shared" si="83"/>
        <v>6183.1314163678471</v>
      </c>
      <c r="AI104" s="85">
        <f t="shared" si="84"/>
        <v>14946.161032679607</v>
      </c>
      <c r="AJ104" s="90">
        <f t="shared" si="85"/>
        <v>6183.1314163678471</v>
      </c>
      <c r="AL104" s="95">
        <f t="shared" si="86"/>
        <v>0</v>
      </c>
      <c r="AM104" s="95">
        <f t="shared" si="87"/>
        <v>0</v>
      </c>
      <c r="AN104" s="95">
        <f t="shared" si="88"/>
        <v>0</v>
      </c>
      <c r="AO104" s="95">
        <f t="shared" si="89"/>
        <v>0</v>
      </c>
      <c r="AP104"/>
      <c r="AQ104" s="95">
        <f t="shared" si="90"/>
        <v>0</v>
      </c>
      <c r="AR104" s="95">
        <f t="shared" si="91"/>
        <v>0</v>
      </c>
      <c r="AS104" s="95">
        <f>Geraetedaten!$B$94*ABS(SIN(RADIANS($A104)))</f>
        <v>139.57139920364409</v>
      </c>
      <c r="AT104" s="95">
        <f>Geraetedaten!$B$94*ABS(COS(RADIANS($A104)))</f>
        <v>65.083212308067715</v>
      </c>
      <c r="AU104" s="95">
        <f>((h_Aw_Sw+Geraetedaten!$B$18)/1000)*(AQ104*AS104+AR104*AT104)/100</f>
        <v>0</v>
      </c>
    </row>
    <row r="105" spans="1:47" ht="13.5" x14ac:dyDescent="0.25">
      <c r="A105" s="16">
        <v>66</v>
      </c>
      <c r="B105" s="16">
        <f t="shared" si="59"/>
        <v>384</v>
      </c>
      <c r="C105" s="19">
        <f t="shared" si="60"/>
        <v>70.234555269145858</v>
      </c>
      <c r="D105" s="17">
        <f t="shared" si="61"/>
        <v>-7402.9826752691461</v>
      </c>
      <c r="E105" s="17">
        <f t="shared" si="62"/>
        <v>-19830.981575269143</v>
      </c>
      <c r="F105" s="17">
        <f t="shared" si="63"/>
        <v>7142.1970347308543</v>
      </c>
      <c r="G105" s="17">
        <f t="shared" si="64"/>
        <v>22663.712444730852</v>
      </c>
      <c r="H105" s="17">
        <f t="shared" si="92"/>
        <v>7142.1970347308543</v>
      </c>
      <c r="I105" s="17">
        <f t="shared" si="65"/>
        <v>2844.9083325915976</v>
      </c>
      <c r="J105" s="20">
        <f>(Geraetedaten!$B$152+(Geraetedaten!$B$153*(Geraetedaten!$B$18+d_y_Sw)/1000))*10</f>
        <v>6051.0442000000003</v>
      </c>
      <c r="K105" s="20">
        <f>(Geraetedaten!$B$165+(Geraetedaten!$B$166*(Geraetedaten!$B$18+d_y_Sw)/1000))*10</f>
        <v>10816.164000000001</v>
      </c>
      <c r="L105" s="20">
        <f>(Geraetedaten!$B$158+(Geraetedaten!$B$159*(Geraetedaten!$B$18+d_y_Sw)/1000)-(Geraetedaten!$B$160*I105/1000))*10</f>
        <v>392.91947197105793</v>
      </c>
      <c r="M105" s="20">
        <f>(Geraetedaten!$B$171+(Geraetedaten!$B$172*(Geraetedaten!$B$18+d_y_Sw)/1000)-(Geraetedaten!$B$173*I105/1000))*10</f>
        <v>853.09202372188236</v>
      </c>
      <c r="N105" s="20">
        <f>IF((H105-J105)/(K105-J105)*(Geraetedaten!$B$174-Geraetedaten!$B$161)&lt;Geraetedaten!$B$174,(H105-J105)/(K105-J105)*(Geraetedaten!$B$174-Geraetedaten!$B$161),Geraetedaten!$B$174)</f>
        <v>91.594997022392093</v>
      </c>
      <c r="O105" s="20">
        <f>N105/Geraetedaten!$B$174*(M105-L105)+L105+C105</f>
        <v>568.52778600871216</v>
      </c>
      <c r="P105" s="20">
        <f t="shared" si="66"/>
        <v>199.2909814277746</v>
      </c>
      <c r="Q105" s="21">
        <f>(N105-Geraetedaten!$B$161)/(Geraetedaten!$B$174-Geraetedaten!$B$161)*(Geraetedaten!$B$175-Geraetedaten!$B$162)+Geraetedaten!$B$162</f>
        <v>31.924951161416164</v>
      </c>
      <c r="R105" s="21">
        <f t="shared" si="67"/>
        <v>31.924951161416164</v>
      </c>
      <c r="S105" s="21">
        <f t="shared" si="68"/>
        <v>29.16489411897361</v>
      </c>
      <c r="T105" s="88">
        <f t="shared" si="69"/>
        <v>12.985047465753279</v>
      </c>
      <c r="U105" s="86">
        <f t="shared" si="70"/>
        <v>-7332.7481200000002</v>
      </c>
      <c r="V105" s="85">
        <f t="shared" si="71"/>
        <v>-2683.3128092763232</v>
      </c>
      <c r="W105" s="85">
        <f t="shared" si="72"/>
        <v>-2935.8339392770058</v>
      </c>
      <c r="X105" s="90">
        <f t="shared" si="73"/>
        <v>2683.3128092763232</v>
      </c>
      <c r="Y105" s="86">
        <f t="shared" si="74"/>
        <v>-19760.747019999999</v>
      </c>
      <c r="Z105" s="85">
        <f t="shared" si="75"/>
        <v>-832.16398485565549</v>
      </c>
      <c r="AA105" s="85">
        <f t="shared" si="76"/>
        <v>-1914.5761263801508</v>
      </c>
      <c r="AB105" s="90">
        <f t="shared" si="77"/>
        <v>832.16398485565549</v>
      </c>
      <c r="AC105" s="86">
        <f t="shared" si="78"/>
        <v>7212.4315900000001</v>
      </c>
      <c r="AD105" s="85">
        <f t="shared" si="79"/>
        <v>2598.140025222212</v>
      </c>
      <c r="AE105" s="85">
        <f t="shared" si="80"/>
        <v>2844.9083325915976</v>
      </c>
      <c r="AF105" s="90">
        <f t="shared" si="81"/>
        <v>2598.140025222212</v>
      </c>
      <c r="AG105" s="86">
        <f t="shared" si="82"/>
        <v>22733.947</v>
      </c>
      <c r="AH105" s="85">
        <f t="shared" si="83"/>
        <v>6183.1314163678471</v>
      </c>
      <c r="AI105" s="85">
        <f t="shared" si="84"/>
        <v>15545.596786908698</v>
      </c>
      <c r="AJ105" s="90">
        <f t="shared" si="85"/>
        <v>6183.1314163678471</v>
      </c>
      <c r="AL105" s="95">
        <f t="shared" si="86"/>
        <v>0</v>
      </c>
      <c r="AM105" s="95">
        <f t="shared" si="87"/>
        <v>0</v>
      </c>
      <c r="AN105" s="95">
        <f t="shared" si="88"/>
        <v>0</v>
      </c>
      <c r="AO105" s="95">
        <f t="shared" si="89"/>
        <v>0</v>
      </c>
      <c r="AP105"/>
      <c r="AQ105" s="95">
        <f t="shared" si="90"/>
        <v>0</v>
      </c>
      <c r="AR105" s="95">
        <f t="shared" si="91"/>
        <v>0</v>
      </c>
      <c r="AS105" s="95">
        <f>Geraetedaten!$B$94*ABS(SIN(RADIANS($A105)))</f>
        <v>140.68600047696054</v>
      </c>
      <c r="AT105" s="95">
        <f>Geraetedaten!$B$94*ABS(COS(RADIANS($A105)))</f>
        <v>62.637443033673229</v>
      </c>
      <c r="AU105" s="95">
        <f>((h_Aw_Sw+Geraetedaten!$B$18)/1000)*(AQ105*AS105+AR105*AT105)/100</f>
        <v>0</v>
      </c>
    </row>
    <row r="106" spans="1:47" ht="13.5" x14ac:dyDescent="0.25">
      <c r="A106" s="16">
        <v>67</v>
      </c>
      <c r="B106" s="16">
        <f t="shared" si="59"/>
        <v>383</v>
      </c>
      <c r="C106" s="19">
        <f t="shared" si="60"/>
        <v>70.19749706556874</v>
      </c>
      <c r="D106" s="17">
        <f t="shared" si="61"/>
        <v>-7347.6709470655687</v>
      </c>
      <c r="E106" s="17">
        <f t="shared" si="62"/>
        <v>-20575.581707065568</v>
      </c>
      <c r="F106" s="17">
        <f t="shared" si="63"/>
        <v>7087.6008129344318</v>
      </c>
      <c r="G106" s="17">
        <f t="shared" si="64"/>
        <v>23621.13881293443</v>
      </c>
      <c r="H106" s="17">
        <f t="shared" si="92"/>
        <v>7087.6008129344318</v>
      </c>
      <c r="I106" s="17">
        <f t="shared" si="65"/>
        <v>2823.3585010960674</v>
      </c>
      <c r="J106" s="20">
        <f>(Geraetedaten!$B$152+(Geraetedaten!$B$153*(Geraetedaten!$B$18+d_y_Sw)/1000))*10</f>
        <v>6051.0442000000003</v>
      </c>
      <c r="K106" s="20">
        <f>(Geraetedaten!$B$165+(Geraetedaten!$B$166*(Geraetedaten!$B$18+d_y_Sw)/1000))*10</f>
        <v>10816.164000000001</v>
      </c>
      <c r="L106" s="20">
        <f>(Geraetedaten!$B$158+(Geraetedaten!$B$159*(Geraetedaten!$B$18+d_y_Sw)/1000)-(Geraetedaten!$B$160*I106/1000))*10</f>
        <v>394.49972111462512</v>
      </c>
      <c r="M106" s="20">
        <f>(Geraetedaten!$B$171+(Geraetedaten!$B$172*(Geraetedaten!$B$18+d_y_Sw)/1000)-(Geraetedaten!$B$173*I106/1000))*10</f>
        <v>854.69619317840966</v>
      </c>
      <c r="N106" s="20">
        <f>IF((H106-J106)/(K106-J106)*(Geraetedaten!$B$174-Geraetedaten!$B$161)&lt;Geraetedaten!$B$174,(H106-J106)/(K106-J106)*(Geraetedaten!$B$174-Geraetedaten!$B$161),Geraetedaten!$B$174)</f>
        <v>87.01200863276776</v>
      </c>
      <c r="O106" s="20">
        <f>N106/Geraetedaten!$B$174*(M106-L106)+L106+C106</f>
        <v>564.80376668015208</v>
      </c>
      <c r="P106" s="20">
        <f t="shared" si="66"/>
        <v>198.77021816130588</v>
      </c>
      <c r="Q106" s="21">
        <f>(N106-Geraetedaten!$B$161)/(Geraetedaten!$B$174-Geraetedaten!$B$161)*(Geraetedaten!$B$175-Geraetedaten!$B$162)+Geraetedaten!$B$162</f>
        <v>31.788607256824839</v>
      </c>
      <c r="R106" s="21">
        <f t="shared" si="67"/>
        <v>31.788607256824839</v>
      </c>
      <c r="S106" s="21">
        <f t="shared" si="68"/>
        <v>29.261567264400732</v>
      </c>
      <c r="T106" s="88">
        <f t="shared" si="69"/>
        <v>12.420798386561485</v>
      </c>
      <c r="U106" s="86">
        <f t="shared" si="70"/>
        <v>-7277.4734500000004</v>
      </c>
      <c r="V106" s="85">
        <f t="shared" si="71"/>
        <v>-2683.3128092763232</v>
      </c>
      <c r="W106" s="85">
        <f t="shared" si="72"/>
        <v>-2913.7034561395481</v>
      </c>
      <c r="X106" s="90">
        <f t="shared" si="73"/>
        <v>2683.3128092763232</v>
      </c>
      <c r="Y106" s="86">
        <f t="shared" si="74"/>
        <v>-20505.38421</v>
      </c>
      <c r="Z106" s="85">
        <f t="shared" si="75"/>
        <v>-832.16398485565549</v>
      </c>
      <c r="AA106" s="85">
        <f t="shared" si="76"/>
        <v>-1986.7224164839497</v>
      </c>
      <c r="AB106" s="90">
        <f t="shared" si="77"/>
        <v>832.16398485565549</v>
      </c>
      <c r="AC106" s="86">
        <f t="shared" si="78"/>
        <v>7157.7983100000001</v>
      </c>
      <c r="AD106" s="85">
        <f t="shared" si="79"/>
        <v>2598.140025222212</v>
      </c>
      <c r="AE106" s="85">
        <f t="shared" si="80"/>
        <v>2823.3585010960674</v>
      </c>
      <c r="AF106" s="90">
        <f t="shared" si="81"/>
        <v>2598.140025222212</v>
      </c>
      <c r="AG106" s="86">
        <f t="shared" si="82"/>
        <v>23691.336309999999</v>
      </c>
      <c r="AH106" s="85">
        <f t="shared" si="83"/>
        <v>6183.1314163678471</v>
      </c>
      <c r="AI106" s="85">
        <f t="shared" si="84"/>
        <v>16200.264805866807</v>
      </c>
      <c r="AJ106" s="90">
        <f t="shared" si="85"/>
        <v>6183.1314163678471</v>
      </c>
      <c r="AL106" s="95">
        <f t="shared" si="86"/>
        <v>0</v>
      </c>
      <c r="AM106" s="95">
        <f t="shared" si="87"/>
        <v>0</v>
      </c>
      <c r="AN106" s="95">
        <f t="shared" si="88"/>
        <v>0</v>
      </c>
      <c r="AO106" s="95">
        <f t="shared" si="89"/>
        <v>0</v>
      </c>
      <c r="AP106"/>
      <c r="AQ106" s="95">
        <f t="shared" si="90"/>
        <v>0</v>
      </c>
      <c r="AR106" s="95">
        <f t="shared" si="91"/>
        <v>0</v>
      </c>
      <c r="AS106" s="95">
        <f>Geraetedaten!$B$94*ABS(SIN(RADIANS($A106)))</f>
        <v>141.75774743167582</v>
      </c>
      <c r="AT106" s="95">
        <f>Geraetedaten!$B$94*ABS(COS(RADIANS($A106)))</f>
        <v>60.172593787348156</v>
      </c>
      <c r="AU106" s="95">
        <f>((h_Aw_Sw+Geraetedaten!$B$18)/1000)*(AQ106*AS106+AR106*AT106)/100</f>
        <v>0</v>
      </c>
    </row>
    <row r="107" spans="1:47" ht="13.5" x14ac:dyDescent="0.25">
      <c r="A107" s="16">
        <v>68</v>
      </c>
      <c r="B107" s="16">
        <f t="shared" si="59"/>
        <v>382</v>
      </c>
      <c r="C107" s="19">
        <f t="shared" si="60"/>
        <v>70.139056024367036</v>
      </c>
      <c r="D107" s="17">
        <f t="shared" si="61"/>
        <v>-7295.3493260243667</v>
      </c>
      <c r="E107" s="17">
        <f t="shared" si="62"/>
        <v>-21385.224836024368</v>
      </c>
      <c r="F107" s="17">
        <f t="shared" si="63"/>
        <v>7035.9957539756324</v>
      </c>
      <c r="G107" s="17">
        <f t="shared" si="64"/>
        <v>24670.635893975632</v>
      </c>
      <c r="H107" s="17">
        <f t="shared" si="92"/>
        <v>7035.9957539756324</v>
      </c>
      <c r="I107" s="17">
        <f t="shared" si="65"/>
        <v>2802.9800858117251</v>
      </c>
      <c r="J107" s="20">
        <f>(Geraetedaten!$B$152+(Geraetedaten!$B$153*(Geraetedaten!$B$18+d_y_Sw)/1000))*10</f>
        <v>6051.0442000000003</v>
      </c>
      <c r="K107" s="20">
        <f>(Geraetedaten!$B$165+(Geraetedaten!$B$166*(Geraetedaten!$B$18+d_y_Sw)/1000))*10</f>
        <v>10816.164000000001</v>
      </c>
      <c r="L107" s="20">
        <f>(Geraetedaten!$B$158+(Geraetedaten!$B$159*(Geraetedaten!$B$18+d_y_Sw)/1000)-(Geraetedaten!$B$160*I107/1000))*10</f>
        <v>395.994070307426</v>
      </c>
      <c r="M107" s="20">
        <f>(Geraetedaten!$B$171+(Geraetedaten!$B$172*(Geraetedaten!$B$18+d_y_Sw)/1000)-(Geraetedaten!$B$173*I107/1000))*10</f>
        <v>856.21316241217619</v>
      </c>
      <c r="N107" s="20">
        <f>IF((H107-J107)/(K107-J107)*(Geraetedaten!$B$174-Geraetedaten!$B$161)&lt;Geraetedaten!$B$174,(H107-J107)/(K107-J107)*(Geraetedaten!$B$174-Geraetedaten!$B$161),Geraetedaten!$B$174)</f>
        <v>82.680108397327771</v>
      </c>
      <c r="O107" s="20">
        <f>N107/Geraetedaten!$B$174*(M107-L107)+L107+C107</f>
        <v>561.26053738614428</v>
      </c>
      <c r="P107" s="20">
        <f t="shared" si="66"/>
        <v>198.26590474025988</v>
      </c>
      <c r="Q107" s="21">
        <f>(N107-Geraetedaten!$B$161)/(Geraetedaten!$B$174-Geraetedaten!$B$161)*(Geraetedaten!$B$175-Geraetedaten!$B$162)+Geraetedaten!$B$162</f>
        <v>31.659733224820499</v>
      </c>
      <c r="R107" s="21">
        <f t="shared" si="67"/>
        <v>31.659733224820499</v>
      </c>
      <c r="S107" s="21">
        <f t="shared" si="68"/>
        <v>29.354393485945259</v>
      </c>
      <c r="T107" s="88">
        <f t="shared" si="69"/>
        <v>11.859944811806573</v>
      </c>
      <c r="U107" s="86">
        <f t="shared" si="70"/>
        <v>-7225.2102699999996</v>
      </c>
      <c r="V107" s="85">
        <f t="shared" si="71"/>
        <v>-2683.3128092763232</v>
      </c>
      <c r="W107" s="85">
        <f t="shared" si="72"/>
        <v>-2892.7786942996954</v>
      </c>
      <c r="X107" s="90">
        <f t="shared" si="73"/>
        <v>2683.3128092763232</v>
      </c>
      <c r="Y107" s="86">
        <f t="shared" si="74"/>
        <v>-21315.085780000001</v>
      </c>
      <c r="Z107" s="85">
        <f t="shared" si="75"/>
        <v>-832.16398485565549</v>
      </c>
      <c r="AA107" s="85">
        <f t="shared" si="76"/>
        <v>-2065.1726534639483</v>
      </c>
      <c r="AB107" s="90">
        <f t="shared" si="77"/>
        <v>832.16398485565549</v>
      </c>
      <c r="AC107" s="86">
        <f t="shared" si="78"/>
        <v>7106.1348099999996</v>
      </c>
      <c r="AD107" s="85">
        <f t="shared" si="79"/>
        <v>2598.140025222212</v>
      </c>
      <c r="AE107" s="85">
        <f t="shared" si="80"/>
        <v>2802.9800858117251</v>
      </c>
      <c r="AF107" s="90">
        <f t="shared" si="81"/>
        <v>2598.140025222212</v>
      </c>
      <c r="AG107" s="86">
        <f t="shared" si="82"/>
        <v>24740.774949999999</v>
      </c>
      <c r="AH107" s="85">
        <f t="shared" si="83"/>
        <v>6183.1314163678471</v>
      </c>
      <c r="AI107" s="85">
        <f t="shared" si="84"/>
        <v>16917.876670184374</v>
      </c>
      <c r="AJ107" s="90">
        <f t="shared" si="85"/>
        <v>6183.1314163678471</v>
      </c>
      <c r="AL107" s="95">
        <f t="shared" si="86"/>
        <v>0</v>
      </c>
      <c r="AM107" s="95">
        <f t="shared" si="87"/>
        <v>0</v>
      </c>
      <c r="AN107" s="95">
        <f t="shared" si="88"/>
        <v>0</v>
      </c>
      <c r="AO107" s="95">
        <f t="shared" si="89"/>
        <v>0</v>
      </c>
      <c r="AP107"/>
      <c r="AQ107" s="95">
        <f t="shared" si="90"/>
        <v>0</v>
      </c>
      <c r="AR107" s="95">
        <f t="shared" si="91"/>
        <v>0</v>
      </c>
      <c r="AS107" s="95">
        <f>Geraetedaten!$B$94*ABS(SIN(RADIANS($A107)))</f>
        <v>142.78631360328527</v>
      </c>
      <c r="AT107" s="95">
        <f>Geraetedaten!$B$94*ABS(COS(RADIANS($A107)))</f>
        <v>57.689415386050442</v>
      </c>
      <c r="AU107" s="95">
        <f>((h_Aw_Sw+Geraetedaten!$B$18)/1000)*(AQ107*AS107+AR107*AT107)/100</f>
        <v>0</v>
      </c>
    </row>
    <row r="108" spans="1:47" ht="13.5" x14ac:dyDescent="0.25">
      <c r="A108" s="16">
        <v>69</v>
      </c>
      <c r="B108" s="16">
        <f t="shared" si="59"/>
        <v>381</v>
      </c>
      <c r="C108" s="19">
        <f t="shared" si="60"/>
        <v>70.059249947248006</v>
      </c>
      <c r="D108" s="17">
        <f t="shared" si="61"/>
        <v>-7245.9218999472478</v>
      </c>
      <c r="E108" s="17">
        <f t="shared" si="62"/>
        <v>-22268.461079947247</v>
      </c>
      <c r="F108" s="17">
        <f t="shared" si="63"/>
        <v>6987.2868300527525</v>
      </c>
      <c r="G108" s="17">
        <f t="shared" si="64"/>
        <v>25825.689790052751</v>
      </c>
      <c r="H108" s="17">
        <f t="shared" si="92"/>
        <v>6987.2868300527525</v>
      </c>
      <c r="I108" s="17">
        <f t="shared" si="65"/>
        <v>2783.7356131378961</v>
      </c>
      <c r="J108" s="20">
        <f>(Geraetedaten!$B$152+(Geraetedaten!$B$153*(Geraetedaten!$B$18+d_y_Sw)/1000))*10</f>
        <v>6051.0442000000003</v>
      </c>
      <c r="K108" s="20">
        <f>(Geraetedaten!$B$165+(Geraetedaten!$B$166*(Geraetedaten!$B$18+d_y_Sw)/1000))*10</f>
        <v>10816.164000000001</v>
      </c>
      <c r="L108" s="20">
        <f>(Geraetedaten!$B$158+(Geraetedaten!$B$159*(Geraetedaten!$B$18+d_y_Sw)/1000)-(Geraetedaten!$B$160*I108/1000))*10</f>
        <v>397.40526748859787</v>
      </c>
      <c r="M108" s="20">
        <f>(Geraetedaten!$B$171+(Geraetedaten!$B$172*(Geraetedaten!$B$18+d_y_Sw)/1000)-(Geraetedaten!$B$173*I108/1000))*10</f>
        <v>857.64572095801577</v>
      </c>
      <c r="N108" s="20">
        <f>IF((H108-J108)/(K108-J108)*(Geraetedaten!$B$174-Geraetedaten!$B$161)&lt;Geraetedaten!$B$174,(H108-J108)/(K108-J108)*(Geraetedaten!$B$174-Geraetedaten!$B$161),Geraetedaten!$B$174)</f>
        <v>78.591319366430383</v>
      </c>
      <c r="O108" s="20">
        <f>N108/Geraetedaten!$B$174*(M108-L108)+L108+C108</f>
        <v>557.89177859576023</v>
      </c>
      <c r="P108" s="20">
        <f t="shared" si="66"/>
        <v>197.77769298134496</v>
      </c>
      <c r="Q108" s="21">
        <f>(N108-Geraetedaten!$B$161)/(Geraetedaten!$B$174-Geraetedaten!$B$161)*(Geraetedaten!$B$175-Geraetedaten!$B$162)+Geraetedaten!$B$162</f>
        <v>31.538091751151303</v>
      </c>
      <c r="R108" s="21">
        <f t="shared" si="67"/>
        <v>31.538091751151303</v>
      </c>
      <c r="S108" s="21">
        <f t="shared" si="68"/>
        <v>29.443345147947714</v>
      </c>
      <c r="T108" s="88">
        <f t="shared" si="69"/>
        <v>11.302241273431644</v>
      </c>
      <c r="U108" s="86">
        <f t="shared" si="70"/>
        <v>-7175.86265</v>
      </c>
      <c r="V108" s="85">
        <f t="shared" si="71"/>
        <v>-2683.3128092763232</v>
      </c>
      <c r="W108" s="85">
        <f t="shared" si="72"/>
        <v>-2873.0212418898946</v>
      </c>
      <c r="X108" s="90">
        <f t="shared" si="73"/>
        <v>2683.3128092763232</v>
      </c>
      <c r="Y108" s="86">
        <f t="shared" si="74"/>
        <v>-22198.401829999999</v>
      </c>
      <c r="Z108" s="85">
        <f t="shared" si="75"/>
        <v>-832.16398485565549</v>
      </c>
      <c r="AA108" s="85">
        <f t="shared" si="76"/>
        <v>-2150.7552390597075</v>
      </c>
      <c r="AB108" s="90">
        <f t="shared" si="77"/>
        <v>832.16398485565549</v>
      </c>
      <c r="AC108" s="86">
        <f t="shared" si="78"/>
        <v>7057.3460800000003</v>
      </c>
      <c r="AD108" s="85">
        <f t="shared" si="79"/>
        <v>2598.140025222212</v>
      </c>
      <c r="AE108" s="85">
        <f t="shared" si="80"/>
        <v>2783.7356131378961</v>
      </c>
      <c r="AF108" s="90">
        <f t="shared" si="81"/>
        <v>2598.140025222212</v>
      </c>
      <c r="AG108" s="86">
        <f t="shared" si="82"/>
        <v>25895.749039999999</v>
      </c>
      <c r="AH108" s="85">
        <f t="shared" si="83"/>
        <v>6183.1314163678471</v>
      </c>
      <c r="AI108" s="85">
        <f t="shared" si="84"/>
        <v>17707.654238989962</v>
      </c>
      <c r="AJ108" s="90">
        <f t="shared" si="85"/>
        <v>6183.1314163678471</v>
      </c>
      <c r="AL108" s="95">
        <f t="shared" si="86"/>
        <v>0</v>
      </c>
      <c r="AM108" s="95">
        <f t="shared" si="87"/>
        <v>0</v>
      </c>
      <c r="AN108" s="95">
        <f t="shared" si="88"/>
        <v>0</v>
      </c>
      <c r="AO108" s="95">
        <f t="shared" si="89"/>
        <v>0</v>
      </c>
      <c r="AP108"/>
      <c r="AQ108" s="95">
        <f t="shared" si="90"/>
        <v>0</v>
      </c>
      <c r="AR108" s="95">
        <f t="shared" si="91"/>
        <v>0</v>
      </c>
      <c r="AS108" s="95">
        <f>Geraetedaten!$B$94*ABS(SIN(RADIANS($A108)))</f>
        <v>143.77138568056907</v>
      </c>
      <c r="AT108" s="95">
        <f>Geraetedaten!$B$94*ABS(COS(RADIANS($A108)))</f>
        <v>55.188664229976261</v>
      </c>
      <c r="AU108" s="95">
        <f>((h_Aw_Sw+Geraetedaten!$B$18)/1000)*(AQ108*AS108+AR108*AT108)/100</f>
        <v>0</v>
      </c>
    </row>
    <row r="109" spans="1:47" ht="13.5" x14ac:dyDescent="0.25">
      <c r="A109" s="16">
        <v>70</v>
      </c>
      <c r="B109" s="16">
        <f t="shared" si="59"/>
        <v>380</v>
      </c>
      <c r="C109" s="19">
        <f t="shared" si="60"/>
        <v>69.958103143915849</v>
      </c>
      <c r="D109" s="17">
        <f t="shared" si="61"/>
        <v>-7199.2995731439159</v>
      </c>
      <c r="E109" s="17">
        <f t="shared" si="62"/>
        <v>-23235.413353143915</v>
      </c>
      <c r="F109" s="17">
        <f t="shared" si="63"/>
        <v>6941.3857868560845</v>
      </c>
      <c r="G109" s="17">
        <f t="shared" si="64"/>
        <v>27102.563296856086</v>
      </c>
      <c r="H109" s="17">
        <f t="shared" si="92"/>
        <v>6941.3857868560845</v>
      </c>
      <c r="I109" s="17">
        <f t="shared" si="65"/>
        <v>2765.5902739811099</v>
      </c>
      <c r="J109" s="20">
        <f>(Geraetedaten!$B$152+(Geraetedaten!$B$153*(Geraetedaten!$B$18+d_y_Sw)/1000))*10</f>
        <v>6051.0442000000003</v>
      </c>
      <c r="K109" s="20">
        <f>(Geraetedaten!$B$165+(Geraetedaten!$B$166*(Geraetedaten!$B$18+d_y_Sw)/1000))*10</f>
        <v>10816.164000000001</v>
      </c>
      <c r="L109" s="20">
        <f>(Geraetedaten!$B$158+(Geraetedaten!$B$159*(Geraetedaten!$B$18+d_y_Sw)/1000)-(Geraetedaten!$B$160*I109/1000))*10</f>
        <v>398.73586520896492</v>
      </c>
      <c r="M109" s="20">
        <f>(Geraetedaten!$B$171+(Geraetedaten!$B$172*(Geraetedaten!$B$18+d_y_Sw)/1000)-(Geraetedaten!$B$173*I109/1000))*10</f>
        <v>858.99646000484711</v>
      </c>
      <c r="N109" s="20">
        <f>IF((H109-J109)/(K109-J109)*(Geraetedaten!$B$174-Geraetedaten!$B$161)&lt;Geraetedaten!$B$174,(H109-J109)/(K109-J109)*(Geraetedaten!$B$174-Geraetedaten!$B$161),Geraetedaten!$B$174)</f>
        <v>74.738233179873802</v>
      </c>
      <c r="O109" s="20">
        <f>N109/Geraetedaten!$B$174*(M109-L109)+L109+C109</f>
        <v>554.69162749628595</v>
      </c>
      <c r="P109" s="20">
        <f t="shared" si="66"/>
        <v>197.30525950974615</v>
      </c>
      <c r="Q109" s="21">
        <f>(N109-Geraetedaten!$B$161)/(Geraetedaten!$B$174-Geraetedaten!$B$161)*(Geraetedaten!$B$175-Geraetedaten!$B$162)+Geraetedaten!$B$162</f>
        <v>31.423462437101247</v>
      </c>
      <c r="R109" s="21">
        <f t="shared" si="67"/>
        <v>31.423462437101247</v>
      </c>
      <c r="S109" s="21">
        <f t="shared" si="68"/>
        <v>29.528395771687215</v>
      </c>
      <c r="T109" s="88">
        <f t="shared" si="69"/>
        <v>10.74745712652614</v>
      </c>
      <c r="U109" s="86">
        <f t="shared" si="70"/>
        <v>-7129.3414700000003</v>
      </c>
      <c r="V109" s="85">
        <f t="shared" si="71"/>
        <v>-2683.3128092763232</v>
      </c>
      <c r="W109" s="85">
        <f t="shared" si="72"/>
        <v>-2854.3954207351703</v>
      </c>
      <c r="X109" s="90">
        <f t="shared" si="73"/>
        <v>2683.3128092763232</v>
      </c>
      <c r="Y109" s="86">
        <f t="shared" si="74"/>
        <v>-23165.455249999999</v>
      </c>
      <c r="Z109" s="85">
        <f t="shared" si="75"/>
        <v>-832.16398485565549</v>
      </c>
      <c r="AA109" s="85">
        <f t="shared" si="76"/>
        <v>-2244.4509580367494</v>
      </c>
      <c r="AB109" s="90">
        <f t="shared" si="77"/>
        <v>832.16398485565549</v>
      </c>
      <c r="AC109" s="86">
        <f t="shared" si="78"/>
        <v>7011.3438900000001</v>
      </c>
      <c r="AD109" s="85">
        <f t="shared" si="79"/>
        <v>2598.140025222212</v>
      </c>
      <c r="AE109" s="85">
        <f t="shared" si="80"/>
        <v>2765.5902739811099</v>
      </c>
      <c r="AF109" s="90">
        <f t="shared" si="81"/>
        <v>2598.140025222212</v>
      </c>
      <c r="AG109" s="86">
        <f t="shared" si="82"/>
        <v>27172.521400000001</v>
      </c>
      <c r="AH109" s="85">
        <f t="shared" si="83"/>
        <v>6183.1314163678471</v>
      </c>
      <c r="AI109" s="85">
        <f t="shared" si="84"/>
        <v>18580.71813530393</v>
      </c>
      <c r="AJ109" s="90">
        <f t="shared" si="85"/>
        <v>6183.1314163678471</v>
      </c>
      <c r="AL109" s="95">
        <f t="shared" si="86"/>
        <v>0</v>
      </c>
      <c r="AM109" s="95">
        <f t="shared" si="87"/>
        <v>0</v>
      </c>
      <c r="AN109" s="95">
        <f t="shared" si="88"/>
        <v>0</v>
      </c>
      <c r="AO109" s="95">
        <f t="shared" si="89"/>
        <v>0</v>
      </c>
      <c r="AP109"/>
      <c r="AQ109" s="95">
        <f t="shared" si="90"/>
        <v>0</v>
      </c>
      <c r="AR109" s="95">
        <f t="shared" si="91"/>
        <v>0</v>
      </c>
      <c r="AS109" s="95">
        <f>Geraetedaten!$B$94*ABS(SIN(RADIANS($A109)))</f>
        <v>144.71266360102987</v>
      </c>
      <c r="AT109" s="95">
        <f>Geraetedaten!$B$94*ABS(COS(RADIANS($A109)))</f>
        <v>52.671102072152998</v>
      </c>
      <c r="AU109" s="95">
        <f>((h_Aw_Sw+Geraetedaten!$B$18)/1000)*(AQ109*AS109+AR109*AT109)/100</f>
        <v>0</v>
      </c>
    </row>
    <row r="110" spans="1:47" ht="13.5" x14ac:dyDescent="0.25">
      <c r="A110" s="16">
        <v>71</v>
      </c>
      <c r="B110" s="16">
        <f t="shared" si="59"/>
        <v>379</v>
      </c>
      <c r="C110" s="19">
        <f t="shared" si="60"/>
        <v>69.835646424666692</v>
      </c>
      <c r="D110" s="17">
        <f t="shared" si="61"/>
        <v>-7155.3996764246658</v>
      </c>
      <c r="E110" s="17">
        <f t="shared" si="62"/>
        <v>-24298.156086424668</v>
      </c>
      <c r="F110" s="17">
        <f t="shared" si="63"/>
        <v>6898.2106735753341</v>
      </c>
      <c r="G110" s="17">
        <f t="shared" si="64"/>
        <v>28521.049013575332</v>
      </c>
      <c r="H110" s="17">
        <f t="shared" si="92"/>
        <v>6898.2106735753341</v>
      </c>
      <c r="I110" s="17">
        <f t="shared" si="65"/>
        <v>2748.5117592375623</v>
      </c>
      <c r="J110" s="20">
        <f>(Geraetedaten!$B$152+(Geraetedaten!$B$153*(Geraetedaten!$B$18+d_y_Sw)/1000))*10</f>
        <v>6051.0442000000003</v>
      </c>
      <c r="K110" s="20">
        <f>(Geraetedaten!$B$165+(Geraetedaten!$B$166*(Geraetedaten!$B$18+d_y_Sw)/1000))*10</f>
        <v>10816.164000000001</v>
      </c>
      <c r="L110" s="20">
        <f>(Geraetedaten!$B$158+(Geraetedaten!$B$159*(Geraetedaten!$B$18+d_y_Sw)/1000)-(Geraetedaten!$B$160*I110/1000))*10</f>
        <v>399.98823269510933</v>
      </c>
      <c r="M110" s="20">
        <f>(Geraetedaten!$B$171+(Geraetedaten!$B$172*(Geraetedaten!$B$18+d_y_Sw)/1000)-(Geraetedaten!$B$173*I110/1000))*10</f>
        <v>860.26778464235679</v>
      </c>
      <c r="N110" s="20">
        <f>IF((H110-J110)/(K110-J110)*(Geraetedaten!$B$174-Geraetedaten!$B$161)&lt;Geraetedaten!$B$174,(H110-J110)/(K110-J110)*(Geraetedaten!$B$174-Geraetedaten!$B$161),Geraetedaten!$B$174)</f>
        <v>71.113970614156116</v>
      </c>
      <c r="O110" s="20">
        <f>N110/Geraetedaten!$B$174*(M110-L110)+L110+C110</f>
        <v>551.65464544845975</v>
      </c>
      <c r="P110" s="20">
        <f t="shared" si="66"/>
        <v>196.84830447961943</v>
      </c>
      <c r="Q110" s="21">
        <f>(N110-Geraetedaten!$B$161)/(Geraetedaten!$B$174-Geraetedaten!$B$161)*(Geraetedaten!$B$175-Geraetedaten!$B$162)+Geraetedaten!$B$162</f>
        <v>31.315640625771145</v>
      </c>
      <c r="R110" s="21">
        <f t="shared" si="67"/>
        <v>31.315640625771145</v>
      </c>
      <c r="S110" s="21">
        <f t="shared" si="68"/>
        <v>29.609519918459227</v>
      </c>
      <c r="T110" s="88">
        <f t="shared" si="69"/>
        <v>10.195375324175874</v>
      </c>
      <c r="U110" s="86">
        <f t="shared" si="70"/>
        <v>-7085.5640299999995</v>
      </c>
      <c r="V110" s="85">
        <f t="shared" si="71"/>
        <v>-2683.3128092763232</v>
      </c>
      <c r="W110" s="85">
        <f t="shared" si="72"/>
        <v>-2836.8681180996991</v>
      </c>
      <c r="X110" s="90">
        <f t="shared" si="73"/>
        <v>2683.3128092763232</v>
      </c>
      <c r="Y110" s="86">
        <f t="shared" si="74"/>
        <v>-24228.32044</v>
      </c>
      <c r="Z110" s="85">
        <f t="shared" si="75"/>
        <v>-832.16398485565549</v>
      </c>
      <c r="AA110" s="85">
        <f t="shared" si="76"/>
        <v>-2347.4296717279581</v>
      </c>
      <c r="AB110" s="90">
        <f t="shared" si="77"/>
        <v>832.16398485565549</v>
      </c>
      <c r="AC110" s="86">
        <f t="shared" si="78"/>
        <v>6968.0463200000004</v>
      </c>
      <c r="AD110" s="85">
        <f t="shared" si="79"/>
        <v>2598.140025222212</v>
      </c>
      <c r="AE110" s="85">
        <f t="shared" si="80"/>
        <v>2748.5117592375623</v>
      </c>
      <c r="AF110" s="90">
        <f t="shared" si="81"/>
        <v>2598.140025222212</v>
      </c>
      <c r="AG110" s="86">
        <f t="shared" si="82"/>
        <v>28590.88466</v>
      </c>
      <c r="AH110" s="85">
        <f t="shared" si="83"/>
        <v>6183.1314163678471</v>
      </c>
      <c r="AI110" s="85">
        <f t="shared" si="84"/>
        <v>19550.602657877833</v>
      </c>
      <c r="AJ110" s="90">
        <f t="shared" si="85"/>
        <v>6183.1314163678471</v>
      </c>
      <c r="AL110" s="95">
        <f t="shared" si="86"/>
        <v>0</v>
      </c>
      <c r="AM110" s="95">
        <f t="shared" si="87"/>
        <v>0</v>
      </c>
      <c r="AN110" s="95">
        <f t="shared" si="88"/>
        <v>0</v>
      </c>
      <c r="AO110" s="95">
        <f t="shared" si="89"/>
        <v>0</v>
      </c>
      <c r="AP110"/>
      <c r="AQ110" s="95">
        <f t="shared" si="90"/>
        <v>0</v>
      </c>
      <c r="AR110" s="95">
        <f t="shared" si="91"/>
        <v>0</v>
      </c>
      <c r="AS110" s="95">
        <f>Geraetedaten!$B$94*ABS(SIN(RADIANS($A110)))</f>
        <v>145.60986064229479</v>
      </c>
      <c r="AT110" s="95">
        <f>Geraetedaten!$B$94*ABS(COS(RADIANS($A110)))</f>
        <v>50.137495786402141</v>
      </c>
      <c r="AU110" s="95">
        <f>((h_Aw_Sw+Geraetedaten!$B$18)/1000)*(AQ110*AS110+AR110*AT110)/100</f>
        <v>0</v>
      </c>
    </row>
    <row r="111" spans="1:47" ht="13.5" x14ac:dyDescent="0.25">
      <c r="A111" s="16">
        <v>72</v>
      </c>
      <c r="B111" s="16">
        <f t="shared" si="59"/>
        <v>378</v>
      </c>
      <c r="C111" s="19">
        <f t="shared" si="60"/>
        <v>69.691917091003489</v>
      </c>
      <c r="D111" s="17">
        <f t="shared" si="61"/>
        <v>-7114.1455670910036</v>
      </c>
      <c r="E111" s="17">
        <f t="shared" si="62"/>
        <v>-25471.208887091005</v>
      </c>
      <c r="F111" s="17">
        <f t="shared" si="63"/>
        <v>6857.6855029089966</v>
      </c>
      <c r="G111" s="17">
        <f t="shared" si="64"/>
        <v>30105.481402908998</v>
      </c>
      <c r="H111" s="17">
        <f t="shared" si="92"/>
        <v>6857.6855029089966</v>
      </c>
      <c r="I111" s="17">
        <f t="shared" si="65"/>
        <v>2732.4701102840177</v>
      </c>
      <c r="J111" s="20">
        <f>(Geraetedaten!$B$152+(Geraetedaten!$B$153*(Geraetedaten!$B$18+d_y_Sw)/1000))*10</f>
        <v>6051.0442000000003</v>
      </c>
      <c r="K111" s="20">
        <f>(Geraetedaten!$B$165+(Geraetedaten!$B$166*(Geraetedaten!$B$18+d_y_Sw)/1000))*10</f>
        <v>10816.164000000001</v>
      </c>
      <c r="L111" s="20">
        <f>(Geraetedaten!$B$158+(Geraetedaten!$B$159*(Geraetedaten!$B$18+d_y_Sw)/1000)-(Geraetedaten!$B$160*I111/1000))*10</f>
        <v>401.16456681287275</v>
      </c>
      <c r="M111" s="20">
        <f>(Geraetedaten!$B$171+(Geraetedaten!$B$172*(Geraetedaten!$B$18+d_y_Sw)/1000)-(Geraetedaten!$B$173*I111/1000))*10</f>
        <v>861.46192499045867</v>
      </c>
      <c r="N111" s="20">
        <f>IF((H111-J111)/(K111-J111)*(Geraetedaten!$B$174-Geraetedaten!$B$161)&lt;Geraetedaten!$B$174,(H111-J111)/(K111-J111)*(Geraetedaten!$B$174-Geraetedaten!$B$161),Geraetedaten!$B$174)</f>
        <v>67.712153042531796</v>
      </c>
      <c r="O111" s="20">
        <f>N111/Geraetedaten!$B$174*(M111-L111)+L111+C111</f>
        <v>548.77579680886072</v>
      </c>
      <c r="P111" s="20">
        <f t="shared" si="66"/>
        <v>196.40655187590841</v>
      </c>
      <c r="Q111" s="21">
        <f>(N111-Geraetedaten!$B$161)/(Geraetedaten!$B$174-Geraetedaten!$B$161)*(Geraetedaten!$B$175-Geraetedaten!$B$162)+Geraetedaten!$B$162</f>
        <v>31.214436553015322</v>
      </c>
      <c r="R111" s="21">
        <f t="shared" si="67"/>
        <v>31.214436553015322</v>
      </c>
      <c r="S111" s="21">
        <f t="shared" si="68"/>
        <v>29.686693286226852</v>
      </c>
      <c r="T111" s="88">
        <f t="shared" si="69"/>
        <v>9.6457913647202904</v>
      </c>
      <c r="U111" s="86">
        <f t="shared" si="70"/>
        <v>-7044.4536500000004</v>
      </c>
      <c r="V111" s="85">
        <f t="shared" si="71"/>
        <v>-2683.3128092763232</v>
      </c>
      <c r="W111" s="85">
        <f t="shared" si="72"/>
        <v>-2820.4086337824042</v>
      </c>
      <c r="X111" s="90">
        <f t="shared" si="73"/>
        <v>2683.3128092763232</v>
      </c>
      <c r="Y111" s="86">
        <f t="shared" si="74"/>
        <v>-25401.516970000001</v>
      </c>
      <c r="Z111" s="85">
        <f t="shared" si="75"/>
        <v>-832.16398485565549</v>
      </c>
      <c r="AA111" s="85">
        <f t="shared" si="76"/>
        <v>-2461.0981519076968</v>
      </c>
      <c r="AB111" s="90">
        <f t="shared" si="77"/>
        <v>832.16398485565549</v>
      </c>
      <c r="AC111" s="86">
        <f t="shared" si="78"/>
        <v>6927.3774199999998</v>
      </c>
      <c r="AD111" s="85">
        <f t="shared" si="79"/>
        <v>2598.140025222212</v>
      </c>
      <c r="AE111" s="85">
        <f t="shared" si="80"/>
        <v>2732.4701102840177</v>
      </c>
      <c r="AF111" s="90">
        <f t="shared" si="81"/>
        <v>2598.140025222212</v>
      </c>
      <c r="AG111" s="86">
        <f t="shared" si="82"/>
        <v>30175.173320000002</v>
      </c>
      <c r="AH111" s="85">
        <f t="shared" si="83"/>
        <v>6183.1314163678471</v>
      </c>
      <c r="AI111" s="85">
        <f t="shared" si="84"/>
        <v>20633.947872515742</v>
      </c>
      <c r="AJ111" s="90">
        <f t="shared" si="85"/>
        <v>6183.1314163678471</v>
      </c>
      <c r="AL111" s="95">
        <f t="shared" si="86"/>
        <v>0</v>
      </c>
      <c r="AM111" s="95">
        <f t="shared" si="87"/>
        <v>0</v>
      </c>
      <c r="AN111" s="95">
        <f t="shared" si="88"/>
        <v>0</v>
      </c>
      <c r="AO111" s="95">
        <f t="shared" si="89"/>
        <v>0</v>
      </c>
      <c r="AP111"/>
      <c r="AQ111" s="95">
        <f t="shared" si="90"/>
        <v>0</v>
      </c>
      <c r="AR111" s="95">
        <f t="shared" si="91"/>
        <v>0</v>
      </c>
      <c r="AS111" s="95">
        <f>Geraetedaten!$B$94*ABS(SIN(RADIANS($A111)))</f>
        <v>146.46270350945363</v>
      </c>
      <c r="AT111" s="95">
        <f>Geraetedaten!$B$94*ABS(COS(RADIANS($A111)))</f>
        <v>47.588617133741906</v>
      </c>
      <c r="AU111" s="95">
        <f>((h_Aw_Sw+Geraetedaten!$B$18)/1000)*(AQ111*AS111+AR111*AT111)/100</f>
        <v>0</v>
      </c>
    </row>
    <row r="112" spans="1:47" ht="13.5" x14ac:dyDescent="0.25">
      <c r="A112" s="16">
        <v>73</v>
      </c>
      <c r="B112" s="16">
        <f t="shared" si="59"/>
        <v>377</v>
      </c>
      <c r="C112" s="19">
        <f t="shared" si="60"/>
        <v>69.526958924273615</v>
      </c>
      <c r="D112" s="17">
        <f t="shared" si="61"/>
        <v>-7075.4662889242736</v>
      </c>
      <c r="E112" s="17">
        <f t="shared" si="62"/>
        <v>-26772.188198924276</v>
      </c>
      <c r="F112" s="17">
        <f t="shared" si="63"/>
        <v>6819.7398910757265</v>
      </c>
      <c r="G112" s="17">
        <f t="shared" si="64"/>
        <v>31886.118381075725</v>
      </c>
      <c r="H112" s="17">
        <f t="shared" si="92"/>
        <v>6819.7398910757265</v>
      </c>
      <c r="I112" s="17">
        <f t="shared" si="65"/>
        <v>2717.4375831201778</v>
      </c>
      <c r="J112" s="20">
        <f>(Geraetedaten!$B$152+(Geraetedaten!$B$153*(Geraetedaten!$B$18+d_y_Sw)/1000))*10</f>
        <v>6051.0442000000003</v>
      </c>
      <c r="K112" s="20">
        <f>(Geraetedaten!$B$165+(Geraetedaten!$B$166*(Geraetedaten!$B$18+d_y_Sw)/1000))*10</f>
        <v>10816.164000000001</v>
      </c>
      <c r="L112" s="20">
        <f>(Geraetedaten!$B$158+(Geraetedaten!$B$159*(Geraetedaten!$B$18+d_y_Sw)/1000)-(Geraetedaten!$B$160*I112/1000))*10</f>
        <v>402.26690202979711</v>
      </c>
      <c r="M112" s="20">
        <f>(Geraetedaten!$B$171+(Geraetedaten!$B$172*(Geraetedaten!$B$18+d_y_Sw)/1000)-(Geraetedaten!$B$173*I112/1000))*10</f>
        <v>862.58094631253482</v>
      </c>
      <c r="N112" s="20">
        <f>IF((H112-J112)/(K112-J112)*(Geraetedaten!$B$174-Geraetedaten!$B$161)&lt;Geraetedaten!$B$174,(H112-J112)/(K112-J112)*(Geraetedaten!$B$174-Geraetedaten!$B$161),Geraetedaten!$B$174)</f>
        <v>64.526872216369142</v>
      </c>
      <c r="O112" s="20">
        <f>N112/Geraetedaten!$B$174*(M112-L112)+L112+C112</f>
        <v>546.05042474115146</v>
      </c>
      <c r="P112" s="20">
        <f t="shared" si="66"/>
        <v>195.97974890289285</v>
      </c>
      <c r="Q112" s="21">
        <f>(N112-Geraetedaten!$B$161)/(Geraetedaten!$B$174-Geraetedaten!$B$161)*(Geraetedaten!$B$175-Geraetedaten!$B$162)+Geraetedaten!$B$162</f>
        <v>31.119674448436982</v>
      </c>
      <c r="R112" s="21">
        <f t="shared" si="67"/>
        <v>31.119674448436982</v>
      </c>
      <c r="S112" s="21">
        <f t="shared" si="68"/>
        <v>29.759892679061636</v>
      </c>
      <c r="T112" s="88">
        <f t="shared" si="69"/>
        <v>9.0985122689061129</v>
      </c>
      <c r="U112" s="86">
        <f t="shared" si="70"/>
        <v>-7005.9393300000002</v>
      </c>
      <c r="V112" s="85">
        <f t="shared" si="71"/>
        <v>-2683.3128092763232</v>
      </c>
      <c r="W112" s="85">
        <f t="shared" si="72"/>
        <v>-2804.9885411772243</v>
      </c>
      <c r="X112" s="90">
        <f t="shared" si="73"/>
        <v>2683.3128092763232</v>
      </c>
      <c r="Y112" s="86">
        <f t="shared" si="74"/>
        <v>-26702.661240000001</v>
      </c>
      <c r="Z112" s="85">
        <f t="shared" si="75"/>
        <v>-832.16398485565549</v>
      </c>
      <c r="AA112" s="85">
        <f t="shared" si="76"/>
        <v>-2587.1632112119241</v>
      </c>
      <c r="AB112" s="90">
        <f t="shared" si="77"/>
        <v>832.16398485565549</v>
      </c>
      <c r="AC112" s="86">
        <f t="shared" si="78"/>
        <v>6889.26685</v>
      </c>
      <c r="AD112" s="85">
        <f t="shared" si="79"/>
        <v>2598.140025222212</v>
      </c>
      <c r="AE112" s="85">
        <f t="shared" si="80"/>
        <v>2717.4375831201778</v>
      </c>
      <c r="AF112" s="90">
        <f t="shared" si="81"/>
        <v>2598.140025222212</v>
      </c>
      <c r="AG112" s="86">
        <f t="shared" si="82"/>
        <v>31955.645339999999</v>
      </c>
      <c r="AH112" s="85">
        <f t="shared" si="83"/>
        <v>6183.1314163678471</v>
      </c>
      <c r="AI112" s="85">
        <f t="shared" si="84"/>
        <v>21851.444337653516</v>
      </c>
      <c r="AJ112" s="90">
        <f t="shared" si="85"/>
        <v>6183.1314163678471</v>
      </c>
      <c r="AL112" s="95">
        <f t="shared" si="86"/>
        <v>0</v>
      </c>
      <c r="AM112" s="95">
        <f t="shared" si="87"/>
        <v>0</v>
      </c>
      <c r="AN112" s="95">
        <f t="shared" si="88"/>
        <v>0</v>
      </c>
      <c r="AO112" s="95">
        <f t="shared" si="89"/>
        <v>0</v>
      </c>
      <c r="AP112"/>
      <c r="AQ112" s="95">
        <f t="shared" si="90"/>
        <v>0</v>
      </c>
      <c r="AR112" s="95">
        <f t="shared" si="91"/>
        <v>0</v>
      </c>
      <c r="AS112" s="95">
        <f>Geraetedaten!$B$94*ABS(SIN(RADIANS($A112)))</f>
        <v>147.27093241830747</v>
      </c>
      <c r="AT112" s="95">
        <f>Geraetedaten!$B$94*ABS(COS(RADIANS($A112)))</f>
        <v>45.025242527301465</v>
      </c>
      <c r="AU112" s="95">
        <f>((h_Aw_Sw+Geraetedaten!$B$18)/1000)*(AQ112*AS112+AR112*AT112)/100</f>
        <v>0</v>
      </c>
    </row>
    <row r="113" spans="1:47" ht="13.5" x14ac:dyDescent="0.25">
      <c r="A113" s="16">
        <v>74</v>
      </c>
      <c r="B113" s="16">
        <f t="shared" si="59"/>
        <v>376</v>
      </c>
      <c r="C113" s="19">
        <f t="shared" si="60"/>
        <v>69.340822172332622</v>
      </c>
      <c r="D113" s="17">
        <f t="shared" si="61"/>
        <v>-7039.296252172333</v>
      </c>
      <c r="E113" s="17">
        <f t="shared" si="62"/>
        <v>-28222.678892172335</v>
      </c>
      <c r="F113" s="17">
        <f t="shared" si="63"/>
        <v>6784.3087578276673</v>
      </c>
      <c r="G113" s="17">
        <f t="shared" si="64"/>
        <v>33901.059867827673</v>
      </c>
      <c r="H113" s="17">
        <f t="shared" si="92"/>
        <v>6784.3087578276673</v>
      </c>
      <c r="I113" s="17">
        <f t="shared" si="65"/>
        <v>2703.388524958501</v>
      </c>
      <c r="J113" s="20">
        <f>(Geraetedaten!$B$152+(Geraetedaten!$B$153*(Geraetedaten!$B$18+d_y_Sw)/1000))*10</f>
        <v>6051.0442000000003</v>
      </c>
      <c r="K113" s="20">
        <f>(Geraetedaten!$B$165+(Geraetedaten!$B$166*(Geraetedaten!$B$18+d_y_Sw)/1000))*10</f>
        <v>10816.164000000001</v>
      </c>
      <c r="L113" s="20">
        <f>(Geraetedaten!$B$158+(Geraetedaten!$B$159*(Geraetedaten!$B$18+d_y_Sw)/1000)-(Geraetedaten!$B$160*I113/1000))*10</f>
        <v>403.2971194647929</v>
      </c>
      <c r="M113" s="20">
        <f>(Geraetedaten!$B$171+(Geraetedaten!$B$172*(Geraetedaten!$B$18+d_y_Sw)/1000)-(Geraetedaten!$B$173*I113/1000))*10</f>
        <v>863.62675820209006</v>
      </c>
      <c r="N113" s="20">
        <f>IF((H113-J113)/(K113-J113)*(Geraetedaten!$B$174-Geraetedaten!$B$161)&lt;Geraetedaten!$B$174,(H113-J113)/(K113-J113)*(Geraetedaten!$B$174-Geraetedaten!$B$161),Geraetedaten!$B$174)</f>
        <v>61.552665083271727</v>
      </c>
      <c r="O113" s="20">
        <f>N113/Geraetedaten!$B$174*(M113-L113)+L113+C113</f>
        <v>543.47423183987632</v>
      </c>
      <c r="P113" s="20">
        <f t="shared" si="66"/>
        <v>195.56766587955147</v>
      </c>
      <c r="Q113" s="21">
        <f>(N113-Geraetedaten!$B$161)/(Geraetedaten!$B$174-Geraetedaten!$B$161)*(Geraetedaten!$B$175-Geraetedaten!$B$162)+Geraetedaten!$B$162</f>
        <v>31.031191786227332</v>
      </c>
      <c r="R113" s="21">
        <f t="shared" si="67"/>
        <v>31.031191786227332</v>
      </c>
      <c r="S113" s="21">
        <f t="shared" si="68"/>
        <v>29.829096043416115</v>
      </c>
      <c r="T113" s="88">
        <f t="shared" si="69"/>
        <v>8.5533556518058855</v>
      </c>
      <c r="U113" s="86">
        <f t="shared" si="70"/>
        <v>-6969.95543</v>
      </c>
      <c r="V113" s="85">
        <f t="shared" si="71"/>
        <v>-2683.3128092763232</v>
      </c>
      <c r="W113" s="85">
        <f t="shared" si="72"/>
        <v>-2790.5815610696859</v>
      </c>
      <c r="X113" s="90">
        <f t="shared" si="73"/>
        <v>2683.3128092763232</v>
      </c>
      <c r="Y113" s="86">
        <f t="shared" si="74"/>
        <v>-28153.338070000002</v>
      </c>
      <c r="Z113" s="85">
        <f t="shared" si="75"/>
        <v>-832.16398485565549</v>
      </c>
      <c r="AA113" s="85">
        <f t="shared" si="76"/>
        <v>-2727.7161581901119</v>
      </c>
      <c r="AB113" s="90">
        <f t="shared" si="77"/>
        <v>832.16398485565549</v>
      </c>
      <c r="AC113" s="86">
        <f t="shared" si="78"/>
        <v>6853.6495800000002</v>
      </c>
      <c r="AD113" s="85">
        <f t="shared" si="79"/>
        <v>2598.140025222212</v>
      </c>
      <c r="AE113" s="85">
        <f t="shared" si="80"/>
        <v>2703.388524958501</v>
      </c>
      <c r="AF113" s="90">
        <f t="shared" si="81"/>
        <v>2598.140025222212</v>
      </c>
      <c r="AG113" s="86">
        <f t="shared" si="82"/>
        <v>33970.400690000002</v>
      </c>
      <c r="AH113" s="85">
        <f t="shared" si="83"/>
        <v>6183.1314163678471</v>
      </c>
      <c r="AI113" s="85">
        <f t="shared" si="84"/>
        <v>23229.145022123448</v>
      </c>
      <c r="AJ113" s="90">
        <f t="shared" si="85"/>
        <v>6183.1314163678471</v>
      </c>
      <c r="AL113" s="95">
        <f t="shared" si="86"/>
        <v>0</v>
      </c>
      <c r="AM113" s="95">
        <f t="shared" si="87"/>
        <v>0</v>
      </c>
      <c r="AN113" s="95">
        <f t="shared" si="88"/>
        <v>0</v>
      </c>
      <c r="AO113" s="95">
        <f t="shared" si="89"/>
        <v>0</v>
      </c>
      <c r="AP113"/>
      <c r="AQ113" s="95">
        <f t="shared" si="90"/>
        <v>0</v>
      </c>
      <c r="AR113" s="95">
        <f t="shared" si="91"/>
        <v>0</v>
      </c>
      <c r="AS113" s="95">
        <f>Geraetedaten!$B$94*ABS(SIN(RADIANS($A113)))</f>
        <v>148.03430117450111</v>
      </c>
      <c r="AT113" s="95">
        <f>Geraetedaten!$B$94*ABS(COS(RADIANS($A113)))</f>
        <v>42.448152795817869</v>
      </c>
      <c r="AU113" s="95">
        <f>((h_Aw_Sw+Geraetedaten!$B$18)/1000)*(AQ113*AS113+AR113*AT113)/100</f>
        <v>0</v>
      </c>
    </row>
    <row r="114" spans="1:47" ht="13.5" x14ac:dyDescent="0.25">
      <c r="A114" s="16">
        <v>75</v>
      </c>
      <c r="B114" s="16">
        <f t="shared" si="59"/>
        <v>375</v>
      </c>
      <c r="C114" s="19">
        <f t="shared" si="60"/>
        <v>69.133563534238306</v>
      </c>
      <c r="D114" s="17">
        <f t="shared" si="61"/>
        <v>-7005.5749535342384</v>
      </c>
      <c r="E114" s="17">
        <f t="shared" si="62"/>
        <v>-29849.418023534236</v>
      </c>
      <c r="F114" s="17">
        <f t="shared" si="63"/>
        <v>6751.3320264657614</v>
      </c>
      <c r="G114" s="17">
        <f t="shared" si="64"/>
        <v>36198.963706465758</v>
      </c>
      <c r="H114" s="17">
        <f t="shared" si="92"/>
        <v>6751.3320264657614</v>
      </c>
      <c r="I114" s="17">
        <f t="shared" si="65"/>
        <v>2690.2992621926164</v>
      </c>
      <c r="J114" s="20">
        <f>(Geraetedaten!$B$152+(Geraetedaten!$B$153*(Geraetedaten!$B$18+d_y_Sw)/1000))*10</f>
        <v>6051.0442000000003</v>
      </c>
      <c r="K114" s="20">
        <f>(Geraetedaten!$B$165+(Geraetedaten!$B$166*(Geraetedaten!$B$18+d_y_Sw)/1000))*10</f>
        <v>10816.164000000001</v>
      </c>
      <c r="L114" s="20">
        <f>(Geraetedaten!$B$158+(Geraetedaten!$B$159*(Geraetedaten!$B$18+d_y_Sw)/1000)-(Geraetedaten!$B$160*I114/1000))*10</f>
        <v>404.25695510341529</v>
      </c>
      <c r="M114" s="20">
        <f>(Geraetedaten!$B$171+(Geraetedaten!$B$172*(Geraetedaten!$B$18+d_y_Sw)/1000)-(Geraetedaten!$B$173*I114/1000))*10</f>
        <v>864.6011229223825</v>
      </c>
      <c r="N114" s="20">
        <f>IF((H114-J114)/(K114-J114)*(Geraetedaten!$B$174-Geraetedaten!$B$161)&lt;Geraetedaten!$B$174,(H114-J114)/(K114-J114)*(Geraetedaten!$B$174-Geraetedaten!$B$161),Geraetedaten!$B$174)</f>
        <v>58.7844886053661</v>
      </c>
      <c r="O114" s="20">
        <f>N114/Geraetedaten!$B$174*(M114-L114)+L114+C114</f>
        <v>541.04325985690571</v>
      </c>
      <c r="P114" s="20">
        <f t="shared" si="66"/>
        <v>195.17009565057393</v>
      </c>
      <c r="Q114" s="21">
        <f>(N114-Geraetedaten!$B$161)/(Geraetedaten!$B$174-Geraetedaten!$B$161)*(Geraetedaten!$B$175-Geraetedaten!$B$162)+Geraetedaten!$B$162</f>
        <v>30.948838536009642</v>
      </c>
      <c r="R114" s="21">
        <f t="shared" si="67"/>
        <v>30.948838536009642</v>
      </c>
      <c r="S114" s="21">
        <f t="shared" si="68"/>
        <v>29.894282435582074</v>
      </c>
      <c r="T114" s="88">
        <f t="shared" si="69"/>
        <v>8.0101488369221112</v>
      </c>
      <c r="U114" s="86">
        <f t="shared" si="70"/>
        <v>-6936.44139</v>
      </c>
      <c r="V114" s="85">
        <f t="shared" si="71"/>
        <v>-2683.3128092763232</v>
      </c>
      <c r="W114" s="85">
        <f t="shared" si="72"/>
        <v>-2777.1634470792069</v>
      </c>
      <c r="X114" s="90">
        <f t="shared" si="73"/>
        <v>2683.3128092763232</v>
      </c>
      <c r="Y114" s="86">
        <f t="shared" si="74"/>
        <v>-29780.284459999999</v>
      </c>
      <c r="Z114" s="85">
        <f t="shared" si="75"/>
        <v>-832.16398485565549</v>
      </c>
      <c r="AA114" s="85">
        <f t="shared" si="76"/>
        <v>-2885.3474819610879</v>
      </c>
      <c r="AB114" s="90">
        <f t="shared" si="77"/>
        <v>832.16398485565549</v>
      </c>
      <c r="AC114" s="86">
        <f t="shared" si="78"/>
        <v>6820.4655899999998</v>
      </c>
      <c r="AD114" s="85">
        <f t="shared" si="79"/>
        <v>2598.140025222212</v>
      </c>
      <c r="AE114" s="85">
        <f t="shared" si="80"/>
        <v>2690.2992621926164</v>
      </c>
      <c r="AF114" s="90">
        <f t="shared" si="81"/>
        <v>2598.140025222212</v>
      </c>
      <c r="AG114" s="86">
        <f t="shared" si="82"/>
        <v>36268.097269999998</v>
      </c>
      <c r="AH114" s="85">
        <f t="shared" si="83"/>
        <v>6183.1314163678471</v>
      </c>
      <c r="AI114" s="85">
        <f t="shared" si="84"/>
        <v>24800.322452892236</v>
      </c>
      <c r="AJ114" s="90">
        <f t="shared" si="85"/>
        <v>6183.1314163678471</v>
      </c>
      <c r="AL114" s="95">
        <f t="shared" si="86"/>
        <v>0</v>
      </c>
      <c r="AM114" s="95">
        <f t="shared" si="87"/>
        <v>0</v>
      </c>
      <c r="AN114" s="95">
        <f t="shared" si="88"/>
        <v>0</v>
      </c>
      <c r="AO114" s="95">
        <f t="shared" si="89"/>
        <v>0</v>
      </c>
      <c r="AP114"/>
      <c r="AQ114" s="95">
        <f t="shared" si="90"/>
        <v>0</v>
      </c>
      <c r="AR114" s="95">
        <f t="shared" si="91"/>
        <v>0</v>
      </c>
      <c r="AS114" s="95">
        <f>Geraetedaten!$B$94*ABS(SIN(RADIANS($A114)))</f>
        <v>148.75257724851653</v>
      </c>
      <c r="AT114" s="95">
        <f>Geraetedaten!$B$94*ABS(COS(RADIANS($A114)))</f>
        <v>39.858132945788192</v>
      </c>
      <c r="AU114" s="95">
        <f>((h_Aw_Sw+Geraetedaten!$B$18)/1000)*(AQ114*AS114+AR114*AT114)/100</f>
        <v>0</v>
      </c>
    </row>
    <row r="115" spans="1:47" ht="13.5" x14ac:dyDescent="0.25">
      <c r="A115" s="16">
        <v>76</v>
      </c>
      <c r="B115" s="16">
        <f t="shared" si="59"/>
        <v>374</v>
      </c>
      <c r="C115" s="19">
        <f t="shared" si="60"/>
        <v>68.905246142979607</v>
      </c>
      <c r="D115" s="17">
        <f t="shared" si="61"/>
        <v>-6974.2467161429795</v>
      </c>
      <c r="E115" s="17">
        <f t="shared" si="62"/>
        <v>-31685.929026142978</v>
      </c>
      <c r="F115" s="17">
        <f t="shared" si="63"/>
        <v>6720.7543738570212</v>
      </c>
      <c r="G115" s="17">
        <f t="shared" si="64"/>
        <v>38842.974233857021</v>
      </c>
      <c r="H115" s="17">
        <f t="shared" si="92"/>
        <v>6720.7543738570212</v>
      </c>
      <c r="I115" s="17">
        <f t="shared" si="65"/>
        <v>2678.1479987951193</v>
      </c>
      <c r="J115" s="20">
        <f>(Geraetedaten!$B$152+(Geraetedaten!$B$153*(Geraetedaten!$B$18+d_y_Sw)/1000))*10</f>
        <v>6051.0442000000003</v>
      </c>
      <c r="K115" s="20">
        <f>(Geraetedaten!$B$165+(Geraetedaten!$B$166*(Geraetedaten!$B$18+d_y_Sw)/1000))*10</f>
        <v>10816.164000000001</v>
      </c>
      <c r="L115" s="20">
        <f>(Geraetedaten!$B$158+(Geraetedaten!$B$159*(Geraetedaten!$B$18+d_y_Sw)/1000)-(Geraetedaten!$B$160*I115/1000))*10</f>
        <v>405.14800724835368</v>
      </c>
      <c r="M115" s="20">
        <f>(Geraetedaten!$B$171+(Geraetedaten!$B$172*(Geraetedaten!$B$18+d_y_Sw)/1000)-(Geraetedaten!$B$173*I115/1000))*10</f>
        <v>865.50566296969225</v>
      </c>
      <c r="N115" s="20">
        <f>IF((H115-J115)/(K115-J115)*(Geraetedaten!$B$174-Geraetedaten!$B$161)&lt;Geraetedaten!$B$174,(H115-J115)/(K115-J115)*(Geraetedaten!$B$174-Geraetedaten!$B$161),Geraetedaten!$B$174)</f>
        <v>56.217698774920279</v>
      </c>
      <c r="O115" s="20">
        <f>N115/Geraetedaten!$B$174*(M115-L115)+L115+C115</f>
        <v>538.75387343650993</v>
      </c>
      <c r="P115" s="20">
        <f t="shared" si="66"/>
        <v>194.78685342311746</v>
      </c>
      <c r="Q115" s="21">
        <f>(N115-Geraetedaten!$B$161)/(Geraetedaten!$B$174-Geraetedaten!$B$161)*(Geraetedaten!$B$175-Geraetedaten!$B$162)+Geraetedaten!$B$162</f>
        <v>30.872476538553876</v>
      </c>
      <c r="R115" s="21">
        <f t="shared" si="67"/>
        <v>30.872476538553876</v>
      </c>
      <c r="S115" s="21">
        <f t="shared" si="68"/>
        <v>29.955432044914794</v>
      </c>
      <c r="T115" s="88">
        <f t="shared" si="69"/>
        <v>7.4687280460632204</v>
      </c>
      <c r="U115" s="86">
        <f t="shared" si="70"/>
        <v>-6905.3414700000003</v>
      </c>
      <c r="V115" s="85">
        <f t="shared" si="71"/>
        <v>-2683.3128092763232</v>
      </c>
      <c r="W115" s="85">
        <f t="shared" si="72"/>
        <v>-2764.7118817786895</v>
      </c>
      <c r="X115" s="90">
        <f t="shared" si="73"/>
        <v>2683.3128092763232</v>
      </c>
      <c r="Y115" s="86">
        <f t="shared" si="74"/>
        <v>-31617.02378</v>
      </c>
      <c r="Z115" s="85">
        <f t="shared" si="75"/>
        <v>-832.16398485565549</v>
      </c>
      <c r="AA115" s="85">
        <f t="shared" si="76"/>
        <v>-3063.3051909304104</v>
      </c>
      <c r="AB115" s="90">
        <f t="shared" si="77"/>
        <v>832.16398485565549</v>
      </c>
      <c r="AC115" s="86">
        <f t="shared" si="78"/>
        <v>6789.6596200000004</v>
      </c>
      <c r="AD115" s="85">
        <f t="shared" si="79"/>
        <v>2598.140025222212</v>
      </c>
      <c r="AE115" s="85">
        <f t="shared" si="80"/>
        <v>2678.1479987951193</v>
      </c>
      <c r="AF115" s="90">
        <f t="shared" si="81"/>
        <v>2598.140025222212</v>
      </c>
      <c r="AG115" s="86">
        <f t="shared" si="82"/>
        <v>38911.879480000003</v>
      </c>
      <c r="AH115" s="85">
        <f t="shared" si="83"/>
        <v>6183.1314163678471</v>
      </c>
      <c r="AI115" s="85">
        <f t="shared" si="84"/>
        <v>26608.155128511902</v>
      </c>
      <c r="AJ115" s="90">
        <f t="shared" si="85"/>
        <v>6183.1314163678471</v>
      </c>
      <c r="AL115" s="95">
        <f t="shared" si="86"/>
        <v>0</v>
      </c>
      <c r="AM115" s="95">
        <f t="shared" si="87"/>
        <v>0</v>
      </c>
      <c r="AN115" s="95">
        <f t="shared" si="88"/>
        <v>0</v>
      </c>
      <c r="AO115" s="95">
        <f t="shared" si="89"/>
        <v>0</v>
      </c>
      <c r="AP115"/>
      <c r="AQ115" s="95">
        <f t="shared" si="90"/>
        <v>0</v>
      </c>
      <c r="AR115" s="95">
        <f t="shared" si="91"/>
        <v>0</v>
      </c>
      <c r="AS115" s="95">
        <f>Geraetedaten!$B$94*ABS(SIN(RADIANS($A115)))</f>
        <v>149.42554184650345</v>
      </c>
      <c r="AT115" s="95">
        <f>Geraetedaten!$B$94*ABS(COS(RADIANS($A115)))</f>
        <v>37.25597192234882</v>
      </c>
      <c r="AU115" s="95">
        <f>((h_Aw_Sw+Geraetedaten!$B$18)/1000)*(AQ115*AS115+AR115*AT115)/100</f>
        <v>0</v>
      </c>
    </row>
    <row r="116" spans="1:47" ht="13.5" x14ac:dyDescent="0.25">
      <c r="A116" s="16">
        <v>77</v>
      </c>
      <c r="B116" s="16">
        <f t="shared" si="59"/>
        <v>373</v>
      </c>
      <c r="C116" s="19">
        <f t="shared" si="60"/>
        <v>68.655939546245634</v>
      </c>
      <c r="D116" s="17">
        <f t="shared" si="61"/>
        <v>-6945.2604595462453</v>
      </c>
      <c r="E116" s="17">
        <f t="shared" si="62"/>
        <v>-33774.820229546247</v>
      </c>
      <c r="F116" s="17">
        <f t="shared" si="63"/>
        <v>6692.5250104537545</v>
      </c>
      <c r="G116" s="17">
        <f t="shared" si="64"/>
        <v>41916.546250453757</v>
      </c>
      <c r="H116" s="17">
        <f t="shared" si="92"/>
        <v>6692.5250104537545</v>
      </c>
      <c r="I116" s="17">
        <f t="shared" si="65"/>
        <v>2666.9147243018706</v>
      </c>
      <c r="J116" s="20">
        <f>(Geraetedaten!$B$152+(Geraetedaten!$B$153*(Geraetedaten!$B$18+d_y_Sw)/1000))*10</f>
        <v>6051.0442000000003</v>
      </c>
      <c r="K116" s="20">
        <f>(Geraetedaten!$B$165+(Geraetedaten!$B$166*(Geraetedaten!$B$18+d_y_Sw)/1000))*10</f>
        <v>10816.164000000001</v>
      </c>
      <c r="L116" s="20">
        <f>(Geraetedaten!$B$158+(Geraetedaten!$B$159*(Geraetedaten!$B$18+d_y_Sw)/1000)-(Geraetedaten!$B$160*I116/1000))*10</f>
        <v>405.97174326694358</v>
      </c>
      <c r="M116" s="20">
        <f>(Geraetedaten!$B$171+(Geraetedaten!$B$172*(Geraetedaten!$B$18+d_y_Sw)/1000)-(Geraetedaten!$B$173*I116/1000))*10</f>
        <v>866.34186792296975</v>
      </c>
      <c r="N116" s="20">
        <f>IF((H116-J116)/(K116-J116)*(Geraetedaten!$B$174-Geraetedaten!$B$161)&lt;Geraetedaten!$B$174,(H116-J116)/(K116-J116)*(Geraetedaten!$B$174-Geraetedaten!$B$161),Geraetedaten!$B$174)</f>
        <v>53.848032148426086</v>
      </c>
      <c r="O116" s="20">
        <f>N116/Geraetedaten!$B$174*(M116-L116)+L116+C116</f>
        <v>536.60274599482068</v>
      </c>
      <c r="P116" s="20">
        <f t="shared" si="66"/>
        <v>194.41777672536236</v>
      </c>
      <c r="Q116" s="21">
        <f>(N116-Geraetedaten!$B$161)/(Geraetedaten!$B$174-Geraetedaten!$B$161)*(Geraetedaten!$B$175-Geraetedaten!$B$162)+Geraetedaten!$B$162</f>
        <v>30.801978956415674</v>
      </c>
      <c r="R116" s="21">
        <f t="shared" si="67"/>
        <v>30.801978956415674</v>
      </c>
      <c r="S116" s="21">
        <f t="shared" si="68"/>
        <v>30.012526231276194</v>
      </c>
      <c r="T116" s="88">
        <f t="shared" si="69"/>
        <v>6.9289376421232456</v>
      </c>
      <c r="U116" s="86">
        <f t="shared" si="70"/>
        <v>-6876.6045199999999</v>
      </c>
      <c r="V116" s="85">
        <f t="shared" si="71"/>
        <v>-2683.3128092763232</v>
      </c>
      <c r="W116" s="85">
        <f t="shared" si="72"/>
        <v>-2753.2063826314047</v>
      </c>
      <c r="X116" s="90">
        <f t="shared" si="73"/>
        <v>2683.3128092763232</v>
      </c>
      <c r="Y116" s="86">
        <f t="shared" si="74"/>
        <v>-33706.164290000001</v>
      </c>
      <c r="Z116" s="85">
        <f t="shared" si="75"/>
        <v>-832.16398485565549</v>
      </c>
      <c r="AA116" s="85">
        <f t="shared" si="76"/>
        <v>-3265.717504772098</v>
      </c>
      <c r="AB116" s="90">
        <f t="shared" si="77"/>
        <v>832.16398485565549</v>
      </c>
      <c r="AC116" s="86">
        <f t="shared" si="78"/>
        <v>6761.1809499999999</v>
      </c>
      <c r="AD116" s="85">
        <f t="shared" si="79"/>
        <v>2598.140025222212</v>
      </c>
      <c r="AE116" s="85">
        <f t="shared" si="80"/>
        <v>2666.9147243018706</v>
      </c>
      <c r="AF116" s="90">
        <f t="shared" si="81"/>
        <v>2598.140025222212</v>
      </c>
      <c r="AG116" s="86">
        <f t="shared" si="82"/>
        <v>41985.202190000004</v>
      </c>
      <c r="AH116" s="85">
        <f t="shared" si="83"/>
        <v>6183.1314163678471</v>
      </c>
      <c r="AI116" s="85">
        <f t="shared" si="84"/>
        <v>28709.709936635445</v>
      </c>
      <c r="AJ116" s="90">
        <f t="shared" si="85"/>
        <v>6183.1314163678471</v>
      </c>
      <c r="AL116" s="95">
        <f t="shared" si="86"/>
        <v>0</v>
      </c>
      <c r="AM116" s="95">
        <f t="shared" si="87"/>
        <v>0</v>
      </c>
      <c r="AN116" s="95">
        <f t="shared" si="88"/>
        <v>0</v>
      </c>
      <c r="AO116" s="95">
        <f t="shared" si="89"/>
        <v>0</v>
      </c>
      <c r="AP116"/>
      <c r="AQ116" s="95">
        <f t="shared" si="90"/>
        <v>0</v>
      </c>
      <c r="AR116" s="95">
        <f t="shared" si="91"/>
        <v>0</v>
      </c>
      <c r="AS116" s="95">
        <f>Geraetedaten!$B$94*ABS(SIN(RADIANS($A116)))</f>
        <v>150.05298997692623</v>
      </c>
      <c r="AT116" s="95">
        <f>Geraetedaten!$B$94*ABS(COS(RADIANS($A116)))</f>
        <v>34.642462368955201</v>
      </c>
      <c r="AU116" s="95">
        <f>((h_Aw_Sw+Geraetedaten!$B$18)/1000)*(AQ116*AS116+AR116*AT116)/100</f>
        <v>0</v>
      </c>
    </row>
    <row r="117" spans="1:47" ht="13.5" x14ac:dyDescent="0.25">
      <c r="A117" s="16">
        <v>78</v>
      </c>
      <c r="B117" s="16">
        <f t="shared" si="59"/>
        <v>372</v>
      </c>
      <c r="C117" s="19">
        <f t="shared" si="60"/>
        <v>68.385719685240858</v>
      </c>
      <c r="D117" s="17">
        <f t="shared" si="61"/>
        <v>-6918.5694496852402</v>
      </c>
      <c r="E117" s="17">
        <f t="shared" si="62"/>
        <v>-36171.085239685242</v>
      </c>
      <c r="F117" s="17">
        <f t="shared" si="63"/>
        <v>6666.5974303147595</v>
      </c>
      <c r="G117" s="17">
        <f t="shared" si="64"/>
        <v>45532.324160314762</v>
      </c>
      <c r="H117" s="17">
        <f t="shared" si="92"/>
        <v>6666.5974303147595</v>
      </c>
      <c r="I117" s="17">
        <f t="shared" si="65"/>
        <v>2656.581130634595</v>
      </c>
      <c r="J117" s="20">
        <f>(Geraetedaten!$B$152+(Geraetedaten!$B$153*(Geraetedaten!$B$18+d_y_Sw)/1000))*10</f>
        <v>6051.0442000000003</v>
      </c>
      <c r="K117" s="20">
        <f>(Geraetedaten!$B$165+(Geraetedaten!$B$166*(Geraetedaten!$B$18+d_y_Sw)/1000))*10</f>
        <v>10816.164000000001</v>
      </c>
      <c r="L117" s="20">
        <f>(Geraetedaten!$B$158+(Geraetedaten!$B$159*(Geraetedaten!$B$18+d_y_Sw)/1000)-(Geraetedaten!$B$160*I117/1000))*10</f>
        <v>406.72950569056496</v>
      </c>
      <c r="M117" s="20">
        <f>(Geraetedaten!$B$171+(Geraetedaten!$B$172*(Geraetedaten!$B$18+d_y_Sw)/1000)-(Geraetedaten!$B$173*I117/1000))*10</f>
        <v>867.11110063556157</v>
      </c>
      <c r="N117" s="20">
        <f>IF((H117-J117)/(K117-J117)*(Geraetedaten!$B$174-Geraetedaten!$B$161)&lt;Geraetedaten!$B$174,(H117-J117)/(K117-J117)*(Geraetedaten!$B$174-Geraetedaten!$B$161),Geraetedaten!$B$174)</f>
        <v>51.671584862547149</v>
      </c>
      <c r="O117" s="20">
        <f>N117/Geraetedaten!$B$174*(M117-L117)+L117+C117</f>
        <v>534.58684200669381</v>
      </c>
      <c r="P117" s="20">
        <f t="shared" si="66"/>
        <v>194.06272445379119</v>
      </c>
      <c r="Q117" s="21">
        <f>(N117-Geraetedaten!$B$161)/(Geraetedaten!$B$174-Geraetedaten!$B$161)*(Geraetedaten!$B$175-Geraetedaten!$B$162)+Geraetedaten!$B$162</f>
        <v>30.737229649660776</v>
      </c>
      <c r="R117" s="21">
        <f t="shared" si="67"/>
        <v>30.737229649660776</v>
      </c>
      <c r="S117" s="21">
        <f t="shared" si="68"/>
        <v>30.065547435019678</v>
      </c>
      <c r="T117" s="88">
        <f t="shared" si="69"/>
        <v>6.39062938751474</v>
      </c>
      <c r="U117" s="86">
        <f t="shared" si="70"/>
        <v>-6850.1837299999997</v>
      </c>
      <c r="V117" s="85">
        <f t="shared" si="71"/>
        <v>-2683.3128092763232</v>
      </c>
      <c r="W117" s="85">
        <f t="shared" si="72"/>
        <v>-2742.6282169818564</v>
      </c>
      <c r="X117" s="90">
        <f t="shared" si="73"/>
        <v>2683.3128092763232</v>
      </c>
      <c r="Y117" s="86">
        <f t="shared" si="74"/>
        <v>-36102.699520000002</v>
      </c>
      <c r="Z117" s="85">
        <f t="shared" si="75"/>
        <v>-832.16398485565549</v>
      </c>
      <c r="AA117" s="85">
        <f t="shared" si="76"/>
        <v>-3497.9126308427744</v>
      </c>
      <c r="AB117" s="90">
        <f t="shared" si="77"/>
        <v>832.16398485565549</v>
      </c>
      <c r="AC117" s="86">
        <f t="shared" si="78"/>
        <v>6734.98315</v>
      </c>
      <c r="AD117" s="85">
        <f t="shared" si="79"/>
        <v>2598.140025222212</v>
      </c>
      <c r="AE117" s="85">
        <f t="shared" si="80"/>
        <v>2656.581130634595</v>
      </c>
      <c r="AF117" s="90">
        <f t="shared" si="81"/>
        <v>2598.140025222212</v>
      </c>
      <c r="AG117" s="86">
        <f t="shared" si="82"/>
        <v>45600.709880000002</v>
      </c>
      <c r="AH117" s="85">
        <f t="shared" si="83"/>
        <v>6183.1314163678471</v>
      </c>
      <c r="AI117" s="85">
        <f t="shared" si="84"/>
        <v>31182.013787904008</v>
      </c>
      <c r="AJ117" s="90">
        <f t="shared" si="85"/>
        <v>6183.1314163678471</v>
      </c>
      <c r="AL117" s="95">
        <f t="shared" si="86"/>
        <v>0</v>
      </c>
      <c r="AM117" s="95">
        <f t="shared" si="87"/>
        <v>0</v>
      </c>
      <c r="AN117" s="95">
        <f t="shared" si="88"/>
        <v>0</v>
      </c>
      <c r="AO117" s="95">
        <f t="shared" si="89"/>
        <v>0</v>
      </c>
      <c r="AP117"/>
      <c r="AQ117" s="95">
        <f t="shared" si="90"/>
        <v>0</v>
      </c>
      <c r="AR117" s="95">
        <f t="shared" si="91"/>
        <v>0</v>
      </c>
      <c r="AS117" s="95">
        <f>Geraetedaten!$B$94*ABS(SIN(RADIANS($A117)))</f>
        <v>150.63473051300605</v>
      </c>
      <c r="AT117" s="95">
        <f>Geraetedaten!$B$94*ABS(COS(RADIANS($A117)))</f>
        <v>32.018400385934953</v>
      </c>
      <c r="AU117" s="95">
        <f>((h_Aw_Sw+Geraetedaten!$B$18)/1000)*(AQ117*AS117+AR117*AT117)/100</f>
        <v>0</v>
      </c>
    </row>
    <row r="118" spans="1:47" ht="13.5" x14ac:dyDescent="0.25">
      <c r="A118" s="16">
        <v>79</v>
      </c>
      <c r="B118" s="16">
        <f t="shared" si="59"/>
        <v>371</v>
      </c>
      <c r="C118" s="19">
        <f t="shared" si="60"/>
        <v>68.094668871552628</v>
      </c>
      <c r="D118" s="17">
        <f t="shared" si="61"/>
        <v>-6894.1311888715527</v>
      </c>
      <c r="E118" s="17">
        <f t="shared" si="62"/>
        <v>-38946.955138871555</v>
      </c>
      <c r="F118" s="17">
        <f t="shared" si="63"/>
        <v>6642.929271128447</v>
      </c>
      <c r="G118" s="17">
        <f t="shared" si="64"/>
        <v>49846.125581128443</v>
      </c>
      <c r="H118" s="17">
        <f t="shared" si="92"/>
        <v>6642.929271128447</v>
      </c>
      <c r="I118" s="17">
        <f t="shared" si="65"/>
        <v>2647.1305370981986</v>
      </c>
      <c r="J118" s="20">
        <f>(Geraetedaten!$B$152+(Geraetedaten!$B$153*(Geraetedaten!$B$18+d_y_Sw)/1000))*10</f>
        <v>6051.0442000000003</v>
      </c>
      <c r="K118" s="20">
        <f>(Geraetedaten!$B$165+(Geraetedaten!$B$166*(Geraetedaten!$B$18+d_y_Sw)/1000))*10</f>
        <v>10816.164000000001</v>
      </c>
      <c r="L118" s="20">
        <f>(Geraetedaten!$B$158+(Geraetedaten!$B$159*(Geraetedaten!$B$18+d_y_Sw)/1000)-(Geraetedaten!$B$160*I118/1000))*10</f>
        <v>407.42251771458882</v>
      </c>
      <c r="M118" s="20">
        <f>(Geraetedaten!$B$171+(Geraetedaten!$B$172*(Geraetedaten!$B$18+d_y_Sw)/1000)-(Geraetedaten!$B$173*I118/1000))*10</f>
        <v>867.814602818411</v>
      </c>
      <c r="N118" s="20">
        <f>IF((H118-J118)/(K118-J118)*(Geraetedaten!$B$174-Geraetedaten!$B$161)&lt;Geraetedaten!$B$174,(H118-J118)/(K118-J118)*(Geraetedaten!$B$174-Geraetedaten!$B$161),Geraetedaten!$B$174)</f>
        <v>49.684800883994285</v>
      </c>
      <c r="O118" s="20">
        <f>N118/Geraetedaten!$B$174*(M118-L118)+L118+C118</f>
        <v>532.70340927851737</v>
      </c>
      <c r="P118" s="20">
        <f t="shared" si="66"/>
        <v>193.72157751777638</v>
      </c>
      <c r="Q118" s="21">
        <f>(N118-Geraetedaten!$B$161)/(Geraetedaten!$B$174-Geraetedaten!$B$161)*(Geraetedaten!$B$175-Geraetedaten!$B$162)+Geraetedaten!$B$162</f>
        <v>30.678122826298829</v>
      </c>
      <c r="R118" s="21">
        <f t="shared" si="67"/>
        <v>30.678122826298829</v>
      </c>
      <c r="S118" s="21">
        <f t="shared" si="68"/>
        <v>30.114479303441207</v>
      </c>
      <c r="T118" s="88">
        <f t="shared" si="69"/>
        <v>5.8536617965243298</v>
      </c>
      <c r="U118" s="86">
        <f t="shared" si="70"/>
        <v>-6826.0365199999997</v>
      </c>
      <c r="V118" s="85">
        <f t="shared" si="71"/>
        <v>-2683.3128092763232</v>
      </c>
      <c r="W118" s="85">
        <f t="shared" si="72"/>
        <v>-2732.9603254237104</v>
      </c>
      <c r="X118" s="90">
        <f t="shared" si="73"/>
        <v>2683.3128092763232</v>
      </c>
      <c r="Y118" s="86">
        <f t="shared" si="74"/>
        <v>-38878.86047</v>
      </c>
      <c r="Z118" s="85">
        <f t="shared" si="75"/>
        <v>-832.16398485565549</v>
      </c>
      <c r="AA118" s="85">
        <f t="shared" si="76"/>
        <v>-3766.8888727902831</v>
      </c>
      <c r="AB118" s="90">
        <f t="shared" si="77"/>
        <v>832.16398485565549</v>
      </c>
      <c r="AC118" s="86">
        <f t="shared" si="78"/>
        <v>6711.02394</v>
      </c>
      <c r="AD118" s="85">
        <f t="shared" si="79"/>
        <v>2598.140025222212</v>
      </c>
      <c r="AE118" s="85">
        <f t="shared" si="80"/>
        <v>2647.1305370981986</v>
      </c>
      <c r="AF118" s="90">
        <f t="shared" si="81"/>
        <v>2598.140025222212</v>
      </c>
      <c r="AG118" s="86">
        <f t="shared" si="82"/>
        <v>49914.220249999998</v>
      </c>
      <c r="AH118" s="85">
        <f t="shared" si="83"/>
        <v>6183.1314163678471</v>
      </c>
      <c r="AI118" s="85">
        <f t="shared" si="84"/>
        <v>34131.615674426423</v>
      </c>
      <c r="AJ118" s="90">
        <f t="shared" si="85"/>
        <v>6183.1314163678471</v>
      </c>
      <c r="AL118" s="95">
        <f t="shared" si="86"/>
        <v>0</v>
      </c>
      <c r="AM118" s="95">
        <f t="shared" si="87"/>
        <v>0</v>
      </c>
      <c r="AN118" s="95">
        <f t="shared" si="88"/>
        <v>0</v>
      </c>
      <c r="AO118" s="95">
        <f t="shared" si="89"/>
        <v>0</v>
      </c>
      <c r="AP118"/>
      <c r="AQ118" s="95">
        <f t="shared" si="90"/>
        <v>0</v>
      </c>
      <c r="AR118" s="95">
        <f t="shared" si="91"/>
        <v>0</v>
      </c>
      <c r="AS118" s="95">
        <f>Geraetedaten!$B$94*ABS(SIN(RADIANS($A118)))</f>
        <v>151.17058625094026</v>
      </c>
      <c r="AT118" s="95">
        <f>Geraetedaten!$B$94*ABS(COS(RADIANS($A118)))</f>
        <v>29.384585287987917</v>
      </c>
      <c r="AU118" s="95">
        <f>((h_Aw_Sw+Geraetedaten!$B$18)/1000)*(AQ118*AS118+AR118*AT118)/100</f>
        <v>0</v>
      </c>
    </row>
    <row r="119" spans="1:47" ht="13.5" x14ac:dyDescent="0.25">
      <c r="A119" s="16">
        <v>80</v>
      </c>
      <c r="B119" s="16">
        <f t="shared" si="59"/>
        <v>370</v>
      </c>
      <c r="C119" s="19">
        <f t="shared" si="60"/>
        <v>67.782875762078234</v>
      </c>
      <c r="D119" s="17">
        <f t="shared" si="61"/>
        <v>-6871.9071457620785</v>
      </c>
      <c r="E119" s="17">
        <f t="shared" si="62"/>
        <v>-42199.225455762084</v>
      </c>
      <c r="F119" s="17">
        <f t="shared" si="63"/>
        <v>6621.4821042379217</v>
      </c>
      <c r="G119" s="17">
        <f t="shared" si="64"/>
        <v>55079.815574237917</v>
      </c>
      <c r="H119" s="17">
        <f t="shared" si="92"/>
        <v>6621.4821042379217</v>
      </c>
      <c r="I119" s="17">
        <f t="shared" si="65"/>
        <v>2638.5478229651094</v>
      </c>
      <c r="J119" s="20">
        <f>(Geraetedaten!$B$152+(Geraetedaten!$B$153*(Geraetedaten!$B$18+d_y_Sw)/1000))*10</f>
        <v>6051.0442000000003</v>
      </c>
      <c r="K119" s="20">
        <f>(Geraetedaten!$B$165+(Geraetedaten!$B$166*(Geraetedaten!$B$18+d_y_Sw)/1000))*10</f>
        <v>10816.164000000001</v>
      </c>
      <c r="L119" s="20">
        <f>(Geraetedaten!$B$158+(Geraetedaten!$B$159*(Geraetedaten!$B$18+d_y_Sw)/1000)-(Geraetedaten!$B$160*I119/1000))*10</f>
        <v>408.05188814196822</v>
      </c>
      <c r="M119" s="20">
        <f>(Geraetedaten!$B$171+(Geraetedaten!$B$172*(Geraetedaten!$B$18+d_y_Sw)/1000)-(Geraetedaten!$B$173*I119/1000))*10</f>
        <v>868.4535000584782</v>
      </c>
      <c r="N119" s="20">
        <f>IF((H119-J119)/(K119-J119)*(Geraetedaten!$B$174-Geraetedaten!$B$161)&lt;Geraetedaten!$B$174,(H119-J119)/(K119-J119)*(Geraetedaten!$B$174-Geraetedaten!$B$161),Geraetedaten!$B$174)</f>
        <v>47.88445438353272</v>
      </c>
      <c r="O119" s="20">
        <f>N119/Geraetedaten!$B$174*(M119-L119)+L119+C119</f>
        <v>530.94996386384912</v>
      </c>
      <c r="P119" s="20">
        <f t="shared" si="66"/>
        <v>193.39423791979138</v>
      </c>
      <c r="Q119" s="21">
        <f>(N119-Geraetedaten!$B$161)/(Geraetedaten!$B$174-Geraetedaten!$B$161)*(Geraetedaten!$B$175-Geraetedaten!$B$162)+Geraetedaten!$B$162</f>
        <v>30.6245625179101</v>
      </c>
      <c r="R119" s="21">
        <f t="shared" si="67"/>
        <v>30.6245625179101</v>
      </c>
      <c r="S119" s="21">
        <f t="shared" si="68"/>
        <v>30.159306600244932</v>
      </c>
      <c r="T119" s="88">
        <f t="shared" si="69"/>
        <v>5.317899473082071</v>
      </c>
      <c r="U119" s="86">
        <f t="shared" si="70"/>
        <v>-6804.1242700000003</v>
      </c>
      <c r="V119" s="85">
        <f t="shared" si="71"/>
        <v>-2683.3128092763232</v>
      </c>
      <c r="W119" s="85">
        <f t="shared" si="72"/>
        <v>-2724.1872529453881</v>
      </c>
      <c r="X119" s="90">
        <f t="shared" si="73"/>
        <v>2683.3128092763232</v>
      </c>
      <c r="Y119" s="86">
        <f t="shared" si="74"/>
        <v>-42131.442580000003</v>
      </c>
      <c r="Z119" s="85">
        <f t="shared" si="75"/>
        <v>-832.16398485565549</v>
      </c>
      <c r="AA119" s="85">
        <f t="shared" si="76"/>
        <v>-4082.024533439519</v>
      </c>
      <c r="AB119" s="90">
        <f t="shared" si="77"/>
        <v>832.16398485565549</v>
      </c>
      <c r="AC119" s="86">
        <f t="shared" si="78"/>
        <v>6689.2649799999999</v>
      </c>
      <c r="AD119" s="85">
        <f t="shared" si="79"/>
        <v>2598.140025222212</v>
      </c>
      <c r="AE119" s="85">
        <f t="shared" si="80"/>
        <v>2638.5478229651094</v>
      </c>
      <c r="AF119" s="90">
        <f t="shared" si="81"/>
        <v>2598.140025222212</v>
      </c>
      <c r="AG119" s="86">
        <f t="shared" si="82"/>
        <v>55147.598449999998</v>
      </c>
      <c r="AH119" s="85">
        <f t="shared" si="83"/>
        <v>6183.1314163678471</v>
      </c>
      <c r="AI119" s="85">
        <f t="shared" si="84"/>
        <v>37710.228193819283</v>
      </c>
      <c r="AJ119" s="90">
        <f t="shared" si="85"/>
        <v>6183.1314163678471</v>
      </c>
      <c r="AL119" s="95">
        <f t="shared" si="86"/>
        <v>0</v>
      </c>
      <c r="AM119" s="95">
        <f t="shared" si="87"/>
        <v>0</v>
      </c>
      <c r="AN119" s="95">
        <f t="shared" si="88"/>
        <v>0</v>
      </c>
      <c r="AO119" s="95">
        <f t="shared" si="89"/>
        <v>0</v>
      </c>
      <c r="AP119"/>
      <c r="AQ119" s="95">
        <f t="shared" si="90"/>
        <v>0</v>
      </c>
      <c r="AR119" s="95">
        <f t="shared" si="91"/>
        <v>0</v>
      </c>
      <c r="AS119" s="95">
        <f>Geraetedaten!$B$94*ABS(SIN(RADIANS($A119)))</f>
        <v>151.66039396388004</v>
      </c>
      <c r="AT119" s="95">
        <f>Geraetedaten!$B$94*ABS(COS(RADIANS($A119)))</f>
        <v>26.741819360707282</v>
      </c>
      <c r="AU119" s="95">
        <f>((h_Aw_Sw+Geraetedaten!$B$18)/1000)*(AQ119*AS119+AR119*AT119)/100</f>
        <v>0</v>
      </c>
    </row>
    <row r="120" spans="1:47" ht="13.5" x14ac:dyDescent="0.25">
      <c r="A120" s="16">
        <v>81</v>
      </c>
      <c r="B120" s="16">
        <f t="shared" si="59"/>
        <v>369</v>
      </c>
      <c r="C120" s="19">
        <f t="shared" si="60"/>
        <v>67.450435332019268</v>
      </c>
      <c r="D120" s="17">
        <f t="shared" si="61"/>
        <v>-6851.8626653320189</v>
      </c>
      <c r="E120" s="17">
        <f t="shared" si="62"/>
        <v>-46060.667955332021</v>
      </c>
      <c r="F120" s="17">
        <f t="shared" si="63"/>
        <v>6602.2213046679808</v>
      </c>
      <c r="G120" s="17">
        <f t="shared" si="64"/>
        <v>61560.447824667979</v>
      </c>
      <c r="H120" s="17">
        <f t="shared" si="92"/>
        <v>6602.2213046679808</v>
      </c>
      <c r="I120" s="17">
        <f t="shared" si="65"/>
        <v>2630.8193671272252</v>
      </c>
      <c r="J120" s="20">
        <f>(Geraetedaten!$B$152+(Geraetedaten!$B$153*(Geraetedaten!$B$18+d_y_Sw)/1000))*10</f>
        <v>6051.0442000000003</v>
      </c>
      <c r="K120" s="20">
        <f>(Geraetedaten!$B$165+(Geraetedaten!$B$166*(Geraetedaten!$B$18+d_y_Sw)/1000))*10</f>
        <v>10816.164000000001</v>
      </c>
      <c r="L120" s="20">
        <f>(Geraetedaten!$B$158+(Geraetedaten!$B$159*(Geraetedaten!$B$18+d_y_Sw)/1000)-(Geraetedaten!$B$160*I120/1000))*10</f>
        <v>408.61861580856038</v>
      </c>
      <c r="M120" s="20">
        <f>(Geraetedaten!$B$171+(Geraetedaten!$B$172*(Geraetedaten!$B$18+d_y_Sw)/1000)-(Geraetedaten!$B$173*I120/1000))*10</f>
        <v>869.0288063110504</v>
      </c>
      <c r="N120" s="20">
        <f>IF((H120-J120)/(K120-J120)*(Geraetedaten!$B$174-Geraetedaten!$B$161)&lt;Geraetedaten!$B$174,(H120-J120)/(K120-J120)*(Geraetedaten!$B$174-Geraetedaten!$B$161),Geraetedaten!$B$174)</f>
        <v>46.267638825616139</v>
      </c>
      <c r="O120" s="20">
        <f>N120/Geraetedaten!$B$174*(M120-L120)+L120+C120</f>
        <v>529.32428215508548</v>
      </c>
      <c r="P120" s="20">
        <f t="shared" si="66"/>
        <v>193.08062895493808</v>
      </c>
      <c r="Q120" s="21">
        <f>(N120-Geraetedaten!$B$161)/(Geraetedaten!$B$174-Geraetedaten!$B$161)*(Geraetedaten!$B$175-Geraetedaten!$B$162)+Geraetedaten!$B$162</f>
        <v>30.576462255062079</v>
      </c>
      <c r="R120" s="21">
        <f t="shared" si="67"/>
        <v>30.576462255062079</v>
      </c>
      <c r="S120" s="21">
        <f t="shared" si="68"/>
        <v>30.20001526597213</v>
      </c>
      <c r="T120" s="88">
        <f t="shared" si="69"/>
        <v>4.7832125156934495</v>
      </c>
      <c r="U120" s="86">
        <f t="shared" si="70"/>
        <v>-6784.4122299999999</v>
      </c>
      <c r="V120" s="85">
        <f t="shared" si="71"/>
        <v>-2683.3128092763232</v>
      </c>
      <c r="W120" s="85">
        <f t="shared" si="72"/>
        <v>-2716.2950873237182</v>
      </c>
      <c r="X120" s="90">
        <f t="shared" si="73"/>
        <v>2683.3128092763232</v>
      </c>
      <c r="Y120" s="86">
        <f t="shared" si="74"/>
        <v>-45993.217519999998</v>
      </c>
      <c r="Z120" s="85">
        <f t="shared" si="75"/>
        <v>-832.16398485565549</v>
      </c>
      <c r="AA120" s="85">
        <f t="shared" si="76"/>
        <v>-4456.1835712448337</v>
      </c>
      <c r="AB120" s="90">
        <f t="shared" si="77"/>
        <v>832.16398485565549</v>
      </c>
      <c r="AC120" s="86">
        <f t="shared" si="78"/>
        <v>6669.6717399999998</v>
      </c>
      <c r="AD120" s="85">
        <f t="shared" si="79"/>
        <v>2598.140025222212</v>
      </c>
      <c r="AE120" s="85">
        <f t="shared" si="80"/>
        <v>2630.8193671272252</v>
      </c>
      <c r="AF120" s="90">
        <f t="shared" si="81"/>
        <v>2598.140025222212</v>
      </c>
      <c r="AG120" s="86">
        <f t="shared" si="82"/>
        <v>61627.898260000002</v>
      </c>
      <c r="AH120" s="85">
        <f t="shared" si="83"/>
        <v>6183.1314163678471</v>
      </c>
      <c r="AI120" s="85">
        <f t="shared" si="84"/>
        <v>42141.49249805983</v>
      </c>
      <c r="AJ120" s="90">
        <f t="shared" si="85"/>
        <v>6183.1314163678471</v>
      </c>
      <c r="AL120" s="95">
        <f t="shared" si="86"/>
        <v>0</v>
      </c>
      <c r="AM120" s="95">
        <f t="shared" si="87"/>
        <v>0</v>
      </c>
      <c r="AN120" s="95">
        <f t="shared" si="88"/>
        <v>0</v>
      </c>
      <c r="AO120" s="95">
        <f t="shared" si="89"/>
        <v>0</v>
      </c>
      <c r="AP120"/>
      <c r="AQ120" s="95">
        <f t="shared" si="90"/>
        <v>0</v>
      </c>
      <c r="AR120" s="95">
        <f t="shared" si="91"/>
        <v>0</v>
      </c>
      <c r="AS120" s="95">
        <f>Geraetedaten!$B$94*ABS(SIN(RADIANS($A120)))</f>
        <v>152.10400445165121</v>
      </c>
      <c r="AT120" s="95">
        <f>Geraetedaten!$B$94*ABS(COS(RADIANS($A120)))</f>
        <v>24.090907616195562</v>
      </c>
      <c r="AU120" s="95">
        <f>((h_Aw_Sw+Geraetedaten!$B$18)/1000)*(AQ120*AS120+AR120*AT120)/100</f>
        <v>0</v>
      </c>
    </row>
    <row r="121" spans="1:47" ht="13.5" x14ac:dyDescent="0.25">
      <c r="A121" s="16">
        <v>82</v>
      </c>
      <c r="B121" s="16">
        <f t="shared" si="59"/>
        <v>368</v>
      </c>
      <c r="C121" s="19">
        <f t="shared" si="60"/>
        <v>67.097448845951106</v>
      </c>
      <c r="D121" s="17">
        <f t="shared" si="61"/>
        <v>-6833.9668288459516</v>
      </c>
      <c r="E121" s="17">
        <f t="shared" si="62"/>
        <v>-50718.455648845957</v>
      </c>
      <c r="F121" s="17">
        <f t="shared" si="63"/>
        <v>6585.1159111540483</v>
      </c>
      <c r="G121" s="17">
        <f t="shared" si="64"/>
        <v>69790.983681154059</v>
      </c>
      <c r="H121" s="17">
        <f t="shared" si="92"/>
        <v>6585.1159111540483</v>
      </c>
      <c r="I121" s="17">
        <f t="shared" si="65"/>
        <v>2623.9329943577932</v>
      </c>
      <c r="J121" s="20">
        <f>(Geraetedaten!$B$152+(Geraetedaten!$B$153*(Geraetedaten!$B$18+d_y_Sw)/1000))*10</f>
        <v>6051.0442000000003</v>
      </c>
      <c r="K121" s="20">
        <f>(Geraetedaten!$B$165+(Geraetedaten!$B$166*(Geraetedaten!$B$18+d_y_Sw)/1000))*10</f>
        <v>10816.164000000001</v>
      </c>
      <c r="L121" s="20">
        <f>(Geraetedaten!$B$158+(Geraetedaten!$B$159*(Geraetedaten!$B$18+d_y_Sw)/1000)-(Geraetedaten!$B$160*I121/1000))*10</f>
        <v>409.12359352374278</v>
      </c>
      <c r="M121" s="20">
        <f>(Geraetedaten!$B$171+(Geraetedaten!$B$172*(Geraetedaten!$B$18+d_y_Sw)/1000)-(Geraetedaten!$B$173*I121/1000))*10</f>
        <v>869.54142790000674</v>
      </c>
      <c r="N121" s="20">
        <f>IF((H121-J121)/(K121-J121)*(Geraetedaten!$B$174-Geraetedaten!$B$161)&lt;Geraetedaten!$B$174,(H121-J121)/(K121-J121)*(Geraetedaten!$B$174-Geraetedaten!$B$161),Geraetedaten!$B$174)</f>
        <v>44.831755218750047</v>
      </c>
      <c r="O121" s="20">
        <f>N121/Geraetedaten!$B$174*(M121-L121)+L121+C121</f>
        <v>527.82439149245306</v>
      </c>
      <c r="P121" s="20">
        <f t="shared" si="66"/>
        <v>192.78069495230358</v>
      </c>
      <c r="Q121" s="21">
        <f>(N121-Geraetedaten!$B$161)/(Geraetedaten!$B$174-Geraetedaten!$B$161)*(Geraetedaten!$B$175-Geraetedaten!$B$162)+Geraetedaten!$B$162</f>
        <v>30.533744717757813</v>
      </c>
      <c r="R121" s="21">
        <f t="shared" si="67"/>
        <v>30.533744717757813</v>
      </c>
      <c r="S121" s="21">
        <f t="shared" si="68"/>
        <v>30.236592413102155</v>
      </c>
      <c r="T121" s="88">
        <f t="shared" si="69"/>
        <v>4.2494759362933738</v>
      </c>
      <c r="U121" s="86">
        <f t="shared" si="70"/>
        <v>-6766.8693800000001</v>
      </c>
      <c r="V121" s="85">
        <f t="shared" si="71"/>
        <v>-2683.3128092763232</v>
      </c>
      <c r="W121" s="85">
        <f t="shared" si="72"/>
        <v>-2709.2714042991388</v>
      </c>
      <c r="X121" s="90">
        <f t="shared" si="73"/>
        <v>2683.3128092763232</v>
      </c>
      <c r="Y121" s="86">
        <f t="shared" si="74"/>
        <v>-50651.358200000002</v>
      </c>
      <c r="Z121" s="85">
        <f t="shared" si="75"/>
        <v>-832.16398485565549</v>
      </c>
      <c r="AA121" s="85">
        <f t="shared" si="76"/>
        <v>-4907.5007683136682</v>
      </c>
      <c r="AB121" s="90">
        <f t="shared" si="77"/>
        <v>832.16398485565549</v>
      </c>
      <c r="AC121" s="86">
        <f t="shared" si="78"/>
        <v>6652.2133599999997</v>
      </c>
      <c r="AD121" s="85">
        <f t="shared" si="79"/>
        <v>2598.140025222212</v>
      </c>
      <c r="AE121" s="85">
        <f t="shared" si="80"/>
        <v>2623.9329943577932</v>
      </c>
      <c r="AF121" s="90">
        <f t="shared" si="81"/>
        <v>2598.140025222212</v>
      </c>
      <c r="AG121" s="86">
        <f t="shared" si="82"/>
        <v>69858.081130000006</v>
      </c>
      <c r="AH121" s="85">
        <f t="shared" si="83"/>
        <v>6183.1314163678471</v>
      </c>
      <c r="AI121" s="85">
        <f t="shared" si="84"/>
        <v>47769.336372178434</v>
      </c>
      <c r="AJ121" s="90">
        <f t="shared" si="85"/>
        <v>6183.1314163678471</v>
      </c>
      <c r="AL121" s="95">
        <f t="shared" si="86"/>
        <v>0</v>
      </c>
      <c r="AM121" s="95">
        <f t="shared" si="87"/>
        <v>0</v>
      </c>
      <c r="AN121" s="95">
        <f t="shared" si="88"/>
        <v>0</v>
      </c>
      <c r="AO121" s="95">
        <f t="shared" si="89"/>
        <v>0</v>
      </c>
      <c r="AP121"/>
      <c r="AQ121" s="95">
        <f t="shared" si="90"/>
        <v>0</v>
      </c>
      <c r="AR121" s="95">
        <f t="shared" si="91"/>
        <v>0</v>
      </c>
      <c r="AS121" s="95">
        <f>Geraetedaten!$B$94*ABS(SIN(RADIANS($A121)))</f>
        <v>152.50128258620182</v>
      </c>
      <c r="AT121" s="95">
        <f>Geraetedaten!$B$94*ABS(COS(RADIANS($A121)))</f>
        <v>21.432657547850081</v>
      </c>
      <c r="AU121" s="95">
        <f>((h_Aw_Sw+Geraetedaten!$B$18)/1000)*(AQ121*AS121+AR121*AT121)/100</f>
        <v>0</v>
      </c>
    </row>
    <row r="122" spans="1:47" ht="13.5" x14ac:dyDescent="0.25">
      <c r="A122" s="16">
        <v>83</v>
      </c>
      <c r="B122" s="16">
        <f t="shared" si="59"/>
        <v>367</v>
      </c>
      <c r="C122" s="19">
        <f t="shared" si="60"/>
        <v>66.724023826976889</v>
      </c>
      <c r="D122" s="17">
        <f t="shared" si="61"/>
        <v>-6818.192303826977</v>
      </c>
      <c r="E122" s="17">
        <f t="shared" si="62"/>
        <v>-56445.203893826976</v>
      </c>
      <c r="F122" s="17">
        <f t="shared" si="63"/>
        <v>6570.1384961730228</v>
      </c>
      <c r="G122" s="17">
        <f t="shared" si="64"/>
        <v>80586.928516173022</v>
      </c>
      <c r="H122" s="17">
        <f t="shared" si="92"/>
        <v>6570.1384961730228</v>
      </c>
      <c r="I122" s="17">
        <f t="shared" si="65"/>
        <v>2617.8779277815679</v>
      </c>
      <c r="J122" s="20">
        <f>(Geraetedaten!$B$152+(Geraetedaten!$B$153*(Geraetedaten!$B$18+d_y_Sw)/1000))*10</f>
        <v>6051.0442000000003</v>
      </c>
      <c r="K122" s="20">
        <f>(Geraetedaten!$B$165+(Geraetedaten!$B$166*(Geraetedaten!$B$18+d_y_Sw)/1000))*10</f>
        <v>10816.164000000001</v>
      </c>
      <c r="L122" s="20">
        <f>(Geraetedaten!$B$158+(Geraetedaten!$B$159*(Geraetedaten!$B$18+d_y_Sw)/1000)-(Geraetedaten!$B$160*I122/1000))*10</f>
        <v>409.56761155577738</v>
      </c>
      <c r="M122" s="20">
        <f>(Geraetedaten!$B$171+(Geraetedaten!$B$172*(Geraetedaten!$B$18+d_y_Sw)/1000)-(Geraetedaten!$B$173*I122/1000))*10</f>
        <v>869.99216705594097</v>
      </c>
      <c r="N122" s="20">
        <f>IF((H122-J122)/(K122-J122)*(Geraetedaten!$B$174-Geraetedaten!$B$161)&lt;Geraetedaten!$B$174,(H122-J122)/(K122-J122)*(Geraetedaten!$B$174-Geraetedaten!$B$161),Geraetedaten!$B$174)</f>
        <v>43.574501205449018</v>
      </c>
      <c r="O122" s="20">
        <f>N122/Geraetedaten!$B$174*(M122-L122)+L122+C122</f>
        <v>526.44856125440481</v>
      </c>
      <c r="P122" s="20">
        <f t="shared" si="66"/>
        <v>192.49440092755171</v>
      </c>
      <c r="Q122" s="21">
        <f>(N122-Geraetedaten!$B$161)/(Geraetedaten!$B$174-Geraetedaten!$B$161)*(Geraetedaten!$B$175-Geraetedaten!$B$162)+Geraetedaten!$B$162</f>
        <v>30.496341410862108</v>
      </c>
      <c r="R122" s="21">
        <f t="shared" si="67"/>
        <v>30.496341410862108</v>
      </c>
      <c r="S122" s="21">
        <f t="shared" si="68"/>
        <v>30.269026306491067</v>
      </c>
      <c r="T122" s="88">
        <f t="shared" si="69"/>
        <v>3.7165691040009743</v>
      </c>
      <c r="U122" s="86">
        <f t="shared" si="70"/>
        <v>-6751.46828</v>
      </c>
      <c r="V122" s="85">
        <f t="shared" si="71"/>
        <v>-2683.3128092763232</v>
      </c>
      <c r="W122" s="85">
        <f t="shared" si="72"/>
        <v>-2703.1052191232689</v>
      </c>
      <c r="X122" s="90">
        <f t="shared" si="73"/>
        <v>2683.3128092763232</v>
      </c>
      <c r="Y122" s="86">
        <f t="shared" si="74"/>
        <v>-56378.479870000003</v>
      </c>
      <c r="Z122" s="85">
        <f t="shared" si="75"/>
        <v>-832.16398485565549</v>
      </c>
      <c r="AA122" s="85">
        <f t="shared" si="76"/>
        <v>-5462.3892246969472</v>
      </c>
      <c r="AB122" s="90">
        <f t="shared" si="77"/>
        <v>832.16398485565549</v>
      </c>
      <c r="AC122" s="86">
        <f t="shared" si="78"/>
        <v>6636.8625199999997</v>
      </c>
      <c r="AD122" s="85">
        <f t="shared" si="79"/>
        <v>2598.140025222212</v>
      </c>
      <c r="AE122" s="85">
        <f t="shared" si="80"/>
        <v>2617.8779277815679</v>
      </c>
      <c r="AF122" s="90">
        <f t="shared" si="81"/>
        <v>2598.140025222212</v>
      </c>
      <c r="AG122" s="86">
        <f t="shared" si="82"/>
        <v>80653.652539999995</v>
      </c>
      <c r="AH122" s="85">
        <f t="shared" si="83"/>
        <v>6183.1314163678471</v>
      </c>
      <c r="AI122" s="85">
        <f t="shared" si="84"/>
        <v>55151.406903986644</v>
      </c>
      <c r="AJ122" s="90">
        <f t="shared" si="85"/>
        <v>6183.1314163678471</v>
      </c>
      <c r="AL122" s="95">
        <f t="shared" si="86"/>
        <v>0</v>
      </c>
      <c r="AM122" s="95">
        <f t="shared" si="87"/>
        <v>0</v>
      </c>
      <c r="AN122" s="95">
        <f t="shared" si="88"/>
        <v>0</v>
      </c>
      <c r="AO122" s="95">
        <f t="shared" si="89"/>
        <v>0</v>
      </c>
      <c r="AP122"/>
      <c r="AQ122" s="95">
        <f t="shared" si="90"/>
        <v>0</v>
      </c>
      <c r="AR122" s="95">
        <f t="shared" si="91"/>
        <v>0</v>
      </c>
      <c r="AS122" s="95">
        <f>Geraetedaten!$B$94*ABS(SIN(RADIANS($A122)))</f>
        <v>152.8521073527636</v>
      </c>
      <c r="AT122" s="95">
        <f>Geraetedaten!$B$94*ABS(COS(RADIANS($A122)))</f>
        <v>18.767878884392715</v>
      </c>
      <c r="AU122" s="95">
        <f>((h_Aw_Sw+Geraetedaten!$B$18)/1000)*(AQ122*AS122+AR122*AT122)/100</f>
        <v>0</v>
      </c>
    </row>
    <row r="123" spans="1:47" ht="13.5" x14ac:dyDescent="0.25">
      <c r="A123" s="16">
        <v>84</v>
      </c>
      <c r="B123" s="16">
        <f t="shared" si="59"/>
        <v>366</v>
      </c>
      <c r="C123" s="19">
        <f t="shared" si="60"/>
        <v>66.330274023974866</v>
      </c>
      <c r="D123" s="17">
        <f t="shared" si="61"/>
        <v>-6804.5152540239751</v>
      </c>
      <c r="E123" s="17">
        <f t="shared" si="62"/>
        <v>-63654.003354023975</v>
      </c>
      <c r="F123" s="17">
        <f t="shared" si="63"/>
        <v>6557.2650459760252</v>
      </c>
      <c r="G123" s="17">
        <f t="shared" si="64"/>
        <v>95363.750985976032</v>
      </c>
      <c r="H123" s="17">
        <f t="shared" si="92"/>
        <v>6557.2650459760252</v>
      </c>
      <c r="I123" s="17">
        <f t="shared" si="65"/>
        <v>2612.6447472027276</v>
      </c>
      <c r="J123" s="20">
        <f>(Geraetedaten!$B$152+(Geraetedaten!$B$153*(Geraetedaten!$B$18+d_y_Sw)/1000))*10</f>
        <v>6051.0442000000003</v>
      </c>
      <c r="K123" s="20">
        <f>(Geraetedaten!$B$165+(Geraetedaten!$B$166*(Geraetedaten!$B$18+d_y_Sw)/1000))*10</f>
        <v>10816.164000000001</v>
      </c>
      <c r="L123" s="20">
        <f>(Geraetedaten!$B$158+(Geraetedaten!$B$159*(Geraetedaten!$B$18+d_y_Sw)/1000)-(Geraetedaten!$B$160*I123/1000))*10</f>
        <v>409.95136068762378</v>
      </c>
      <c r="M123" s="20">
        <f>(Geraetedaten!$B$171+(Geraetedaten!$B$172*(Geraetedaten!$B$18+d_y_Sw)/1000)-(Geraetedaten!$B$173*I123/1000))*10</f>
        <v>870.38172501822987</v>
      </c>
      <c r="N123" s="20">
        <f>IF((H123-J123)/(K123-J123)*(Geraetedaten!$B$174-Geraetedaten!$B$161)&lt;Geraetedaten!$B$174,(H123-J123)/(K123-J123)*(Geraetedaten!$B$174-Geraetedaten!$B$161),Geraetedaten!$B$174)</f>
        <v>42.493860991786605</v>
      </c>
      <c r="O123" s="20">
        <f>N123/Geraetedaten!$B$174*(M123-L123)+L123+C123</f>
        <v>525.1952944572547</v>
      </c>
      <c r="P123" s="20">
        <f t="shared" si="66"/>
        <v>192.22173216139879</v>
      </c>
      <c r="Q123" s="21">
        <f>(N123-Geraetedaten!$B$161)/(Geraetedaten!$B$174-Geraetedaten!$B$161)*(Geraetedaten!$B$175-Geraetedaten!$B$162)+Geraetedaten!$B$162</f>
        <v>30.464192364505649</v>
      </c>
      <c r="R123" s="21">
        <f t="shared" si="67"/>
        <v>30.464192364505649</v>
      </c>
      <c r="S123" s="21">
        <f t="shared" si="68"/>
        <v>30.297306331211839</v>
      </c>
      <c r="T123" s="88">
        <f t="shared" si="69"/>
        <v>3.1843752125519575</v>
      </c>
      <c r="U123" s="86">
        <f t="shared" si="70"/>
        <v>-6738.18498</v>
      </c>
      <c r="V123" s="85">
        <f t="shared" si="71"/>
        <v>-2683.3128092763232</v>
      </c>
      <c r="W123" s="85">
        <f t="shared" si="72"/>
        <v>-2697.7869441219818</v>
      </c>
      <c r="X123" s="90">
        <f t="shared" si="73"/>
        <v>2683.3128092763232</v>
      </c>
      <c r="Y123" s="86">
        <f t="shared" si="74"/>
        <v>-63587.67308</v>
      </c>
      <c r="Z123" s="85">
        <f t="shared" si="75"/>
        <v>-832.16398485565549</v>
      </c>
      <c r="AA123" s="85">
        <f t="shared" si="76"/>
        <v>-6160.872393999517</v>
      </c>
      <c r="AB123" s="90">
        <f t="shared" si="77"/>
        <v>832.16398485565549</v>
      </c>
      <c r="AC123" s="86">
        <f t="shared" si="78"/>
        <v>6623.5953200000004</v>
      </c>
      <c r="AD123" s="85">
        <f t="shared" si="79"/>
        <v>2598.140025222212</v>
      </c>
      <c r="AE123" s="85">
        <f t="shared" si="80"/>
        <v>2612.6447472027276</v>
      </c>
      <c r="AF123" s="90">
        <f t="shared" si="81"/>
        <v>2598.140025222212</v>
      </c>
      <c r="AG123" s="86">
        <f t="shared" si="82"/>
        <v>95430.081260000006</v>
      </c>
      <c r="AH123" s="85">
        <f t="shared" si="83"/>
        <v>6183.1314163678471</v>
      </c>
      <c r="AI123" s="85">
        <f t="shared" si="84"/>
        <v>65255.609348604303</v>
      </c>
      <c r="AJ123" s="90">
        <f t="shared" si="85"/>
        <v>6183.1314163678471</v>
      </c>
      <c r="AL123" s="95">
        <f t="shared" si="86"/>
        <v>0</v>
      </c>
      <c r="AM123" s="95">
        <f t="shared" si="87"/>
        <v>0</v>
      </c>
      <c r="AN123" s="95">
        <f t="shared" si="88"/>
        <v>0</v>
      </c>
      <c r="AO123" s="95">
        <f t="shared" si="89"/>
        <v>0</v>
      </c>
      <c r="AP123"/>
      <c r="AQ123" s="95">
        <f t="shared" si="90"/>
        <v>0</v>
      </c>
      <c r="AR123" s="95">
        <f t="shared" si="91"/>
        <v>0</v>
      </c>
      <c r="AS123" s="95">
        <f>Geraetedaten!$B$94*ABS(SIN(RADIANS($A123)))</f>
        <v>153.15637188671408</v>
      </c>
      <c r="AT123" s="95">
        <f>Geraetedaten!$B$94*ABS(COS(RADIANS($A123)))</f>
        <v>16.097383343218631</v>
      </c>
      <c r="AU123" s="95">
        <f>((h_Aw_Sw+Geraetedaten!$B$18)/1000)*(AQ123*AS123+AR123*AT123)/100</f>
        <v>0</v>
      </c>
    </row>
    <row r="124" spans="1:47" ht="13.5" x14ac:dyDescent="0.25">
      <c r="A124" s="16">
        <v>85</v>
      </c>
      <c r="B124" s="16">
        <f t="shared" si="59"/>
        <v>365</v>
      </c>
      <c r="C124" s="19">
        <f t="shared" si="60"/>
        <v>65.916319376949332</v>
      </c>
      <c r="D124" s="17">
        <f t="shared" si="61"/>
        <v>-6792.9152393769491</v>
      </c>
      <c r="E124" s="17">
        <f t="shared" si="62"/>
        <v>-73002.278789376942</v>
      </c>
      <c r="F124" s="17">
        <f t="shared" si="63"/>
        <v>6546.4749206230508</v>
      </c>
      <c r="G124" s="17">
        <f t="shared" si="64"/>
        <v>116812.96286062305</v>
      </c>
      <c r="H124" s="17">
        <f t="shared" si="92"/>
        <v>6546.4749206230508</v>
      </c>
      <c r="I124" s="17">
        <f t="shared" si="65"/>
        <v>2608.2253529869458</v>
      </c>
      <c r="J124" s="20">
        <f>(Geraetedaten!$B$152+(Geraetedaten!$B$153*(Geraetedaten!$B$18+d_y_Sw)/1000))*10</f>
        <v>6051.0442000000003</v>
      </c>
      <c r="K124" s="20">
        <f>(Geraetedaten!$B$165+(Geraetedaten!$B$166*(Geraetedaten!$B$18+d_y_Sw)/1000))*10</f>
        <v>10816.164000000001</v>
      </c>
      <c r="L124" s="20">
        <f>(Geraetedaten!$B$158+(Geraetedaten!$B$159*(Geraetedaten!$B$18+d_y_Sw)/1000)-(Geraetedaten!$B$160*I124/1000))*10</f>
        <v>410.27543486546705</v>
      </c>
      <c r="M124" s="20">
        <f>(Geraetedaten!$B$171+(Geraetedaten!$B$172*(Geraetedaten!$B$18+d_y_Sw)/1000)-(Geraetedaten!$B$173*I124/1000))*10</f>
        <v>870.71070472365261</v>
      </c>
      <c r="N124" s="20">
        <f>IF((H124-J124)/(K124-J124)*(Geraetedaten!$B$174-Geraetedaten!$B$161)&lt;Geraetedaten!$B$174,(H124-J124)/(K124-J124)*(Geraetedaten!$B$174-Geraetedaten!$B$161),Geraetedaten!$B$174)</f>
        <v>41.58810199257114</v>
      </c>
      <c r="O124" s="20">
        <f>N124/Geraetedaten!$B$174*(M124-L124)+L124+C124</f>
        <v>524.06332665201444</v>
      </c>
      <c r="P124" s="20">
        <f t="shared" si="66"/>
        <v>191.96269498912929</v>
      </c>
      <c r="Q124" s="21">
        <f>(N124-Geraetedaten!$B$161)/(Geraetedaten!$B$174-Geraetedaten!$B$161)*(Geraetedaten!$B$175-Geraetedaten!$B$162)+Geraetedaten!$B$162</f>
        <v>30.437246034278992</v>
      </c>
      <c r="R124" s="21">
        <f t="shared" si="67"/>
        <v>30.437246034278992</v>
      </c>
      <c r="S124" s="21">
        <f t="shared" si="68"/>
        <v>30.32142312386274</v>
      </c>
      <c r="T124" s="88">
        <f t="shared" si="69"/>
        <v>2.6527807853107976</v>
      </c>
      <c r="U124" s="86">
        <f t="shared" si="70"/>
        <v>-6726.99892</v>
      </c>
      <c r="V124" s="85">
        <f t="shared" si="71"/>
        <v>-2683.3128092763232</v>
      </c>
      <c r="W124" s="85">
        <f t="shared" si="72"/>
        <v>-2693.308351965185</v>
      </c>
      <c r="X124" s="90">
        <f t="shared" si="73"/>
        <v>2683.3128092763232</v>
      </c>
      <c r="Y124" s="86">
        <f t="shared" si="74"/>
        <v>-72936.362469999993</v>
      </c>
      <c r="Z124" s="85">
        <f t="shared" si="75"/>
        <v>-832.16398485565549</v>
      </c>
      <c r="AA124" s="85">
        <f t="shared" si="76"/>
        <v>-7066.6467302773208</v>
      </c>
      <c r="AB124" s="90">
        <f t="shared" si="77"/>
        <v>832.16398485565549</v>
      </c>
      <c r="AC124" s="86">
        <f t="shared" si="78"/>
        <v>6612.3912399999999</v>
      </c>
      <c r="AD124" s="85">
        <f t="shared" si="79"/>
        <v>2598.140025222212</v>
      </c>
      <c r="AE124" s="85">
        <f t="shared" si="80"/>
        <v>2608.2253529869458</v>
      </c>
      <c r="AF124" s="90">
        <f t="shared" si="81"/>
        <v>2598.140025222212</v>
      </c>
      <c r="AG124" s="86">
        <f t="shared" si="82"/>
        <v>116878.87918</v>
      </c>
      <c r="AH124" s="85">
        <f t="shared" si="83"/>
        <v>6183.1314163678471</v>
      </c>
      <c r="AI124" s="85">
        <f t="shared" si="84"/>
        <v>79922.414186869399</v>
      </c>
      <c r="AJ124" s="90">
        <f t="shared" si="85"/>
        <v>6183.1314163678471</v>
      </c>
      <c r="AL124" s="95">
        <f t="shared" si="86"/>
        <v>0</v>
      </c>
      <c r="AM124" s="95">
        <f t="shared" si="87"/>
        <v>0</v>
      </c>
      <c r="AN124" s="95">
        <f t="shared" si="88"/>
        <v>0</v>
      </c>
      <c r="AO124" s="95">
        <f t="shared" si="89"/>
        <v>0</v>
      </c>
      <c r="AP124"/>
      <c r="AQ124" s="95">
        <f t="shared" si="90"/>
        <v>0</v>
      </c>
      <c r="AR124" s="95">
        <f t="shared" si="91"/>
        <v>0</v>
      </c>
      <c r="AS124" s="95">
        <f>Geraetedaten!$B$94*ABS(SIN(RADIANS($A124)))</f>
        <v>153.4139835061288</v>
      </c>
      <c r="AT124" s="95">
        <f>Geraetedaten!$B$94*ABS(COS(RADIANS($A124)))</f>
        <v>13.421984383139353</v>
      </c>
      <c r="AU124" s="95">
        <f>((h_Aw_Sw+Geraetedaten!$B$18)/1000)*(AQ124*AS124+AR124*AT124)/100</f>
        <v>0</v>
      </c>
    </row>
    <row r="125" spans="1:47" ht="13.5" x14ac:dyDescent="0.25">
      <c r="A125" s="16">
        <v>86</v>
      </c>
      <c r="B125" s="16">
        <f t="shared" si="59"/>
        <v>364</v>
      </c>
      <c r="C125" s="19">
        <f t="shared" si="60"/>
        <v>65.482285980495845</v>
      </c>
      <c r="D125" s="17">
        <f t="shared" si="61"/>
        <v>-6783.3751859804961</v>
      </c>
      <c r="E125" s="17">
        <f t="shared" si="62"/>
        <v>-85603.781195980497</v>
      </c>
      <c r="F125" s="17">
        <f t="shared" si="63"/>
        <v>6537.7507240195037</v>
      </c>
      <c r="G125" s="17">
        <f t="shared" si="64"/>
        <v>150758.41155401952</v>
      </c>
      <c r="H125" s="17">
        <f t="shared" si="92"/>
        <v>6537.7507240195037</v>
      </c>
      <c r="I125" s="17">
        <f t="shared" si="65"/>
        <v>2604.6129352373446</v>
      </c>
      <c r="J125" s="20">
        <f>(Geraetedaten!$B$152+(Geraetedaten!$B$153*(Geraetedaten!$B$18+d_y_Sw)/1000))*10</f>
        <v>6051.0442000000003</v>
      </c>
      <c r="K125" s="20">
        <f>(Geraetedaten!$B$165+(Geraetedaten!$B$166*(Geraetedaten!$B$18+d_y_Sw)/1000))*10</f>
        <v>10816.164000000001</v>
      </c>
      <c r="L125" s="20">
        <f>(Geraetedaten!$B$158+(Geraetedaten!$B$159*(Geraetedaten!$B$18+d_y_Sw)/1000)-(Geraetedaten!$B$160*I125/1000))*10</f>
        <v>410.54033345904531</v>
      </c>
      <c r="M125" s="20">
        <f>(Geraetedaten!$B$171+(Geraetedaten!$B$172*(Geraetedaten!$B$18+d_y_Sw)/1000)-(Geraetedaten!$B$173*I125/1000))*10</f>
        <v>870.97961310093297</v>
      </c>
      <c r="N125" s="20">
        <f>IF((H125-J125)/(K125-J125)*(Geraetedaten!$B$174-Geraetedaten!$B$161)&lt;Geraetedaten!$B$174,(H125-J125)/(K125-J125)*(Geraetedaten!$B$174-Geraetedaten!$B$161),Geraetedaten!$B$174)</f>
        <v>40.85576392178038</v>
      </c>
      <c r="O125" s="20">
        <f>N125/Geraetedaten!$B$174*(M125-L125)+L125+C125</f>
        <v>523.05161571295014</v>
      </c>
      <c r="P125" s="20">
        <f t="shared" si="66"/>
        <v>191.71731573582096</v>
      </c>
      <c r="Q125" s="21">
        <f>(N125-Geraetedaten!$B$161)/(Geraetedaten!$B$174-Geraetedaten!$B$161)*(Geraetedaten!$B$175-Geraetedaten!$B$162)+Geraetedaten!$B$162</f>
        <v>30.415458976672966</v>
      </c>
      <c r="R125" s="21">
        <f t="shared" si="67"/>
        <v>30.415458976672966</v>
      </c>
      <c r="S125" s="21">
        <f t="shared" si="68"/>
        <v>30.341368447281411</v>
      </c>
      <c r="T125" s="88">
        <f t="shared" si="69"/>
        <v>2.1216751655218058</v>
      </c>
      <c r="U125" s="86">
        <f t="shared" si="70"/>
        <v>-6717.8928999999998</v>
      </c>
      <c r="V125" s="85">
        <f t="shared" si="71"/>
        <v>-2683.3128092763232</v>
      </c>
      <c r="W125" s="85">
        <f t="shared" si="72"/>
        <v>-2689.6625443788721</v>
      </c>
      <c r="X125" s="90">
        <f t="shared" si="73"/>
        <v>2683.3128092763232</v>
      </c>
      <c r="Y125" s="86">
        <f t="shared" si="74"/>
        <v>-85538.298909999998</v>
      </c>
      <c r="Z125" s="85">
        <f t="shared" si="75"/>
        <v>-832.16398485565549</v>
      </c>
      <c r="AA125" s="85">
        <f t="shared" si="76"/>
        <v>-8287.6211517191805</v>
      </c>
      <c r="AB125" s="90">
        <f t="shared" si="77"/>
        <v>832.16398485565549</v>
      </c>
      <c r="AC125" s="86">
        <f t="shared" si="78"/>
        <v>6603.2330099999999</v>
      </c>
      <c r="AD125" s="85">
        <f t="shared" si="79"/>
        <v>2598.140025222212</v>
      </c>
      <c r="AE125" s="85">
        <f t="shared" si="80"/>
        <v>2604.6129352373446</v>
      </c>
      <c r="AF125" s="90">
        <f t="shared" si="81"/>
        <v>2598.140025222212</v>
      </c>
      <c r="AG125" s="86">
        <f t="shared" si="82"/>
        <v>150823.89384</v>
      </c>
      <c r="AH125" s="85">
        <f t="shared" si="83"/>
        <v>6183.1314163678471</v>
      </c>
      <c r="AI125" s="85">
        <f t="shared" si="84"/>
        <v>103134.20010584123</v>
      </c>
      <c r="AJ125" s="90">
        <f t="shared" si="85"/>
        <v>6183.1314163678471</v>
      </c>
      <c r="AL125" s="95">
        <f t="shared" si="86"/>
        <v>0</v>
      </c>
      <c r="AM125" s="95">
        <f t="shared" si="87"/>
        <v>0</v>
      </c>
      <c r="AN125" s="95">
        <f t="shared" si="88"/>
        <v>0</v>
      </c>
      <c r="AO125" s="95">
        <f t="shared" si="89"/>
        <v>0</v>
      </c>
      <c r="AP125"/>
      <c r="AQ125" s="95">
        <f t="shared" si="90"/>
        <v>0</v>
      </c>
      <c r="AR125" s="95">
        <f t="shared" si="91"/>
        <v>0</v>
      </c>
      <c r="AS125" s="95">
        <f>Geraetedaten!$B$94*ABS(SIN(RADIANS($A125)))</f>
        <v>153.62486374001293</v>
      </c>
      <c r="AT125" s="95">
        <f>Geraetedaten!$B$94*ABS(COS(RADIANS($A125)))</f>
        <v>10.742496956595286</v>
      </c>
      <c r="AU125" s="95">
        <f>((h_Aw_Sw+Geraetedaten!$B$18)/1000)*(AQ125*AS125+AR125*AT125)/100</f>
        <v>0</v>
      </c>
    </row>
    <row r="126" spans="1:47" ht="13.5" x14ac:dyDescent="0.25">
      <c r="A126" s="16">
        <v>87</v>
      </c>
      <c r="B126" s="16">
        <f t="shared" si="59"/>
        <v>363</v>
      </c>
      <c r="C126" s="19">
        <f t="shared" si="60"/>
        <v>65.028306045391574</v>
      </c>
      <c r="D126" s="17">
        <f t="shared" si="61"/>
        <v>-6775.8812160453908</v>
      </c>
      <c r="E126" s="17">
        <f t="shared" si="62"/>
        <v>-103507.6394760454</v>
      </c>
      <c r="F126" s="17">
        <f t="shared" si="63"/>
        <v>6531.0782739546084</v>
      </c>
      <c r="G126" s="17">
        <f t="shared" si="64"/>
        <v>212582.70670395461</v>
      </c>
      <c r="H126" s="17">
        <f t="shared" si="92"/>
        <v>6531.0782739546084</v>
      </c>
      <c r="I126" s="17">
        <f t="shared" si="65"/>
        <v>2601.8019480443195</v>
      </c>
      <c r="J126" s="20">
        <f>(Geraetedaten!$B$152+(Geraetedaten!$B$153*(Geraetedaten!$B$18+d_y_Sw)/1000))*10</f>
        <v>6051.0442000000003</v>
      </c>
      <c r="K126" s="20">
        <f>(Geraetedaten!$B$165+(Geraetedaten!$B$166*(Geraetedaten!$B$18+d_y_Sw)/1000))*10</f>
        <v>10816.164000000001</v>
      </c>
      <c r="L126" s="20">
        <f>(Geraetedaten!$B$158+(Geraetedaten!$B$159*(Geraetedaten!$B$18+d_y_Sw)/1000)-(Geraetedaten!$B$160*I126/1000))*10</f>
        <v>410.74646314990986</v>
      </c>
      <c r="M126" s="20">
        <f>(Geraetedaten!$B$171+(Geraetedaten!$B$172*(Geraetedaten!$B$18+d_y_Sw)/1000)-(Geraetedaten!$B$173*I126/1000))*10</f>
        <v>871.18886298758184</v>
      </c>
      <c r="N126" s="20">
        <f>IF((H126-J126)/(K126-J126)*(Geraetedaten!$B$174-Geraetedaten!$B$161)&lt;Geraetedaten!$B$174,(H126-J126)/(K126-J126)*(Geraetedaten!$B$174-Geraetedaten!$B$161),Geraetedaten!$B$174)</f>
        <v>40.295656277486088</v>
      </c>
      <c r="O126" s="20">
        <f>N126/Geraetedaten!$B$174*(M126-L126)+L126+C126</f>
        <v>522.15934089390055</v>
      </c>
      <c r="P126" s="20">
        <f t="shared" si="66"/>
        <v>191.48564124522434</v>
      </c>
      <c r="Q126" s="21">
        <f>(N126-Geraetedaten!$B$161)/(Geraetedaten!$B$174-Geraetedaten!$B$161)*(Geraetedaten!$B$175-Geraetedaten!$B$162)+Geraetedaten!$B$162</f>
        <v>30.398795774255209</v>
      </c>
      <c r="R126" s="21">
        <f t="shared" si="67"/>
        <v>30.398795774255209</v>
      </c>
      <c r="S126" s="21">
        <f t="shared" si="68"/>
        <v>30.357135281143783</v>
      </c>
      <c r="T126" s="88">
        <f t="shared" si="69"/>
        <v>1.5909500454796106</v>
      </c>
      <c r="U126" s="86">
        <f t="shared" si="70"/>
        <v>-6710.8529099999996</v>
      </c>
      <c r="V126" s="85">
        <f t="shared" si="71"/>
        <v>-2683.3128092763232</v>
      </c>
      <c r="W126" s="85">
        <f t="shared" si="72"/>
        <v>-2686.8439260763562</v>
      </c>
      <c r="X126" s="90">
        <f t="shared" si="73"/>
        <v>2683.3128092763232</v>
      </c>
      <c r="Y126" s="86">
        <f t="shared" si="74"/>
        <v>-103442.61117</v>
      </c>
      <c r="Z126" s="85">
        <f t="shared" si="75"/>
        <v>-832.16398485565549</v>
      </c>
      <c r="AA126" s="85">
        <f t="shared" si="76"/>
        <v>-10022.331321109828</v>
      </c>
      <c r="AB126" s="90">
        <f t="shared" si="77"/>
        <v>832.16398485565549</v>
      </c>
      <c r="AC126" s="86">
        <f t="shared" si="78"/>
        <v>6596.1065799999997</v>
      </c>
      <c r="AD126" s="85">
        <f t="shared" si="79"/>
        <v>2598.140025222212</v>
      </c>
      <c r="AE126" s="85">
        <f t="shared" si="80"/>
        <v>2601.8019480443195</v>
      </c>
      <c r="AF126" s="90">
        <f t="shared" si="81"/>
        <v>2598.140025222212</v>
      </c>
      <c r="AG126" s="86">
        <f t="shared" si="82"/>
        <v>212647.73501</v>
      </c>
      <c r="AH126" s="85">
        <f t="shared" si="83"/>
        <v>6183.1314163678471</v>
      </c>
      <c r="AI126" s="85">
        <f t="shared" si="84"/>
        <v>145409.67943380153</v>
      </c>
      <c r="AJ126" s="90">
        <f t="shared" si="85"/>
        <v>6183.1314163678471</v>
      </c>
      <c r="AL126" s="95">
        <f t="shared" si="86"/>
        <v>0</v>
      </c>
      <c r="AM126" s="95">
        <f t="shared" si="87"/>
        <v>0</v>
      </c>
      <c r="AN126" s="95">
        <f t="shared" si="88"/>
        <v>0</v>
      </c>
      <c r="AO126" s="95">
        <f t="shared" si="89"/>
        <v>0</v>
      </c>
      <c r="AP126"/>
      <c r="AQ126" s="95">
        <f t="shared" si="90"/>
        <v>0</v>
      </c>
      <c r="AR126" s="95">
        <f t="shared" si="91"/>
        <v>0</v>
      </c>
      <c r="AS126" s="95">
        <f>Geraetedaten!$B$94*ABS(SIN(RADIANS($A126)))</f>
        <v>153.78894835220436</v>
      </c>
      <c r="AT126" s="95">
        <f>Geraetedaten!$B$94*ABS(COS(RADIANS($A126)))</f>
        <v>8.0597372614133711</v>
      </c>
      <c r="AU126" s="95">
        <f>((h_Aw_Sw+Geraetedaten!$B$18)/1000)*(AQ126*AS126+AR126*AT126)/100</f>
        <v>0</v>
      </c>
    </row>
    <row r="127" spans="1:47" ht="13.5" x14ac:dyDescent="0.25">
      <c r="A127" s="16">
        <v>88</v>
      </c>
      <c r="B127" s="16">
        <f t="shared" si="59"/>
        <v>362</v>
      </c>
      <c r="C127" s="19">
        <f t="shared" si="60"/>
        <v>64.554517858322527</v>
      </c>
      <c r="D127" s="17">
        <f t="shared" si="61"/>
        <v>-6770.4227178583224</v>
      </c>
      <c r="E127" s="17">
        <f t="shared" si="62"/>
        <v>-130941.28572785833</v>
      </c>
      <c r="F127" s="17">
        <f t="shared" si="63"/>
        <v>6526.4465121416779</v>
      </c>
      <c r="G127" s="17">
        <f t="shared" si="64"/>
        <v>360484.93913214171</v>
      </c>
      <c r="H127" s="17">
        <f t="shared" si="92"/>
        <v>6526.4465121416779</v>
      </c>
      <c r="I127" s="17">
        <f t="shared" si="65"/>
        <v>2599.7880886269695</v>
      </c>
      <c r="J127" s="20">
        <f>(Geraetedaten!$B$152+(Geraetedaten!$B$153*(Geraetedaten!$B$18+d_y_Sw)/1000))*10</f>
        <v>6051.0442000000003</v>
      </c>
      <c r="K127" s="20">
        <f>(Geraetedaten!$B$165+(Geraetedaten!$B$166*(Geraetedaten!$B$18+d_y_Sw)/1000))*10</f>
        <v>10816.164000000001</v>
      </c>
      <c r="L127" s="20">
        <f>(Geraetedaten!$B$158+(Geraetedaten!$B$159*(Geraetedaten!$B$18+d_y_Sw)/1000)-(Geraetedaten!$B$160*I127/1000))*10</f>
        <v>410.89413946098409</v>
      </c>
      <c r="M127" s="20">
        <f>(Geraetedaten!$B$171+(Geraetedaten!$B$172*(Geraetedaten!$B$18+d_y_Sw)/1000)-(Geraetedaten!$B$173*I127/1000))*10</f>
        <v>871.33877468260937</v>
      </c>
      <c r="N127" s="20">
        <f>IF((H127-J127)/(K127-J127)*(Geraetedaten!$B$174-Geraetedaten!$B$161)&lt;Geraetedaten!$B$174,(H127-J127)/(K127-J127)*(Geraetedaten!$B$174-Geraetedaten!$B$161),Geraetedaten!$B$174)</f>
        <v>39.906850790335014</v>
      </c>
      <c r="O127" s="20">
        <f>N127/Geraetedaten!$B$174*(M127-L127)+L127+C127</f>
        <v>521.38589570680574</v>
      </c>
      <c r="P127" s="20">
        <f t="shared" si="66"/>
        <v>191.26773810976411</v>
      </c>
      <c r="Q127" s="21">
        <f>(N127-Geraetedaten!$B$161)/(Geraetedaten!$B$174-Geraetedaten!$B$161)*(Geraetedaten!$B$175-Geraetedaten!$B$162)+Geraetedaten!$B$162</f>
        <v>30.387228811012466</v>
      </c>
      <c r="R127" s="21">
        <f t="shared" si="67"/>
        <v>30.387228811012466</v>
      </c>
      <c r="S127" s="21">
        <f t="shared" si="68"/>
        <v>30.368717732256243</v>
      </c>
      <c r="T127" s="88">
        <f t="shared" si="69"/>
        <v>1.0604989916880754</v>
      </c>
      <c r="U127" s="86">
        <f t="shared" si="70"/>
        <v>-6705.8681999999999</v>
      </c>
      <c r="V127" s="85">
        <f t="shared" si="71"/>
        <v>-2683.3128092763232</v>
      </c>
      <c r="W127" s="85">
        <f t="shared" si="72"/>
        <v>-2684.8481837242853</v>
      </c>
      <c r="X127" s="90">
        <f t="shared" si="73"/>
        <v>2683.3128092763232</v>
      </c>
      <c r="Y127" s="86">
        <f t="shared" si="74"/>
        <v>-130876.73121</v>
      </c>
      <c r="Z127" s="85">
        <f t="shared" si="75"/>
        <v>-832.16398485565549</v>
      </c>
      <c r="AA127" s="85">
        <f t="shared" si="76"/>
        <v>-12680.363996792095</v>
      </c>
      <c r="AB127" s="90">
        <f t="shared" si="77"/>
        <v>832.16398485565549</v>
      </c>
      <c r="AC127" s="86">
        <f t="shared" si="78"/>
        <v>6591.0010300000004</v>
      </c>
      <c r="AD127" s="85">
        <f t="shared" si="79"/>
        <v>2598.140025222212</v>
      </c>
      <c r="AE127" s="85">
        <f t="shared" si="80"/>
        <v>2599.7880886269695</v>
      </c>
      <c r="AF127" s="90">
        <f t="shared" si="81"/>
        <v>2598.140025222212</v>
      </c>
      <c r="AG127" s="86">
        <f t="shared" si="82"/>
        <v>360549.49365000002</v>
      </c>
      <c r="AH127" s="85">
        <f t="shared" si="83"/>
        <v>6183.1314163678471</v>
      </c>
      <c r="AI127" s="85">
        <f t="shared" si="84"/>
        <v>246545.70757394264</v>
      </c>
      <c r="AJ127" s="90">
        <f t="shared" si="85"/>
        <v>6183.1314163678471</v>
      </c>
      <c r="AL127" s="95">
        <f t="shared" si="86"/>
        <v>0</v>
      </c>
      <c r="AM127" s="95">
        <f t="shared" si="87"/>
        <v>0</v>
      </c>
      <c r="AN127" s="95">
        <f t="shared" si="88"/>
        <v>0</v>
      </c>
      <c r="AO127" s="95">
        <f t="shared" si="89"/>
        <v>0</v>
      </c>
      <c r="AP127"/>
      <c r="AQ127" s="95">
        <f t="shared" si="90"/>
        <v>0</v>
      </c>
      <c r="AR127" s="95">
        <f t="shared" si="91"/>
        <v>0</v>
      </c>
      <c r="AS127" s="95">
        <f>Geraetedaten!$B$94*ABS(SIN(RADIANS($A127)))</f>
        <v>153.90618736094075</v>
      </c>
      <c r="AT127" s="95">
        <f>Geraetedaten!$B$94*ABS(COS(RADIANS($A127)))</f>
        <v>5.3745224921851662</v>
      </c>
      <c r="AU127" s="95">
        <f>((h_Aw_Sw+Geraetedaten!$B$18)/1000)*(AQ127*AS127+AR127*AT127)/100</f>
        <v>0</v>
      </c>
    </row>
    <row r="128" spans="1:47" ht="13.5" x14ac:dyDescent="0.25">
      <c r="A128" s="16">
        <v>89</v>
      </c>
      <c r="B128" s="16">
        <f t="shared" si="59"/>
        <v>361</v>
      </c>
      <c r="C128" s="19">
        <f t="shared" si="60"/>
        <v>64.061065739760167</v>
      </c>
      <c r="D128" s="17">
        <f t="shared" si="61"/>
        <v>-6766.9922257397602</v>
      </c>
      <c r="E128" s="17">
        <f t="shared" si="62"/>
        <v>-178252.64593573974</v>
      </c>
      <c r="F128" s="17">
        <f t="shared" si="63"/>
        <v>6523.8474942602397</v>
      </c>
      <c r="G128" s="17">
        <f t="shared" si="64"/>
        <v>1185288.5768342603</v>
      </c>
      <c r="H128" s="17">
        <f t="shared" si="92"/>
        <v>6523.8474942602397</v>
      </c>
      <c r="I128" s="17">
        <f t="shared" si="65"/>
        <v>2598.5682812195223</v>
      </c>
      <c r="J128" s="20">
        <f>(Geraetedaten!$B$152+(Geraetedaten!$B$153*(Geraetedaten!$B$18+d_y_Sw)/1000))*10</f>
        <v>6051.0442000000003</v>
      </c>
      <c r="K128" s="20">
        <f>(Geraetedaten!$B$165+(Geraetedaten!$B$166*(Geraetedaten!$B$18+d_y_Sw)/1000))*10</f>
        <v>10816.164000000001</v>
      </c>
      <c r="L128" s="20">
        <f>(Geraetedaten!$B$158+(Geraetedaten!$B$159*(Geraetedaten!$B$18+d_y_Sw)/1000)-(Geraetedaten!$B$160*I128/1000))*10</f>
        <v>410.98358793817221</v>
      </c>
      <c r="M128" s="20">
        <f>(Geraetedaten!$B$171+(Geraetedaten!$B$172*(Geraetedaten!$B$18+d_y_Sw)/1000)-(Geraetedaten!$B$173*I128/1000))*10</f>
        <v>871.42957714601971</v>
      </c>
      <c r="N128" s="20">
        <f>IF((H128-J128)/(K128-J128)*(Geraetedaten!$B$174-Geraetedaten!$B$161)&lt;Geraetedaten!$B$174,(H128-J128)/(K128-J128)*(Geraetedaten!$B$174-Geraetedaten!$B$161),Geraetedaten!$B$174)</f>
        <v>39.688680587651916</v>
      </c>
      <c r="O128" s="20">
        <f>N128/Geraetedaten!$B$174*(M128-L128)+L128+C128</f>
        <v>520.73088816177153</v>
      </c>
      <c r="P128" s="20">
        <f t="shared" si="66"/>
        <v>191.06369315346737</v>
      </c>
      <c r="Q128" s="21">
        <f>(N128-Geraetedaten!$B$161)/(Geraetedaten!$B$174-Geraetedaten!$B$161)*(Geraetedaten!$B$175-Geraetedaten!$B$162)+Geraetedaten!$B$162</f>
        <v>30.380738247482643</v>
      </c>
      <c r="R128" s="21">
        <f t="shared" si="67"/>
        <v>30.380738247482643</v>
      </c>
      <c r="S128" s="21">
        <f t="shared" si="68"/>
        <v>30.376111113895142</v>
      </c>
      <c r="T128" s="88">
        <f t="shared" si="69"/>
        <v>0.53021699175979409</v>
      </c>
      <c r="U128" s="86">
        <f t="shared" si="70"/>
        <v>-6702.9311600000001</v>
      </c>
      <c r="V128" s="85">
        <f t="shared" si="71"/>
        <v>-2683.3128092763232</v>
      </c>
      <c r="W128" s="85">
        <f t="shared" si="72"/>
        <v>-2683.6722697957039</v>
      </c>
      <c r="X128" s="90">
        <f t="shared" si="73"/>
        <v>2683.3128092763232</v>
      </c>
      <c r="Y128" s="86">
        <f t="shared" si="74"/>
        <v>-178188.58486999999</v>
      </c>
      <c r="Z128" s="85">
        <f t="shared" si="75"/>
        <v>-832.16398485565549</v>
      </c>
      <c r="AA128" s="85">
        <f t="shared" si="76"/>
        <v>-17264.307378055579</v>
      </c>
      <c r="AB128" s="90">
        <f t="shared" si="77"/>
        <v>832.16398485565549</v>
      </c>
      <c r="AC128" s="86">
        <f t="shared" si="78"/>
        <v>6587.9085599999999</v>
      </c>
      <c r="AD128" s="85">
        <f t="shared" si="79"/>
        <v>2598.140025222212</v>
      </c>
      <c r="AE128" s="85">
        <f t="shared" si="80"/>
        <v>2598.5682812195223</v>
      </c>
      <c r="AF128" s="90">
        <f t="shared" si="81"/>
        <v>2598.140025222212</v>
      </c>
      <c r="AG128" s="86">
        <f t="shared" si="82"/>
        <v>1185352.6379</v>
      </c>
      <c r="AH128" s="85">
        <f t="shared" si="83"/>
        <v>6183.1314163678471</v>
      </c>
      <c r="AI128" s="85">
        <f t="shared" si="84"/>
        <v>810550.5900794426</v>
      </c>
      <c r="AJ128" s="90">
        <f t="shared" si="85"/>
        <v>6183.1314163678471</v>
      </c>
      <c r="AL128" s="95">
        <f t="shared" si="86"/>
        <v>0</v>
      </c>
      <c r="AM128" s="95">
        <f t="shared" si="87"/>
        <v>0</v>
      </c>
      <c r="AN128" s="95">
        <f t="shared" si="88"/>
        <v>0</v>
      </c>
      <c r="AO128" s="95">
        <f t="shared" si="89"/>
        <v>0</v>
      </c>
      <c r="AP128"/>
      <c r="AQ128" s="95">
        <f t="shared" si="90"/>
        <v>0</v>
      </c>
      <c r="AR128" s="95">
        <f t="shared" si="91"/>
        <v>0</v>
      </c>
      <c r="AS128" s="95">
        <f>Geraetedaten!$B$94*ABS(SIN(RADIANS($A128)))</f>
        <v>153.97654505408426</v>
      </c>
      <c r="AT128" s="95">
        <f>Geraetedaten!$B$94*ABS(COS(RADIANS($A128)))</f>
        <v>2.6876705913416741</v>
      </c>
      <c r="AU128" s="95">
        <f>((h_Aw_Sw+Geraetedaten!$B$18)/1000)*(AQ128*AS128+AR128*AT128)/100</f>
        <v>0</v>
      </c>
    </row>
    <row r="129" spans="1:47" ht="13.5" x14ac:dyDescent="0.25">
      <c r="A129" s="16">
        <v>90</v>
      </c>
      <c r="B129" s="16">
        <f t="shared" si="59"/>
        <v>360</v>
      </c>
      <c r="C129" s="19">
        <f t="shared" si="60"/>
        <v>63.548099999999998</v>
      </c>
      <c r="D129" s="17">
        <f t="shared" si="61"/>
        <v>-6765.5853999999999</v>
      </c>
      <c r="E129" s="17">
        <f t="shared" si="62"/>
        <v>-279270.20948000002</v>
      </c>
      <c r="F129" s="17">
        <f t="shared" si="63"/>
        <v>6523.2763699999996</v>
      </c>
      <c r="G129" s="17">
        <f t="shared" si="64"/>
        <v>-920416.49173999997</v>
      </c>
      <c r="H129" s="17">
        <f t="shared" si="92"/>
        <v>6523.2763699999996</v>
      </c>
      <c r="I129" s="17">
        <f t="shared" si="65"/>
        <v>2598.1406655901146</v>
      </c>
      <c r="J129" s="20">
        <f>(Geraetedaten!$B$152+(Geraetedaten!$B$153*(Geraetedaten!$B$18+d_y_Sw)/1000))*10</f>
        <v>6051.0442000000003</v>
      </c>
      <c r="K129" s="20">
        <f>(Geraetedaten!$B$165+(Geraetedaten!$B$166*(Geraetedaten!$B$18+d_y_Sw)/1000))*10</f>
        <v>10816.164000000001</v>
      </c>
      <c r="L129" s="20">
        <f>(Geraetedaten!$B$158+(Geraetedaten!$B$159*(Geraetedaten!$B$18+d_y_Sw)/1000)-(Geraetedaten!$B$160*I129/1000))*10</f>
        <v>411.0149449922767</v>
      </c>
      <c r="M129" s="20">
        <f>(Geraetedaten!$B$171+(Geraetedaten!$B$172*(Geraetedaten!$B$18+d_y_Sw)/1000)-(Geraetedaten!$B$173*I129/1000))*10</f>
        <v>871.46140885347279</v>
      </c>
      <c r="N129" s="20">
        <f>IF((H129-J129)/(K129-J129)*(Geraetedaten!$B$174-Geraetedaten!$B$161)&lt;Geraetedaten!$B$174,(H129-J129)/(K129-J129)*(Geraetedaten!$B$174-Geraetedaten!$B$161),Geraetedaten!$B$174)</f>
        <v>39.640738518263426</v>
      </c>
      <c r="O129" s="20">
        <f>N129/Geraetedaten!$B$174*(M129-L129)+L129+C129</f>
        <v>520.19413968122842</v>
      </c>
      <c r="P129" s="20">
        <f t="shared" si="66"/>
        <v>190.87361353792838</v>
      </c>
      <c r="Q129" s="21">
        <f>(N129-Geraetedaten!$B$161)/(Geraetedaten!$B$174-Geraetedaten!$B$161)*(Geraetedaten!$B$175-Geraetedaten!$B$162)+Geraetedaten!$B$162</f>
        <v>30.379311970918337</v>
      </c>
      <c r="R129" s="21">
        <f t="shared" si="67"/>
        <v>30.379311970918337</v>
      </c>
      <c r="S129" s="21">
        <f t="shared" si="68"/>
        <v>30.379311970918337</v>
      </c>
      <c r="T129" s="88">
        <f t="shared" si="69"/>
        <v>1.8609583561178771E-15</v>
      </c>
      <c r="U129" s="86">
        <f t="shared" si="70"/>
        <v>-6702.0373</v>
      </c>
      <c r="V129" s="85">
        <f t="shared" si="71"/>
        <v>-2683.3128092763232</v>
      </c>
      <c r="W129" s="85">
        <f t="shared" si="72"/>
        <v>-2683.3143911973361</v>
      </c>
      <c r="X129" s="90">
        <f t="shared" si="73"/>
        <v>2683.3128092763232</v>
      </c>
      <c r="Y129" s="86">
        <f t="shared" si="74"/>
        <v>-279206.66138000001</v>
      </c>
      <c r="Z129" s="85">
        <f t="shared" si="75"/>
        <v>-832.16398485565549</v>
      </c>
      <c r="AA129" s="85">
        <f t="shared" si="76"/>
        <v>-27051.730769230806</v>
      </c>
      <c r="AB129" s="90">
        <f t="shared" si="77"/>
        <v>832.16398485565549</v>
      </c>
      <c r="AC129" s="86">
        <f t="shared" si="78"/>
        <v>6586.8244699999996</v>
      </c>
      <c r="AD129" s="85">
        <f t="shared" si="79"/>
        <v>2598.140025222212</v>
      </c>
      <c r="AE129" s="85">
        <f t="shared" si="80"/>
        <v>2598.1406655901146</v>
      </c>
      <c r="AF129" s="90">
        <f t="shared" si="81"/>
        <v>2598.140025222212</v>
      </c>
      <c r="AG129" s="86">
        <f t="shared" si="82"/>
        <v>-920352.94363999995</v>
      </c>
      <c r="AH129" s="85">
        <f t="shared" si="83"/>
        <v>6183.1314163678471</v>
      </c>
      <c r="AI129" s="85">
        <f t="shared" si="84"/>
        <v>-629342.35576924123</v>
      </c>
      <c r="AJ129" s="90">
        <f t="shared" si="85"/>
        <v>6183.1314163678471</v>
      </c>
      <c r="AL129" s="95">
        <f t="shared" si="86"/>
        <v>0</v>
      </c>
      <c r="AM129" s="95">
        <f t="shared" si="87"/>
        <v>0</v>
      </c>
      <c r="AN129" s="95">
        <f t="shared" si="88"/>
        <v>0</v>
      </c>
      <c r="AO129" s="95">
        <f t="shared" si="89"/>
        <v>0</v>
      </c>
      <c r="AP129"/>
      <c r="AQ129" s="95">
        <f t="shared" si="90"/>
        <v>0</v>
      </c>
      <c r="AR129" s="95">
        <f t="shared" si="91"/>
        <v>0</v>
      </c>
      <c r="AS129" s="95">
        <f>Geraetedaten!$B$94*ABS(SIN(RADIANS($A129)))</f>
        <v>154</v>
      </c>
      <c r="AT129" s="95">
        <f>Geraetedaten!$B$94*ABS(COS(RADIANS($A129)))</f>
        <v>9.4336431027963741E-15</v>
      </c>
      <c r="AU129" s="95">
        <f>((h_Aw_Sw+Geraetedaten!$B$18)/1000)*(AQ129*AS129+AR129*AT129)/100</f>
        <v>0</v>
      </c>
    </row>
    <row r="130" spans="1:47" ht="13.5" x14ac:dyDescent="0.25">
      <c r="A130" s="16">
        <v>91</v>
      </c>
      <c r="B130" s="16">
        <f t="shared" si="59"/>
        <v>359</v>
      </c>
      <c r="C130" s="19">
        <f t="shared" si="60"/>
        <v>64.061065739760167</v>
      </c>
      <c r="D130" s="17">
        <f t="shared" si="61"/>
        <v>-6767.2463157397606</v>
      </c>
      <c r="E130" s="17">
        <f t="shared" si="62"/>
        <v>-645212.81412573974</v>
      </c>
      <c r="F130" s="17">
        <f t="shared" si="63"/>
        <v>6523.6860242602397</v>
      </c>
      <c r="G130" s="17">
        <f t="shared" si="64"/>
        <v>-331587.36447573977</v>
      </c>
      <c r="H130" s="17">
        <f t="shared" si="92"/>
        <v>6523.6860242602397</v>
      </c>
      <c r="I130" s="17">
        <f t="shared" si="65"/>
        <v>2598.5045901120266</v>
      </c>
      <c r="J130" s="20">
        <f>(Geraetedaten!$B$152+(Geraetedaten!$B$153*(Geraetedaten!$B$18+d_y_Sw)/1000))*10</f>
        <v>6051.0442000000003</v>
      </c>
      <c r="K130" s="20">
        <f>(Geraetedaten!$B$165+(Geraetedaten!$B$166*(Geraetedaten!$B$18+d_y_Sw)/1000))*10</f>
        <v>10816.164000000001</v>
      </c>
      <c r="L130" s="20">
        <f>(Geraetedaten!$B$158+(Geraetedaten!$B$159*(Geraetedaten!$B$18+d_y_Sw)/1000)-(Geraetedaten!$B$160*I130/1000))*10</f>
        <v>410.98825840708486</v>
      </c>
      <c r="M130" s="20">
        <f>(Geraetedaten!$B$171+(Geraetedaten!$B$172*(Geraetedaten!$B$18+d_y_Sw)/1000)-(Geraetedaten!$B$173*I130/1000))*10</f>
        <v>871.43431831206158</v>
      </c>
      <c r="N130" s="20">
        <f>IF((H130-J130)/(K130-J130)*(Geraetedaten!$B$174-Geraetedaten!$B$161)&lt;Geraetedaten!$B$174,(H130-J130)/(K130-J130)*(Geraetedaten!$B$174-Geraetedaten!$B$161),Geraetedaten!$B$174)</f>
        <v>39.675126258965356</v>
      </c>
      <c r="O130" s="20">
        <f>N130/Geraetedaten!$B$174*(M130-L130)+L130+C130</f>
        <v>520.71996305227765</v>
      </c>
      <c r="P130" s="20">
        <f t="shared" si="66"/>
        <v>191.06201970866948</v>
      </c>
      <c r="Q130" s="21">
        <f>(N130-Geraetedaten!$B$161)/(Geraetedaten!$B$174-Geraetedaten!$B$161)*(Geraetedaten!$B$175-Geraetedaten!$B$162)+Geraetedaten!$B$162</f>
        <v>30.38033500620422</v>
      </c>
      <c r="R130" s="21">
        <f t="shared" si="67"/>
        <v>30.38033500620422</v>
      </c>
      <c r="S130" s="21">
        <f t="shared" si="68"/>
        <v>30.37570793403232</v>
      </c>
      <c r="T130" s="88">
        <f t="shared" si="69"/>
        <v>-0.53020995422910711</v>
      </c>
      <c r="U130" s="86">
        <f t="shared" si="70"/>
        <v>-6703.1852500000005</v>
      </c>
      <c r="V130" s="85">
        <f t="shared" si="71"/>
        <v>-2683.3128092763232</v>
      </c>
      <c r="W130" s="85">
        <f t="shared" si="72"/>
        <v>-2683.7740025919793</v>
      </c>
      <c r="X130" s="90">
        <f t="shared" si="73"/>
        <v>2683.3128092763232</v>
      </c>
      <c r="Y130" s="86">
        <f t="shared" si="74"/>
        <v>-645148.75306000002</v>
      </c>
      <c r="Z130" s="85">
        <f t="shared" si="75"/>
        <v>-832.16398485565549</v>
      </c>
      <c r="AA130" s="85">
        <f t="shared" si="76"/>
        <v>-62507.070166395817</v>
      </c>
      <c r="AB130" s="90">
        <f t="shared" si="77"/>
        <v>832.16398485565549</v>
      </c>
      <c r="AC130" s="86">
        <f t="shared" si="78"/>
        <v>6587.7470899999998</v>
      </c>
      <c r="AD130" s="85">
        <f t="shared" si="79"/>
        <v>2598.140025222212</v>
      </c>
      <c r="AE130" s="85">
        <f t="shared" si="80"/>
        <v>2598.5045901120266</v>
      </c>
      <c r="AF130" s="90">
        <f t="shared" si="81"/>
        <v>2598.140025222212</v>
      </c>
      <c r="AG130" s="86">
        <f t="shared" si="82"/>
        <v>-331523.30340999999</v>
      </c>
      <c r="AH130" s="85">
        <f t="shared" si="83"/>
        <v>6183.1314163678471</v>
      </c>
      <c r="AI130" s="85">
        <f t="shared" si="84"/>
        <v>-226697.44058806601</v>
      </c>
      <c r="AJ130" s="90">
        <f t="shared" si="85"/>
        <v>6183.1314163678471</v>
      </c>
      <c r="AL130" s="95">
        <f t="shared" si="86"/>
        <v>0</v>
      </c>
      <c r="AM130" s="95">
        <f t="shared" si="87"/>
        <v>0</v>
      </c>
      <c r="AN130" s="95">
        <f t="shared" si="88"/>
        <v>0</v>
      </c>
      <c r="AO130" s="95">
        <f t="shared" si="89"/>
        <v>0</v>
      </c>
      <c r="AP130"/>
      <c r="AQ130" s="95">
        <f t="shared" si="90"/>
        <v>0</v>
      </c>
      <c r="AR130" s="95">
        <f t="shared" si="91"/>
        <v>0</v>
      </c>
      <c r="AS130" s="95">
        <f>Geraetedaten!$B$94*ABS(SIN(RADIANS($A130)))</f>
        <v>153.97654505408426</v>
      </c>
      <c r="AT130" s="95">
        <f>Geraetedaten!$B$94*ABS(COS(RADIANS($A130)))</f>
        <v>2.6876705913416554</v>
      </c>
      <c r="AU130" s="95">
        <f>((h_Aw_Sw+Geraetedaten!$B$18)/1000)*(AQ130*AS130+AR130*AT130)/100</f>
        <v>0</v>
      </c>
    </row>
    <row r="131" spans="1:47" ht="13.5" x14ac:dyDescent="0.25">
      <c r="A131" s="16">
        <v>92</v>
      </c>
      <c r="B131" s="16">
        <f t="shared" si="59"/>
        <v>358</v>
      </c>
      <c r="C131" s="19">
        <f t="shared" si="60"/>
        <v>64.554517858322527</v>
      </c>
      <c r="D131" s="17">
        <f t="shared" si="61"/>
        <v>-6770.9312978583221</v>
      </c>
      <c r="E131" s="17">
        <f t="shared" si="62"/>
        <v>2074674.3870521416</v>
      </c>
      <c r="F131" s="17">
        <f t="shared" si="63"/>
        <v>6526.1233221416778</v>
      </c>
      <c r="G131" s="17">
        <f t="shared" si="64"/>
        <v>-202276.75952785832</v>
      </c>
      <c r="H131" s="17">
        <f t="shared" si="92"/>
        <v>6526.1233221416778</v>
      </c>
      <c r="I131" s="17">
        <f t="shared" si="65"/>
        <v>2599.6606093392729</v>
      </c>
      <c r="J131" s="20">
        <f>(Geraetedaten!$B$152+(Geraetedaten!$B$153*(Geraetedaten!$B$18+d_y_Sw)/1000))*10</f>
        <v>6051.0442000000003</v>
      </c>
      <c r="K131" s="20">
        <f>(Geraetedaten!$B$165+(Geraetedaten!$B$166*(Geraetedaten!$B$18+d_y_Sw)/1000))*10</f>
        <v>10816.164000000001</v>
      </c>
      <c r="L131" s="20">
        <f>(Geraetedaten!$B$158+(Geraetedaten!$B$159*(Geraetedaten!$B$18+d_y_Sw)/1000)-(Geraetedaten!$B$160*I131/1000))*10</f>
        <v>410.90348751715089</v>
      </c>
      <c r="M131" s="20">
        <f>(Geraetedaten!$B$171+(Geraetedaten!$B$172*(Geraetedaten!$B$18+d_y_Sw)/1000)-(Geraetedaten!$B$173*I131/1000))*10</f>
        <v>871.3482642407854</v>
      </c>
      <c r="N131" s="20">
        <f>IF((H131-J131)/(K131-J131)*(Geraetedaten!$B$174-Geraetedaten!$B$161)&lt;Geraetedaten!$B$174,(H131-J131)/(K131-J131)*(Geraetedaten!$B$174-Geraetedaten!$B$161),Geraetedaten!$B$174)</f>
        <v>39.879721147130653</v>
      </c>
      <c r="O131" s="20">
        <f>N131/Geraetedaten!$B$174*(M131-L131)+L131+C131</f>
        <v>521.36402862395187</v>
      </c>
      <c r="P131" s="20">
        <f t="shared" si="66"/>
        <v>191.26439424360825</v>
      </c>
      <c r="Q131" s="21">
        <f>(N131-Geraetedaten!$B$161)/(Geraetedaten!$B$174-Geraetedaten!$B$161)*(Geraetedaten!$B$175-Geraetedaten!$B$162)+Geraetedaten!$B$162</f>
        <v>30.386421704127137</v>
      </c>
      <c r="R131" s="21">
        <f t="shared" si="67"/>
        <v>30.386421704127137</v>
      </c>
      <c r="S131" s="21">
        <f t="shared" si="68"/>
        <v>30.36791111703862</v>
      </c>
      <c r="T131" s="88">
        <f t="shared" si="69"/>
        <v>-1.0604708240639884</v>
      </c>
      <c r="U131" s="86">
        <f t="shared" si="70"/>
        <v>-6706.3767799999996</v>
      </c>
      <c r="V131" s="85">
        <f t="shared" si="71"/>
        <v>-2683.3128092763232</v>
      </c>
      <c r="W131" s="85">
        <f t="shared" si="72"/>
        <v>-2685.0518043696575</v>
      </c>
      <c r="X131" s="90">
        <f t="shared" si="73"/>
        <v>2683.3128092763232</v>
      </c>
      <c r="Y131" s="86">
        <f t="shared" si="74"/>
        <v>2074738.94157</v>
      </c>
      <c r="Z131" s="85">
        <f t="shared" si="75"/>
        <v>-832.16398485565549</v>
      </c>
      <c r="AA131" s="85">
        <f t="shared" si="76"/>
        <v>201016.97784086087</v>
      </c>
      <c r="AB131" s="90">
        <f t="shared" si="77"/>
        <v>832.16398485565549</v>
      </c>
      <c r="AC131" s="86">
        <f t="shared" si="78"/>
        <v>6590.6778400000003</v>
      </c>
      <c r="AD131" s="85">
        <f t="shared" si="79"/>
        <v>2598.140025222212</v>
      </c>
      <c r="AE131" s="85">
        <f t="shared" si="80"/>
        <v>2599.6606093392729</v>
      </c>
      <c r="AF131" s="90">
        <f t="shared" si="81"/>
        <v>2598.140025222212</v>
      </c>
      <c r="AG131" s="86">
        <f t="shared" si="82"/>
        <v>-202212.20501000001</v>
      </c>
      <c r="AH131" s="85">
        <f t="shared" si="83"/>
        <v>6183.1314163678471</v>
      </c>
      <c r="AI131" s="85">
        <f t="shared" si="84"/>
        <v>-138273.80718212589</v>
      </c>
      <c r="AJ131" s="90">
        <f t="shared" si="85"/>
        <v>6183.1314163678471</v>
      </c>
      <c r="AL131" s="95">
        <f t="shared" si="86"/>
        <v>0</v>
      </c>
      <c r="AM131" s="95">
        <f t="shared" si="87"/>
        <v>0</v>
      </c>
      <c r="AN131" s="95">
        <f t="shared" si="88"/>
        <v>0</v>
      </c>
      <c r="AO131" s="95">
        <f t="shared" si="89"/>
        <v>0</v>
      </c>
      <c r="AP131"/>
      <c r="AQ131" s="95">
        <f t="shared" si="90"/>
        <v>0</v>
      </c>
      <c r="AR131" s="95">
        <f t="shared" si="91"/>
        <v>0</v>
      </c>
      <c r="AS131" s="95">
        <f>Geraetedaten!$B$94*ABS(SIN(RADIANS($A131)))</f>
        <v>153.90618736094075</v>
      </c>
      <c r="AT131" s="95">
        <f>Geraetedaten!$B$94*ABS(COS(RADIANS($A131)))</f>
        <v>5.3745224921851475</v>
      </c>
      <c r="AU131" s="95">
        <f>((h_Aw_Sw+Geraetedaten!$B$18)/1000)*(AQ131*AS131+AR131*AT131)/100</f>
        <v>0</v>
      </c>
    </row>
    <row r="132" spans="1:47" ht="13.5" x14ac:dyDescent="0.25">
      <c r="A132" s="16">
        <v>93</v>
      </c>
      <c r="B132" s="16">
        <f t="shared" si="59"/>
        <v>357</v>
      </c>
      <c r="C132" s="19">
        <f t="shared" si="60"/>
        <v>65.028306045391574</v>
      </c>
      <c r="D132" s="17">
        <f t="shared" si="61"/>
        <v>-6776.6450560453914</v>
      </c>
      <c r="E132" s="17">
        <f t="shared" si="62"/>
        <v>397729.59767395462</v>
      </c>
      <c r="F132" s="17">
        <f t="shared" si="63"/>
        <v>6530.5928739546089</v>
      </c>
      <c r="G132" s="17">
        <f t="shared" si="64"/>
        <v>-145567.94991604539</v>
      </c>
      <c r="H132" s="17">
        <f t="shared" si="92"/>
        <v>6530.5928739546089</v>
      </c>
      <c r="I132" s="17">
        <f t="shared" si="65"/>
        <v>2601.6104860697592</v>
      </c>
      <c r="J132" s="20">
        <f>(Geraetedaten!$B$152+(Geraetedaten!$B$153*(Geraetedaten!$B$18+d_y_Sw)/1000))*10</f>
        <v>6051.0442000000003</v>
      </c>
      <c r="K132" s="20">
        <f>(Geraetedaten!$B$165+(Geraetedaten!$B$166*(Geraetedaten!$B$18+d_y_Sw)/1000))*10</f>
        <v>10816.164000000001</v>
      </c>
      <c r="L132" s="20">
        <f>(Geraetedaten!$B$158+(Geraetedaten!$B$159*(Geraetedaten!$B$18+d_y_Sw)/1000)-(Geraetedaten!$B$160*I132/1000))*10</f>
        <v>410.76050305650432</v>
      </c>
      <c r="M132" s="20">
        <f>(Geraetedaten!$B$171+(Geraetedaten!$B$172*(Geraetedaten!$B$18+d_y_Sw)/1000)-(Geraetedaten!$B$173*I132/1000))*10</f>
        <v>871.2031154169681</v>
      </c>
      <c r="N132" s="20">
        <f>IF((H132-J132)/(K132-J132)*(Geraetedaten!$B$174-Geraetedaten!$B$161)&lt;Geraetedaten!$B$174,(H132-J132)/(K132-J132)*(Geraetedaten!$B$174-Geraetedaten!$B$161),Geraetedaten!$B$174)</f>
        <v>40.254910187534726</v>
      </c>
      <c r="O132" s="20">
        <f>N132/Geraetedaten!$B$174*(M132-L132)+L132+C132</f>
        <v>522.12649911960671</v>
      </c>
      <c r="P132" s="20">
        <f t="shared" si="66"/>
        <v>191.48062891514581</v>
      </c>
      <c r="Q132" s="21">
        <f>(N132-Geraetedaten!$B$161)/(Geraetedaten!$B$174-Geraetedaten!$B$161)*(Geraetedaten!$B$175-Geraetedaten!$B$162)+Geraetedaten!$B$162</f>
        <v>30.397583578079157</v>
      </c>
      <c r="R132" s="21">
        <f t="shared" si="67"/>
        <v>30.397583578079157</v>
      </c>
      <c r="S132" s="21">
        <f t="shared" si="68"/>
        <v>30.355924746240461</v>
      </c>
      <c r="T132" s="88">
        <f t="shared" si="69"/>
        <v>-1.590886604033579</v>
      </c>
      <c r="U132" s="86">
        <f t="shared" si="70"/>
        <v>-6711.6167500000001</v>
      </c>
      <c r="V132" s="85">
        <f t="shared" si="71"/>
        <v>-2683.3128092763232</v>
      </c>
      <c r="W132" s="85">
        <f t="shared" si="72"/>
        <v>-2687.1497452534904</v>
      </c>
      <c r="X132" s="90">
        <f t="shared" si="73"/>
        <v>2683.3128092763232</v>
      </c>
      <c r="Y132" s="86">
        <f t="shared" si="74"/>
        <v>397794.62598000001</v>
      </c>
      <c r="Z132" s="85">
        <f t="shared" si="75"/>
        <v>-832.16398485565549</v>
      </c>
      <c r="AA132" s="85">
        <f t="shared" si="76"/>
        <v>38541.462693380636</v>
      </c>
      <c r="AB132" s="90">
        <f t="shared" si="77"/>
        <v>832.16398485565549</v>
      </c>
      <c r="AC132" s="86">
        <f t="shared" si="78"/>
        <v>6595.6211800000001</v>
      </c>
      <c r="AD132" s="85">
        <f t="shared" si="79"/>
        <v>2598.140025222212</v>
      </c>
      <c r="AE132" s="85">
        <f t="shared" si="80"/>
        <v>2601.6104860697592</v>
      </c>
      <c r="AF132" s="90">
        <f t="shared" si="81"/>
        <v>2598.140025222212</v>
      </c>
      <c r="AG132" s="86">
        <f t="shared" si="82"/>
        <v>-145502.92160999999</v>
      </c>
      <c r="AH132" s="85">
        <f t="shared" si="83"/>
        <v>6183.1314163678471</v>
      </c>
      <c r="AI132" s="85">
        <f t="shared" si="84"/>
        <v>-99495.690307523953</v>
      </c>
      <c r="AJ132" s="90">
        <f t="shared" si="85"/>
        <v>6183.1314163678471</v>
      </c>
      <c r="AL132" s="95">
        <f t="shared" si="86"/>
        <v>0</v>
      </c>
      <c r="AM132" s="95">
        <f t="shared" si="87"/>
        <v>0</v>
      </c>
      <c r="AN132" s="95">
        <f t="shared" si="88"/>
        <v>0</v>
      </c>
      <c r="AO132" s="95">
        <f t="shared" si="89"/>
        <v>0</v>
      </c>
      <c r="AP132"/>
      <c r="AQ132" s="95">
        <f t="shared" si="90"/>
        <v>0</v>
      </c>
      <c r="AR132" s="95">
        <f t="shared" si="91"/>
        <v>0</v>
      </c>
      <c r="AS132" s="95">
        <f>Geraetedaten!$B$94*ABS(SIN(RADIANS($A132)))</f>
        <v>153.78894835220436</v>
      </c>
      <c r="AT132" s="95">
        <f>Geraetedaten!$B$94*ABS(COS(RADIANS($A132)))</f>
        <v>8.0597372614133516</v>
      </c>
      <c r="AU132" s="95">
        <f>((h_Aw_Sw+Geraetedaten!$B$18)/1000)*(AQ132*AS132+AR132*AT132)/100</f>
        <v>0</v>
      </c>
    </row>
    <row r="133" spans="1:47" ht="13.5" x14ac:dyDescent="0.25">
      <c r="A133" s="16">
        <v>94</v>
      </c>
      <c r="B133" s="16">
        <f t="shared" si="59"/>
        <v>356</v>
      </c>
      <c r="C133" s="19">
        <f t="shared" si="60"/>
        <v>65.48228598049586</v>
      </c>
      <c r="D133" s="17">
        <f t="shared" si="61"/>
        <v>-6784.3954459804963</v>
      </c>
      <c r="E133" s="17">
        <f t="shared" si="62"/>
        <v>219958.17015401952</v>
      </c>
      <c r="F133" s="17">
        <f t="shared" si="63"/>
        <v>6537.1023840195039</v>
      </c>
      <c r="G133" s="17">
        <f t="shared" si="64"/>
        <v>-113727.22538598051</v>
      </c>
      <c r="H133" s="17">
        <f t="shared" si="92"/>
        <v>6537.1023840195039</v>
      </c>
      <c r="I133" s="17">
        <f t="shared" si="65"/>
        <v>2604.3571979102931</v>
      </c>
      <c r="J133" s="20">
        <f>(Geraetedaten!$B$152+(Geraetedaten!$B$153*(Geraetedaten!$B$18+d_y_Sw)/1000))*10</f>
        <v>6051.0442000000003</v>
      </c>
      <c r="K133" s="20">
        <f>(Geraetedaten!$B$165+(Geraetedaten!$B$166*(Geraetedaten!$B$18+d_y_Sw)/1000))*10</f>
        <v>10816.164000000001</v>
      </c>
      <c r="L133" s="20">
        <f>(Geraetedaten!$B$158+(Geraetedaten!$B$159*(Geraetedaten!$B$18+d_y_Sw)/1000)-(Geraetedaten!$B$160*I133/1000))*10</f>
        <v>410.55908667723799</v>
      </c>
      <c r="M133" s="20">
        <f>(Geraetedaten!$B$171+(Geraetedaten!$B$172*(Geraetedaten!$B$18+d_y_Sw)/1000)-(Geraetedaten!$B$173*I133/1000))*10</f>
        <v>870.99865018755872</v>
      </c>
      <c r="N133" s="20">
        <f>IF((H133-J133)/(K133-J133)*(Geraetedaten!$B$174-Geraetedaten!$B$161)&lt;Geraetedaten!$B$174,(H133-J133)/(K133-J133)*(Geraetedaten!$B$174-Geraetedaten!$B$161),Geraetedaten!$B$174)</f>
        <v>40.80134010645471</v>
      </c>
      <c r="O133" s="20">
        <f>N133/Geraetedaten!$B$174*(M133-L133)+L133+C133</f>
        <v>523.00775073086425</v>
      </c>
      <c r="P133" s="20">
        <f t="shared" si="66"/>
        <v>191.71063586599212</v>
      </c>
      <c r="Q133" s="21">
        <f>(N133-Geraetedaten!$B$161)/(Geraetedaten!$B$174-Geraetedaten!$B$161)*(Geraetedaten!$B$175-Geraetedaten!$B$162)+Geraetedaten!$B$162</f>
        <v>30.413839868167027</v>
      </c>
      <c r="R133" s="21">
        <f t="shared" si="67"/>
        <v>30.413839868167027</v>
      </c>
      <c r="S133" s="21">
        <f t="shared" si="68"/>
        <v>30.339753282842416</v>
      </c>
      <c r="T133" s="88">
        <f t="shared" si="69"/>
        <v>-2.1215622222218253</v>
      </c>
      <c r="U133" s="86">
        <f t="shared" si="70"/>
        <v>-6718.9131600000001</v>
      </c>
      <c r="V133" s="85">
        <f t="shared" si="71"/>
        <v>-2683.3128092763232</v>
      </c>
      <c r="W133" s="85">
        <f t="shared" si="72"/>
        <v>-2690.0710295583253</v>
      </c>
      <c r="X133" s="90">
        <f t="shared" si="73"/>
        <v>2683.3128092763232</v>
      </c>
      <c r="Y133" s="86">
        <f t="shared" si="74"/>
        <v>220023.65244000001</v>
      </c>
      <c r="Z133" s="85">
        <f t="shared" si="75"/>
        <v>-832.16398485565549</v>
      </c>
      <c r="AA133" s="85">
        <f t="shared" si="76"/>
        <v>21317.616776071787</v>
      </c>
      <c r="AB133" s="90">
        <f t="shared" si="77"/>
        <v>832.16398485565549</v>
      </c>
      <c r="AC133" s="86">
        <f t="shared" si="78"/>
        <v>6602.5846700000002</v>
      </c>
      <c r="AD133" s="85">
        <f t="shared" si="79"/>
        <v>2598.140025222212</v>
      </c>
      <c r="AE133" s="85">
        <f t="shared" si="80"/>
        <v>2604.3571979102931</v>
      </c>
      <c r="AF133" s="90">
        <f t="shared" si="81"/>
        <v>2598.140025222212</v>
      </c>
      <c r="AG133" s="86">
        <f t="shared" si="82"/>
        <v>-113661.74310000001</v>
      </c>
      <c r="AH133" s="85">
        <f t="shared" si="83"/>
        <v>6183.1314163678471</v>
      </c>
      <c r="AI133" s="85">
        <f t="shared" si="84"/>
        <v>-77722.519013486672</v>
      </c>
      <c r="AJ133" s="90">
        <f t="shared" si="85"/>
        <v>6183.1314163678471</v>
      </c>
      <c r="AL133" s="95">
        <f t="shared" si="86"/>
        <v>0</v>
      </c>
      <c r="AM133" s="95">
        <f t="shared" si="87"/>
        <v>0</v>
      </c>
      <c r="AN133" s="95">
        <f t="shared" si="88"/>
        <v>0</v>
      </c>
      <c r="AO133" s="95">
        <f t="shared" si="89"/>
        <v>0</v>
      </c>
      <c r="AP133"/>
      <c r="AQ133" s="95">
        <f t="shared" si="90"/>
        <v>0</v>
      </c>
      <c r="AR133" s="95">
        <f t="shared" si="91"/>
        <v>0</v>
      </c>
      <c r="AS133" s="95">
        <f>Geraetedaten!$B$94*ABS(SIN(RADIANS($A133)))</f>
        <v>153.62486374001293</v>
      </c>
      <c r="AT133" s="95">
        <f>Geraetedaten!$B$94*ABS(COS(RADIANS($A133)))</f>
        <v>10.742496956595302</v>
      </c>
      <c r="AU133" s="95">
        <f>((h_Aw_Sw+Geraetedaten!$B$18)/1000)*(AQ133*AS133+AR133*AT133)/100</f>
        <v>0</v>
      </c>
    </row>
    <row r="134" spans="1:47" ht="13.5" x14ac:dyDescent="0.25">
      <c r="A134" s="16">
        <v>95</v>
      </c>
      <c r="B134" s="16">
        <f t="shared" si="59"/>
        <v>355</v>
      </c>
      <c r="C134" s="19">
        <f t="shared" si="60"/>
        <v>65.916319376949332</v>
      </c>
      <c r="D134" s="17">
        <f t="shared" si="61"/>
        <v>-6794.1934993769491</v>
      </c>
      <c r="E134" s="17">
        <f t="shared" si="62"/>
        <v>152032.57027062302</v>
      </c>
      <c r="F134" s="17">
        <f t="shared" si="63"/>
        <v>6545.662630623051</v>
      </c>
      <c r="G134" s="17">
        <f t="shared" si="64"/>
        <v>-93343.617139376947</v>
      </c>
      <c r="H134" s="17">
        <f t="shared" si="92"/>
        <v>6545.662630623051</v>
      </c>
      <c r="I134" s="17">
        <f t="shared" si="65"/>
        <v>2607.9049483890071</v>
      </c>
      <c r="J134" s="20">
        <f>(Geraetedaten!$B$152+(Geraetedaten!$B$153*(Geraetedaten!$B$18+d_y_Sw)/1000))*10</f>
        <v>6051.0442000000003</v>
      </c>
      <c r="K134" s="20">
        <f>(Geraetedaten!$B$165+(Geraetedaten!$B$166*(Geraetedaten!$B$18+d_y_Sw)/1000))*10</f>
        <v>10816.164000000001</v>
      </c>
      <c r="L134" s="20">
        <f>(Geraetedaten!$B$158+(Geraetedaten!$B$159*(Geraetedaten!$B$18+d_y_Sw)/1000)-(Geraetedaten!$B$160*I134/1000))*10</f>
        <v>410.29893013463385</v>
      </c>
      <c r="M134" s="20">
        <f>(Geraetedaten!$B$171+(Geraetedaten!$B$172*(Geraetedaten!$B$18+d_y_Sw)/1000)-(Geraetedaten!$B$173*I134/1000))*10</f>
        <v>870.73455564192329</v>
      </c>
      <c r="N134" s="20">
        <f>IF((H134-J134)/(K134-J134)*(Geraetedaten!$B$174-Geraetedaten!$B$161)&lt;Geraetedaten!$B$174,(H134-J134)/(K134-J134)*(Geraetedaten!$B$174-Geraetedaten!$B$161),Geraetedaten!$B$174)</f>
        <v>41.519915669112926</v>
      </c>
      <c r="O134" s="20">
        <f>N134/Geraetedaten!$B$174*(M134-L134)+L134+C134</f>
        <v>524.0083703668779</v>
      </c>
      <c r="P134" s="20">
        <f t="shared" si="66"/>
        <v>191.95434679146666</v>
      </c>
      <c r="Q134" s="21">
        <f>(N134-Geraetedaten!$B$161)/(Geraetedaten!$B$174-Geraetedaten!$B$161)*(Geraetedaten!$B$175-Geraetedaten!$B$162)+Geraetedaten!$B$162</f>
        <v>30.435217491156109</v>
      </c>
      <c r="R134" s="21">
        <f t="shared" si="67"/>
        <v>30.435217491156109</v>
      </c>
      <c r="S134" s="21">
        <f t="shared" si="68"/>
        <v>30.319402299958874</v>
      </c>
      <c r="T134" s="88">
        <f t="shared" si="69"/>
        <v>-2.6526039861282302</v>
      </c>
      <c r="U134" s="86">
        <f t="shared" si="70"/>
        <v>-6728.27718</v>
      </c>
      <c r="V134" s="85">
        <f t="shared" si="71"/>
        <v>-2683.3128092763232</v>
      </c>
      <c r="W134" s="85">
        <f t="shared" si="72"/>
        <v>-2693.8201291525188</v>
      </c>
      <c r="X134" s="90">
        <f t="shared" si="73"/>
        <v>2683.3128092763232</v>
      </c>
      <c r="Y134" s="86">
        <f t="shared" si="74"/>
        <v>152098.48658999999</v>
      </c>
      <c r="Z134" s="85">
        <f t="shared" si="75"/>
        <v>-832.16398485565549</v>
      </c>
      <c r="AA134" s="85">
        <f t="shared" si="76"/>
        <v>14736.49406982634</v>
      </c>
      <c r="AB134" s="90">
        <f t="shared" si="77"/>
        <v>832.16398485565549</v>
      </c>
      <c r="AC134" s="86">
        <f t="shared" si="78"/>
        <v>6611.5789500000001</v>
      </c>
      <c r="AD134" s="85">
        <f t="shared" si="79"/>
        <v>2598.140025222212</v>
      </c>
      <c r="AE134" s="85">
        <f t="shared" si="80"/>
        <v>2607.9049483890071</v>
      </c>
      <c r="AF134" s="90">
        <f t="shared" si="81"/>
        <v>2598.140025222212</v>
      </c>
      <c r="AG134" s="86">
        <f t="shared" si="82"/>
        <v>-93277.700819999998</v>
      </c>
      <c r="AH134" s="85">
        <f t="shared" si="83"/>
        <v>6183.1314163678471</v>
      </c>
      <c r="AI134" s="85">
        <f t="shared" si="84"/>
        <v>-63783.79987698797</v>
      </c>
      <c r="AJ134" s="90">
        <f t="shared" si="85"/>
        <v>6183.1314163678471</v>
      </c>
      <c r="AL134" s="95">
        <f t="shared" si="86"/>
        <v>0</v>
      </c>
      <c r="AM134" s="95">
        <f t="shared" si="87"/>
        <v>0</v>
      </c>
      <c r="AN134" s="95">
        <f t="shared" si="88"/>
        <v>0</v>
      </c>
      <c r="AO134" s="95">
        <f t="shared" si="89"/>
        <v>0</v>
      </c>
      <c r="AP134"/>
      <c r="AQ134" s="95">
        <f t="shared" si="90"/>
        <v>0</v>
      </c>
      <c r="AR134" s="95">
        <f t="shared" si="91"/>
        <v>0</v>
      </c>
      <c r="AS134" s="95">
        <f>Geraetedaten!$B$94*ABS(SIN(RADIANS($A134)))</f>
        <v>153.4139835061288</v>
      </c>
      <c r="AT134" s="95">
        <f>Geraetedaten!$B$94*ABS(COS(RADIANS($A134)))</f>
        <v>13.421984383139367</v>
      </c>
      <c r="AU134" s="95">
        <f>((h_Aw_Sw+Geraetedaten!$B$18)/1000)*(AQ134*AS134+AR134*AT134)/100</f>
        <v>0</v>
      </c>
    </row>
    <row r="135" spans="1:47" ht="13.5" x14ac:dyDescent="0.25">
      <c r="A135" s="16">
        <v>96</v>
      </c>
      <c r="B135" s="16">
        <f t="shared" si="59"/>
        <v>354</v>
      </c>
      <c r="C135" s="19">
        <f t="shared" si="60"/>
        <v>66.330274023974866</v>
      </c>
      <c r="D135" s="17">
        <f t="shared" si="61"/>
        <v>-6806.0534540239751</v>
      </c>
      <c r="E135" s="17">
        <f t="shared" si="62"/>
        <v>116180.21572597603</v>
      </c>
      <c r="F135" s="17">
        <f t="shared" si="63"/>
        <v>6556.287555976025</v>
      </c>
      <c r="G135" s="17">
        <f t="shared" si="64"/>
        <v>-79179.934224023978</v>
      </c>
      <c r="H135" s="17">
        <f t="shared" si="92"/>
        <v>6556.287555976025</v>
      </c>
      <c r="I135" s="17">
        <f t="shared" si="65"/>
        <v>2612.25918269252</v>
      </c>
      <c r="J135" s="20">
        <f>(Geraetedaten!$B$152+(Geraetedaten!$B$153*(Geraetedaten!$B$18+d_y_Sw)/1000))*10</f>
        <v>6051.0442000000003</v>
      </c>
      <c r="K135" s="20">
        <f>(Geraetedaten!$B$165+(Geraetedaten!$B$166*(Geraetedaten!$B$18+d_y_Sw)/1000))*10</f>
        <v>10816.164000000001</v>
      </c>
      <c r="L135" s="20">
        <f>(Geraetedaten!$B$158+(Geraetedaten!$B$159*(Geraetedaten!$B$18+d_y_Sw)/1000)-(Geraetedaten!$B$160*I135/1000))*10</f>
        <v>409.97963413315733</v>
      </c>
      <c r="M135" s="20">
        <f>(Geraetedaten!$B$171+(Geraetedaten!$B$172*(Geraetedaten!$B$18+d_y_Sw)/1000)-(Geraetedaten!$B$173*I135/1000))*10</f>
        <v>870.41042644036975</v>
      </c>
      <c r="N135" s="20">
        <f>IF((H135-J135)/(K135-J135)*(Geraetedaten!$B$174-Geraetedaten!$B$161)&lt;Geraetedaten!$B$174,(H135-J135)/(K135-J135)*(Geraetedaten!$B$174-Geraetedaten!$B$161),Geraetedaten!$B$174)</f>
        <v>42.411807231039582</v>
      </c>
      <c r="O135" s="20">
        <f>N135/Geraetedaten!$B$174*(M135-L135)+L135+C135</f>
        <v>525.12916317355302</v>
      </c>
      <c r="P135" s="20">
        <f t="shared" si="66"/>
        <v>192.21171392967631</v>
      </c>
      <c r="Q135" s="21">
        <f>(N135-Geraetedaten!$B$161)/(Geraetedaten!$B$174-Geraetedaten!$B$161)*(Geraetedaten!$B$175-Geraetedaten!$B$162)+Geraetedaten!$B$162</f>
        <v>30.461751265123429</v>
      </c>
      <c r="R135" s="21">
        <f t="shared" ref="R135:R166" si="93">SQRT((r_K_D/1000)^2+Q135^2-(2*(r_K_D/1000)*Q135*COS(RADIANS(2*A135))))</f>
        <v>30.461751265123429</v>
      </c>
      <c r="S135" s="21">
        <f t="shared" ref="S135:S166" si="94">R135*SIN(A135*Const_2)</f>
        <v>30.294878604427449</v>
      </c>
      <c r="T135" s="88">
        <f t="shared" ref="T135:T166" si="95">R135*COS(A135*Const_2)</f>
        <v>-3.1841200481848535</v>
      </c>
      <c r="U135" s="86">
        <f t="shared" ref="U135:U166" si="96">ROUND((F_S*r_Su_L-F_G*V135+F_SSw*X135)/(SIN(RADIANS(270+g_L-A135)))/1000,5)</f>
        <v>-6739.72318</v>
      </c>
      <c r="V135" s="85">
        <f t="shared" ref="V135:V166" si="97">(SIN(RADIANS(g_L)))*(((VL_Z-HL_Z)/(VL_X-HL_X))*(-HL_X+AM135)+HL_Z-AL135)</f>
        <v>-2683.3128092763232</v>
      </c>
      <c r="W135" s="85">
        <f t="shared" ref="W135:W166" si="98">V135/(SIN(RADIANS(180-g_L-(90-$A135))))</f>
        <v>-2698.4028002061277</v>
      </c>
      <c r="X135" s="90">
        <f t="shared" ref="X135:X166" si="99">SIN(RADIANS(g_L))*(((VL_Z-HL_Z)/(VL_X-HL_X))*(-AO135+HL_X)-HL_Z+AN135)</f>
        <v>2683.3128092763232</v>
      </c>
      <c r="Y135" s="86">
        <f t="shared" ref="Y135:Y166" si="100">ROUND((F_S*r_Su_H-F_G*Z135+F_SSw*AB135)/(SIN(RADIANS(180+g_H-A135)))/1000,5)</f>
        <v>116246.546</v>
      </c>
      <c r="Z135" s="85">
        <f t="shared" ref="Z135:Z166" si="101">(SIN(RADIANS(g_H)))*(((HL_X-HR_X)/(HL_Z-HR_Z))*(-HR_Z+AL135)+HR_X-AM135)</f>
        <v>-832.16398485565549</v>
      </c>
      <c r="AA135" s="85">
        <f t="shared" ref="AA135:AA166" si="102">Z135/(SIN(RADIANS(g_H-$A135)))</f>
        <v>11262.876929837597</v>
      </c>
      <c r="AB135" s="90">
        <f t="shared" ref="AB135:AB166" si="103">SIN(RADIANS(g_H))*(((HL_X-HR_X)/(HL_Z-HR_Z))*(-AN135+HR_Z)-HR_X+AO135)</f>
        <v>832.16398485565549</v>
      </c>
      <c r="AC135" s="86">
        <f t="shared" ref="AC135:AC166" si="104">ROUND((F_S*r_Su_R+F_G*AD135+F_SSw*AF135)/(SIN(RADIANS(90+g_R-A135)))/1000,5)</f>
        <v>6622.6178300000001</v>
      </c>
      <c r="AD135" s="85">
        <f t="shared" ref="AD135:AD166" si="105">(SIN(RADIANS(g_R)))*(((HR_Z-VR_Z)/(HR_X-VR_X))*(-VR_X+AM135)+VR_Z-AL135)</f>
        <v>2598.140025222212</v>
      </c>
      <c r="AE135" s="85">
        <f t="shared" ref="AE135:AE166" si="106">AD135/(SIN(RADIANS(180-g_R-(90-$A135))))</f>
        <v>2612.25918269252</v>
      </c>
      <c r="AF135" s="90">
        <f t="shared" ref="AF135:AF166" si="107">(SIN(RADIANS(g_R)))*(((HR_Z-VR_Z)/(HR_X-VR_X))*(-VR_X+AO135)+VR_Z-AN135)</f>
        <v>2598.140025222212</v>
      </c>
      <c r="AG135" s="86">
        <f t="shared" ref="AG135:AG166" si="108">ROUND((F_S*r_Su_V+F_G*AH135+F_SSw*AJ135)/(SIN(RADIANS(g_V-A135)))/1000,5)</f>
        <v>-79113.603950000004</v>
      </c>
      <c r="AH135" s="85">
        <f t="shared" ref="AH135:AH166" si="109">(SIN(RADIANS(g_V)))*(((VR_X-VL_X)/(VR_Z-VL_Z))*(AL135-VL_Z)+VL_X-AM135)</f>
        <v>6183.1314163678471</v>
      </c>
      <c r="AI135" s="85">
        <f t="shared" ref="AI135:AI166" si="110">AH135/(SIN(RADIANS(g_V-$A135)))</f>
        <v>-54098.313290151411</v>
      </c>
      <c r="AJ135" s="90">
        <f t="shared" ref="AJ135:AJ166" si="111">(SIN(RADIANS(g_V)))*(((VR_X-VL_X)/(VR_Z-VL_Z))*(-VL_Z+AN135)+VL_X-AO135)</f>
        <v>6183.1314163678471</v>
      </c>
      <c r="AL135" s="95">
        <f t="shared" ref="AL135:AL166" si="112">SIN(RADIANS(A135))*r_K_D</f>
        <v>0</v>
      </c>
      <c r="AM135" s="95">
        <f t="shared" ref="AM135:AM166" si="113">COS(RADIANS(A135-180))*r_K_D</f>
        <v>0</v>
      </c>
      <c r="AN135" s="95">
        <f t="shared" ref="AN135:AN166" si="114">SIN(RADIANS(A135))*r_K_SSw</f>
        <v>0</v>
      </c>
      <c r="AO135" s="95">
        <f t="shared" ref="AO135:AO166" si="115">-COS(RADIANS(A135))*r_K_SSw</f>
        <v>0</v>
      </c>
      <c r="AP135"/>
      <c r="AQ135" s="95">
        <f t="shared" ref="AQ135:AQ166" si="116">MAX(d_y_Sw*(r_K_D*ABS(COS(RADIANS($A135)))+_r1_Sw+_r2_Sw), 2*_r1_Sw*d_y_Sw)/1000000</f>
        <v>0</v>
      </c>
      <c r="AR135" s="95">
        <f t="shared" ref="AR135:AR166" si="117">MAX(d_y_Sw*(r_K_D*ABS(SIN(RADIANS($A135)))+_r1_Sw+_r2_Sw), 2*_r1_Sw*d_y_Sw)/1000000</f>
        <v>0</v>
      </c>
      <c r="AS135" s="95">
        <f>Geraetedaten!$B$94*ABS(SIN(RADIANS($A135)))</f>
        <v>153.15637188671408</v>
      </c>
      <c r="AT135" s="95">
        <f>Geraetedaten!$B$94*ABS(COS(RADIANS($A135)))</f>
        <v>16.097383343218649</v>
      </c>
      <c r="AU135" s="95">
        <f>((h_Aw_Sw+Geraetedaten!$B$18)/1000)*(AQ135*AS135+AR135*AT135)/100</f>
        <v>0</v>
      </c>
    </row>
    <row r="136" spans="1:47" ht="13.5" x14ac:dyDescent="0.25">
      <c r="A136" s="16">
        <v>97</v>
      </c>
      <c r="B136" s="16">
        <f t="shared" si="59"/>
        <v>353</v>
      </c>
      <c r="C136" s="19">
        <f t="shared" si="60"/>
        <v>66.724023826976904</v>
      </c>
      <c r="D136" s="17">
        <f t="shared" si="61"/>
        <v>-6819.9928338269765</v>
      </c>
      <c r="E136" s="17">
        <f t="shared" si="62"/>
        <v>94028.742996173023</v>
      </c>
      <c r="F136" s="17">
        <f t="shared" si="63"/>
        <v>6568.9943061730228</v>
      </c>
      <c r="G136" s="17">
        <f t="shared" si="64"/>
        <v>-68768.917153826973</v>
      </c>
      <c r="H136" s="17">
        <f t="shared" si="92"/>
        <v>6568.9943061730228</v>
      </c>
      <c r="I136" s="17">
        <f t="shared" si="65"/>
        <v>2617.4266081377878</v>
      </c>
      <c r="J136" s="20">
        <f>(Geraetedaten!$B$152+(Geraetedaten!$B$153*(Geraetedaten!$B$18+d_y_Sw)/1000))*10</f>
        <v>6051.0442000000003</v>
      </c>
      <c r="K136" s="20">
        <f>(Geraetedaten!$B$165+(Geraetedaten!$B$166*(Geraetedaten!$B$18+d_y_Sw)/1000))*10</f>
        <v>10816.164000000001</v>
      </c>
      <c r="L136" s="20">
        <f>(Geraetedaten!$B$158+(Geraetedaten!$B$159*(Geraetedaten!$B$18+d_y_Sw)/1000)-(Geraetedaten!$B$160*I136/1000))*10</f>
        <v>409.60070682525583</v>
      </c>
      <c r="M136" s="20">
        <f>(Geraetedaten!$B$171+(Geraetedaten!$B$172*(Geraetedaten!$B$18+d_y_Sw)/1000)-(Geraetedaten!$B$173*I136/1000))*10</f>
        <v>870.02576329022395</v>
      </c>
      <c r="N136" s="20">
        <f>IF((H136-J136)/(K136-J136)*(Geraetedaten!$B$174-Geraetedaten!$B$161)&lt;Geraetedaten!$B$174,(H136-J136)/(K136-J136)*(Geraetedaten!$B$174-Geraetedaten!$B$161),Geraetedaten!$B$174)</f>
        <v>43.47845409242575</v>
      </c>
      <c r="O136" s="20">
        <f>N136/Geraetedaten!$B$174*(M136-L136)+L136+C136</f>
        <v>526.37115485351933</v>
      </c>
      <c r="P136" s="20">
        <f t="shared" si="66"/>
        <v>192.48270993544205</v>
      </c>
      <c r="Q136" s="21">
        <f>(N136-Geraetedaten!$B$161)/(Geraetedaten!$B$174-Geraetedaten!$B$161)*(Geraetedaten!$B$175-Geraetedaten!$B$162)+Geraetedaten!$B$162</f>
        <v>30.493484009249666</v>
      </c>
      <c r="R136" s="21">
        <f t="shared" si="93"/>
        <v>30.493484009249666</v>
      </c>
      <c r="S136" s="21">
        <f t="shared" si="94"/>
        <v>30.266190203516949</v>
      </c>
      <c r="T136" s="88">
        <f t="shared" si="95"/>
        <v>-3.7162208743426173</v>
      </c>
      <c r="U136" s="86">
        <f t="shared" si="96"/>
        <v>-6753.2688099999996</v>
      </c>
      <c r="V136" s="85">
        <f t="shared" si="97"/>
        <v>-2683.3128092763232</v>
      </c>
      <c r="W136" s="85">
        <f t="shared" si="98"/>
        <v>-2703.8261048425879</v>
      </c>
      <c r="X136" s="90">
        <f t="shared" si="99"/>
        <v>2683.3128092763232</v>
      </c>
      <c r="Y136" s="86">
        <f t="shared" si="100"/>
        <v>94095.467019999996</v>
      </c>
      <c r="Z136" s="85">
        <f t="shared" si="101"/>
        <v>-832.16398485565549</v>
      </c>
      <c r="AA136" s="85">
        <f t="shared" si="102"/>
        <v>9116.7067001840205</v>
      </c>
      <c r="AB136" s="90">
        <f t="shared" si="103"/>
        <v>832.16398485565549</v>
      </c>
      <c r="AC136" s="86">
        <f t="shared" si="104"/>
        <v>6635.7183299999997</v>
      </c>
      <c r="AD136" s="85">
        <f t="shared" si="105"/>
        <v>2598.140025222212</v>
      </c>
      <c r="AE136" s="85">
        <f t="shared" si="106"/>
        <v>2617.4266081377878</v>
      </c>
      <c r="AF136" s="90">
        <f t="shared" si="107"/>
        <v>2598.140025222212</v>
      </c>
      <c r="AG136" s="86">
        <f t="shared" si="108"/>
        <v>-68702.19313</v>
      </c>
      <c r="AH136" s="85">
        <f t="shared" si="109"/>
        <v>6183.1314163678471</v>
      </c>
      <c r="AI136" s="85">
        <f t="shared" si="110"/>
        <v>-46978.933865925792</v>
      </c>
      <c r="AJ136" s="90">
        <f t="shared" si="111"/>
        <v>6183.1314163678471</v>
      </c>
      <c r="AL136" s="95">
        <f t="shared" si="112"/>
        <v>0</v>
      </c>
      <c r="AM136" s="95">
        <f t="shared" si="113"/>
        <v>0</v>
      </c>
      <c r="AN136" s="95">
        <f t="shared" si="114"/>
        <v>0</v>
      </c>
      <c r="AO136" s="95">
        <f t="shared" si="115"/>
        <v>0</v>
      </c>
      <c r="AP136"/>
      <c r="AQ136" s="95">
        <f t="shared" si="116"/>
        <v>0</v>
      </c>
      <c r="AR136" s="95">
        <f t="shared" si="117"/>
        <v>0</v>
      </c>
      <c r="AS136" s="95">
        <f>Geraetedaten!$B$94*ABS(SIN(RADIANS($A136)))</f>
        <v>152.8521073527636</v>
      </c>
      <c r="AT136" s="95">
        <f>Geraetedaten!$B$94*ABS(COS(RADIANS($A136)))</f>
        <v>18.767878884392694</v>
      </c>
      <c r="AU136" s="95">
        <f>((h_Aw_Sw+Geraetedaten!$B$18)/1000)*(AQ136*AS136+AR136*AT136)/100</f>
        <v>0</v>
      </c>
    </row>
    <row r="137" spans="1:47" ht="13.5" x14ac:dyDescent="0.25">
      <c r="A137" s="16">
        <v>98</v>
      </c>
      <c r="B137" s="16">
        <f t="shared" si="59"/>
        <v>352</v>
      </c>
      <c r="C137" s="19">
        <f t="shared" si="60"/>
        <v>67.097448845951106</v>
      </c>
      <c r="D137" s="17">
        <f t="shared" si="61"/>
        <v>-6836.0324888459518</v>
      </c>
      <c r="E137" s="17">
        <f t="shared" si="62"/>
        <v>78988.250311154057</v>
      </c>
      <c r="F137" s="17">
        <f t="shared" si="63"/>
        <v>6583.8032511540487</v>
      </c>
      <c r="G137" s="17">
        <f t="shared" si="64"/>
        <v>-60795.840138845953</v>
      </c>
      <c r="H137" s="17">
        <f t="shared" si="92"/>
        <v>6583.8032511540487</v>
      </c>
      <c r="I137" s="17">
        <f t="shared" si="65"/>
        <v>2623.4152195224683</v>
      </c>
      <c r="J137" s="20">
        <f>(Geraetedaten!$B$152+(Geraetedaten!$B$153*(Geraetedaten!$B$18+d_y_Sw)/1000))*10</f>
        <v>6051.0442000000003</v>
      </c>
      <c r="K137" s="20">
        <f>(Geraetedaten!$B$165+(Geraetedaten!$B$166*(Geraetedaten!$B$18+d_y_Sw)/1000))*10</f>
        <v>10816.164000000001</v>
      </c>
      <c r="L137" s="20">
        <f>(Geraetedaten!$B$158+(Geraetedaten!$B$159*(Geraetedaten!$B$18+d_y_Sw)/1000)-(Geraetedaten!$B$160*I137/1000))*10</f>
        <v>409.16156195241717</v>
      </c>
      <c r="M137" s="20">
        <f>(Geraetedaten!$B$171+(Geraetedaten!$B$172*(Geraetedaten!$B$18+d_y_Sw)/1000)-(Geraetedaten!$B$173*I137/1000))*10</f>
        <v>869.57997105874836</v>
      </c>
      <c r="N137" s="20">
        <f>IF((H137-J137)/(K137-J137)*(Geraetedaten!$B$174-Geraetedaten!$B$161)&lt;Geraetedaten!$B$174,(H137-J137)/(K137-J137)*(Geraetedaten!$B$174-Geraetedaten!$B$161),Geraetedaten!$B$174)</f>
        <v>44.721566173765318</v>
      </c>
      <c r="O137" s="20">
        <f>N137/Geraetedaten!$B$174*(M137-L137)+L137+C137</f>
        <v>527.73559167453959</v>
      </c>
      <c r="P137" s="20">
        <f t="shared" si="66"/>
        <v>192.76732718842459</v>
      </c>
      <c r="Q137" s="21">
        <f>(N137-Geraetedaten!$B$161)/(Geraetedaten!$B$174-Geraetedaten!$B$161)*(Geraetedaten!$B$175-Geraetedaten!$B$162)+Geraetedaten!$B$162</f>
        <v>30.530466593669519</v>
      </c>
      <c r="R137" s="21">
        <f t="shared" si="93"/>
        <v>30.530466593669519</v>
      </c>
      <c r="S137" s="21">
        <f t="shared" si="94"/>
        <v>30.233346191492146</v>
      </c>
      <c r="T137" s="88">
        <f t="shared" si="95"/>
        <v>-4.249019709598671</v>
      </c>
      <c r="U137" s="86">
        <f t="shared" si="96"/>
        <v>-6768.9350400000003</v>
      </c>
      <c r="V137" s="85">
        <f t="shared" si="97"/>
        <v>-2683.3128092763232</v>
      </c>
      <c r="W137" s="85">
        <f t="shared" si="98"/>
        <v>-2710.0984378460944</v>
      </c>
      <c r="X137" s="90">
        <f t="shared" si="99"/>
        <v>2683.3128092763232</v>
      </c>
      <c r="Y137" s="86">
        <f t="shared" si="100"/>
        <v>79055.347760000004</v>
      </c>
      <c r="Z137" s="85">
        <f t="shared" si="101"/>
        <v>-832.16398485565549</v>
      </c>
      <c r="AA137" s="85">
        <f t="shared" si="102"/>
        <v>7659.5020082443134</v>
      </c>
      <c r="AB137" s="90">
        <f t="shared" si="103"/>
        <v>832.16398485565549</v>
      </c>
      <c r="AC137" s="86">
        <f t="shared" si="104"/>
        <v>6650.9007000000001</v>
      </c>
      <c r="AD137" s="85">
        <f t="shared" si="105"/>
        <v>2598.140025222212</v>
      </c>
      <c r="AE137" s="85">
        <f t="shared" si="106"/>
        <v>2623.4152195224683</v>
      </c>
      <c r="AF137" s="90">
        <f t="shared" si="107"/>
        <v>2598.140025222212</v>
      </c>
      <c r="AG137" s="86">
        <f t="shared" si="108"/>
        <v>-60728.742689999999</v>
      </c>
      <c r="AH137" s="85">
        <f t="shared" si="109"/>
        <v>6183.1314163678471</v>
      </c>
      <c r="AI137" s="85">
        <f t="shared" si="110"/>
        <v>-41526.645023589124</v>
      </c>
      <c r="AJ137" s="90">
        <f t="shared" si="111"/>
        <v>6183.1314163678471</v>
      </c>
      <c r="AL137" s="95">
        <f t="shared" si="112"/>
        <v>0</v>
      </c>
      <c r="AM137" s="95">
        <f t="shared" si="113"/>
        <v>0</v>
      </c>
      <c r="AN137" s="95">
        <f t="shared" si="114"/>
        <v>0</v>
      </c>
      <c r="AO137" s="95">
        <f t="shared" si="115"/>
        <v>0</v>
      </c>
      <c r="AP137"/>
      <c r="AQ137" s="95">
        <f t="shared" si="116"/>
        <v>0</v>
      </c>
      <c r="AR137" s="95">
        <f t="shared" si="117"/>
        <v>0</v>
      </c>
      <c r="AS137" s="95">
        <f>Geraetedaten!$B$94*ABS(SIN(RADIANS($A137)))</f>
        <v>152.50128258620182</v>
      </c>
      <c r="AT137" s="95">
        <f>Geraetedaten!$B$94*ABS(COS(RADIANS($A137)))</f>
        <v>21.432657547850063</v>
      </c>
      <c r="AU137" s="95">
        <f>((h_Aw_Sw+Geraetedaten!$B$18)/1000)*(AQ137*AS137+AR137*AT137)/100</f>
        <v>0</v>
      </c>
    </row>
    <row r="138" spans="1:47" ht="13.5" x14ac:dyDescent="0.25">
      <c r="A138" s="16">
        <v>99</v>
      </c>
      <c r="B138" s="16">
        <f t="shared" si="59"/>
        <v>351</v>
      </c>
      <c r="C138" s="19">
        <f t="shared" si="60"/>
        <v>67.450435332019254</v>
      </c>
      <c r="D138" s="17">
        <f t="shared" si="61"/>
        <v>-6854.1966753320194</v>
      </c>
      <c r="E138" s="17">
        <f t="shared" si="62"/>
        <v>68111.081254667981</v>
      </c>
      <c r="F138" s="17">
        <f t="shared" si="63"/>
        <v>6600.7381146679809</v>
      </c>
      <c r="G138" s="17">
        <f t="shared" si="64"/>
        <v>-54495.90591533202</v>
      </c>
      <c r="H138" s="17">
        <f t="shared" si="92"/>
        <v>6600.7381146679809</v>
      </c>
      <c r="I138" s="17">
        <f t="shared" si="65"/>
        <v>2630.2343295331348</v>
      </c>
      <c r="J138" s="20">
        <f>(Geraetedaten!$B$152+(Geraetedaten!$B$153*(Geraetedaten!$B$18+d_y_Sw)/1000))*10</f>
        <v>6051.0442000000003</v>
      </c>
      <c r="K138" s="20">
        <f>(Geraetedaten!$B$165+(Geraetedaten!$B$166*(Geraetedaten!$B$18+d_y_Sw)/1000))*10</f>
        <v>10816.164000000001</v>
      </c>
      <c r="L138" s="20">
        <f>(Geraetedaten!$B$158+(Geraetedaten!$B$159*(Geraetedaten!$B$18+d_y_Sw)/1000)-(Geraetedaten!$B$160*I138/1000))*10</f>
        <v>408.66151661533502</v>
      </c>
      <c r="M138" s="20">
        <f>(Geraetedaten!$B$171+(Geraetedaten!$B$172*(Geraetedaten!$B$18+d_y_Sw)/1000)-(Geraetedaten!$B$173*I138/1000))*10</f>
        <v>869.07235650955442</v>
      </c>
      <c r="N138" s="20">
        <f>IF((H138-J138)/(K138-J138)*(Geraetedaten!$B$174-Geraetedaten!$B$161)&lt;Geraetedaten!$B$174,(H138-J138)/(K138-J138)*(Geraetedaten!$B$174-Geraetedaten!$B$161),Geraetedaten!$B$174)</f>
        <v>46.143134925420391</v>
      </c>
      <c r="O138" s="20">
        <f>N138/Geraetedaten!$B$174*(M138-L138)+L138+C138</f>
        <v>529.22395071326696</v>
      </c>
      <c r="P138" s="20">
        <f t="shared" si="66"/>
        <v>193.06557887881053</v>
      </c>
      <c r="Q138" s="21">
        <f>(N138-Geraetedaten!$B$161)/(Geraetedaten!$B$174-Geraetedaten!$B$161)*(Geraetedaten!$B$175-Geraetedaten!$B$162)+Geraetedaten!$B$162</f>
        <v>30.572758264031258</v>
      </c>
      <c r="R138" s="21">
        <f t="shared" si="93"/>
        <v>30.572758264031258</v>
      </c>
      <c r="S138" s="21">
        <f t="shared" si="94"/>
        <v>30.196356877217319</v>
      </c>
      <c r="T138" s="88">
        <f t="shared" si="95"/>
        <v>-4.7826330838380251</v>
      </c>
      <c r="U138" s="86">
        <f t="shared" si="96"/>
        <v>-6786.7462400000004</v>
      </c>
      <c r="V138" s="85">
        <f t="shared" si="97"/>
        <v>-2683.3128092763232</v>
      </c>
      <c r="W138" s="85">
        <f t="shared" si="98"/>
        <v>-2717.2295586137534</v>
      </c>
      <c r="X138" s="90">
        <f t="shared" si="99"/>
        <v>2683.3128092763232</v>
      </c>
      <c r="Y138" s="86">
        <f t="shared" si="100"/>
        <v>68178.531690000003</v>
      </c>
      <c r="Z138" s="85">
        <f t="shared" si="101"/>
        <v>-832.16398485565549</v>
      </c>
      <c r="AA138" s="85">
        <f t="shared" si="102"/>
        <v>6605.6707760935278</v>
      </c>
      <c r="AB138" s="90">
        <f t="shared" si="103"/>
        <v>832.16398485565549</v>
      </c>
      <c r="AC138" s="86">
        <f t="shared" si="104"/>
        <v>6668.1885499999999</v>
      </c>
      <c r="AD138" s="85">
        <f t="shared" si="105"/>
        <v>2598.140025222212</v>
      </c>
      <c r="AE138" s="85">
        <f t="shared" si="106"/>
        <v>2630.2343295331348</v>
      </c>
      <c r="AF138" s="90">
        <f t="shared" si="107"/>
        <v>2598.140025222212</v>
      </c>
      <c r="AG138" s="86">
        <f t="shared" si="108"/>
        <v>-54428.455479999997</v>
      </c>
      <c r="AH138" s="85">
        <f t="shared" si="109"/>
        <v>6183.1314163678471</v>
      </c>
      <c r="AI138" s="85">
        <f t="shared" si="110"/>
        <v>-37218.474311259917</v>
      </c>
      <c r="AJ138" s="90">
        <f t="shared" si="111"/>
        <v>6183.1314163678471</v>
      </c>
      <c r="AL138" s="95">
        <f t="shared" si="112"/>
        <v>0</v>
      </c>
      <c r="AM138" s="95">
        <f t="shared" si="113"/>
        <v>0</v>
      </c>
      <c r="AN138" s="95">
        <f t="shared" si="114"/>
        <v>0</v>
      </c>
      <c r="AO138" s="95">
        <f t="shared" si="115"/>
        <v>0</v>
      </c>
      <c r="AP138"/>
      <c r="AQ138" s="95">
        <f t="shared" si="116"/>
        <v>0</v>
      </c>
      <c r="AR138" s="95">
        <f t="shared" si="117"/>
        <v>0</v>
      </c>
      <c r="AS138" s="95">
        <f>Geraetedaten!$B$94*ABS(SIN(RADIANS($A138)))</f>
        <v>152.10400445165121</v>
      </c>
      <c r="AT138" s="95">
        <f>Geraetedaten!$B$94*ABS(COS(RADIANS($A138)))</f>
        <v>24.090907616195544</v>
      </c>
      <c r="AU138" s="95">
        <f>((h_Aw_Sw+Geraetedaten!$B$18)/1000)*(AQ138*AS138+AR138*AT138)/100</f>
        <v>0</v>
      </c>
    </row>
    <row r="139" spans="1:47" ht="13.5" x14ac:dyDescent="0.25">
      <c r="A139" s="16">
        <v>100</v>
      </c>
      <c r="B139" s="16">
        <f t="shared" si="59"/>
        <v>350</v>
      </c>
      <c r="C139" s="19">
        <f t="shared" si="60"/>
        <v>67.782875762078234</v>
      </c>
      <c r="D139" s="17">
        <f t="shared" si="61"/>
        <v>-6874.513155762078</v>
      </c>
      <c r="E139" s="17">
        <f t="shared" si="62"/>
        <v>59880.971054237918</v>
      </c>
      <c r="F139" s="17">
        <f t="shared" si="63"/>
        <v>6619.8260542379221</v>
      </c>
      <c r="G139" s="17">
        <f t="shared" si="64"/>
        <v>-49393.935075762078</v>
      </c>
      <c r="H139" s="17">
        <f t="shared" si="92"/>
        <v>6619.8260542379221</v>
      </c>
      <c r="I139" s="17">
        <f t="shared" si="65"/>
        <v>2637.8946044282116</v>
      </c>
      <c r="J139" s="20">
        <f>(Geraetedaten!$B$152+(Geraetedaten!$B$153*(Geraetedaten!$B$18+d_y_Sw)/1000))*10</f>
        <v>6051.0442000000003</v>
      </c>
      <c r="K139" s="20">
        <f>(Geraetedaten!$B$165+(Geraetedaten!$B$166*(Geraetedaten!$B$18+d_y_Sw)/1000))*10</f>
        <v>10816.164000000001</v>
      </c>
      <c r="L139" s="20">
        <f>(Geraetedaten!$B$158+(Geraetedaten!$B$159*(Geraetedaten!$B$18+d_y_Sw)/1000)-(Geraetedaten!$B$160*I139/1000))*10</f>
        <v>408.09978865727896</v>
      </c>
      <c r="M139" s="20">
        <f>(Geraetedaten!$B$171+(Geraetedaten!$B$172*(Geraetedaten!$B$18+d_y_Sw)/1000)-(Geraetedaten!$B$173*I139/1000))*10</f>
        <v>868.50212564636479</v>
      </c>
      <c r="N139" s="20">
        <f>IF((H139-J139)/(K139-J139)*(Geraetedaten!$B$174-Geraetedaten!$B$161)&lt;Geraetedaten!$B$174,(H139-J139)/(K139-J139)*(Geraetedaten!$B$174-Geraetedaten!$B$161),Geraetedaten!$B$174)</f>
        <v>47.745440040178785</v>
      </c>
      <c r="O139" s="20">
        <f>N139/Geraetedaten!$B$174*(M139-L139)+L139+C139</f>
        <v>530.83794485703368</v>
      </c>
      <c r="P139" s="20">
        <f t="shared" si="66"/>
        <v>193.37749895739523</v>
      </c>
      <c r="Q139" s="21">
        <f>(N139-Geraetedaten!$B$161)/(Geraetedaten!$B$174-Geraetedaten!$B$161)*(Geraetedaten!$B$175-Geraetedaten!$B$162)+Geraetedaten!$B$162</f>
        <v>30.620426841195318</v>
      </c>
      <c r="R139" s="21">
        <f t="shared" si="93"/>
        <v>30.620426841195318</v>
      </c>
      <c r="S139" s="21">
        <f t="shared" si="94"/>
        <v>30.155233753752263</v>
      </c>
      <c r="T139" s="88">
        <f t="shared" si="95"/>
        <v>-5.3171813203571263</v>
      </c>
      <c r="U139" s="86">
        <f t="shared" si="96"/>
        <v>-6806.7302799999998</v>
      </c>
      <c r="V139" s="85">
        <f t="shared" si="97"/>
        <v>-2683.3128092763232</v>
      </c>
      <c r="W139" s="85">
        <f t="shared" si="98"/>
        <v>-2725.2306285806148</v>
      </c>
      <c r="X139" s="90">
        <f t="shared" si="99"/>
        <v>2683.3128092763232</v>
      </c>
      <c r="Y139" s="86">
        <f t="shared" si="100"/>
        <v>59948.753929999999</v>
      </c>
      <c r="Z139" s="85">
        <f t="shared" si="101"/>
        <v>-832.16398485565549</v>
      </c>
      <c r="AA139" s="85">
        <f t="shared" si="102"/>
        <v>5808.3053724809024</v>
      </c>
      <c r="AB139" s="90">
        <f t="shared" si="103"/>
        <v>832.16398485565549</v>
      </c>
      <c r="AC139" s="86">
        <f t="shared" si="104"/>
        <v>6687.6089300000003</v>
      </c>
      <c r="AD139" s="85">
        <f t="shared" si="105"/>
        <v>2598.140025222212</v>
      </c>
      <c r="AE139" s="85">
        <f t="shared" si="106"/>
        <v>2637.8946044282116</v>
      </c>
      <c r="AF139" s="90">
        <f t="shared" si="107"/>
        <v>2598.140025222212</v>
      </c>
      <c r="AG139" s="86">
        <f t="shared" si="108"/>
        <v>-49326.152199999997</v>
      </c>
      <c r="AH139" s="85">
        <f t="shared" si="109"/>
        <v>6183.1314163678471</v>
      </c>
      <c r="AI139" s="85">
        <f t="shared" si="110"/>
        <v>-33729.491537608774</v>
      </c>
      <c r="AJ139" s="90">
        <f t="shared" si="111"/>
        <v>6183.1314163678471</v>
      </c>
      <c r="AL139" s="95">
        <f t="shared" si="112"/>
        <v>0</v>
      </c>
      <c r="AM139" s="95">
        <f t="shared" si="113"/>
        <v>0</v>
      </c>
      <c r="AN139" s="95">
        <f t="shared" si="114"/>
        <v>0</v>
      </c>
      <c r="AO139" s="95">
        <f t="shared" si="115"/>
        <v>0</v>
      </c>
      <c r="AP139"/>
      <c r="AQ139" s="95">
        <f t="shared" si="116"/>
        <v>0</v>
      </c>
      <c r="AR139" s="95">
        <f t="shared" si="117"/>
        <v>0</v>
      </c>
      <c r="AS139" s="95">
        <f>Geraetedaten!$B$94*ABS(SIN(RADIANS($A139)))</f>
        <v>151.66039396388004</v>
      </c>
      <c r="AT139" s="95">
        <f>Geraetedaten!$B$94*ABS(COS(RADIANS($A139)))</f>
        <v>26.741819360707268</v>
      </c>
      <c r="AU139" s="95">
        <f>((h_Aw_Sw+Geraetedaten!$B$18)/1000)*(AQ139*AS139+AR139*AT139)/100</f>
        <v>0</v>
      </c>
    </row>
    <row r="140" spans="1:47" ht="13.5" x14ac:dyDescent="0.25">
      <c r="A140" s="16">
        <v>101</v>
      </c>
      <c r="B140" s="16">
        <f t="shared" si="59"/>
        <v>349</v>
      </c>
      <c r="C140" s="19">
        <f t="shared" si="60"/>
        <v>68.094668871552628</v>
      </c>
      <c r="D140" s="17">
        <f t="shared" si="61"/>
        <v>-6897.0133188715527</v>
      </c>
      <c r="E140" s="17">
        <f t="shared" si="62"/>
        <v>53438.248561128443</v>
      </c>
      <c r="F140" s="17">
        <f t="shared" si="63"/>
        <v>6641.0977511284473</v>
      </c>
      <c r="G140" s="17">
        <f t="shared" si="64"/>
        <v>-45179.130548871559</v>
      </c>
      <c r="H140" s="17">
        <f t="shared" si="92"/>
        <v>6641.0977511284473</v>
      </c>
      <c r="I140" s="17">
        <f t="shared" si="65"/>
        <v>2646.4081052525676</v>
      </c>
      <c r="J140" s="20">
        <f>(Geraetedaten!$B$152+(Geraetedaten!$B$153*(Geraetedaten!$B$18+d_y_Sw)/1000))*10</f>
        <v>6051.0442000000003</v>
      </c>
      <c r="K140" s="20">
        <f>(Geraetedaten!$B$165+(Geraetedaten!$B$166*(Geraetedaten!$B$18+d_y_Sw)/1000))*10</f>
        <v>10816.164000000001</v>
      </c>
      <c r="L140" s="20">
        <f>(Geraetedaten!$B$158+(Geraetedaten!$B$159*(Geraetedaten!$B$18+d_y_Sw)/1000)-(Geraetedaten!$B$160*I140/1000))*10</f>
        <v>407.47549364182902</v>
      </c>
      <c r="M140" s="20">
        <f>(Geraetedaten!$B$171+(Geraetedaten!$B$172*(Geraetedaten!$B$18+d_y_Sw)/1000)-(Geraetedaten!$B$173*I140/1000))*10</f>
        <v>867.86838064499977</v>
      </c>
      <c r="N140" s="20">
        <f>IF((H140-J140)/(K140-J140)*(Geraetedaten!$B$174-Geraetedaten!$B$161)&lt;Geraetedaten!$B$174,(H140-J140)/(K140-J140)*(Geraetedaten!$B$174-Geraetedaten!$B$161),Geraetedaten!$B$174)</f>
        <v>49.531057005403888</v>
      </c>
      <c r="O140" s="20">
        <f>N140/Geraetedaten!$B$174*(M140-L140)+L140+C140</f>
        <v>532.57952834097296</v>
      </c>
      <c r="P140" s="20">
        <f t="shared" si="66"/>
        <v>193.70314203265522</v>
      </c>
      <c r="Q140" s="21">
        <f>(N140-Geraetedaten!$B$161)/(Geraetedaten!$B$174-Geraetedaten!$B$161)*(Geraetedaten!$B$175-Geraetedaten!$B$162)+Geraetedaten!$B$162</f>
        <v>30.673548945910767</v>
      </c>
      <c r="R140" s="21">
        <f t="shared" si="93"/>
        <v>30.673548945910767</v>
      </c>
      <c r="S140" s="21">
        <f t="shared" si="94"/>
        <v>30.109989458118449</v>
      </c>
      <c r="T140" s="88">
        <f t="shared" si="95"/>
        <v>-5.8527890590025082</v>
      </c>
      <c r="U140" s="86">
        <f t="shared" si="96"/>
        <v>-6828.9186499999996</v>
      </c>
      <c r="V140" s="85">
        <f t="shared" si="97"/>
        <v>-2683.3128092763232</v>
      </c>
      <c r="W140" s="85">
        <f t="shared" si="98"/>
        <v>-2734.114254387337</v>
      </c>
      <c r="X140" s="90">
        <f t="shared" si="99"/>
        <v>2683.3128092763232</v>
      </c>
      <c r="Y140" s="86">
        <f t="shared" si="100"/>
        <v>53506.343229999999</v>
      </c>
      <c r="Z140" s="85">
        <f t="shared" si="101"/>
        <v>-832.16398485565549</v>
      </c>
      <c r="AA140" s="85">
        <f t="shared" si="102"/>
        <v>5184.1141050765254</v>
      </c>
      <c r="AB140" s="90">
        <f t="shared" si="103"/>
        <v>832.16398485565549</v>
      </c>
      <c r="AC140" s="86">
        <f t="shared" si="104"/>
        <v>6709.1924200000003</v>
      </c>
      <c r="AD140" s="85">
        <f t="shared" si="105"/>
        <v>2598.140025222212</v>
      </c>
      <c r="AE140" s="85">
        <f t="shared" si="106"/>
        <v>2646.4081052525676</v>
      </c>
      <c r="AF140" s="90">
        <f t="shared" si="107"/>
        <v>2598.140025222212</v>
      </c>
      <c r="AG140" s="86">
        <f t="shared" si="108"/>
        <v>-45111.035880000003</v>
      </c>
      <c r="AH140" s="85">
        <f t="shared" si="109"/>
        <v>6183.1314163678471</v>
      </c>
      <c r="AI140" s="85">
        <f t="shared" si="110"/>
        <v>-30847.172040749479</v>
      </c>
      <c r="AJ140" s="90">
        <f t="shared" si="111"/>
        <v>6183.1314163678471</v>
      </c>
      <c r="AL140" s="95">
        <f t="shared" si="112"/>
        <v>0</v>
      </c>
      <c r="AM140" s="95">
        <f t="shared" si="113"/>
        <v>0</v>
      </c>
      <c r="AN140" s="95">
        <f t="shared" si="114"/>
        <v>0</v>
      </c>
      <c r="AO140" s="95">
        <f t="shared" si="115"/>
        <v>0</v>
      </c>
      <c r="AP140"/>
      <c r="AQ140" s="95">
        <f t="shared" si="116"/>
        <v>0</v>
      </c>
      <c r="AR140" s="95">
        <f t="shared" si="117"/>
        <v>0</v>
      </c>
      <c r="AS140" s="95">
        <f>Geraetedaten!$B$94*ABS(SIN(RADIANS($A140)))</f>
        <v>151.17058625094026</v>
      </c>
      <c r="AT140" s="95">
        <f>Geraetedaten!$B$94*ABS(COS(RADIANS($A140)))</f>
        <v>29.3845852879879</v>
      </c>
      <c r="AU140" s="95">
        <f>((h_Aw_Sw+Geraetedaten!$B$18)/1000)*(AQ140*AS140+AR140*AT140)/100</f>
        <v>0</v>
      </c>
    </row>
    <row r="141" spans="1:47" ht="13.5" x14ac:dyDescent="0.25">
      <c r="A141" s="16">
        <v>102</v>
      </c>
      <c r="B141" s="16">
        <f t="shared" si="59"/>
        <v>348</v>
      </c>
      <c r="C141" s="19">
        <f t="shared" si="60"/>
        <v>68.385719685240872</v>
      </c>
      <c r="D141" s="17">
        <f t="shared" si="61"/>
        <v>-6921.7323096852406</v>
      </c>
      <c r="E141" s="17">
        <f t="shared" si="62"/>
        <v>48259.145950314756</v>
      </c>
      <c r="F141" s="17">
        <f t="shared" si="63"/>
        <v>6664.5875303147595</v>
      </c>
      <c r="G141" s="17">
        <f t="shared" si="64"/>
        <v>-41639.65402968524</v>
      </c>
      <c r="H141" s="17">
        <f t="shared" si="92"/>
        <v>6664.5875303147595</v>
      </c>
      <c r="I141" s="17">
        <f t="shared" si="65"/>
        <v>2655.7883348837618</v>
      </c>
      <c r="J141" s="20">
        <f>(Geraetedaten!$B$152+(Geraetedaten!$B$153*(Geraetedaten!$B$18+d_y_Sw)/1000))*10</f>
        <v>6051.0442000000003</v>
      </c>
      <c r="K141" s="20">
        <f>(Geraetedaten!$B$165+(Geraetedaten!$B$166*(Geraetedaten!$B$18+d_y_Sw)/1000))*10</f>
        <v>10816.164000000001</v>
      </c>
      <c r="L141" s="20">
        <f>(Geraetedaten!$B$158+(Geraetedaten!$B$159*(Geraetedaten!$B$18+d_y_Sw)/1000)-(Geraetedaten!$B$160*I141/1000))*10</f>
        <v>406.78764140297352</v>
      </c>
      <c r="M141" s="20">
        <f>(Geraetedaten!$B$171+(Geraetedaten!$B$172*(Geraetedaten!$B$18+d_y_Sw)/1000)-(Geraetedaten!$B$173*I141/1000))*10</f>
        <v>867.17011635125368</v>
      </c>
      <c r="N141" s="20">
        <f>IF((H141-J141)/(K141-J141)*(Geraetedaten!$B$174-Geraetedaten!$B$161)&lt;Geraetedaten!$B$174,(H141-J141)/(K141-J141)*(Geraetedaten!$B$174-Geraetedaten!$B$161),Geraetedaten!$B$174)</f>
        <v>51.502867173644553</v>
      </c>
      <c r="O141" s="20">
        <f>N141/Geraetedaten!$B$174*(M141-L141)+L141+C141</f>
        <v>534.4509047290519</v>
      </c>
      <c r="P141" s="20">
        <f t="shared" si="66"/>
        <v>194.04258356034765</v>
      </c>
      <c r="Q141" s="21">
        <f>(N141-Geraetedaten!$B$161)/(Geraetedaten!$B$174-Geraetedaten!$B$161)*(Geraetedaten!$B$175-Geraetedaten!$B$162)+Geraetedaten!$B$162</f>
        <v>30.732210298415925</v>
      </c>
      <c r="R141" s="21">
        <f t="shared" si="93"/>
        <v>30.732210298415925</v>
      </c>
      <c r="S141" s="21">
        <f t="shared" si="94"/>
        <v>30.060637768642291</v>
      </c>
      <c r="T141" s="88">
        <f t="shared" si="95"/>
        <v>-6.3895858057106114</v>
      </c>
      <c r="U141" s="86">
        <f t="shared" si="96"/>
        <v>-6853.3465900000001</v>
      </c>
      <c r="V141" s="85">
        <f t="shared" si="97"/>
        <v>-2683.3128092763232</v>
      </c>
      <c r="W141" s="85">
        <f t="shared" si="98"/>
        <v>-2743.894537105064</v>
      </c>
      <c r="X141" s="90">
        <f t="shared" si="99"/>
        <v>2683.3128092763232</v>
      </c>
      <c r="Y141" s="86">
        <f t="shared" si="100"/>
        <v>48327.531669999997</v>
      </c>
      <c r="Z141" s="85">
        <f t="shared" si="101"/>
        <v>-832.16398485565549</v>
      </c>
      <c r="AA141" s="85">
        <f t="shared" si="102"/>
        <v>4682.3502315983496</v>
      </c>
      <c r="AB141" s="90">
        <f t="shared" si="103"/>
        <v>832.16398485565549</v>
      </c>
      <c r="AC141" s="86">
        <f t="shared" si="104"/>
        <v>6732.97325</v>
      </c>
      <c r="AD141" s="85">
        <f t="shared" si="105"/>
        <v>2598.140025222212</v>
      </c>
      <c r="AE141" s="85">
        <f t="shared" si="106"/>
        <v>2655.7883348837618</v>
      </c>
      <c r="AF141" s="90">
        <f t="shared" si="107"/>
        <v>2598.140025222212</v>
      </c>
      <c r="AG141" s="86">
        <f t="shared" si="108"/>
        <v>-41571.268309999999</v>
      </c>
      <c r="AH141" s="85">
        <f t="shared" si="109"/>
        <v>6183.1314163678471</v>
      </c>
      <c r="AI141" s="85">
        <f t="shared" si="110"/>
        <v>-28426.659697510364</v>
      </c>
      <c r="AJ141" s="90">
        <f t="shared" si="111"/>
        <v>6183.1314163678471</v>
      </c>
      <c r="AL141" s="95">
        <f t="shared" si="112"/>
        <v>0</v>
      </c>
      <c r="AM141" s="95">
        <f t="shared" si="113"/>
        <v>0</v>
      </c>
      <c r="AN141" s="95">
        <f t="shared" si="114"/>
        <v>0</v>
      </c>
      <c r="AO141" s="95">
        <f t="shared" si="115"/>
        <v>0</v>
      </c>
      <c r="AP141"/>
      <c r="AQ141" s="95">
        <f t="shared" si="116"/>
        <v>0</v>
      </c>
      <c r="AR141" s="95">
        <f t="shared" si="117"/>
        <v>0</v>
      </c>
      <c r="AS141" s="95">
        <f>Geraetedaten!$B$94*ABS(SIN(RADIANS($A141)))</f>
        <v>150.63473051300608</v>
      </c>
      <c r="AT141" s="95">
        <f>Geraetedaten!$B$94*ABS(COS(RADIANS($A141)))</f>
        <v>32.018400385934939</v>
      </c>
      <c r="AU141" s="95">
        <f>((h_Aw_Sw+Geraetedaten!$B$18)/1000)*(AQ141*AS141+AR141*AT141)/100</f>
        <v>0</v>
      </c>
    </row>
    <row r="142" spans="1:47" ht="13.5" x14ac:dyDescent="0.25">
      <c r="A142" s="16">
        <v>103</v>
      </c>
      <c r="B142" s="16">
        <f t="shared" si="59"/>
        <v>347</v>
      </c>
      <c r="C142" s="19">
        <f t="shared" si="60"/>
        <v>68.655939546245634</v>
      </c>
      <c r="D142" s="17">
        <f t="shared" si="61"/>
        <v>-6948.7090995462459</v>
      </c>
      <c r="E142" s="17">
        <f t="shared" si="62"/>
        <v>44006.338240453755</v>
      </c>
      <c r="F142" s="17">
        <f t="shared" si="63"/>
        <v>6690.3334904537542</v>
      </c>
      <c r="G142" s="17">
        <f t="shared" si="64"/>
        <v>-38626.144649546244</v>
      </c>
      <c r="H142" s="17">
        <f t="shared" si="92"/>
        <v>6690.3334904537542</v>
      </c>
      <c r="I142" s="17">
        <f t="shared" si="65"/>
        <v>2666.0502912565303</v>
      </c>
      <c r="J142" s="20">
        <f>(Geraetedaten!$B$152+(Geraetedaten!$B$153*(Geraetedaten!$B$18+d_y_Sw)/1000))*10</f>
        <v>6051.0442000000003</v>
      </c>
      <c r="K142" s="20">
        <f>(Geraetedaten!$B$165+(Geraetedaten!$B$166*(Geraetedaten!$B$18+d_y_Sw)/1000))*10</f>
        <v>10816.164000000001</v>
      </c>
      <c r="L142" s="20">
        <f>(Geraetedaten!$B$158+(Geraetedaten!$B$159*(Geraetedaten!$B$18+d_y_Sw)/1000)-(Geraetedaten!$B$160*I142/1000))*10</f>
        <v>406.03513214215843</v>
      </c>
      <c r="M142" s="20">
        <f>(Geraetedaten!$B$171+(Geraetedaten!$B$172*(Geraetedaten!$B$18+d_y_Sw)/1000)-(Geraetedaten!$B$173*I142/1000))*10</f>
        <v>866.40621631886472</v>
      </c>
      <c r="N142" s="20">
        <f>IF((H142-J142)/(K142-J142)*(Geraetedaten!$B$174-Geraetedaten!$B$161)&lt;Geraetedaten!$B$174,(H142-J142)/(K142-J142)*(Geraetedaten!$B$174-Geraetedaten!$B$161),Geraetedaten!$B$174)</f>
        <v>53.664068672838305</v>
      </c>
      <c r="O142" s="20">
        <f>N142/Geraetedaten!$B$174*(M142-L142)+L142+C142</f>
        <v>536.45453537902358</v>
      </c>
      <c r="P142" s="20">
        <f t="shared" si="66"/>
        <v>194.39591994924086</v>
      </c>
      <c r="Q142" s="21">
        <f>(N142-Geraetedaten!$B$161)/(Geraetedaten!$B$174-Geraetedaten!$B$161)*(Geraetedaten!$B$175-Geraetedaten!$B$162)+Geraetedaten!$B$162</f>
        <v>30.79650604301694</v>
      </c>
      <c r="R142" s="21">
        <f t="shared" si="93"/>
        <v>30.79650604301694</v>
      </c>
      <c r="S142" s="21">
        <f t="shared" si="94"/>
        <v>30.007193588293305</v>
      </c>
      <c r="T142" s="88">
        <f t="shared" si="95"/>
        <v>-6.9277065044838713</v>
      </c>
      <c r="U142" s="86">
        <f t="shared" si="96"/>
        <v>-6880.0531600000004</v>
      </c>
      <c r="V142" s="85">
        <f t="shared" si="97"/>
        <v>-2683.3128092763232</v>
      </c>
      <c r="W142" s="85">
        <f t="shared" si="98"/>
        <v>-2754.5871278806426</v>
      </c>
      <c r="X142" s="90">
        <f t="shared" si="99"/>
        <v>2683.3128092763232</v>
      </c>
      <c r="Y142" s="86">
        <f t="shared" si="100"/>
        <v>44074.994180000002</v>
      </c>
      <c r="Z142" s="85">
        <f t="shared" si="101"/>
        <v>-832.16398485565549</v>
      </c>
      <c r="AA142" s="85">
        <f t="shared" si="102"/>
        <v>4270.3310528061747</v>
      </c>
      <c r="AB142" s="90">
        <f t="shared" si="103"/>
        <v>832.16398485565549</v>
      </c>
      <c r="AC142" s="86">
        <f t="shared" si="104"/>
        <v>6758.9894299999996</v>
      </c>
      <c r="AD142" s="85">
        <f t="shared" si="105"/>
        <v>2598.140025222212</v>
      </c>
      <c r="AE142" s="85">
        <f t="shared" si="106"/>
        <v>2666.0502912565303</v>
      </c>
      <c r="AF142" s="90">
        <f t="shared" si="107"/>
        <v>2598.140025222212</v>
      </c>
      <c r="AG142" s="86">
        <f t="shared" si="108"/>
        <v>-38557.488709999998</v>
      </c>
      <c r="AH142" s="85">
        <f t="shared" si="109"/>
        <v>6183.1314163678471</v>
      </c>
      <c r="AI142" s="85">
        <f t="shared" si="110"/>
        <v>-26365.820792367969</v>
      </c>
      <c r="AJ142" s="90">
        <f t="shared" si="111"/>
        <v>6183.1314163678471</v>
      </c>
      <c r="AL142" s="95">
        <f t="shared" si="112"/>
        <v>0</v>
      </c>
      <c r="AM142" s="95">
        <f t="shared" si="113"/>
        <v>0</v>
      </c>
      <c r="AN142" s="95">
        <f t="shared" si="114"/>
        <v>0</v>
      </c>
      <c r="AO142" s="95">
        <f t="shared" si="115"/>
        <v>0</v>
      </c>
      <c r="AP142"/>
      <c r="AQ142" s="95">
        <f t="shared" si="116"/>
        <v>0</v>
      </c>
      <c r="AR142" s="95">
        <f t="shared" si="117"/>
        <v>0</v>
      </c>
      <c r="AS142" s="95">
        <f>Geraetedaten!$B$94*ABS(SIN(RADIANS($A142)))</f>
        <v>150.05298997692623</v>
      </c>
      <c r="AT142" s="95">
        <f>Geraetedaten!$B$94*ABS(COS(RADIANS($A142)))</f>
        <v>34.642462368955215</v>
      </c>
      <c r="AU142" s="95">
        <f>((h_Aw_Sw+Geraetedaten!$B$18)/1000)*(AQ142*AS142+AR142*AT142)/100</f>
        <v>0</v>
      </c>
    </row>
    <row r="143" spans="1:47" ht="13.5" x14ac:dyDescent="0.25">
      <c r="A143" s="16">
        <v>104</v>
      </c>
      <c r="B143" s="16">
        <f t="shared" si="59"/>
        <v>346</v>
      </c>
      <c r="C143" s="19">
        <f t="shared" si="60"/>
        <v>68.905246142979607</v>
      </c>
      <c r="D143" s="17">
        <f t="shared" si="61"/>
        <v>-6977.9867461429794</v>
      </c>
      <c r="E143" s="17">
        <f t="shared" si="62"/>
        <v>40452.764503857019</v>
      </c>
      <c r="F143" s="17">
        <f t="shared" si="63"/>
        <v>6718.3776938570209</v>
      </c>
      <c r="G143" s="17">
        <f t="shared" si="64"/>
        <v>-36030.268146142982</v>
      </c>
      <c r="H143" s="17">
        <f t="shared" si="92"/>
        <v>6718.3776938570209</v>
      </c>
      <c r="I143" s="17">
        <f t="shared" si="65"/>
        <v>2677.2105271628884</v>
      </c>
      <c r="J143" s="20">
        <f>(Geraetedaten!$B$152+(Geraetedaten!$B$153*(Geraetedaten!$B$18+d_y_Sw)/1000))*10</f>
        <v>6051.0442000000003</v>
      </c>
      <c r="K143" s="20">
        <f>(Geraetedaten!$B$165+(Geraetedaten!$B$166*(Geraetedaten!$B$18+d_y_Sw)/1000))*10</f>
        <v>10816.164000000001</v>
      </c>
      <c r="L143" s="20">
        <f>(Geraetedaten!$B$158+(Geraetedaten!$B$159*(Geraetedaten!$B$18+d_y_Sw)/1000)-(Geraetedaten!$B$160*I143/1000))*10</f>
        <v>405.21675204314522</v>
      </c>
      <c r="M143" s="20">
        <f>(Geraetedaten!$B$171+(Geraetedaten!$B$172*(Geraetedaten!$B$18+d_y_Sw)/1000)-(Geraetedaten!$B$173*I143/1000))*10</f>
        <v>865.57544835799547</v>
      </c>
      <c r="N143" s="20">
        <f>IF((H143-J143)/(K143-J143)*(Geraetedaten!$B$174-Geraetedaten!$B$161)&lt;Geraetedaten!$B$174,(H143-J143)/(K143-J143)*(Geraetedaten!$B$174-Geraetedaten!$B$161),Geraetedaten!$B$174)</f>
        <v>56.018192353276874</v>
      </c>
      <c r="O143" s="20">
        <f>N143/Geraetedaten!$B$174*(M143-L143)+L143+C143</f>
        <v>538.59315319029747</v>
      </c>
      <c r="P143" s="20">
        <f t="shared" si="66"/>
        <v>194.7632694520525</v>
      </c>
      <c r="Q143" s="21">
        <f>(N143-Geraetedaten!$B$161)/(Geraetedaten!$B$174-Geraetedaten!$B$161)*(Geraetedaten!$B$175-Geraetedaten!$B$162)+Geraetedaten!$B$162</f>
        <v>30.866541222509987</v>
      </c>
      <c r="R143" s="21">
        <f t="shared" si="93"/>
        <v>30.866541222509987</v>
      </c>
      <c r="S143" s="21">
        <f t="shared" si="94"/>
        <v>29.949673033123311</v>
      </c>
      <c r="T143" s="88">
        <f t="shared" si="95"/>
        <v>-7.4672921631549034</v>
      </c>
      <c r="U143" s="86">
        <f t="shared" si="96"/>
        <v>-6909.0815000000002</v>
      </c>
      <c r="V143" s="85">
        <f t="shared" si="97"/>
        <v>-2683.3128092763232</v>
      </c>
      <c r="W143" s="85">
        <f t="shared" si="98"/>
        <v>-2766.2092904182005</v>
      </c>
      <c r="X143" s="90">
        <f t="shared" si="99"/>
        <v>2683.3128092763232</v>
      </c>
      <c r="Y143" s="86">
        <f t="shared" si="100"/>
        <v>40521.669750000001</v>
      </c>
      <c r="Z143" s="85">
        <f t="shared" si="101"/>
        <v>-832.16398485565549</v>
      </c>
      <c r="AA143" s="85">
        <f t="shared" si="102"/>
        <v>3926.0571183425245</v>
      </c>
      <c r="AB143" s="90">
        <f t="shared" si="103"/>
        <v>832.16398485565549</v>
      </c>
      <c r="AC143" s="86">
        <f t="shared" si="104"/>
        <v>6787.2829400000001</v>
      </c>
      <c r="AD143" s="85">
        <f t="shared" si="105"/>
        <v>2598.140025222212</v>
      </c>
      <c r="AE143" s="85">
        <f t="shared" si="106"/>
        <v>2677.2105271628884</v>
      </c>
      <c r="AF143" s="90">
        <f t="shared" si="107"/>
        <v>2598.140025222212</v>
      </c>
      <c r="AG143" s="86">
        <f t="shared" si="108"/>
        <v>-35961.3629</v>
      </c>
      <c r="AH143" s="85">
        <f t="shared" si="109"/>
        <v>6183.1314163678471</v>
      </c>
      <c r="AI143" s="85">
        <f t="shared" si="110"/>
        <v>-24590.575821273247</v>
      </c>
      <c r="AJ143" s="90">
        <f t="shared" si="111"/>
        <v>6183.1314163678471</v>
      </c>
      <c r="AL143" s="95">
        <f t="shared" si="112"/>
        <v>0</v>
      </c>
      <c r="AM143" s="95">
        <f t="shared" si="113"/>
        <v>0</v>
      </c>
      <c r="AN143" s="95">
        <f t="shared" si="114"/>
        <v>0</v>
      </c>
      <c r="AO143" s="95">
        <f t="shared" si="115"/>
        <v>0</v>
      </c>
      <c r="AP143"/>
      <c r="AQ143" s="95">
        <f t="shared" si="116"/>
        <v>0</v>
      </c>
      <c r="AR143" s="95">
        <f t="shared" si="117"/>
        <v>0</v>
      </c>
      <c r="AS143" s="95">
        <f>Geraetedaten!$B$94*ABS(SIN(RADIANS($A143)))</f>
        <v>149.42554184650345</v>
      </c>
      <c r="AT143" s="95">
        <f>Geraetedaten!$B$94*ABS(COS(RADIANS($A143)))</f>
        <v>37.255971922348841</v>
      </c>
      <c r="AU143" s="95">
        <f>((h_Aw_Sw+Geraetedaten!$B$18)/1000)*(AQ143*AS143+AR143*AT143)/100</f>
        <v>0</v>
      </c>
    </row>
    <row r="144" spans="1:47" ht="13.5" x14ac:dyDescent="0.25">
      <c r="A144" s="16">
        <v>105</v>
      </c>
      <c r="B144" s="16">
        <f t="shared" si="59"/>
        <v>345</v>
      </c>
      <c r="C144" s="19">
        <f t="shared" si="60"/>
        <v>69.13356353423832</v>
      </c>
      <c r="D144" s="17">
        <f t="shared" si="61"/>
        <v>-7009.6124935342386</v>
      </c>
      <c r="E144" s="17">
        <f t="shared" si="62"/>
        <v>37439.978566465761</v>
      </c>
      <c r="F144" s="17">
        <f t="shared" si="63"/>
        <v>6748.7662864657614</v>
      </c>
      <c r="G144" s="17">
        <f t="shared" si="64"/>
        <v>-33771.535993534242</v>
      </c>
      <c r="H144" s="17">
        <f t="shared" si="92"/>
        <v>6748.7662864657614</v>
      </c>
      <c r="I144" s="17">
        <f t="shared" si="65"/>
        <v>2689.2872170808178</v>
      </c>
      <c r="J144" s="20">
        <f>(Geraetedaten!$B$152+(Geraetedaten!$B$153*(Geraetedaten!$B$18+d_y_Sw)/1000))*10</f>
        <v>6051.0442000000003</v>
      </c>
      <c r="K144" s="20">
        <f>(Geraetedaten!$B$165+(Geraetedaten!$B$166*(Geraetedaten!$B$18+d_y_Sw)/1000))*10</f>
        <v>10816.164000000001</v>
      </c>
      <c r="L144" s="20">
        <f>(Geraetedaten!$B$158+(Geraetedaten!$B$159*(Geraetedaten!$B$18+d_y_Sw)/1000)-(Geraetedaten!$B$160*I144/1000))*10</f>
        <v>404.33116837146343</v>
      </c>
      <c r="M144" s="20">
        <f>(Geraetedaten!$B$171+(Geraetedaten!$B$172*(Geraetedaten!$B$18+d_y_Sw)/1000)-(Geraetedaten!$B$173*I144/1000))*10</f>
        <v>864.6764595605049</v>
      </c>
      <c r="N144" s="20">
        <f>IF((H144-J144)/(K144-J144)*(Geraetedaten!$B$174-Geraetedaten!$B$161)&lt;Geraetedaten!$B$174,(H144-J144)/(K144-J144)*(Geraetedaten!$B$174-Geraetedaten!$B$161),Geraetedaten!$B$174)</f>
        <v>58.569111858699628</v>
      </c>
      <c r="O144" s="20">
        <f>N144/Geraetedaten!$B$174*(M144-L144)+L144+C144</f>
        <v>540.86976903889331</v>
      </c>
      <c r="P144" s="20">
        <f t="shared" si="66"/>
        <v>195.14477151036365</v>
      </c>
      <c r="Q144" s="21">
        <f>(N144-Geraetedaten!$B$161)/(Geraetedaten!$B$174-Geraetedaten!$B$161)*(Geraetedaten!$B$175-Geraetedaten!$B$162)+Geraetedaten!$B$162</f>
        <v>30.942431077796314</v>
      </c>
      <c r="R144" s="21">
        <f t="shared" si="93"/>
        <v>30.942431077796314</v>
      </c>
      <c r="S144" s="21">
        <f t="shared" si="94"/>
        <v>29.888093306212951</v>
      </c>
      <c r="T144" s="88">
        <f t="shared" si="95"/>
        <v>-8.0084904647058064</v>
      </c>
      <c r="U144" s="86">
        <f t="shared" si="96"/>
        <v>-6940.4789300000002</v>
      </c>
      <c r="V144" s="85">
        <f t="shared" si="97"/>
        <v>-2683.3128092763232</v>
      </c>
      <c r="W144" s="85">
        <f t="shared" si="98"/>
        <v>-2778.7799707711201</v>
      </c>
      <c r="X144" s="90">
        <f t="shared" si="99"/>
        <v>2683.3128092763232</v>
      </c>
      <c r="Y144" s="86">
        <f t="shared" si="100"/>
        <v>37509.112130000001</v>
      </c>
      <c r="Z144" s="85">
        <f t="shared" si="101"/>
        <v>-832.16398485565549</v>
      </c>
      <c r="AA144" s="85">
        <f t="shared" si="102"/>
        <v>3634.1769130280754</v>
      </c>
      <c r="AB144" s="90">
        <f t="shared" si="103"/>
        <v>832.16398485565549</v>
      </c>
      <c r="AC144" s="86">
        <f t="shared" si="104"/>
        <v>6817.8998499999998</v>
      </c>
      <c r="AD144" s="85">
        <f t="shared" si="105"/>
        <v>2598.140025222212</v>
      </c>
      <c r="AE144" s="85">
        <f t="shared" si="106"/>
        <v>2689.2872170808178</v>
      </c>
      <c r="AF144" s="90">
        <f t="shared" si="107"/>
        <v>2598.140025222212</v>
      </c>
      <c r="AG144" s="86">
        <f t="shared" si="108"/>
        <v>-33702.402430000002</v>
      </c>
      <c r="AH144" s="85">
        <f t="shared" si="109"/>
        <v>6183.1314163678471</v>
      </c>
      <c r="AI144" s="85">
        <f t="shared" si="110"/>
        <v>-23045.886350010263</v>
      </c>
      <c r="AJ144" s="90">
        <f t="shared" si="111"/>
        <v>6183.1314163678471</v>
      </c>
      <c r="AL144" s="95">
        <f t="shared" si="112"/>
        <v>0</v>
      </c>
      <c r="AM144" s="95">
        <f t="shared" si="113"/>
        <v>0</v>
      </c>
      <c r="AN144" s="95">
        <f t="shared" si="114"/>
        <v>0</v>
      </c>
      <c r="AO144" s="95">
        <f t="shared" si="115"/>
        <v>0</v>
      </c>
      <c r="AP144"/>
      <c r="AQ144" s="95">
        <f t="shared" si="116"/>
        <v>0</v>
      </c>
      <c r="AR144" s="95">
        <f t="shared" si="117"/>
        <v>0</v>
      </c>
      <c r="AS144" s="95">
        <f>Geraetedaten!$B$94*ABS(SIN(RADIANS($A144)))</f>
        <v>148.75257724851653</v>
      </c>
      <c r="AT144" s="95">
        <f>Geraetedaten!$B$94*ABS(COS(RADIANS($A144)))</f>
        <v>39.858132945788213</v>
      </c>
      <c r="AU144" s="95">
        <f>((h_Aw_Sw+Geraetedaten!$B$18)/1000)*(AQ144*AS144+AR144*AT144)/100</f>
        <v>0</v>
      </c>
    </row>
    <row r="145" spans="1:47" ht="13.5" x14ac:dyDescent="0.25">
      <c r="A145" s="16">
        <v>106</v>
      </c>
      <c r="B145" s="16">
        <f t="shared" si="59"/>
        <v>344</v>
      </c>
      <c r="C145" s="19">
        <f t="shared" si="60"/>
        <v>69.340822172332622</v>
      </c>
      <c r="D145" s="17">
        <f t="shared" si="61"/>
        <v>-7043.6379821723331</v>
      </c>
      <c r="E145" s="17">
        <f t="shared" si="62"/>
        <v>34854.052007827668</v>
      </c>
      <c r="F145" s="17">
        <f t="shared" si="63"/>
        <v>6781.5497078276667</v>
      </c>
      <c r="G145" s="17">
        <f t="shared" si="64"/>
        <v>-31788.899402172334</v>
      </c>
      <c r="H145" s="17">
        <f t="shared" si="92"/>
        <v>6781.5497078276667</v>
      </c>
      <c r="I145" s="17">
        <f t="shared" si="65"/>
        <v>2702.3002315457538</v>
      </c>
      <c r="J145" s="20">
        <f>(Geraetedaten!$B$152+(Geraetedaten!$B$153*(Geraetedaten!$B$18+d_y_Sw)/1000))*10</f>
        <v>6051.0442000000003</v>
      </c>
      <c r="K145" s="20">
        <f>(Geraetedaten!$B$165+(Geraetedaten!$B$166*(Geraetedaten!$B$18+d_y_Sw)/1000))*10</f>
        <v>10816.164000000001</v>
      </c>
      <c r="L145" s="20">
        <f>(Geraetedaten!$B$158+(Geraetedaten!$B$159*(Geraetedaten!$B$18+d_y_Sw)/1000)-(Geraetedaten!$B$160*I145/1000))*10</f>
        <v>403.37692402074964</v>
      </c>
      <c r="M145" s="20">
        <f>(Geraetedaten!$B$171+(Geraetedaten!$B$172*(Geraetedaten!$B$18+d_y_Sw)/1000)-(Geraetedaten!$B$173*I145/1000))*10</f>
        <v>863.70777076373497</v>
      </c>
      <c r="N145" s="20">
        <f>IF((H145-J145)/(K145-J145)*(Geraetedaten!$B$174-Geraetedaten!$B$161)&lt;Geraetedaten!$B$174,(H145-J145)/(K145-J145)*(Geraetedaten!$B$174-Geraetedaten!$B$161),Geraetedaten!$B$174)</f>
        <v>61.321061252450889</v>
      </c>
      <c r="O145" s="20">
        <f>N145/Geraetedaten!$B$174*(M145-L145)+L145+C145</f>
        <v>543.28768631688024</v>
      </c>
      <c r="P145" s="20">
        <f t="shared" si="66"/>
        <v>195.54058738033035</v>
      </c>
      <c r="Q145" s="21">
        <f>(N145-Geraetedaten!$B$161)/(Geraetedaten!$B$174-Geraetedaten!$B$161)*(Geraetedaten!$B$175-Geraetedaten!$B$162)+Geraetedaten!$B$162</f>
        <v>31.024301572260413</v>
      </c>
      <c r="R145" s="21">
        <f t="shared" si="93"/>
        <v>31.024301572260413</v>
      </c>
      <c r="S145" s="21">
        <f t="shared" si="94"/>
        <v>29.822472744652899</v>
      </c>
      <c r="T145" s="88">
        <f t="shared" si="95"/>
        <v>-8.5514564514470273</v>
      </c>
      <c r="U145" s="86">
        <f t="shared" si="96"/>
        <v>-6974.2971600000001</v>
      </c>
      <c r="V145" s="85">
        <f t="shared" si="97"/>
        <v>-2683.3128092763232</v>
      </c>
      <c r="W145" s="85">
        <f t="shared" si="98"/>
        <v>-2792.3198749823114</v>
      </c>
      <c r="X145" s="90">
        <f t="shared" si="99"/>
        <v>2683.3128092763232</v>
      </c>
      <c r="Y145" s="86">
        <f t="shared" si="100"/>
        <v>34923.392829999997</v>
      </c>
      <c r="Z145" s="85">
        <f t="shared" si="101"/>
        <v>-832.16398485565549</v>
      </c>
      <c r="AA145" s="85">
        <f t="shared" si="102"/>
        <v>3383.6521512848817</v>
      </c>
      <c r="AB145" s="90">
        <f t="shared" si="103"/>
        <v>832.16398485565549</v>
      </c>
      <c r="AC145" s="86">
        <f t="shared" si="104"/>
        <v>6850.8905299999997</v>
      </c>
      <c r="AD145" s="85">
        <f t="shared" si="105"/>
        <v>2598.140025222212</v>
      </c>
      <c r="AE145" s="85">
        <f t="shared" si="106"/>
        <v>2702.3002315457538</v>
      </c>
      <c r="AF145" s="90">
        <f t="shared" si="107"/>
        <v>2598.140025222212</v>
      </c>
      <c r="AG145" s="86">
        <f t="shared" si="108"/>
        <v>-31719.558580000001</v>
      </c>
      <c r="AH145" s="85">
        <f t="shared" si="109"/>
        <v>6183.1314163678471</v>
      </c>
      <c r="AI145" s="85">
        <f t="shared" si="110"/>
        <v>-21690.00692776604</v>
      </c>
      <c r="AJ145" s="90">
        <f t="shared" si="111"/>
        <v>6183.1314163678471</v>
      </c>
      <c r="AL145" s="95">
        <f t="shared" si="112"/>
        <v>0</v>
      </c>
      <c r="AM145" s="95">
        <f t="shared" si="113"/>
        <v>0</v>
      </c>
      <c r="AN145" s="95">
        <f t="shared" si="114"/>
        <v>0</v>
      </c>
      <c r="AO145" s="95">
        <f t="shared" si="115"/>
        <v>0</v>
      </c>
      <c r="AP145"/>
      <c r="AQ145" s="95">
        <f t="shared" si="116"/>
        <v>0</v>
      </c>
      <c r="AR145" s="95">
        <f t="shared" si="117"/>
        <v>0</v>
      </c>
      <c r="AS145" s="95">
        <f>Geraetedaten!$B$94*ABS(SIN(RADIANS($A145)))</f>
        <v>148.03430117450111</v>
      </c>
      <c r="AT145" s="95">
        <f>Geraetedaten!$B$94*ABS(COS(RADIANS($A145)))</f>
        <v>42.448152795817855</v>
      </c>
      <c r="AU145" s="95">
        <f>((h_Aw_Sw+Geraetedaten!$B$18)/1000)*(AQ145*AS145+AR145*AT145)/100</f>
        <v>0</v>
      </c>
    </row>
    <row r="146" spans="1:47" ht="13.5" x14ac:dyDescent="0.25">
      <c r="A146" s="16">
        <v>107</v>
      </c>
      <c r="B146" s="16">
        <f t="shared" si="59"/>
        <v>343</v>
      </c>
      <c r="C146" s="19">
        <f t="shared" si="60"/>
        <v>69.526958924273615</v>
      </c>
      <c r="D146" s="17">
        <f t="shared" si="61"/>
        <v>-7080.1194789242736</v>
      </c>
      <c r="E146" s="17">
        <f t="shared" si="62"/>
        <v>32610.965921075727</v>
      </c>
      <c r="F146" s="17">
        <f t="shared" si="63"/>
        <v>6816.7829210757263</v>
      </c>
      <c r="G146" s="17">
        <f t="shared" si="64"/>
        <v>-30035.215018924275</v>
      </c>
      <c r="H146" s="17">
        <f t="shared" si="92"/>
        <v>6816.7829210757263</v>
      </c>
      <c r="I146" s="17">
        <f t="shared" si="65"/>
        <v>2716.2712196468101</v>
      </c>
      <c r="J146" s="20">
        <f>(Geraetedaten!$B$152+(Geraetedaten!$B$153*(Geraetedaten!$B$18+d_y_Sw)/1000))*10</f>
        <v>6051.0442000000003</v>
      </c>
      <c r="K146" s="20">
        <f>(Geraetedaten!$B$165+(Geraetedaten!$B$166*(Geraetedaten!$B$18+d_y_Sw)/1000))*10</f>
        <v>10816.164000000001</v>
      </c>
      <c r="L146" s="20">
        <f>(Geraetedaten!$B$158+(Geraetedaten!$B$159*(Geraetedaten!$B$18+d_y_Sw)/1000)-(Geraetedaten!$B$160*I146/1000))*10</f>
        <v>402.35243146329924</v>
      </c>
      <c r="M146" s="20">
        <f>(Geraetedaten!$B$171+(Geraetedaten!$B$172*(Geraetedaten!$B$18+d_y_Sw)/1000)-(Geraetedaten!$B$173*I146/1000))*10</f>
        <v>862.66777040949239</v>
      </c>
      <c r="N146" s="20">
        <f>IF((H146-J146)/(K146-J146)*(Geraetedaten!$B$174-Geraetedaten!$B$161)&lt;Geraetedaten!$B$174,(H146-J146)/(K146-J146)*(Geraetedaten!$B$174-Geraetedaten!$B$161),Geraetedaten!$B$174)</f>
        <v>64.278654322665801</v>
      </c>
      <c r="O146" s="20">
        <f>N146/Geraetedaten!$B$174*(M146-L146)+L146+C146</f>
        <v>545.85051676643059</v>
      </c>
      <c r="P146" s="20">
        <f t="shared" si="66"/>
        <v>195.95090075551386</v>
      </c>
      <c r="Q146" s="21">
        <f>(N146-Geraetedaten!$B$161)/(Geraetedaten!$B$174-Geraetedaten!$B$161)*(Geraetedaten!$B$175-Geraetedaten!$B$162)+Geraetedaten!$B$162</f>
        <v>31.112289966099308</v>
      </c>
      <c r="R146" s="21">
        <f t="shared" si="93"/>
        <v>31.112289966099308</v>
      </c>
      <c r="S146" s="21">
        <f t="shared" si="94"/>
        <v>29.752830863481798</v>
      </c>
      <c r="T146" s="88">
        <f t="shared" si="95"/>
        <v>-9.0963532552165489</v>
      </c>
      <c r="U146" s="86">
        <f t="shared" si="96"/>
        <v>-7010.5925200000001</v>
      </c>
      <c r="V146" s="85">
        <f t="shared" si="97"/>
        <v>-2683.3128092763232</v>
      </c>
      <c r="W146" s="85">
        <f t="shared" si="98"/>
        <v>-2806.851555181383</v>
      </c>
      <c r="X146" s="90">
        <f t="shared" si="99"/>
        <v>2683.3128092763232</v>
      </c>
      <c r="Y146" s="86">
        <f t="shared" si="100"/>
        <v>32680.492880000002</v>
      </c>
      <c r="Z146" s="85">
        <f t="shared" si="101"/>
        <v>-832.16398485565549</v>
      </c>
      <c r="AA146" s="85">
        <f t="shared" si="102"/>
        <v>3166.3424165225292</v>
      </c>
      <c r="AB146" s="90">
        <f t="shared" si="103"/>
        <v>832.16398485565549</v>
      </c>
      <c r="AC146" s="86">
        <f t="shared" si="104"/>
        <v>6886.3098799999998</v>
      </c>
      <c r="AD146" s="85">
        <f t="shared" si="105"/>
        <v>2598.140025222212</v>
      </c>
      <c r="AE146" s="85">
        <f t="shared" si="106"/>
        <v>2716.2712196468101</v>
      </c>
      <c r="AF146" s="90">
        <f t="shared" si="107"/>
        <v>2598.140025222212</v>
      </c>
      <c r="AG146" s="86">
        <f t="shared" si="108"/>
        <v>-29965.68806</v>
      </c>
      <c r="AH146" s="85">
        <f t="shared" si="109"/>
        <v>6183.1314163678471</v>
      </c>
      <c r="AI146" s="85">
        <f t="shared" si="110"/>
        <v>-20490.700713164442</v>
      </c>
      <c r="AJ146" s="90">
        <f t="shared" si="111"/>
        <v>6183.1314163678471</v>
      </c>
      <c r="AL146" s="95">
        <f t="shared" si="112"/>
        <v>0</v>
      </c>
      <c r="AM146" s="95">
        <f t="shared" si="113"/>
        <v>0</v>
      </c>
      <c r="AN146" s="95">
        <f t="shared" si="114"/>
        <v>0</v>
      </c>
      <c r="AO146" s="95">
        <f t="shared" si="115"/>
        <v>0</v>
      </c>
      <c r="AP146"/>
      <c r="AQ146" s="95">
        <f t="shared" si="116"/>
        <v>0</v>
      </c>
      <c r="AR146" s="95">
        <f t="shared" si="117"/>
        <v>0</v>
      </c>
      <c r="AS146" s="95">
        <f>Geraetedaten!$B$94*ABS(SIN(RADIANS($A146)))</f>
        <v>147.27093241830747</v>
      </c>
      <c r="AT146" s="95">
        <f>Geraetedaten!$B$94*ABS(COS(RADIANS($A146)))</f>
        <v>45.025242527301444</v>
      </c>
      <c r="AU146" s="95">
        <f>((h_Aw_Sw+Geraetedaten!$B$18)/1000)*(AQ146*AS146+AR146*AT146)/100</f>
        <v>0</v>
      </c>
    </row>
    <row r="147" spans="1:47" ht="13.5" x14ac:dyDescent="0.25">
      <c r="A147" s="16">
        <v>108</v>
      </c>
      <c r="B147" s="16">
        <f t="shared" si="59"/>
        <v>342</v>
      </c>
      <c r="C147" s="19">
        <f t="shared" si="60"/>
        <v>69.691917091003504</v>
      </c>
      <c r="D147" s="17">
        <f t="shared" si="61"/>
        <v>-7119.1181070910034</v>
      </c>
      <c r="E147" s="17">
        <f t="shared" si="62"/>
        <v>30647.400752908998</v>
      </c>
      <c r="F147" s="17">
        <f t="shared" si="63"/>
        <v>6854.5255929089972</v>
      </c>
      <c r="G147" s="17">
        <f t="shared" si="64"/>
        <v>-28473.499457091006</v>
      </c>
      <c r="H147" s="17">
        <f t="shared" si="92"/>
        <v>6854.5255929089972</v>
      </c>
      <c r="I147" s="17">
        <f t="shared" si="65"/>
        <v>2731.2237003049086</v>
      </c>
      <c r="J147" s="20">
        <f>(Geraetedaten!$B$152+(Geraetedaten!$B$153*(Geraetedaten!$B$18+d_y_Sw)/1000))*10</f>
        <v>6051.0442000000003</v>
      </c>
      <c r="K147" s="20">
        <f>(Geraetedaten!$B$165+(Geraetedaten!$B$166*(Geraetedaten!$B$18+d_y_Sw)/1000))*10</f>
        <v>10816.164000000001</v>
      </c>
      <c r="L147" s="20">
        <f>(Geraetedaten!$B$158+(Geraetedaten!$B$159*(Geraetedaten!$B$18+d_y_Sw)/1000)-(Geraetedaten!$B$160*I147/1000))*10</f>
        <v>401.25596605664089</v>
      </c>
      <c r="M147" s="20">
        <f>(Geraetedaten!$B$171+(Geraetedaten!$B$172*(Geraetedaten!$B$18+d_y_Sw)/1000)-(Geraetedaten!$B$173*I147/1000))*10</f>
        <v>861.55470774930347</v>
      </c>
      <c r="N147" s="20">
        <f>IF((H147-J147)/(K147-J147)*(Geraetedaten!$B$174-Geraetedaten!$B$161)&lt;Geraetedaten!$B$174,(H147-J147)/(K147-J147)*(Geraetedaten!$B$174-Geraetedaten!$B$161),Geraetedaten!$B$174)</f>
        <v>67.446899690454515</v>
      </c>
      <c r="O147" s="20">
        <f>N147/Geraetedaten!$B$174*(M147-L147)+L147+C147</f>
        <v>548.56219079411301</v>
      </c>
      <c r="P147" s="20">
        <f t="shared" si="66"/>
        <v>196.3759171414201</v>
      </c>
      <c r="Q147" s="21">
        <f>(N147-Geraetedaten!$B$161)/(Geraetedaten!$B$174-Geraetedaten!$B$161)*(Geraetedaten!$B$175-Geraetedaten!$B$162)+Geraetedaten!$B$162</f>
        <v>31.206545265791021</v>
      </c>
      <c r="R147" s="21">
        <f t="shared" si="93"/>
        <v>31.206545265791021</v>
      </c>
      <c r="S147" s="21">
        <f t="shared" si="94"/>
        <v>29.679188226090229</v>
      </c>
      <c r="T147" s="88">
        <f t="shared" si="95"/>
        <v>-9.6433528228604839</v>
      </c>
      <c r="U147" s="86">
        <f t="shared" si="96"/>
        <v>-7049.4261900000001</v>
      </c>
      <c r="V147" s="85">
        <f t="shared" si="97"/>
        <v>-2683.3128092763232</v>
      </c>
      <c r="W147" s="85">
        <f t="shared" si="98"/>
        <v>-2822.3995048258712</v>
      </c>
      <c r="X147" s="90">
        <f t="shared" si="99"/>
        <v>2683.3128092763232</v>
      </c>
      <c r="Y147" s="86">
        <f t="shared" si="100"/>
        <v>30717.092670000002</v>
      </c>
      <c r="Z147" s="85">
        <f t="shared" si="101"/>
        <v>-832.16398485565549</v>
      </c>
      <c r="AA147" s="85">
        <f t="shared" si="102"/>
        <v>2976.1128075803995</v>
      </c>
      <c r="AB147" s="90">
        <f t="shared" si="103"/>
        <v>832.16398485565549</v>
      </c>
      <c r="AC147" s="86">
        <f t="shared" si="104"/>
        <v>6924.2175100000004</v>
      </c>
      <c r="AD147" s="85">
        <f t="shared" si="105"/>
        <v>2598.140025222212</v>
      </c>
      <c r="AE147" s="85">
        <f t="shared" si="106"/>
        <v>2731.2237003049086</v>
      </c>
      <c r="AF147" s="90">
        <f t="shared" si="107"/>
        <v>2598.140025222212</v>
      </c>
      <c r="AG147" s="86">
        <f t="shared" si="108"/>
        <v>-28403.807540000002</v>
      </c>
      <c r="AH147" s="85">
        <f t="shared" si="109"/>
        <v>6183.1314163678471</v>
      </c>
      <c r="AI147" s="85">
        <f t="shared" si="110"/>
        <v>-19422.67830520694</v>
      </c>
      <c r="AJ147" s="90">
        <f t="shared" si="111"/>
        <v>6183.1314163678471</v>
      </c>
      <c r="AL147" s="95">
        <f t="shared" si="112"/>
        <v>0</v>
      </c>
      <c r="AM147" s="95">
        <f t="shared" si="113"/>
        <v>0</v>
      </c>
      <c r="AN147" s="95">
        <f t="shared" si="114"/>
        <v>0</v>
      </c>
      <c r="AO147" s="95">
        <f t="shared" si="115"/>
        <v>0</v>
      </c>
      <c r="AP147"/>
      <c r="AQ147" s="95">
        <f t="shared" si="116"/>
        <v>0</v>
      </c>
      <c r="AR147" s="95">
        <f t="shared" si="117"/>
        <v>0</v>
      </c>
      <c r="AS147" s="95">
        <f>Geraetedaten!$B$94*ABS(SIN(RADIANS($A147)))</f>
        <v>146.46270350945366</v>
      </c>
      <c r="AT147" s="95">
        <f>Geraetedaten!$B$94*ABS(COS(RADIANS($A147)))</f>
        <v>47.588617133741892</v>
      </c>
      <c r="AU147" s="95">
        <f>((h_Aw_Sw+Geraetedaten!$B$18)/1000)*(AQ147*AS147+AR147*AT147)/100</f>
        <v>0</v>
      </c>
    </row>
    <row r="148" spans="1:47" ht="13.5" x14ac:dyDescent="0.25">
      <c r="A148" s="16">
        <v>109</v>
      </c>
      <c r="B148" s="16">
        <f t="shared" si="59"/>
        <v>341</v>
      </c>
      <c r="C148" s="19">
        <f t="shared" si="60"/>
        <v>69.835646424666706</v>
      </c>
      <c r="D148" s="17">
        <f t="shared" si="61"/>
        <v>-7160.7000964246663</v>
      </c>
      <c r="E148" s="17">
        <f t="shared" si="62"/>
        <v>28914.732023575332</v>
      </c>
      <c r="F148" s="17">
        <f t="shared" si="63"/>
        <v>6894.8424135753339</v>
      </c>
      <c r="G148" s="17">
        <f t="shared" si="64"/>
        <v>-27074.332586424669</v>
      </c>
      <c r="H148" s="17">
        <f t="shared" si="92"/>
        <v>6894.8424135753339</v>
      </c>
      <c r="I148" s="17">
        <f t="shared" si="65"/>
        <v>2747.1831630738557</v>
      </c>
      <c r="J148" s="20">
        <f>(Geraetedaten!$B$152+(Geraetedaten!$B$153*(Geraetedaten!$B$18+d_y_Sw)/1000))*10</f>
        <v>6051.0442000000003</v>
      </c>
      <c r="K148" s="20">
        <f>(Geraetedaten!$B$165+(Geraetedaten!$B$166*(Geraetedaten!$B$18+d_y_Sw)/1000))*10</f>
        <v>10816.164000000001</v>
      </c>
      <c r="L148" s="20">
        <f>(Geraetedaten!$B$158+(Geraetedaten!$B$159*(Geraetedaten!$B$18+d_y_Sw)/1000)-(Geraetedaten!$B$160*I148/1000))*10</f>
        <v>400.08565865179389</v>
      </c>
      <c r="M148" s="20">
        <f>(Geraetedaten!$B$171+(Geraetedaten!$B$172*(Geraetedaten!$B$18+d_y_Sw)/1000)-(Geraetedaten!$B$173*I148/1000))*10</f>
        <v>860.36668534078308</v>
      </c>
      <c r="N148" s="20">
        <f>IF((H148-J148)/(K148-J148)*(Geraetedaten!$B$174-Geraetedaten!$B$161)&lt;Geraetedaten!$B$174,(H148-J148)/(K148-J148)*(Geraetedaten!$B$174-Geraetedaten!$B$161),Geraetedaten!$B$174)</f>
        <v>70.831227670316594</v>
      </c>
      <c r="O148" s="20">
        <f>N148/Geraetedaten!$B$174*(M148-L148)+L148+C148</f>
        <v>551.4269805607978</v>
      </c>
      <c r="P148" s="20">
        <f t="shared" si="66"/>
        <v>196.81586527435624</v>
      </c>
      <c r="Q148" s="21">
        <f>(N148-Geraetedaten!$B$161)/(Geraetedaten!$B$174-Geraetedaten!$B$161)*(Geraetedaten!$B$175-Geraetedaten!$B$162)+Geraetedaten!$B$162</f>
        <v>31.307229023191919</v>
      </c>
      <c r="R148" s="21">
        <f t="shared" si="93"/>
        <v>31.307229023191919</v>
      </c>
      <c r="S148" s="21">
        <f t="shared" si="94"/>
        <v>29.601566591970016</v>
      </c>
      <c r="T148" s="88">
        <f t="shared" si="95"/>
        <v>-10.192636774248124</v>
      </c>
      <c r="U148" s="86">
        <f t="shared" si="96"/>
        <v>-7090.86445</v>
      </c>
      <c r="V148" s="85">
        <f t="shared" si="97"/>
        <v>-2683.3128092763232</v>
      </c>
      <c r="W148" s="85">
        <f t="shared" si="98"/>
        <v>-2838.9902638612784</v>
      </c>
      <c r="X148" s="90">
        <f t="shared" si="99"/>
        <v>2683.3128092763232</v>
      </c>
      <c r="Y148" s="86">
        <f t="shared" si="100"/>
        <v>28984.56767</v>
      </c>
      <c r="Z148" s="85">
        <f t="shared" si="101"/>
        <v>-832.16398485565549</v>
      </c>
      <c r="AA148" s="85">
        <f t="shared" si="102"/>
        <v>2808.2521997818717</v>
      </c>
      <c r="AB148" s="90">
        <f t="shared" si="103"/>
        <v>832.16398485565549</v>
      </c>
      <c r="AC148" s="86">
        <f t="shared" si="104"/>
        <v>6964.6780600000002</v>
      </c>
      <c r="AD148" s="85">
        <f t="shared" si="105"/>
        <v>2598.140025222212</v>
      </c>
      <c r="AE148" s="85">
        <f t="shared" si="106"/>
        <v>2747.1831630738557</v>
      </c>
      <c r="AF148" s="90">
        <f t="shared" si="107"/>
        <v>2598.140025222212</v>
      </c>
      <c r="AG148" s="86">
        <f t="shared" si="108"/>
        <v>-27004.496940000001</v>
      </c>
      <c r="AH148" s="85">
        <f t="shared" si="109"/>
        <v>6183.1314163678471</v>
      </c>
      <c r="AI148" s="85">
        <f t="shared" si="110"/>
        <v>-18465.822092346036</v>
      </c>
      <c r="AJ148" s="90">
        <f t="shared" si="111"/>
        <v>6183.1314163678471</v>
      </c>
      <c r="AL148" s="95">
        <f t="shared" si="112"/>
        <v>0</v>
      </c>
      <c r="AM148" s="95">
        <f t="shared" si="113"/>
        <v>0</v>
      </c>
      <c r="AN148" s="95">
        <f t="shared" si="114"/>
        <v>0</v>
      </c>
      <c r="AO148" s="95">
        <f t="shared" si="115"/>
        <v>0</v>
      </c>
      <c r="AP148"/>
      <c r="AQ148" s="95">
        <f t="shared" si="116"/>
        <v>0</v>
      </c>
      <c r="AR148" s="95">
        <f t="shared" si="117"/>
        <v>0</v>
      </c>
      <c r="AS148" s="95">
        <f>Geraetedaten!$B$94*ABS(SIN(RADIANS($A148)))</f>
        <v>145.60986064229479</v>
      </c>
      <c r="AT148" s="95">
        <f>Geraetedaten!$B$94*ABS(COS(RADIANS($A148)))</f>
        <v>50.13749578640212</v>
      </c>
      <c r="AU148" s="95">
        <f>((h_Aw_Sw+Geraetedaten!$B$18)/1000)*(AQ148*AS148+AR148*AT148)/100</f>
        <v>0</v>
      </c>
    </row>
    <row r="149" spans="1:47" ht="13.5" x14ac:dyDescent="0.25">
      <c r="A149" s="16">
        <v>110</v>
      </c>
      <c r="B149" s="16">
        <f t="shared" si="59"/>
        <v>340</v>
      </c>
      <c r="C149" s="19">
        <f t="shared" si="60"/>
        <v>69.958103143915849</v>
      </c>
      <c r="D149" s="17">
        <f t="shared" si="61"/>
        <v>-7204.9371031439159</v>
      </c>
      <c r="E149" s="17">
        <f t="shared" si="62"/>
        <v>27375.001496856083</v>
      </c>
      <c r="F149" s="17">
        <f t="shared" si="63"/>
        <v>6937.8033068560844</v>
      </c>
      <c r="G149" s="17">
        <f t="shared" si="64"/>
        <v>-25814.018493143914</v>
      </c>
      <c r="H149" s="17">
        <f t="shared" si="92"/>
        <v>6937.8033068560844</v>
      </c>
      <c r="I149" s="17">
        <f t="shared" si="65"/>
        <v>2764.1771792992254</v>
      </c>
      <c r="J149" s="20">
        <f>(Geraetedaten!$B$152+(Geraetedaten!$B$153*(Geraetedaten!$B$18+d_y_Sw)/1000))*10</f>
        <v>6051.0442000000003</v>
      </c>
      <c r="K149" s="20">
        <f>(Geraetedaten!$B$165+(Geraetedaten!$B$166*(Geraetedaten!$B$18+d_y_Sw)/1000))*10</f>
        <v>10816.164000000001</v>
      </c>
      <c r="L149" s="20">
        <f>(Geraetedaten!$B$158+(Geraetedaten!$B$159*(Geraetedaten!$B$18+d_y_Sw)/1000)-(Geraetedaten!$B$160*I149/1000))*10</f>
        <v>398.83948744198761</v>
      </c>
      <c r="M149" s="20">
        <f>(Geraetedaten!$B$171+(Geraetedaten!$B$172*(Geraetedaten!$B$18+d_y_Sw)/1000)-(Geraetedaten!$B$173*I149/1000))*10</f>
        <v>859.10165077296654</v>
      </c>
      <c r="N149" s="20">
        <f>IF((H149-J149)/(K149-J149)*(Geraetedaten!$B$174-Geraetedaten!$B$161)&lt;Geraetedaten!$B$174,(H149-J149)/(K149-J149)*(Geraetedaten!$B$174-Geraetedaten!$B$161),Geraetedaten!$B$174)</f>
        <v>74.437507896954372</v>
      </c>
      <c r="O149" s="20">
        <f>N149/Geraetedaten!$B$174*(M149-L149)+L149+C149</f>
        <v>554.44951162995108</v>
      </c>
      <c r="P149" s="20">
        <f t="shared" si="66"/>
        <v>197.2709961825712</v>
      </c>
      <c r="Q149" s="21">
        <f>(N149-Geraetedaten!$B$161)/(Geraetedaten!$B$174-Geraetedaten!$B$161)*(Geraetedaten!$B$175-Geraetedaten!$B$162)+Geraetedaten!$B$162</f>
        <v>31.414515859934394</v>
      </c>
      <c r="R149" s="21">
        <f t="shared" si="93"/>
        <v>31.414515859934394</v>
      </c>
      <c r="S149" s="21">
        <f t="shared" si="94"/>
        <v>29.519988739142235</v>
      </c>
      <c r="T149" s="88">
        <f t="shared" si="95"/>
        <v>-10.744397216921254</v>
      </c>
      <c r="U149" s="86">
        <f t="shared" si="96"/>
        <v>-7134.9790000000003</v>
      </c>
      <c r="V149" s="85">
        <f t="shared" si="97"/>
        <v>-2683.3128092763232</v>
      </c>
      <c r="W149" s="85">
        <f t="shared" si="98"/>
        <v>-2856.6525346727358</v>
      </c>
      <c r="X149" s="90">
        <f t="shared" si="99"/>
        <v>2683.3128092763232</v>
      </c>
      <c r="Y149" s="86">
        <f t="shared" si="100"/>
        <v>27444.959599999998</v>
      </c>
      <c r="Z149" s="85">
        <f t="shared" si="101"/>
        <v>-832.16398485565549</v>
      </c>
      <c r="AA149" s="85">
        <f t="shared" si="102"/>
        <v>2659.0828970804391</v>
      </c>
      <c r="AB149" s="90">
        <f t="shared" si="103"/>
        <v>832.16398485565549</v>
      </c>
      <c r="AC149" s="86">
        <f t="shared" si="104"/>
        <v>7007.7614100000001</v>
      </c>
      <c r="AD149" s="85">
        <f t="shared" si="105"/>
        <v>2598.140025222212</v>
      </c>
      <c r="AE149" s="85">
        <f t="shared" si="106"/>
        <v>2764.1771792992254</v>
      </c>
      <c r="AF149" s="90">
        <f t="shared" si="107"/>
        <v>2598.140025222212</v>
      </c>
      <c r="AG149" s="86">
        <f t="shared" si="108"/>
        <v>-25744.060389999999</v>
      </c>
      <c r="AH149" s="85">
        <f t="shared" si="109"/>
        <v>6183.1314163678471</v>
      </c>
      <c r="AI149" s="85">
        <f t="shared" si="110"/>
        <v>-17603.928714824637</v>
      </c>
      <c r="AJ149" s="90">
        <f t="shared" si="111"/>
        <v>6183.1314163678471</v>
      </c>
      <c r="AL149" s="95">
        <f t="shared" si="112"/>
        <v>0</v>
      </c>
      <c r="AM149" s="95">
        <f t="shared" si="113"/>
        <v>0</v>
      </c>
      <c r="AN149" s="95">
        <f t="shared" si="114"/>
        <v>0</v>
      </c>
      <c r="AO149" s="95">
        <f t="shared" si="115"/>
        <v>0</v>
      </c>
      <c r="AP149"/>
      <c r="AQ149" s="95">
        <f t="shared" si="116"/>
        <v>0</v>
      </c>
      <c r="AR149" s="95">
        <f t="shared" si="117"/>
        <v>0</v>
      </c>
      <c r="AS149" s="95">
        <f>Geraetedaten!$B$94*ABS(SIN(RADIANS($A149)))</f>
        <v>144.7126636010299</v>
      </c>
      <c r="AT149" s="95">
        <f>Geraetedaten!$B$94*ABS(COS(RADIANS($A149)))</f>
        <v>52.671102072152983</v>
      </c>
      <c r="AU149" s="95">
        <f>((h_Aw_Sw+Geraetedaten!$B$18)/1000)*(AQ149*AS149+AR149*AT149)/100</f>
        <v>0</v>
      </c>
    </row>
    <row r="150" spans="1:47" ht="13.5" x14ac:dyDescent="0.25">
      <c r="A150" s="16">
        <v>111</v>
      </c>
      <c r="B150" s="16">
        <f t="shared" si="59"/>
        <v>339</v>
      </c>
      <c r="C150" s="19">
        <f t="shared" si="60"/>
        <v>70.059249947248006</v>
      </c>
      <c r="D150" s="17">
        <f t="shared" si="61"/>
        <v>-7251.9064899472478</v>
      </c>
      <c r="E150" s="17">
        <f t="shared" si="62"/>
        <v>25998.144890052754</v>
      </c>
      <c r="F150" s="17">
        <f t="shared" si="63"/>
        <v>6983.4838000527525</v>
      </c>
      <c r="G150" s="17">
        <f t="shared" si="64"/>
        <v>-24673.258189947246</v>
      </c>
      <c r="H150" s="17">
        <f t="shared" si="92"/>
        <v>6983.4838000527525</v>
      </c>
      <c r="I150" s="17">
        <f t="shared" si="65"/>
        <v>2782.2355245752242</v>
      </c>
      <c r="J150" s="20">
        <f>(Geraetedaten!$B$152+(Geraetedaten!$B$153*(Geraetedaten!$B$18+d_y_Sw)/1000))*10</f>
        <v>6051.0442000000003</v>
      </c>
      <c r="K150" s="20">
        <f>(Geraetedaten!$B$165+(Geraetedaten!$B$166*(Geraetedaten!$B$18+d_y_Sw)/1000))*10</f>
        <v>10816.164000000001</v>
      </c>
      <c r="L150" s="20">
        <f>(Geraetedaten!$B$158+(Geraetedaten!$B$159*(Geraetedaten!$B$18+d_y_Sw)/1000)-(Geraetedaten!$B$160*I150/1000))*10</f>
        <v>397.51526898289859</v>
      </c>
      <c r="M150" s="20">
        <f>(Geraetedaten!$B$171+(Geraetedaten!$B$172*(Geraetedaten!$B$18+d_y_Sw)/1000)-(Geraetedaten!$B$173*I150/1000))*10</f>
        <v>857.75738755062116</v>
      </c>
      <c r="N150" s="20">
        <f>IF((H150-J150)/(K150-J150)*(Geraetedaten!$B$174-Geraetedaten!$B$161)&lt;Geraetedaten!$B$174,(H150-J150)/(K150-J150)*(Geraetedaten!$B$174-Geraetedaten!$B$161),Geraetedaten!$B$174)</f>
        <v>78.272080383183834</v>
      </c>
      <c r="O150" s="20">
        <f>N150/Geraetedaten!$B$174*(M150-L150)+L150+C150</f>
        <v>557.63478918079556</v>
      </c>
      <c r="P150" s="20">
        <f t="shared" si="66"/>
        <v>197.74158454766473</v>
      </c>
      <c r="Q150" s="21">
        <f>(N150-Geraetedaten!$B$161)/(Geraetedaten!$B$174-Geraetedaten!$B$161)*(Geraetedaten!$B$175-Geraetedaten!$B$162)+Geraetedaten!$B$162</f>
        <v>31.528594391399718</v>
      </c>
      <c r="R150" s="21">
        <f t="shared" si="93"/>
        <v>31.528594391399718</v>
      </c>
      <c r="S150" s="21">
        <f t="shared" si="94"/>
        <v>29.434478598780231</v>
      </c>
      <c r="T150" s="88">
        <f t="shared" si="95"/>
        <v>-11.298837724091371</v>
      </c>
      <c r="U150" s="86">
        <f t="shared" si="96"/>
        <v>-7181.8472400000001</v>
      </c>
      <c r="V150" s="85">
        <f t="shared" si="97"/>
        <v>-2683.3128092763232</v>
      </c>
      <c r="W150" s="85">
        <f t="shared" si="98"/>
        <v>-2875.4173098111432</v>
      </c>
      <c r="X150" s="90">
        <f t="shared" si="99"/>
        <v>2683.3128092763232</v>
      </c>
      <c r="Y150" s="86">
        <f t="shared" si="100"/>
        <v>26068.204140000002</v>
      </c>
      <c r="Z150" s="85">
        <f t="shared" si="101"/>
        <v>-832.16398485565549</v>
      </c>
      <c r="AA150" s="85">
        <f t="shared" si="102"/>
        <v>2525.6920322031556</v>
      </c>
      <c r="AB150" s="90">
        <f t="shared" si="103"/>
        <v>832.16398485565549</v>
      </c>
      <c r="AC150" s="86">
        <f t="shared" si="104"/>
        <v>7053.5430500000002</v>
      </c>
      <c r="AD150" s="85">
        <f t="shared" si="105"/>
        <v>2598.140025222212</v>
      </c>
      <c r="AE150" s="85">
        <f t="shared" si="106"/>
        <v>2782.2355245752242</v>
      </c>
      <c r="AF150" s="90">
        <f t="shared" si="107"/>
        <v>2598.140025222212</v>
      </c>
      <c r="AG150" s="86">
        <f t="shared" si="108"/>
        <v>-24603.198939999998</v>
      </c>
      <c r="AH150" s="85">
        <f t="shared" si="109"/>
        <v>6183.1314163678471</v>
      </c>
      <c r="AI150" s="85">
        <f t="shared" si="110"/>
        <v>-16823.801444538552</v>
      </c>
      <c r="AJ150" s="90">
        <f t="shared" si="111"/>
        <v>6183.1314163678471</v>
      </c>
      <c r="AL150" s="95">
        <f t="shared" si="112"/>
        <v>0</v>
      </c>
      <c r="AM150" s="95">
        <f t="shared" si="113"/>
        <v>0</v>
      </c>
      <c r="AN150" s="95">
        <f t="shared" si="114"/>
        <v>0</v>
      </c>
      <c r="AO150" s="95">
        <f t="shared" si="115"/>
        <v>0</v>
      </c>
      <c r="AP150"/>
      <c r="AQ150" s="95">
        <f t="shared" si="116"/>
        <v>0</v>
      </c>
      <c r="AR150" s="95">
        <f t="shared" si="117"/>
        <v>0</v>
      </c>
      <c r="AS150" s="95">
        <f>Geraetedaten!$B$94*ABS(SIN(RADIANS($A150)))</f>
        <v>143.77138568056907</v>
      </c>
      <c r="AT150" s="95">
        <f>Geraetedaten!$B$94*ABS(COS(RADIANS($A150)))</f>
        <v>55.18866422997624</v>
      </c>
      <c r="AU150" s="95">
        <f>((h_Aw_Sw+Geraetedaten!$B$18)/1000)*(AQ150*AS150+AR150*AT150)/100</f>
        <v>0</v>
      </c>
    </row>
    <row r="151" spans="1:47" ht="13.5" x14ac:dyDescent="0.25">
      <c r="A151" s="16">
        <v>112</v>
      </c>
      <c r="B151" s="16">
        <f t="shared" si="59"/>
        <v>338</v>
      </c>
      <c r="C151" s="19">
        <f t="shared" si="60"/>
        <v>70.139056024367036</v>
      </c>
      <c r="D151" s="17">
        <f t="shared" si="61"/>
        <v>-7301.6917060243668</v>
      </c>
      <c r="E151" s="17">
        <f t="shared" si="62"/>
        <v>24760.041533975633</v>
      </c>
      <c r="F151" s="17">
        <f t="shared" si="63"/>
        <v>7031.9653539756328</v>
      </c>
      <c r="G151" s="17">
        <f t="shared" si="64"/>
        <v>-23636.175276024369</v>
      </c>
      <c r="H151" s="17">
        <f t="shared" si="92"/>
        <v>7031.9653539756328</v>
      </c>
      <c r="I151" s="17">
        <f t="shared" si="65"/>
        <v>2801.3903135582391</v>
      </c>
      <c r="J151" s="20">
        <f>(Geraetedaten!$B$152+(Geraetedaten!$B$153*(Geraetedaten!$B$18+d_y_Sw)/1000))*10</f>
        <v>6051.0442000000003</v>
      </c>
      <c r="K151" s="20">
        <f>(Geraetedaten!$B$165+(Geraetedaten!$B$166*(Geraetedaten!$B$18+d_y_Sw)/1000))*10</f>
        <v>10816.164000000001</v>
      </c>
      <c r="L151" s="20">
        <f>(Geraetedaten!$B$158+(Geraetedaten!$B$159*(Geraetedaten!$B$18+d_y_Sw)/1000)-(Geraetedaten!$B$160*I151/1000))*10</f>
        <v>396.11064830677412</v>
      </c>
      <c r="M151" s="20">
        <f>(Geraetedaten!$B$171+(Geraetedaten!$B$172*(Geraetedaten!$B$18+d_y_Sw)/1000)-(Geraetedaten!$B$173*I151/1000))*10</f>
        <v>856.33150505872561</v>
      </c>
      <c r="N151" s="20">
        <f>IF((H151-J151)/(K151-J151)*(Geraetedaten!$B$174-Geraetedaten!$B$161)&lt;Geraetedaten!$B$174,(H151-J151)/(K151-J151)*(Geraetedaten!$B$174-Geraetedaten!$B$161),Geraetedaten!$B$174)</f>
        <v>82.341783220277691</v>
      </c>
      <c r="O151" s="20">
        <f>N151/Geraetedaten!$B$174*(M151-L151)+L151+C151</f>
        <v>560.98821938144033</v>
      </c>
      <c r="P151" s="20">
        <f t="shared" si="66"/>
        <v>198.22792883794665</v>
      </c>
      <c r="Q151" s="21">
        <f>(N151-Geraetedaten!$B$161)/(Geraetedaten!$B$174-Geraetedaten!$B$161)*(Geraetedaten!$B$175-Geraetedaten!$B$162)+Geraetedaten!$B$162</f>
        <v>31.64966805080326</v>
      </c>
      <c r="R151" s="21">
        <f t="shared" si="93"/>
        <v>31.64966805080326</v>
      </c>
      <c r="S151" s="21">
        <f t="shared" si="94"/>
        <v>29.345061219103069</v>
      </c>
      <c r="T151" s="88">
        <f t="shared" si="95"/>
        <v>-11.85617433125584</v>
      </c>
      <c r="U151" s="86">
        <f t="shared" si="96"/>
        <v>-7231.5526499999996</v>
      </c>
      <c r="V151" s="85">
        <f t="shared" si="97"/>
        <v>-2683.3128092763232</v>
      </c>
      <c r="W151" s="85">
        <f t="shared" si="98"/>
        <v>-2895.3180126006118</v>
      </c>
      <c r="X151" s="90">
        <f t="shared" si="99"/>
        <v>2683.3128092763232</v>
      </c>
      <c r="Y151" s="86">
        <f t="shared" si="100"/>
        <v>24830.18059</v>
      </c>
      <c r="Z151" s="85">
        <f t="shared" si="101"/>
        <v>-832.16398485565549</v>
      </c>
      <c r="AA151" s="85">
        <f t="shared" si="102"/>
        <v>2405.7426024314314</v>
      </c>
      <c r="AB151" s="90">
        <f t="shared" si="103"/>
        <v>832.16398485565549</v>
      </c>
      <c r="AC151" s="86">
        <f t="shared" si="104"/>
        <v>7102.1044099999999</v>
      </c>
      <c r="AD151" s="85">
        <f t="shared" si="105"/>
        <v>2598.140025222212</v>
      </c>
      <c r="AE151" s="85">
        <f t="shared" si="106"/>
        <v>2801.3903135582391</v>
      </c>
      <c r="AF151" s="90">
        <f t="shared" si="107"/>
        <v>2598.140025222212</v>
      </c>
      <c r="AG151" s="86">
        <f t="shared" si="108"/>
        <v>-23566.036220000002</v>
      </c>
      <c r="AH151" s="85">
        <f t="shared" si="109"/>
        <v>6183.1314163678471</v>
      </c>
      <c r="AI151" s="85">
        <f t="shared" si="110"/>
        <v>-16114.583922827323</v>
      </c>
      <c r="AJ151" s="90">
        <f t="shared" si="111"/>
        <v>6183.1314163678471</v>
      </c>
      <c r="AL151" s="95">
        <f t="shared" si="112"/>
        <v>0</v>
      </c>
      <c r="AM151" s="95">
        <f t="shared" si="113"/>
        <v>0</v>
      </c>
      <c r="AN151" s="95">
        <f t="shared" si="114"/>
        <v>0</v>
      </c>
      <c r="AO151" s="95">
        <f t="shared" si="115"/>
        <v>0</v>
      </c>
      <c r="AP151"/>
      <c r="AQ151" s="95">
        <f t="shared" si="116"/>
        <v>0</v>
      </c>
      <c r="AR151" s="95">
        <f t="shared" si="117"/>
        <v>0</v>
      </c>
      <c r="AS151" s="95">
        <f>Geraetedaten!$B$94*ABS(SIN(RADIANS($A151)))</f>
        <v>142.78631360328527</v>
      </c>
      <c r="AT151" s="95">
        <f>Geraetedaten!$B$94*ABS(COS(RADIANS($A151)))</f>
        <v>57.689415386050456</v>
      </c>
      <c r="AU151" s="95">
        <f>((h_Aw_Sw+Geraetedaten!$B$18)/1000)*(AQ151*AS151+AR151*AT151)/100</f>
        <v>0</v>
      </c>
    </row>
    <row r="152" spans="1:47" ht="13.5" x14ac:dyDescent="0.25">
      <c r="A152" s="16">
        <v>113</v>
      </c>
      <c r="B152" s="16">
        <f t="shared" si="59"/>
        <v>337</v>
      </c>
      <c r="C152" s="19">
        <f t="shared" si="60"/>
        <v>70.19749706556874</v>
      </c>
      <c r="D152" s="17">
        <f t="shared" si="61"/>
        <v>-7354.3826770655687</v>
      </c>
      <c r="E152" s="17">
        <f t="shared" si="62"/>
        <v>23641.115042934431</v>
      </c>
      <c r="F152" s="17">
        <f t="shared" si="63"/>
        <v>7083.3357029344315</v>
      </c>
      <c r="G152" s="17">
        <f t="shared" si="64"/>
        <v>-22689.589647065568</v>
      </c>
      <c r="H152" s="17">
        <f t="shared" si="92"/>
        <v>7083.3357029344315</v>
      </c>
      <c r="I152" s="17">
        <f t="shared" si="65"/>
        <v>2821.6761483295772</v>
      </c>
      <c r="J152" s="20">
        <f>(Geraetedaten!$B$152+(Geraetedaten!$B$153*(Geraetedaten!$B$18+d_y_Sw)/1000))*10</f>
        <v>6051.0442000000003</v>
      </c>
      <c r="K152" s="20">
        <f>(Geraetedaten!$B$165+(Geraetedaten!$B$166*(Geraetedaten!$B$18+d_y_Sw)/1000))*10</f>
        <v>10816.164000000001</v>
      </c>
      <c r="L152" s="20">
        <f>(Geraetedaten!$B$158+(Geraetedaten!$B$159*(Geraetedaten!$B$18+d_y_Sw)/1000)-(Geraetedaten!$B$160*I152/1000))*10</f>
        <v>394.62308804299187</v>
      </c>
      <c r="M152" s="20">
        <f>(Geraetedaten!$B$171+(Geraetedaten!$B$172*(Geraetedaten!$B$18+d_y_Sw)/1000)-(Geraetedaten!$B$173*I152/1000))*10</f>
        <v>854.82142751834715</v>
      </c>
      <c r="N152" s="20">
        <f>IF((H152-J152)/(K152-J152)*(Geraetedaten!$B$174-Geraetedaten!$B$161)&lt;Geraetedaten!$B$174,(H152-J152)/(K152-J152)*(Geraetedaten!$B$174-Geraetedaten!$B$161),Geraetedaten!$B$174)</f>
        <v>86.653981117908614</v>
      </c>
      <c r="O152" s="20">
        <f>N152/Geraetedaten!$B$174*(M152-L152)+L152+C152</f>
        <v>564.51563065703647</v>
      </c>
      <c r="P152" s="20">
        <f t="shared" si="66"/>
        <v>198.73035105433871</v>
      </c>
      <c r="Q152" s="21">
        <f>(N152-Geraetedaten!$B$161)/(Geraetedaten!$B$174-Geraetedaten!$B$161)*(Geraetedaten!$B$175-Geraetedaten!$B$162)+Geraetedaten!$B$162</f>
        <v>31.777955938257783</v>
      </c>
      <c r="R152" s="21">
        <f t="shared" si="93"/>
        <v>31.777955938257783</v>
      </c>
      <c r="S152" s="21">
        <f t="shared" si="94"/>
        <v>29.251762673964084</v>
      </c>
      <c r="T152" s="88">
        <f t="shared" si="95"/>
        <v>-12.416636584837882</v>
      </c>
      <c r="U152" s="86">
        <f t="shared" si="96"/>
        <v>-7284.1851800000004</v>
      </c>
      <c r="V152" s="85">
        <f t="shared" si="97"/>
        <v>-2683.3128092763232</v>
      </c>
      <c r="W152" s="85">
        <f t="shared" si="98"/>
        <v>-2916.39065187393</v>
      </c>
      <c r="X152" s="90">
        <f t="shared" si="99"/>
        <v>2683.3128092763232</v>
      </c>
      <c r="Y152" s="86">
        <f t="shared" si="100"/>
        <v>23711.312539999999</v>
      </c>
      <c r="Z152" s="85">
        <f t="shared" si="101"/>
        <v>-832.16398485565549</v>
      </c>
      <c r="AA152" s="85">
        <f t="shared" si="102"/>
        <v>2297.3378922858187</v>
      </c>
      <c r="AB152" s="90">
        <f t="shared" si="103"/>
        <v>832.16398485565549</v>
      </c>
      <c r="AC152" s="86">
        <f t="shared" si="104"/>
        <v>7153.5331999999999</v>
      </c>
      <c r="AD152" s="85">
        <f t="shared" si="105"/>
        <v>2598.140025222212</v>
      </c>
      <c r="AE152" s="85">
        <f t="shared" si="106"/>
        <v>2821.6761483295772</v>
      </c>
      <c r="AF152" s="90">
        <f t="shared" si="107"/>
        <v>2598.140025222212</v>
      </c>
      <c r="AG152" s="86">
        <f t="shared" si="108"/>
        <v>-22619.39215</v>
      </c>
      <c r="AH152" s="85">
        <f t="shared" si="109"/>
        <v>6183.1314163678471</v>
      </c>
      <c r="AI152" s="85">
        <f t="shared" si="110"/>
        <v>-15467.263554364399</v>
      </c>
      <c r="AJ152" s="90">
        <f t="shared" si="111"/>
        <v>6183.1314163678471</v>
      </c>
      <c r="AL152" s="95">
        <f t="shared" si="112"/>
        <v>0</v>
      </c>
      <c r="AM152" s="95">
        <f t="shared" si="113"/>
        <v>0</v>
      </c>
      <c r="AN152" s="95">
        <f t="shared" si="114"/>
        <v>0</v>
      </c>
      <c r="AO152" s="95">
        <f t="shared" si="115"/>
        <v>0</v>
      </c>
      <c r="AP152"/>
      <c r="AQ152" s="95">
        <f t="shared" si="116"/>
        <v>0</v>
      </c>
      <c r="AR152" s="95">
        <f t="shared" si="117"/>
        <v>0</v>
      </c>
      <c r="AS152" s="95">
        <f>Geraetedaten!$B$94*ABS(SIN(RADIANS($A152)))</f>
        <v>141.7577474316758</v>
      </c>
      <c r="AT152" s="95">
        <f>Geraetedaten!$B$94*ABS(COS(RADIANS($A152)))</f>
        <v>60.172593787348163</v>
      </c>
      <c r="AU152" s="95">
        <f>((h_Aw_Sw+Geraetedaten!$B$18)/1000)*(AQ152*AS152+AR152*AT152)/100</f>
        <v>0</v>
      </c>
    </row>
    <row r="153" spans="1:47" ht="13.5" x14ac:dyDescent="0.25">
      <c r="A153" s="16">
        <v>114</v>
      </c>
      <c r="B153" s="16">
        <f t="shared" si="59"/>
        <v>336</v>
      </c>
      <c r="C153" s="19">
        <f t="shared" si="60"/>
        <v>70.234555269145858</v>
      </c>
      <c r="D153" s="17">
        <f t="shared" si="61"/>
        <v>-7410.0761952691455</v>
      </c>
      <c r="E153" s="17">
        <f t="shared" si="62"/>
        <v>22625.311574730855</v>
      </c>
      <c r="F153" s="17">
        <f t="shared" si="63"/>
        <v>7137.6893147308538</v>
      </c>
      <c r="G153" s="17">
        <f t="shared" si="64"/>
        <v>-21822.468735269147</v>
      </c>
      <c r="H153" s="17">
        <f t="shared" si="92"/>
        <v>7137.6893147308538</v>
      </c>
      <c r="I153" s="17">
        <f t="shared" si="65"/>
        <v>2843.1302816513435</v>
      </c>
      <c r="J153" s="20">
        <f>(Geraetedaten!$B$152+(Geraetedaten!$B$153*(Geraetedaten!$B$18+d_y_Sw)/1000))*10</f>
        <v>6051.0442000000003</v>
      </c>
      <c r="K153" s="20">
        <f>(Geraetedaten!$B$165+(Geraetedaten!$B$166*(Geraetedaten!$B$18+d_y_Sw)/1000))*10</f>
        <v>10816.164000000001</v>
      </c>
      <c r="L153" s="20">
        <f>(Geraetedaten!$B$158+(Geraetedaten!$B$159*(Geraetedaten!$B$18+d_y_Sw)/1000)-(Geraetedaten!$B$160*I153/1000))*10</f>
        <v>393.04985644650679</v>
      </c>
      <c r="M153" s="20">
        <f>(Geraetedaten!$B$171+(Geraetedaten!$B$172*(Geraetedaten!$B$18+d_y_Sw)/1000)-(Geraetedaten!$B$173*I153/1000))*10</f>
        <v>853.22438183387487</v>
      </c>
      <c r="N153" s="20">
        <f>IF((H153-J153)/(K153-J153)*(Geraetedaten!$B$174-Geraetedaten!$B$161)&lt;Geraetedaten!$B$174,(H153-J153)/(K153-J153)*(Geraetedaten!$B$174-Geraetedaten!$B$161),Geraetedaten!$B$174)</f>
        <v>91.216604017456476</v>
      </c>
      <c r="O153" s="20">
        <f>N153/Geraetedaten!$B$174*(M153-L153)+L153+C153</f>
        <v>568.22330536860397</v>
      </c>
      <c r="P153" s="20">
        <f t="shared" si="66"/>
        <v>199.24919789391055</v>
      </c>
      <c r="Q153" s="21">
        <f>(N153-Geraetedaten!$B$161)/(Geraetedaten!$B$174-Geraetedaten!$B$161)*(Geraetedaten!$B$175-Geraetedaten!$B$162)+Geraetedaten!$B$162</f>
        <v>31.913693969519329</v>
      </c>
      <c r="R153" s="21">
        <f t="shared" si="93"/>
        <v>31.913693969519329</v>
      </c>
      <c r="S153" s="21">
        <f t="shared" si="94"/>
        <v>29.154610162450446</v>
      </c>
      <c r="T153" s="88">
        <f t="shared" si="95"/>
        <v>-12.980468753310703</v>
      </c>
      <c r="U153" s="86">
        <f t="shared" si="96"/>
        <v>-7339.8416399999996</v>
      </c>
      <c r="V153" s="85">
        <f t="shared" si="97"/>
        <v>-2683.3128092763232</v>
      </c>
      <c r="W153" s="85">
        <f t="shared" si="98"/>
        <v>-2938.673992241228</v>
      </c>
      <c r="X153" s="90">
        <f t="shared" si="99"/>
        <v>2683.3128092763232</v>
      </c>
      <c r="Y153" s="86">
        <f t="shared" si="100"/>
        <v>22695.546129999999</v>
      </c>
      <c r="Z153" s="85">
        <f t="shared" si="101"/>
        <v>-832.16398485565549</v>
      </c>
      <c r="AA153" s="85">
        <f t="shared" si="102"/>
        <v>2198.9224775643829</v>
      </c>
      <c r="AB153" s="90">
        <f t="shared" si="103"/>
        <v>832.16398485565549</v>
      </c>
      <c r="AC153" s="86">
        <f t="shared" si="104"/>
        <v>7207.9238699999996</v>
      </c>
      <c r="AD153" s="85">
        <f t="shared" si="105"/>
        <v>2598.140025222212</v>
      </c>
      <c r="AE153" s="85">
        <f t="shared" si="106"/>
        <v>2843.1302816513435</v>
      </c>
      <c r="AF153" s="90">
        <f t="shared" si="107"/>
        <v>2598.140025222212</v>
      </c>
      <c r="AG153" s="86">
        <f t="shared" si="108"/>
        <v>-21752.234179999999</v>
      </c>
      <c r="AH153" s="85">
        <f t="shared" si="109"/>
        <v>6183.1314163678471</v>
      </c>
      <c r="AI153" s="85">
        <f t="shared" si="110"/>
        <v>-14874.296208182084</v>
      </c>
      <c r="AJ153" s="90">
        <f t="shared" si="111"/>
        <v>6183.1314163678471</v>
      </c>
      <c r="AL153" s="95">
        <f t="shared" si="112"/>
        <v>0</v>
      </c>
      <c r="AM153" s="95">
        <f t="shared" si="113"/>
        <v>0</v>
      </c>
      <c r="AN153" s="95">
        <f t="shared" si="114"/>
        <v>0</v>
      </c>
      <c r="AO153" s="95">
        <f t="shared" si="115"/>
        <v>0</v>
      </c>
      <c r="AP153"/>
      <c r="AQ153" s="95">
        <f t="shared" si="116"/>
        <v>0</v>
      </c>
      <c r="AR153" s="95">
        <f t="shared" si="117"/>
        <v>0</v>
      </c>
      <c r="AS153" s="95">
        <f>Geraetedaten!$B$94*ABS(SIN(RADIANS($A153)))</f>
        <v>140.68600047696054</v>
      </c>
      <c r="AT153" s="95">
        <f>Geraetedaten!$B$94*ABS(COS(RADIANS($A153)))</f>
        <v>62.637443033673243</v>
      </c>
      <c r="AU153" s="95">
        <f>((h_Aw_Sw+Geraetedaten!$B$18)/1000)*(AQ153*AS153+AR153*AT153)/100</f>
        <v>0</v>
      </c>
    </row>
    <row r="154" spans="1:47" ht="13.5" x14ac:dyDescent="0.25">
      <c r="A154" s="16">
        <v>115</v>
      </c>
      <c r="B154" s="16">
        <f t="shared" si="59"/>
        <v>335</v>
      </c>
      <c r="C154" s="19">
        <f t="shared" si="60"/>
        <v>70.250219346810582</v>
      </c>
      <c r="D154" s="17">
        <f t="shared" si="61"/>
        <v>-7468.8764193468105</v>
      </c>
      <c r="E154" s="17">
        <f t="shared" si="62"/>
        <v>21699.341890653192</v>
      </c>
      <c r="F154" s="17">
        <f t="shared" si="63"/>
        <v>7195.127810653189</v>
      </c>
      <c r="G154" s="17">
        <f t="shared" si="64"/>
        <v>-21025.50741934681</v>
      </c>
      <c r="H154" s="17">
        <f t="shared" si="92"/>
        <v>7195.127810653189</v>
      </c>
      <c r="I154" s="17">
        <f t="shared" si="65"/>
        <v>2865.7927966312391</v>
      </c>
      <c r="J154" s="20">
        <f>(Geraetedaten!$B$152+(Geraetedaten!$B$153*(Geraetedaten!$B$18+d_y_Sw)/1000))*10</f>
        <v>6051.0442000000003</v>
      </c>
      <c r="K154" s="20">
        <f>(Geraetedaten!$B$165+(Geraetedaten!$B$166*(Geraetedaten!$B$18+d_y_Sw)/1000))*10</f>
        <v>10816.164000000001</v>
      </c>
      <c r="L154" s="20">
        <f>(Geraetedaten!$B$158+(Geraetedaten!$B$159*(Geraetedaten!$B$18+d_y_Sw)/1000)-(Geraetedaten!$B$160*I154/1000))*10</f>
        <v>391.38801422303106</v>
      </c>
      <c r="M154" s="20">
        <f>(Geraetedaten!$B$171+(Geraetedaten!$B$172*(Geraetedaten!$B$18+d_y_Sw)/1000)-(Geraetedaten!$B$173*I154/1000))*10</f>
        <v>851.53738421877154</v>
      </c>
      <c r="N154" s="20">
        <f>IF((H154-J154)/(K154-J154)*(Geraetedaten!$B$174-Geraetedaten!$B$161)&lt;Geraetedaten!$B$174,(H154-J154)/(K154-J154)*(Geraetedaten!$B$174-Geraetedaten!$B$161),Geraetedaten!$B$174)</f>
        <v>96.038182347750308</v>
      </c>
      <c r="O154" s="20">
        <f>N154/Geraetedaten!$B$174*(M154-L154)+L154+C154</f>
        <v>572.11800632697509</v>
      </c>
      <c r="P154" s="20">
        <f t="shared" si="66"/>
        <v>199.78484054207365</v>
      </c>
      <c r="Q154" s="21">
        <f>(N154-Geraetedaten!$B$161)/(Geraetedaten!$B$174-Geraetedaten!$B$161)*(Geraetedaten!$B$175-Geraetedaten!$B$162)+Geraetedaten!$B$162</f>
        <v>32.057135924845568</v>
      </c>
      <c r="R154" s="21">
        <f t="shared" si="93"/>
        <v>32.057135924845568</v>
      </c>
      <c r="S154" s="21">
        <f t="shared" si="94"/>
        <v>29.053631918779882</v>
      </c>
      <c r="T154" s="88">
        <f t="shared" si="95"/>
        <v>-13.54793106094356</v>
      </c>
      <c r="U154" s="86">
        <f t="shared" si="96"/>
        <v>-7398.6261999999997</v>
      </c>
      <c r="V154" s="85">
        <f t="shared" si="97"/>
        <v>-2683.3128092763232</v>
      </c>
      <c r="W154" s="85">
        <f t="shared" si="98"/>
        <v>-2962.2097414768095</v>
      </c>
      <c r="X154" s="90">
        <f t="shared" si="99"/>
        <v>2683.3128092763232</v>
      </c>
      <c r="Y154" s="86">
        <f t="shared" si="100"/>
        <v>21769.592110000001</v>
      </c>
      <c r="Z154" s="85">
        <f t="shared" si="101"/>
        <v>-832.16398485565549</v>
      </c>
      <c r="AA154" s="85">
        <f t="shared" si="102"/>
        <v>2109.2087909267093</v>
      </c>
      <c r="AB154" s="90">
        <f t="shared" si="103"/>
        <v>832.16398485565549</v>
      </c>
      <c r="AC154" s="86">
        <f t="shared" si="104"/>
        <v>7265.3780299999999</v>
      </c>
      <c r="AD154" s="85">
        <f t="shared" si="105"/>
        <v>2598.140025222212</v>
      </c>
      <c r="AE154" s="85">
        <f t="shared" si="106"/>
        <v>2865.7927966312391</v>
      </c>
      <c r="AF154" s="90">
        <f t="shared" si="107"/>
        <v>2598.140025222212</v>
      </c>
      <c r="AG154" s="86">
        <f t="shared" si="108"/>
        <v>-20955.2572</v>
      </c>
      <c r="AH154" s="85">
        <f t="shared" si="109"/>
        <v>6183.1314163678471</v>
      </c>
      <c r="AI154" s="85">
        <f t="shared" si="110"/>
        <v>-14329.319007832732</v>
      </c>
      <c r="AJ154" s="90">
        <f t="shared" si="111"/>
        <v>6183.1314163678471</v>
      </c>
      <c r="AL154" s="95">
        <f t="shared" si="112"/>
        <v>0</v>
      </c>
      <c r="AM154" s="95">
        <f t="shared" si="113"/>
        <v>0</v>
      </c>
      <c r="AN154" s="95">
        <f t="shared" si="114"/>
        <v>0</v>
      </c>
      <c r="AO154" s="95">
        <f t="shared" si="115"/>
        <v>0</v>
      </c>
      <c r="AP154"/>
      <c r="AQ154" s="95">
        <f t="shared" si="116"/>
        <v>0</v>
      </c>
      <c r="AR154" s="95">
        <f t="shared" si="117"/>
        <v>0</v>
      </c>
      <c r="AS154" s="95">
        <f>Geraetedaten!$B$94*ABS(SIN(RADIANS($A154)))</f>
        <v>139.57139920364412</v>
      </c>
      <c r="AT154" s="95">
        <f>Geraetedaten!$B$94*ABS(COS(RADIANS($A154)))</f>
        <v>65.083212308067701</v>
      </c>
      <c r="AU154" s="95">
        <f>((h_Aw_Sw+Geraetedaten!$B$18)/1000)*(AQ154*AS154+AR154*AT154)/100</f>
        <v>0</v>
      </c>
    </row>
    <row r="155" spans="1:47" ht="13.5" x14ac:dyDescent="0.25">
      <c r="A155" s="16">
        <v>116</v>
      </c>
      <c r="B155" s="16">
        <f t="shared" si="59"/>
        <v>334</v>
      </c>
      <c r="C155" s="19">
        <f t="shared" si="60"/>
        <v>70.24448452713311</v>
      </c>
      <c r="D155" s="17">
        <f t="shared" si="61"/>
        <v>-7530.8953945271332</v>
      </c>
      <c r="E155" s="17">
        <f t="shared" si="62"/>
        <v>20852.111035472866</v>
      </c>
      <c r="F155" s="17">
        <f t="shared" si="63"/>
        <v>7255.7605054728674</v>
      </c>
      <c r="G155" s="17">
        <f t="shared" si="64"/>
        <v>-20290.802924527135</v>
      </c>
      <c r="H155" s="17">
        <f t="shared" si="92"/>
        <v>7255.7605054728674</v>
      </c>
      <c r="I155" s="17">
        <f t="shared" si="65"/>
        <v>2889.7068045075393</v>
      </c>
      <c r="J155" s="20">
        <f>(Geraetedaten!$B$152+(Geraetedaten!$B$153*(Geraetedaten!$B$18+d_y_Sw)/1000))*10</f>
        <v>6051.0442000000003</v>
      </c>
      <c r="K155" s="20">
        <f>(Geraetedaten!$B$165+(Geraetedaten!$B$166*(Geraetedaten!$B$18+d_y_Sw)/1000))*10</f>
        <v>10816.164000000001</v>
      </c>
      <c r="L155" s="20">
        <f>(Geraetedaten!$B$158+(Geraetedaten!$B$159*(Geraetedaten!$B$18+d_y_Sw)/1000)-(Geraetedaten!$B$160*I155/1000))*10</f>
        <v>389.6344000254619</v>
      </c>
      <c r="M155" s="20">
        <f>(Geraetedaten!$B$171+(Geraetedaten!$B$172*(Geraetedaten!$B$18+d_y_Sw)/1000)-(Geraetedaten!$B$173*I155/1000))*10</f>
        <v>849.7572254724596</v>
      </c>
      <c r="N155" s="20">
        <f>IF((H155-J155)/(K155-J155)*(Geraetedaten!$B$174-Geraetedaten!$B$161)&lt;Geraetedaten!$B$174,(H155-J155)/(K155-J155)*(Geraetedaten!$B$174-Geraetedaten!$B$161),Geraetedaten!$B$174)</f>
        <v>101.12789235417476</v>
      </c>
      <c r="O155" s="20">
        <f>N155/Geraetedaten!$B$174*(M155-L155)+L155+C155</f>
        <v>576.20701345635177</v>
      </c>
      <c r="P155" s="20">
        <f t="shared" si="66"/>
        <v>200.33767572780852</v>
      </c>
      <c r="Q155" s="21">
        <f>(N155-Geraetedaten!$B$161)/(Geraetedaten!$B$174-Geraetedaten!$B$161)*(Geraetedaten!$B$175-Geraetedaten!$B$162)+Geraetedaten!$B$162</f>
        <v>32.208554797536699</v>
      </c>
      <c r="R155" s="21">
        <f t="shared" si="93"/>
        <v>32.208554797536699</v>
      </c>
      <c r="S155" s="21">
        <f t="shared" si="94"/>
        <v>28.948857291926455</v>
      </c>
      <c r="T155" s="88">
        <f t="shared" si="95"/>
        <v>-14.119301103015006</v>
      </c>
      <c r="U155" s="86">
        <f t="shared" si="96"/>
        <v>-7460.6509100000003</v>
      </c>
      <c r="V155" s="85">
        <f t="shared" si="97"/>
        <v>-2683.3128092763232</v>
      </c>
      <c r="W155" s="85">
        <f t="shared" si="98"/>
        <v>-2987.0427568137211</v>
      </c>
      <c r="X155" s="90">
        <f t="shared" si="99"/>
        <v>2683.3128092763232</v>
      </c>
      <c r="Y155" s="86">
        <f t="shared" si="100"/>
        <v>20922.355520000001</v>
      </c>
      <c r="Z155" s="85">
        <f t="shared" si="101"/>
        <v>-832.16398485565549</v>
      </c>
      <c r="AA155" s="85">
        <f t="shared" si="102"/>
        <v>2027.1218665375141</v>
      </c>
      <c r="AB155" s="90">
        <f t="shared" si="103"/>
        <v>832.16398485565549</v>
      </c>
      <c r="AC155" s="86">
        <f t="shared" si="104"/>
        <v>7326.0049900000004</v>
      </c>
      <c r="AD155" s="85">
        <f t="shared" si="105"/>
        <v>2598.140025222212</v>
      </c>
      <c r="AE155" s="85">
        <f t="shared" si="106"/>
        <v>2889.7068045075393</v>
      </c>
      <c r="AF155" s="90">
        <f t="shared" si="107"/>
        <v>2598.140025222212</v>
      </c>
      <c r="AG155" s="86">
        <f t="shared" si="108"/>
        <v>-20220.558440000001</v>
      </c>
      <c r="AH155" s="85">
        <f t="shared" si="109"/>
        <v>6183.1314163678471</v>
      </c>
      <c r="AI155" s="85">
        <f t="shared" si="110"/>
        <v>-13826.927997008677</v>
      </c>
      <c r="AJ155" s="90">
        <f t="shared" si="111"/>
        <v>6183.1314163678471</v>
      </c>
      <c r="AL155" s="95">
        <f t="shared" si="112"/>
        <v>0</v>
      </c>
      <c r="AM155" s="95">
        <f t="shared" si="113"/>
        <v>0</v>
      </c>
      <c r="AN155" s="95">
        <f t="shared" si="114"/>
        <v>0</v>
      </c>
      <c r="AO155" s="95">
        <f t="shared" si="115"/>
        <v>0</v>
      </c>
      <c r="AP155"/>
      <c r="AQ155" s="95">
        <f t="shared" si="116"/>
        <v>0</v>
      </c>
      <c r="AR155" s="95">
        <f t="shared" si="117"/>
        <v>0</v>
      </c>
      <c r="AS155" s="95">
        <f>Geraetedaten!$B$94*ABS(SIN(RADIANS($A155)))</f>
        <v>138.41428313007171</v>
      </c>
      <c r="AT155" s="95">
        <f>Geraetedaten!$B$94*ABS(COS(RADIANS($A155)))</f>
        <v>67.509156605517944</v>
      </c>
      <c r="AU155" s="95">
        <f>((h_Aw_Sw+Geraetedaten!$B$18)/1000)*(AQ155*AS155+AR155*AT155)/100</f>
        <v>0</v>
      </c>
    </row>
    <row r="156" spans="1:47" ht="13.5" x14ac:dyDescent="0.25">
      <c r="A156" s="16">
        <v>117</v>
      </c>
      <c r="B156" s="16">
        <f t="shared" si="59"/>
        <v>333</v>
      </c>
      <c r="C156" s="19">
        <f t="shared" si="60"/>
        <v>70.217352556995067</v>
      </c>
      <c r="D156" s="17">
        <f t="shared" si="61"/>
        <v>-7596.2535925569955</v>
      </c>
      <c r="E156" s="17">
        <f t="shared" si="62"/>
        <v>20074.283647443004</v>
      </c>
      <c r="F156" s="17">
        <f t="shared" si="63"/>
        <v>7319.7049174430049</v>
      </c>
      <c r="G156" s="17">
        <f t="shared" si="64"/>
        <v>-19611.600462556995</v>
      </c>
      <c r="H156" s="17">
        <f t="shared" si="92"/>
        <v>7319.7049174430049</v>
      </c>
      <c r="I156" s="17">
        <f t="shared" si="65"/>
        <v>2914.9186624884178</v>
      </c>
      <c r="J156" s="20">
        <f>(Geraetedaten!$B$152+(Geraetedaten!$B$153*(Geraetedaten!$B$18+d_y_Sw)/1000))*10</f>
        <v>6051.0442000000003</v>
      </c>
      <c r="K156" s="20">
        <f>(Geraetedaten!$B$165+(Geraetedaten!$B$166*(Geraetedaten!$B$18+d_y_Sw)/1000))*10</f>
        <v>10816.164000000001</v>
      </c>
      <c r="L156" s="20">
        <f>(Geraetedaten!$B$158+(Geraetedaten!$B$159*(Geraetedaten!$B$18+d_y_Sw)/1000)-(Geraetedaten!$B$160*I156/1000))*10</f>
        <v>387.78561447972407</v>
      </c>
      <c r="M156" s="20">
        <f>(Geraetedaten!$B$171+(Geraetedaten!$B$172*(Geraetedaten!$B$18+d_y_Sw)/1000)-(Geraetedaten!$B$173*I156/1000))*10</f>
        <v>847.88045476436309</v>
      </c>
      <c r="N156" s="20">
        <f>IF((H156-J156)/(K156-J156)*(Geraetedaten!$B$174-Geraetedaten!$B$161)&lt;Geraetedaten!$B$174,(H156-J156)/(K156-J156)*(Geraetedaten!$B$174-Geraetedaten!$B$161),Geraetedaten!$B$174)</f>
        <v>106.49559890964375</v>
      </c>
      <c r="O156" s="20">
        <f>N156/Geraetedaten!$B$174*(M156-L156)+L156+C156</f>
        <v>580.49815596509291</v>
      </c>
      <c r="P156" s="20">
        <f t="shared" si="66"/>
        <v>200.90812544174193</v>
      </c>
      <c r="Q156" s="21">
        <f>(N156-Geraetedaten!$B$161)/(Geraetedaten!$B$174-Geraetedaten!$B$161)*(Geraetedaten!$B$175-Geraetedaten!$B$162)+Geraetedaten!$B$162</f>
        <v>32.368244067561903</v>
      </c>
      <c r="R156" s="21">
        <f t="shared" si="93"/>
        <v>32.368244067561903</v>
      </c>
      <c r="S156" s="21">
        <f t="shared" si="94"/>
        <v>28.840316640719092</v>
      </c>
      <c r="T156" s="88">
        <f t="shared" si="95"/>
        <v>-14.694875299924046</v>
      </c>
      <c r="U156" s="86">
        <f t="shared" si="96"/>
        <v>-7526.0362400000004</v>
      </c>
      <c r="V156" s="85">
        <f t="shared" si="97"/>
        <v>-2683.3128092763232</v>
      </c>
      <c r="W156" s="85">
        <f t="shared" si="98"/>
        <v>-3013.2212721689771</v>
      </c>
      <c r="X156" s="90">
        <f t="shared" si="99"/>
        <v>2683.3128092763232</v>
      </c>
      <c r="Y156" s="86">
        <f t="shared" si="100"/>
        <v>20144.501</v>
      </c>
      <c r="Z156" s="85">
        <f t="shared" si="101"/>
        <v>-832.16398485565549</v>
      </c>
      <c r="AA156" s="85">
        <f t="shared" si="102"/>
        <v>1951.7572214765951</v>
      </c>
      <c r="AB156" s="90">
        <f t="shared" si="103"/>
        <v>832.16398485565549</v>
      </c>
      <c r="AC156" s="86">
        <f t="shared" si="104"/>
        <v>7389.92227</v>
      </c>
      <c r="AD156" s="85">
        <f t="shared" si="105"/>
        <v>2598.140025222212</v>
      </c>
      <c r="AE156" s="85">
        <f t="shared" si="106"/>
        <v>2914.9186624884178</v>
      </c>
      <c r="AF156" s="90">
        <f t="shared" si="107"/>
        <v>2598.140025222212</v>
      </c>
      <c r="AG156" s="86">
        <f t="shared" si="108"/>
        <v>-19541.383109999999</v>
      </c>
      <c r="AH156" s="85">
        <f t="shared" si="109"/>
        <v>6183.1314163678471</v>
      </c>
      <c r="AI156" s="85">
        <f t="shared" si="110"/>
        <v>-13362.504204597843</v>
      </c>
      <c r="AJ156" s="90">
        <f t="shared" si="111"/>
        <v>6183.1314163678471</v>
      </c>
      <c r="AL156" s="95">
        <f t="shared" si="112"/>
        <v>0</v>
      </c>
      <c r="AM156" s="95">
        <f t="shared" si="113"/>
        <v>0</v>
      </c>
      <c r="AN156" s="95">
        <f t="shared" si="114"/>
        <v>0</v>
      </c>
      <c r="AO156" s="95">
        <f t="shared" si="115"/>
        <v>0</v>
      </c>
      <c r="AP156"/>
      <c r="AQ156" s="95">
        <f t="shared" si="116"/>
        <v>0</v>
      </c>
      <c r="AR156" s="95">
        <f t="shared" si="117"/>
        <v>0</v>
      </c>
      <c r="AS156" s="95">
        <f>Geraetedaten!$B$94*ABS(SIN(RADIANS($A156)))</f>
        <v>137.21500472500867</v>
      </c>
      <c r="AT156" s="95">
        <f>Geraetedaten!$B$94*ABS(COS(RADIANS($A156)))</f>
        <v>69.914536959890185</v>
      </c>
      <c r="AU156" s="95">
        <f>((h_Aw_Sw+Geraetedaten!$B$18)/1000)*(AQ156*AS156+AR156*AT156)/100</f>
        <v>0</v>
      </c>
    </row>
    <row r="157" spans="1:47" ht="13.5" x14ac:dyDescent="0.25">
      <c r="A157" s="16">
        <v>118</v>
      </c>
      <c r="B157" s="16">
        <f t="shared" si="59"/>
        <v>332</v>
      </c>
      <c r="C157" s="19">
        <f t="shared" si="60"/>
        <v>70.1688317010574</v>
      </c>
      <c r="D157" s="17">
        <f t="shared" si="61"/>
        <v>-7665.0805417010579</v>
      </c>
      <c r="E157" s="17">
        <f t="shared" si="62"/>
        <v>19357.948658298945</v>
      </c>
      <c r="F157" s="17">
        <f t="shared" si="63"/>
        <v>7387.0873982989424</v>
      </c>
      <c r="G157" s="17">
        <f t="shared" si="64"/>
        <v>-18982.092261701055</v>
      </c>
      <c r="H157" s="17">
        <f t="shared" si="92"/>
        <v>7387.0873982989424</v>
      </c>
      <c r="I157" s="17">
        <f t="shared" si="65"/>
        <v>2941.4782138345695</v>
      </c>
      <c r="J157" s="20">
        <f>(Geraetedaten!$B$152+(Geraetedaten!$B$153*(Geraetedaten!$B$18+d_y_Sw)/1000))*10</f>
        <v>6051.0442000000003</v>
      </c>
      <c r="K157" s="20">
        <f>(Geraetedaten!$B$165+(Geraetedaten!$B$166*(Geraetedaten!$B$18+d_y_Sw)/1000))*10</f>
        <v>10816.164000000001</v>
      </c>
      <c r="L157" s="20">
        <f>(Geraetedaten!$B$158+(Geraetedaten!$B$159*(Geraetedaten!$B$18+d_y_Sw)/1000)-(Geraetedaten!$B$160*I157/1000))*10</f>
        <v>385.83800257951083</v>
      </c>
      <c r="M157" s="20">
        <f>(Geraetedaten!$B$171+(Geraetedaten!$B$172*(Geraetedaten!$B$18+d_y_Sw)/1000)-(Geraetedaten!$B$173*I157/1000))*10</f>
        <v>845.90336176215555</v>
      </c>
      <c r="N157" s="20">
        <f>IF((H157-J157)/(K157-J157)*(Geraetedaten!$B$174-Geraetedaten!$B$161)&lt;Geraetedaten!$B$174,(H157-J157)/(K157-J157)*(Geraetedaten!$B$174-Geraetedaten!$B$161),Geraetedaten!$B$174)</f>
        <v>112.15190839894032</v>
      </c>
      <c r="O157" s="20">
        <f>N157/Geraetedaten!$B$174*(M157-L157)+L157+C157</f>
        <v>584.99985433201209</v>
      </c>
      <c r="P157" s="20">
        <f t="shared" si="66"/>
        <v>201.4966377340923</v>
      </c>
      <c r="Q157" s="21">
        <f>(N157-Geraetedaten!$B$161)/(Geraetedaten!$B$174-Geraetedaten!$B$161)*(Geraetedaten!$B$175-Geraetedaten!$B$162)+Geraetedaten!$B$162</f>
        <v>32.536519274868475</v>
      </c>
      <c r="R157" s="21">
        <f t="shared" si="93"/>
        <v>32.536519274868475</v>
      </c>
      <c r="S157" s="21">
        <f t="shared" si="94"/>
        <v>28.728041373753197</v>
      </c>
      <c r="T157" s="88">
        <f t="shared" si="95"/>
        <v>-15.274970551585765</v>
      </c>
      <c r="U157" s="86">
        <f t="shared" si="96"/>
        <v>-7594.9117100000003</v>
      </c>
      <c r="V157" s="85">
        <f t="shared" si="97"/>
        <v>-2683.3128092763232</v>
      </c>
      <c r="W157" s="85">
        <f t="shared" si="98"/>
        <v>-3040.7971485891985</v>
      </c>
      <c r="X157" s="90">
        <f t="shared" si="99"/>
        <v>2683.3128092763232</v>
      </c>
      <c r="Y157" s="86">
        <f t="shared" si="100"/>
        <v>19428.117490000001</v>
      </c>
      <c r="Z157" s="85">
        <f t="shared" si="101"/>
        <v>-832.16398485565549</v>
      </c>
      <c r="AA157" s="85">
        <f t="shared" si="102"/>
        <v>1882.3483690711491</v>
      </c>
      <c r="AB157" s="90">
        <f t="shared" si="103"/>
        <v>832.16398485565549</v>
      </c>
      <c r="AC157" s="86">
        <f t="shared" si="104"/>
        <v>7457.25623</v>
      </c>
      <c r="AD157" s="85">
        <f t="shared" si="105"/>
        <v>2598.140025222212</v>
      </c>
      <c r="AE157" s="85">
        <f t="shared" si="106"/>
        <v>2941.4782138345695</v>
      </c>
      <c r="AF157" s="90">
        <f t="shared" si="107"/>
        <v>2598.140025222212</v>
      </c>
      <c r="AG157" s="86">
        <f t="shared" si="108"/>
        <v>-18911.923429999999</v>
      </c>
      <c r="AH157" s="85">
        <f t="shared" si="109"/>
        <v>6183.1314163678471</v>
      </c>
      <c r="AI157" s="85">
        <f t="shared" si="110"/>
        <v>-12932.076247813564</v>
      </c>
      <c r="AJ157" s="90">
        <f t="shared" si="111"/>
        <v>6183.1314163678471</v>
      </c>
      <c r="AL157" s="95">
        <f t="shared" si="112"/>
        <v>0</v>
      </c>
      <c r="AM157" s="95">
        <f t="shared" si="113"/>
        <v>0</v>
      </c>
      <c r="AN157" s="95">
        <f t="shared" si="114"/>
        <v>0</v>
      </c>
      <c r="AO157" s="95">
        <f t="shared" si="115"/>
        <v>0</v>
      </c>
      <c r="AP157"/>
      <c r="AQ157" s="95">
        <f t="shared" si="116"/>
        <v>0</v>
      </c>
      <c r="AR157" s="95">
        <f t="shared" si="117"/>
        <v>0</v>
      </c>
      <c r="AS157" s="95">
        <f>Geraetedaten!$B$94*ABS(SIN(RADIANS($A157)))</f>
        <v>135.97392930027473</v>
      </c>
      <c r="AT157" s="95">
        <f>Geraetedaten!$B$94*ABS(COS(RADIANS($A157)))</f>
        <v>72.298620669027201</v>
      </c>
      <c r="AU157" s="95">
        <f>((h_Aw_Sw+Geraetedaten!$B$18)/1000)*(AQ157*AS157+AR157*AT157)/100</f>
        <v>0</v>
      </c>
    </row>
    <row r="158" spans="1:47" ht="13.5" x14ac:dyDescent="0.25">
      <c r="A158" s="16">
        <v>119</v>
      </c>
      <c r="B158" s="16">
        <f t="shared" si="59"/>
        <v>331</v>
      </c>
      <c r="C158" s="19">
        <f t="shared" si="60"/>
        <v>70.098936739242859</v>
      </c>
      <c r="D158" s="17">
        <f t="shared" si="61"/>
        <v>-7737.515556739243</v>
      </c>
      <c r="E158" s="17">
        <f t="shared" si="62"/>
        <v>18696.357823260758</v>
      </c>
      <c r="F158" s="17">
        <f t="shared" si="63"/>
        <v>7458.0438132607569</v>
      </c>
      <c r="G158" s="17">
        <f t="shared" si="64"/>
        <v>-18397.257456739244</v>
      </c>
      <c r="H158" s="17">
        <f t="shared" si="92"/>
        <v>7458.0438132607569</v>
      </c>
      <c r="I158" s="17">
        <f t="shared" si="65"/>
        <v>2969.4390526660436</v>
      </c>
      <c r="J158" s="20">
        <f>(Geraetedaten!$B$152+(Geraetedaten!$B$153*(Geraetedaten!$B$18+d_y_Sw)/1000))*10</f>
        <v>6051.0442000000003</v>
      </c>
      <c r="K158" s="20">
        <f>(Geraetedaten!$B$165+(Geraetedaten!$B$166*(Geraetedaten!$B$18+d_y_Sw)/1000))*10</f>
        <v>10816.164000000001</v>
      </c>
      <c r="L158" s="20">
        <f>(Geraetedaten!$B$158+(Geraetedaten!$B$159*(Geraetedaten!$B$18+d_y_Sw)/1000)-(Geraetedaten!$B$160*I158/1000))*10</f>
        <v>383.78763426799878</v>
      </c>
      <c r="M158" s="20">
        <f>(Geraetedaten!$B$171+(Geraetedaten!$B$172*(Geraetedaten!$B$18+d_y_Sw)/1000)-(Geraetedaten!$B$173*I158/1000))*10</f>
        <v>843.82195691954064</v>
      </c>
      <c r="N158" s="20">
        <f>IF((H158-J158)/(K158-J158)*(Geraetedaten!$B$174-Geraetedaten!$B$161)&lt;Geraetedaten!$B$174,(H158-J158)/(K158-J158)*(Geraetedaten!$B$174-Geraetedaten!$B$161),Geraetedaten!$B$174)</f>
        <v>118.1082258003886</v>
      </c>
      <c r="O158" s="20">
        <f>N158/Geraetedaten!$B$174*(M158-L158)+L158+C158</f>
        <v>589.72116514638446</v>
      </c>
      <c r="P158" s="20">
        <f t="shared" si="66"/>
        <v>202.10368730593345</v>
      </c>
      <c r="Q158" s="21">
        <f>(N158-Geraetedaten!$B$161)/(Geraetedaten!$B$174-Geraetedaten!$B$161)*(Geraetedaten!$B$175-Geraetedaten!$B$162)+Geraetedaten!$B$162</f>
        <v>32.71371971756156</v>
      </c>
      <c r="R158" s="21">
        <f t="shared" si="93"/>
        <v>32.71371971756156</v>
      </c>
      <c r="S158" s="21">
        <f t="shared" si="94"/>
        <v>28.61206395881397</v>
      </c>
      <c r="T158" s="88">
        <f t="shared" si="95"/>
        <v>-15.859926033116126</v>
      </c>
      <c r="U158" s="86">
        <f t="shared" si="96"/>
        <v>-7667.41662</v>
      </c>
      <c r="V158" s="85">
        <f t="shared" si="97"/>
        <v>-2683.3128092763232</v>
      </c>
      <c r="W158" s="85">
        <f t="shared" si="98"/>
        <v>-3069.8261505121818</v>
      </c>
      <c r="X158" s="90">
        <f t="shared" si="99"/>
        <v>2683.3128092763232</v>
      </c>
      <c r="Y158" s="86">
        <f t="shared" si="100"/>
        <v>18766.456760000001</v>
      </c>
      <c r="Z158" s="85">
        <f t="shared" si="101"/>
        <v>-832.16398485565549</v>
      </c>
      <c r="AA158" s="85">
        <f t="shared" si="102"/>
        <v>1818.2414887356049</v>
      </c>
      <c r="AB158" s="90">
        <f t="shared" si="103"/>
        <v>832.16398485565549</v>
      </c>
      <c r="AC158" s="86">
        <f t="shared" si="104"/>
        <v>7528.14275</v>
      </c>
      <c r="AD158" s="85">
        <f t="shared" si="105"/>
        <v>2598.140025222212</v>
      </c>
      <c r="AE158" s="85">
        <f t="shared" si="106"/>
        <v>2969.4390526660436</v>
      </c>
      <c r="AF158" s="90">
        <f t="shared" si="107"/>
        <v>2598.140025222212</v>
      </c>
      <c r="AG158" s="86">
        <f t="shared" si="108"/>
        <v>-18327.158520000001</v>
      </c>
      <c r="AH158" s="85">
        <f t="shared" si="109"/>
        <v>6183.1314163678471</v>
      </c>
      <c r="AI158" s="85">
        <f t="shared" si="110"/>
        <v>-12532.210821832728</v>
      </c>
      <c r="AJ158" s="90">
        <f t="shared" si="111"/>
        <v>6183.1314163678471</v>
      </c>
      <c r="AL158" s="95">
        <f t="shared" si="112"/>
        <v>0</v>
      </c>
      <c r="AM158" s="95">
        <f t="shared" si="113"/>
        <v>0</v>
      </c>
      <c r="AN158" s="95">
        <f t="shared" si="114"/>
        <v>0</v>
      </c>
      <c r="AO158" s="95">
        <f t="shared" si="115"/>
        <v>0</v>
      </c>
      <c r="AP158"/>
      <c r="AQ158" s="95">
        <f t="shared" si="116"/>
        <v>0</v>
      </c>
      <c r="AR158" s="95">
        <f t="shared" si="117"/>
        <v>0</v>
      </c>
      <c r="AS158" s="95">
        <f>Geraetedaten!$B$94*ABS(SIN(RADIANS($A158)))</f>
        <v>134.69143489946697</v>
      </c>
      <c r="AT158" s="95">
        <f>Geraetedaten!$B$94*ABS(COS(RADIANS($A158)))</f>
        <v>74.660681517935899</v>
      </c>
      <c r="AU158" s="95">
        <f>((h_Aw_Sw+Geraetedaten!$B$18)/1000)*(AQ158*AS158+AR158*AT158)/100</f>
        <v>0</v>
      </c>
    </row>
    <row r="159" spans="1:47" ht="13.5" x14ac:dyDescent="0.25">
      <c r="A159" s="16">
        <v>120</v>
      </c>
      <c r="B159" s="16">
        <f t="shared" si="59"/>
        <v>330</v>
      </c>
      <c r="C159" s="19">
        <f t="shared" si="60"/>
        <v>70.007688962233885</v>
      </c>
      <c r="D159" s="17">
        <f t="shared" si="61"/>
        <v>-7813.7084289622344</v>
      </c>
      <c r="E159" s="17">
        <f t="shared" si="62"/>
        <v>18083.719861037767</v>
      </c>
      <c r="F159" s="17">
        <f t="shared" si="63"/>
        <v>7532.7202510377656</v>
      </c>
      <c r="G159" s="17">
        <f t="shared" si="64"/>
        <v>-17852.733388962231</v>
      </c>
      <c r="H159" s="17">
        <f t="shared" si="92"/>
        <v>7532.7202510377656</v>
      </c>
      <c r="I159" s="17">
        <f t="shared" si="65"/>
        <v>2998.8588163095251</v>
      </c>
      <c r="J159" s="20">
        <f>(Geraetedaten!$B$152+(Geraetedaten!$B$153*(Geraetedaten!$B$18+d_y_Sw)/1000))*10</f>
        <v>6051.0442000000003</v>
      </c>
      <c r="K159" s="20">
        <f>(Geraetedaten!$B$165+(Geraetedaten!$B$166*(Geraetedaten!$B$18+d_y_Sw)/1000))*10</f>
        <v>10816.164000000001</v>
      </c>
      <c r="L159" s="20">
        <f>(Geraetedaten!$B$158+(Geraetedaten!$B$159*(Geraetedaten!$B$18+d_y_Sw)/1000)-(Geraetedaten!$B$160*I159/1000))*10</f>
        <v>381.6302830000223</v>
      </c>
      <c r="M159" s="20">
        <f>(Geraetedaten!$B$171+(Geraetedaten!$B$172*(Geraetedaten!$B$18+d_y_Sw)/1000)-(Geraetedaten!$B$173*I159/1000))*10</f>
        <v>841.63194971391988</v>
      </c>
      <c r="N159" s="20">
        <f>IF((H159-J159)/(K159-J159)*(Geraetedaten!$B$174-Geraetedaten!$B$161)&lt;Geraetedaten!$B$174,(H159-J159)/(K159-J159)*(Geraetedaten!$B$174-Geraetedaten!$B$161),Geraetedaten!$B$174)</f>
        <v>124.37681428599257</v>
      </c>
      <c r="O159" s="20">
        <f>N159/Geraetedaten!$B$174*(M159-L159)+L159+C159</f>
        <v>594.67182664255984</v>
      </c>
      <c r="P159" s="20">
        <f t="shared" si="66"/>
        <v>202.72977546931469</v>
      </c>
      <c r="Q159" s="21">
        <f>(N159-Geraetedaten!$B$161)/(Geraetedaten!$B$174-Geraetedaten!$B$161)*(Geraetedaten!$B$175-Geraetedaten!$B$162)+Geraetedaten!$B$162</f>
        <v>32.90021022500828</v>
      </c>
      <c r="R159" s="21">
        <f t="shared" si="93"/>
        <v>32.90021022500828</v>
      </c>
      <c r="S159" s="21">
        <f t="shared" si="94"/>
        <v>28.492417844705713</v>
      </c>
      <c r="T159" s="88">
        <f t="shared" si="95"/>
        <v>-16.450105112504133</v>
      </c>
      <c r="U159" s="86">
        <f t="shared" si="96"/>
        <v>-7743.7007400000002</v>
      </c>
      <c r="V159" s="85">
        <f t="shared" si="97"/>
        <v>-2683.3128092763232</v>
      </c>
      <c r="W159" s="85">
        <f t="shared" si="98"/>
        <v>-3100.3682507912731</v>
      </c>
      <c r="X159" s="90">
        <f t="shared" si="99"/>
        <v>2683.3128092763232</v>
      </c>
      <c r="Y159" s="86">
        <f t="shared" si="100"/>
        <v>18153.72755</v>
      </c>
      <c r="Z159" s="85">
        <f t="shared" si="101"/>
        <v>-832.16398485565549</v>
      </c>
      <c r="AA159" s="85">
        <f t="shared" si="102"/>
        <v>1758.8754782247627</v>
      </c>
      <c r="AB159" s="90">
        <f t="shared" si="103"/>
        <v>832.16398485565549</v>
      </c>
      <c r="AC159" s="86">
        <f t="shared" si="104"/>
        <v>7602.7279399999998</v>
      </c>
      <c r="AD159" s="85">
        <f t="shared" si="105"/>
        <v>2598.140025222212</v>
      </c>
      <c r="AE159" s="85">
        <f t="shared" si="106"/>
        <v>2998.8588163095251</v>
      </c>
      <c r="AF159" s="90">
        <f t="shared" si="107"/>
        <v>2598.140025222212</v>
      </c>
      <c r="AG159" s="86">
        <f t="shared" si="108"/>
        <v>-17782.725699999999</v>
      </c>
      <c r="AH159" s="85">
        <f t="shared" si="109"/>
        <v>6183.1314163678471</v>
      </c>
      <c r="AI159" s="85">
        <f t="shared" si="110"/>
        <v>-12159.924688969242</v>
      </c>
      <c r="AJ159" s="90">
        <f t="shared" si="111"/>
        <v>6183.1314163678471</v>
      </c>
      <c r="AL159" s="95">
        <f t="shared" si="112"/>
        <v>0</v>
      </c>
      <c r="AM159" s="95">
        <f t="shared" si="113"/>
        <v>0</v>
      </c>
      <c r="AN159" s="95">
        <f t="shared" si="114"/>
        <v>0</v>
      </c>
      <c r="AO159" s="95">
        <f t="shared" si="115"/>
        <v>0</v>
      </c>
      <c r="AP159"/>
      <c r="AQ159" s="95">
        <f t="shared" si="116"/>
        <v>0</v>
      </c>
      <c r="AR159" s="95">
        <f t="shared" si="117"/>
        <v>0</v>
      </c>
      <c r="AS159" s="95">
        <f>Geraetedaten!$B$94*ABS(SIN(RADIANS($A159)))</f>
        <v>133.36791218280356</v>
      </c>
      <c r="AT159" s="95">
        <f>Geraetedaten!$B$94*ABS(COS(RADIANS($A159)))</f>
        <v>76.999999999999972</v>
      </c>
      <c r="AU159" s="95">
        <f>((h_Aw_Sw+Geraetedaten!$B$18)/1000)*(AQ159*AS159+AR159*AT159)/100</f>
        <v>0</v>
      </c>
    </row>
    <row r="160" spans="1:47" ht="13.5" x14ac:dyDescent="0.25">
      <c r="A160" s="16">
        <v>121</v>
      </c>
      <c r="B160" s="16">
        <f t="shared" si="59"/>
        <v>329</v>
      </c>
      <c r="C160" s="19">
        <f t="shared" si="60"/>
        <v>69.895116164987314</v>
      </c>
      <c r="D160" s="17">
        <f t="shared" si="61"/>
        <v>-7893.8203561649871</v>
      </c>
      <c r="E160" s="17">
        <f t="shared" si="62"/>
        <v>17515.036823835013</v>
      </c>
      <c r="F160" s="17">
        <f t="shared" si="63"/>
        <v>7611.2738838350124</v>
      </c>
      <c r="G160" s="17">
        <f t="shared" si="64"/>
        <v>-17344.711306164987</v>
      </c>
      <c r="H160" s="17">
        <f t="shared" si="92"/>
        <v>7611.2738838350124</v>
      </c>
      <c r="I160" s="17">
        <f t="shared" si="65"/>
        <v>3029.7995083883684</v>
      </c>
      <c r="J160" s="20">
        <f>(Geraetedaten!$B$152+(Geraetedaten!$B$153*(Geraetedaten!$B$18+d_y_Sw)/1000))*10</f>
        <v>6051.0442000000003</v>
      </c>
      <c r="K160" s="20">
        <f>(Geraetedaten!$B$165+(Geraetedaten!$B$166*(Geraetedaten!$B$18+d_y_Sw)/1000))*10</f>
        <v>10816.164000000001</v>
      </c>
      <c r="L160" s="20">
        <f>(Geraetedaten!$B$158+(Geraetedaten!$B$159*(Geraetedaten!$B$18+d_y_Sw)/1000)-(Geraetedaten!$B$160*I160/1000))*10</f>
        <v>379.36140204988078</v>
      </c>
      <c r="M160" s="20">
        <f>(Geraetedaten!$B$171+(Geraetedaten!$B$172*(Geraetedaten!$B$18+d_y_Sw)/1000)-(Geraetedaten!$B$173*I160/1000))*10</f>
        <v>839.32872459557075</v>
      </c>
      <c r="N160" s="20">
        <f>IF((H160-J160)/(K160-J160)*(Geraetedaten!$B$174-Geraetedaten!$B$161)&lt;Geraetedaten!$B$174,(H160-J160)/(K160-J160)*(Geraetedaten!$B$174-Geraetedaten!$B$161),Geraetedaten!$B$174)</f>
        <v>130.97086741324003</v>
      </c>
      <c r="O160" s="20">
        <f>N160/Geraetedaten!$B$174*(M160-L160)+L160+C160</f>
        <v>599.86231625375444</v>
      </c>
      <c r="P160" s="20">
        <f t="shared" si="66"/>
        <v>203.37543128559997</v>
      </c>
      <c r="Q160" s="21">
        <f>(N160-Geraetedaten!$B$161)/(Geraetedaten!$B$174-Geraetedaten!$B$161)*(Geraetedaten!$B$175-Geraetedaten!$B$162)+Geraetedaten!$B$162</f>
        <v>33.096383305543888</v>
      </c>
      <c r="R160" s="21">
        <f t="shared" si="93"/>
        <v>33.096383305543888</v>
      </c>
      <c r="S160" s="21">
        <f t="shared" si="94"/>
        <v>28.369137541015508</v>
      </c>
      <c r="T160" s="88">
        <f t="shared" si="95"/>
        <v>-17.045897544172583</v>
      </c>
      <c r="U160" s="86">
        <f t="shared" si="96"/>
        <v>-7823.9252399999996</v>
      </c>
      <c r="V160" s="85">
        <f t="shared" si="97"/>
        <v>-2683.3128092763232</v>
      </c>
      <c r="W160" s="85">
        <f t="shared" si="98"/>
        <v>-3132.4879678339757</v>
      </c>
      <c r="X160" s="90">
        <f t="shared" si="99"/>
        <v>2683.3128092763232</v>
      </c>
      <c r="Y160" s="86">
        <f t="shared" si="100"/>
        <v>17584.931939999999</v>
      </c>
      <c r="Z160" s="85">
        <f t="shared" si="101"/>
        <v>-832.16398485565549</v>
      </c>
      <c r="AA160" s="85">
        <f t="shared" si="102"/>
        <v>1703.7660996411923</v>
      </c>
      <c r="AB160" s="90">
        <f t="shared" si="103"/>
        <v>832.16398485565549</v>
      </c>
      <c r="AC160" s="86">
        <f t="shared" si="104"/>
        <v>7681.1689999999999</v>
      </c>
      <c r="AD160" s="85">
        <f t="shared" si="105"/>
        <v>2598.140025222212</v>
      </c>
      <c r="AE160" s="85">
        <f t="shared" si="106"/>
        <v>3029.7995083883684</v>
      </c>
      <c r="AF160" s="90">
        <f t="shared" si="107"/>
        <v>2598.140025222212</v>
      </c>
      <c r="AG160" s="86">
        <f t="shared" si="108"/>
        <v>-17274.816190000001</v>
      </c>
      <c r="AH160" s="85">
        <f t="shared" si="109"/>
        <v>6183.1314163678471</v>
      </c>
      <c r="AI160" s="85">
        <f t="shared" si="110"/>
        <v>-11812.613399266238</v>
      </c>
      <c r="AJ160" s="90">
        <f t="shared" si="111"/>
        <v>6183.1314163678471</v>
      </c>
      <c r="AL160" s="95">
        <f t="shared" si="112"/>
        <v>0</v>
      </c>
      <c r="AM160" s="95">
        <f t="shared" si="113"/>
        <v>0</v>
      </c>
      <c r="AN160" s="95">
        <f t="shared" si="114"/>
        <v>0</v>
      </c>
      <c r="AO160" s="95">
        <f t="shared" si="115"/>
        <v>0</v>
      </c>
      <c r="AP160"/>
      <c r="AQ160" s="95">
        <f t="shared" si="116"/>
        <v>0</v>
      </c>
      <c r="AR160" s="95">
        <f t="shared" si="117"/>
        <v>0</v>
      </c>
      <c r="AS160" s="95">
        <f>Geraetedaten!$B$94*ABS(SIN(RADIANS($A160)))</f>
        <v>132.00376430812531</v>
      </c>
      <c r="AT160" s="95">
        <f>Geraetedaten!$B$94*ABS(COS(RADIANS($A160)))</f>
        <v>79.315863536148356</v>
      </c>
      <c r="AU160" s="95">
        <f>((h_Aw_Sw+Geraetedaten!$B$18)/1000)*(AQ160*AS160+AR160*AT160)/100</f>
        <v>0</v>
      </c>
    </row>
    <row r="161" spans="1:47" ht="13.5" x14ac:dyDescent="0.25">
      <c r="A161" s="16">
        <v>122</v>
      </c>
      <c r="B161" s="16">
        <f t="shared" si="59"/>
        <v>328</v>
      </c>
      <c r="C161" s="19">
        <f t="shared" si="60"/>
        <v>69.761252638267678</v>
      </c>
      <c r="D161" s="17">
        <f t="shared" si="61"/>
        <v>-7978.0247826382674</v>
      </c>
      <c r="E161" s="17">
        <f t="shared" si="62"/>
        <v>16985.97293736173</v>
      </c>
      <c r="F161" s="17">
        <f t="shared" si="63"/>
        <v>7693.8738473617332</v>
      </c>
      <c r="G161" s="17">
        <f t="shared" si="64"/>
        <v>-16869.851392638269</v>
      </c>
      <c r="H161" s="17">
        <f t="shared" si="92"/>
        <v>7693.8738473617332</v>
      </c>
      <c r="I161" s="17">
        <f t="shared" si="65"/>
        <v>3062.3278563033373</v>
      </c>
      <c r="J161" s="20">
        <f>(Geraetedaten!$B$152+(Geraetedaten!$B$153*(Geraetedaten!$B$18+d_y_Sw)/1000))*10</f>
        <v>6051.0442000000003</v>
      </c>
      <c r="K161" s="20">
        <f>(Geraetedaten!$B$165+(Geraetedaten!$B$166*(Geraetedaten!$B$18+d_y_Sw)/1000))*10</f>
        <v>10816.164000000001</v>
      </c>
      <c r="L161" s="20">
        <f>(Geraetedaten!$B$158+(Geraetedaten!$B$159*(Geraetedaten!$B$18+d_y_Sw)/1000)-(Geraetedaten!$B$160*I161/1000))*10</f>
        <v>376.97609829727611</v>
      </c>
      <c r="M161" s="20">
        <f>(Geraetedaten!$B$171+(Geraetedaten!$B$172*(Geraetedaten!$B$18+d_y_Sw)/1000)-(Geraetedaten!$B$173*I161/1000))*10</f>
        <v>836.9073143767805</v>
      </c>
      <c r="N161" s="20">
        <f>IF((H161-J161)/(K161-J161)*(Geraetedaten!$B$174-Geraetedaten!$B$161)&lt;Geraetedaten!$B$174,(H161-J161)/(K161-J161)*(Geraetedaten!$B$174-Geraetedaten!$B$161),Geraetedaten!$B$174)</f>
        <v>137.90458299593917</v>
      </c>
      <c r="O161" s="20">
        <f>N161/Geraetedaten!$B$174*(M161-L161)+L161+C161</f>
        <v>605.30390733619197</v>
      </c>
      <c r="P161" s="20">
        <f t="shared" si="66"/>
        <v>204.04121162409226</v>
      </c>
      <c r="Q161" s="21">
        <f>(N161-Geraetedaten!$B$161)/(Geraetedaten!$B$174-Geraetedaten!$B$161)*(Geraetedaten!$B$175-Geraetedaten!$B$162)+Geraetedaten!$B$162</f>
        <v>33.302661344129191</v>
      </c>
      <c r="R161" s="21">
        <f t="shared" si="93"/>
        <v>33.302661344129191</v>
      </c>
      <c r="S161" s="21">
        <f t="shared" si="94"/>
        <v>28.242258549830964</v>
      </c>
      <c r="T161" s="88">
        <f t="shared" si="95"/>
        <v>-17.647721796488533</v>
      </c>
      <c r="U161" s="86">
        <f t="shared" si="96"/>
        <v>-7908.2635300000002</v>
      </c>
      <c r="V161" s="85">
        <f t="shared" si="97"/>
        <v>-2683.3128092763232</v>
      </c>
      <c r="W161" s="85">
        <f t="shared" si="98"/>
        <v>-3166.254738673365</v>
      </c>
      <c r="X161" s="90">
        <f t="shared" si="99"/>
        <v>2683.3128092763232</v>
      </c>
      <c r="Y161" s="86">
        <f t="shared" si="100"/>
        <v>17055.734189999999</v>
      </c>
      <c r="Z161" s="85">
        <f t="shared" si="101"/>
        <v>-832.16398485565549</v>
      </c>
      <c r="AA161" s="85">
        <f t="shared" si="102"/>
        <v>1652.4932714848505</v>
      </c>
      <c r="AB161" s="90">
        <f t="shared" si="103"/>
        <v>832.16398485565549</v>
      </c>
      <c r="AC161" s="86">
        <f t="shared" si="104"/>
        <v>7763.6351000000004</v>
      </c>
      <c r="AD161" s="85">
        <f t="shared" si="105"/>
        <v>2598.140025222212</v>
      </c>
      <c r="AE161" s="85">
        <f t="shared" si="106"/>
        <v>3062.3278563033373</v>
      </c>
      <c r="AF161" s="90">
        <f t="shared" si="107"/>
        <v>2598.140025222212</v>
      </c>
      <c r="AG161" s="86">
        <f t="shared" si="108"/>
        <v>-16800.09014</v>
      </c>
      <c r="AH161" s="85">
        <f t="shared" si="109"/>
        <v>6183.1314163678471</v>
      </c>
      <c r="AI161" s="85">
        <f t="shared" si="110"/>
        <v>-11487.993145814649</v>
      </c>
      <c r="AJ161" s="90">
        <f t="shared" si="111"/>
        <v>6183.1314163678471</v>
      </c>
      <c r="AL161" s="95">
        <f t="shared" si="112"/>
        <v>0</v>
      </c>
      <c r="AM161" s="95">
        <f t="shared" si="113"/>
        <v>0</v>
      </c>
      <c r="AN161" s="95">
        <f t="shared" si="114"/>
        <v>0</v>
      </c>
      <c r="AO161" s="95">
        <f t="shared" si="115"/>
        <v>0</v>
      </c>
      <c r="AP161"/>
      <c r="AQ161" s="95">
        <f t="shared" si="116"/>
        <v>0</v>
      </c>
      <c r="AR161" s="95">
        <f t="shared" si="117"/>
        <v>0</v>
      </c>
      <c r="AS161" s="95">
        <f>Geraetedaten!$B$94*ABS(SIN(RADIANS($A161)))</f>
        <v>130.59940680808961</v>
      </c>
      <c r="AT161" s="95">
        <f>Geraetedaten!$B$94*ABS(COS(RADIANS($A161)))</f>
        <v>81.607566691913533</v>
      </c>
      <c r="AU161" s="95">
        <f>((h_Aw_Sw+Geraetedaten!$B$18)/1000)*(AQ161*AS161+AR161*AT161)/100</f>
        <v>0</v>
      </c>
    </row>
    <row r="162" spans="1:47" ht="13.5" x14ac:dyDescent="0.25">
      <c r="A162" s="16">
        <v>123</v>
      </c>
      <c r="B162" s="16">
        <f t="shared" si="59"/>
        <v>327</v>
      </c>
      <c r="C162" s="19">
        <f t="shared" si="60"/>
        <v>69.606139158202012</v>
      </c>
      <c r="D162" s="17">
        <f t="shared" si="61"/>
        <v>-8066.5085091582014</v>
      </c>
      <c r="E162" s="17">
        <f t="shared" si="62"/>
        <v>16492.748600841798</v>
      </c>
      <c r="F162" s="17">
        <f t="shared" si="63"/>
        <v>7780.7022408417988</v>
      </c>
      <c r="G162" s="17">
        <f t="shared" si="64"/>
        <v>-16425.212939158202</v>
      </c>
      <c r="H162" s="17">
        <f t="shared" si="92"/>
        <v>7780.7022408417988</v>
      </c>
      <c r="I162" s="17">
        <f t="shared" si="65"/>
        <v>3096.515707267582</v>
      </c>
      <c r="J162" s="20">
        <f>(Geraetedaten!$B$152+(Geraetedaten!$B$153*(Geraetedaten!$B$18+d_y_Sw)/1000))*10</f>
        <v>6051.0442000000003</v>
      </c>
      <c r="K162" s="20">
        <f>(Geraetedaten!$B$165+(Geraetedaten!$B$166*(Geraetedaten!$B$18+d_y_Sw)/1000))*10</f>
        <v>10816.164000000001</v>
      </c>
      <c r="L162" s="20">
        <f>(Geraetedaten!$B$158+(Geraetedaten!$B$159*(Geraetedaten!$B$18+d_y_Sw)/1000)-(Geraetedaten!$B$160*I162/1000))*10</f>
        <v>374.46910318606797</v>
      </c>
      <c r="M162" s="20">
        <f>(Geraetedaten!$B$171+(Geraetedaten!$B$172*(Geraetedaten!$B$18+d_y_Sw)/1000)-(Geraetedaten!$B$173*I162/1000))*10</f>
        <v>834.36237075100212</v>
      </c>
      <c r="N162" s="20">
        <f>IF((H162-J162)/(K162-J162)*(Geraetedaten!$B$174-Geraetedaten!$B$161)&lt;Geraetedaten!$B$174,(H162-J162)/(K162-J162)*(Geraetedaten!$B$174-Geraetedaten!$B$161),Geraetedaten!$B$174)</f>
        <v>145.19324704842035</v>
      </c>
      <c r="O162" s="20">
        <f>N162/Geraetedaten!$B$174*(M162-L162)+L162+C162</f>
        <v>611.00873437792188</v>
      </c>
      <c r="P162" s="20">
        <f t="shared" si="66"/>
        <v>204.7277015960687</v>
      </c>
      <c r="Q162" s="21">
        <f>(N162-Geraetedaten!$B$161)/(Geraetedaten!$B$174-Geraetedaten!$B$161)*(Geraetedaten!$B$175-Geraetedaten!$B$162)+Geraetedaten!$B$162</f>
        <v>33.519499099690506</v>
      </c>
      <c r="R162" s="21">
        <f t="shared" si="93"/>
        <v>33.519499099690506</v>
      </c>
      <c r="S162" s="21">
        <f t="shared" si="94"/>
        <v>28.111817347183564</v>
      </c>
      <c r="T162" s="88">
        <f t="shared" si="95"/>
        <v>-18.256027643842508</v>
      </c>
      <c r="U162" s="86">
        <f t="shared" si="96"/>
        <v>-7996.9023699999998</v>
      </c>
      <c r="V162" s="85">
        <f t="shared" si="97"/>
        <v>-2683.3128092763232</v>
      </c>
      <c r="W162" s="85">
        <f t="shared" si="98"/>
        <v>-3201.7433323314508</v>
      </c>
      <c r="X162" s="90">
        <f t="shared" si="99"/>
        <v>2683.3128092763232</v>
      </c>
      <c r="Y162" s="86">
        <f t="shared" si="100"/>
        <v>16562.354739999999</v>
      </c>
      <c r="Z162" s="85">
        <f t="shared" si="101"/>
        <v>-832.16398485565549</v>
      </c>
      <c r="AA162" s="85">
        <f t="shared" si="102"/>
        <v>1604.6908017468954</v>
      </c>
      <c r="AB162" s="90">
        <f t="shared" si="103"/>
        <v>832.16398485565549</v>
      </c>
      <c r="AC162" s="86">
        <f t="shared" si="104"/>
        <v>7850.3083800000004</v>
      </c>
      <c r="AD162" s="85">
        <f t="shared" si="105"/>
        <v>2598.140025222212</v>
      </c>
      <c r="AE162" s="85">
        <f t="shared" si="106"/>
        <v>3096.515707267582</v>
      </c>
      <c r="AF162" s="90">
        <f t="shared" si="107"/>
        <v>2598.140025222212</v>
      </c>
      <c r="AG162" s="86">
        <f t="shared" si="108"/>
        <v>-16355.6068</v>
      </c>
      <c r="AH162" s="85">
        <f t="shared" si="109"/>
        <v>6183.1314163678471</v>
      </c>
      <c r="AI162" s="85">
        <f t="shared" si="110"/>
        <v>-11184.053015408992</v>
      </c>
      <c r="AJ162" s="90">
        <f t="shared" si="111"/>
        <v>6183.1314163678471</v>
      </c>
      <c r="AL162" s="95">
        <f t="shared" si="112"/>
        <v>0</v>
      </c>
      <c r="AM162" s="95">
        <f t="shared" si="113"/>
        <v>0</v>
      </c>
      <c r="AN162" s="95">
        <f t="shared" si="114"/>
        <v>0</v>
      </c>
      <c r="AO162" s="95">
        <f t="shared" si="115"/>
        <v>0</v>
      </c>
      <c r="AP162"/>
      <c r="AQ162" s="95">
        <f t="shared" si="116"/>
        <v>0</v>
      </c>
      <c r="AR162" s="95">
        <f t="shared" si="117"/>
        <v>0</v>
      </c>
      <c r="AS162" s="95">
        <f>Geraetedaten!$B$94*ABS(SIN(RADIANS($A162)))</f>
        <v>129.15526746359529</v>
      </c>
      <c r="AT162" s="95">
        <f>Geraetedaten!$B$94*ABS(COS(RADIANS($A162)))</f>
        <v>83.874411392314173</v>
      </c>
      <c r="AU162" s="95">
        <f>((h_Aw_Sw+Geraetedaten!$B$18)/1000)*(AQ162*AS162+AR162*AT162)/100</f>
        <v>0</v>
      </c>
    </row>
    <row r="163" spans="1:47" ht="13.5" x14ac:dyDescent="0.25">
      <c r="A163" s="16">
        <v>124</v>
      </c>
      <c r="B163" s="16">
        <f t="shared" si="59"/>
        <v>326</v>
      </c>
      <c r="C163" s="19">
        <f t="shared" si="60"/>
        <v>69.429822973858933</v>
      </c>
      <c r="D163" s="17">
        <f t="shared" si="61"/>
        <v>-8159.4727929738592</v>
      </c>
      <c r="E163" s="17">
        <f t="shared" si="62"/>
        <v>16032.05418702614</v>
      </c>
      <c r="F163" s="17">
        <f t="shared" si="63"/>
        <v>7871.9552570261412</v>
      </c>
      <c r="G163" s="17">
        <f t="shared" si="64"/>
        <v>-16008.19659297386</v>
      </c>
      <c r="H163" s="17">
        <f t="shared" si="92"/>
        <v>7871.9552570261412</v>
      </c>
      <c r="I163" s="17">
        <f t="shared" si="65"/>
        <v>3132.4404676575368</v>
      </c>
      <c r="J163" s="20">
        <f>(Geraetedaten!$B$152+(Geraetedaten!$B$153*(Geraetedaten!$B$18+d_y_Sw)/1000))*10</f>
        <v>6051.0442000000003</v>
      </c>
      <c r="K163" s="20">
        <f>(Geraetedaten!$B$165+(Geraetedaten!$B$166*(Geraetedaten!$B$18+d_y_Sw)/1000))*10</f>
        <v>10816.164000000001</v>
      </c>
      <c r="L163" s="20">
        <f>(Geraetedaten!$B$158+(Geraetedaten!$B$159*(Geraetedaten!$B$18+d_y_Sw)/1000)-(Geraetedaten!$B$160*I163/1000))*10</f>
        <v>371.83474050667257</v>
      </c>
      <c r="M163" s="20">
        <f>(Geraetedaten!$B$171+(Geraetedaten!$B$172*(Geraetedaten!$B$18+d_y_Sw)/1000)-(Geraetedaten!$B$173*I163/1000))*10</f>
        <v>831.68813158757393</v>
      </c>
      <c r="N163" s="20">
        <f>IF((H163-J163)/(K163-J163)*(Geraetedaten!$B$174-Geraetedaten!$B$161)&lt;Geraetedaten!$B$174,(H163-J163)/(K163-J163)*(Geraetedaten!$B$174-Geraetedaten!$B$161),Geraetedaten!$B$174)</f>
        <v>152.85332864253618</v>
      </c>
      <c r="O163" s="20">
        <f>N163/Geraetedaten!$B$174*(M163-L163)+L163+C163</f>
        <v>616.98986726621581</v>
      </c>
      <c r="P163" s="20">
        <f t="shared" si="66"/>
        <v>205.43551530759953</v>
      </c>
      <c r="Q163" s="21">
        <f>(N163-Geraetedaten!$B$161)/(Geraetedaten!$B$174-Geraetedaten!$B$161)*(Geraetedaten!$B$175-Geraetedaten!$B$162)+Geraetedaten!$B$162</f>
        <v>33.747386527115452</v>
      </c>
      <c r="R163" s="21">
        <f t="shared" si="93"/>
        <v>33.747386527115452</v>
      </c>
      <c r="S163" s="21">
        <f t="shared" si="94"/>
        <v>27.977851406516514</v>
      </c>
      <c r="T163" s="88">
        <f t="shared" si="95"/>
        <v>-18.871299056647249</v>
      </c>
      <c r="U163" s="86">
        <f t="shared" si="96"/>
        <v>-8090.0429700000004</v>
      </c>
      <c r="V163" s="85">
        <f t="shared" si="97"/>
        <v>-2683.3128092763232</v>
      </c>
      <c r="W163" s="85">
        <f t="shared" si="98"/>
        <v>-3239.0343084609508</v>
      </c>
      <c r="X163" s="90">
        <f t="shared" si="99"/>
        <v>2683.3128092763232</v>
      </c>
      <c r="Y163" s="86">
        <f t="shared" si="100"/>
        <v>16101.48401</v>
      </c>
      <c r="Z163" s="85">
        <f t="shared" si="101"/>
        <v>-832.16398485565549</v>
      </c>
      <c r="AA163" s="85">
        <f t="shared" si="102"/>
        <v>1560.0380320026529</v>
      </c>
      <c r="AB163" s="90">
        <f t="shared" si="103"/>
        <v>832.16398485565549</v>
      </c>
      <c r="AC163" s="86">
        <f t="shared" si="104"/>
        <v>7941.38508</v>
      </c>
      <c r="AD163" s="85">
        <f t="shared" si="105"/>
        <v>2598.140025222212</v>
      </c>
      <c r="AE163" s="85">
        <f t="shared" si="106"/>
        <v>3132.4404676575368</v>
      </c>
      <c r="AF163" s="90">
        <f t="shared" si="107"/>
        <v>2598.140025222212</v>
      </c>
      <c r="AG163" s="86">
        <f t="shared" si="108"/>
        <v>-15938.76677</v>
      </c>
      <c r="AH163" s="85">
        <f t="shared" si="109"/>
        <v>6183.1314163678471</v>
      </c>
      <c r="AI163" s="85">
        <f t="shared" si="110"/>
        <v>-10899.015529217559</v>
      </c>
      <c r="AJ163" s="90">
        <f t="shared" si="111"/>
        <v>6183.1314163678471</v>
      </c>
      <c r="AL163" s="95">
        <f t="shared" si="112"/>
        <v>0</v>
      </c>
      <c r="AM163" s="95">
        <f t="shared" si="113"/>
        <v>0</v>
      </c>
      <c r="AN163" s="95">
        <f t="shared" si="114"/>
        <v>0</v>
      </c>
      <c r="AO163" s="95">
        <f t="shared" si="115"/>
        <v>0</v>
      </c>
      <c r="AP163"/>
      <c r="AQ163" s="95">
        <f t="shared" si="116"/>
        <v>0</v>
      </c>
      <c r="AR163" s="95">
        <f t="shared" si="117"/>
        <v>0</v>
      </c>
      <c r="AS163" s="95">
        <f>Geraetedaten!$B$94*ABS(SIN(RADIANS($A163)))</f>
        <v>127.67178617347643</v>
      </c>
      <c r="AT163" s="95">
        <f>Geraetedaten!$B$94*ABS(COS(RADIANS($A163)))</f>
        <v>86.115707134494983</v>
      </c>
      <c r="AU163" s="95">
        <f>((h_Aw_Sw+Geraetedaten!$B$18)/1000)*(AQ163*AS163+AR163*AT163)/100</f>
        <v>0</v>
      </c>
    </row>
    <row r="164" spans="1:47" ht="13.5" x14ac:dyDescent="0.25">
      <c r="A164" s="16">
        <v>125</v>
      </c>
      <c r="B164" s="16">
        <f t="shared" si="59"/>
        <v>325</v>
      </c>
      <c r="C164" s="19">
        <f t="shared" si="60"/>
        <v>69.232357792856234</v>
      </c>
      <c r="D164" s="17">
        <f t="shared" si="61"/>
        <v>-8257.1346377928567</v>
      </c>
      <c r="E164" s="17">
        <f t="shared" si="62"/>
        <v>15600.979362207143</v>
      </c>
      <c r="F164" s="17">
        <f t="shared" si="63"/>
        <v>7967.8444222071439</v>
      </c>
      <c r="G164" s="17">
        <f t="shared" si="64"/>
        <v>-15616.496407792856</v>
      </c>
      <c r="H164" s="17">
        <f t="shared" si="92"/>
        <v>7967.8444222071439</v>
      </c>
      <c r="I164" s="17">
        <f t="shared" si="65"/>
        <v>3170.1855911370667</v>
      </c>
      <c r="J164" s="20">
        <f>(Geraetedaten!$B$152+(Geraetedaten!$B$153*(Geraetedaten!$B$18+d_y_Sw)/1000))*10</f>
        <v>6051.0442000000003</v>
      </c>
      <c r="K164" s="20">
        <f>(Geraetedaten!$B$165+(Geraetedaten!$B$166*(Geraetedaten!$B$18+d_y_Sw)/1000))*10</f>
        <v>10816.164000000001</v>
      </c>
      <c r="L164" s="20">
        <f>(Geraetedaten!$B$158+(Geraetedaten!$B$159*(Geraetedaten!$B$18+d_y_Sw)/1000)-(Geraetedaten!$B$160*I164/1000))*10</f>
        <v>369.06689060191866</v>
      </c>
      <c r="M164" s="20">
        <f>(Geraetedaten!$B$171+(Geraetedaten!$B$172*(Geraetedaten!$B$18+d_y_Sw)/1000)-(Geraetedaten!$B$173*I164/1000))*10</f>
        <v>828.87838459575755</v>
      </c>
      <c r="N164" s="20">
        <f>IF((H164-J164)/(K164-J164)*(Geraetedaten!$B$174-Geraetedaten!$B$161)&lt;Geraetedaten!$B$174,(H164-J164)/(K164-J164)*(Geraetedaten!$B$174-Geraetedaten!$B$161),Geraetedaten!$B$174)</f>
        <v>160.90258399859275</v>
      </c>
      <c r="O164" s="20">
        <f>N164/Geraetedaten!$B$174*(M164-L164)+L164+C164</f>
        <v>623.2613922344301</v>
      </c>
      <c r="P164" s="20">
        <f t="shared" si="66"/>
        <v>206.16529639052322</v>
      </c>
      <c r="Q164" s="21">
        <f>(N164-Geraetedaten!$B$161)/(Geraetedaten!$B$174-Geraetedaten!$B$161)*(Geraetedaten!$B$175-Geraetedaten!$B$162)+Geraetedaten!$B$162</f>
        <v>33.98685187395813</v>
      </c>
      <c r="R164" s="21">
        <f t="shared" si="93"/>
        <v>33.98685187395813</v>
      </c>
      <c r="S164" s="21">
        <f t="shared" si="94"/>
        <v>27.840399191499952</v>
      </c>
      <c r="T164" s="88">
        <f t="shared" si="95"/>
        <v>-19.494057380655779</v>
      </c>
      <c r="U164" s="86">
        <f t="shared" si="96"/>
        <v>-8187.9022800000002</v>
      </c>
      <c r="V164" s="85">
        <f t="shared" si="97"/>
        <v>-2683.3128092763232</v>
      </c>
      <c r="W164" s="85">
        <f t="shared" si="98"/>
        <v>-3278.2145269817129</v>
      </c>
      <c r="X164" s="90">
        <f t="shared" si="99"/>
        <v>2683.3128092763232</v>
      </c>
      <c r="Y164" s="86">
        <f t="shared" si="100"/>
        <v>15670.211719999999</v>
      </c>
      <c r="Z164" s="85">
        <f t="shared" si="101"/>
        <v>-832.16398485565549</v>
      </c>
      <c r="AA164" s="85">
        <f t="shared" si="102"/>
        <v>1518.252990037749</v>
      </c>
      <c r="AB164" s="90">
        <f t="shared" si="103"/>
        <v>832.16398485565549</v>
      </c>
      <c r="AC164" s="86">
        <f t="shared" si="104"/>
        <v>8037.0767800000003</v>
      </c>
      <c r="AD164" s="85">
        <f t="shared" si="105"/>
        <v>2598.140025222212</v>
      </c>
      <c r="AE164" s="85">
        <f t="shared" si="106"/>
        <v>3170.1855911370667</v>
      </c>
      <c r="AF164" s="90">
        <f t="shared" si="107"/>
        <v>2598.140025222212</v>
      </c>
      <c r="AG164" s="86">
        <f t="shared" si="108"/>
        <v>-15547.26405</v>
      </c>
      <c r="AH164" s="85">
        <f t="shared" si="109"/>
        <v>6183.1314163678471</v>
      </c>
      <c r="AI164" s="85">
        <f t="shared" si="110"/>
        <v>-10631.303841745803</v>
      </c>
      <c r="AJ164" s="90">
        <f t="shared" si="111"/>
        <v>6183.1314163678471</v>
      </c>
      <c r="AL164" s="95">
        <f t="shared" si="112"/>
        <v>0</v>
      </c>
      <c r="AM164" s="95">
        <f t="shared" si="113"/>
        <v>0</v>
      </c>
      <c r="AN164" s="95">
        <f t="shared" si="114"/>
        <v>0</v>
      </c>
      <c r="AO164" s="95">
        <f t="shared" si="115"/>
        <v>0</v>
      </c>
      <c r="AP164"/>
      <c r="AQ164" s="95">
        <f t="shared" si="116"/>
        <v>0</v>
      </c>
      <c r="AR164" s="95">
        <f t="shared" si="117"/>
        <v>0</v>
      </c>
      <c r="AS164" s="95">
        <f>Geraetedaten!$B$94*ABS(SIN(RADIANS($A164)))</f>
        <v>126.14941482050472</v>
      </c>
      <c r="AT164" s="95">
        <f>Geraetedaten!$B$94*ABS(COS(RADIANS($A164)))</f>
        <v>88.330771198061115</v>
      </c>
      <c r="AU164" s="95">
        <f>((h_Aw_Sw+Geraetedaten!$B$18)/1000)*(AQ164*AS164+AR164*AT164)/100</f>
        <v>0</v>
      </c>
    </row>
    <row r="165" spans="1:47" ht="13.5" x14ac:dyDescent="0.25">
      <c r="A165" s="16">
        <v>126</v>
      </c>
      <c r="B165" s="16">
        <f t="shared" si="59"/>
        <v>324</v>
      </c>
      <c r="C165" s="19">
        <f t="shared" si="60"/>
        <v>69.013803765000915</v>
      </c>
      <c r="D165" s="17">
        <f t="shared" si="61"/>
        <v>-8359.7281937650005</v>
      </c>
      <c r="E165" s="17">
        <f t="shared" si="62"/>
        <v>15196.954756234998</v>
      </c>
      <c r="F165" s="17">
        <f t="shared" si="63"/>
        <v>8068.5979562349985</v>
      </c>
      <c r="G165" s="17">
        <f t="shared" si="64"/>
        <v>-15248.059793765002</v>
      </c>
      <c r="H165" s="17">
        <f t="shared" si="92"/>
        <v>8068.5979562349985</v>
      </c>
      <c r="I165" s="17">
        <f t="shared" si="65"/>
        <v>3209.8411218234305</v>
      </c>
      <c r="J165" s="20">
        <f>(Geraetedaten!$B$152+(Geraetedaten!$B$153*(Geraetedaten!$B$18+d_y_Sw)/1000))*10</f>
        <v>6051.0442000000003</v>
      </c>
      <c r="K165" s="20">
        <f>(Geraetedaten!$B$165+(Geraetedaten!$B$166*(Geraetedaten!$B$18+d_y_Sw)/1000))*10</f>
        <v>10816.164000000001</v>
      </c>
      <c r="L165" s="20">
        <f>(Geraetedaten!$B$158+(Geraetedaten!$B$159*(Geraetedaten!$B$18+d_y_Sw)/1000)-(Geraetedaten!$B$160*I165/1000))*10</f>
        <v>366.15895053668766</v>
      </c>
      <c r="M165" s="20">
        <f>(Geraetedaten!$B$171+(Geraetedaten!$B$172*(Geraetedaten!$B$18+d_y_Sw)/1000)-(Geraetedaten!$B$173*I165/1000))*10</f>
        <v>825.92642689146476</v>
      </c>
      <c r="N165" s="20">
        <f>IF((H165-J165)/(K165-J165)*(Geraetedaten!$B$174-Geraetedaten!$B$161)&lt;Geraetedaten!$B$174,(H165-J165)/(K165-J165)*(Geraetedaten!$B$174-Geraetedaten!$B$161),Geraetedaten!$B$174)</f>
        <v>169.36017064964437</v>
      </c>
      <c r="O165" s="20">
        <f>N165/Geraetedaten!$B$174*(M165-L165)+L165+C165</f>
        <v>629.83849993819206</v>
      </c>
      <c r="P165" s="20">
        <f t="shared" si="66"/>
        <v>206.91771823325288</v>
      </c>
      <c r="Q165" s="21">
        <f>(N165-Geraetedaten!$B$161)/(Geraetedaten!$B$174-Geraetedaten!$B$161)*(Geraetedaten!$B$175-Geraetedaten!$B$162)+Geraetedaten!$B$162</f>
        <v>34.23846507682692</v>
      </c>
      <c r="R165" s="21">
        <f t="shared" si="93"/>
        <v>34.23846507682692</v>
      </c>
      <c r="S165" s="21">
        <f t="shared" si="94"/>
        <v>27.699500108466118</v>
      </c>
      <c r="T165" s="88">
        <f t="shared" si="95"/>
        <v>-20.124864833289738</v>
      </c>
      <c r="U165" s="86">
        <f t="shared" si="96"/>
        <v>-8290.7143899999992</v>
      </c>
      <c r="V165" s="85">
        <f t="shared" si="97"/>
        <v>-2683.3128092763232</v>
      </c>
      <c r="W165" s="85">
        <f t="shared" si="98"/>
        <v>-3319.3777152792668</v>
      </c>
      <c r="X165" s="90">
        <f t="shared" si="99"/>
        <v>2683.3128092763232</v>
      </c>
      <c r="Y165" s="86">
        <f t="shared" si="100"/>
        <v>15265.968559999999</v>
      </c>
      <c r="Z165" s="85">
        <f t="shared" si="101"/>
        <v>-832.16398485565549</v>
      </c>
      <c r="AA165" s="85">
        <f t="shared" si="102"/>
        <v>1479.0867425835049</v>
      </c>
      <c r="AB165" s="90">
        <f t="shared" si="103"/>
        <v>832.16398485565549</v>
      </c>
      <c r="AC165" s="86">
        <f t="shared" si="104"/>
        <v>8137.6117599999998</v>
      </c>
      <c r="AD165" s="85">
        <f t="shared" si="105"/>
        <v>2598.140025222212</v>
      </c>
      <c r="AE165" s="85">
        <f t="shared" si="106"/>
        <v>3209.8411218234305</v>
      </c>
      <c r="AF165" s="90">
        <f t="shared" si="107"/>
        <v>2598.140025222212</v>
      </c>
      <c r="AG165" s="86">
        <f t="shared" si="108"/>
        <v>-15179.045990000001</v>
      </c>
      <c r="AH165" s="85">
        <f t="shared" si="109"/>
        <v>6183.1314163678471</v>
      </c>
      <c r="AI165" s="85">
        <f t="shared" si="110"/>
        <v>-10379.514323395892</v>
      </c>
      <c r="AJ165" s="90">
        <f t="shared" si="111"/>
        <v>6183.1314163678471</v>
      </c>
      <c r="AL165" s="95">
        <f t="shared" si="112"/>
        <v>0</v>
      </c>
      <c r="AM165" s="95">
        <f t="shared" si="113"/>
        <v>0</v>
      </c>
      <c r="AN165" s="95">
        <f t="shared" si="114"/>
        <v>0</v>
      </c>
      <c r="AO165" s="95">
        <f t="shared" si="115"/>
        <v>0</v>
      </c>
      <c r="AP165"/>
      <c r="AQ165" s="95">
        <f t="shared" si="116"/>
        <v>0</v>
      </c>
      <c r="AR165" s="95">
        <f t="shared" si="117"/>
        <v>0</v>
      </c>
      <c r="AS165" s="95">
        <f>Geraetedaten!$B$94*ABS(SIN(RADIANS($A165)))</f>
        <v>124.58861713374191</v>
      </c>
      <c r="AT165" s="95">
        <f>Geraetedaten!$B$94*ABS(COS(RADIANS($A165)))</f>
        <v>90.518928853040848</v>
      </c>
      <c r="AU165" s="95">
        <f>((h_Aw_Sw+Geraetedaten!$B$18)/1000)*(AQ165*AS165+AR165*AT165)/100</f>
        <v>0</v>
      </c>
    </row>
    <row r="166" spans="1:47" ht="13.5" x14ac:dyDescent="0.25">
      <c r="A166" s="16">
        <v>127</v>
      </c>
      <c r="B166" s="16">
        <f t="shared" si="59"/>
        <v>323</v>
      </c>
      <c r="C166" s="19">
        <f t="shared" si="60"/>
        <v>68.774227463967051</v>
      </c>
      <c r="D166" s="17">
        <f t="shared" si="61"/>
        <v>-8467.5063774639675</v>
      </c>
      <c r="E166" s="17">
        <f t="shared" si="62"/>
        <v>14817.703652536033</v>
      </c>
      <c r="F166" s="17">
        <f t="shared" si="63"/>
        <v>8174.4623225360328</v>
      </c>
      <c r="G166" s="17">
        <f t="shared" si="64"/>
        <v>-14901.053747463968</v>
      </c>
      <c r="H166" s="17">
        <f t="shared" si="92"/>
        <v>8174.4623225360328</v>
      </c>
      <c r="I166" s="17">
        <f t="shared" si="65"/>
        <v>3251.5042997123396</v>
      </c>
      <c r="J166" s="20">
        <f>(Geraetedaten!$B$152+(Geraetedaten!$B$153*(Geraetedaten!$B$18+d_y_Sw)/1000))*10</f>
        <v>6051.0442000000003</v>
      </c>
      <c r="K166" s="20">
        <f>(Geraetedaten!$B$165+(Geraetedaten!$B$166*(Geraetedaten!$B$18+d_y_Sw)/1000))*10</f>
        <v>10816.164000000001</v>
      </c>
      <c r="L166" s="20">
        <f>(Geraetedaten!$B$158+(Geraetedaten!$B$159*(Geraetedaten!$B$18+d_y_Sw)/1000)-(Geraetedaten!$B$160*I166/1000))*10</f>
        <v>363.10378970209393</v>
      </c>
      <c r="M166" s="20">
        <f>(Geraetedaten!$B$171+(Geraetedaten!$B$172*(Geraetedaten!$B$18+d_y_Sw)/1000)-(Geraetedaten!$B$173*I166/1000))*10</f>
        <v>822.82501992941434</v>
      </c>
      <c r="N166" s="20">
        <f>IF((H166-J166)/(K166-J166)*(Geraetedaten!$B$174-Geraetedaten!$B$161)&lt;Geraetedaten!$B$174,(H166-J166)/(K166-J166)*(Geraetedaten!$B$174-Geraetedaten!$B$161),Geraetedaten!$B$174)</f>
        <v>178.24677755518613</v>
      </c>
      <c r="O166" s="20">
        <f>N166/Geraetedaten!$B$174*(M166-L166)+L166+C166</f>
        <v>636.7375868203751</v>
      </c>
      <c r="P166" s="20">
        <f t="shared" si="66"/>
        <v>207.69348469872298</v>
      </c>
      <c r="Q166" s="21">
        <f>(N166-Geraetedaten!$B$161)/(Geraetedaten!$B$174-Geraetedaten!$B$161)*(Geraetedaten!$B$175-Geraetedaten!$B$162)+Geraetedaten!$B$162</f>
        <v>34.502841632266787</v>
      </c>
      <c r="R166" s="21">
        <f t="shared" si="93"/>
        <v>34.502841632266787</v>
      </c>
      <c r="S166" s="21">
        <f t="shared" si="94"/>
        <v>27.555194525066351</v>
      </c>
      <c r="T166" s="88">
        <f t="shared" si="95"/>
        <v>-20.764328435734093</v>
      </c>
      <c r="U166" s="86">
        <f t="shared" si="96"/>
        <v>-8398.7321499999998</v>
      </c>
      <c r="V166" s="85">
        <f t="shared" si="97"/>
        <v>-2683.3128092763232</v>
      </c>
      <c r="W166" s="85">
        <f t="shared" si="98"/>
        <v>-3362.6251005287945</v>
      </c>
      <c r="X166" s="90">
        <f t="shared" si="99"/>
        <v>2683.3128092763232</v>
      </c>
      <c r="Y166" s="86">
        <f t="shared" si="100"/>
        <v>14886.47788</v>
      </c>
      <c r="Z166" s="85">
        <f t="shared" si="101"/>
        <v>-832.16398485565549</v>
      </c>
      <c r="AA166" s="85">
        <f t="shared" si="102"/>
        <v>1442.3187097603568</v>
      </c>
      <c r="AB166" s="90">
        <f t="shared" si="103"/>
        <v>832.16398485565549</v>
      </c>
      <c r="AC166" s="86">
        <f t="shared" si="104"/>
        <v>8243.2365499999996</v>
      </c>
      <c r="AD166" s="85">
        <f t="shared" si="105"/>
        <v>2598.140025222212</v>
      </c>
      <c r="AE166" s="85">
        <f t="shared" si="106"/>
        <v>3251.5042997123396</v>
      </c>
      <c r="AF166" s="90">
        <f t="shared" si="107"/>
        <v>2598.140025222212</v>
      </c>
      <c r="AG166" s="86">
        <f t="shared" si="108"/>
        <v>-14832.27952</v>
      </c>
      <c r="AH166" s="85">
        <f t="shared" si="109"/>
        <v>6183.1314163678471</v>
      </c>
      <c r="AI166" s="85">
        <f t="shared" si="110"/>
        <v>-10142.393523407589</v>
      </c>
      <c r="AJ166" s="90">
        <f t="shared" si="111"/>
        <v>6183.1314163678471</v>
      </c>
      <c r="AL166" s="95">
        <f t="shared" si="112"/>
        <v>0</v>
      </c>
      <c r="AM166" s="95">
        <f t="shared" si="113"/>
        <v>0</v>
      </c>
      <c r="AN166" s="95">
        <f t="shared" si="114"/>
        <v>0</v>
      </c>
      <c r="AO166" s="95">
        <f t="shared" si="115"/>
        <v>0</v>
      </c>
      <c r="AP166"/>
      <c r="AQ166" s="95">
        <f t="shared" si="116"/>
        <v>0</v>
      </c>
      <c r="AR166" s="95">
        <f t="shared" si="117"/>
        <v>0</v>
      </c>
      <c r="AS166" s="95">
        <f>Geraetedaten!$B$94*ABS(SIN(RADIANS($A166)))</f>
        <v>122.98986854728308</v>
      </c>
      <c r="AT166" s="95">
        <f>Geraetedaten!$B$94*ABS(COS(RADIANS($A166)))</f>
        <v>92.679513565415448</v>
      </c>
      <c r="AU166" s="95">
        <f>((h_Aw_Sw+Geraetedaten!$B$18)/1000)*(AQ166*AS166+AR166*AT166)/100</f>
        <v>0</v>
      </c>
    </row>
    <row r="167" spans="1:47" ht="13.5" x14ac:dyDescent="0.25">
      <c r="A167" s="16">
        <v>128</v>
      </c>
      <c r="B167" s="16">
        <f t="shared" ref="B167:B218" si="118">360-A167+90</f>
        <v>322</v>
      </c>
      <c r="C167" s="19">
        <f t="shared" ref="C167:C218" si="119">$AE$16*ABS(COS(RADIANS(A167)))+$AE$17*ABS(SIN(RADIANS(A167)))+AU167</f>
        <v>68.513701867016763</v>
      </c>
      <c r="D167" s="17">
        <f t="shared" ref="D167:D218" si="120">IF(ISNUMBER(U167),U167-C167,"unendlich")</f>
        <v>-8580.7425618670168</v>
      </c>
      <c r="E167" s="17">
        <f t="shared" ref="E167:E218" si="121">IF(ISNUMBER(Y167),Y167-C167,"unendlich")</f>
        <v>14461.201618132982</v>
      </c>
      <c r="F167" s="17">
        <f t="shared" ref="F167:F218" si="122">IF(ISNUMBER(AC167),AC167-C167,"unendlich")</f>
        <v>8285.7039081329822</v>
      </c>
      <c r="G167" s="17">
        <f t="shared" ref="G167:G218" si="123">IF(ISNUMBER(AG167),AG167-C167,"unendlich")</f>
        <v>-14573.836471867018</v>
      </c>
      <c r="H167" s="17">
        <f t="shared" si="92"/>
        <v>8285.7039081329822</v>
      </c>
      <c r="I167" s="17">
        <f t="shared" ref="I167:I218" si="124">IF(H167+C167=U167,W167,IF(H167+C167=Y167,AA167,IF(H167+C167=AC167,AE167,IF(H167+C167=AG167,AI167,"???"))))</f>
        <v>3295.2802366918258</v>
      </c>
      <c r="J167" s="20">
        <f>(Geraetedaten!$B$152+(Geraetedaten!$B$153*(Geraetedaten!$B$18+d_y_Sw)/1000))*10</f>
        <v>6051.0442000000003</v>
      </c>
      <c r="K167" s="20">
        <f>(Geraetedaten!$B$165+(Geraetedaten!$B$166*(Geraetedaten!$B$18+d_y_Sw)/1000))*10</f>
        <v>10816.164000000001</v>
      </c>
      <c r="L167" s="20">
        <f>(Geraetedaten!$B$158+(Geraetedaten!$B$159*(Geraetedaten!$B$18+d_y_Sw)/1000)-(Geraetedaten!$B$160*I167/1000))*10</f>
        <v>359.8937002433882</v>
      </c>
      <c r="M167" s="20">
        <f>(Geraetedaten!$B$171+(Geraetedaten!$B$172*(Geraetedaten!$B$18+d_y_Sw)/1000)-(Geraetedaten!$B$173*I167/1000))*10</f>
        <v>819.56633918066132</v>
      </c>
      <c r="N167" s="20">
        <f>IF((H167-J167)/(K167-J167)*(Geraetedaten!$B$174-Geraetedaten!$B$161)&lt;Geraetedaten!$B$174,(H167-J167)/(K167-J167)*(Geraetedaten!$B$174-Geraetedaten!$B$161),Geraetedaten!$B$174)</f>
        <v>187.58476612764125</v>
      </c>
      <c r="O167" s="20">
        <f>N167/Geraetedaten!$B$174*(M167-L167)+L167+C167</f>
        <v>643.97636328621513</v>
      </c>
      <c r="P167" s="20">
        <f t="shared" ref="P167:P218" si="125">O167*100/9.81/(Q167-(I167/1000))</f>
        <v>208.4933300933352</v>
      </c>
      <c r="Q167" s="21">
        <f>(N167-Geraetedaten!$B$161)/(Geraetedaten!$B$174-Geraetedaten!$B$161)*(Geraetedaten!$B$175-Geraetedaten!$B$162)+Geraetedaten!$B$162</f>
        <v>34.780646792297325</v>
      </c>
      <c r="R167" s="21">
        <f t="shared" ref="R167:R198" si="126">SQRT((r_K_D/1000)^2+Q167^2-(2*(r_K_D/1000)*Q167*COS(RADIANS(2*A167))))</f>
        <v>34.780646792297325</v>
      </c>
      <c r="S167" s="21">
        <f t="shared" ref="S167:S198" si="127">R167*SIN(A167*Const_2)</f>
        <v>27.407523689727434</v>
      </c>
      <c r="T167" s="88">
        <f t="shared" ref="T167:T198" si="128">R167*COS(A167*Const_2)</f>
        <v>-21.413104316926397</v>
      </c>
      <c r="U167" s="86">
        <f t="shared" ref="U167:U198" si="129">ROUND((F_S*r_Su_L-F_G*V167+F_SSw*X167)/(SIN(RADIANS(270+g_L-A167)))/1000,5)</f>
        <v>-8512.2288599999993</v>
      </c>
      <c r="V167" s="85">
        <f t="shared" ref="V167:V198" si="130">(SIN(RADIANS(g_L)))*(((VL_Z-HL_Z)/(VL_X-HL_X))*(-HL_X+AM167)+HL_Z-AL167)</f>
        <v>-2683.3128092763232</v>
      </c>
      <c r="W167" s="85">
        <f t="shared" ref="W167:W198" si="131">V167/(SIN(RADIANS(180-g_L-(90-$A167))))</f>
        <v>-3408.0661158758248</v>
      </c>
      <c r="X167" s="90">
        <f t="shared" ref="X167:X198" si="132">SIN(RADIANS(g_L))*(((VL_Z-HL_Z)/(VL_X-HL_X))*(-AO167+HL_X)-HL_Z+AN167)</f>
        <v>2683.3128092763232</v>
      </c>
      <c r="Y167" s="86">
        <f t="shared" ref="Y167:Y198" si="133">ROUND((F_S*r_Su_H-F_G*Z167+F_SSw*AB167)/(SIN(RADIANS(180+g_H-A167)))/1000,5)</f>
        <v>14529.715319999999</v>
      </c>
      <c r="Z167" s="85">
        <f t="shared" ref="Z167:Z198" si="134">(SIN(RADIANS(g_H)))*(((HL_X-HR_X)/(HL_Z-HR_Z))*(-HR_Z+AL167)+HR_X-AM167)</f>
        <v>-832.16398485565549</v>
      </c>
      <c r="AA167" s="85">
        <f t="shared" ref="AA167:AA198" si="135">Z167/(SIN(RADIANS(g_H-$A167)))</f>
        <v>1407.7527554596238</v>
      </c>
      <c r="AB167" s="90">
        <f t="shared" ref="AB167:AB198" si="136">SIN(RADIANS(g_H))*(((HL_X-HR_X)/(HL_Z-HR_Z))*(-AN167+HR_Z)-HR_X+AO167)</f>
        <v>832.16398485565549</v>
      </c>
      <c r="AC167" s="86">
        <f t="shared" ref="AC167:AC198" si="137">ROUND((F_S*r_Su_R+F_G*AD167+F_SSw*AF167)/(SIN(RADIANS(90+g_R-A167)))/1000,5)</f>
        <v>8354.2176099999997</v>
      </c>
      <c r="AD167" s="85">
        <f t="shared" ref="AD167:AD198" si="138">(SIN(RADIANS(g_R)))*(((HR_Z-VR_Z)/(HR_X-VR_X))*(-VR_X+AM167)+VR_Z-AL167)</f>
        <v>2598.140025222212</v>
      </c>
      <c r="AE167" s="85">
        <f t="shared" ref="AE167:AE198" si="139">AD167/(SIN(RADIANS(180-g_R-(90-$A167))))</f>
        <v>3295.2802366918258</v>
      </c>
      <c r="AF167" s="90">
        <f t="shared" ref="AF167:AF198" si="140">(SIN(RADIANS(g_R)))*(((HR_Z-VR_Z)/(HR_X-VR_X))*(-VR_X+AO167)+VR_Z-AN167)</f>
        <v>2598.140025222212</v>
      </c>
      <c r="AG167" s="86">
        <f t="shared" ref="AG167:AG198" si="141">ROUND((F_S*r_Su_V+F_G*AH167+F_SSw*AJ167)/(SIN(RADIANS(g_V-A167)))/1000,5)</f>
        <v>-14505.322770000001</v>
      </c>
      <c r="AH167" s="85">
        <f t="shared" ref="AH167:AH198" si="142">(SIN(RADIANS(g_V)))*(((VR_X-VL_X)/(VR_Z-VL_Z))*(AL167-VL_Z)+VL_X-AM167)</f>
        <v>6183.1314163678471</v>
      </c>
      <c r="AI167" s="85">
        <f t="shared" ref="AI167:AI198" si="143">AH167/(SIN(RADIANS(g_V-$A167)))</f>
        <v>-9918.818718087965</v>
      </c>
      <c r="AJ167" s="90">
        <f t="shared" ref="AJ167:AJ198" si="144">(SIN(RADIANS(g_V)))*(((VR_X-VL_X)/(VR_Z-VL_Z))*(-VL_Z+AN167)+VL_X-AO167)</f>
        <v>6183.1314163678471</v>
      </c>
      <c r="AL167" s="95">
        <f t="shared" ref="AL167:AL198" si="145">SIN(RADIANS(A167))*r_K_D</f>
        <v>0</v>
      </c>
      <c r="AM167" s="95">
        <f t="shared" ref="AM167:AM198" si="146">COS(RADIANS(A167-180))*r_K_D</f>
        <v>0</v>
      </c>
      <c r="AN167" s="95">
        <f t="shared" ref="AN167:AN198" si="147">SIN(RADIANS(A167))*r_K_SSw</f>
        <v>0</v>
      </c>
      <c r="AO167" s="95">
        <f t="shared" ref="AO167:AO198" si="148">-COS(RADIANS(A167))*r_K_SSw</f>
        <v>0</v>
      </c>
      <c r="AP167"/>
      <c r="AQ167" s="95">
        <f t="shared" ref="AQ167:AQ198" si="149">MAX(d_y_Sw*(r_K_D*ABS(COS(RADIANS($A167)))+_r1_Sw+_r2_Sw), 2*_r1_Sw*d_y_Sw)/1000000</f>
        <v>0</v>
      </c>
      <c r="AR167" s="95">
        <f t="shared" ref="AR167:AR198" si="150">MAX(d_y_Sw*(r_K_D*ABS(SIN(RADIANS($A167)))+_r1_Sw+_r2_Sw), 2*_r1_Sw*d_y_Sw)/1000000</f>
        <v>0</v>
      </c>
      <c r="AS167" s="95">
        <f>Geraetedaten!$B$94*ABS(SIN(RADIANS($A167)))</f>
        <v>121.3536560554352</v>
      </c>
      <c r="AT167" s="95">
        <f>Geraetedaten!$B$94*ABS(COS(RADIANS($A167)))</f>
        <v>94.811867200151383</v>
      </c>
      <c r="AU167" s="95">
        <f>((h_Aw_Sw+Geraetedaten!$B$18)/1000)*(AQ167*AS167+AR167*AT167)/100</f>
        <v>0</v>
      </c>
    </row>
    <row r="168" spans="1:47" ht="13.5" x14ac:dyDescent="0.25">
      <c r="A168" s="16">
        <v>129</v>
      </c>
      <c r="B168" s="16">
        <f t="shared" si="118"/>
        <v>321</v>
      </c>
      <c r="C168" s="19">
        <f t="shared" si="119"/>
        <v>68.232306332770648</v>
      </c>
      <c r="D168" s="17">
        <f t="shared" si="120"/>
        <v>-8699.7326563327715</v>
      </c>
      <c r="E168" s="17">
        <f t="shared" si="121"/>
        <v>14125.642653667228</v>
      </c>
      <c r="F168" s="17">
        <f t="shared" si="122"/>
        <v>8402.6110036672289</v>
      </c>
      <c r="G168" s="17">
        <f t="shared" si="123"/>
        <v>-14264.933216332771</v>
      </c>
      <c r="H168" s="17">
        <f t="shared" ref="H168:H218" si="151">SMALL(D168:G168,COUNTIF(D168:G168,"&lt;0")+1)</f>
        <v>8402.6110036672289</v>
      </c>
      <c r="I168" s="17">
        <f t="shared" si="124"/>
        <v>3341.282672783173</v>
      </c>
      <c r="J168" s="20">
        <f>(Geraetedaten!$B$152+(Geraetedaten!$B$153*(Geraetedaten!$B$18+d_y_Sw)/1000))*10</f>
        <v>6051.0442000000003</v>
      </c>
      <c r="K168" s="20">
        <f>(Geraetedaten!$B$165+(Geraetedaten!$B$166*(Geraetedaten!$B$18+d_y_Sw)/1000))*10</f>
        <v>10816.164000000001</v>
      </c>
      <c r="L168" s="20">
        <f>(Geraetedaten!$B$158+(Geraetedaten!$B$159*(Geraetedaten!$B$18+d_y_Sw)/1000)-(Geraetedaten!$B$160*I168/1000))*10</f>
        <v>356.52034160480974</v>
      </c>
      <c r="M168" s="20">
        <f>(Geraetedaten!$B$171+(Geraetedaten!$B$172*(Geraetedaten!$B$18+d_y_Sw)/1000)-(Geraetedaten!$B$173*I168/1000))*10</f>
        <v>816.14191783802153</v>
      </c>
      <c r="N168" s="20">
        <f>IF((H168-J168)/(K168-J168)*(Geraetedaten!$B$174-Geraetedaten!$B$161)&lt;Geraetedaten!$B$174,(H168-J168)/(K168-J168)*(Geraetedaten!$B$174-Geraetedaten!$B$161),Geraetedaten!$B$174)</f>
        <v>197.39833644201167</v>
      </c>
      <c r="O168" s="20">
        <f>N168/Geraetedaten!$B$174*(M168-L168)+L168+C168</f>
        <v>651.57398429080854</v>
      </c>
      <c r="P168" s="20">
        <f t="shared" si="125"/>
        <v>209.31802055311533</v>
      </c>
      <c r="Q168" s="21">
        <f>(N168-Geraetedaten!$B$161)/(Geraetedaten!$B$174-Geraetedaten!$B$161)*(Geraetedaten!$B$175-Geraetedaten!$B$162)+Geraetedaten!$B$162</f>
        <v>35.072600509149851</v>
      </c>
      <c r="R168" s="21">
        <f t="shared" si="126"/>
        <v>35.072600509149851</v>
      </c>
      <c r="S168" s="21">
        <f t="shared" si="127"/>
        <v>27.256529843479512</v>
      </c>
      <c r="T168" s="88">
        <f t="shared" si="128"/>
        <v>-22.071902667552905</v>
      </c>
      <c r="U168" s="86">
        <f t="shared" si="129"/>
        <v>-8631.5003500000003</v>
      </c>
      <c r="V168" s="85">
        <f t="shared" si="130"/>
        <v>-2683.3128092763232</v>
      </c>
      <c r="W168" s="85">
        <f t="shared" si="131"/>
        <v>-3455.8191905792469</v>
      </c>
      <c r="X168" s="90">
        <f t="shared" si="132"/>
        <v>2683.3128092763232</v>
      </c>
      <c r="Y168" s="86">
        <f t="shared" si="133"/>
        <v>14193.874959999999</v>
      </c>
      <c r="Z168" s="85">
        <f t="shared" si="134"/>
        <v>-832.16398485565549</v>
      </c>
      <c r="AA168" s="85">
        <f t="shared" si="135"/>
        <v>1375.2139078048249</v>
      </c>
      <c r="AB168" s="90">
        <f t="shared" si="136"/>
        <v>832.16398485565549</v>
      </c>
      <c r="AC168" s="86">
        <f t="shared" si="137"/>
        <v>8470.8433100000002</v>
      </c>
      <c r="AD168" s="85">
        <f t="shared" si="138"/>
        <v>2598.140025222212</v>
      </c>
      <c r="AE168" s="85">
        <f t="shared" si="139"/>
        <v>3341.282672783173</v>
      </c>
      <c r="AF168" s="90">
        <f t="shared" si="140"/>
        <v>2598.140025222212</v>
      </c>
      <c r="AG168" s="86">
        <f t="shared" si="141"/>
        <v>-14196.70091</v>
      </c>
      <c r="AH168" s="85">
        <f t="shared" si="142"/>
        <v>6183.1314163678471</v>
      </c>
      <c r="AI168" s="85">
        <f t="shared" si="143"/>
        <v>-9707.7814100152427</v>
      </c>
      <c r="AJ168" s="90">
        <f t="shared" si="144"/>
        <v>6183.1314163678471</v>
      </c>
      <c r="AL168" s="95">
        <f t="shared" si="145"/>
        <v>0</v>
      </c>
      <c r="AM168" s="95">
        <f t="shared" si="146"/>
        <v>0</v>
      </c>
      <c r="AN168" s="95">
        <f t="shared" si="147"/>
        <v>0</v>
      </c>
      <c r="AO168" s="95">
        <f t="shared" si="148"/>
        <v>0</v>
      </c>
      <c r="AP168"/>
      <c r="AQ168" s="95">
        <f t="shared" si="149"/>
        <v>0</v>
      </c>
      <c r="AR168" s="95">
        <f t="shared" si="150"/>
        <v>0</v>
      </c>
      <c r="AS168" s="95">
        <f>Geraetedaten!$B$94*ABS(SIN(RADIANS($A168)))</f>
        <v>119.68047806437353</v>
      </c>
      <c r="AT168" s="95">
        <f>Geraetedaten!$B$94*ABS(COS(RADIANS($A168)))</f>
        <v>96.915340221674938</v>
      </c>
      <c r="AU168" s="95">
        <f>((h_Aw_Sw+Geraetedaten!$B$18)/1000)*(AQ168*AS168+AR168*AT168)/100</f>
        <v>0</v>
      </c>
    </row>
    <row r="169" spans="1:47" ht="13.5" x14ac:dyDescent="0.25">
      <c r="A169" s="16">
        <v>130</v>
      </c>
      <c r="B169" s="16">
        <f t="shared" si="118"/>
        <v>320</v>
      </c>
      <c r="C169" s="19">
        <f t="shared" si="119"/>
        <v>67.930126577034372</v>
      </c>
      <c r="D169" s="17">
        <f t="shared" si="120"/>
        <v>-8824.7971965770339</v>
      </c>
      <c r="E169" s="17">
        <f t="shared" si="121"/>
        <v>13809.410653422967</v>
      </c>
      <c r="F169" s="17">
        <f t="shared" si="122"/>
        <v>8525.4958934229671</v>
      </c>
      <c r="G169" s="17">
        <f t="shared" si="123"/>
        <v>-13973.015726577034</v>
      </c>
      <c r="H169" s="17">
        <f t="shared" si="151"/>
        <v>8525.4958934229671</v>
      </c>
      <c r="I169" s="17">
        <f t="shared" si="124"/>
        <v>3389.6348237906814</v>
      </c>
      <c r="J169" s="20">
        <f>(Geraetedaten!$B$152+(Geraetedaten!$B$153*(Geraetedaten!$B$18+d_y_Sw)/1000))*10</f>
        <v>6051.0442000000003</v>
      </c>
      <c r="K169" s="20">
        <f>(Geraetedaten!$B$165+(Geraetedaten!$B$166*(Geraetedaten!$B$18+d_y_Sw)/1000))*10</f>
        <v>10816.164000000001</v>
      </c>
      <c r="L169" s="20">
        <f>(Geraetedaten!$B$158+(Geraetedaten!$B$159*(Geraetedaten!$B$18+d_y_Sw)/1000)-(Geraetedaten!$B$160*I169/1000))*10</f>
        <v>352.97467837142915</v>
      </c>
      <c r="M169" s="20">
        <f>(Geraetedaten!$B$171+(Geraetedaten!$B$172*(Geraetedaten!$B$18+d_y_Sw)/1000)-(Geraetedaten!$B$173*I169/1000))*10</f>
        <v>812.54258371702258</v>
      </c>
      <c r="N169" s="20">
        <f>IF((H169-J169)/(K169-J169)*(Geraetedaten!$B$174-Geraetedaten!$B$161)&lt;Geraetedaten!$B$174,(H169-J169)/(K169-J169)*(Geraetedaten!$B$174-Geraetedaten!$B$161),Geraetedaten!$B$174)</f>
        <v>207.71370267945554</v>
      </c>
      <c r="O169" s="20">
        <f>N169/Geraetedaten!$B$174*(M169-L169)+L169+C169</f>
        <v>659.55118307840041</v>
      </c>
      <c r="P169" s="20">
        <f t="shared" si="125"/>
        <v>210.16835358740084</v>
      </c>
      <c r="Q169" s="21">
        <f>(N169-Geraetedaten!$B$161)/(Geraetedaten!$B$174-Geraetedaten!$B$161)*(Geraetedaten!$B$175-Geraetedaten!$B$162)+Geraetedaten!$B$162</f>
        <v>35.379482654713804</v>
      </c>
      <c r="R169" s="21">
        <f t="shared" si="126"/>
        <v>35.379482654713804</v>
      </c>
      <c r="S169" s="21">
        <f t="shared" si="127"/>
        <v>27.102256088067779</v>
      </c>
      <c r="T169" s="88">
        <f t="shared" si="128"/>
        <v>-22.741493087569868</v>
      </c>
      <c r="U169" s="86">
        <f t="shared" si="129"/>
        <v>-8756.8670700000002</v>
      </c>
      <c r="V169" s="85">
        <f t="shared" si="130"/>
        <v>-2683.3128092763232</v>
      </c>
      <c r="W169" s="85">
        <f t="shared" si="131"/>
        <v>-3506.0126358438833</v>
      </c>
      <c r="X169" s="90">
        <f t="shared" si="132"/>
        <v>2683.3128092763232</v>
      </c>
      <c r="Y169" s="86">
        <f t="shared" si="133"/>
        <v>13877.34078</v>
      </c>
      <c r="Z169" s="85">
        <f t="shared" si="134"/>
        <v>-832.16398485565549</v>
      </c>
      <c r="AA169" s="85">
        <f t="shared" si="135"/>
        <v>1344.545594350692</v>
      </c>
      <c r="AB169" s="90">
        <f t="shared" si="136"/>
        <v>832.16398485565549</v>
      </c>
      <c r="AC169" s="86">
        <f t="shared" si="137"/>
        <v>8593.4260200000008</v>
      </c>
      <c r="AD169" s="85">
        <f t="shared" si="138"/>
        <v>2598.140025222212</v>
      </c>
      <c r="AE169" s="85">
        <f t="shared" si="139"/>
        <v>3389.6348237906814</v>
      </c>
      <c r="AF169" s="90">
        <f t="shared" si="140"/>
        <v>2598.140025222212</v>
      </c>
      <c r="AG169" s="86">
        <f t="shared" si="141"/>
        <v>-13905.0856</v>
      </c>
      <c r="AH169" s="85">
        <f t="shared" si="142"/>
        <v>6183.1314163678471</v>
      </c>
      <c r="AI169" s="85">
        <f t="shared" si="143"/>
        <v>-9508.37326900683</v>
      </c>
      <c r="AJ169" s="90">
        <f t="shared" si="144"/>
        <v>6183.1314163678471</v>
      </c>
      <c r="AL169" s="95">
        <f t="shared" si="145"/>
        <v>0</v>
      </c>
      <c r="AM169" s="95">
        <f t="shared" si="146"/>
        <v>0</v>
      </c>
      <c r="AN169" s="95">
        <f t="shared" si="147"/>
        <v>0</v>
      </c>
      <c r="AO169" s="95">
        <f t="shared" si="148"/>
        <v>0</v>
      </c>
      <c r="AP169"/>
      <c r="AQ169" s="95">
        <f t="shared" si="149"/>
        <v>0</v>
      </c>
      <c r="AR169" s="95">
        <f t="shared" si="150"/>
        <v>0</v>
      </c>
      <c r="AS169" s="95">
        <f>Geraetedaten!$B$94*ABS(SIN(RADIANS($A169)))</f>
        <v>117.97084424032262</v>
      </c>
      <c r="AT169" s="95">
        <f>Geraetedaten!$B$94*ABS(COS(RADIANS($A169)))</f>
        <v>98.989291891727063</v>
      </c>
      <c r="AU169" s="95">
        <f>((h_Aw_Sw+Geraetedaten!$B$18)/1000)*(AQ169*AS169+AR169*AT169)/100</f>
        <v>0</v>
      </c>
    </row>
    <row r="170" spans="1:47" ht="13.5" x14ac:dyDescent="0.25">
      <c r="A170" s="16">
        <v>131</v>
      </c>
      <c r="B170" s="16">
        <f t="shared" si="118"/>
        <v>319</v>
      </c>
      <c r="C170" s="19">
        <f t="shared" si="119"/>
        <v>67.60725464668883</v>
      </c>
      <c r="D170" s="17">
        <f t="shared" si="120"/>
        <v>-8956.2839446466896</v>
      </c>
      <c r="E170" s="17">
        <f t="shared" si="121"/>
        <v>13511.055235353311</v>
      </c>
      <c r="F170" s="17">
        <f t="shared" si="122"/>
        <v>8654.6973053533111</v>
      </c>
      <c r="G170" s="17">
        <f t="shared" si="123"/>
        <v>-13696.884624646689</v>
      </c>
      <c r="H170" s="17">
        <f t="shared" si="151"/>
        <v>8654.6973053533111</v>
      </c>
      <c r="I170" s="17">
        <f t="shared" si="124"/>
        <v>3440.4703333687912</v>
      </c>
      <c r="J170" s="20">
        <f>(Geraetedaten!$B$152+(Geraetedaten!$B$153*(Geraetedaten!$B$18+d_y_Sw)/1000))*10</f>
        <v>6051.0442000000003</v>
      </c>
      <c r="K170" s="20">
        <f>(Geraetedaten!$B$165+(Geraetedaten!$B$166*(Geraetedaten!$B$18+d_y_Sw)/1000))*10</f>
        <v>10816.164000000001</v>
      </c>
      <c r="L170" s="20">
        <f>(Geraetedaten!$B$158+(Geraetedaten!$B$159*(Geraetedaten!$B$18+d_y_Sw)/1000)-(Geraetedaten!$B$160*I170/1000))*10</f>
        <v>349.24691045406632</v>
      </c>
      <c r="M170" s="20">
        <f>(Geraetedaten!$B$171+(Geraetedaten!$B$172*(Geraetedaten!$B$18+d_y_Sw)/1000)-(Geraetedaten!$B$173*I170/1000))*10</f>
        <v>808.75838838402819</v>
      </c>
      <c r="N170" s="20">
        <f>IF((H170-J170)/(K170-J170)*(Geraetedaten!$B$174-Geraetedaten!$B$161)&lt;Geraetedaten!$B$174,(H170-J170)/(K170-J170)*(Geraetedaten!$B$174-Geraetedaten!$B$161),Geraetedaten!$B$174)</f>
        <v>218.55929879062521</v>
      </c>
      <c r="O170" s="20">
        <f>N170/Geraetedaten!$B$174*(M170-L170)+L170+C170</f>
        <v>667.93043110729593</v>
      </c>
      <c r="P170" s="20">
        <f t="shared" si="125"/>
        <v>211.04515899399402</v>
      </c>
      <c r="Q170" s="21">
        <f>(N170-Geraetedaten!$B$161)/(Geraetedaten!$B$174-Geraetedaten!$B$161)*(Geraetedaten!$B$175-Geraetedaten!$B$162)+Geraetedaten!$B$162</f>
        <v>35.702139139021099</v>
      </c>
      <c r="R170" s="21">
        <f t="shared" si="126"/>
        <v>35.702139139021099</v>
      </c>
      <c r="S170" s="21">
        <f t="shared" si="127"/>
        <v>26.944746442665618</v>
      </c>
      <c r="T170" s="88">
        <f t="shared" si="128"/>
        <v>-23.422710736430165</v>
      </c>
      <c r="U170" s="86">
        <f t="shared" si="129"/>
        <v>-8888.6766900000002</v>
      </c>
      <c r="V170" s="85">
        <f t="shared" si="130"/>
        <v>-2683.3128092763232</v>
      </c>
      <c r="W170" s="85">
        <f t="shared" si="131"/>
        <v>-3558.785639989645</v>
      </c>
      <c r="X170" s="90">
        <f t="shared" si="132"/>
        <v>2683.3128092763232</v>
      </c>
      <c r="Y170" s="86">
        <f t="shared" si="133"/>
        <v>13578.662490000001</v>
      </c>
      <c r="Z170" s="85">
        <f t="shared" si="134"/>
        <v>-832.16398485565549</v>
      </c>
      <c r="AA170" s="85">
        <f t="shared" si="135"/>
        <v>1315.6073001951961</v>
      </c>
      <c r="AB170" s="90">
        <f t="shared" si="136"/>
        <v>832.16398485565549</v>
      </c>
      <c r="AC170" s="86">
        <f t="shared" si="137"/>
        <v>8722.3045600000005</v>
      </c>
      <c r="AD170" s="85">
        <f t="shared" si="138"/>
        <v>2598.140025222212</v>
      </c>
      <c r="AE170" s="85">
        <f t="shared" si="139"/>
        <v>3440.4703333687912</v>
      </c>
      <c r="AF170" s="90">
        <f t="shared" si="140"/>
        <v>2598.140025222212</v>
      </c>
      <c r="AG170" s="86">
        <f t="shared" si="141"/>
        <v>-13629.27737</v>
      </c>
      <c r="AH170" s="85">
        <f t="shared" si="142"/>
        <v>6183.1314163678471</v>
      </c>
      <c r="AI170" s="85">
        <f t="shared" si="143"/>
        <v>-9319.7741036567113</v>
      </c>
      <c r="AJ170" s="90">
        <f t="shared" si="144"/>
        <v>6183.1314163678471</v>
      </c>
      <c r="AL170" s="95">
        <f t="shared" si="145"/>
        <v>0</v>
      </c>
      <c r="AM170" s="95">
        <f t="shared" si="146"/>
        <v>0</v>
      </c>
      <c r="AN170" s="95">
        <f t="shared" si="147"/>
        <v>0</v>
      </c>
      <c r="AO170" s="95">
        <f t="shared" si="148"/>
        <v>0</v>
      </c>
      <c r="AP170"/>
      <c r="AQ170" s="95">
        <f t="shared" si="149"/>
        <v>0</v>
      </c>
      <c r="AR170" s="95">
        <f t="shared" si="150"/>
        <v>0</v>
      </c>
      <c r="AS170" s="95">
        <f>Geraetedaten!$B$94*ABS(SIN(RADIANS($A170)))</f>
        <v>116.2252753543069</v>
      </c>
      <c r="AT170" s="95">
        <f>Geraetedaten!$B$94*ABS(COS(RADIANS($A170)))</f>
        <v>101.03309046453811</v>
      </c>
      <c r="AU170" s="95">
        <f>((h_Aw_Sw+Geraetedaten!$B$18)/1000)*(AQ170*AS170+AR170*AT170)/100</f>
        <v>0</v>
      </c>
    </row>
    <row r="171" spans="1:47" ht="13.5" x14ac:dyDescent="0.25">
      <c r="A171" s="16">
        <v>132</v>
      </c>
      <c r="B171" s="16">
        <f t="shared" si="118"/>
        <v>318</v>
      </c>
      <c r="C171" s="19">
        <f t="shared" si="119"/>
        <v>67.2637888916517</v>
      </c>
      <c r="D171" s="17">
        <f t="shared" si="120"/>
        <v>-9094.5705988916525</v>
      </c>
      <c r="E171" s="17">
        <f t="shared" si="121"/>
        <v>13229.271201108348</v>
      </c>
      <c r="F171" s="17">
        <f t="shared" si="122"/>
        <v>8790.583111108348</v>
      </c>
      <c r="G171" s="17">
        <f t="shared" si="123"/>
        <v>-13435.454368891653</v>
      </c>
      <c r="H171" s="17">
        <f t="shared" si="151"/>
        <v>8790.583111108348</v>
      </c>
      <c r="I171" s="17">
        <f t="shared" si="124"/>
        <v>3493.9343446837729</v>
      </c>
      <c r="J171" s="20">
        <f>(Geraetedaten!$B$152+(Geraetedaten!$B$153*(Geraetedaten!$B$18+d_y_Sw)/1000))*10</f>
        <v>6051.0442000000003</v>
      </c>
      <c r="K171" s="20">
        <f>(Geraetedaten!$B$165+(Geraetedaten!$B$166*(Geraetedaten!$B$18+d_y_Sw)/1000))*10</f>
        <v>10816.164000000001</v>
      </c>
      <c r="L171" s="20">
        <f>(Geraetedaten!$B$158+(Geraetedaten!$B$159*(Geraetedaten!$B$18+d_y_Sw)/1000)-(Geraetedaten!$B$160*I171/1000))*10</f>
        <v>345.32639450433874</v>
      </c>
      <c r="M171" s="20">
        <f>(Geraetedaten!$B$171+(Geraetedaten!$B$172*(Geraetedaten!$B$18+d_y_Sw)/1000)-(Geraetedaten!$B$173*I171/1000))*10</f>
        <v>804.77852738174079</v>
      </c>
      <c r="N171" s="20">
        <f>IF((H171-J171)/(K171-J171)*(Geraetedaten!$B$174-Geraetedaten!$B$161)&lt;Geraetedaten!$B$174,(H171-J171)/(K171-J171)*(Geraetedaten!$B$174-Geraetedaten!$B$161),Geraetedaten!$B$174)</f>
        <v>229.96600514499951</v>
      </c>
      <c r="O171" s="20">
        <f>N171/Geraetedaten!$B$174*(M171-L171)+L171+C171</f>
        <v>676.73611227890456</v>
      </c>
      <c r="P171" s="20">
        <f t="shared" si="125"/>
        <v>211.94929893861936</v>
      </c>
      <c r="Q171" s="21">
        <f>(N171-Geraetedaten!$B$161)/(Geraetedaten!$B$174-Geraetedaten!$B$161)*(Geraetedaten!$B$175-Geraetedaten!$B$162)+Geraetedaten!$B$162</f>
        <v>36.041488653063738</v>
      </c>
      <c r="R171" s="21">
        <f t="shared" si="126"/>
        <v>36.041488653063738</v>
      </c>
      <c r="S171" s="21">
        <f t="shared" si="127"/>
        <v>26.784045795026536</v>
      </c>
      <c r="T171" s="88">
        <f t="shared" si="128"/>
        <v>-24.116463156500448</v>
      </c>
      <c r="U171" s="86">
        <f t="shared" si="129"/>
        <v>-9027.30681</v>
      </c>
      <c r="V171" s="85">
        <f t="shared" si="130"/>
        <v>-2683.3128092763232</v>
      </c>
      <c r="W171" s="85">
        <f t="shared" si="131"/>
        <v>-3614.2893888842673</v>
      </c>
      <c r="X171" s="90">
        <f t="shared" si="132"/>
        <v>2683.3128092763232</v>
      </c>
      <c r="Y171" s="86">
        <f t="shared" si="133"/>
        <v>13296.53499</v>
      </c>
      <c r="Z171" s="85">
        <f t="shared" si="134"/>
        <v>-832.16398485565549</v>
      </c>
      <c r="AA171" s="85">
        <f t="shared" si="135"/>
        <v>1288.2725754369098</v>
      </c>
      <c r="AB171" s="90">
        <f t="shared" si="136"/>
        <v>832.16398485565549</v>
      </c>
      <c r="AC171" s="86">
        <f t="shared" si="137"/>
        <v>8857.8469000000005</v>
      </c>
      <c r="AD171" s="85">
        <f t="shared" si="138"/>
        <v>2598.140025222212</v>
      </c>
      <c r="AE171" s="85">
        <f t="shared" si="139"/>
        <v>3493.9343446837729</v>
      </c>
      <c r="AF171" s="90">
        <f t="shared" si="140"/>
        <v>2598.140025222212</v>
      </c>
      <c r="AG171" s="86">
        <f t="shared" si="141"/>
        <v>-13368.19058</v>
      </c>
      <c r="AH171" s="85">
        <f t="shared" si="142"/>
        <v>6183.1314163678471</v>
      </c>
      <c r="AI171" s="85">
        <f t="shared" si="143"/>
        <v>-9141.2415295368992</v>
      </c>
      <c r="AJ171" s="90">
        <f t="shared" si="144"/>
        <v>6183.1314163678471</v>
      </c>
      <c r="AL171" s="95">
        <f t="shared" si="145"/>
        <v>0</v>
      </c>
      <c r="AM171" s="95">
        <f t="shared" si="146"/>
        <v>0</v>
      </c>
      <c r="AN171" s="95">
        <f t="shared" si="147"/>
        <v>0</v>
      </c>
      <c r="AO171" s="95">
        <f t="shared" si="148"/>
        <v>0</v>
      </c>
      <c r="AP171"/>
      <c r="AQ171" s="95">
        <f t="shared" si="149"/>
        <v>0</v>
      </c>
      <c r="AR171" s="95">
        <f t="shared" si="150"/>
        <v>0</v>
      </c>
      <c r="AS171" s="95">
        <f>Geraetedaten!$B$94*ABS(SIN(RADIANS($A171)))</f>
        <v>114.44430312351871</v>
      </c>
      <c r="AT171" s="95">
        <f>Geraetedaten!$B$94*ABS(COS(RADIANS($A171)))</f>
        <v>103.04611337926417</v>
      </c>
      <c r="AU171" s="95">
        <f>((h_Aw_Sw+Geraetedaten!$B$18)/1000)*(AQ171*AS171+AR171*AT171)/100</f>
        <v>0</v>
      </c>
    </row>
    <row r="172" spans="1:47" ht="13.5" x14ac:dyDescent="0.25">
      <c r="A172" s="16">
        <v>133</v>
      </c>
      <c r="B172" s="16">
        <f t="shared" si="118"/>
        <v>317</v>
      </c>
      <c r="C172" s="19">
        <f t="shared" si="119"/>
        <v>66.899833934919229</v>
      </c>
      <c r="D172" s="17">
        <f t="shared" si="120"/>
        <v>-9240.0680039349209</v>
      </c>
      <c r="E172" s="17">
        <f t="shared" si="121"/>
        <v>12962.88091606508</v>
      </c>
      <c r="F172" s="17">
        <f t="shared" si="122"/>
        <v>8933.5533860650794</v>
      </c>
      <c r="G172" s="17">
        <f t="shared" si="123"/>
        <v>-13187.74013393492</v>
      </c>
      <c r="H172" s="17">
        <f t="shared" si="151"/>
        <v>8933.5533860650794</v>
      </c>
      <c r="I172" s="17">
        <f t="shared" si="124"/>
        <v>3550.1847094306845</v>
      </c>
      <c r="J172" s="20">
        <f>(Geraetedaten!$B$152+(Geraetedaten!$B$153*(Geraetedaten!$B$18+d_y_Sw)/1000))*10</f>
        <v>6051.0442000000003</v>
      </c>
      <c r="K172" s="20">
        <f>(Geraetedaten!$B$165+(Geraetedaten!$B$166*(Geraetedaten!$B$18+d_y_Sw)/1000))*10</f>
        <v>10816.164000000001</v>
      </c>
      <c r="L172" s="20">
        <f>(Geraetedaten!$B$158+(Geraetedaten!$B$159*(Geraetedaten!$B$18+d_y_Sw)/1000)-(Geraetedaten!$B$160*I172/1000))*10</f>
        <v>341.20155525744764</v>
      </c>
      <c r="M172" s="20">
        <f>(Geraetedaten!$B$171+(Geraetedaten!$B$172*(Geraetedaten!$B$18+d_y_Sw)/1000)-(Geraetedaten!$B$173*I172/1000))*10</f>
        <v>800.59125022998069</v>
      </c>
      <c r="N172" s="20">
        <f>IF((H172-J172)/(K172-J172)*(Geraetedaten!$B$174-Geraetedaten!$B$161)&lt;Geraetedaten!$B$174,(H172-J172)/(K172-J172)*(Geraetedaten!$B$174-Geraetedaten!$B$161),Geraetedaten!$B$174)</f>
        <v>241.9674053999716</v>
      </c>
      <c r="O172" s="20">
        <f>N172/Geraetedaten!$B$174*(M172-L172)+L172+C172</f>
        <v>685.99472059233733</v>
      </c>
      <c r="P172" s="20">
        <f t="shared" si="125"/>
        <v>212.8816681472635</v>
      </c>
      <c r="Q172" s="21">
        <f>(N172-Geraetedaten!$B$161)/(Geraetedaten!$B$174-Geraetedaten!$B$161)*(Geraetedaten!$B$175-Geraetedaten!$B$162)+Geraetedaten!$B$162</f>
        <v>36.398530310649157</v>
      </c>
      <c r="R172" s="21">
        <f t="shared" si="126"/>
        <v>36.398530310649157</v>
      </c>
      <c r="S172" s="21">
        <f t="shared" si="127"/>
        <v>26.620199876190838</v>
      </c>
      <c r="T172" s="88">
        <f t="shared" si="128"/>
        <v>-24.823737980547865</v>
      </c>
      <c r="U172" s="86">
        <f t="shared" si="129"/>
        <v>-9173.1681700000008</v>
      </c>
      <c r="V172" s="85">
        <f t="shared" si="130"/>
        <v>-2683.3128092763232</v>
      </c>
      <c r="W172" s="85">
        <f t="shared" si="131"/>
        <v>-3672.6883302835763</v>
      </c>
      <c r="X172" s="90">
        <f t="shared" si="132"/>
        <v>2683.3128092763232</v>
      </c>
      <c r="Y172" s="86">
        <f t="shared" si="133"/>
        <v>13029.78075</v>
      </c>
      <c r="Z172" s="85">
        <f t="shared" si="134"/>
        <v>-832.16398485565549</v>
      </c>
      <c r="AA172" s="85">
        <f t="shared" si="135"/>
        <v>1262.4273326824882</v>
      </c>
      <c r="AB172" s="90">
        <f t="shared" si="136"/>
        <v>832.16398485565549</v>
      </c>
      <c r="AC172" s="86">
        <f t="shared" si="137"/>
        <v>9000.4532199999994</v>
      </c>
      <c r="AD172" s="85">
        <f t="shared" si="138"/>
        <v>2598.140025222212</v>
      </c>
      <c r="AE172" s="85">
        <f t="shared" si="139"/>
        <v>3550.1847094306845</v>
      </c>
      <c r="AF172" s="90">
        <f t="shared" si="140"/>
        <v>2598.140025222212</v>
      </c>
      <c r="AG172" s="86">
        <f t="shared" si="141"/>
        <v>-13120.8403</v>
      </c>
      <c r="AH172" s="85">
        <f t="shared" si="142"/>
        <v>6183.1314163678471</v>
      </c>
      <c r="AI172" s="85">
        <f t="shared" si="143"/>
        <v>-8972.102061479738</v>
      </c>
      <c r="AJ172" s="90">
        <f t="shared" si="144"/>
        <v>6183.1314163678471</v>
      </c>
      <c r="AL172" s="95">
        <f t="shared" si="145"/>
        <v>0</v>
      </c>
      <c r="AM172" s="95">
        <f t="shared" si="146"/>
        <v>0</v>
      </c>
      <c r="AN172" s="95">
        <f t="shared" si="147"/>
        <v>0</v>
      </c>
      <c r="AO172" s="95">
        <f t="shared" si="148"/>
        <v>0</v>
      </c>
      <c r="AP172"/>
      <c r="AQ172" s="95">
        <f t="shared" si="149"/>
        <v>0</v>
      </c>
      <c r="AR172" s="95">
        <f t="shared" si="150"/>
        <v>0</v>
      </c>
      <c r="AS172" s="95">
        <f>Geraetedaten!$B$94*ABS(SIN(RADIANS($A172)))</f>
        <v>112.62847004935227</v>
      </c>
      <c r="AT172" s="95">
        <f>Geraetedaten!$B$94*ABS(COS(RADIANS($A172)))</f>
        <v>105.02774744962475</v>
      </c>
      <c r="AU172" s="95">
        <f>((h_Aw_Sw+Geraetedaten!$B$18)/1000)*(AQ172*AS172+AR172*AT172)/100</f>
        <v>0</v>
      </c>
    </row>
    <row r="173" spans="1:47" ht="13.5" x14ac:dyDescent="0.25">
      <c r="A173" s="16">
        <v>134</v>
      </c>
      <c r="B173" s="16">
        <f t="shared" si="118"/>
        <v>316</v>
      </c>
      <c r="C173" s="19">
        <f t="shared" si="119"/>
        <v>66.515500640696956</v>
      </c>
      <c r="D173" s="17">
        <f t="shared" si="120"/>
        <v>-9393.2237006406958</v>
      </c>
      <c r="E173" s="17">
        <f t="shared" si="121"/>
        <v>12710.819269359303</v>
      </c>
      <c r="F173" s="17">
        <f t="shared" si="122"/>
        <v>9084.0438893593036</v>
      </c>
      <c r="G173" s="17">
        <f t="shared" si="123"/>
        <v>-12952.846620640697</v>
      </c>
      <c r="H173" s="17">
        <f t="shared" si="151"/>
        <v>9084.0438893593036</v>
      </c>
      <c r="I173" s="17">
        <f t="shared" si="124"/>
        <v>3609.3933550546903</v>
      </c>
      <c r="J173" s="20">
        <f>(Geraetedaten!$B$152+(Geraetedaten!$B$153*(Geraetedaten!$B$18+d_y_Sw)/1000))*10</f>
        <v>6051.0442000000003</v>
      </c>
      <c r="K173" s="20">
        <f>(Geraetedaten!$B$165+(Geraetedaten!$B$166*(Geraetedaten!$B$18+d_y_Sw)/1000))*10</f>
        <v>10816.164000000001</v>
      </c>
      <c r="L173" s="20">
        <f>(Geraetedaten!$B$158+(Geraetedaten!$B$159*(Geraetedaten!$B$18+d_y_Sw)/1000)-(Geraetedaten!$B$160*I173/1000))*10</f>
        <v>336.85978527383941</v>
      </c>
      <c r="M173" s="20">
        <f>(Geraetedaten!$B$171+(Geraetedaten!$B$172*(Geraetedaten!$B$18+d_y_Sw)/1000)-(Geraetedaten!$B$173*I173/1000))*10</f>
        <v>796.18375864972973</v>
      </c>
      <c r="N173" s="20">
        <f>IF((H173-J173)/(K173-J173)*(Geraetedaten!$B$174-Geraetedaten!$B$161)&lt;Geraetedaten!$B$174,(H173-J173)/(K173-J173)*(Geraetedaten!$B$174-Geraetedaten!$B$161),Geraetedaten!$B$174)</f>
        <v>254.60007862629629</v>
      </c>
      <c r="O173" s="20">
        <f>N173/Geraetedaten!$B$174*(M173-L173)+L173+C173</f>
        <v>695.73508525564762</v>
      </c>
      <c r="P173" s="20">
        <f t="shared" si="125"/>
        <v>213.84319427432052</v>
      </c>
      <c r="Q173" s="21">
        <f>(N173-Geraetedaten!$B$161)/(Geraetedaten!$B$174-Geraetedaten!$B$161)*(Geraetedaten!$B$175-Geraetedaten!$B$162)+Geraetedaten!$B$162</f>
        <v>36.774352339132314</v>
      </c>
      <c r="R173" s="21">
        <f t="shared" si="126"/>
        <v>36.774352339132314</v>
      </c>
      <c r="S173" s="21">
        <f t="shared" si="127"/>
        <v>26.453255269214644</v>
      </c>
      <c r="T173" s="88">
        <f t="shared" si="128"/>
        <v>-25.54561167058667</v>
      </c>
      <c r="U173" s="86">
        <f t="shared" si="129"/>
        <v>-9326.7081999999991</v>
      </c>
      <c r="V173" s="85">
        <f t="shared" si="130"/>
        <v>-2683.3128092763232</v>
      </c>
      <c r="W173" s="85">
        <f t="shared" si="131"/>
        <v>-3734.1616039723863</v>
      </c>
      <c r="X173" s="90">
        <f t="shared" si="132"/>
        <v>2683.3128092763232</v>
      </c>
      <c r="Y173" s="86">
        <f t="shared" si="133"/>
        <v>12777.334769999999</v>
      </c>
      <c r="Z173" s="85">
        <f t="shared" si="134"/>
        <v>-832.16398485565549</v>
      </c>
      <c r="AA173" s="85">
        <f t="shared" si="135"/>
        <v>1237.9683865403122</v>
      </c>
      <c r="AB173" s="90">
        <f t="shared" si="136"/>
        <v>832.16398485565549</v>
      </c>
      <c r="AC173" s="86">
        <f t="shared" si="137"/>
        <v>9150.5593900000003</v>
      </c>
      <c r="AD173" s="85">
        <f t="shared" si="138"/>
        <v>2598.140025222212</v>
      </c>
      <c r="AE173" s="85">
        <f t="shared" si="139"/>
        <v>3609.3933550546903</v>
      </c>
      <c r="AF173" s="90">
        <f t="shared" si="140"/>
        <v>2598.140025222212</v>
      </c>
      <c r="AG173" s="86">
        <f t="shared" si="141"/>
        <v>-12886.331120000001</v>
      </c>
      <c r="AH173" s="85">
        <f t="shared" si="142"/>
        <v>6183.1314163678471</v>
      </c>
      <c r="AI173" s="85">
        <f t="shared" si="143"/>
        <v>-8811.7434062952634</v>
      </c>
      <c r="AJ173" s="90">
        <f t="shared" si="144"/>
        <v>6183.1314163678471</v>
      </c>
      <c r="AL173" s="95">
        <f t="shared" si="145"/>
        <v>0</v>
      </c>
      <c r="AM173" s="95">
        <f t="shared" si="146"/>
        <v>0</v>
      </c>
      <c r="AN173" s="95">
        <f t="shared" si="147"/>
        <v>0</v>
      </c>
      <c r="AO173" s="95">
        <f t="shared" si="148"/>
        <v>0</v>
      </c>
      <c r="AP173"/>
      <c r="AQ173" s="95">
        <f t="shared" si="149"/>
        <v>0</v>
      </c>
      <c r="AR173" s="95">
        <f t="shared" si="150"/>
        <v>0</v>
      </c>
      <c r="AS173" s="95">
        <f>Geraetedaten!$B$94*ABS(SIN(RADIANS($A173)))</f>
        <v>110.77832925215226</v>
      </c>
      <c r="AT173" s="95">
        <f>Geraetedaten!$B$94*ABS(COS(RADIANS($A173)))</f>
        <v>106.97738905068559</v>
      </c>
      <c r="AU173" s="95">
        <f>((h_Aw_Sw+Geraetedaten!$B$18)/1000)*(AQ173*AS173+AR173*AT173)/100</f>
        <v>0</v>
      </c>
    </row>
    <row r="174" spans="1:47" ht="13.5" x14ac:dyDescent="0.25">
      <c r="A174" s="16">
        <v>135</v>
      </c>
      <c r="B174" s="16">
        <f t="shared" si="118"/>
        <v>315</v>
      </c>
      <c r="C174" s="19">
        <f t="shared" si="119"/>
        <v>66.110906080629391</v>
      </c>
      <c r="D174" s="17">
        <f t="shared" si="120"/>
        <v>-9554.5259860806309</v>
      </c>
      <c r="E174" s="17">
        <f t="shared" si="121"/>
        <v>12472.120683919369</v>
      </c>
      <c r="F174" s="17">
        <f t="shared" si="122"/>
        <v>9242.5300039193698</v>
      </c>
      <c r="G174" s="17">
        <f t="shared" si="123"/>
        <v>-12729.958226080631</v>
      </c>
      <c r="H174" s="17">
        <f t="shared" si="151"/>
        <v>9242.5300039193698</v>
      </c>
      <c r="I174" s="17">
        <f t="shared" si="124"/>
        <v>3671.7478347311066</v>
      </c>
      <c r="J174" s="20">
        <f>(Geraetedaten!$B$152+(Geraetedaten!$B$153*(Geraetedaten!$B$18+d_y_Sw)/1000))*10</f>
        <v>6051.0442000000003</v>
      </c>
      <c r="K174" s="20">
        <f>(Geraetedaten!$B$165+(Geraetedaten!$B$166*(Geraetedaten!$B$18+d_y_Sw)/1000))*10</f>
        <v>10816.164000000001</v>
      </c>
      <c r="L174" s="20">
        <f>(Geraetedaten!$B$158+(Geraetedaten!$B$159*(Geraetedaten!$B$18+d_y_Sw)/1000)-(Geraetedaten!$B$160*I174/1000))*10</f>
        <v>332.28733127916769</v>
      </c>
      <c r="M174" s="20">
        <f>(Geraetedaten!$B$171+(Geraetedaten!$B$172*(Geraetedaten!$B$18+d_y_Sw)/1000)-(Geraetedaten!$B$173*I174/1000))*10</f>
        <v>791.54209118261736</v>
      </c>
      <c r="N174" s="20">
        <f>IF((H174-J174)/(K174-J174)*(Geraetedaten!$B$174-Geraetedaten!$B$161)&lt;Geraetedaten!$B$174,(H174-J174)/(K174-J174)*(Geraetedaten!$B$174-Geraetedaten!$B$161),Geraetedaten!$B$174)</f>
        <v>267.90393004762393</v>
      </c>
      <c r="O174" s="20">
        <f>N174/Geraetedaten!$B$174*(M174-L174)+L174+C174</f>
        <v>705.98862503782732</v>
      </c>
      <c r="P174" s="20">
        <f t="shared" si="125"/>
        <v>214.83483810049523</v>
      </c>
      <c r="Q174" s="21">
        <f>(N174-Geraetedaten!$B$161)/(Geraetedaten!$B$174-Geraetedaten!$B$161)*(Geraetedaten!$B$175-Geraetedaten!$B$162)+Geraetedaten!$B$162</f>
        <v>37.170141918916812</v>
      </c>
      <c r="R174" s="21">
        <f t="shared" si="126"/>
        <v>37.170141918916812</v>
      </c>
      <c r="S174" s="21">
        <f t="shared" si="127"/>
        <v>26.28325940853243</v>
      </c>
      <c r="T174" s="88">
        <f t="shared" si="128"/>
        <v>-26.283259408532427</v>
      </c>
      <c r="U174" s="86">
        <f t="shared" si="129"/>
        <v>-9488.4150800000007</v>
      </c>
      <c r="V174" s="85">
        <f t="shared" si="130"/>
        <v>-2683.3128092763232</v>
      </c>
      <c r="W174" s="85">
        <f t="shared" si="131"/>
        <v>-3798.9046634988058</v>
      </c>
      <c r="X174" s="90">
        <f t="shared" si="132"/>
        <v>2683.3128092763232</v>
      </c>
      <c r="Y174" s="86">
        <f t="shared" si="133"/>
        <v>12538.231589999999</v>
      </c>
      <c r="Z174" s="85">
        <f t="shared" si="134"/>
        <v>-832.16398485565549</v>
      </c>
      <c r="AA174" s="85">
        <f t="shared" si="135"/>
        <v>1214.8021959297807</v>
      </c>
      <c r="AB174" s="90">
        <f t="shared" si="136"/>
        <v>832.16398485565549</v>
      </c>
      <c r="AC174" s="86">
        <f t="shared" si="137"/>
        <v>9308.6409100000001</v>
      </c>
      <c r="AD174" s="85">
        <f t="shared" si="138"/>
        <v>2598.140025222212</v>
      </c>
      <c r="AE174" s="85">
        <f t="shared" si="139"/>
        <v>3671.7478347311066</v>
      </c>
      <c r="AF174" s="90">
        <f t="shared" si="140"/>
        <v>2598.140025222212</v>
      </c>
      <c r="AG174" s="86">
        <f t="shared" si="141"/>
        <v>-12663.847320000001</v>
      </c>
      <c r="AH174" s="85">
        <f t="shared" si="142"/>
        <v>6183.1314163678471</v>
      </c>
      <c r="AI174" s="85">
        <f t="shared" si="143"/>
        <v>-8659.6077715489464</v>
      </c>
      <c r="AJ174" s="90">
        <f t="shared" si="144"/>
        <v>6183.1314163678471</v>
      </c>
      <c r="AL174" s="95">
        <f t="shared" si="145"/>
        <v>0</v>
      </c>
      <c r="AM174" s="95">
        <f t="shared" si="146"/>
        <v>0</v>
      </c>
      <c r="AN174" s="95">
        <f t="shared" si="147"/>
        <v>0</v>
      </c>
      <c r="AO174" s="95">
        <f t="shared" si="148"/>
        <v>0</v>
      </c>
      <c r="AP174"/>
      <c r="AQ174" s="95">
        <f t="shared" si="149"/>
        <v>0</v>
      </c>
      <c r="AR174" s="95">
        <f t="shared" si="150"/>
        <v>0</v>
      </c>
      <c r="AS174" s="95">
        <f>Geraetedaten!$B$94*ABS(SIN(RADIANS($A174)))</f>
        <v>108.89444430272833</v>
      </c>
      <c r="AT174" s="95">
        <f>Geraetedaten!$B$94*ABS(COS(RADIANS($A174)))</f>
        <v>108.8944443027283</v>
      </c>
      <c r="AU174" s="95">
        <f>((h_Aw_Sw+Geraetedaten!$B$18)/1000)*(AQ174*AS174+AR174*AT174)/100</f>
        <v>0</v>
      </c>
    </row>
    <row r="175" spans="1:47" ht="13.5" x14ac:dyDescent="0.25">
      <c r="A175" s="16">
        <v>136</v>
      </c>
      <c r="B175" s="16">
        <f t="shared" si="118"/>
        <v>314</v>
      </c>
      <c r="C175" s="19">
        <f t="shared" si="119"/>
        <v>65.686173498138928</v>
      </c>
      <c r="D175" s="17">
        <f t="shared" si="120"/>
        <v>-9724.50851349814</v>
      </c>
      <c r="E175" s="17">
        <f t="shared" si="121"/>
        <v>12245.907916501861</v>
      </c>
      <c r="F175" s="17">
        <f t="shared" si="122"/>
        <v>9409.5311565018601</v>
      </c>
      <c r="G175" s="17">
        <f t="shared" si="123"/>
        <v>-12518.33053349814</v>
      </c>
      <c r="H175" s="17">
        <f t="shared" si="151"/>
        <v>9409.5311565018601</v>
      </c>
      <c r="I175" s="17">
        <f t="shared" si="124"/>
        <v>3737.4530891209574</v>
      </c>
      <c r="J175" s="20">
        <f>(Geraetedaten!$B$152+(Geraetedaten!$B$153*(Geraetedaten!$B$18+d_y_Sw)/1000))*10</f>
        <v>6051.0442000000003</v>
      </c>
      <c r="K175" s="20">
        <f>(Geraetedaten!$B$165+(Geraetedaten!$B$166*(Geraetedaten!$B$18+d_y_Sw)/1000))*10</f>
        <v>10816.164000000001</v>
      </c>
      <c r="L175" s="20">
        <f>(Geraetedaten!$B$158+(Geraetedaten!$B$159*(Geraetedaten!$B$18+d_y_Sw)/1000)-(Geraetedaten!$B$160*I175/1000))*10</f>
        <v>327.46916497475991</v>
      </c>
      <c r="M175" s="20">
        <f>(Geraetedaten!$B$171+(Geraetedaten!$B$172*(Geraetedaten!$B$18+d_y_Sw)/1000)-(Geraetedaten!$B$173*I175/1000))*10</f>
        <v>786.6509920458368</v>
      </c>
      <c r="N175" s="20">
        <f>IF((H175-J175)/(K175-J175)*(Geraetedaten!$B$174-Geraetedaten!$B$161)&lt;Geraetedaten!$B$174,(H175-J175)/(K175-J175)*(Geraetedaten!$B$174-Geraetedaten!$B$161),Geraetedaten!$B$174)</f>
        <v>281.92256207299209</v>
      </c>
      <c r="O175" s="20">
        <f>N175/Geraetedaten!$B$174*(M175-L175)+L175+C175</f>
        <v>716.78963133598791</v>
      </c>
      <c r="P175" s="20">
        <f t="shared" si="125"/>
        <v>215.85759283582138</v>
      </c>
      <c r="Q175" s="21">
        <f>(N175-Geraetedaten!$B$161)/(Geraetedaten!$B$174-Geraetedaten!$B$161)*(Geraetedaten!$B$175-Geraetedaten!$B$162)+Geraetedaten!$B$162</f>
        <v>37.587196221671519</v>
      </c>
      <c r="R175" s="21">
        <f t="shared" si="126"/>
        <v>37.587196221671519</v>
      </c>
      <c r="S175" s="21">
        <f t="shared" si="127"/>
        <v>26.110260477468913</v>
      </c>
      <c r="T175" s="88">
        <f t="shared" si="128"/>
        <v>-27.037966225386896</v>
      </c>
      <c r="U175" s="86">
        <f t="shared" si="129"/>
        <v>-9658.8223400000006</v>
      </c>
      <c r="V175" s="85">
        <f t="shared" si="130"/>
        <v>-2683.3128092763232</v>
      </c>
      <c r="W175" s="85">
        <f t="shared" si="131"/>
        <v>-3867.1311199930287</v>
      </c>
      <c r="X175" s="90">
        <f t="shared" si="132"/>
        <v>2683.3128092763232</v>
      </c>
      <c r="Y175" s="86">
        <f t="shared" si="133"/>
        <v>12311.594090000001</v>
      </c>
      <c r="Z175" s="85">
        <f t="shared" si="134"/>
        <v>-832.16398485565549</v>
      </c>
      <c r="AA175" s="85">
        <f t="shared" si="135"/>
        <v>1192.8437771198714</v>
      </c>
      <c r="AB175" s="90">
        <f t="shared" si="136"/>
        <v>832.16398485565549</v>
      </c>
      <c r="AC175" s="86">
        <f t="shared" si="137"/>
        <v>9475.2173299999995</v>
      </c>
      <c r="AD175" s="85">
        <f t="shared" si="138"/>
        <v>2598.140025222212</v>
      </c>
      <c r="AE175" s="85">
        <f t="shared" si="139"/>
        <v>3737.4530891209574</v>
      </c>
      <c r="AF175" s="90">
        <f t="shared" si="140"/>
        <v>2598.140025222212</v>
      </c>
      <c r="AG175" s="86">
        <f t="shared" si="141"/>
        <v>-12452.64436</v>
      </c>
      <c r="AH175" s="85">
        <f t="shared" si="142"/>
        <v>6183.1314163678471</v>
      </c>
      <c r="AI175" s="85">
        <f t="shared" si="143"/>
        <v>-8515.1860377058638</v>
      </c>
      <c r="AJ175" s="90">
        <f t="shared" si="144"/>
        <v>6183.1314163678471</v>
      </c>
      <c r="AL175" s="95">
        <f t="shared" si="145"/>
        <v>0</v>
      </c>
      <c r="AM175" s="95">
        <f t="shared" si="146"/>
        <v>0</v>
      </c>
      <c r="AN175" s="95">
        <f t="shared" si="147"/>
        <v>0</v>
      </c>
      <c r="AO175" s="95">
        <f t="shared" si="148"/>
        <v>0</v>
      </c>
      <c r="AP175"/>
      <c r="AQ175" s="95">
        <f t="shared" si="149"/>
        <v>0</v>
      </c>
      <c r="AR175" s="95">
        <f t="shared" si="150"/>
        <v>0</v>
      </c>
      <c r="AS175" s="95">
        <f>Geraetedaten!$B$94*ABS(SIN(RADIANS($A175)))</f>
        <v>106.97738905068556</v>
      </c>
      <c r="AT175" s="95">
        <f>Geraetedaten!$B$94*ABS(COS(RADIANS($A175)))</f>
        <v>110.77832925215229</v>
      </c>
      <c r="AU175" s="95">
        <f>((h_Aw_Sw+Geraetedaten!$B$18)/1000)*(AQ175*AS175+AR175*AT175)/100</f>
        <v>0</v>
      </c>
    </row>
    <row r="176" spans="1:47" ht="13.5" x14ac:dyDescent="0.25">
      <c r="A176" s="16">
        <v>137</v>
      </c>
      <c r="B176" s="16">
        <f t="shared" si="118"/>
        <v>313</v>
      </c>
      <c r="C176" s="19">
        <f t="shared" si="119"/>
        <v>65.241432270884701</v>
      </c>
      <c r="D176" s="17">
        <f t="shared" si="120"/>
        <v>-9903.7555522708844</v>
      </c>
      <c r="E176" s="17">
        <f t="shared" si="121"/>
        <v>12031.382277729115</v>
      </c>
      <c r="F176" s="17">
        <f t="shared" si="122"/>
        <v>9585.6159677291162</v>
      </c>
      <c r="G176" s="17">
        <f t="shared" si="123"/>
        <v>-12317.282862270884</v>
      </c>
      <c r="H176" s="17">
        <f t="shared" si="151"/>
        <v>9585.6159677291162</v>
      </c>
      <c r="I176" s="17">
        <f t="shared" si="124"/>
        <v>3806.733454314237</v>
      </c>
      <c r="J176" s="20">
        <f>(Geraetedaten!$B$152+(Geraetedaten!$B$153*(Geraetedaten!$B$18+d_y_Sw)/1000))*10</f>
        <v>6051.0442000000003</v>
      </c>
      <c r="K176" s="20">
        <f>(Geraetedaten!$B$165+(Geraetedaten!$B$166*(Geraetedaten!$B$18+d_y_Sw)/1000))*10</f>
        <v>10816.164000000001</v>
      </c>
      <c r="L176" s="20">
        <f>(Geraetedaten!$B$158+(Geraetedaten!$B$159*(Geraetedaten!$B$18+d_y_Sw)/1000)-(Geraetedaten!$B$160*I176/1000))*10</f>
        <v>322.38883579513686</v>
      </c>
      <c r="M176" s="20">
        <f>(Geraetedaten!$B$171+(Geraetedaten!$B$172*(Geraetedaten!$B$18+d_y_Sw)/1000)-(Geraetedaten!$B$173*I176/1000))*10</f>
        <v>781.49376166084903</v>
      </c>
      <c r="N176" s="20">
        <f>IF((H176-J176)/(K176-J176)*(Geraetedaten!$B$174-Geraetedaten!$B$161)&lt;Geraetedaten!$B$174,(H176-J176)/(K176-J176)*(Geraetedaten!$B$174-Geraetedaten!$B$161),Geraetedaten!$B$174)</f>
        <v>296.70370660809959</v>
      </c>
      <c r="O176" s="20">
        <f>N176/Geraetedaten!$B$174*(M176-L176)+L176+C176</f>
        <v>728.17560113200557</v>
      </c>
      <c r="P176" s="20">
        <f t="shared" si="125"/>
        <v>216.91248467790891</v>
      </c>
      <c r="Q176" s="21">
        <f>(N176-Geraetedaten!$B$161)/(Geraetedaten!$B$174-Geraetedaten!$B$161)*(Geraetedaten!$B$175-Geraetedaten!$B$162)+Geraetedaten!$B$162</f>
        <v>38.026935271590965</v>
      </c>
      <c r="R176" s="21">
        <f t="shared" si="126"/>
        <v>38.026935271590965</v>
      </c>
      <c r="S176" s="21">
        <f t="shared" si="127"/>
        <v>25.934307493427823</v>
      </c>
      <c r="T176" s="88">
        <f t="shared" si="128"/>
        <v>-27.811139872110648</v>
      </c>
      <c r="U176" s="86">
        <f t="shared" si="129"/>
        <v>-9838.5141199999998</v>
      </c>
      <c r="V176" s="85">
        <f t="shared" si="130"/>
        <v>-2683.3128092763232</v>
      </c>
      <c r="W176" s="85">
        <f t="shared" si="131"/>
        <v>-3939.0748442447366</v>
      </c>
      <c r="X176" s="90">
        <f t="shared" si="132"/>
        <v>2683.3128092763232</v>
      </c>
      <c r="Y176" s="86">
        <f t="shared" si="133"/>
        <v>12096.62371</v>
      </c>
      <c r="Z176" s="85">
        <f t="shared" si="134"/>
        <v>-832.16398485565549</v>
      </c>
      <c r="AA176" s="85">
        <f t="shared" si="135"/>
        <v>1172.0157610853148</v>
      </c>
      <c r="AB176" s="90">
        <f t="shared" si="136"/>
        <v>832.16398485565549</v>
      </c>
      <c r="AC176" s="86">
        <f t="shared" si="137"/>
        <v>9650.8574000000008</v>
      </c>
      <c r="AD176" s="85">
        <f t="shared" si="138"/>
        <v>2598.140025222212</v>
      </c>
      <c r="AE176" s="85">
        <f t="shared" si="139"/>
        <v>3806.733454314237</v>
      </c>
      <c r="AF176" s="90">
        <f t="shared" si="140"/>
        <v>2598.140025222212</v>
      </c>
      <c r="AG176" s="86">
        <f t="shared" si="141"/>
        <v>-12252.041429999999</v>
      </c>
      <c r="AH176" s="85">
        <f t="shared" si="142"/>
        <v>6183.1314163678471</v>
      </c>
      <c r="AI176" s="85">
        <f t="shared" si="143"/>
        <v>-8378.0126666334781</v>
      </c>
      <c r="AJ176" s="90">
        <f t="shared" si="144"/>
        <v>6183.1314163678471</v>
      </c>
      <c r="AL176" s="95">
        <f t="shared" si="145"/>
        <v>0</v>
      </c>
      <c r="AM176" s="95">
        <f t="shared" si="146"/>
        <v>0</v>
      </c>
      <c r="AN176" s="95">
        <f t="shared" si="147"/>
        <v>0</v>
      </c>
      <c r="AO176" s="95">
        <f t="shared" si="148"/>
        <v>0</v>
      </c>
      <c r="AP176"/>
      <c r="AQ176" s="95">
        <f t="shared" si="149"/>
        <v>0</v>
      </c>
      <c r="AR176" s="95">
        <f t="shared" si="150"/>
        <v>0</v>
      </c>
      <c r="AS176" s="95">
        <f>Geraetedaten!$B$94*ABS(SIN(RADIANS($A176)))</f>
        <v>105.02774744962478</v>
      </c>
      <c r="AT176" s="95">
        <f>Geraetedaten!$B$94*ABS(COS(RADIANS($A176)))</f>
        <v>112.62847004935225</v>
      </c>
      <c r="AU176" s="95">
        <f>((h_Aw_Sw+Geraetedaten!$B$18)/1000)*(AQ176*AS176+AR176*AT176)/100</f>
        <v>0</v>
      </c>
    </row>
    <row r="177" spans="1:47" ht="13.5" x14ac:dyDescent="0.25">
      <c r="A177" s="16">
        <v>138</v>
      </c>
      <c r="B177" s="16">
        <f t="shared" si="118"/>
        <v>312</v>
      </c>
      <c r="C177" s="19">
        <f t="shared" si="119"/>
        <v>64.776817871352804</v>
      </c>
      <c r="D177" s="17">
        <f t="shared" si="120"/>
        <v>-10092.907957871352</v>
      </c>
      <c r="E177" s="17">
        <f t="shared" si="121"/>
        <v>11827.815222128647</v>
      </c>
      <c r="F177" s="17">
        <f t="shared" si="122"/>
        <v>9771.4080221286476</v>
      </c>
      <c r="G177" s="17">
        <f t="shared" si="123"/>
        <v>-12126.191767871353</v>
      </c>
      <c r="H177" s="17">
        <f t="shared" si="151"/>
        <v>9771.4080221286476</v>
      </c>
      <c r="I177" s="17">
        <f t="shared" si="124"/>
        <v>3879.8349569232701</v>
      </c>
      <c r="J177" s="20">
        <f>(Geraetedaten!$B$152+(Geraetedaten!$B$153*(Geraetedaten!$B$18+d_y_Sw)/1000))*10</f>
        <v>6051.0442000000003</v>
      </c>
      <c r="K177" s="20">
        <f>(Geraetedaten!$B$165+(Geraetedaten!$B$166*(Geraetedaten!$B$18+d_y_Sw)/1000))*10</f>
        <v>10816.164000000001</v>
      </c>
      <c r="L177" s="20">
        <f>(Geraetedaten!$B$158+(Geraetedaten!$B$159*(Geraetedaten!$B$18+d_y_Sw)/1000)-(Geraetedaten!$B$160*I177/1000))*10</f>
        <v>317.02830260881638</v>
      </c>
      <c r="M177" s="20">
        <f>(Geraetedaten!$B$171+(Geraetedaten!$B$172*(Geraetedaten!$B$18+d_y_Sw)/1000)-(Geraetedaten!$B$173*I177/1000))*10</f>
        <v>776.05208580663259</v>
      </c>
      <c r="N177" s="20">
        <f>IF((H177-J177)/(K177-J177)*(Geraetedaten!$B$174-Geraetedaten!$B$161)&lt;Geraetedaten!$B$174,(H177-J177)/(K177-J177)*(Geraetedaten!$B$174-Geraetedaten!$B$161),Geraetedaten!$B$174)</f>
        <v>312.29970941159945</v>
      </c>
      <c r="O177" s="20">
        <f>N177/Geraetedaten!$B$174*(M177-L177)+L177+C177</f>
        <v>740.18760574439682</v>
      </c>
      <c r="P177" s="20">
        <f t="shared" si="125"/>
        <v>218.00057171813773</v>
      </c>
      <c r="Q177" s="21">
        <f>(N177-Geraetedaten!$B$161)/(Geraetedaten!$B$174-Geraetedaten!$B$161)*(Geraetedaten!$B$175-Geraetedaten!$B$162)+Geraetedaten!$B$162</f>
        <v>38.490916354995086</v>
      </c>
      <c r="R177" s="21">
        <f t="shared" si="126"/>
        <v>38.490916354995086</v>
      </c>
      <c r="S177" s="21">
        <f t="shared" si="127"/>
        <v>25.75545019992596</v>
      </c>
      <c r="T177" s="88">
        <f t="shared" si="128"/>
        <v>-28.604325317097796</v>
      </c>
      <c r="U177" s="86">
        <f t="shared" si="129"/>
        <v>-10028.13114</v>
      </c>
      <c r="V177" s="85">
        <f t="shared" si="130"/>
        <v>-2683.3128092763232</v>
      </c>
      <c r="W177" s="85">
        <f t="shared" si="131"/>
        <v>-4014.9923701156104</v>
      </c>
      <c r="X177" s="90">
        <f t="shared" si="132"/>
        <v>2683.3128092763232</v>
      </c>
      <c r="Y177" s="86">
        <f t="shared" si="133"/>
        <v>11892.59204</v>
      </c>
      <c r="Z177" s="85">
        <f t="shared" si="134"/>
        <v>-832.16398485565549</v>
      </c>
      <c r="AA177" s="85">
        <f t="shared" si="135"/>
        <v>1152.2475733389347</v>
      </c>
      <c r="AB177" s="90">
        <f t="shared" si="136"/>
        <v>832.16398485565549</v>
      </c>
      <c r="AC177" s="86">
        <f t="shared" si="137"/>
        <v>9836.1848399999999</v>
      </c>
      <c r="AD177" s="85">
        <f t="shared" si="138"/>
        <v>2598.140025222212</v>
      </c>
      <c r="AE177" s="85">
        <f t="shared" si="139"/>
        <v>3879.8349569232701</v>
      </c>
      <c r="AF177" s="90">
        <f t="shared" si="140"/>
        <v>2598.140025222212</v>
      </c>
      <c r="AG177" s="86">
        <f t="shared" si="141"/>
        <v>-12061.41495</v>
      </c>
      <c r="AH177" s="85">
        <f t="shared" si="142"/>
        <v>6183.1314163678471</v>
      </c>
      <c r="AI177" s="85">
        <f t="shared" si="143"/>
        <v>-8247.6612403814088</v>
      </c>
      <c r="AJ177" s="90">
        <f t="shared" si="144"/>
        <v>6183.1314163678471</v>
      </c>
      <c r="AL177" s="95">
        <f t="shared" si="145"/>
        <v>0</v>
      </c>
      <c r="AM177" s="95">
        <f t="shared" si="146"/>
        <v>0</v>
      </c>
      <c r="AN177" s="95">
        <f t="shared" si="147"/>
        <v>0</v>
      </c>
      <c r="AO177" s="95">
        <f t="shared" si="148"/>
        <v>0</v>
      </c>
      <c r="AP177"/>
      <c r="AQ177" s="95">
        <f t="shared" si="149"/>
        <v>0</v>
      </c>
      <c r="AR177" s="95">
        <f t="shared" si="150"/>
        <v>0</v>
      </c>
      <c r="AS177" s="95">
        <f>Geraetedaten!$B$94*ABS(SIN(RADIANS($A177)))</f>
        <v>103.04611337926418</v>
      </c>
      <c r="AT177" s="95">
        <f>Geraetedaten!$B$94*ABS(COS(RADIANS($A177)))</f>
        <v>114.44430312351868</v>
      </c>
      <c r="AU177" s="95">
        <f>((h_Aw_Sw+Geraetedaten!$B$18)/1000)*(AQ177*AS177+AR177*AT177)/100</f>
        <v>0</v>
      </c>
    </row>
    <row r="178" spans="1:47" ht="13.5" x14ac:dyDescent="0.25">
      <c r="A178" s="16">
        <v>139</v>
      </c>
      <c r="B178" s="16">
        <f t="shared" si="118"/>
        <v>311</v>
      </c>
      <c r="C178" s="19">
        <f t="shared" si="119"/>
        <v>64.292471825590184</v>
      </c>
      <c r="D178" s="17">
        <f t="shared" si="120"/>
        <v>-10292.670111825591</v>
      </c>
      <c r="E178" s="17">
        <f t="shared" si="121"/>
        <v>11634.540938174408</v>
      </c>
      <c r="F178" s="17">
        <f t="shared" si="122"/>
        <v>9967.5925781744099</v>
      </c>
      <c r="G178" s="17">
        <f t="shared" si="123"/>
        <v>-11944.48526182559</v>
      </c>
      <c r="H178" s="17">
        <f t="shared" si="151"/>
        <v>9967.5925781744099</v>
      </c>
      <c r="I178" s="17">
        <f t="shared" si="124"/>
        <v>3957.0279452753184</v>
      </c>
      <c r="J178" s="20">
        <f>(Geraetedaten!$B$152+(Geraetedaten!$B$153*(Geraetedaten!$B$18+d_y_Sw)/1000))*10</f>
        <v>6051.0442000000003</v>
      </c>
      <c r="K178" s="20">
        <f>(Geraetedaten!$B$165+(Geraetedaten!$B$166*(Geraetedaten!$B$18+d_y_Sw)/1000))*10</f>
        <v>10816.164000000001</v>
      </c>
      <c r="L178" s="20">
        <f>(Geraetedaten!$B$158+(Geraetedaten!$B$159*(Geraetedaten!$B$18+d_y_Sw)/1000)-(Geraetedaten!$B$160*I178/1000))*10</f>
        <v>311.3677407729607</v>
      </c>
      <c r="M178" s="20">
        <f>(Geraetedaten!$B$171+(Geraetedaten!$B$172*(Geraetedaten!$B$18+d_y_Sw)/1000)-(Geraetedaten!$B$173*I178/1000))*10</f>
        <v>770.30583975370621</v>
      </c>
      <c r="N178" s="20">
        <f>IF((H178-J178)/(K178-J178)*(Geraetedaten!$B$174-Geraetedaten!$B$161)&lt;Geraetedaten!$B$174,(H178-J178)/(K178-J178)*(Geraetedaten!$B$174-Geraetedaten!$B$161),Geraetedaten!$B$174)</f>
        <v>328.76809335827477</v>
      </c>
      <c r="O178" s="20">
        <f>N178/Geraetedaten!$B$174*(M178-L178)+L178+C178</f>
        <v>752.870722026978</v>
      </c>
      <c r="P178" s="20">
        <f t="shared" si="125"/>
        <v>219.12294374886525</v>
      </c>
      <c r="Q178" s="21">
        <f>(N178-Geraetedaten!$B$161)/(Geraetedaten!$B$174-Geraetedaten!$B$161)*(Geraetedaten!$B$175-Geraetedaten!$B$162)+Geraetedaten!$B$162</f>
        <v>38.980850777408676</v>
      </c>
      <c r="R178" s="21">
        <f t="shared" si="126"/>
        <v>38.980850777408676</v>
      </c>
      <c r="S178" s="21">
        <f t="shared" si="127"/>
        <v>25.573739110250596</v>
      </c>
      <c r="T178" s="88">
        <f t="shared" si="128"/>
        <v>-29.419221526944618</v>
      </c>
      <c r="U178" s="86">
        <f t="shared" si="129"/>
        <v>-10228.377640000001</v>
      </c>
      <c r="V178" s="85">
        <f t="shared" si="130"/>
        <v>-2683.3128092763232</v>
      </c>
      <c r="W178" s="85">
        <f t="shared" si="131"/>
        <v>-4095.1656507833231</v>
      </c>
      <c r="X178" s="90">
        <f t="shared" si="132"/>
        <v>2683.3128092763232</v>
      </c>
      <c r="Y178" s="86">
        <f t="shared" si="133"/>
        <v>11698.833409999999</v>
      </c>
      <c r="Z178" s="85">
        <f t="shared" si="134"/>
        <v>-832.16398485565549</v>
      </c>
      <c r="AA178" s="85">
        <f t="shared" si="135"/>
        <v>1133.4747180981658</v>
      </c>
      <c r="AB178" s="90">
        <f t="shared" si="136"/>
        <v>832.16398485565549</v>
      </c>
      <c r="AC178" s="86">
        <f t="shared" si="137"/>
        <v>10031.885050000001</v>
      </c>
      <c r="AD178" s="85">
        <f t="shared" si="138"/>
        <v>2598.140025222212</v>
      </c>
      <c r="AE178" s="85">
        <f t="shared" si="139"/>
        <v>3957.0279452753184</v>
      </c>
      <c r="AF178" s="90">
        <f t="shared" si="140"/>
        <v>2598.140025222212</v>
      </c>
      <c r="AG178" s="86">
        <f t="shared" si="141"/>
        <v>-11880.192789999999</v>
      </c>
      <c r="AH178" s="85">
        <f t="shared" si="142"/>
        <v>6183.1314163678471</v>
      </c>
      <c r="AI178" s="85">
        <f t="shared" si="143"/>
        <v>-8123.7405412827911</v>
      </c>
      <c r="AJ178" s="90">
        <f t="shared" si="144"/>
        <v>6183.1314163678471</v>
      </c>
      <c r="AL178" s="95">
        <f t="shared" si="145"/>
        <v>0</v>
      </c>
      <c r="AM178" s="95">
        <f t="shared" si="146"/>
        <v>0</v>
      </c>
      <c r="AN178" s="95">
        <f t="shared" si="147"/>
        <v>0</v>
      </c>
      <c r="AO178" s="95">
        <f t="shared" si="148"/>
        <v>0</v>
      </c>
      <c r="AP178"/>
      <c r="AQ178" s="95">
        <f t="shared" si="149"/>
        <v>0</v>
      </c>
      <c r="AR178" s="95">
        <f t="shared" si="150"/>
        <v>0</v>
      </c>
      <c r="AS178" s="95">
        <f>Geraetedaten!$B$94*ABS(SIN(RADIANS($A178)))</f>
        <v>101.03309046453812</v>
      </c>
      <c r="AT178" s="95">
        <f>Geraetedaten!$B$94*ABS(COS(RADIANS($A178)))</f>
        <v>116.22527535430689</v>
      </c>
      <c r="AU178" s="95">
        <f>((h_Aw_Sw+Geraetedaten!$B$18)/1000)*(AQ178*AS178+AR178*AT178)/100</f>
        <v>0</v>
      </c>
    </row>
    <row r="179" spans="1:47" ht="13.5" x14ac:dyDescent="0.25">
      <c r="A179" s="16">
        <v>140</v>
      </c>
      <c r="B179" s="16">
        <f t="shared" si="118"/>
        <v>310</v>
      </c>
      <c r="C179" s="19">
        <f t="shared" si="119"/>
        <v>63.788541670094311</v>
      </c>
      <c r="D179" s="17">
        <f t="shared" si="120"/>
        <v>-10503.817791670093</v>
      </c>
      <c r="E179" s="17">
        <f t="shared" si="121"/>
        <v>11450.949878329906</v>
      </c>
      <c r="F179" s="17">
        <f t="shared" si="122"/>
        <v>10174.924198329907</v>
      </c>
      <c r="G179" s="17">
        <f t="shared" si="123"/>
        <v>-11771.637811670094</v>
      </c>
      <c r="H179" s="17">
        <f t="shared" si="151"/>
        <v>10174.924198329907</v>
      </c>
      <c r="I179" s="17">
        <f t="shared" si="124"/>
        <v>4038.6101154351636</v>
      </c>
      <c r="J179" s="20">
        <f>(Geraetedaten!$B$152+(Geraetedaten!$B$153*(Geraetedaten!$B$18+d_y_Sw)/1000))*10</f>
        <v>6051.0442000000003</v>
      </c>
      <c r="K179" s="20">
        <f>(Geraetedaten!$B$165+(Geraetedaten!$B$166*(Geraetedaten!$B$18+d_y_Sw)/1000))*10</f>
        <v>10816.164000000001</v>
      </c>
      <c r="L179" s="20">
        <f>(Geraetedaten!$B$158+(Geraetedaten!$B$159*(Geraetedaten!$B$18+d_y_Sw)/1000)-(Geraetedaten!$B$160*I179/1000))*10</f>
        <v>305.38532023513926</v>
      </c>
      <c r="M179" s="20">
        <f>(Geraetedaten!$B$171+(Geraetedaten!$B$172*(Geraetedaten!$B$18+d_y_Sw)/1000)-(Geraetedaten!$B$173*I179/1000))*10</f>
        <v>764.23286300700727</v>
      </c>
      <c r="N179" s="20">
        <f>IF((H179-J179)/(K179-J179)*(Geraetedaten!$B$174-Geraetedaten!$B$161)&lt;Geraetedaten!$B$174,(H179-J179)/(K179-J179)*(Geraetedaten!$B$174-Geraetedaten!$B$161),Geraetedaten!$B$174)</f>
        <v>346.17219893022678</v>
      </c>
      <c r="O179" s="20">
        <f>N179/Geraetedaten!$B$174*(M179-L179)+L179+C179</f>
        <v>766.27451904290569</v>
      </c>
      <c r="P179" s="20">
        <f t="shared" si="125"/>
        <v>220.28072071605857</v>
      </c>
      <c r="Q179" s="21">
        <f>(N179-Geraetedaten!$B$161)/(Geraetedaten!$B$174-Geraetedaten!$B$161)*(Geraetedaten!$B$175-Geraetedaten!$B$162)+Geraetedaten!$B$162</f>
        <v>39.498622918174249</v>
      </c>
      <c r="R179" s="21">
        <f t="shared" si="126"/>
        <v>39.498622918174249</v>
      </c>
      <c r="S179" s="21">
        <f t="shared" si="127"/>
        <v>25.389225411483192</v>
      </c>
      <c r="T179" s="88">
        <f t="shared" si="128"/>
        <v>-30.257700597319289</v>
      </c>
      <c r="U179" s="86">
        <f t="shared" si="129"/>
        <v>-10440.02925</v>
      </c>
      <c r="V179" s="85">
        <f t="shared" si="130"/>
        <v>-2683.3128092763232</v>
      </c>
      <c r="W179" s="85">
        <f t="shared" si="131"/>
        <v>-4179.9052296303607</v>
      </c>
      <c r="X179" s="90">
        <f t="shared" si="132"/>
        <v>2683.3128092763232</v>
      </c>
      <c r="Y179" s="86">
        <f t="shared" si="133"/>
        <v>11514.73842</v>
      </c>
      <c r="Z179" s="85">
        <f t="shared" si="134"/>
        <v>-832.16398485565549</v>
      </c>
      <c r="AA179" s="85">
        <f t="shared" si="135"/>
        <v>1115.6381516530241</v>
      </c>
      <c r="AB179" s="90">
        <f t="shared" si="136"/>
        <v>832.16398485565549</v>
      </c>
      <c r="AC179" s="86">
        <f t="shared" si="137"/>
        <v>10238.712740000001</v>
      </c>
      <c r="AD179" s="85">
        <f t="shared" si="138"/>
        <v>2598.140025222212</v>
      </c>
      <c r="AE179" s="85">
        <f t="shared" si="139"/>
        <v>4038.6101154351636</v>
      </c>
      <c r="AF179" s="90">
        <f t="shared" si="140"/>
        <v>2598.140025222212</v>
      </c>
      <c r="AG179" s="86">
        <f t="shared" si="141"/>
        <v>-11707.849270000001</v>
      </c>
      <c r="AH179" s="85">
        <f t="shared" si="142"/>
        <v>6183.1314163678471</v>
      </c>
      <c r="AI179" s="85">
        <f t="shared" si="143"/>
        <v>-8005.8910985002676</v>
      </c>
      <c r="AJ179" s="90">
        <f t="shared" si="144"/>
        <v>6183.1314163678471</v>
      </c>
      <c r="AL179" s="95">
        <f t="shared" si="145"/>
        <v>0</v>
      </c>
      <c r="AM179" s="95">
        <f t="shared" si="146"/>
        <v>0</v>
      </c>
      <c r="AN179" s="95">
        <f t="shared" si="147"/>
        <v>0</v>
      </c>
      <c r="AO179" s="95">
        <f t="shared" si="148"/>
        <v>0</v>
      </c>
      <c r="AP179"/>
      <c r="AQ179" s="95">
        <f t="shared" si="149"/>
        <v>0</v>
      </c>
      <c r="AR179" s="95">
        <f t="shared" si="150"/>
        <v>0</v>
      </c>
      <c r="AS179" s="95">
        <f>Geraetedaten!$B$94*ABS(SIN(RADIANS($A179)))</f>
        <v>98.989291891727078</v>
      </c>
      <c r="AT179" s="95">
        <f>Geraetedaten!$B$94*ABS(COS(RADIANS($A179)))</f>
        <v>117.97084424032259</v>
      </c>
      <c r="AU179" s="95">
        <f>((h_Aw_Sw+Geraetedaten!$B$18)/1000)*(AQ179*AS179+AR179*AT179)/100</f>
        <v>0</v>
      </c>
    </row>
    <row r="180" spans="1:47" ht="13.5" x14ac:dyDescent="0.25">
      <c r="A180" s="16">
        <v>141</v>
      </c>
      <c r="B180" s="16">
        <f t="shared" si="118"/>
        <v>309</v>
      </c>
      <c r="C180" s="19">
        <f t="shared" si="119"/>
        <v>63.265180906872246</v>
      </c>
      <c r="D180" s="17">
        <f t="shared" si="120"/>
        <v>-10727.207340906873</v>
      </c>
      <c r="E180" s="17">
        <f t="shared" si="121"/>
        <v>11276.483079093128</v>
      </c>
      <c r="F180" s="17">
        <f t="shared" si="122"/>
        <v>10394.235639093127</v>
      </c>
      <c r="G180" s="17">
        <f t="shared" si="123"/>
        <v>-11607.165830906872</v>
      </c>
      <c r="H180" s="17">
        <f t="shared" si="151"/>
        <v>10394.235639093127</v>
      </c>
      <c r="I180" s="17">
        <f t="shared" si="124"/>
        <v>4124.9100028250759</v>
      </c>
      <c r="J180" s="20">
        <f>(Geraetedaten!$B$152+(Geraetedaten!$B$153*(Geraetedaten!$B$18+d_y_Sw)/1000))*10</f>
        <v>6051.0442000000003</v>
      </c>
      <c r="K180" s="20">
        <f>(Geraetedaten!$B$165+(Geraetedaten!$B$166*(Geraetedaten!$B$18+d_y_Sw)/1000))*10</f>
        <v>10816.164000000001</v>
      </c>
      <c r="L180" s="20">
        <f>(Geraetedaten!$B$158+(Geraetedaten!$B$159*(Geraetedaten!$B$18+d_y_Sw)/1000)-(Geraetedaten!$B$160*I180/1000))*10</f>
        <v>299.05694949283696</v>
      </c>
      <c r="M180" s="20">
        <f>(Geraetedaten!$B$171+(Geraetedaten!$B$172*(Geraetedaten!$B$18+d_y_Sw)/1000)-(Geraetedaten!$B$173*I180/1000))*10</f>
        <v>757.80869938970227</v>
      </c>
      <c r="N180" s="20">
        <f>IF((H180-J180)/(K180-J180)*(Geraetedaten!$B$174-Geraetedaten!$B$161)&lt;Geraetedaten!$B$174,(H180-J180)/(K180-J180)*(Geraetedaten!$B$174-Geraetedaten!$B$161),Geraetedaten!$B$174)</f>
        <v>364.58193047680578</v>
      </c>
      <c r="O180" s="20">
        <f>N180/Geraetedaten!$B$174*(M180-L180)+L180+C180</f>
        <v>780.45362686723911</v>
      </c>
      <c r="P180" s="20">
        <f t="shared" si="125"/>
        <v>221.47505179493587</v>
      </c>
      <c r="Q180" s="21">
        <f>(N180-Geraetedaten!$B$161)/(Geraetedaten!$B$174-Geraetedaten!$B$161)*(Geraetedaten!$B$175-Geraetedaten!$B$162)+Geraetedaten!$B$162</f>
        <v>40.046312431684974</v>
      </c>
      <c r="R180" s="21">
        <f t="shared" si="126"/>
        <v>40.046312431684974</v>
      </c>
      <c r="S180" s="21">
        <f t="shared" si="127"/>
        <v>25.201960999611952</v>
      </c>
      <c r="T180" s="88">
        <f t="shared" si="128"/>
        <v>-31.121829977528066</v>
      </c>
      <c r="U180" s="86">
        <f t="shared" si="129"/>
        <v>-10663.942160000001</v>
      </c>
      <c r="V180" s="85">
        <f t="shared" si="130"/>
        <v>-2683.3128092763232</v>
      </c>
      <c r="W180" s="85">
        <f t="shared" si="131"/>
        <v>-4269.5539002927926</v>
      </c>
      <c r="X180" s="90">
        <f t="shared" si="132"/>
        <v>2683.3128092763232</v>
      </c>
      <c r="Y180" s="86">
        <f t="shared" si="133"/>
        <v>11339.74826</v>
      </c>
      <c r="Z180" s="85">
        <f t="shared" si="134"/>
        <v>-832.16398485565549</v>
      </c>
      <c r="AA180" s="85">
        <f t="shared" si="135"/>
        <v>1098.6837322620374</v>
      </c>
      <c r="AB180" s="90">
        <f t="shared" si="136"/>
        <v>832.16398485565549</v>
      </c>
      <c r="AC180" s="86">
        <f t="shared" si="137"/>
        <v>10457.500819999999</v>
      </c>
      <c r="AD180" s="85">
        <f t="shared" si="138"/>
        <v>2598.140025222212</v>
      </c>
      <c r="AE180" s="85">
        <f t="shared" si="139"/>
        <v>4124.9100028250759</v>
      </c>
      <c r="AF180" s="90">
        <f t="shared" si="140"/>
        <v>2598.140025222212</v>
      </c>
      <c r="AG180" s="86">
        <f t="shared" si="141"/>
        <v>-11543.90065</v>
      </c>
      <c r="AH180" s="85">
        <f t="shared" si="142"/>
        <v>6183.1314163678471</v>
      </c>
      <c r="AI180" s="85">
        <f t="shared" si="143"/>
        <v>-7893.7821377606524</v>
      </c>
      <c r="AJ180" s="90">
        <f t="shared" si="144"/>
        <v>6183.1314163678471</v>
      </c>
      <c r="AL180" s="95">
        <f t="shared" si="145"/>
        <v>0</v>
      </c>
      <c r="AM180" s="95">
        <f t="shared" si="146"/>
        <v>0</v>
      </c>
      <c r="AN180" s="95">
        <f t="shared" si="147"/>
        <v>0</v>
      </c>
      <c r="AO180" s="95">
        <f t="shared" si="148"/>
        <v>0</v>
      </c>
      <c r="AP180"/>
      <c r="AQ180" s="95">
        <f t="shared" si="149"/>
        <v>0</v>
      </c>
      <c r="AR180" s="95">
        <f t="shared" si="150"/>
        <v>0</v>
      </c>
      <c r="AS180" s="95">
        <f>Geraetedaten!$B$94*ABS(SIN(RADIANS($A180)))</f>
        <v>96.915340221674953</v>
      </c>
      <c r="AT180" s="95">
        <f>Geraetedaten!$B$94*ABS(COS(RADIANS($A180)))</f>
        <v>119.68047806437352</v>
      </c>
      <c r="AU180" s="95">
        <f>((h_Aw_Sw+Geraetedaten!$B$18)/1000)*(AQ180*AS180+AR180*AT180)/100</f>
        <v>0</v>
      </c>
    </row>
    <row r="181" spans="1:47" ht="13.5" x14ac:dyDescent="0.25">
      <c r="A181" s="16">
        <v>142</v>
      </c>
      <c r="B181" s="16">
        <f t="shared" si="118"/>
        <v>308</v>
      </c>
      <c r="C181" s="19">
        <f t="shared" si="119"/>
        <v>62.722548956682395</v>
      </c>
      <c r="D181" s="17">
        <f t="shared" si="120"/>
        <v>-10963.786248956683</v>
      </c>
      <c r="E181" s="17">
        <f t="shared" si="121"/>
        <v>11110.627161043318</v>
      </c>
      <c r="F181" s="17">
        <f t="shared" si="122"/>
        <v>10626.448081043318</v>
      </c>
      <c r="G181" s="17">
        <f t="shared" si="123"/>
        <v>-11450.623768956682</v>
      </c>
      <c r="H181" s="17">
        <f t="shared" si="151"/>
        <v>10626.448081043318</v>
      </c>
      <c r="I181" s="17">
        <f t="shared" si="124"/>
        <v>4216.2910250937175</v>
      </c>
      <c r="J181" s="20">
        <f>(Geraetedaten!$B$152+(Geraetedaten!$B$153*(Geraetedaten!$B$18+d_y_Sw)/1000))*10</f>
        <v>6051.0442000000003</v>
      </c>
      <c r="K181" s="20">
        <f>(Geraetedaten!$B$165+(Geraetedaten!$B$166*(Geraetedaten!$B$18+d_y_Sw)/1000))*10</f>
        <v>10816.164000000001</v>
      </c>
      <c r="L181" s="20">
        <f>(Geraetedaten!$B$158+(Geraetedaten!$B$159*(Geraetedaten!$B$18+d_y_Sw)/1000)-(Geraetedaten!$B$160*I181/1000))*10</f>
        <v>292.35597912987754</v>
      </c>
      <c r="M181" s="20">
        <f>(Geraetedaten!$B$171+(Geraetedaten!$B$172*(Geraetedaten!$B$18+d_y_Sw)/1000)-(Geraetedaten!$B$173*I181/1000))*10</f>
        <v>751.00629609202451</v>
      </c>
      <c r="N181" s="20">
        <f>IF((H181-J181)/(K181-J181)*(Geraetedaten!$B$174-Geraetedaten!$B$161)&lt;Geraetedaten!$B$174,(H181-J181)/(K181-J181)*(Geraetedaten!$B$174-Geraetedaten!$B$161),Geraetedaten!$B$174)</f>
        <v>384.07461495875231</v>
      </c>
      <c r="O181" s="20">
        <f>N181/Geraetedaten!$B$174*(M181-L181)+L181+C181</f>
        <v>795.46838780642565</v>
      </c>
      <c r="P181" s="20">
        <f t="shared" si="125"/>
        <v>222.70711326525833</v>
      </c>
      <c r="Q181" s="21">
        <f>(N181-Geraetedaten!$B$161)/(Geraetedaten!$B$174-Geraetedaten!$B$161)*(Geraetedaten!$B$175-Geraetedaten!$B$162)+Geraetedaten!$B$162</f>
        <v>40.626219795022884</v>
      </c>
      <c r="R181" s="21">
        <f t="shared" si="126"/>
        <v>40.626219795022884</v>
      </c>
      <c r="S181" s="21">
        <f t="shared" si="127"/>
        <v>25.011998415908256</v>
      </c>
      <c r="T181" s="88">
        <f t="shared" si="128"/>
        <v>-32.013898076868308</v>
      </c>
      <c r="U181" s="86">
        <f t="shared" si="129"/>
        <v>-10901.063700000001</v>
      </c>
      <c r="V181" s="85">
        <f t="shared" si="130"/>
        <v>-2683.3128092763232</v>
      </c>
      <c r="W181" s="85">
        <f t="shared" si="131"/>
        <v>-4364.4909460986937</v>
      </c>
      <c r="X181" s="90">
        <f t="shared" si="132"/>
        <v>2683.3128092763232</v>
      </c>
      <c r="Y181" s="86">
        <f t="shared" si="133"/>
        <v>11173.34971</v>
      </c>
      <c r="Z181" s="85">
        <f t="shared" si="134"/>
        <v>-832.16398485565549</v>
      </c>
      <c r="AA181" s="85">
        <f t="shared" si="135"/>
        <v>1082.5617359213327</v>
      </c>
      <c r="AB181" s="90">
        <f t="shared" si="136"/>
        <v>832.16398485565549</v>
      </c>
      <c r="AC181" s="86">
        <f t="shared" si="137"/>
        <v>10689.170630000001</v>
      </c>
      <c r="AD181" s="85">
        <f t="shared" si="138"/>
        <v>2598.140025222212</v>
      </c>
      <c r="AE181" s="85">
        <f t="shared" si="139"/>
        <v>4216.2910250937175</v>
      </c>
      <c r="AF181" s="90">
        <f t="shared" si="140"/>
        <v>2598.140025222212</v>
      </c>
      <c r="AG181" s="86">
        <f t="shared" si="141"/>
        <v>-11387.90122</v>
      </c>
      <c r="AH181" s="85">
        <f t="shared" si="142"/>
        <v>6183.1314163678471</v>
      </c>
      <c r="AI181" s="85">
        <f t="shared" si="143"/>
        <v>-7787.1088806541056</v>
      </c>
      <c r="AJ181" s="90">
        <f t="shared" si="144"/>
        <v>6183.1314163678471</v>
      </c>
      <c r="AL181" s="95">
        <f t="shared" si="145"/>
        <v>0</v>
      </c>
      <c r="AM181" s="95">
        <f t="shared" si="146"/>
        <v>0</v>
      </c>
      <c r="AN181" s="95">
        <f t="shared" si="147"/>
        <v>0</v>
      </c>
      <c r="AO181" s="95">
        <f t="shared" si="148"/>
        <v>0</v>
      </c>
      <c r="AP181"/>
      <c r="AQ181" s="95">
        <f t="shared" si="149"/>
        <v>0</v>
      </c>
      <c r="AR181" s="95">
        <f t="shared" si="150"/>
        <v>0</v>
      </c>
      <c r="AS181" s="95">
        <f>Geraetedaten!$B$94*ABS(SIN(RADIANS($A181)))</f>
        <v>94.811867200151397</v>
      </c>
      <c r="AT181" s="95">
        <f>Geraetedaten!$B$94*ABS(COS(RADIANS($A181)))</f>
        <v>121.35365605543517</v>
      </c>
      <c r="AU181" s="95">
        <f>((h_Aw_Sw+Geraetedaten!$B$18)/1000)*(AQ181*AS181+AR181*AT181)/100</f>
        <v>0</v>
      </c>
    </row>
    <row r="182" spans="1:47" ht="13.5" x14ac:dyDescent="0.25">
      <c r="A182" s="16">
        <v>143</v>
      </c>
      <c r="B182" s="16">
        <f t="shared" si="118"/>
        <v>307</v>
      </c>
      <c r="C182" s="19">
        <f t="shared" si="119"/>
        <v>62.160811110473347</v>
      </c>
      <c r="D182" s="17">
        <f t="shared" si="120"/>
        <v>-11214.605441110474</v>
      </c>
      <c r="E182" s="17">
        <f t="shared" si="121"/>
        <v>10952.909928889525</v>
      </c>
      <c r="F182" s="17">
        <f t="shared" si="122"/>
        <v>10872.583038889527</v>
      </c>
      <c r="G182" s="17">
        <f t="shared" si="123"/>
        <v>-11301.600601110475</v>
      </c>
      <c r="H182" s="17">
        <f t="shared" si="151"/>
        <v>10872.583038889527</v>
      </c>
      <c r="I182" s="17">
        <f t="shared" si="124"/>
        <v>4313.1561803863015</v>
      </c>
      <c r="J182" s="20">
        <f>(Geraetedaten!$B$152+(Geraetedaten!$B$153*(Geraetedaten!$B$18+d_y_Sw)/1000))*10</f>
        <v>6051.0442000000003</v>
      </c>
      <c r="K182" s="20">
        <f>(Geraetedaten!$B$165+(Geraetedaten!$B$166*(Geraetedaten!$B$18+d_y_Sw)/1000))*10</f>
        <v>10816.164000000001</v>
      </c>
      <c r="L182" s="20">
        <f>(Geraetedaten!$B$158+(Geraetedaten!$B$159*(Geraetedaten!$B$18+d_y_Sw)/1000)-(Geraetedaten!$B$160*I182/1000))*10</f>
        <v>285.25285729227232</v>
      </c>
      <c r="M182" s="20">
        <f>(Geraetedaten!$B$171+(Geraetedaten!$B$172*(Geraetedaten!$B$18+d_y_Sw)/1000)-(Geraetedaten!$B$173*I182/1000))*10</f>
        <v>743.79565393204462</v>
      </c>
      <c r="N182" s="20">
        <f>IF((H182-J182)/(K182-J182)*(Geraetedaten!$B$174-Geraetedaten!$B$161)&lt;Geraetedaten!$B$174,(H182-J182)/(K182-J182)*(Geraetedaten!$B$174-Geraetedaten!$B$161),Geraetedaten!$B$174)</f>
        <v>400</v>
      </c>
      <c r="O182" s="20">
        <f>N182/Geraetedaten!$B$174*(M182-L182)+L182+C182</f>
        <v>805.95646504251795</v>
      </c>
      <c r="P182" s="20">
        <f t="shared" si="125"/>
        <v>223.33153322789161</v>
      </c>
      <c r="Q182" s="21">
        <f>(N182-Geraetedaten!$B$161)/(Geraetedaten!$B$174-Geraetedaten!$B$161)*(Geraetedaten!$B$175-Geraetedaten!$B$162)+Geraetedaten!$B$162</f>
        <v>41.1</v>
      </c>
      <c r="R182" s="21">
        <f t="shared" si="126"/>
        <v>41.1</v>
      </c>
      <c r="S182" s="21">
        <f t="shared" si="127"/>
        <v>24.734597451549181</v>
      </c>
      <c r="T182" s="88">
        <f t="shared" si="128"/>
        <v>-32.823919462943742</v>
      </c>
      <c r="U182" s="86">
        <f t="shared" si="129"/>
        <v>-11152.44463</v>
      </c>
      <c r="V182" s="85">
        <f t="shared" si="130"/>
        <v>-2683.3128092763232</v>
      </c>
      <c r="W182" s="85">
        <f t="shared" si="131"/>
        <v>-4465.13706866962</v>
      </c>
      <c r="X182" s="90">
        <f t="shared" si="132"/>
        <v>2683.3128092763232</v>
      </c>
      <c r="Y182" s="86">
        <f t="shared" si="133"/>
        <v>11015.070739999999</v>
      </c>
      <c r="Z182" s="85">
        <f t="shared" si="134"/>
        <v>-832.16398485565549</v>
      </c>
      <c r="AA182" s="85">
        <f t="shared" si="135"/>
        <v>1067.2264290162173</v>
      </c>
      <c r="AB182" s="90">
        <f t="shared" si="136"/>
        <v>832.16398485565549</v>
      </c>
      <c r="AC182" s="86">
        <f t="shared" si="137"/>
        <v>10934.743850000001</v>
      </c>
      <c r="AD182" s="85">
        <f t="shared" si="138"/>
        <v>2598.140025222212</v>
      </c>
      <c r="AE182" s="85">
        <f t="shared" si="139"/>
        <v>4313.1561803863015</v>
      </c>
      <c r="AF182" s="90">
        <f t="shared" si="140"/>
        <v>2598.140025222212</v>
      </c>
      <c r="AG182" s="86">
        <f t="shared" si="141"/>
        <v>-11239.43979</v>
      </c>
      <c r="AH182" s="85">
        <f t="shared" si="142"/>
        <v>6183.1314163678471</v>
      </c>
      <c r="AI182" s="85">
        <f t="shared" si="143"/>
        <v>-7685.5901478871792</v>
      </c>
      <c r="AJ182" s="90">
        <f t="shared" si="144"/>
        <v>6183.1314163678471</v>
      </c>
      <c r="AL182" s="95">
        <f t="shared" si="145"/>
        <v>0</v>
      </c>
      <c r="AM182" s="95">
        <f t="shared" si="146"/>
        <v>0</v>
      </c>
      <c r="AN182" s="95">
        <f t="shared" si="147"/>
        <v>0</v>
      </c>
      <c r="AO182" s="95">
        <f t="shared" si="148"/>
        <v>0</v>
      </c>
      <c r="AP182"/>
      <c r="AQ182" s="95">
        <f t="shared" si="149"/>
        <v>0</v>
      </c>
      <c r="AR182" s="95">
        <f t="shared" si="150"/>
        <v>0</v>
      </c>
      <c r="AS182" s="95">
        <f>Geraetedaten!$B$94*ABS(SIN(RADIANS($A182)))</f>
        <v>92.679513565415419</v>
      </c>
      <c r="AT182" s="95">
        <f>Geraetedaten!$B$94*ABS(COS(RADIANS($A182)))</f>
        <v>122.98986854728311</v>
      </c>
      <c r="AU182" s="95">
        <f>((h_Aw_Sw+Geraetedaten!$B$18)/1000)*(AQ182*AS182+AR182*AT182)/100</f>
        <v>0</v>
      </c>
    </row>
    <row r="183" spans="1:47" ht="13.5" x14ac:dyDescent="0.25">
      <c r="A183" s="16">
        <v>144</v>
      </c>
      <c r="B183" s="16">
        <f t="shared" si="118"/>
        <v>306</v>
      </c>
      <c r="C183" s="19">
        <f t="shared" si="119"/>
        <v>61.580138479034765</v>
      </c>
      <c r="D183" s="17">
        <f t="shared" si="120"/>
        <v>-11480.833678479035</v>
      </c>
      <c r="E183" s="17">
        <f t="shared" si="121"/>
        <v>10802.896491520964</v>
      </c>
      <c r="F183" s="17">
        <f t="shared" si="122"/>
        <v>11133.776271520965</v>
      </c>
      <c r="G183" s="17">
        <f t="shared" si="123"/>
        <v>-11159.716698479036</v>
      </c>
      <c r="H183" s="17">
        <f t="shared" si="151"/>
        <v>10802.896491520964</v>
      </c>
      <c r="I183" s="17">
        <f t="shared" si="124"/>
        <v>1052.6356902420391</v>
      </c>
      <c r="J183" s="20">
        <f>(Geraetedaten!$B$152+(Geraetedaten!$B$153*(Geraetedaten!$B$18+d_y_Sw)/1000))*10</f>
        <v>6051.0442000000003</v>
      </c>
      <c r="K183" s="20">
        <f>(Geraetedaten!$B$165+(Geraetedaten!$B$166*(Geraetedaten!$B$18+d_y_Sw)/1000))*10</f>
        <v>10816.164000000001</v>
      </c>
      <c r="L183" s="20">
        <f>(Geraetedaten!$B$158+(Geraetedaten!$B$159*(Geraetedaten!$B$18+d_y_Sw)/1000)-(Geraetedaten!$B$160*I183/1000))*10</f>
        <v>524.34682483455106</v>
      </c>
      <c r="M183" s="20">
        <f>(Geraetedaten!$B$171+(Geraetedaten!$B$172*(Geraetedaten!$B$18+d_y_Sw)/1000)-(Geraetedaten!$B$173*I183/1000))*10</f>
        <v>986.5087992183835</v>
      </c>
      <c r="N183" s="20">
        <f>IF((H183-J183)/(K183-J183)*(Geraetedaten!$B$174-Geraetedaten!$B$161)&lt;Geraetedaten!$B$174,(H183-J183)/(K183-J183)*(Geraetedaten!$B$174-Geraetedaten!$B$161),Geraetedaten!$B$174)</f>
        <v>398.8862812239023</v>
      </c>
      <c r="O183" s="20">
        <f>N183/Geraetedaten!$B$174*(M183-L183)+L183+C183</f>
        <v>1046.8021415262442</v>
      </c>
      <c r="P183" s="20">
        <f t="shared" si="125"/>
        <v>266.67427200306219</v>
      </c>
      <c r="Q183" s="21">
        <f>(N183-Geraetedaten!$B$161)/(Geraetedaten!$B$174-Geraetedaten!$B$161)*(Geraetedaten!$B$175-Geraetedaten!$B$162)+Geraetedaten!$B$162</f>
        <v>41.066866866411097</v>
      </c>
      <c r="R183" s="21">
        <f t="shared" si="126"/>
        <v>41.066866866411097</v>
      </c>
      <c r="S183" s="21">
        <f t="shared" si="127"/>
        <v>24.138498701934857</v>
      </c>
      <c r="T183" s="88">
        <f t="shared" si="128"/>
        <v>-33.223793200660019</v>
      </c>
      <c r="U183" s="86">
        <f t="shared" si="129"/>
        <v>-11419.25354</v>
      </c>
      <c r="V183" s="85">
        <f t="shared" si="130"/>
        <v>-2683.3128092763232</v>
      </c>
      <c r="W183" s="85">
        <f t="shared" si="131"/>
        <v>-4571.9601398963532</v>
      </c>
      <c r="X183" s="90">
        <f t="shared" si="132"/>
        <v>2683.3128092763232</v>
      </c>
      <c r="Y183" s="86">
        <f t="shared" si="133"/>
        <v>10864.476629999999</v>
      </c>
      <c r="Z183" s="85">
        <f t="shared" si="134"/>
        <v>-832.16398485565549</v>
      </c>
      <c r="AA183" s="85">
        <f t="shared" si="135"/>
        <v>1052.6356902420391</v>
      </c>
      <c r="AB183" s="90">
        <f t="shared" si="136"/>
        <v>832.16398485565549</v>
      </c>
      <c r="AC183" s="86">
        <f t="shared" si="137"/>
        <v>11195.35641</v>
      </c>
      <c r="AD183" s="85">
        <f t="shared" si="138"/>
        <v>2598.140025222212</v>
      </c>
      <c r="AE183" s="85">
        <f t="shared" si="139"/>
        <v>4415.9535282888464</v>
      </c>
      <c r="AF183" s="90">
        <f t="shared" si="140"/>
        <v>2598.140025222212</v>
      </c>
      <c r="AG183" s="86">
        <f t="shared" si="141"/>
        <v>-11098.136560000001</v>
      </c>
      <c r="AH183" s="85">
        <f t="shared" si="142"/>
        <v>6183.1314163678471</v>
      </c>
      <c r="AI183" s="85">
        <f t="shared" si="143"/>
        <v>-7588.9662275711617</v>
      </c>
      <c r="AJ183" s="90">
        <f t="shared" si="144"/>
        <v>6183.1314163678471</v>
      </c>
      <c r="AL183" s="95">
        <f t="shared" si="145"/>
        <v>0</v>
      </c>
      <c r="AM183" s="95">
        <f t="shared" si="146"/>
        <v>0</v>
      </c>
      <c r="AN183" s="95">
        <f t="shared" si="147"/>
        <v>0</v>
      </c>
      <c r="AO183" s="95">
        <f t="shared" si="148"/>
        <v>0</v>
      </c>
      <c r="AP183"/>
      <c r="AQ183" s="95">
        <f t="shared" si="149"/>
        <v>0</v>
      </c>
      <c r="AR183" s="95">
        <f t="shared" si="150"/>
        <v>0</v>
      </c>
      <c r="AS183" s="95">
        <f>Geraetedaten!$B$94*ABS(SIN(RADIANS($A183)))</f>
        <v>90.518928853040876</v>
      </c>
      <c r="AT183" s="95">
        <f>Geraetedaten!$B$94*ABS(COS(RADIANS($A183)))</f>
        <v>124.58861713374189</v>
      </c>
      <c r="AU183" s="95">
        <f>((h_Aw_Sw+Geraetedaten!$B$18)/1000)*(AQ183*AS183+AR183*AT183)/100</f>
        <v>0</v>
      </c>
    </row>
    <row r="184" spans="1:47" ht="13.5" x14ac:dyDescent="0.25">
      <c r="A184" s="16">
        <v>145</v>
      </c>
      <c r="B184" s="16">
        <f t="shared" si="118"/>
        <v>305</v>
      </c>
      <c r="C184" s="19">
        <f t="shared" si="119"/>
        <v>60.980707940875263</v>
      </c>
      <c r="D184" s="17">
        <f t="shared" si="120"/>
        <v>-11763.774397940875</v>
      </c>
      <c r="E184" s="17">
        <f t="shared" si="121"/>
        <v>10660.185732059126</v>
      </c>
      <c r="F184" s="17">
        <f t="shared" si="122"/>
        <v>11411.294042059126</v>
      </c>
      <c r="G184" s="17">
        <f t="shared" si="123"/>
        <v>-11024.621037940875</v>
      </c>
      <c r="H184" s="17">
        <f t="shared" si="151"/>
        <v>10660.185732059126</v>
      </c>
      <c r="I184" s="17">
        <f t="shared" si="124"/>
        <v>1038.7506753257549</v>
      </c>
      <c r="J184" s="20">
        <f>(Geraetedaten!$B$152+(Geraetedaten!$B$153*(Geraetedaten!$B$18+d_y_Sw)/1000))*10</f>
        <v>6051.0442000000003</v>
      </c>
      <c r="K184" s="20">
        <f>(Geraetedaten!$B$165+(Geraetedaten!$B$166*(Geraetedaten!$B$18+d_y_Sw)/1000))*10</f>
        <v>10816.164000000001</v>
      </c>
      <c r="L184" s="20">
        <f>(Geraetedaten!$B$158+(Geraetedaten!$B$159*(Geraetedaten!$B$18+d_y_Sw)/1000)-(Geraetedaten!$B$160*I184/1000))*10</f>
        <v>525.36501297836219</v>
      </c>
      <c r="M184" s="20">
        <f>(Geraetedaten!$B$171+(Geraetedaten!$B$172*(Geraetedaten!$B$18+d_y_Sw)/1000)-(Geraetedaten!$B$173*I184/1000))*10</f>
        <v>987.54239972875189</v>
      </c>
      <c r="N184" s="20">
        <f>IF((H184-J184)/(K184-J184)*(Geraetedaten!$B$174-Geraetedaten!$B$161)&lt;Geraetedaten!$B$174,(H184-J184)/(K184-J184)*(Geraetedaten!$B$174-Geraetedaten!$B$161),Geraetedaten!$B$174)</f>
        <v>386.90666556245873</v>
      </c>
      <c r="O184" s="20">
        <f>N184/Geraetedaten!$B$174*(M184-L184)+L184+C184</f>
        <v>1033.3944999341477</v>
      </c>
      <c r="P184" s="20">
        <f t="shared" si="125"/>
        <v>265.53151879358779</v>
      </c>
      <c r="Q184" s="21">
        <f>(N184-Geraetedaten!$B$161)/(Geraetedaten!$B$174-Geraetedaten!$B$161)*(Geraetedaten!$B$175-Geraetedaten!$B$162)+Geraetedaten!$B$162</f>
        <v>40.710473300483144</v>
      </c>
      <c r="R184" s="21">
        <f t="shared" si="126"/>
        <v>40.710473300483144</v>
      </c>
      <c r="S184" s="21">
        <f t="shared" si="127"/>
        <v>23.350568197855527</v>
      </c>
      <c r="T184" s="88">
        <f t="shared" si="128"/>
        <v>-33.348067428063189</v>
      </c>
      <c r="U184" s="86">
        <f t="shared" si="129"/>
        <v>-11702.79369</v>
      </c>
      <c r="V184" s="85">
        <f t="shared" si="130"/>
        <v>-2683.3128092763232</v>
      </c>
      <c r="W184" s="85">
        <f t="shared" si="131"/>
        <v>-4685.4819422329711</v>
      </c>
      <c r="X184" s="90">
        <f t="shared" si="132"/>
        <v>2683.3128092763232</v>
      </c>
      <c r="Y184" s="86">
        <f t="shared" si="133"/>
        <v>10721.166440000001</v>
      </c>
      <c r="Z184" s="85">
        <f t="shared" si="134"/>
        <v>-832.16398485565549</v>
      </c>
      <c r="AA184" s="85">
        <f t="shared" si="135"/>
        <v>1038.7506753257549</v>
      </c>
      <c r="AB184" s="90">
        <f t="shared" si="136"/>
        <v>832.16398485565549</v>
      </c>
      <c r="AC184" s="86">
        <f t="shared" si="137"/>
        <v>11472.27475</v>
      </c>
      <c r="AD184" s="85">
        <f t="shared" si="138"/>
        <v>2598.140025222212</v>
      </c>
      <c r="AE184" s="85">
        <f t="shared" si="139"/>
        <v>4525.1826097783733</v>
      </c>
      <c r="AF184" s="90">
        <f t="shared" si="140"/>
        <v>2598.140025222212</v>
      </c>
      <c r="AG184" s="86">
        <f t="shared" si="141"/>
        <v>-10963.64033</v>
      </c>
      <c r="AH184" s="85">
        <f t="shared" si="142"/>
        <v>6183.1314163678471</v>
      </c>
      <c r="AI184" s="85">
        <f t="shared" si="143"/>
        <v>-7496.9969752355937</v>
      </c>
      <c r="AJ184" s="90">
        <f t="shared" si="144"/>
        <v>6183.1314163678471</v>
      </c>
      <c r="AL184" s="95">
        <f t="shared" si="145"/>
        <v>0</v>
      </c>
      <c r="AM184" s="95">
        <f t="shared" si="146"/>
        <v>0</v>
      </c>
      <c r="AN184" s="95">
        <f t="shared" si="147"/>
        <v>0</v>
      </c>
      <c r="AO184" s="95">
        <f t="shared" si="148"/>
        <v>0</v>
      </c>
      <c r="AP184"/>
      <c r="AQ184" s="95">
        <f t="shared" si="149"/>
        <v>0</v>
      </c>
      <c r="AR184" s="95">
        <f t="shared" si="150"/>
        <v>0</v>
      </c>
      <c r="AS184" s="95">
        <f>Geraetedaten!$B$94*ABS(SIN(RADIANS($A184)))</f>
        <v>88.330771198061072</v>
      </c>
      <c r="AT184" s="95">
        <f>Geraetedaten!$B$94*ABS(COS(RADIANS($A184)))</f>
        <v>126.14941482050476</v>
      </c>
      <c r="AU184" s="95">
        <f>((h_Aw_Sw+Geraetedaten!$B$18)/1000)*(AQ184*AS184+AR184*AT184)/100</f>
        <v>0</v>
      </c>
    </row>
    <row r="185" spans="1:47" ht="13.5" x14ac:dyDescent="0.25">
      <c r="A185" s="16">
        <v>146</v>
      </c>
      <c r="B185" s="16">
        <f t="shared" si="118"/>
        <v>304</v>
      </c>
      <c r="C185" s="19">
        <f t="shared" si="119"/>
        <v>60.362702088343596</v>
      </c>
      <c r="D185" s="17">
        <f t="shared" si="120"/>
        <v>-12064.885472088343</v>
      </c>
      <c r="E185" s="17">
        <f t="shared" si="121"/>
        <v>10524.407297911657</v>
      </c>
      <c r="F185" s="17">
        <f t="shared" si="122"/>
        <v>11706.552257911657</v>
      </c>
      <c r="G185" s="17">
        <f t="shared" si="123"/>
        <v>-10895.988762088344</v>
      </c>
      <c r="H185" s="17">
        <f t="shared" si="151"/>
        <v>10524.407297911657</v>
      </c>
      <c r="I185" s="17">
        <f t="shared" si="124"/>
        <v>1025.535519034351</v>
      </c>
      <c r="J185" s="20">
        <f>(Geraetedaten!$B$152+(Geraetedaten!$B$153*(Geraetedaten!$B$18+d_y_Sw)/1000))*10</f>
        <v>6051.0442000000003</v>
      </c>
      <c r="K185" s="20">
        <f>(Geraetedaten!$B$165+(Geraetedaten!$B$166*(Geraetedaten!$B$18+d_y_Sw)/1000))*10</f>
        <v>10816.164000000001</v>
      </c>
      <c r="L185" s="20">
        <f>(Geraetedaten!$B$158+(Geraetedaten!$B$159*(Geraetedaten!$B$18+d_y_Sw)/1000)-(Geraetedaten!$B$160*I185/1000))*10</f>
        <v>526.33408038921084</v>
      </c>
      <c r="M185" s="20">
        <f>(Geraetedaten!$B$171+(Geraetedaten!$B$172*(Geraetedaten!$B$18+d_y_Sw)/1000)-(Geraetedaten!$B$173*I185/1000))*10</f>
        <v>988.5261359630839</v>
      </c>
      <c r="N185" s="20">
        <f>IF((H185-J185)/(K185-J185)*(Geraetedaten!$B$174-Geraetedaten!$B$161)&lt;Geraetedaten!$B$174,(H185-J185)/(K185-J185)*(Geraetedaten!$B$174-Geraetedaten!$B$161),Geraetedaten!$B$174)</f>
        <v>375.50897233783348</v>
      </c>
      <c r="O185" s="20">
        <f>N185/Geraetedaten!$B$174*(M185-L185)+L185+C185</f>
        <v>1020.5899420056941</v>
      </c>
      <c r="P185" s="20">
        <f t="shared" si="125"/>
        <v>264.41328634230655</v>
      </c>
      <c r="Q185" s="21">
        <f>(N185-Geraetedaten!$B$161)/(Geraetedaten!$B$174-Geraetedaten!$B$161)*(Geraetedaten!$B$175-Geraetedaten!$B$162)+Geraetedaten!$B$162</f>
        <v>40.371391927050546</v>
      </c>
      <c r="R185" s="21">
        <f t="shared" si="126"/>
        <v>40.371391927050546</v>
      </c>
      <c r="S185" s="21">
        <f t="shared" si="127"/>
        <v>22.575395868842868</v>
      </c>
      <c r="T185" s="88">
        <f t="shared" si="128"/>
        <v>-33.46940076387019</v>
      </c>
      <c r="U185" s="86">
        <f t="shared" si="129"/>
        <v>-12004.52277</v>
      </c>
      <c r="V185" s="85">
        <f t="shared" si="130"/>
        <v>-2683.3128092763232</v>
      </c>
      <c r="W185" s="85">
        <f t="shared" si="131"/>
        <v>-4806.2861011364466</v>
      </c>
      <c r="X185" s="90">
        <f t="shared" si="132"/>
        <v>2683.3128092763232</v>
      </c>
      <c r="Y185" s="86">
        <f t="shared" si="133"/>
        <v>10584.77</v>
      </c>
      <c r="Z185" s="85">
        <f t="shared" si="134"/>
        <v>-832.16398485565549</v>
      </c>
      <c r="AA185" s="85">
        <f t="shared" si="135"/>
        <v>1025.535519034351</v>
      </c>
      <c r="AB185" s="90">
        <f t="shared" si="136"/>
        <v>832.16398485565549</v>
      </c>
      <c r="AC185" s="86">
        <f t="shared" si="137"/>
        <v>11766.91496</v>
      </c>
      <c r="AD185" s="85">
        <f t="shared" si="138"/>
        <v>2598.140025222212</v>
      </c>
      <c r="AE185" s="85">
        <f t="shared" si="139"/>
        <v>4641.4019992528183</v>
      </c>
      <c r="AF185" s="90">
        <f t="shared" si="140"/>
        <v>2598.140025222212</v>
      </c>
      <c r="AG185" s="86">
        <f t="shared" si="141"/>
        <v>-10835.626060000001</v>
      </c>
      <c r="AH185" s="85">
        <f t="shared" si="142"/>
        <v>6183.1314163678471</v>
      </c>
      <c r="AI185" s="85">
        <f t="shared" si="143"/>
        <v>-7409.4601169731968</v>
      </c>
      <c r="AJ185" s="90">
        <f t="shared" si="144"/>
        <v>6183.1314163678471</v>
      </c>
      <c r="AL185" s="95">
        <f t="shared" si="145"/>
        <v>0</v>
      </c>
      <c r="AM185" s="95">
        <f t="shared" si="146"/>
        <v>0</v>
      </c>
      <c r="AN185" s="95">
        <f t="shared" si="147"/>
        <v>0</v>
      </c>
      <c r="AO185" s="95">
        <f t="shared" si="148"/>
        <v>0</v>
      </c>
      <c r="AP185"/>
      <c r="AQ185" s="95">
        <f t="shared" si="149"/>
        <v>0</v>
      </c>
      <c r="AR185" s="95">
        <f t="shared" si="150"/>
        <v>0</v>
      </c>
      <c r="AS185" s="95">
        <f>Geraetedaten!$B$94*ABS(SIN(RADIANS($A185)))</f>
        <v>86.115707134495025</v>
      </c>
      <c r="AT185" s="95">
        <f>Geraetedaten!$B$94*ABS(COS(RADIANS($A185)))</f>
        <v>127.67178617347641</v>
      </c>
      <c r="AU185" s="95">
        <f>((h_Aw_Sw+Geraetedaten!$B$18)/1000)*(AQ185*AS185+AR185*AT185)/100</f>
        <v>0</v>
      </c>
    </row>
    <row r="186" spans="1:47" ht="13.5" x14ac:dyDescent="0.25">
      <c r="A186" s="16">
        <v>147</v>
      </c>
      <c r="B186" s="16">
        <f t="shared" si="118"/>
        <v>303</v>
      </c>
      <c r="C186" s="19">
        <f t="shared" si="119"/>
        <v>59.726309172009195</v>
      </c>
      <c r="D186" s="17">
        <f t="shared" si="120"/>
        <v>-12385.802679172009</v>
      </c>
      <c r="E186" s="17">
        <f t="shared" si="121"/>
        <v>10395.218850827991</v>
      </c>
      <c r="F186" s="17">
        <f t="shared" si="122"/>
        <v>12021.139130827991</v>
      </c>
      <c r="G186" s="17">
        <f t="shared" si="123"/>
        <v>-10773.518899172008</v>
      </c>
      <c r="H186" s="17">
        <f t="shared" si="151"/>
        <v>10395.218850827991</v>
      </c>
      <c r="I186" s="17">
        <f t="shared" si="124"/>
        <v>1012.9570697554921</v>
      </c>
      <c r="J186" s="20">
        <f>(Geraetedaten!$B$152+(Geraetedaten!$B$153*(Geraetedaten!$B$18+d_y_Sw)/1000))*10</f>
        <v>6051.0442000000003</v>
      </c>
      <c r="K186" s="20">
        <f>(Geraetedaten!$B$165+(Geraetedaten!$B$166*(Geraetedaten!$B$18+d_y_Sw)/1000))*10</f>
        <v>10816.164000000001</v>
      </c>
      <c r="L186" s="20">
        <f>(Geraetedaten!$B$158+(Geraetedaten!$B$159*(Geraetedaten!$B$18+d_y_Sw)/1000)-(Geraetedaten!$B$160*I186/1000))*10</f>
        <v>527.25645807482942</v>
      </c>
      <c r="M186" s="20">
        <f>(Geraetedaten!$B$171+(Geraetedaten!$B$172*(Geraetedaten!$B$18+d_y_Sw)/1000)-(Geraetedaten!$B$173*I186/1000))*10</f>
        <v>989.46247572740219</v>
      </c>
      <c r="N186" s="20">
        <f>IF((H186-J186)/(K186-J186)*(Geraetedaten!$B$174-Geraetedaten!$B$161)&lt;Geraetedaten!$B$174,(H186-J186)/(K186-J186)*(Geraetedaten!$B$174-Geraetedaten!$B$161),Geraetedaten!$B$174)</f>
        <v>364.66446453900193</v>
      </c>
      <c r="O186" s="20">
        <f>N186/Geraetedaten!$B$174*(M186-L186)+L186+C186</f>
        <v>1008.3580420817884</v>
      </c>
      <c r="P186" s="20">
        <f t="shared" si="125"/>
        <v>263.3192170628497</v>
      </c>
      <c r="Q186" s="21">
        <f>(N186-Geraetedaten!$B$161)/(Geraetedaten!$B$174-Geraetedaten!$B$161)*(Geraetedaten!$B$175-Geraetedaten!$B$162)+Geraetedaten!$B$162</f>
        <v>40.048767820035309</v>
      </c>
      <c r="R186" s="21">
        <f t="shared" si="126"/>
        <v>40.048767820035309</v>
      </c>
      <c r="S186" s="21">
        <f t="shared" si="127"/>
        <v>21.812122259044909</v>
      </c>
      <c r="T186" s="88">
        <f t="shared" si="128"/>
        <v>-33.587722853143433</v>
      </c>
      <c r="U186" s="86">
        <f t="shared" si="129"/>
        <v>-12326.076370000001</v>
      </c>
      <c r="V186" s="85">
        <f t="shared" si="130"/>
        <v>-2683.3128092763232</v>
      </c>
      <c r="W186" s="85">
        <f t="shared" si="131"/>
        <v>-4935.0274629861142</v>
      </c>
      <c r="X186" s="90">
        <f t="shared" si="132"/>
        <v>2683.3128092763232</v>
      </c>
      <c r="Y186" s="86">
        <f t="shared" si="133"/>
        <v>10454.945159999999</v>
      </c>
      <c r="Z186" s="85">
        <f t="shared" si="134"/>
        <v>-832.16398485565549</v>
      </c>
      <c r="AA186" s="85">
        <f t="shared" si="135"/>
        <v>1012.9570697554921</v>
      </c>
      <c r="AB186" s="90">
        <f t="shared" si="136"/>
        <v>832.16398485565549</v>
      </c>
      <c r="AC186" s="86">
        <f t="shared" si="137"/>
        <v>12080.86544</v>
      </c>
      <c r="AD186" s="85">
        <f t="shared" si="138"/>
        <v>2598.140025222212</v>
      </c>
      <c r="AE186" s="85">
        <f t="shared" si="139"/>
        <v>4765.2382284644164</v>
      </c>
      <c r="AF186" s="90">
        <f t="shared" si="140"/>
        <v>2598.140025222212</v>
      </c>
      <c r="AG186" s="86">
        <f t="shared" si="141"/>
        <v>-10713.792589999999</v>
      </c>
      <c r="AH186" s="85">
        <f t="shared" si="142"/>
        <v>6183.1314163678471</v>
      </c>
      <c r="AI186" s="85">
        <f t="shared" si="143"/>
        <v>-7326.1497311018156</v>
      </c>
      <c r="AJ186" s="90">
        <f t="shared" si="144"/>
        <v>6183.1314163678471</v>
      </c>
      <c r="AL186" s="95">
        <f t="shared" si="145"/>
        <v>0</v>
      </c>
      <c r="AM186" s="95">
        <f t="shared" si="146"/>
        <v>0</v>
      </c>
      <c r="AN186" s="95">
        <f t="shared" si="147"/>
        <v>0</v>
      </c>
      <c r="AO186" s="95">
        <f t="shared" si="148"/>
        <v>0</v>
      </c>
      <c r="AP186"/>
      <c r="AQ186" s="95">
        <f t="shared" si="149"/>
        <v>0</v>
      </c>
      <c r="AR186" s="95">
        <f t="shared" si="150"/>
        <v>0</v>
      </c>
      <c r="AS186" s="95">
        <f>Geraetedaten!$B$94*ABS(SIN(RADIANS($A186)))</f>
        <v>83.874411392314201</v>
      </c>
      <c r="AT186" s="95">
        <f>Geraetedaten!$B$94*ABS(COS(RADIANS($A186)))</f>
        <v>129.15526746359529</v>
      </c>
      <c r="AU186" s="95">
        <f>((h_Aw_Sw+Geraetedaten!$B$18)/1000)*(AQ186*AS186+AR186*AT186)/100</f>
        <v>0</v>
      </c>
    </row>
    <row r="187" spans="1:47" ht="13.5" x14ac:dyDescent="0.25">
      <c r="A187" s="16">
        <v>148</v>
      </c>
      <c r="B187" s="16">
        <f t="shared" si="118"/>
        <v>302</v>
      </c>
      <c r="C187" s="19">
        <f t="shared" si="119"/>
        <v>59.071723043319231</v>
      </c>
      <c r="D187" s="17">
        <f t="shared" si="120"/>
        <v>-12728.367523043318</v>
      </c>
      <c r="E187" s="17">
        <f t="shared" si="121"/>
        <v>10272.303566956682</v>
      </c>
      <c r="F187" s="17">
        <f t="shared" si="122"/>
        <v>12356.841996956682</v>
      </c>
      <c r="G187" s="17">
        <f t="shared" si="123"/>
        <v>-10656.932443043319</v>
      </c>
      <c r="H187" s="17">
        <f t="shared" si="151"/>
        <v>10272.303566956682</v>
      </c>
      <c r="I187" s="17">
        <f t="shared" si="124"/>
        <v>1000.9846526071314</v>
      </c>
      <c r="J187" s="20">
        <f>(Geraetedaten!$B$152+(Geraetedaten!$B$153*(Geraetedaten!$B$18+d_y_Sw)/1000))*10</f>
        <v>6051.0442000000003</v>
      </c>
      <c r="K187" s="20">
        <f>(Geraetedaten!$B$165+(Geraetedaten!$B$166*(Geraetedaten!$B$18+d_y_Sw)/1000))*10</f>
        <v>10816.164000000001</v>
      </c>
      <c r="L187" s="20">
        <f>(Geraetedaten!$B$158+(Geraetedaten!$B$159*(Geraetedaten!$B$18+d_y_Sw)/1000)-(Geraetedaten!$B$160*I187/1000))*10</f>
        <v>528.13439542431877</v>
      </c>
      <c r="M187" s="20">
        <f>(Geraetedaten!$B$171+(Geraetedaten!$B$172*(Geraetedaten!$B$18+d_y_Sw)/1000)-(Geraetedaten!$B$173*I187/1000))*10</f>
        <v>990.35370245992613</v>
      </c>
      <c r="N187" s="20">
        <f>IF((H187-J187)/(K187-J187)*(Geraetedaten!$B$174-Geraetedaten!$B$161)&lt;Geraetedaten!$B$174,(H187-J187)/(K187-J187)*(Geraetedaten!$B$174-Geraetedaten!$B$161),Geraetedaten!$B$174)</f>
        <v>354.34654691843684</v>
      </c>
      <c r="O187" s="20">
        <f>N187/Geraetedaten!$B$174*(M187-L187)+L187+C187</f>
        <v>996.67065688538855</v>
      </c>
      <c r="P187" s="20">
        <f t="shared" si="125"/>
        <v>262.24897454815158</v>
      </c>
      <c r="Q187" s="21">
        <f>(N187-Geraetedaten!$B$161)/(Geraetedaten!$B$174-Geraetedaten!$B$161)*(Geraetedaten!$B$175-Geraetedaten!$B$162)+Geraetedaten!$B$162</f>
        <v>39.741809770823494</v>
      </c>
      <c r="R187" s="21">
        <f t="shared" si="126"/>
        <v>39.741809770823494</v>
      </c>
      <c r="S187" s="21">
        <f t="shared" si="127"/>
        <v>21.059950593050779</v>
      </c>
      <c r="T187" s="88">
        <f t="shared" si="128"/>
        <v>-33.702966113957714</v>
      </c>
      <c r="U187" s="86">
        <f t="shared" si="129"/>
        <v>-12669.2958</v>
      </c>
      <c r="V187" s="85">
        <f t="shared" si="130"/>
        <v>-2683.3128092763232</v>
      </c>
      <c r="W187" s="85">
        <f t="shared" si="131"/>
        <v>-5072.4432352758458</v>
      </c>
      <c r="X187" s="90">
        <f t="shared" si="132"/>
        <v>2683.3128092763232</v>
      </c>
      <c r="Y187" s="86">
        <f t="shared" si="133"/>
        <v>10331.37529</v>
      </c>
      <c r="Z187" s="85">
        <f t="shared" si="134"/>
        <v>-832.16398485565549</v>
      </c>
      <c r="AA187" s="85">
        <f t="shared" si="135"/>
        <v>1000.9846526071314</v>
      </c>
      <c r="AB187" s="90">
        <f t="shared" si="136"/>
        <v>832.16398485565549</v>
      </c>
      <c r="AC187" s="86">
        <f t="shared" si="137"/>
        <v>12415.91372</v>
      </c>
      <c r="AD187" s="85">
        <f t="shared" si="138"/>
        <v>2598.140025222212</v>
      </c>
      <c r="AE187" s="85">
        <f t="shared" si="139"/>
        <v>4897.3963820624585</v>
      </c>
      <c r="AF187" s="90">
        <f t="shared" si="140"/>
        <v>2598.140025222212</v>
      </c>
      <c r="AG187" s="86">
        <f t="shared" si="141"/>
        <v>-10597.860720000001</v>
      </c>
      <c r="AH187" s="85">
        <f t="shared" si="142"/>
        <v>6183.1314163678471</v>
      </c>
      <c r="AI187" s="85">
        <f t="shared" si="143"/>
        <v>-7246.8748870971667</v>
      </c>
      <c r="AJ187" s="90">
        <f t="shared" si="144"/>
        <v>6183.1314163678471</v>
      </c>
      <c r="AL187" s="95">
        <f t="shared" si="145"/>
        <v>0</v>
      </c>
      <c r="AM187" s="95">
        <f t="shared" si="146"/>
        <v>0</v>
      </c>
      <c r="AN187" s="95">
        <f t="shared" si="147"/>
        <v>0</v>
      </c>
      <c r="AO187" s="95">
        <f t="shared" si="148"/>
        <v>0</v>
      </c>
      <c r="AP187"/>
      <c r="AQ187" s="95">
        <f t="shared" si="149"/>
        <v>0</v>
      </c>
      <c r="AR187" s="95">
        <f t="shared" si="150"/>
        <v>0</v>
      </c>
      <c r="AS187" s="95">
        <f>Geraetedaten!$B$94*ABS(SIN(RADIANS($A187)))</f>
        <v>81.607566691913561</v>
      </c>
      <c r="AT187" s="95">
        <f>Geraetedaten!$B$94*ABS(COS(RADIANS($A187)))</f>
        <v>130.59940680808961</v>
      </c>
      <c r="AU187" s="95">
        <f>((h_Aw_Sw+Geraetedaten!$B$18)/1000)*(AQ187*AS187+AR187*AT187)/100</f>
        <v>0</v>
      </c>
    </row>
    <row r="188" spans="1:47" ht="13.5" x14ac:dyDescent="0.25">
      <c r="A188" s="16">
        <v>149</v>
      </c>
      <c r="B188" s="16">
        <f t="shared" si="118"/>
        <v>301</v>
      </c>
      <c r="C188" s="19">
        <f t="shared" si="119"/>
        <v>58.399143095549675</v>
      </c>
      <c r="D188" s="17">
        <f t="shared" si="120"/>
        <v>-13094.660433095551</v>
      </c>
      <c r="E188" s="17">
        <f t="shared" si="121"/>
        <v>10155.36804690445</v>
      </c>
      <c r="F188" s="17">
        <f t="shared" si="122"/>
        <v>12715.67939690445</v>
      </c>
      <c r="G188" s="17">
        <f t="shared" si="123"/>
        <v>-10545.97051309555</v>
      </c>
      <c r="H188" s="17">
        <f t="shared" si="151"/>
        <v>10155.36804690445</v>
      </c>
      <c r="I188" s="17">
        <f t="shared" si="124"/>
        <v>989.58985759865027</v>
      </c>
      <c r="J188" s="20">
        <f>(Geraetedaten!$B$152+(Geraetedaten!$B$153*(Geraetedaten!$B$18+d_y_Sw)/1000))*10</f>
        <v>6051.0442000000003</v>
      </c>
      <c r="K188" s="20">
        <f>(Geraetedaten!$B$165+(Geraetedaten!$B$166*(Geraetedaten!$B$18+d_y_Sw)/1000))*10</f>
        <v>10816.164000000001</v>
      </c>
      <c r="L188" s="20">
        <f>(Geraetedaten!$B$158+(Geraetedaten!$B$159*(Geraetedaten!$B$18+d_y_Sw)/1000)-(Geraetedaten!$B$160*I188/1000))*10</f>
        <v>528.96997574229079</v>
      </c>
      <c r="M188" s="20">
        <f>(Geraetedaten!$B$171+(Geraetedaten!$B$172*(Geraetedaten!$B$18+d_y_Sw)/1000)-(Geraetedaten!$B$173*I188/1000))*10</f>
        <v>991.20193100035749</v>
      </c>
      <c r="N188" s="20">
        <f>IF((H188-J188)/(K188-J188)*(Geraetedaten!$B$174-Geraetedaten!$B$161)&lt;Geraetedaten!$B$174,(H188-J188)/(K188-J188)*(Geraetedaten!$B$174-Geraetedaten!$B$161),Geraetedaten!$B$174)</f>
        <v>344.53059055551546</v>
      </c>
      <c r="O188" s="20">
        <f>N188/Geraetedaten!$B$174*(M188-L188)+L188+C188</f>
        <v>985.50174013457126</v>
      </c>
      <c r="P188" s="20">
        <f t="shared" si="125"/>
        <v>261.20224410672932</v>
      </c>
      <c r="Q188" s="21">
        <f>(N188-Geraetedaten!$B$161)/(Geraetedaten!$B$174-Geraetedaten!$B$161)*(Geraetedaten!$B$175-Geraetedaten!$B$162)+Geraetedaten!$B$162</f>
        <v>39.449785069026589</v>
      </c>
      <c r="R188" s="21">
        <f t="shared" si="126"/>
        <v>39.449785069026589</v>
      </c>
      <c r="S188" s="21">
        <f t="shared" si="127"/>
        <v>20.318141357566862</v>
      </c>
      <c r="T188" s="88">
        <f t="shared" si="128"/>
        <v>-33.815065780896013</v>
      </c>
      <c r="U188" s="86">
        <f t="shared" si="129"/>
        <v>-13036.26129</v>
      </c>
      <c r="V188" s="85">
        <f t="shared" si="130"/>
        <v>-2683.3128092763232</v>
      </c>
      <c r="W188" s="85">
        <f t="shared" si="131"/>
        <v>-5219.366287790308</v>
      </c>
      <c r="X188" s="90">
        <f t="shared" si="132"/>
        <v>2683.3128092763232</v>
      </c>
      <c r="Y188" s="86">
        <f t="shared" si="133"/>
        <v>10213.76719</v>
      </c>
      <c r="Z188" s="85">
        <f t="shared" si="134"/>
        <v>-832.16398485565549</v>
      </c>
      <c r="AA188" s="85">
        <f t="shared" si="135"/>
        <v>989.58985759865027</v>
      </c>
      <c r="AB188" s="90">
        <f t="shared" si="136"/>
        <v>832.16398485565549</v>
      </c>
      <c r="AC188" s="86">
        <f t="shared" si="137"/>
        <v>12774.07854</v>
      </c>
      <c r="AD188" s="85">
        <f t="shared" si="138"/>
        <v>2598.140025222212</v>
      </c>
      <c r="AE188" s="85">
        <f t="shared" si="139"/>
        <v>5038.6727416956273</v>
      </c>
      <c r="AF188" s="90">
        <f t="shared" si="140"/>
        <v>2598.140025222212</v>
      </c>
      <c r="AG188" s="86">
        <f t="shared" si="141"/>
        <v>-10487.57137</v>
      </c>
      <c r="AH188" s="85">
        <f t="shared" si="142"/>
        <v>6183.1314163678471</v>
      </c>
      <c r="AI188" s="85">
        <f t="shared" si="143"/>
        <v>-7171.458423409862</v>
      </c>
      <c r="AJ188" s="90">
        <f t="shared" si="144"/>
        <v>6183.1314163678471</v>
      </c>
      <c r="AL188" s="95">
        <f t="shared" si="145"/>
        <v>0</v>
      </c>
      <c r="AM188" s="95">
        <f t="shared" si="146"/>
        <v>0</v>
      </c>
      <c r="AN188" s="95">
        <f t="shared" si="147"/>
        <v>0</v>
      </c>
      <c r="AO188" s="95">
        <f t="shared" si="148"/>
        <v>0</v>
      </c>
      <c r="AP188"/>
      <c r="AQ188" s="95">
        <f t="shared" si="149"/>
        <v>0</v>
      </c>
      <c r="AR188" s="95">
        <f t="shared" si="150"/>
        <v>0</v>
      </c>
      <c r="AS188" s="95">
        <f>Geraetedaten!$B$94*ABS(SIN(RADIANS($A188)))</f>
        <v>79.31586353614837</v>
      </c>
      <c r="AT188" s="95">
        <f>Geraetedaten!$B$94*ABS(COS(RADIANS($A188)))</f>
        <v>132.00376430812528</v>
      </c>
      <c r="AU188" s="95">
        <f>((h_Aw_Sw+Geraetedaten!$B$18)/1000)*(AQ188*AS188+AR188*AT188)/100</f>
        <v>0</v>
      </c>
    </row>
    <row r="189" spans="1:47" ht="13.5" x14ac:dyDescent="0.25">
      <c r="A189" s="16">
        <v>150</v>
      </c>
      <c r="B189" s="16">
        <f t="shared" si="118"/>
        <v>300</v>
      </c>
      <c r="C189" s="19">
        <f t="shared" si="119"/>
        <v>57.708774203067975</v>
      </c>
      <c r="D189" s="17">
        <f t="shared" si="120"/>
        <v>-13487.040664203067</v>
      </c>
      <c r="E189" s="17">
        <f t="shared" si="121"/>
        <v>10044.140275796934</v>
      </c>
      <c r="F189" s="17">
        <f t="shared" si="122"/>
        <v>13099.939525796934</v>
      </c>
      <c r="G189" s="17">
        <f t="shared" si="123"/>
        <v>-10440.392744203067</v>
      </c>
      <c r="H189" s="17">
        <f t="shared" si="151"/>
        <v>10044.140275796934</v>
      </c>
      <c r="I189" s="17">
        <f t="shared" si="124"/>
        <v>978.7463498445594</v>
      </c>
      <c r="J189" s="20">
        <f>(Geraetedaten!$B$152+(Geraetedaten!$B$153*(Geraetedaten!$B$18+d_y_Sw)/1000))*10</f>
        <v>6051.0442000000003</v>
      </c>
      <c r="K189" s="20">
        <f>(Geraetedaten!$B$165+(Geraetedaten!$B$166*(Geraetedaten!$B$18+d_y_Sw)/1000))*10</f>
        <v>10816.164000000001</v>
      </c>
      <c r="L189" s="20">
        <f>(Geraetedaten!$B$158+(Geraetedaten!$B$159*(Geraetedaten!$B$18+d_y_Sw)/1000)-(Geraetedaten!$B$160*I189/1000))*10</f>
        <v>529.7651301658982</v>
      </c>
      <c r="M189" s="20">
        <f>(Geraetedaten!$B$171+(Geraetedaten!$B$172*(Geraetedaten!$B$18+d_y_Sw)/1000)-(Geraetedaten!$B$173*I189/1000))*10</f>
        <v>992.00912171757193</v>
      </c>
      <c r="N189" s="20">
        <f>IF((H189-J189)/(K189-J189)*(Geraetedaten!$B$174-Geraetedaten!$B$161)&lt;Geraetedaten!$B$174,(H189-J189)/(K189-J189)*(Geraetedaten!$B$174-Geraetedaten!$B$161),Geraetedaten!$B$174)</f>
        <v>335.19376161723642</v>
      </c>
      <c r="O189" s="20">
        <f>N189/Geraetedaten!$B$174*(M189-L189)+L189+C189</f>
        <v>974.8271601518951</v>
      </c>
      <c r="P189" s="20">
        <f t="shared" si="125"/>
        <v>260.17873179222073</v>
      </c>
      <c r="Q189" s="21">
        <f>(N189-Geraetedaten!$B$161)/(Geraetedaten!$B$174-Geraetedaten!$B$161)*(Geraetedaten!$B$175-Geraetedaten!$B$162)+Geraetedaten!$B$162</f>
        <v>39.172014408112787</v>
      </c>
      <c r="R189" s="21">
        <f t="shared" si="126"/>
        <v>39.172014408112787</v>
      </c>
      <c r="S189" s="21">
        <f t="shared" si="127"/>
        <v>19.58600720405639</v>
      </c>
      <c r="T189" s="88">
        <f t="shared" si="128"/>
        <v>-33.923959594835729</v>
      </c>
      <c r="U189" s="86">
        <f t="shared" si="129"/>
        <v>-13429.331889999999</v>
      </c>
      <c r="V189" s="85">
        <f t="shared" si="130"/>
        <v>-2683.3128092763232</v>
      </c>
      <c r="W189" s="85">
        <f t="shared" si="131"/>
        <v>-5376.7411200220995</v>
      </c>
      <c r="X189" s="90">
        <f t="shared" si="132"/>
        <v>2683.3128092763232</v>
      </c>
      <c r="Y189" s="86">
        <f t="shared" si="133"/>
        <v>10101.849050000001</v>
      </c>
      <c r="Z189" s="85">
        <f t="shared" si="134"/>
        <v>-832.16398485565549</v>
      </c>
      <c r="AA189" s="85">
        <f t="shared" si="135"/>
        <v>978.7463498445594</v>
      </c>
      <c r="AB189" s="90">
        <f t="shared" si="136"/>
        <v>832.16398485565549</v>
      </c>
      <c r="AC189" s="86">
        <f t="shared" si="137"/>
        <v>13157.648300000001</v>
      </c>
      <c r="AD189" s="85">
        <f t="shared" si="138"/>
        <v>2598.140025222212</v>
      </c>
      <c r="AE189" s="85">
        <f t="shared" si="139"/>
        <v>5189.9699560109802</v>
      </c>
      <c r="AF189" s="90">
        <f t="shared" si="140"/>
        <v>2598.140025222212</v>
      </c>
      <c r="AG189" s="86">
        <f t="shared" si="141"/>
        <v>-10382.68397</v>
      </c>
      <c r="AH189" s="85">
        <f t="shared" si="142"/>
        <v>6183.1314163678471</v>
      </c>
      <c r="AI189" s="85">
        <f t="shared" si="143"/>
        <v>-7099.735848215334</v>
      </c>
      <c r="AJ189" s="90">
        <f t="shared" si="144"/>
        <v>6183.1314163678471</v>
      </c>
      <c r="AL189" s="95">
        <f t="shared" si="145"/>
        <v>0</v>
      </c>
      <c r="AM189" s="95">
        <f t="shared" si="146"/>
        <v>0</v>
      </c>
      <c r="AN189" s="95">
        <f t="shared" si="147"/>
        <v>0</v>
      </c>
      <c r="AO189" s="95">
        <f t="shared" si="148"/>
        <v>0</v>
      </c>
      <c r="AP189"/>
      <c r="AQ189" s="95">
        <f t="shared" si="149"/>
        <v>0</v>
      </c>
      <c r="AR189" s="95">
        <f t="shared" si="150"/>
        <v>0</v>
      </c>
      <c r="AS189" s="95">
        <f>Geraetedaten!$B$94*ABS(SIN(RADIANS($A189)))</f>
        <v>76.999999999999986</v>
      </c>
      <c r="AT189" s="95">
        <f>Geraetedaten!$B$94*ABS(COS(RADIANS($A189)))</f>
        <v>133.36791218280356</v>
      </c>
      <c r="AU189" s="95">
        <f>((h_Aw_Sw+Geraetedaten!$B$18)/1000)*(AQ189*AS189+AR189*AT189)/100</f>
        <v>0</v>
      </c>
    </row>
    <row r="190" spans="1:47" ht="13.5" x14ac:dyDescent="0.25">
      <c r="A190" s="16">
        <v>151</v>
      </c>
      <c r="B190" s="16">
        <f t="shared" si="118"/>
        <v>299</v>
      </c>
      <c r="C190" s="19">
        <f t="shared" si="119"/>
        <v>57.000826658926599</v>
      </c>
      <c r="D190" s="17">
        <f t="shared" si="120"/>
        <v>-13908.194436658927</v>
      </c>
      <c r="E190" s="17">
        <f t="shared" si="121"/>
        <v>9938.3678733410743</v>
      </c>
      <c r="F190" s="17">
        <f t="shared" si="122"/>
        <v>13512.226643341073</v>
      </c>
      <c r="G190" s="17">
        <f t="shared" si="123"/>
        <v>-10339.975876658926</v>
      </c>
      <c r="H190" s="17">
        <f t="shared" si="151"/>
        <v>9938.3678733410743</v>
      </c>
      <c r="I190" s="17">
        <f t="shared" si="124"/>
        <v>968.42969923759517</v>
      </c>
      <c r="J190" s="20">
        <f>(Geraetedaten!$B$152+(Geraetedaten!$B$153*(Geraetedaten!$B$18+d_y_Sw)/1000))*10</f>
        <v>6051.0442000000003</v>
      </c>
      <c r="K190" s="20">
        <f>(Geraetedaten!$B$165+(Geraetedaten!$B$166*(Geraetedaten!$B$18+d_y_Sw)/1000))*10</f>
        <v>10816.164000000001</v>
      </c>
      <c r="L190" s="20">
        <f>(Geraetedaten!$B$158+(Geraetedaten!$B$159*(Geraetedaten!$B$18+d_y_Sw)/1000)-(Geraetedaten!$B$160*I190/1000))*10</f>
        <v>530.52165015490687</v>
      </c>
      <c r="M190" s="20">
        <f>(Geraetedaten!$B$171+(Geraetedaten!$B$172*(Geraetedaten!$B$18+d_y_Sw)/1000)-(Geraetedaten!$B$173*I190/1000))*10</f>
        <v>992.77709318875441</v>
      </c>
      <c r="N190" s="20">
        <f>IF((H190-J190)/(K190-J190)*(Geraetedaten!$B$174-Geraetedaten!$B$161)&lt;Geraetedaten!$B$174,(H190-J190)/(K190-J190)*(Geraetedaten!$B$174-Geraetedaten!$B$161),Geraetedaten!$B$174)</f>
        <v>326.31487446263776</v>
      </c>
      <c r="O190" s="20">
        <f>N190/Geraetedaten!$B$174*(M190-L190)+L190+C190</f>
        <v>964.62454397198587</v>
      </c>
      <c r="P190" s="20">
        <f t="shared" si="125"/>
        <v>259.17816416821557</v>
      </c>
      <c r="Q190" s="21">
        <f>(N190-Geraetedaten!$B$161)/(Geraetedaten!$B$174-Geraetedaten!$B$161)*(Geraetedaten!$B$175-Geraetedaten!$B$162)+Geraetedaten!$B$162</f>
        <v>38.907867515263476</v>
      </c>
      <c r="R190" s="21">
        <f t="shared" si="126"/>
        <v>38.907867515263476</v>
      </c>
      <c r="S190" s="21">
        <f t="shared" si="127"/>
        <v>18.862908474669684</v>
      </c>
      <c r="T190" s="88">
        <f t="shared" si="128"/>
        <v>-34.029587691618147</v>
      </c>
      <c r="U190" s="86">
        <f t="shared" si="129"/>
        <v>-13851.19361</v>
      </c>
      <c r="V190" s="85">
        <f t="shared" si="130"/>
        <v>-2683.3128092763232</v>
      </c>
      <c r="W190" s="85">
        <f t="shared" si="131"/>
        <v>-5545.6431397684773</v>
      </c>
      <c r="X190" s="90">
        <f t="shared" si="132"/>
        <v>2683.3128092763232</v>
      </c>
      <c r="Y190" s="86">
        <f t="shared" si="133"/>
        <v>9995.3687000000009</v>
      </c>
      <c r="Z190" s="85">
        <f t="shared" si="134"/>
        <v>-832.16398485565549</v>
      </c>
      <c r="AA190" s="85">
        <f t="shared" si="135"/>
        <v>968.42969923759517</v>
      </c>
      <c r="AB190" s="90">
        <f t="shared" si="136"/>
        <v>832.16398485565549</v>
      </c>
      <c r="AC190" s="86">
        <f t="shared" si="137"/>
        <v>13569.22747</v>
      </c>
      <c r="AD190" s="85">
        <f t="shared" si="138"/>
        <v>2598.140025222212</v>
      </c>
      <c r="AE190" s="85">
        <f t="shared" si="139"/>
        <v>5352.315345384447</v>
      </c>
      <c r="AF190" s="90">
        <f t="shared" si="140"/>
        <v>2598.140025222212</v>
      </c>
      <c r="AG190" s="86">
        <f t="shared" si="141"/>
        <v>-10282.975049999999</v>
      </c>
      <c r="AH190" s="85">
        <f t="shared" si="142"/>
        <v>6183.1314163678471</v>
      </c>
      <c r="AI190" s="85">
        <f t="shared" si="143"/>
        <v>-7031.554349224919</v>
      </c>
      <c r="AJ190" s="90">
        <f t="shared" si="144"/>
        <v>6183.1314163678471</v>
      </c>
      <c r="AL190" s="95">
        <f t="shared" si="145"/>
        <v>0</v>
      </c>
      <c r="AM190" s="95">
        <f t="shared" si="146"/>
        <v>0</v>
      </c>
      <c r="AN190" s="95">
        <f t="shared" si="147"/>
        <v>0</v>
      </c>
      <c r="AO190" s="95">
        <f t="shared" si="148"/>
        <v>0</v>
      </c>
      <c r="AP190"/>
      <c r="AQ190" s="95">
        <f t="shared" si="149"/>
        <v>0</v>
      </c>
      <c r="AR190" s="95">
        <f t="shared" si="150"/>
        <v>0</v>
      </c>
      <c r="AS190" s="95">
        <f>Geraetedaten!$B$94*ABS(SIN(RADIANS($A190)))</f>
        <v>74.660681517935927</v>
      </c>
      <c r="AT190" s="95">
        <f>Geraetedaten!$B$94*ABS(COS(RADIANS($A190)))</f>
        <v>134.69143489946694</v>
      </c>
      <c r="AU190" s="95">
        <f>((h_Aw_Sw+Geraetedaten!$B$18)/1000)*(AQ190*AS190+AR190*AT190)/100</f>
        <v>0</v>
      </c>
    </row>
    <row r="191" spans="1:47" ht="13.5" x14ac:dyDescent="0.25">
      <c r="A191" s="16">
        <v>152</v>
      </c>
      <c r="B191" s="16">
        <f t="shared" si="118"/>
        <v>298</v>
      </c>
      <c r="C191" s="19">
        <f t="shared" si="119"/>
        <v>56.275516110805491</v>
      </c>
      <c r="D191" s="17">
        <f t="shared" si="120"/>
        <v>-14361.193446110805</v>
      </c>
      <c r="E191" s="17">
        <f t="shared" si="121"/>
        <v>9837.8165838891946</v>
      </c>
      <c r="F191" s="17">
        <f t="shared" si="122"/>
        <v>13955.517413889194</v>
      </c>
      <c r="G191" s="17">
        <f t="shared" si="123"/>
        <v>-10244.512436110805</v>
      </c>
      <c r="H191" s="17">
        <f t="shared" si="151"/>
        <v>9837.8165838891946</v>
      </c>
      <c r="I191" s="17">
        <f t="shared" si="124"/>
        <v>958.6172273332927</v>
      </c>
      <c r="J191" s="20">
        <f>(Geraetedaten!$B$152+(Geraetedaten!$B$153*(Geraetedaten!$B$18+d_y_Sw)/1000))*10</f>
        <v>6051.0442000000003</v>
      </c>
      <c r="K191" s="20">
        <f>(Geraetedaten!$B$165+(Geraetedaten!$B$166*(Geraetedaten!$B$18+d_y_Sw)/1000))*10</f>
        <v>10816.164000000001</v>
      </c>
      <c r="L191" s="20">
        <f>(Geraetedaten!$B$158+(Geraetedaten!$B$159*(Geraetedaten!$B$18+d_y_Sw)/1000)-(Geraetedaten!$B$160*I191/1000))*10</f>
        <v>531.24119871964933</v>
      </c>
      <c r="M191" s="20">
        <f>(Geraetedaten!$B$171+(Geraetedaten!$B$172*(Geraetedaten!$B$18+d_y_Sw)/1000)-(Geraetedaten!$B$173*I191/1000))*10</f>
        <v>993.50753359731073</v>
      </c>
      <c r="N191" s="20">
        <f>IF((H191-J191)/(K191-J191)*(Geraetedaten!$B$174-Geraetedaten!$B$161)&lt;Geraetedaten!$B$174,(H191-J191)/(K191-J191)*(Geraetedaten!$B$174-Geraetedaten!$B$161),Geraetedaten!$B$174)</f>
        <v>317.87426489375514</v>
      </c>
      <c r="O191" s="20">
        <f>N191/Geraetedaten!$B$174*(M191-L191)+L191+C191</f>
        <v>954.87314329137246</v>
      </c>
      <c r="P191" s="20">
        <f t="shared" si="125"/>
        <v>258.20028864728414</v>
      </c>
      <c r="Q191" s="21">
        <f>(N191-Geraetedaten!$B$161)/(Geraetedaten!$B$174-Geraetedaten!$B$161)*(Geraetedaten!$B$175-Geraetedaten!$B$162)+Geraetedaten!$B$162</f>
        <v>38.656759380589214</v>
      </c>
      <c r="R191" s="21">
        <f t="shared" si="126"/>
        <v>38.656759380589214</v>
      </c>
      <c r="S191" s="21">
        <f t="shared" si="127"/>
        <v>18.148249238643359</v>
      </c>
      <c r="T191" s="88">
        <f t="shared" si="128"/>
        <v>-34.131892642817995</v>
      </c>
      <c r="U191" s="86">
        <f t="shared" si="129"/>
        <v>-14304.91793</v>
      </c>
      <c r="V191" s="85">
        <f t="shared" si="130"/>
        <v>-2683.3128092763232</v>
      </c>
      <c r="W191" s="85">
        <f t="shared" si="131"/>
        <v>-5727.3020825262774</v>
      </c>
      <c r="X191" s="90">
        <f t="shared" si="132"/>
        <v>2683.3128092763232</v>
      </c>
      <c r="Y191" s="86">
        <f t="shared" si="133"/>
        <v>9894.0920999999998</v>
      </c>
      <c r="Z191" s="85">
        <f t="shared" si="134"/>
        <v>-832.16398485565549</v>
      </c>
      <c r="AA191" s="85">
        <f t="shared" si="135"/>
        <v>958.6172273332927</v>
      </c>
      <c r="AB191" s="90">
        <f t="shared" si="136"/>
        <v>832.16398485565549</v>
      </c>
      <c r="AC191" s="86">
        <f t="shared" si="137"/>
        <v>14011.79293</v>
      </c>
      <c r="AD191" s="85">
        <f t="shared" si="138"/>
        <v>2598.140025222212</v>
      </c>
      <c r="AE191" s="85">
        <f t="shared" si="139"/>
        <v>5526.8831239223628</v>
      </c>
      <c r="AF191" s="90">
        <f t="shared" si="140"/>
        <v>2598.140025222212</v>
      </c>
      <c r="AG191" s="86">
        <f t="shared" si="141"/>
        <v>-10188.236919999999</v>
      </c>
      <c r="AH191" s="85">
        <f t="shared" si="142"/>
        <v>6183.1314163678471</v>
      </c>
      <c r="AI191" s="85">
        <f t="shared" si="143"/>
        <v>-6966.7719004673463</v>
      </c>
      <c r="AJ191" s="90">
        <f t="shared" si="144"/>
        <v>6183.1314163678471</v>
      </c>
      <c r="AL191" s="95">
        <f t="shared" si="145"/>
        <v>0</v>
      </c>
      <c r="AM191" s="95">
        <f t="shared" si="146"/>
        <v>0</v>
      </c>
      <c r="AN191" s="95">
        <f t="shared" si="147"/>
        <v>0</v>
      </c>
      <c r="AO191" s="95">
        <f t="shared" si="148"/>
        <v>0</v>
      </c>
      <c r="AP191"/>
      <c r="AQ191" s="95">
        <f t="shared" si="149"/>
        <v>0</v>
      </c>
      <c r="AR191" s="95">
        <f t="shared" si="150"/>
        <v>0</v>
      </c>
      <c r="AS191" s="95">
        <f>Geraetedaten!$B$94*ABS(SIN(RADIANS($A191)))</f>
        <v>72.298620669027173</v>
      </c>
      <c r="AT191" s="95">
        <f>Geraetedaten!$B$94*ABS(COS(RADIANS($A191)))</f>
        <v>135.97392930027476</v>
      </c>
      <c r="AU191" s="95">
        <f>((h_Aw_Sw+Geraetedaten!$B$18)/1000)*(AQ191*AS191+AR191*AT191)/100</f>
        <v>0</v>
      </c>
    </row>
    <row r="192" spans="1:47" ht="13.5" x14ac:dyDescent="0.25">
      <c r="A192" s="16">
        <v>153</v>
      </c>
      <c r="B192" s="16">
        <f t="shared" si="118"/>
        <v>297</v>
      </c>
      <c r="C192" s="19">
        <f t="shared" si="119"/>
        <v>55.533063495323873</v>
      </c>
      <c r="D192" s="17">
        <f t="shared" si="120"/>
        <v>-14849.566383495325</v>
      </c>
      <c r="E192" s="17">
        <f t="shared" si="121"/>
        <v>9742.2687465046765</v>
      </c>
      <c r="F192" s="17">
        <f t="shared" si="122"/>
        <v>14433.229726504676</v>
      </c>
      <c r="G192" s="17">
        <f t="shared" si="123"/>
        <v>-10153.809533495325</v>
      </c>
      <c r="H192" s="17">
        <f t="shared" si="151"/>
        <v>9742.2687465046765</v>
      </c>
      <c r="I192" s="17">
        <f t="shared" si="124"/>
        <v>949.2878694926776</v>
      </c>
      <c r="J192" s="20">
        <f>(Geraetedaten!$B$152+(Geraetedaten!$B$153*(Geraetedaten!$B$18+d_y_Sw)/1000))*10</f>
        <v>6051.0442000000003</v>
      </c>
      <c r="K192" s="20">
        <f>(Geraetedaten!$B$165+(Geraetedaten!$B$166*(Geraetedaten!$B$18+d_y_Sw)/1000))*10</f>
        <v>10816.164000000001</v>
      </c>
      <c r="L192" s="20">
        <f>(Geraetedaten!$B$158+(Geraetedaten!$B$159*(Geraetedaten!$B$18+d_y_Sw)/1000)-(Geraetedaten!$B$160*I192/1000))*10</f>
        <v>531.92532053010166</v>
      </c>
      <c r="M192" s="20">
        <f>(Geraetedaten!$B$171+(Geraetedaten!$B$172*(Geraetedaten!$B$18+d_y_Sw)/1000)-(Geraetedaten!$B$173*I192/1000))*10</f>
        <v>994.20201099496603</v>
      </c>
      <c r="N192" s="20">
        <f>IF((H192-J192)/(K192-J192)*(Geraetedaten!$B$174-Geraetedaten!$B$161)&lt;Geraetedaten!$B$174,(H192-J192)/(K192-J192)*(Geraetedaten!$B$174-Geraetedaten!$B$161),Geraetedaten!$B$174)</f>
        <v>309.85366172784791</v>
      </c>
      <c r="O192" s="20">
        <f>N192/Geraetedaten!$B$174*(M192-L192)+L192+C192</f>
        <v>945.55369720534839</v>
      </c>
      <c r="P192" s="20">
        <f t="shared" si="125"/>
        <v>257.24487223987308</v>
      </c>
      <c r="Q192" s="21">
        <f>(N192-Geraetedaten!$B$161)/(Geraetedaten!$B$174-Geraetedaten!$B$161)*(Geraetedaten!$B$175-Geraetedaten!$B$162)+Geraetedaten!$B$162</f>
        <v>38.418146436403475</v>
      </c>
      <c r="R192" s="21">
        <f t="shared" si="126"/>
        <v>38.418146436403475</v>
      </c>
      <c r="S192" s="21">
        <f t="shared" si="127"/>
        <v>17.441473499729906</v>
      </c>
      <c r="T192" s="88">
        <f t="shared" si="128"/>
        <v>-34.230819122059586</v>
      </c>
      <c r="U192" s="86">
        <f t="shared" si="129"/>
        <v>-14794.03332</v>
      </c>
      <c r="V192" s="85">
        <f t="shared" si="130"/>
        <v>-2683.3128092763232</v>
      </c>
      <c r="W192" s="85">
        <f t="shared" si="131"/>
        <v>-5923.1306476854743</v>
      </c>
      <c r="X192" s="90">
        <f t="shared" si="132"/>
        <v>2683.3128092763232</v>
      </c>
      <c r="Y192" s="86">
        <f t="shared" si="133"/>
        <v>9797.8018100000008</v>
      </c>
      <c r="Z192" s="85">
        <f t="shared" si="134"/>
        <v>-832.16398485565549</v>
      </c>
      <c r="AA192" s="85">
        <f t="shared" si="135"/>
        <v>949.2878694926776</v>
      </c>
      <c r="AB192" s="90">
        <f t="shared" si="136"/>
        <v>832.16398485565549</v>
      </c>
      <c r="AC192" s="86">
        <f t="shared" si="137"/>
        <v>14488.762790000001</v>
      </c>
      <c r="AD192" s="85">
        <f t="shared" si="138"/>
        <v>2598.140025222212</v>
      </c>
      <c r="AE192" s="85">
        <f t="shared" si="139"/>
        <v>5715.0215527931159</v>
      </c>
      <c r="AF192" s="90">
        <f t="shared" si="140"/>
        <v>2598.140025222212</v>
      </c>
      <c r="AG192" s="86">
        <f t="shared" si="141"/>
        <v>-10098.276470000001</v>
      </c>
      <c r="AH192" s="85">
        <f t="shared" si="142"/>
        <v>6183.1314163678471</v>
      </c>
      <c r="AI192" s="85">
        <f t="shared" si="143"/>
        <v>-6905.2564554792325</v>
      </c>
      <c r="AJ192" s="90">
        <f t="shared" si="144"/>
        <v>6183.1314163678471</v>
      </c>
      <c r="AL192" s="95">
        <f t="shared" si="145"/>
        <v>0</v>
      </c>
      <c r="AM192" s="95">
        <f t="shared" si="146"/>
        <v>0</v>
      </c>
      <c r="AN192" s="95">
        <f t="shared" si="147"/>
        <v>0</v>
      </c>
      <c r="AO192" s="95">
        <f t="shared" si="148"/>
        <v>0</v>
      </c>
      <c r="AP192"/>
      <c r="AQ192" s="95">
        <f t="shared" si="149"/>
        <v>0</v>
      </c>
      <c r="AR192" s="95">
        <f t="shared" si="150"/>
        <v>0</v>
      </c>
      <c r="AS192" s="95">
        <f>Geraetedaten!$B$94*ABS(SIN(RADIANS($A192)))</f>
        <v>69.914536959890214</v>
      </c>
      <c r="AT192" s="95">
        <f>Geraetedaten!$B$94*ABS(COS(RADIANS($A192)))</f>
        <v>137.21500472500864</v>
      </c>
      <c r="AU192" s="95">
        <f>((h_Aw_Sw+Geraetedaten!$B$18)/1000)*(AQ192*AS192+AR192*AT192)/100</f>
        <v>0</v>
      </c>
    </row>
    <row r="193" spans="1:47" ht="13.5" x14ac:dyDescent="0.25">
      <c r="A193" s="16">
        <v>154</v>
      </c>
      <c r="B193" s="16">
        <f t="shared" si="118"/>
        <v>296</v>
      </c>
      <c r="C193" s="19">
        <f t="shared" si="119"/>
        <v>54.773694970740706</v>
      </c>
      <c r="D193" s="17">
        <f t="shared" si="120"/>
        <v>-15377.386964970741</v>
      </c>
      <c r="E193" s="17">
        <f t="shared" si="121"/>
        <v>9651.5221150292582</v>
      </c>
      <c r="F193" s="17">
        <f t="shared" si="122"/>
        <v>14949.307445029259</v>
      </c>
      <c r="G193" s="17">
        <f t="shared" si="123"/>
        <v>-10067.687824970741</v>
      </c>
      <c r="H193" s="17">
        <f t="shared" si="151"/>
        <v>9651.5221150292582</v>
      </c>
      <c r="I193" s="17">
        <f t="shared" si="124"/>
        <v>940.42205058175045</v>
      </c>
      <c r="J193" s="20">
        <f>(Geraetedaten!$B$152+(Geraetedaten!$B$153*(Geraetedaten!$B$18+d_y_Sw)/1000))*10</f>
        <v>6051.0442000000003</v>
      </c>
      <c r="K193" s="20">
        <f>(Geraetedaten!$B$165+(Geraetedaten!$B$166*(Geraetedaten!$B$18+d_y_Sw)/1000))*10</f>
        <v>10816.164000000001</v>
      </c>
      <c r="L193" s="20">
        <f>(Geraetedaten!$B$158+(Geraetedaten!$B$159*(Geraetedaten!$B$18+d_y_Sw)/1000)-(Geraetedaten!$B$160*I193/1000))*10</f>
        <v>532.57545103083999</v>
      </c>
      <c r="M193" s="20">
        <f>(Geraetedaten!$B$171+(Geraetedaten!$B$172*(Geraetedaten!$B$18+d_y_Sw)/1000)-(Geraetedaten!$B$173*I193/1000))*10</f>
        <v>994.86198255469549</v>
      </c>
      <c r="N193" s="20">
        <f>IF((H193-J193)/(K193-J193)*(Geraetedaten!$B$174-Geraetedaten!$B$161)&lt;Geraetedaten!$B$174,(H193-J193)/(K193-J193)*(Geraetedaten!$B$174-Geraetedaten!$B$161),Geraetedaten!$B$174)</f>
        <v>302.23608774992454</v>
      </c>
      <c r="O193" s="20">
        <f>N193/Geraetedaten!$B$174*(M193-L193)+L193+C193</f>
        <v>936.64832776971139</v>
      </c>
      <c r="P193" s="20">
        <f t="shared" si="125"/>
        <v>256.31170219391265</v>
      </c>
      <c r="Q193" s="21">
        <f>(N193-Geraetedaten!$B$161)/(Geraetedaten!$B$174-Geraetedaten!$B$161)*(Geraetedaten!$B$175-Geraetedaten!$B$162)+Geraetedaten!$B$162</f>
        <v>38.191523610560253</v>
      </c>
      <c r="R193" s="21">
        <f t="shared" si="126"/>
        <v>38.191523610560253</v>
      </c>
      <c r="S193" s="21">
        <f t="shared" si="127"/>
        <v>16.74206200278342</v>
      </c>
      <c r="T193" s="88">
        <f t="shared" si="128"/>
        <v>-34.326314040265622</v>
      </c>
      <c r="U193" s="86">
        <f t="shared" si="129"/>
        <v>-15322.61327</v>
      </c>
      <c r="V193" s="85">
        <f t="shared" si="130"/>
        <v>-2683.3128092763232</v>
      </c>
      <c r="W193" s="85">
        <f t="shared" si="131"/>
        <v>-6134.7597593939981</v>
      </c>
      <c r="X193" s="90">
        <f t="shared" si="132"/>
        <v>2683.3128092763232</v>
      </c>
      <c r="Y193" s="86">
        <f t="shared" si="133"/>
        <v>9706.2958099999996</v>
      </c>
      <c r="Z193" s="85">
        <f t="shared" si="134"/>
        <v>-832.16398485565549</v>
      </c>
      <c r="AA193" s="85">
        <f t="shared" si="135"/>
        <v>940.42205058175045</v>
      </c>
      <c r="AB193" s="90">
        <f t="shared" si="136"/>
        <v>832.16398485565549</v>
      </c>
      <c r="AC193" s="86">
        <f t="shared" si="137"/>
        <v>15004.08114</v>
      </c>
      <c r="AD193" s="85">
        <f t="shared" si="138"/>
        <v>2598.140025222212</v>
      </c>
      <c r="AE193" s="85">
        <f t="shared" si="139"/>
        <v>5918.2863504854358</v>
      </c>
      <c r="AF193" s="90">
        <f t="shared" si="140"/>
        <v>2598.140025222212</v>
      </c>
      <c r="AG193" s="86">
        <f t="shared" si="141"/>
        <v>-10012.914129999999</v>
      </c>
      <c r="AH193" s="85">
        <f t="shared" si="142"/>
        <v>6183.1314163678471</v>
      </c>
      <c r="AI193" s="85">
        <f t="shared" si="143"/>
        <v>-6846.8852176598994</v>
      </c>
      <c r="AJ193" s="90">
        <f t="shared" si="144"/>
        <v>6183.1314163678471</v>
      </c>
      <c r="AL193" s="95">
        <f t="shared" si="145"/>
        <v>0</v>
      </c>
      <c r="AM193" s="95">
        <f t="shared" si="146"/>
        <v>0</v>
      </c>
      <c r="AN193" s="95">
        <f t="shared" si="147"/>
        <v>0</v>
      </c>
      <c r="AO193" s="95">
        <f t="shared" si="148"/>
        <v>0</v>
      </c>
      <c r="AP193"/>
      <c r="AQ193" s="95">
        <f t="shared" si="149"/>
        <v>0</v>
      </c>
      <c r="AR193" s="95">
        <f t="shared" si="150"/>
        <v>0</v>
      </c>
      <c r="AS193" s="95">
        <f>Geraetedaten!$B$94*ABS(SIN(RADIANS($A193)))</f>
        <v>67.509156605517902</v>
      </c>
      <c r="AT193" s="95">
        <f>Geraetedaten!$B$94*ABS(COS(RADIANS($A193)))</f>
        <v>138.41428313007174</v>
      </c>
      <c r="AU193" s="95">
        <f>((h_Aw_Sw+Geraetedaten!$B$18)/1000)*(AQ193*AS193+AR193*AT193)/100</f>
        <v>0</v>
      </c>
    </row>
    <row r="194" spans="1:47" ht="13.5" x14ac:dyDescent="0.25">
      <c r="A194" s="16">
        <v>155</v>
      </c>
      <c r="B194" s="16">
        <f t="shared" si="118"/>
        <v>295</v>
      </c>
      <c r="C194" s="19">
        <f t="shared" si="119"/>
        <v>53.997641848064774</v>
      </c>
      <c r="D194" s="17">
        <f t="shared" si="120"/>
        <v>-15949.383271848066</v>
      </c>
      <c r="E194" s="17">
        <f t="shared" si="121"/>
        <v>9565.3886281519353</v>
      </c>
      <c r="F194" s="17">
        <f t="shared" si="122"/>
        <v>15508.325328151934</v>
      </c>
      <c r="G194" s="17">
        <f t="shared" si="123"/>
        <v>-9985.9805018480656</v>
      </c>
      <c r="H194" s="17">
        <f t="shared" si="151"/>
        <v>9565.3886281519353</v>
      </c>
      <c r="I194" s="17">
        <f t="shared" si="124"/>
        <v>932.00157274268065</v>
      </c>
      <c r="J194" s="20">
        <f>(Geraetedaten!$B$152+(Geraetedaten!$B$153*(Geraetedaten!$B$18+d_y_Sw)/1000))*10</f>
        <v>6051.0442000000003</v>
      </c>
      <c r="K194" s="20">
        <f>(Geraetedaten!$B$165+(Geraetedaten!$B$166*(Geraetedaten!$B$18+d_y_Sw)/1000))*10</f>
        <v>10816.164000000001</v>
      </c>
      <c r="L194" s="20">
        <f>(Geraetedaten!$B$158+(Geraetedaten!$B$159*(Geraetedaten!$B$18+d_y_Sw)/1000)-(Geraetedaten!$B$160*I194/1000))*10</f>
        <v>533.19292467077901</v>
      </c>
      <c r="M194" s="20">
        <f>(Geraetedaten!$B$171+(Geraetedaten!$B$172*(Geraetedaten!$B$18+d_y_Sw)/1000)-(Geraetedaten!$B$173*I194/1000))*10</f>
        <v>995.48880292503577</v>
      </c>
      <c r="N194" s="20">
        <f>IF((H194-J194)/(K194-J194)*(Geraetedaten!$B$174-Geraetedaten!$B$161)&lt;Geraetedaten!$B$174,(H194-J194)/(K194-J194)*(Geraetedaten!$B$174-Geraetedaten!$B$161),Geraetedaten!$B$174)</f>
        <v>295.00575646823694</v>
      </c>
      <c r="O194" s="20">
        <f>N194/Geraetedaten!$B$174*(M194-L194)+L194+C194</f>
        <v>928.14042971020615</v>
      </c>
      <c r="P194" s="20">
        <f t="shared" si="125"/>
        <v>255.40058505460559</v>
      </c>
      <c r="Q194" s="21">
        <f>(N194-Geraetedaten!$B$161)/(Geraetedaten!$B$174-Geraetedaten!$B$161)*(Geraetedaten!$B$175-Geraetedaten!$B$162)+Geraetedaten!$B$162</f>
        <v>37.976421254930052</v>
      </c>
      <c r="R194" s="21">
        <f t="shared" si="126"/>
        <v>37.976421254930052</v>
      </c>
      <c r="S194" s="21">
        <f t="shared" si="127"/>
        <v>16.049529137891092</v>
      </c>
      <c r="T194" s="88">
        <f t="shared" si="128"/>
        <v>-34.418326307127252</v>
      </c>
      <c r="U194" s="86">
        <f t="shared" si="129"/>
        <v>-15895.385630000001</v>
      </c>
      <c r="V194" s="85">
        <f t="shared" si="130"/>
        <v>-2683.3128092763232</v>
      </c>
      <c r="W194" s="85">
        <f t="shared" si="131"/>
        <v>-6364.0823116110923</v>
      </c>
      <c r="X194" s="90">
        <f t="shared" si="132"/>
        <v>2683.3128092763232</v>
      </c>
      <c r="Y194" s="86">
        <f t="shared" si="133"/>
        <v>9619.3862700000009</v>
      </c>
      <c r="Z194" s="85">
        <f t="shared" si="134"/>
        <v>-832.16398485565549</v>
      </c>
      <c r="AA194" s="85">
        <f t="shared" si="135"/>
        <v>932.00157274268065</v>
      </c>
      <c r="AB194" s="90">
        <f t="shared" si="136"/>
        <v>832.16398485565549</v>
      </c>
      <c r="AC194" s="86">
        <f t="shared" si="137"/>
        <v>15562.322969999999</v>
      </c>
      <c r="AD194" s="85">
        <f t="shared" si="138"/>
        <v>2598.140025222212</v>
      </c>
      <c r="AE194" s="85">
        <f t="shared" si="139"/>
        <v>6138.4821091004023</v>
      </c>
      <c r="AF194" s="90">
        <f t="shared" si="140"/>
        <v>2598.140025222212</v>
      </c>
      <c r="AG194" s="86">
        <f t="shared" si="141"/>
        <v>-9931.9828600000001</v>
      </c>
      <c r="AH194" s="85">
        <f t="shared" si="142"/>
        <v>6183.1314163678471</v>
      </c>
      <c r="AI194" s="85">
        <f t="shared" si="143"/>
        <v>-6791.543979682484</v>
      </c>
      <c r="AJ194" s="90">
        <f t="shared" si="144"/>
        <v>6183.1314163678471</v>
      </c>
      <c r="AL194" s="95">
        <f t="shared" si="145"/>
        <v>0</v>
      </c>
      <c r="AM194" s="95">
        <f t="shared" si="146"/>
        <v>0</v>
      </c>
      <c r="AN194" s="95">
        <f t="shared" si="147"/>
        <v>0</v>
      </c>
      <c r="AO194" s="95">
        <f t="shared" si="148"/>
        <v>0</v>
      </c>
      <c r="AP194"/>
      <c r="AQ194" s="95">
        <f t="shared" si="149"/>
        <v>0</v>
      </c>
      <c r="AR194" s="95">
        <f t="shared" si="150"/>
        <v>0</v>
      </c>
      <c r="AS194" s="95">
        <f>Geraetedaten!$B$94*ABS(SIN(RADIANS($A194)))</f>
        <v>65.083212308067729</v>
      </c>
      <c r="AT194" s="95">
        <f>Geraetedaten!$B$94*ABS(COS(RADIANS($A194)))</f>
        <v>139.57139920364409</v>
      </c>
      <c r="AU194" s="95">
        <f>((h_Aw_Sw+Geraetedaten!$B$18)/1000)*(AQ194*AS194+AR194*AT194)/100</f>
        <v>0</v>
      </c>
    </row>
    <row r="195" spans="1:47" ht="13.5" x14ac:dyDescent="0.25">
      <c r="A195" s="16">
        <v>156</v>
      </c>
      <c r="B195" s="16">
        <f t="shared" si="118"/>
        <v>294</v>
      </c>
      <c r="C195" s="19">
        <f t="shared" si="119"/>
        <v>53.205140520595016</v>
      </c>
      <c r="D195" s="17">
        <f t="shared" si="120"/>
        <v>-16571.074310520598</v>
      </c>
      <c r="E195" s="17">
        <f t="shared" si="121"/>
        <v>9483.6933894794056</v>
      </c>
      <c r="F195" s="17">
        <f t="shared" si="122"/>
        <v>16115.620319479405</v>
      </c>
      <c r="G195" s="17">
        <f t="shared" si="123"/>
        <v>-9908.5325005205941</v>
      </c>
      <c r="H195" s="17">
        <f t="shared" si="151"/>
        <v>9483.6933894794056</v>
      </c>
      <c r="I195" s="17">
        <f t="shared" si="124"/>
        <v>924.00951393763535</v>
      </c>
      <c r="J195" s="20">
        <f>(Geraetedaten!$B$152+(Geraetedaten!$B$153*(Geraetedaten!$B$18+d_y_Sw)/1000))*10</f>
        <v>6051.0442000000003</v>
      </c>
      <c r="K195" s="20">
        <f>(Geraetedaten!$B$165+(Geraetedaten!$B$166*(Geraetedaten!$B$18+d_y_Sw)/1000))*10</f>
        <v>10816.164000000001</v>
      </c>
      <c r="L195" s="20">
        <f>(Geraetedaten!$B$158+(Geraetedaten!$B$159*(Geraetedaten!$B$18+d_y_Sw)/1000)-(Geraetedaten!$B$160*I195/1000))*10</f>
        <v>533.77898234295299</v>
      </c>
      <c r="M195" s="20">
        <f>(Geraetedaten!$B$171+(Geraetedaten!$B$172*(Geraetedaten!$B$18+d_y_Sw)/1000)-(Geraetedaten!$B$173*I195/1000))*10</f>
        <v>996.08373178248348</v>
      </c>
      <c r="N195" s="20">
        <f>IF((H195-J195)/(K195-J195)*(Geraetedaten!$B$174-Geraetedaten!$B$161)&lt;Geraetedaten!$B$174,(H195-J195)/(K195-J195)*(Geraetedaten!$B$174-Geraetedaten!$B$161),Geraetedaten!$B$174)</f>
        <v>288.14798649800201</v>
      </c>
      <c r="O195" s="20">
        <f>N195/Geraetedaten!$B$174*(M195-L195)+L195+C195</f>
        <v>920.01457961220808</v>
      </c>
      <c r="P195" s="20">
        <f t="shared" si="125"/>
        <v>254.51134662506342</v>
      </c>
      <c r="Q195" s="21">
        <f>(N195-Geraetedaten!$B$161)/(Geraetedaten!$B$174-Geraetedaten!$B$161)*(Geraetedaten!$B$175-Geraetedaten!$B$162)+Geraetedaten!$B$162</f>
        <v>37.772402598315558</v>
      </c>
      <c r="R195" s="21">
        <f t="shared" si="126"/>
        <v>37.772402598315558</v>
      </c>
      <c r="S195" s="21">
        <f t="shared" si="127"/>
        <v>15.363420233746512</v>
      </c>
      <c r="T195" s="88">
        <f t="shared" si="128"/>
        <v>-34.506806817938745</v>
      </c>
      <c r="U195" s="86">
        <f t="shared" si="129"/>
        <v>-16517.869170000002</v>
      </c>
      <c r="V195" s="85">
        <f t="shared" si="130"/>
        <v>-2683.3128092763232</v>
      </c>
      <c r="W195" s="85">
        <f t="shared" si="131"/>
        <v>-6613.3078783173105</v>
      </c>
      <c r="X195" s="90">
        <f t="shared" si="132"/>
        <v>2683.3128092763232</v>
      </c>
      <c r="Y195" s="86">
        <f t="shared" si="133"/>
        <v>9536.8985300000004</v>
      </c>
      <c r="Z195" s="85">
        <f t="shared" si="134"/>
        <v>-832.16398485565549</v>
      </c>
      <c r="AA195" s="85">
        <f t="shared" si="135"/>
        <v>924.00951393763535</v>
      </c>
      <c r="AB195" s="90">
        <f t="shared" si="136"/>
        <v>832.16398485565549</v>
      </c>
      <c r="AC195" s="86">
        <f t="shared" si="137"/>
        <v>16168.82546</v>
      </c>
      <c r="AD195" s="85">
        <f t="shared" si="138"/>
        <v>2598.140025222212</v>
      </c>
      <c r="AE195" s="85">
        <f t="shared" si="139"/>
        <v>6377.7140478452366</v>
      </c>
      <c r="AF195" s="90">
        <f t="shared" si="140"/>
        <v>2598.140025222212</v>
      </c>
      <c r="AG195" s="86">
        <f t="shared" si="141"/>
        <v>-9855.3273599999993</v>
      </c>
      <c r="AH195" s="85">
        <f t="shared" si="142"/>
        <v>6183.1314163678471</v>
      </c>
      <c r="AI195" s="85">
        <f t="shared" si="143"/>
        <v>-6739.1265248368964</v>
      </c>
      <c r="AJ195" s="90">
        <f t="shared" si="144"/>
        <v>6183.1314163678471</v>
      </c>
      <c r="AL195" s="95">
        <f t="shared" si="145"/>
        <v>0</v>
      </c>
      <c r="AM195" s="95">
        <f t="shared" si="146"/>
        <v>0</v>
      </c>
      <c r="AN195" s="95">
        <f t="shared" si="147"/>
        <v>0</v>
      </c>
      <c r="AO195" s="95">
        <f t="shared" si="148"/>
        <v>0</v>
      </c>
      <c r="AP195"/>
      <c r="AQ195" s="95">
        <f t="shared" si="149"/>
        <v>0</v>
      </c>
      <c r="AR195" s="95">
        <f t="shared" si="150"/>
        <v>0</v>
      </c>
      <c r="AS195" s="95">
        <f>Geraetedaten!$B$94*ABS(SIN(RADIANS($A195)))</f>
        <v>62.637443033673264</v>
      </c>
      <c r="AT195" s="95">
        <f>Geraetedaten!$B$94*ABS(COS(RADIANS($A195)))</f>
        <v>140.68600047696052</v>
      </c>
      <c r="AU195" s="95">
        <f>((h_Aw_Sw+Geraetedaten!$B$18)/1000)*(AQ195*AS195+AR195*AT195)/100</f>
        <v>0</v>
      </c>
    </row>
    <row r="196" spans="1:47" ht="13.5" x14ac:dyDescent="0.25">
      <c r="A196" s="16">
        <v>157</v>
      </c>
      <c r="B196" s="16">
        <f t="shared" si="118"/>
        <v>293</v>
      </c>
      <c r="C196" s="19">
        <f t="shared" si="119"/>
        <v>52.396432391912896</v>
      </c>
      <c r="D196" s="17">
        <f t="shared" si="120"/>
        <v>-17248.942472391915</v>
      </c>
      <c r="E196" s="17">
        <f t="shared" si="121"/>
        <v>9406.2737276080861</v>
      </c>
      <c r="F196" s="17">
        <f t="shared" si="122"/>
        <v>16777.456877608085</v>
      </c>
      <c r="G196" s="17">
        <f t="shared" si="123"/>
        <v>-9835.199592391913</v>
      </c>
      <c r="H196" s="17">
        <f t="shared" si="151"/>
        <v>9406.2737276080861</v>
      </c>
      <c r="I196" s="17">
        <f t="shared" si="124"/>
        <v>916.43013612661161</v>
      </c>
      <c r="J196" s="20">
        <f>(Geraetedaten!$B$152+(Geraetedaten!$B$153*(Geraetedaten!$B$18+d_y_Sw)/1000))*10</f>
        <v>6051.0442000000003</v>
      </c>
      <c r="K196" s="20">
        <f>(Geraetedaten!$B$165+(Geraetedaten!$B$166*(Geraetedaten!$B$18+d_y_Sw)/1000))*10</f>
        <v>10816.164000000001</v>
      </c>
      <c r="L196" s="20">
        <f>(Geraetedaten!$B$158+(Geraetedaten!$B$159*(Geraetedaten!$B$18+d_y_Sw)/1000)-(Geraetedaten!$B$160*I196/1000))*10</f>
        <v>534.3347781178353</v>
      </c>
      <c r="M196" s="20">
        <f>(Geraetedaten!$B$171+(Geraetedaten!$B$172*(Geraetedaten!$B$18+d_y_Sw)/1000)-(Geraetedaten!$B$173*I196/1000))*10</f>
        <v>996.64794066673596</v>
      </c>
      <c r="N196" s="20">
        <f>IF((H196-J196)/(K196-J196)*(Geraetedaten!$B$174-Geraetedaten!$B$161)&lt;Geraetedaten!$B$174,(H196-J196)/(K196-J196)*(Geraetedaten!$B$174-Geraetedaten!$B$161),Geraetedaten!$B$174)</f>
        <v>281.64912266072184</v>
      </c>
      <c r="O196" s="20">
        <f>N196/Geraetedaten!$B$174*(M196-L196)+L196+C196</f>
        <v>912.25645207575212</v>
      </c>
      <c r="P196" s="20">
        <f t="shared" si="125"/>
        <v>253.64383176116436</v>
      </c>
      <c r="Q196" s="21">
        <f>(N196-Geraetedaten!$B$161)/(Geraetedaten!$B$174-Geraetedaten!$B$161)*(Geraetedaten!$B$175-Geraetedaten!$B$162)+Geraetedaten!$B$162</f>
        <v>37.579061399156473</v>
      </c>
      <c r="R196" s="21">
        <f t="shared" si="126"/>
        <v>37.579061399156473</v>
      </c>
      <c r="S196" s="21">
        <f t="shared" si="127"/>
        <v>14.683309068060115</v>
      </c>
      <c r="T196" s="88">
        <f t="shared" si="128"/>
        <v>-34.59170840611079</v>
      </c>
      <c r="U196" s="86">
        <f t="shared" si="129"/>
        <v>-17196.546040000001</v>
      </c>
      <c r="V196" s="85">
        <f t="shared" si="130"/>
        <v>-2683.3128092763232</v>
      </c>
      <c r="W196" s="85">
        <f t="shared" si="131"/>
        <v>-6885.031735136824</v>
      </c>
      <c r="X196" s="90">
        <f t="shared" si="132"/>
        <v>2683.3128092763232</v>
      </c>
      <c r="Y196" s="86">
        <f t="shared" si="133"/>
        <v>9458.6701599999997</v>
      </c>
      <c r="Z196" s="85">
        <f t="shared" si="134"/>
        <v>-832.16398485565549</v>
      </c>
      <c r="AA196" s="85">
        <f t="shared" si="135"/>
        <v>916.43013612661161</v>
      </c>
      <c r="AB196" s="90">
        <f t="shared" si="136"/>
        <v>832.16398485565549</v>
      </c>
      <c r="AC196" s="86">
        <f t="shared" si="137"/>
        <v>16829.853309999999</v>
      </c>
      <c r="AD196" s="85">
        <f t="shared" si="138"/>
        <v>2598.140025222212</v>
      </c>
      <c r="AE196" s="85">
        <f t="shared" si="139"/>
        <v>6638.4532443237222</v>
      </c>
      <c r="AF196" s="90">
        <f t="shared" si="140"/>
        <v>2598.140025222212</v>
      </c>
      <c r="AG196" s="86">
        <f t="shared" si="141"/>
        <v>-9782.8031599999995</v>
      </c>
      <c r="AH196" s="85">
        <f t="shared" si="142"/>
        <v>6183.1314163678471</v>
      </c>
      <c r="AI196" s="85">
        <f t="shared" si="143"/>
        <v>-6689.534084033462</v>
      </c>
      <c r="AJ196" s="90">
        <f t="shared" si="144"/>
        <v>6183.1314163678471</v>
      </c>
      <c r="AL196" s="95">
        <f t="shared" si="145"/>
        <v>0</v>
      </c>
      <c r="AM196" s="95">
        <f t="shared" si="146"/>
        <v>0</v>
      </c>
      <c r="AN196" s="95">
        <f t="shared" si="147"/>
        <v>0</v>
      </c>
      <c r="AO196" s="95">
        <f t="shared" si="148"/>
        <v>0</v>
      </c>
      <c r="AP196"/>
      <c r="AQ196" s="95">
        <f t="shared" si="149"/>
        <v>0</v>
      </c>
      <c r="AR196" s="95">
        <f t="shared" si="150"/>
        <v>0</v>
      </c>
      <c r="AS196" s="95">
        <f>Geraetedaten!$B$94*ABS(SIN(RADIANS($A196)))</f>
        <v>60.172593787348163</v>
      </c>
      <c r="AT196" s="95">
        <f>Geraetedaten!$B$94*ABS(COS(RADIANS($A196)))</f>
        <v>141.75774743167582</v>
      </c>
      <c r="AU196" s="95">
        <f>((h_Aw_Sw+Geraetedaten!$B$18)/1000)*(AQ196*AS196+AR196*AT196)/100</f>
        <v>0</v>
      </c>
    </row>
    <row r="197" spans="1:47" ht="13.5" x14ac:dyDescent="0.25">
      <c r="A197" s="16">
        <v>158</v>
      </c>
      <c r="B197" s="16">
        <f t="shared" si="118"/>
        <v>292</v>
      </c>
      <c r="C197" s="19">
        <f t="shared" si="119"/>
        <v>51.571763802348585</v>
      </c>
      <c r="D197" s="17">
        <f t="shared" si="120"/>
        <v>-17990.653053802347</v>
      </c>
      <c r="E197" s="17">
        <f t="shared" si="121"/>
        <v>9332.9783261976518</v>
      </c>
      <c r="F197" s="17">
        <f t="shared" si="122"/>
        <v>17501.237356197653</v>
      </c>
      <c r="G197" s="17">
        <f t="shared" si="123"/>
        <v>-9765.8477638023487</v>
      </c>
      <c r="H197" s="17">
        <f t="shared" si="151"/>
        <v>9332.9783261976518</v>
      </c>
      <c r="I197" s="17">
        <f t="shared" si="124"/>
        <v>909.24880207936292</v>
      </c>
      <c r="J197" s="20">
        <f>(Geraetedaten!$B$152+(Geraetedaten!$B$153*(Geraetedaten!$B$18+d_y_Sw)/1000))*10</f>
        <v>6051.0442000000003</v>
      </c>
      <c r="K197" s="20">
        <f>(Geraetedaten!$B$165+(Geraetedaten!$B$166*(Geraetedaten!$B$18+d_y_Sw)/1000))*10</f>
        <v>10816.164000000001</v>
      </c>
      <c r="L197" s="20">
        <f>(Geraetedaten!$B$158+(Geraetedaten!$B$159*(Geraetedaten!$B$18+d_y_Sw)/1000)-(Geraetedaten!$B$160*I197/1000))*10</f>
        <v>534.86138534352006</v>
      </c>
      <c r="M197" s="20">
        <f>(Geraetedaten!$B$171+(Geraetedaten!$B$172*(Geraetedaten!$B$18+d_y_Sw)/1000)-(Geraetedaten!$B$173*I197/1000))*10</f>
        <v>997.18251917321311</v>
      </c>
      <c r="N197" s="20">
        <f>IF((H197-J197)/(K197-J197)*(Geraetedaten!$B$174-Geraetedaten!$B$161)&lt;Geraetedaten!$B$174,(H197-J197)/(K197-J197)*(Geraetedaten!$B$174-Geraetedaten!$B$161),Geraetedaten!$B$174)</f>
        <v>275.49646295966375</v>
      </c>
      <c r="O197" s="20">
        <f>N197/Geraetedaten!$B$174*(M197-L197)+L197+C197</f>
        <v>904.85274194982298</v>
      </c>
      <c r="P197" s="20">
        <f t="shared" si="125"/>
        <v>252.79790398847294</v>
      </c>
      <c r="Q197" s="21">
        <f>(N197-Geraetedaten!$B$161)/(Geraetedaten!$B$174-Geraetedaten!$B$161)*(Geraetedaten!$B$175-Geraetedaten!$B$162)+Geraetedaten!$B$162</f>
        <v>37.39601977305</v>
      </c>
      <c r="R197" s="21">
        <f t="shared" si="126"/>
        <v>37.39601977305</v>
      </c>
      <c r="S197" s="21">
        <f t="shared" si="127"/>
        <v>14.008795574496355</v>
      </c>
      <c r="T197" s="88">
        <f t="shared" si="128"/>
        <v>-34.672985758632294</v>
      </c>
      <c r="U197" s="86">
        <f t="shared" si="129"/>
        <v>-17939.081289999998</v>
      </c>
      <c r="V197" s="85">
        <f t="shared" si="130"/>
        <v>-2683.3128092763232</v>
      </c>
      <c r="W197" s="85">
        <f t="shared" si="131"/>
        <v>-7182.3227588994732</v>
      </c>
      <c r="X197" s="90">
        <f t="shared" si="132"/>
        <v>2683.3128092763232</v>
      </c>
      <c r="Y197" s="86">
        <f t="shared" si="133"/>
        <v>9384.5500900000006</v>
      </c>
      <c r="Z197" s="85">
        <f t="shared" si="134"/>
        <v>-832.16398485565549</v>
      </c>
      <c r="AA197" s="85">
        <f t="shared" si="135"/>
        <v>909.24880207936292</v>
      </c>
      <c r="AB197" s="90">
        <f t="shared" si="136"/>
        <v>832.16398485565549</v>
      </c>
      <c r="AC197" s="86">
        <f t="shared" si="137"/>
        <v>17552.809120000002</v>
      </c>
      <c r="AD197" s="85">
        <f t="shared" si="138"/>
        <v>2598.140025222212</v>
      </c>
      <c r="AE197" s="85">
        <f t="shared" si="139"/>
        <v>6923.6196241688631</v>
      </c>
      <c r="AF197" s="90">
        <f t="shared" si="140"/>
        <v>2598.140025222212</v>
      </c>
      <c r="AG197" s="86">
        <f t="shared" si="141"/>
        <v>-9714.2759999999998</v>
      </c>
      <c r="AH197" s="85">
        <f t="shared" si="142"/>
        <v>6183.1314163678471</v>
      </c>
      <c r="AI197" s="85">
        <f t="shared" si="143"/>
        <v>-6642.6748429381796</v>
      </c>
      <c r="AJ197" s="90">
        <f t="shared" si="144"/>
        <v>6183.1314163678471</v>
      </c>
      <c r="AL197" s="95">
        <f t="shared" si="145"/>
        <v>0</v>
      </c>
      <c r="AM197" s="95">
        <f t="shared" si="146"/>
        <v>0</v>
      </c>
      <c r="AN197" s="95">
        <f t="shared" si="147"/>
        <v>0</v>
      </c>
      <c r="AO197" s="95">
        <f t="shared" si="148"/>
        <v>0</v>
      </c>
      <c r="AP197"/>
      <c r="AQ197" s="95">
        <f t="shared" si="149"/>
        <v>0</v>
      </c>
      <c r="AR197" s="95">
        <f t="shared" si="150"/>
        <v>0</v>
      </c>
      <c r="AS197" s="95">
        <f>Geraetedaten!$B$94*ABS(SIN(RADIANS($A197)))</f>
        <v>57.689415386050484</v>
      </c>
      <c r="AT197" s="95">
        <f>Geraetedaten!$B$94*ABS(COS(RADIANS($A197)))</f>
        <v>142.78631360328524</v>
      </c>
      <c r="AU197" s="95">
        <f>((h_Aw_Sw+Geraetedaten!$B$18)/1000)*(AQ197*AS197+AR197*AT197)/100</f>
        <v>0</v>
      </c>
    </row>
    <row r="198" spans="1:47" ht="13.5" x14ac:dyDescent="0.25">
      <c r="A198" s="16">
        <v>159</v>
      </c>
      <c r="B198" s="16">
        <f t="shared" si="118"/>
        <v>291</v>
      </c>
      <c r="C198" s="19">
        <f t="shared" si="119"/>
        <v>50.73138595394316</v>
      </c>
      <c r="D198" s="17">
        <f t="shared" si="120"/>
        <v>-18805.336715953941</v>
      </c>
      <c r="E198" s="17">
        <f t="shared" si="121"/>
        <v>9263.6664340460575</v>
      </c>
      <c r="F198" s="17">
        <f t="shared" si="122"/>
        <v>18295.772444046059</v>
      </c>
      <c r="G198" s="17">
        <f t="shared" si="123"/>
        <v>-9700.3525259539419</v>
      </c>
      <c r="H198" s="17">
        <f t="shared" si="151"/>
        <v>9263.6664340460575</v>
      </c>
      <c r="I198" s="17">
        <f t="shared" si="124"/>
        <v>902.45189994175985</v>
      </c>
      <c r="J198" s="20">
        <f>(Geraetedaten!$B$152+(Geraetedaten!$B$153*(Geraetedaten!$B$18+d_y_Sw)/1000))*10</f>
        <v>6051.0442000000003</v>
      </c>
      <c r="K198" s="20">
        <f>(Geraetedaten!$B$165+(Geraetedaten!$B$166*(Geraetedaten!$B$18+d_y_Sw)/1000))*10</f>
        <v>10816.164000000001</v>
      </c>
      <c r="L198" s="20">
        <f>(Geraetedaten!$B$158+(Geraetedaten!$B$159*(Geraetedaten!$B$18+d_y_Sw)/1000)-(Geraetedaten!$B$160*I198/1000))*10</f>
        <v>535.35980217727047</v>
      </c>
      <c r="M198" s="20">
        <f>(Geraetedaten!$B$171+(Geraetedaten!$B$172*(Geraetedaten!$B$18+d_y_Sw)/1000)-(Geraetedaten!$B$173*I198/1000))*10</f>
        <v>997.68848056833633</v>
      </c>
      <c r="N198" s="20">
        <f>IF((H198-J198)/(K198-J198)*(Geraetedaten!$B$174-Geraetedaten!$B$161)&lt;Geraetedaten!$B$174,(H198-J198)/(K198-J198)*(Geraetedaten!$B$174-Geraetedaten!$B$161),Geraetedaten!$B$174)</f>
        <v>269.6781922709315</v>
      </c>
      <c r="O198" s="20">
        <f>N198/Geraetedaten!$B$174*(M198-L198)+L198+C198</f>
        <v>897.79109368999229</v>
      </c>
      <c r="P198" s="20">
        <f t="shared" si="125"/>
        <v>251.97344511666034</v>
      </c>
      <c r="Q198" s="21">
        <f>(N198-Geraetedaten!$B$161)/(Geraetedaten!$B$174-Geraetedaten!$B$161)*(Geraetedaten!$B$175-Geraetedaten!$B$162)+Geraetedaten!$B$162</f>
        <v>37.222926220060216</v>
      </c>
      <c r="R198" s="21">
        <f t="shared" si="126"/>
        <v>37.222926220060216</v>
      </c>
      <c r="S198" s="21">
        <f t="shared" si="127"/>
        <v>13.339503745558972</v>
      </c>
      <c r="T198" s="88">
        <f t="shared" si="128"/>
        <v>-34.750595335997687</v>
      </c>
      <c r="U198" s="86">
        <f t="shared" si="129"/>
        <v>-18754.605329999999</v>
      </c>
      <c r="V198" s="85">
        <f t="shared" si="130"/>
        <v>-2683.3128092763232</v>
      </c>
      <c r="W198" s="85">
        <f t="shared" si="131"/>
        <v>-7508.8365164702527</v>
      </c>
      <c r="X198" s="90">
        <f t="shared" si="132"/>
        <v>2683.3128092763232</v>
      </c>
      <c r="Y198" s="86">
        <f t="shared" si="133"/>
        <v>9314.3978200000001</v>
      </c>
      <c r="Z198" s="85">
        <f t="shared" si="134"/>
        <v>-832.16398485565549</v>
      </c>
      <c r="AA198" s="85">
        <f t="shared" si="135"/>
        <v>902.45189994175985</v>
      </c>
      <c r="AB198" s="90">
        <f t="shared" si="136"/>
        <v>832.16398485565549</v>
      </c>
      <c r="AC198" s="86">
        <f t="shared" si="137"/>
        <v>18346.503830000001</v>
      </c>
      <c r="AD198" s="85">
        <f t="shared" si="138"/>
        <v>2598.140025222212</v>
      </c>
      <c r="AE198" s="85">
        <f t="shared" si="139"/>
        <v>7236.688617131199</v>
      </c>
      <c r="AF198" s="90">
        <f t="shared" si="140"/>
        <v>2598.140025222212</v>
      </c>
      <c r="AG198" s="86">
        <f t="shared" si="141"/>
        <v>-9649.6211399999993</v>
      </c>
      <c r="AH198" s="85">
        <f t="shared" si="142"/>
        <v>6183.1314163678471</v>
      </c>
      <c r="AI198" s="85">
        <f t="shared" si="143"/>
        <v>-6598.4634943573583</v>
      </c>
      <c r="AJ198" s="90">
        <f t="shared" si="144"/>
        <v>6183.1314163678471</v>
      </c>
      <c r="AL198" s="95">
        <f t="shared" si="145"/>
        <v>0</v>
      </c>
      <c r="AM198" s="95">
        <f t="shared" si="146"/>
        <v>0</v>
      </c>
      <c r="AN198" s="95">
        <f t="shared" si="147"/>
        <v>0</v>
      </c>
      <c r="AO198" s="95">
        <f t="shared" si="148"/>
        <v>0</v>
      </c>
      <c r="AP198"/>
      <c r="AQ198" s="95">
        <f t="shared" si="149"/>
        <v>0</v>
      </c>
      <c r="AR198" s="95">
        <f t="shared" si="150"/>
        <v>0</v>
      </c>
      <c r="AS198" s="95">
        <f>Geraetedaten!$B$94*ABS(SIN(RADIANS($A198)))</f>
        <v>55.188664229976233</v>
      </c>
      <c r="AT198" s="95">
        <f>Geraetedaten!$B$94*ABS(COS(RADIANS($A198)))</f>
        <v>143.77138568056907</v>
      </c>
      <c r="AU198" s="95">
        <f>((h_Aw_Sw+Geraetedaten!$B$18)/1000)*(AQ198*AS198+AR198*AT198)/100</f>
        <v>0</v>
      </c>
    </row>
    <row r="199" spans="1:47" ht="13.5" x14ac:dyDescent="0.25">
      <c r="A199" s="16">
        <v>160</v>
      </c>
      <c r="B199" s="16">
        <f t="shared" si="118"/>
        <v>290</v>
      </c>
      <c r="C199" s="19">
        <f t="shared" si="119"/>
        <v>49.875554833930209</v>
      </c>
      <c r="D199" s="17">
        <f t="shared" si="120"/>
        <v>-19703.956924833928</v>
      </c>
      <c r="E199" s="17">
        <f t="shared" si="121"/>
        <v>9198.2071851660694</v>
      </c>
      <c r="F199" s="17">
        <f t="shared" si="122"/>
        <v>19171.632485166072</v>
      </c>
      <c r="G199" s="17">
        <f t="shared" si="123"/>
        <v>-9638.5982848339299</v>
      </c>
      <c r="H199" s="17">
        <f t="shared" si="151"/>
        <v>9198.2071851660694</v>
      </c>
      <c r="I199" s="17">
        <f t="shared" si="124"/>
        <v>896.02677478142289</v>
      </c>
      <c r="J199" s="20">
        <f>(Geraetedaten!$B$152+(Geraetedaten!$B$153*(Geraetedaten!$B$18+d_y_Sw)/1000))*10</f>
        <v>6051.0442000000003</v>
      </c>
      <c r="K199" s="20">
        <f>(Geraetedaten!$B$165+(Geraetedaten!$B$166*(Geraetedaten!$B$18+d_y_Sw)/1000))*10</f>
        <v>10816.164000000001</v>
      </c>
      <c r="L199" s="20">
        <f>(Geraetedaten!$B$158+(Geraetedaten!$B$159*(Geraetedaten!$B$18+d_y_Sw)/1000)-(Geraetedaten!$B$160*I199/1000))*10</f>
        <v>535.83095660527806</v>
      </c>
      <c r="M199" s="20">
        <f>(Geraetedaten!$B$171+(Geraetedaten!$B$172*(Geraetedaten!$B$18+d_y_Sw)/1000)-(Geraetedaten!$B$173*I199/1000))*10</f>
        <v>998.16676688527184</v>
      </c>
      <c r="N199" s="20">
        <f>IF((H199-J199)/(K199-J199)*(Geraetedaten!$B$174-Geraetedaten!$B$161)&lt;Geraetedaten!$B$174,(H199-J199)/(K199-J199)*(Geraetedaten!$B$174-Geraetedaten!$B$161),Geraetedaten!$B$174)</f>
        <v>264.18332526842818</v>
      </c>
      <c r="O199" s="20">
        <f>N199/Geraetedaten!$B$174*(M199-L199)+L199+C199</f>
        <v>891.06004081531296</v>
      </c>
      <c r="P199" s="20">
        <f t="shared" si="125"/>
        <v>251.17035523282601</v>
      </c>
      <c r="Q199" s="21">
        <f>(N199-Geraetedaten!$B$161)/(Geraetedaten!$B$174-Geraetedaten!$B$161)*(Geraetedaten!$B$175-Geraetedaten!$B$162)+Geraetedaten!$B$162</f>
        <v>37.059453926735742</v>
      </c>
      <c r="R199" s="21">
        <f t="shared" ref="R199:R218" si="152">SQRT((r_K_D/1000)^2+Q199^2-(2*(r_K_D/1000)*Q199*COS(RADIANS(2*A199))))</f>
        <v>37.059453926735742</v>
      </c>
      <c r="S199" s="21">
        <f t="shared" ref="S199:S218" si="153">R199*SIN(A199*Const_2)</f>
        <v>12.67507974359318</v>
      </c>
      <c r="T199" s="88">
        <f t="shared" ref="T199:T218" si="154">R199*COS(A199*Const_2)</f>
        <v>-34.824495385308929</v>
      </c>
      <c r="U199" s="86">
        <f t="shared" ref="U199:U218" si="155">ROUND((F_S*r_Su_L-F_G*V199+F_SSw*X199)/(SIN(RADIANS(270+g_L-A199)))/1000,5)</f>
        <v>-19654.08137</v>
      </c>
      <c r="V199" s="85">
        <f t="shared" ref="V199:V218" si="156">(SIN(RADIANS(g_L)))*(((VL_Z-HL_Z)/(VL_X-HL_X))*(-HL_X+AM199)+HL_Z-AL199)</f>
        <v>-2683.3128092763232</v>
      </c>
      <c r="W199" s="85">
        <f t="shared" ref="W199:W218" si="157">V199/(SIN(RADIANS(180-g_L-(90-$A199))))</f>
        <v>-7868.9623865833391</v>
      </c>
      <c r="X199" s="90">
        <f t="shared" ref="X199:X218" si="158">SIN(RADIANS(g_L))*(((VL_Z-HL_Z)/(VL_X-HL_X))*(-AO199+HL_X)-HL_Z+AN199)</f>
        <v>2683.3128092763232</v>
      </c>
      <c r="Y199" s="86">
        <f t="shared" ref="Y199:Y218" si="159">ROUND((F_S*r_Su_H-F_G*Z199+F_SSw*AB199)/(SIN(RADIANS(180+g_H-A199)))/1000,5)</f>
        <v>9248.0827399999998</v>
      </c>
      <c r="Z199" s="85">
        <f t="shared" ref="Z199:Z218" si="160">(SIN(RADIANS(g_H)))*(((HL_X-HR_X)/(HL_Z-HR_Z))*(-HR_Z+AL199)+HR_X-AM199)</f>
        <v>-832.16398485565549</v>
      </c>
      <c r="AA199" s="85">
        <f t="shared" ref="AA199:AA218" si="161">Z199/(SIN(RADIANS(g_H-$A199)))</f>
        <v>896.02677478142289</v>
      </c>
      <c r="AB199" s="90">
        <f t="shared" ref="AB199:AB218" si="162">SIN(RADIANS(g_H))*(((HL_X-HR_X)/(HL_Z-HR_Z))*(-AN199+HR_Z)-HR_X+AO199)</f>
        <v>832.16398485565549</v>
      </c>
      <c r="AC199" s="86">
        <f t="shared" ref="AC199:AC218" si="163">ROUND((F_S*r_Su_R+F_G*AD199+F_SSw*AF199)/(SIN(RADIANS(90+g_R-A199)))/1000,5)</f>
        <v>19221.508040000001</v>
      </c>
      <c r="AD199" s="85">
        <f t="shared" ref="AD199:AD218" si="164">(SIN(RADIANS(g_R)))*(((HR_Z-VR_Z)/(HR_X-VR_X))*(-VR_X+AM199)+VR_Z-AL199)</f>
        <v>2598.140025222212</v>
      </c>
      <c r="AE199" s="85">
        <f t="shared" ref="AE199:AE218" si="165">AD199/(SIN(RADIANS(180-g_R-(90-$A199))))</f>
        <v>7581.8297462383471</v>
      </c>
      <c r="AF199" s="90">
        <f t="shared" ref="AF199:AF218" si="166">(SIN(RADIANS(g_R)))*(((HR_Z-VR_Z)/(HR_X-VR_X))*(-VR_X+AO199)+VR_Z-AN199)</f>
        <v>2598.140025222212</v>
      </c>
      <c r="AG199" s="86">
        <f t="shared" ref="AG199:AG218" si="167">ROUND((F_S*r_Su_V+F_G*AH199+F_SSw*AJ199)/(SIN(RADIANS(g_V-A199)))/1000,5)</f>
        <v>-9588.7227299999995</v>
      </c>
      <c r="AH199" s="85">
        <f t="shared" ref="AH199:AH218" si="168">(SIN(RADIANS(g_V)))*(((VR_X-VL_X)/(VR_Z-VL_Z))*(AL199-VL_Z)+VL_X-AM199)</f>
        <v>6183.1314163678471</v>
      </c>
      <c r="AI199" s="85">
        <f t="shared" ref="AI199:AI218" si="169">AH199/(SIN(RADIANS(g_V-$A199)))</f>
        <v>-6556.8208315547117</v>
      </c>
      <c r="AJ199" s="90">
        <f t="shared" ref="AJ199:AJ218" si="170">(SIN(RADIANS(g_V)))*(((VR_X-VL_X)/(VR_Z-VL_Z))*(-VL_Z+AN199)+VL_X-AO199)</f>
        <v>6183.1314163678471</v>
      </c>
      <c r="AL199" s="95">
        <f t="shared" ref="AL199:AL218" si="171">SIN(RADIANS(A199))*r_K_D</f>
        <v>0</v>
      </c>
      <c r="AM199" s="95">
        <f t="shared" ref="AM199:AM218" si="172">COS(RADIANS(A199-180))*r_K_D</f>
        <v>0</v>
      </c>
      <c r="AN199" s="95">
        <f t="shared" ref="AN199:AN218" si="173">SIN(RADIANS(A199))*r_K_SSw</f>
        <v>0</v>
      </c>
      <c r="AO199" s="95">
        <f t="shared" ref="AO199:AO218" si="174">-COS(RADIANS(A199))*r_K_SSw</f>
        <v>0</v>
      </c>
      <c r="AP199"/>
      <c r="AQ199" s="95">
        <f t="shared" ref="AQ199:AQ218" si="175">MAX(d_y_Sw*(r_K_D*ABS(COS(RADIANS($A199)))+_r1_Sw+_r2_Sw), 2*_r1_Sw*d_y_Sw)/1000000</f>
        <v>0</v>
      </c>
      <c r="AR199" s="95">
        <f t="shared" ref="AR199:AR218" si="176">MAX(d_y_Sw*(r_K_D*ABS(SIN(RADIANS($A199)))+_r1_Sw+_r2_Sw), 2*_r1_Sw*d_y_Sw)/1000000</f>
        <v>0</v>
      </c>
      <c r="AS199" s="95">
        <f>Geraetedaten!$B$94*ABS(SIN(RADIANS($A199)))</f>
        <v>52.671102072153005</v>
      </c>
      <c r="AT199" s="95">
        <f>Geraetedaten!$B$94*ABS(COS(RADIANS($A199)))</f>
        <v>144.71266360102987</v>
      </c>
      <c r="AU199" s="95">
        <f>((h_Aw_Sw+Geraetedaten!$B$18)/1000)*(AQ199*AS199+AR199*AT199)/100</f>
        <v>0</v>
      </c>
    </row>
    <row r="200" spans="1:47" ht="13.5" x14ac:dyDescent="0.25">
      <c r="A200" s="16">
        <v>161</v>
      </c>
      <c r="B200" s="16">
        <f t="shared" si="118"/>
        <v>289</v>
      </c>
      <c r="C200" s="19">
        <f t="shared" si="119"/>
        <v>49.004531136759482</v>
      </c>
      <c r="D200" s="17">
        <f t="shared" si="120"/>
        <v>-20699.79388113676</v>
      </c>
      <c r="E200" s="17">
        <f t="shared" si="121"/>
        <v>9136.4789288632401</v>
      </c>
      <c r="F200" s="17">
        <f t="shared" si="122"/>
        <v>20141.609578863237</v>
      </c>
      <c r="G200" s="17">
        <f t="shared" si="123"/>
        <v>-9580.4778611367601</v>
      </c>
      <c r="H200" s="17">
        <f t="shared" si="151"/>
        <v>9136.4789288632401</v>
      </c>
      <c r="I200" s="17">
        <f t="shared" si="124"/>
        <v>889.9616664284739</v>
      </c>
      <c r="J200" s="20">
        <f>(Geraetedaten!$B$152+(Geraetedaten!$B$153*(Geraetedaten!$B$18+d_y_Sw)/1000))*10</f>
        <v>6051.0442000000003</v>
      </c>
      <c r="K200" s="20">
        <f>(Geraetedaten!$B$165+(Geraetedaten!$B$166*(Geraetedaten!$B$18+d_y_Sw)/1000))*10</f>
        <v>10816.164000000001</v>
      </c>
      <c r="L200" s="20">
        <f>(Geraetedaten!$B$158+(Geraetedaten!$B$159*(Geraetedaten!$B$18+d_y_Sw)/1000)-(Geraetedaten!$B$160*I200/1000))*10</f>
        <v>536.27571100079979</v>
      </c>
      <c r="M200" s="20">
        <f>(Geraetedaten!$B$171+(Geraetedaten!$B$172*(Geraetedaten!$B$18+d_y_Sw)/1000)-(Geraetedaten!$B$173*I200/1000))*10</f>
        <v>998.61825355106532</v>
      </c>
      <c r="N200" s="20">
        <f>IF((H200-J200)/(K200-J200)*(Geraetedaten!$B$174-Geraetedaten!$B$161)&lt;Geraetedaten!$B$174,(H200-J200)/(K200-J200)*(Geraetedaten!$B$174-Geraetedaten!$B$161),Geraetedaten!$B$174)</f>
        <v>259.00165018837424</v>
      </c>
      <c r="O200" s="20">
        <f>N200/Geraetedaten!$B$174*(M200-L200)+L200+C200</f>
        <v>884.64894581957776</v>
      </c>
      <c r="P200" s="20">
        <f t="shared" si="125"/>
        <v>250.38855216167457</v>
      </c>
      <c r="Q200" s="21">
        <f>(N200-Geraetedaten!$B$161)/(Geraetedaten!$B$174-Geraetedaten!$B$161)*(Geraetedaten!$B$175-Geraetedaten!$B$162)+Geraetedaten!$B$162</f>
        <v>36.905299093104134</v>
      </c>
      <c r="R200" s="21">
        <f t="shared" si="152"/>
        <v>36.905299093104134</v>
      </c>
      <c r="S200" s="21">
        <f t="shared" si="153"/>
        <v>12.015190115431288</v>
      </c>
      <c r="T200" s="88">
        <f t="shared" si="154"/>
        <v>-34.894645830578582</v>
      </c>
      <c r="U200" s="86">
        <f t="shared" si="155"/>
        <v>-20650.789349999999</v>
      </c>
      <c r="V200" s="85">
        <f t="shared" si="156"/>
        <v>-2683.3128092763232</v>
      </c>
      <c r="W200" s="85">
        <f t="shared" si="157"/>
        <v>-8268.0172943310499</v>
      </c>
      <c r="X200" s="90">
        <f t="shared" si="158"/>
        <v>2683.3128092763232</v>
      </c>
      <c r="Y200" s="86">
        <f t="shared" si="159"/>
        <v>9185.4834599999995</v>
      </c>
      <c r="Z200" s="85">
        <f t="shared" si="160"/>
        <v>-832.16398485565549</v>
      </c>
      <c r="AA200" s="85">
        <f t="shared" si="161"/>
        <v>889.9616664284739</v>
      </c>
      <c r="AB200" s="90">
        <f t="shared" si="162"/>
        <v>832.16398485565549</v>
      </c>
      <c r="AC200" s="86">
        <f t="shared" si="163"/>
        <v>20190.614109999999</v>
      </c>
      <c r="AD200" s="85">
        <f t="shared" si="164"/>
        <v>2598.140025222212</v>
      </c>
      <c r="AE200" s="85">
        <f t="shared" si="165"/>
        <v>7964.0888899693573</v>
      </c>
      <c r="AF200" s="90">
        <f t="shared" si="166"/>
        <v>2598.140025222212</v>
      </c>
      <c r="AG200" s="86">
        <f t="shared" si="167"/>
        <v>-9531.4733300000007</v>
      </c>
      <c r="AH200" s="85">
        <f t="shared" si="168"/>
        <v>6183.1314163678471</v>
      </c>
      <c r="AI200" s="85">
        <f t="shared" si="169"/>
        <v>-6517.6733786790701</v>
      </c>
      <c r="AJ200" s="90">
        <f t="shared" si="170"/>
        <v>6183.1314163678471</v>
      </c>
      <c r="AL200" s="95">
        <f t="shared" si="171"/>
        <v>0</v>
      </c>
      <c r="AM200" s="95">
        <f t="shared" si="172"/>
        <v>0</v>
      </c>
      <c r="AN200" s="95">
        <f t="shared" si="173"/>
        <v>0</v>
      </c>
      <c r="AO200" s="95">
        <f t="shared" si="174"/>
        <v>0</v>
      </c>
      <c r="AP200"/>
      <c r="AQ200" s="95">
        <f t="shared" si="175"/>
        <v>0</v>
      </c>
      <c r="AR200" s="95">
        <f t="shared" si="176"/>
        <v>0</v>
      </c>
      <c r="AS200" s="95">
        <f>Geraetedaten!$B$94*ABS(SIN(RADIANS($A200)))</f>
        <v>50.137495786402113</v>
      </c>
      <c r="AT200" s="95">
        <f>Geraetedaten!$B$94*ABS(COS(RADIANS($A200)))</f>
        <v>145.60986064229479</v>
      </c>
      <c r="AU200" s="95">
        <f>((h_Aw_Sw+Geraetedaten!$B$18)/1000)*(AQ200*AS200+AR200*AT200)/100</f>
        <v>0</v>
      </c>
    </row>
    <row r="201" spans="1:47" ht="13.5" x14ac:dyDescent="0.25">
      <c r="A201" s="16">
        <v>162</v>
      </c>
      <c r="B201" s="16">
        <f t="shared" si="118"/>
        <v>288</v>
      </c>
      <c r="C201" s="19">
        <f t="shared" si="119"/>
        <v>48.118580184686962</v>
      </c>
      <c r="D201" s="17">
        <f t="shared" si="120"/>
        <v>-21809.090230184687</v>
      </c>
      <c r="E201" s="17">
        <f t="shared" si="121"/>
        <v>9078.3686898153119</v>
      </c>
      <c r="F201" s="17">
        <f t="shared" si="122"/>
        <v>21221.333289815313</v>
      </c>
      <c r="G201" s="17">
        <f t="shared" si="123"/>
        <v>-9525.8919501846885</v>
      </c>
      <c r="H201" s="17">
        <f t="shared" si="151"/>
        <v>9078.3686898153119</v>
      </c>
      <c r="I201" s="17">
        <f t="shared" si="124"/>
        <v>884.24565300673498</v>
      </c>
      <c r="J201" s="20">
        <f>(Geraetedaten!$B$152+(Geraetedaten!$B$153*(Geraetedaten!$B$18+d_y_Sw)/1000))*10</f>
        <v>6051.0442000000003</v>
      </c>
      <c r="K201" s="20">
        <f>(Geraetedaten!$B$165+(Geraetedaten!$B$166*(Geraetedaten!$B$18+d_y_Sw)/1000))*10</f>
        <v>10816.164000000001</v>
      </c>
      <c r="L201" s="20">
        <f>(Geraetedaten!$B$158+(Geraetedaten!$B$159*(Geraetedaten!$B$18+d_y_Sw)/1000)-(Geraetedaten!$B$160*I201/1000))*10</f>
        <v>536.69486626501589</v>
      </c>
      <c r="M201" s="20">
        <f>(Geraetedaten!$B$171+(Geraetedaten!$B$172*(Geraetedaten!$B$18+d_y_Sw)/1000)-(Geraetedaten!$B$173*I201/1000))*10</f>
        <v>999.04375359017968</v>
      </c>
      <c r="N201" s="20">
        <f>IF((H201-J201)/(K201-J201)*(Geraetedaten!$B$174-Geraetedaten!$B$161)&lt;Geraetedaten!$B$174,(H201-J201)/(K201-J201)*(Geraetedaten!$B$174-Geraetedaten!$B$161),Geraetedaten!$B$174)</f>
        <v>254.12368350657721</v>
      </c>
      <c r="O201" s="20">
        <f>N201/Geraetedaten!$B$174*(M201-L201)+L201+C201</f>
        <v>878.54795223029794</v>
      </c>
      <c r="P201" s="20">
        <f t="shared" si="125"/>
        <v>249.62797164226615</v>
      </c>
      <c r="Q201" s="21">
        <f>(N201-Geraetedaten!$B$161)/(Geraetedaten!$B$174-Geraetedaten!$B$161)*(Geraetedaten!$B$175-Geraetedaten!$B$162)+Geraetedaten!$B$162</f>
        <v>36.760179584320674</v>
      </c>
      <c r="R201" s="21">
        <f t="shared" si="152"/>
        <v>36.760179584320674</v>
      </c>
      <c r="S201" s="21">
        <f t="shared" si="153"/>
        <v>11.359520207830082</v>
      </c>
      <c r="T201" s="88">
        <f t="shared" si="154"/>
        <v>-34.961008333848248</v>
      </c>
      <c r="U201" s="86">
        <f t="shared" si="155"/>
        <v>-21760.971649999999</v>
      </c>
      <c r="V201" s="85">
        <f t="shared" si="156"/>
        <v>-2683.3128092763232</v>
      </c>
      <c r="W201" s="85">
        <f t="shared" si="157"/>
        <v>-8712.5042483065372</v>
      </c>
      <c r="X201" s="90">
        <f t="shared" si="158"/>
        <v>2683.3128092763232</v>
      </c>
      <c r="Y201" s="86">
        <f t="shared" si="159"/>
        <v>9126.4872699999996</v>
      </c>
      <c r="Z201" s="85">
        <f t="shared" si="160"/>
        <v>-832.16398485565549</v>
      </c>
      <c r="AA201" s="85">
        <f t="shared" si="161"/>
        <v>884.24565300673498</v>
      </c>
      <c r="AB201" s="90">
        <f t="shared" si="162"/>
        <v>832.16398485565549</v>
      </c>
      <c r="AC201" s="86">
        <f t="shared" si="163"/>
        <v>21269.451870000001</v>
      </c>
      <c r="AD201" s="85">
        <f t="shared" si="164"/>
        <v>2598.140025222212</v>
      </c>
      <c r="AE201" s="85">
        <f t="shared" si="165"/>
        <v>8389.6311635058446</v>
      </c>
      <c r="AF201" s="90">
        <f t="shared" si="166"/>
        <v>2598.140025222212</v>
      </c>
      <c r="AG201" s="86">
        <f t="shared" si="167"/>
        <v>-9477.7733700000008</v>
      </c>
      <c r="AH201" s="85">
        <f t="shared" si="168"/>
        <v>6183.1314163678471</v>
      </c>
      <c r="AI201" s="85">
        <f t="shared" si="169"/>
        <v>-6480.9530549156916</v>
      </c>
      <c r="AJ201" s="90">
        <f t="shared" si="170"/>
        <v>6183.1314163678471</v>
      </c>
      <c r="AL201" s="95">
        <f t="shared" si="171"/>
        <v>0</v>
      </c>
      <c r="AM201" s="95">
        <f t="shared" si="172"/>
        <v>0</v>
      </c>
      <c r="AN201" s="95">
        <f t="shared" si="173"/>
        <v>0</v>
      </c>
      <c r="AO201" s="95">
        <f t="shared" si="174"/>
        <v>0</v>
      </c>
      <c r="AP201"/>
      <c r="AQ201" s="95">
        <f t="shared" si="175"/>
        <v>0</v>
      </c>
      <c r="AR201" s="95">
        <f t="shared" si="176"/>
        <v>0</v>
      </c>
      <c r="AS201" s="95">
        <f>Geraetedaten!$B$94*ABS(SIN(RADIANS($A201)))</f>
        <v>47.588617133741913</v>
      </c>
      <c r="AT201" s="95">
        <f>Geraetedaten!$B$94*ABS(COS(RADIANS($A201)))</f>
        <v>146.46270350945363</v>
      </c>
      <c r="AU201" s="95">
        <f>((h_Aw_Sw+Geraetedaten!$B$18)/1000)*(AQ201*AS201+AR201*AT201)/100</f>
        <v>0</v>
      </c>
    </row>
    <row r="202" spans="1:47" ht="13.5" x14ac:dyDescent="0.25">
      <c r="A202" s="16">
        <v>163</v>
      </c>
      <c r="B202" s="16">
        <f t="shared" si="118"/>
        <v>287</v>
      </c>
      <c r="C202" s="19">
        <f t="shared" si="119"/>
        <v>47.21797184695501</v>
      </c>
      <c r="D202" s="17">
        <f t="shared" si="120"/>
        <v>-23051.925551846954</v>
      </c>
      <c r="E202" s="17">
        <f t="shared" si="121"/>
        <v>9023.7715881530457</v>
      </c>
      <c r="F202" s="17">
        <f t="shared" si="122"/>
        <v>22430.103258153045</v>
      </c>
      <c r="G202" s="17">
        <f t="shared" si="123"/>
        <v>-9474.7487118469544</v>
      </c>
      <c r="H202" s="17">
        <f t="shared" si="151"/>
        <v>9023.7715881530457</v>
      </c>
      <c r="I202" s="17">
        <f t="shared" si="124"/>
        <v>878.86859962025403</v>
      </c>
      <c r="J202" s="20">
        <f>(Geraetedaten!$B$152+(Geraetedaten!$B$153*(Geraetedaten!$B$18+d_y_Sw)/1000))*10</f>
        <v>6051.0442000000003</v>
      </c>
      <c r="K202" s="20">
        <f>(Geraetedaten!$B$165+(Geraetedaten!$B$166*(Geraetedaten!$B$18+d_y_Sw)/1000))*10</f>
        <v>10816.164000000001</v>
      </c>
      <c r="L202" s="20">
        <f>(Geraetedaten!$B$158+(Geraetedaten!$B$159*(Geraetedaten!$B$18+d_y_Sw)/1000)-(Geraetedaten!$B$160*I202/1000))*10</f>
        <v>537.08916558984652</v>
      </c>
      <c r="M202" s="20">
        <f>(Geraetedaten!$B$171+(Geraetedaten!$B$172*(Geraetedaten!$B$18+d_y_Sw)/1000)-(Geraetedaten!$B$173*I202/1000))*10</f>
        <v>999.44402144426931</v>
      </c>
      <c r="N202" s="20">
        <f>IF((H202-J202)/(K202-J202)*(Geraetedaten!$B$174-Geraetedaten!$B$161)&lt;Geraetedaten!$B$174,(H202-J202)/(K202-J202)*(Geraetedaten!$B$174-Geraetedaten!$B$161),Geraetedaten!$B$174)</f>
        <v>249.54062125808844</v>
      </c>
      <c r="O202" s="20">
        <f>N202/Geraetedaten!$B$174*(M202-L202)+L202+C202</f>
        <v>872.74793236581797</v>
      </c>
      <c r="P202" s="20">
        <f t="shared" si="125"/>
        <v>248.88856657698406</v>
      </c>
      <c r="Q202" s="21">
        <f>(N202-Geraetedaten!$B$161)/(Geraetedaten!$B$174-Geraetedaten!$B$161)*(Geraetedaten!$B$175-Geraetedaten!$B$162)+Geraetedaten!$B$162</f>
        <v>36.623833482428132</v>
      </c>
      <c r="R202" s="21">
        <f t="shared" si="152"/>
        <v>36.623833482428132</v>
      </c>
      <c r="S202" s="21">
        <f t="shared" si="153"/>
        <v>10.707772628739152</v>
      </c>
      <c r="T202" s="88">
        <f t="shared" si="154"/>
        <v>-35.023546140844289</v>
      </c>
      <c r="U202" s="86">
        <f t="shared" si="155"/>
        <v>-23004.707579999998</v>
      </c>
      <c r="V202" s="85">
        <f t="shared" si="156"/>
        <v>-2683.3128092763232</v>
      </c>
      <c r="W202" s="85">
        <f t="shared" si="157"/>
        <v>-9210.4624618412527</v>
      </c>
      <c r="X202" s="90">
        <f t="shared" si="158"/>
        <v>2683.3128092763232</v>
      </c>
      <c r="Y202" s="86">
        <f t="shared" si="159"/>
        <v>9070.98956</v>
      </c>
      <c r="Z202" s="85">
        <f t="shared" si="160"/>
        <v>-832.16398485565549</v>
      </c>
      <c r="AA202" s="85">
        <f t="shared" si="161"/>
        <v>878.86859962025403</v>
      </c>
      <c r="AB202" s="90">
        <f t="shared" si="162"/>
        <v>832.16398485565549</v>
      </c>
      <c r="AC202" s="86">
        <f t="shared" si="163"/>
        <v>22477.321230000001</v>
      </c>
      <c r="AD202" s="85">
        <f t="shared" si="164"/>
        <v>2598.140025222212</v>
      </c>
      <c r="AE202" s="85">
        <f t="shared" si="165"/>
        <v>8866.0693209148139</v>
      </c>
      <c r="AF202" s="90">
        <f t="shared" si="166"/>
        <v>2598.140025222212</v>
      </c>
      <c r="AG202" s="86">
        <f t="shared" si="167"/>
        <v>-9427.5307400000002</v>
      </c>
      <c r="AH202" s="85">
        <f t="shared" si="168"/>
        <v>6183.1314163678471</v>
      </c>
      <c r="AI202" s="85">
        <f t="shared" si="169"/>
        <v>-6446.5968693567684</v>
      </c>
      <c r="AJ202" s="90">
        <f t="shared" si="170"/>
        <v>6183.1314163678471</v>
      </c>
      <c r="AL202" s="95">
        <f t="shared" si="171"/>
        <v>0</v>
      </c>
      <c r="AM202" s="95">
        <f t="shared" si="172"/>
        <v>0</v>
      </c>
      <c r="AN202" s="95">
        <f t="shared" si="173"/>
        <v>0</v>
      </c>
      <c r="AO202" s="95">
        <f t="shared" si="174"/>
        <v>0</v>
      </c>
      <c r="AP202"/>
      <c r="AQ202" s="95">
        <f t="shared" si="175"/>
        <v>0</v>
      </c>
      <c r="AR202" s="95">
        <f t="shared" si="176"/>
        <v>0</v>
      </c>
      <c r="AS202" s="95">
        <f>Geraetedaten!$B$94*ABS(SIN(RADIANS($A202)))</f>
        <v>45.025242527301437</v>
      </c>
      <c r="AT202" s="95">
        <f>Geraetedaten!$B$94*ABS(COS(RADIANS($A202)))</f>
        <v>147.27093241830747</v>
      </c>
      <c r="AU202" s="95">
        <f>((h_Aw_Sw+Geraetedaten!$B$18)/1000)*(AQ202*AS202+AR202*AT202)/100</f>
        <v>0</v>
      </c>
    </row>
    <row r="203" spans="1:47" ht="13.5" x14ac:dyDescent="0.25">
      <c r="A203" s="16">
        <v>164</v>
      </c>
      <c r="B203" s="16">
        <f t="shared" si="118"/>
        <v>286</v>
      </c>
      <c r="C203" s="19">
        <f t="shared" si="119"/>
        <v>46.302980457587736</v>
      </c>
      <c r="D203" s="17">
        <f t="shared" si="120"/>
        <v>-24453.420070457589</v>
      </c>
      <c r="E203" s="17">
        <f t="shared" si="121"/>
        <v>8972.5903895424126</v>
      </c>
      <c r="F203" s="17">
        <f t="shared" si="122"/>
        <v>23792.03318954241</v>
      </c>
      <c r="G203" s="17">
        <f t="shared" si="123"/>
        <v>-9426.9633304575873</v>
      </c>
      <c r="H203" s="17">
        <f t="shared" si="151"/>
        <v>8972.5903895424126</v>
      </c>
      <c r="I203" s="17">
        <f t="shared" si="124"/>
        <v>873.82111172106943</v>
      </c>
      <c r="J203" s="20">
        <f>(Geraetedaten!$B$152+(Geraetedaten!$B$153*(Geraetedaten!$B$18+d_y_Sw)/1000))*10</f>
        <v>6051.0442000000003</v>
      </c>
      <c r="K203" s="20">
        <f>(Geraetedaten!$B$165+(Geraetedaten!$B$166*(Geraetedaten!$B$18+d_y_Sw)/1000))*10</f>
        <v>10816.164000000001</v>
      </c>
      <c r="L203" s="20">
        <f>(Geraetedaten!$B$158+(Geraetedaten!$B$159*(Geraetedaten!$B$18+d_y_Sw)/1000)-(Geraetedaten!$B$160*I203/1000))*10</f>
        <v>537.45929787749378</v>
      </c>
      <c r="M203" s="20">
        <f>(Geraetedaten!$B$171+(Geraetedaten!$B$172*(Geraetedaten!$B$18+d_y_Sw)/1000)-(Geraetedaten!$B$173*I203/1000))*10</f>
        <v>999.81975644348449</v>
      </c>
      <c r="N203" s="20">
        <f>IF((H203-J203)/(K203-J203)*(Geraetedaten!$B$174-Geraetedaten!$B$161)&lt;Geraetedaten!$B$174,(H203-J203)/(K203-J203)*(Geraetedaten!$B$174-Geraetedaten!$B$161),Geraetedaten!$B$174)</f>
        <v>245.24430126960604</v>
      </c>
      <c r="O203" s="20">
        <f>N203/Geraetedaten!$B$174*(M203-L203)+L203+C203</f>
        <v>867.24044732435902</v>
      </c>
      <c r="P203" s="20">
        <f t="shared" si="125"/>
        <v>248.17030710720729</v>
      </c>
      <c r="Q203" s="21">
        <f>(N203-Geraetedaten!$B$161)/(Geraetedaten!$B$174-Geraetedaten!$B$161)*(Geraetedaten!$B$175-Geraetedaten!$B$162)+Geraetedaten!$B$162</f>
        <v>36.496017962770779</v>
      </c>
      <c r="R203" s="21">
        <f t="shared" si="152"/>
        <v>36.496017962770779</v>
      </c>
      <c r="S203" s="21">
        <f t="shared" si="153"/>
        <v>10.059665889107844</v>
      </c>
      <c r="T203" s="88">
        <f t="shared" si="154"/>
        <v>-35.082224121888387</v>
      </c>
      <c r="U203" s="86">
        <f t="shared" si="155"/>
        <v>-24407.11709</v>
      </c>
      <c r="V203" s="85">
        <f t="shared" si="156"/>
        <v>-2683.3128092763232</v>
      </c>
      <c r="W203" s="85">
        <f t="shared" si="157"/>
        <v>-9771.9492827727445</v>
      </c>
      <c r="X203" s="90">
        <f t="shared" si="158"/>
        <v>2683.3128092763232</v>
      </c>
      <c r="Y203" s="86">
        <f t="shared" si="159"/>
        <v>9018.8933699999998</v>
      </c>
      <c r="Z203" s="85">
        <f t="shared" si="160"/>
        <v>-832.16398485565549</v>
      </c>
      <c r="AA203" s="85">
        <f t="shared" si="161"/>
        <v>873.82111172106943</v>
      </c>
      <c r="AB203" s="90">
        <f t="shared" si="162"/>
        <v>832.16398485565549</v>
      </c>
      <c r="AC203" s="86">
        <f t="shared" si="163"/>
        <v>23838.336169999999</v>
      </c>
      <c r="AD203" s="85">
        <f t="shared" si="164"/>
        <v>2598.140025222212</v>
      </c>
      <c r="AE203" s="85">
        <f t="shared" si="165"/>
        <v>9402.9149998209705</v>
      </c>
      <c r="AF203" s="90">
        <f t="shared" si="166"/>
        <v>2598.140025222212</v>
      </c>
      <c r="AG203" s="86">
        <f t="shared" si="167"/>
        <v>-9380.6603500000001</v>
      </c>
      <c r="AH203" s="85">
        <f t="shared" si="168"/>
        <v>6183.1314163678471</v>
      </c>
      <c r="AI203" s="85">
        <f t="shared" si="169"/>
        <v>-6414.5466439245065</v>
      </c>
      <c r="AJ203" s="90">
        <f t="shared" si="170"/>
        <v>6183.1314163678471</v>
      </c>
      <c r="AL203" s="95">
        <f t="shared" si="171"/>
        <v>0</v>
      </c>
      <c r="AM203" s="95">
        <f t="shared" si="172"/>
        <v>0</v>
      </c>
      <c r="AN203" s="95">
        <f t="shared" si="173"/>
        <v>0</v>
      </c>
      <c r="AO203" s="95">
        <f t="shared" si="174"/>
        <v>0</v>
      </c>
      <c r="AP203"/>
      <c r="AQ203" s="95">
        <f t="shared" si="175"/>
        <v>0</v>
      </c>
      <c r="AR203" s="95">
        <f t="shared" si="176"/>
        <v>0</v>
      </c>
      <c r="AS203" s="95">
        <f>Geraetedaten!$B$94*ABS(SIN(RADIANS($A203)))</f>
        <v>42.448152795817883</v>
      </c>
      <c r="AT203" s="95">
        <f>Geraetedaten!$B$94*ABS(COS(RADIANS($A203)))</f>
        <v>148.03430117450111</v>
      </c>
      <c r="AU203" s="95">
        <f>((h_Aw_Sw+Geraetedaten!$B$18)/1000)*(AQ203*AS203+AR203*AT203)/100</f>
        <v>0</v>
      </c>
    </row>
    <row r="204" spans="1:47" ht="13.5" x14ac:dyDescent="0.25">
      <c r="A204" s="16">
        <v>165</v>
      </c>
      <c r="B204" s="16">
        <f t="shared" si="118"/>
        <v>285</v>
      </c>
      <c r="C204" s="19">
        <f t="shared" si="119"/>
        <v>45.373884731826038</v>
      </c>
      <c r="D204" s="17">
        <f t="shared" si="120"/>
        <v>-26045.421834731827</v>
      </c>
      <c r="E204" s="17">
        <f t="shared" si="121"/>
        <v>8924.7350452681749</v>
      </c>
      <c r="F204" s="17">
        <f t="shared" si="122"/>
        <v>25337.651205268172</v>
      </c>
      <c r="G204" s="17">
        <f t="shared" si="123"/>
        <v>-9382.4576847318258</v>
      </c>
      <c r="H204" s="17">
        <f t="shared" si="151"/>
        <v>8924.7350452681749</v>
      </c>
      <c r="I204" s="17">
        <f t="shared" si="124"/>
        <v>869.09449273779717</v>
      </c>
      <c r="J204" s="20">
        <f>(Geraetedaten!$B$152+(Geraetedaten!$B$153*(Geraetedaten!$B$18+d_y_Sw)/1000))*10</f>
        <v>6051.0442000000003</v>
      </c>
      <c r="K204" s="20">
        <f>(Geraetedaten!$B$165+(Geraetedaten!$B$166*(Geraetedaten!$B$18+d_y_Sw)/1000))*10</f>
        <v>10816.164000000001</v>
      </c>
      <c r="L204" s="20">
        <f>(Geraetedaten!$B$158+(Geraetedaten!$B$159*(Geraetedaten!$B$18+d_y_Sw)/1000)-(Geraetedaten!$B$160*I204/1000))*10</f>
        <v>537.80590084753715</v>
      </c>
      <c r="M204" s="20">
        <f>(Geraetedaten!$B$171+(Geraetedaten!$B$172*(Geraetedaten!$B$18+d_y_Sw)/1000)-(Geraetedaten!$B$173*I204/1000))*10</f>
        <v>1000.1716059605994</v>
      </c>
      <c r="N204" s="20">
        <f>IF((H204-J204)/(K204-J204)*(Geraetedaten!$B$174-Geraetedaten!$B$161)&lt;Geraetedaten!$B$174,(H204-J204)/(K204-J204)*(Geraetedaten!$B$174-Geraetedaten!$B$161),Geraetedaten!$B$174)</f>
        <v>241.22716455256165</v>
      </c>
      <c r="O204" s="20">
        <f>N204/Geraetedaten!$B$174*(M204-L204)+L204+C204</f>
        <v>862.01770565628783</v>
      </c>
      <c r="P204" s="20">
        <f t="shared" si="125"/>
        <v>247.4731801489271</v>
      </c>
      <c r="Q204" s="21">
        <f>(N204-Geraetedaten!$B$161)/(Geraetedaten!$B$174-Geraetedaten!$B$161)*(Geraetedaten!$B$175-Geraetedaten!$B$162)+Geraetedaten!$B$162</f>
        <v>36.376508145438713</v>
      </c>
      <c r="R204" s="21">
        <f t="shared" si="152"/>
        <v>36.376508145438713</v>
      </c>
      <c r="S204" s="21">
        <f t="shared" si="153"/>
        <v>9.4149331023665255</v>
      </c>
      <c r="T204" s="88">
        <f t="shared" si="154"/>
        <v>-35.137008687893911</v>
      </c>
      <c r="U204" s="86">
        <f t="shared" si="155"/>
        <v>-26000.04795</v>
      </c>
      <c r="V204" s="85">
        <f t="shared" si="156"/>
        <v>-2683.3128092763232</v>
      </c>
      <c r="W204" s="85">
        <f t="shared" si="157"/>
        <v>-10409.715698561322</v>
      </c>
      <c r="X204" s="90">
        <f t="shared" si="158"/>
        <v>2683.3128092763232</v>
      </c>
      <c r="Y204" s="86">
        <f t="shared" si="159"/>
        <v>8970.1089300000003</v>
      </c>
      <c r="Z204" s="85">
        <f t="shared" si="160"/>
        <v>-832.16398485565549</v>
      </c>
      <c r="AA204" s="85">
        <f t="shared" si="161"/>
        <v>869.09449273779717</v>
      </c>
      <c r="AB204" s="90">
        <f t="shared" si="162"/>
        <v>832.16398485565549</v>
      </c>
      <c r="AC204" s="86">
        <f t="shared" si="163"/>
        <v>25383.025089999999</v>
      </c>
      <c r="AD204" s="85">
        <f t="shared" si="164"/>
        <v>2598.140025222212</v>
      </c>
      <c r="AE204" s="85">
        <f t="shared" si="165"/>
        <v>10012.209981719378</v>
      </c>
      <c r="AF204" s="90">
        <f t="shared" si="166"/>
        <v>2598.140025222212</v>
      </c>
      <c r="AG204" s="86">
        <f t="shared" si="167"/>
        <v>-9337.0838000000003</v>
      </c>
      <c r="AH204" s="85">
        <f t="shared" si="168"/>
        <v>6183.1314163678471</v>
      </c>
      <c r="AI204" s="85">
        <f t="shared" si="169"/>
        <v>-6384.748761978849</v>
      </c>
      <c r="AJ204" s="90">
        <f t="shared" si="170"/>
        <v>6183.1314163678471</v>
      </c>
      <c r="AL204" s="95">
        <f t="shared" si="171"/>
        <v>0</v>
      </c>
      <c r="AM204" s="95">
        <f t="shared" si="172"/>
        <v>0</v>
      </c>
      <c r="AN204" s="95">
        <f t="shared" si="173"/>
        <v>0</v>
      </c>
      <c r="AO204" s="95">
        <f t="shared" si="174"/>
        <v>0</v>
      </c>
      <c r="AP204"/>
      <c r="AQ204" s="95">
        <f t="shared" si="175"/>
        <v>0</v>
      </c>
      <c r="AR204" s="95">
        <f t="shared" si="176"/>
        <v>0</v>
      </c>
      <c r="AS204" s="95">
        <f>Geraetedaten!$B$94*ABS(SIN(RADIANS($A204)))</f>
        <v>39.858132945788235</v>
      </c>
      <c r="AT204" s="95">
        <f>Geraetedaten!$B$94*ABS(COS(RADIANS($A204)))</f>
        <v>148.7525772485165</v>
      </c>
      <c r="AU204" s="95">
        <f>((h_Aw_Sw+Geraetedaten!$B$18)/1000)*(AQ204*AS204+AR204*AT204)/100</f>
        <v>0</v>
      </c>
    </row>
    <row r="205" spans="1:47" ht="13.5" x14ac:dyDescent="0.25">
      <c r="A205" s="16">
        <v>166</v>
      </c>
      <c r="B205" s="16">
        <f t="shared" si="118"/>
        <v>284</v>
      </c>
      <c r="C205" s="19">
        <f t="shared" si="119"/>
        <v>44.43096768122831</v>
      </c>
      <c r="D205" s="17">
        <f t="shared" si="120"/>
        <v>-27868.920237681228</v>
      </c>
      <c r="E205" s="17">
        <f t="shared" si="121"/>
        <v>8880.1223223187717</v>
      </c>
      <c r="F205" s="17">
        <f t="shared" si="122"/>
        <v>27106.184162318768</v>
      </c>
      <c r="G205" s="17">
        <f t="shared" si="123"/>
        <v>-9341.1599876812288</v>
      </c>
      <c r="H205" s="17">
        <f t="shared" si="151"/>
        <v>8880.1223223187717</v>
      </c>
      <c r="I205" s="17">
        <f t="shared" si="124"/>
        <v>864.68070559195462</v>
      </c>
      <c r="J205" s="20">
        <f>(Geraetedaten!$B$152+(Geraetedaten!$B$153*(Geraetedaten!$B$18+d_y_Sw)/1000))*10</f>
        <v>6051.0442000000003</v>
      </c>
      <c r="K205" s="20">
        <f>(Geraetedaten!$B$165+(Geraetedaten!$B$166*(Geraetedaten!$B$18+d_y_Sw)/1000))*10</f>
        <v>10816.164000000001</v>
      </c>
      <c r="L205" s="20">
        <f>(Geraetedaten!$B$158+(Geraetedaten!$B$159*(Geraetedaten!$B$18+d_y_Sw)/1000)-(Geraetedaten!$B$160*I205/1000))*10</f>
        <v>538.12956385894176</v>
      </c>
      <c r="M205" s="20">
        <f>(Geraetedaten!$B$171+(Geraetedaten!$B$172*(Geraetedaten!$B$18+d_y_Sw)/1000)-(Geraetedaten!$B$173*I205/1000))*10</f>
        <v>1000.5001682757359</v>
      </c>
      <c r="N205" s="20">
        <f>IF((H205-J205)/(K205-J205)*(Geraetedaten!$B$174-Geraetedaten!$B$161)&lt;Geraetedaten!$B$174,(H205-J205)/(K205-J205)*(Geraetedaten!$B$174-Geraetedaten!$B$161),Geraetedaten!$B$174)</f>
        <v>237.4822242512158</v>
      </c>
      <c r="O205" s="20">
        <f>N205/Geraetedaten!$B$174*(M205-L205)+L205+C205</f>
        <v>857.07253045336824</v>
      </c>
      <c r="P205" s="20">
        <f t="shared" si="125"/>
        <v>246.79718944989227</v>
      </c>
      <c r="Q205" s="21">
        <f>(N205-Geraetedaten!$B$161)/(Geraetedaten!$B$174-Geraetedaten!$B$161)*(Geraetedaten!$B$175-Geraetedaten!$B$162)+Geraetedaten!$B$162</f>
        <v>36.265096171473672</v>
      </c>
      <c r="R205" s="21">
        <f t="shared" si="152"/>
        <v>36.265096171473672</v>
      </c>
      <c r="S205" s="21">
        <f t="shared" si="153"/>
        <v>8.7733208099071636</v>
      </c>
      <c r="T205" s="88">
        <f t="shared" si="154"/>
        <v>-35.187867828168905</v>
      </c>
      <c r="U205" s="86">
        <f t="shared" si="155"/>
        <v>-27824.489269999998</v>
      </c>
      <c r="V205" s="85">
        <f t="shared" si="156"/>
        <v>-2683.3128092763232</v>
      </c>
      <c r="W205" s="85">
        <f t="shared" si="157"/>
        <v>-11140.172636451098</v>
      </c>
      <c r="X205" s="90">
        <f t="shared" si="158"/>
        <v>2683.3128092763232</v>
      </c>
      <c r="Y205" s="86">
        <f t="shared" si="159"/>
        <v>8924.5532899999998</v>
      </c>
      <c r="Z205" s="85">
        <f t="shared" si="160"/>
        <v>-832.16398485565549</v>
      </c>
      <c r="AA205" s="85">
        <f t="shared" si="161"/>
        <v>864.68070559195462</v>
      </c>
      <c r="AB205" s="90">
        <f t="shared" si="162"/>
        <v>832.16398485565549</v>
      </c>
      <c r="AC205" s="86">
        <f t="shared" si="163"/>
        <v>27150.615129999998</v>
      </c>
      <c r="AD205" s="85">
        <f t="shared" si="164"/>
        <v>2598.140025222212</v>
      </c>
      <c r="AE205" s="85">
        <f t="shared" si="165"/>
        <v>10709.427217847806</v>
      </c>
      <c r="AF205" s="90">
        <f t="shared" si="166"/>
        <v>2598.140025222212</v>
      </c>
      <c r="AG205" s="86">
        <f t="shared" si="167"/>
        <v>-9296.7290200000007</v>
      </c>
      <c r="AH205" s="85">
        <f t="shared" si="168"/>
        <v>6183.1314163678471</v>
      </c>
      <c r="AI205" s="85">
        <f t="shared" si="169"/>
        <v>-6357.1539405070944</v>
      </c>
      <c r="AJ205" s="90">
        <f t="shared" si="170"/>
        <v>6183.1314163678471</v>
      </c>
      <c r="AL205" s="95">
        <f t="shared" si="171"/>
        <v>0</v>
      </c>
      <c r="AM205" s="95">
        <f t="shared" si="172"/>
        <v>0</v>
      </c>
      <c r="AN205" s="95">
        <f t="shared" si="173"/>
        <v>0</v>
      </c>
      <c r="AO205" s="95">
        <f t="shared" si="174"/>
        <v>0</v>
      </c>
      <c r="AP205"/>
      <c r="AQ205" s="95">
        <f t="shared" si="175"/>
        <v>0</v>
      </c>
      <c r="AR205" s="95">
        <f t="shared" si="176"/>
        <v>0</v>
      </c>
      <c r="AS205" s="95">
        <f>Geraetedaten!$B$94*ABS(SIN(RADIANS($A205)))</f>
        <v>37.255971922348827</v>
      </c>
      <c r="AT205" s="95">
        <f>Geraetedaten!$B$94*ABS(COS(RADIANS($A205)))</f>
        <v>149.42554184650345</v>
      </c>
      <c r="AU205" s="95">
        <f>((h_Aw_Sw+Geraetedaten!$B$18)/1000)*(AQ205*AS205+AR205*AT205)/100</f>
        <v>0</v>
      </c>
    </row>
    <row r="206" spans="1:47" ht="13.5" x14ac:dyDescent="0.25">
      <c r="A206" s="16">
        <v>167</v>
      </c>
      <c r="B206" s="16">
        <f t="shared" si="118"/>
        <v>283</v>
      </c>
      <c r="C206" s="19">
        <f t="shared" si="119"/>
        <v>43.474516527462455</v>
      </c>
      <c r="D206" s="17">
        <f t="shared" si="120"/>
        <v>-29977.578766527462</v>
      </c>
      <c r="E206" s="17">
        <f t="shared" si="121"/>
        <v>8838.675443472539</v>
      </c>
      <c r="F206" s="17">
        <f t="shared" si="122"/>
        <v>29148.89294347254</v>
      </c>
      <c r="G206" s="17">
        <f t="shared" si="123"/>
        <v>-9303.0044765274615</v>
      </c>
      <c r="H206" s="17">
        <f t="shared" si="151"/>
        <v>8838.675443472539</v>
      </c>
      <c r="I206" s="17">
        <f t="shared" si="124"/>
        <v>860.57233777076556</v>
      </c>
      <c r="J206" s="20">
        <f>(Geraetedaten!$B$152+(Geraetedaten!$B$153*(Geraetedaten!$B$18+d_y_Sw)/1000))*10</f>
        <v>6051.0442000000003</v>
      </c>
      <c r="K206" s="20">
        <f>(Geraetedaten!$B$165+(Geraetedaten!$B$166*(Geraetedaten!$B$18+d_y_Sw)/1000))*10</f>
        <v>10816.164000000001</v>
      </c>
      <c r="L206" s="20">
        <f>(Geraetedaten!$B$158+(Geraetedaten!$B$159*(Geraetedaten!$B$18+d_y_Sw)/1000)-(Geraetedaten!$B$160*I206/1000))*10</f>
        <v>538.43083047126947</v>
      </c>
      <c r="M206" s="20">
        <f>(Geraetedaten!$B$171+(Geraetedaten!$B$172*(Geraetedaten!$B$18+d_y_Sw)/1000)-(Geraetedaten!$B$173*I206/1000))*10</f>
        <v>1000.805995176345</v>
      </c>
      <c r="N206" s="20">
        <f>IF((H206-J206)/(K206-J206)*(Geraetedaten!$B$174-Geraetedaten!$B$161)&lt;Geraetedaten!$B$174,(H206-J206)/(K206-J206)*(Geraetedaten!$B$174-Geraetedaten!$B$161),Geraetedaten!$B$174)</f>
        <v>234.00303543029816</v>
      </c>
      <c r="O206" s="20">
        <f>N206/Geraetedaten!$B$174*(M206-L206)+L206+C206</f>
        <v>852.3983271201613</v>
      </c>
      <c r="P206" s="20">
        <f t="shared" si="125"/>
        <v>246.14235538435213</v>
      </c>
      <c r="Q206" s="21">
        <f>(N206-Geraetedaten!$B$161)/(Geraetedaten!$B$174-Geraetedaten!$B$161)*(Geraetedaten!$B$175-Geraetedaten!$B$162)+Geraetedaten!$B$162</f>
        <v>36.161590304051373</v>
      </c>
      <c r="R206" s="21">
        <f t="shared" si="152"/>
        <v>36.161590304051373</v>
      </c>
      <c r="S206" s="21">
        <f t="shared" si="153"/>
        <v>8.1345878656472497</v>
      </c>
      <c r="T206" s="88">
        <f t="shared" si="154"/>
        <v>-35.23477108729567</v>
      </c>
      <c r="U206" s="86">
        <f t="shared" si="155"/>
        <v>-29934.10425</v>
      </c>
      <c r="V206" s="85">
        <f t="shared" si="156"/>
        <v>-2683.3128092763232</v>
      </c>
      <c r="W206" s="85">
        <f t="shared" si="157"/>
        <v>-11984.805393572722</v>
      </c>
      <c r="X206" s="90">
        <f t="shared" si="158"/>
        <v>2683.3128092763232</v>
      </c>
      <c r="Y206" s="86">
        <f t="shared" si="159"/>
        <v>8882.1499600000006</v>
      </c>
      <c r="Z206" s="85">
        <f t="shared" si="160"/>
        <v>-832.16398485565549</v>
      </c>
      <c r="AA206" s="85">
        <f t="shared" si="161"/>
        <v>860.57233777076556</v>
      </c>
      <c r="AB206" s="90">
        <f t="shared" si="162"/>
        <v>832.16398485565549</v>
      </c>
      <c r="AC206" s="86">
        <f t="shared" si="163"/>
        <v>29192.367460000001</v>
      </c>
      <c r="AD206" s="85">
        <f t="shared" si="164"/>
        <v>2598.140025222212</v>
      </c>
      <c r="AE206" s="85">
        <f t="shared" si="165"/>
        <v>11514.786430878647</v>
      </c>
      <c r="AF206" s="90">
        <f t="shared" si="166"/>
        <v>2598.140025222212</v>
      </c>
      <c r="AG206" s="86">
        <f t="shared" si="167"/>
        <v>-9259.5299599999998</v>
      </c>
      <c r="AH206" s="85">
        <f t="shared" si="168"/>
        <v>6183.1314163678471</v>
      </c>
      <c r="AI206" s="85">
        <f t="shared" si="169"/>
        <v>-6331.7170240284013</v>
      </c>
      <c r="AJ206" s="90">
        <f t="shared" si="170"/>
        <v>6183.1314163678471</v>
      </c>
      <c r="AL206" s="95">
        <f t="shared" si="171"/>
        <v>0</v>
      </c>
      <c r="AM206" s="95">
        <f t="shared" si="172"/>
        <v>0</v>
      </c>
      <c r="AN206" s="95">
        <f t="shared" si="173"/>
        <v>0</v>
      </c>
      <c r="AO206" s="95">
        <f t="shared" si="174"/>
        <v>0</v>
      </c>
      <c r="AP206"/>
      <c r="AQ206" s="95">
        <f t="shared" si="175"/>
        <v>0</v>
      </c>
      <c r="AR206" s="95">
        <f t="shared" si="176"/>
        <v>0</v>
      </c>
      <c r="AS206" s="95">
        <f>Geraetedaten!$B$94*ABS(SIN(RADIANS($A206)))</f>
        <v>34.642462368955243</v>
      </c>
      <c r="AT206" s="95">
        <f>Geraetedaten!$B$94*ABS(COS(RADIANS($A206)))</f>
        <v>150.0529899769262</v>
      </c>
      <c r="AU206" s="95">
        <f>((h_Aw_Sw+Geraetedaten!$B$18)/1000)*(AQ206*AS206+AR206*AT206)/100</f>
        <v>0</v>
      </c>
    </row>
    <row r="207" spans="1:47" ht="13.5" x14ac:dyDescent="0.25">
      <c r="A207" s="16">
        <v>168</v>
      </c>
      <c r="B207" s="16">
        <f t="shared" si="118"/>
        <v>282</v>
      </c>
      <c r="C207" s="19">
        <f t="shared" si="119"/>
        <v>42.504822614815211</v>
      </c>
      <c r="D207" s="17">
        <f t="shared" si="120"/>
        <v>-32443.043412614814</v>
      </c>
      <c r="E207" s="17">
        <f t="shared" si="121"/>
        <v>8800.3237073851851</v>
      </c>
      <c r="F207" s="17">
        <f t="shared" si="122"/>
        <v>31534.069917385186</v>
      </c>
      <c r="G207" s="17">
        <f t="shared" si="123"/>
        <v>-9267.9311926148148</v>
      </c>
      <c r="H207" s="17">
        <f t="shared" si="151"/>
        <v>8800.3237073851851</v>
      </c>
      <c r="I207" s="17">
        <f t="shared" si="124"/>
        <v>856.76256966227947</v>
      </c>
      <c r="J207" s="20">
        <f>(Geraetedaten!$B$152+(Geraetedaten!$B$153*(Geraetedaten!$B$18+d_y_Sw)/1000))*10</f>
        <v>6051.0442000000003</v>
      </c>
      <c r="K207" s="20">
        <f>(Geraetedaten!$B$165+(Geraetedaten!$B$166*(Geraetedaten!$B$18+d_y_Sw)/1000))*10</f>
        <v>10816.164000000001</v>
      </c>
      <c r="L207" s="20">
        <f>(Geraetedaten!$B$158+(Geraetedaten!$B$159*(Geraetedaten!$B$18+d_y_Sw)/1000)-(Geraetedaten!$B$160*I207/1000))*10</f>
        <v>538.7102007666648</v>
      </c>
      <c r="M207" s="20">
        <f>(Geraetedaten!$B$171+(Geraetedaten!$B$172*(Geraetedaten!$B$18+d_y_Sw)/1000)-(Geraetedaten!$B$173*I207/1000))*10</f>
        <v>1001.0895943143408</v>
      </c>
      <c r="N207" s="20">
        <f>IF((H207-J207)/(K207-J207)*(Geraetedaten!$B$174-Geraetedaten!$B$161)&lt;Geraetedaten!$B$174,(H207-J207)/(K207-J207)*(Geraetedaten!$B$174-Geraetedaten!$B$161),Geraetedaten!$B$174)</f>
        <v>230.7836631838876</v>
      </c>
      <c r="O207" s="20">
        <f>N207/Geraetedaten!$B$174*(M207-L207)+L207+C207</f>
        <v>847.98904894067266</v>
      </c>
      <c r="P207" s="20">
        <f t="shared" si="125"/>
        <v>245.50871418203286</v>
      </c>
      <c r="Q207" s="21">
        <f>(N207-Geraetedaten!$B$161)/(Geraetedaten!$B$174-Geraetedaten!$B$161)*(Geraetedaten!$B$175-Geraetedaten!$B$162)+Geraetedaten!$B$162</f>
        <v>36.065813979720659</v>
      </c>
      <c r="R207" s="21">
        <f t="shared" si="152"/>
        <v>36.065813979720659</v>
      </c>
      <c r="S207" s="21">
        <f t="shared" si="153"/>
        <v>7.4985043652425034</v>
      </c>
      <c r="T207" s="88">
        <f t="shared" si="154"/>
        <v>-35.277689412775509</v>
      </c>
      <c r="U207" s="86">
        <f t="shared" si="155"/>
        <v>-32400.53859</v>
      </c>
      <c r="V207" s="85">
        <f t="shared" si="156"/>
        <v>-2683.3128092763232</v>
      </c>
      <c r="W207" s="85">
        <f t="shared" si="157"/>
        <v>-12972.298968463021</v>
      </c>
      <c r="X207" s="90">
        <f t="shared" si="158"/>
        <v>2683.3128092763232</v>
      </c>
      <c r="Y207" s="86">
        <f t="shared" si="159"/>
        <v>8842.8285300000007</v>
      </c>
      <c r="Z207" s="85">
        <f t="shared" si="160"/>
        <v>-832.16398485565549</v>
      </c>
      <c r="AA207" s="85">
        <f t="shared" si="161"/>
        <v>856.76256966227947</v>
      </c>
      <c r="AB207" s="90">
        <f t="shared" si="162"/>
        <v>832.16398485565549</v>
      </c>
      <c r="AC207" s="86">
        <f t="shared" si="163"/>
        <v>31576.57474</v>
      </c>
      <c r="AD207" s="85">
        <f t="shared" si="164"/>
        <v>2598.140025222212</v>
      </c>
      <c r="AE207" s="85">
        <f t="shared" si="165"/>
        <v>12455.225320317933</v>
      </c>
      <c r="AF207" s="90">
        <f t="shared" si="166"/>
        <v>2598.140025222212</v>
      </c>
      <c r="AG207" s="86">
        <f t="shared" si="167"/>
        <v>-9225.4263699999992</v>
      </c>
      <c r="AH207" s="85">
        <f t="shared" si="168"/>
        <v>6183.1314163678471</v>
      </c>
      <c r="AI207" s="85">
        <f t="shared" si="169"/>
        <v>-6308.3967985567488</v>
      </c>
      <c r="AJ207" s="90">
        <f t="shared" si="170"/>
        <v>6183.1314163678471</v>
      </c>
      <c r="AL207" s="95">
        <f t="shared" si="171"/>
        <v>0</v>
      </c>
      <c r="AM207" s="95">
        <f t="shared" si="172"/>
        <v>0</v>
      </c>
      <c r="AN207" s="95">
        <f t="shared" si="173"/>
        <v>0</v>
      </c>
      <c r="AO207" s="95">
        <f t="shared" si="174"/>
        <v>0</v>
      </c>
      <c r="AP207"/>
      <c r="AQ207" s="95">
        <f t="shared" si="175"/>
        <v>0</v>
      </c>
      <c r="AR207" s="95">
        <f t="shared" si="176"/>
        <v>0</v>
      </c>
      <c r="AS207" s="95">
        <f>Geraetedaten!$B$94*ABS(SIN(RADIANS($A207)))</f>
        <v>32.018400385934932</v>
      </c>
      <c r="AT207" s="95">
        <f>Geraetedaten!$B$94*ABS(COS(RADIANS($A207)))</f>
        <v>150.63473051300608</v>
      </c>
      <c r="AU207" s="95">
        <f>((h_Aw_Sw+Geraetedaten!$B$18)/1000)*(AQ207*AS207+AR207*AT207)/100</f>
        <v>0</v>
      </c>
    </row>
    <row r="208" spans="1:47" ht="13.5" x14ac:dyDescent="0.25">
      <c r="A208" s="16">
        <v>169</v>
      </c>
      <c r="B208" s="16">
        <f t="shared" si="118"/>
        <v>281</v>
      </c>
      <c r="C208" s="19">
        <f t="shared" si="119"/>
        <v>41.522181321446062</v>
      </c>
      <c r="D208" s="17">
        <f t="shared" si="120"/>
        <v>-35363.162991321442</v>
      </c>
      <c r="E208" s="17">
        <f t="shared" si="121"/>
        <v>8765.0022686785542</v>
      </c>
      <c r="F208" s="17">
        <f t="shared" si="122"/>
        <v>34354.752238678557</v>
      </c>
      <c r="G208" s="17">
        <f t="shared" si="123"/>
        <v>-9235.8856613214466</v>
      </c>
      <c r="H208" s="17">
        <f t="shared" si="151"/>
        <v>8765.0022686785542</v>
      </c>
      <c r="I208" s="17">
        <f t="shared" si="124"/>
        <v>853.24514589159617</v>
      </c>
      <c r="J208" s="20">
        <f>(Geraetedaten!$B$152+(Geraetedaten!$B$153*(Geraetedaten!$B$18+d_y_Sw)/1000))*10</f>
        <v>6051.0442000000003</v>
      </c>
      <c r="K208" s="20">
        <f>(Geraetedaten!$B$165+(Geraetedaten!$B$166*(Geraetedaten!$B$18+d_y_Sw)/1000))*10</f>
        <v>10816.164000000001</v>
      </c>
      <c r="L208" s="20">
        <f>(Geraetedaten!$B$158+(Geraetedaten!$B$159*(Geraetedaten!$B$18+d_y_Sw)/1000)-(Geraetedaten!$B$160*I208/1000))*10</f>
        <v>538.96813345176906</v>
      </c>
      <c r="M208" s="20">
        <f>(Geraetedaten!$B$171+(Geraetedaten!$B$172*(Geraetedaten!$B$18+d_y_Sw)/1000)-(Geraetedaten!$B$173*I208/1000))*10</f>
        <v>1001.3514313398305</v>
      </c>
      <c r="N208" s="20">
        <f>IF((H208-J208)/(K208-J208)*(Geraetedaten!$B$174-Geraetedaten!$B$161)&lt;Geraetedaten!$B$174,(H208-J208)/(K208-J208)*(Geraetedaten!$B$174-Geraetedaten!$B$161),Geraetedaten!$B$174)</f>
        <v>227.81866417533121</v>
      </c>
      <c r="O208" s="20">
        <f>N208/Geraetedaten!$B$174*(M208-L208)+L208+C208</f>
        <v>843.83917792782108</v>
      </c>
      <c r="P208" s="20">
        <f t="shared" si="125"/>
        <v>244.89631852913206</v>
      </c>
      <c r="Q208" s="21">
        <f>(N208-Geraetedaten!$B$161)/(Geraetedaten!$B$174-Geraetedaten!$B$161)*(Geraetedaten!$B$175-Geraetedaten!$B$162)+Geraetedaten!$B$162</f>
        <v>35.977605259216105</v>
      </c>
      <c r="R208" s="21">
        <f t="shared" si="152"/>
        <v>35.977605259216105</v>
      </c>
      <c r="S208" s="21">
        <f t="shared" si="153"/>
        <v>6.8648507155649261</v>
      </c>
      <c r="T208" s="88">
        <f t="shared" si="154"/>
        <v>-35.316595317796171</v>
      </c>
      <c r="U208" s="86">
        <f t="shared" si="155"/>
        <v>-35321.640809999997</v>
      </c>
      <c r="V208" s="85">
        <f t="shared" si="156"/>
        <v>-2683.3128092763232</v>
      </c>
      <c r="W208" s="85">
        <f t="shared" si="157"/>
        <v>-14141.829259031392</v>
      </c>
      <c r="X208" s="90">
        <f t="shared" si="158"/>
        <v>2683.3128092763232</v>
      </c>
      <c r="Y208" s="86">
        <f t="shared" si="159"/>
        <v>8806.5244500000008</v>
      </c>
      <c r="Z208" s="85">
        <f t="shared" si="160"/>
        <v>-832.16398485565549</v>
      </c>
      <c r="AA208" s="85">
        <f t="shared" si="161"/>
        <v>853.24514589159617</v>
      </c>
      <c r="AB208" s="90">
        <f t="shared" si="162"/>
        <v>832.16398485565549</v>
      </c>
      <c r="AC208" s="86">
        <f t="shared" si="163"/>
        <v>34396.274420000002</v>
      </c>
      <c r="AD208" s="85">
        <f t="shared" si="164"/>
        <v>2598.140025222212</v>
      </c>
      <c r="AE208" s="85">
        <f t="shared" si="165"/>
        <v>13567.442053792145</v>
      </c>
      <c r="AF208" s="90">
        <f t="shared" si="166"/>
        <v>2598.140025222212</v>
      </c>
      <c r="AG208" s="86">
        <f t="shared" si="167"/>
        <v>-9194.36348</v>
      </c>
      <c r="AH208" s="85">
        <f t="shared" si="168"/>
        <v>6183.1314163678471</v>
      </c>
      <c r="AI208" s="85">
        <f t="shared" si="169"/>
        <v>-6287.1558241543489</v>
      </c>
      <c r="AJ208" s="90">
        <f t="shared" si="170"/>
        <v>6183.1314163678471</v>
      </c>
      <c r="AL208" s="95">
        <f t="shared" si="171"/>
        <v>0</v>
      </c>
      <c r="AM208" s="95">
        <f t="shared" si="172"/>
        <v>0</v>
      </c>
      <c r="AN208" s="95">
        <f t="shared" si="173"/>
        <v>0</v>
      </c>
      <c r="AO208" s="95">
        <f t="shared" si="174"/>
        <v>0</v>
      </c>
      <c r="AP208"/>
      <c r="AQ208" s="95">
        <f t="shared" si="175"/>
        <v>0</v>
      </c>
      <c r="AR208" s="95">
        <f t="shared" si="176"/>
        <v>0</v>
      </c>
      <c r="AS208" s="95">
        <f>Geraetedaten!$B$94*ABS(SIN(RADIANS($A208)))</f>
        <v>29.384585287987925</v>
      </c>
      <c r="AT208" s="95">
        <f>Geraetedaten!$B$94*ABS(COS(RADIANS($A208)))</f>
        <v>151.17058625094026</v>
      </c>
      <c r="AU208" s="95">
        <f>((h_Aw_Sw+Geraetedaten!$B$18)/1000)*(AQ208*AS208+AR208*AT208)/100</f>
        <v>0</v>
      </c>
    </row>
    <row r="209" spans="1:47" ht="13.5" x14ac:dyDescent="0.25">
      <c r="A209" s="16">
        <v>170</v>
      </c>
      <c r="B209" s="16">
        <f t="shared" si="118"/>
        <v>280</v>
      </c>
      <c r="C209" s="19">
        <f t="shared" si="119"/>
        <v>40.526891969411963</v>
      </c>
      <c r="D209" s="17">
        <f t="shared" si="120"/>
        <v>-38875.172541969412</v>
      </c>
      <c r="E209" s="17">
        <f t="shared" si="121"/>
        <v>8732.6518280305881</v>
      </c>
      <c r="F209" s="17">
        <f t="shared" si="122"/>
        <v>37741.044668030583</v>
      </c>
      <c r="G209" s="17">
        <f t="shared" si="123"/>
        <v>-9206.8187319694116</v>
      </c>
      <c r="H209" s="17">
        <f t="shared" si="151"/>
        <v>8732.6518280305881</v>
      </c>
      <c r="I209" s="17">
        <f t="shared" si="124"/>
        <v>850.01434942637684</v>
      </c>
      <c r="J209" s="20">
        <f>(Geraetedaten!$B$152+(Geraetedaten!$B$153*(Geraetedaten!$B$18+d_y_Sw)/1000))*10</f>
        <v>6051.0442000000003</v>
      </c>
      <c r="K209" s="20">
        <f>(Geraetedaten!$B$165+(Geraetedaten!$B$166*(Geraetedaten!$B$18+d_y_Sw)/1000))*10</f>
        <v>10816.164000000001</v>
      </c>
      <c r="L209" s="20">
        <f>(Geraetedaten!$B$158+(Geraetedaten!$B$159*(Geraetedaten!$B$18+d_y_Sw)/1000)-(Geraetedaten!$B$160*I209/1000))*10</f>
        <v>539.20504775656354</v>
      </c>
      <c r="M209" s="20">
        <f>(Geraetedaten!$B$171+(Geraetedaten!$B$172*(Geraetedaten!$B$18+d_y_Sw)/1000)-(Geraetedaten!$B$173*I209/1000))*10</f>
        <v>1001.5919318287014</v>
      </c>
      <c r="N209" s="20">
        <f>IF((H209-J209)/(K209-J209)*(Geraetedaten!$B$174-Geraetedaten!$B$161)&lt;Geraetedaten!$B$174,(H209-J209)/(K209-J209)*(Geraetedaten!$B$174-Geraetedaten!$B$161),Geraetedaten!$B$174)</f>
        <v>225.10306062236566</v>
      </c>
      <c r="O209" s="20">
        <f>N209/Geraetedaten!$B$174*(M209-L209)+L209+C209</f>
        <v>839.94369671666846</v>
      </c>
      <c r="P209" s="20">
        <f t="shared" si="125"/>
        <v>244.30523692696519</v>
      </c>
      <c r="Q209" s="21">
        <f>(N209-Geraetedaten!$B$161)/(Geraetedaten!$B$174-Geraetedaten!$B$161)*(Geraetedaten!$B$175-Geraetedaten!$B$162)+Geraetedaten!$B$162</f>
        <v>35.89681605351538</v>
      </c>
      <c r="R209" s="21">
        <f t="shared" si="152"/>
        <v>35.89681605351538</v>
      </c>
      <c r="S209" s="21">
        <f t="shared" si="153"/>
        <v>6.2334166917379532</v>
      </c>
      <c r="T209" s="88">
        <f t="shared" si="154"/>
        <v>-35.351462757955041</v>
      </c>
      <c r="U209" s="86">
        <f t="shared" si="155"/>
        <v>-38834.645649999999</v>
      </c>
      <c r="V209" s="85">
        <f t="shared" si="156"/>
        <v>-2683.3128092763232</v>
      </c>
      <c r="W209" s="85">
        <f t="shared" si="157"/>
        <v>-15548.341342653017</v>
      </c>
      <c r="X209" s="90">
        <f t="shared" si="158"/>
        <v>2683.3128092763232</v>
      </c>
      <c r="Y209" s="86">
        <f t="shared" si="159"/>
        <v>8773.1787199999999</v>
      </c>
      <c r="Z209" s="85">
        <f t="shared" si="160"/>
        <v>-832.16398485565549</v>
      </c>
      <c r="AA209" s="85">
        <f t="shared" si="161"/>
        <v>850.01434942637684</v>
      </c>
      <c r="AB209" s="90">
        <f t="shared" si="162"/>
        <v>832.16398485565549</v>
      </c>
      <c r="AC209" s="86">
        <f t="shared" si="163"/>
        <v>37781.571559999997</v>
      </c>
      <c r="AD209" s="85">
        <f t="shared" si="164"/>
        <v>2598.140025222212</v>
      </c>
      <c r="AE209" s="85">
        <f t="shared" si="165"/>
        <v>14902.755939768622</v>
      </c>
      <c r="AF209" s="90">
        <f t="shared" si="166"/>
        <v>2598.140025222212</v>
      </c>
      <c r="AG209" s="86">
        <f t="shared" si="167"/>
        <v>-9166.2918399999999</v>
      </c>
      <c r="AH209" s="85">
        <f t="shared" si="168"/>
        <v>6183.1314163678471</v>
      </c>
      <c r="AI209" s="85">
        <f t="shared" si="169"/>
        <v>-6267.9602847769202</v>
      </c>
      <c r="AJ209" s="90">
        <f t="shared" si="170"/>
        <v>6183.1314163678471</v>
      </c>
      <c r="AL209" s="95">
        <f t="shared" si="171"/>
        <v>0</v>
      </c>
      <c r="AM209" s="95">
        <f t="shared" si="172"/>
        <v>0</v>
      </c>
      <c r="AN209" s="95">
        <f t="shared" si="173"/>
        <v>0</v>
      </c>
      <c r="AO209" s="95">
        <f t="shared" si="174"/>
        <v>0</v>
      </c>
      <c r="AP209"/>
      <c r="AQ209" s="95">
        <f t="shared" si="175"/>
        <v>0</v>
      </c>
      <c r="AR209" s="95">
        <f t="shared" si="176"/>
        <v>0</v>
      </c>
      <c r="AS209" s="95">
        <f>Geraetedaten!$B$94*ABS(SIN(RADIANS($A209)))</f>
        <v>26.741819360707261</v>
      </c>
      <c r="AT209" s="95">
        <f>Geraetedaten!$B$94*ABS(COS(RADIANS($A209)))</f>
        <v>151.66039396388004</v>
      </c>
      <c r="AU209" s="95">
        <f>((h_Aw_Sw+Geraetedaten!$B$18)/1000)*(AQ209*AS209+AR209*AT209)/100</f>
        <v>0</v>
      </c>
    </row>
    <row r="210" spans="1:47" ht="13.5" x14ac:dyDescent="0.25">
      <c r="A210" s="16">
        <v>171</v>
      </c>
      <c r="B210" s="16">
        <f t="shared" si="118"/>
        <v>279</v>
      </c>
      <c r="C210" s="19">
        <f t="shared" si="119"/>
        <v>39.519257733491195</v>
      </c>
      <c r="D210" s="17">
        <f t="shared" si="120"/>
        <v>-43177.726867733487</v>
      </c>
      <c r="E210" s="17">
        <f t="shared" si="121"/>
        <v>8703.2183722665086</v>
      </c>
      <c r="F210" s="17">
        <f t="shared" si="122"/>
        <v>41880.621072266513</v>
      </c>
      <c r="G210" s="17">
        <f t="shared" si="123"/>
        <v>-9180.6863577334916</v>
      </c>
      <c r="H210" s="17">
        <f t="shared" si="151"/>
        <v>8703.2183722665086</v>
      </c>
      <c r="I210" s="17">
        <f t="shared" si="124"/>
        <v>847.06497824610744</v>
      </c>
      <c r="J210" s="20">
        <f>(Geraetedaten!$B$152+(Geraetedaten!$B$153*(Geraetedaten!$B$18+d_y_Sw)/1000))*10</f>
        <v>6051.0442000000003</v>
      </c>
      <c r="K210" s="20">
        <f>(Geraetedaten!$B$165+(Geraetedaten!$B$166*(Geraetedaten!$B$18+d_y_Sw)/1000))*10</f>
        <v>10816.164000000001</v>
      </c>
      <c r="L210" s="20">
        <f>(Geraetedaten!$B$158+(Geraetedaten!$B$159*(Geraetedaten!$B$18+d_y_Sw)/1000)-(Geraetedaten!$B$160*I210/1000))*10</f>
        <v>539.42132514521268</v>
      </c>
      <c r="M210" s="20">
        <f>(Geraetedaten!$B$171+(Geraetedaten!$B$172*(Geraetedaten!$B$18+d_y_Sw)/1000)-(Geraetedaten!$B$173*I210/1000))*10</f>
        <v>1001.8114830193608</v>
      </c>
      <c r="N210" s="20">
        <f>IF((H210-J210)/(K210-J210)*(Geraetedaten!$B$174-Geraetedaten!$B$161)&lt;Geraetedaten!$B$174,(H210-J210)/(K210-J210)*(Geraetedaten!$B$174-Geraetedaten!$B$161),Geraetedaten!$B$174)</f>
        <v>222.63231847950669</v>
      </c>
      <c r="O210" s="20">
        <f>N210/Geraetedaten!$B$174*(M210-L210)+L210+C210</f>
        <v>836.29806510277069</v>
      </c>
      <c r="P210" s="20">
        <f t="shared" si="125"/>
        <v>243.73555329688003</v>
      </c>
      <c r="Q210" s="21">
        <f>(N210-Geraetedaten!$B$161)/(Geraetedaten!$B$174-Geraetedaten!$B$161)*(Geraetedaten!$B$175-Geraetedaten!$B$162)+Geraetedaten!$B$162</f>
        <v>35.823311474765326</v>
      </c>
      <c r="R210" s="21">
        <f t="shared" si="152"/>
        <v>35.823311474765326</v>
      </c>
      <c r="S210" s="21">
        <f t="shared" si="153"/>
        <v>5.6040005665244816</v>
      </c>
      <c r="T210" s="88">
        <f t="shared" si="154"/>
        <v>-35.382267065133718</v>
      </c>
      <c r="U210" s="86">
        <f t="shared" si="155"/>
        <v>-43138.207609999998</v>
      </c>
      <c r="V210" s="85">
        <f t="shared" si="156"/>
        <v>-2683.3128092763232</v>
      </c>
      <c r="W210" s="85">
        <f t="shared" si="157"/>
        <v>-17271.37110479669</v>
      </c>
      <c r="X210" s="90">
        <f t="shared" si="158"/>
        <v>2683.3128092763232</v>
      </c>
      <c r="Y210" s="86">
        <f t="shared" si="159"/>
        <v>8742.7376299999996</v>
      </c>
      <c r="Z210" s="85">
        <f t="shared" si="160"/>
        <v>-832.16398485565549</v>
      </c>
      <c r="AA210" s="85">
        <f t="shared" si="161"/>
        <v>847.06497824610744</v>
      </c>
      <c r="AB210" s="90">
        <f t="shared" si="162"/>
        <v>832.16398485565549</v>
      </c>
      <c r="AC210" s="86">
        <f t="shared" si="163"/>
        <v>41920.140330000002</v>
      </c>
      <c r="AD210" s="85">
        <f t="shared" si="164"/>
        <v>2598.140025222212</v>
      </c>
      <c r="AE210" s="85">
        <f t="shared" si="165"/>
        <v>16535.194130144406</v>
      </c>
      <c r="AF210" s="90">
        <f t="shared" si="166"/>
        <v>2598.140025222212</v>
      </c>
      <c r="AG210" s="86">
        <f t="shared" si="167"/>
        <v>-9141.1671000000006</v>
      </c>
      <c r="AH210" s="85">
        <f t="shared" si="168"/>
        <v>6183.1314163678471</v>
      </c>
      <c r="AI210" s="85">
        <f t="shared" si="169"/>
        <v>-6250.7798542650426</v>
      </c>
      <c r="AJ210" s="90">
        <f t="shared" si="170"/>
        <v>6183.1314163678471</v>
      </c>
      <c r="AL210" s="95">
        <f t="shared" si="171"/>
        <v>0</v>
      </c>
      <c r="AM210" s="95">
        <f t="shared" si="172"/>
        <v>0</v>
      </c>
      <c r="AN210" s="95">
        <f t="shared" si="173"/>
        <v>0</v>
      </c>
      <c r="AO210" s="95">
        <f t="shared" si="174"/>
        <v>0</v>
      </c>
      <c r="AP210"/>
      <c r="AQ210" s="95">
        <f t="shared" si="175"/>
        <v>0</v>
      </c>
      <c r="AR210" s="95">
        <f t="shared" si="176"/>
        <v>0</v>
      </c>
      <c r="AS210" s="95">
        <f>Geraetedaten!$B$94*ABS(SIN(RADIANS($A210)))</f>
        <v>24.090907616195572</v>
      </c>
      <c r="AT210" s="95">
        <f>Geraetedaten!$B$94*ABS(COS(RADIANS($A210)))</f>
        <v>152.10400445165121</v>
      </c>
      <c r="AU210" s="95">
        <f>((h_Aw_Sw+Geraetedaten!$B$18)/1000)*(AQ210*AS210+AR210*AT210)/100</f>
        <v>0</v>
      </c>
    </row>
    <row r="211" spans="1:47" ht="13.5" x14ac:dyDescent="0.25">
      <c r="A211" s="16">
        <v>172</v>
      </c>
      <c r="B211" s="16">
        <f t="shared" si="118"/>
        <v>278</v>
      </c>
      <c r="C211" s="19">
        <f t="shared" si="119"/>
        <v>38.499585548833139</v>
      </c>
      <c r="D211" s="17">
        <f t="shared" si="120"/>
        <v>-48569.588715548831</v>
      </c>
      <c r="E211" s="17">
        <f t="shared" si="121"/>
        <v>8676.6530144511671</v>
      </c>
      <c r="F211" s="17">
        <f t="shared" si="122"/>
        <v>47054.525014451166</v>
      </c>
      <c r="G211" s="17">
        <f t="shared" si="123"/>
        <v>-9157.4494355488332</v>
      </c>
      <c r="H211" s="17">
        <f t="shared" si="151"/>
        <v>8676.6530144511671</v>
      </c>
      <c r="I211" s="17">
        <f t="shared" si="124"/>
        <v>844.392324393178</v>
      </c>
      <c r="J211" s="20">
        <f>(Geraetedaten!$B$152+(Geraetedaten!$B$153*(Geraetedaten!$B$18+d_y_Sw)/1000))*10</f>
        <v>6051.0442000000003</v>
      </c>
      <c r="K211" s="20">
        <f>(Geraetedaten!$B$165+(Geraetedaten!$B$166*(Geraetedaten!$B$18+d_y_Sw)/1000))*10</f>
        <v>10816.164000000001</v>
      </c>
      <c r="L211" s="20">
        <f>(Geraetedaten!$B$158+(Geraetedaten!$B$159*(Geraetedaten!$B$18+d_y_Sw)/1000)-(Geraetedaten!$B$160*I211/1000))*10</f>
        <v>539.61731085224801</v>
      </c>
      <c r="M211" s="20">
        <f>(Geraetedaten!$B$171+(Geraetedaten!$B$172*(Geraetedaten!$B$18+d_y_Sw)/1000)-(Geraetedaten!$B$173*I211/1000))*10</f>
        <v>1002.0104353721728</v>
      </c>
      <c r="N211" s="20">
        <f>IF((H211-J211)/(K211-J211)*(Geraetedaten!$B$174-Geraetedaten!$B$161)&lt;Geraetedaten!$B$174,(H211-J211)/(K211-J211)*(Geraetedaten!$B$174-Geraetedaten!$B$161),Geraetedaten!$B$174)</f>
        <v>220.40233401486918</v>
      </c>
      <c r="O211" s="20">
        <f>N211/Geraetedaten!$B$174*(M211-L211)+L211+C211</f>
        <v>832.89820609262972</v>
      </c>
      <c r="P211" s="20">
        <f t="shared" si="125"/>
        <v>243.18736741173237</v>
      </c>
      <c r="Q211" s="21">
        <f>(N211-Geraetedaten!$B$161)/(Geraetedaten!$B$174-Geraetedaten!$B$161)*(Geraetedaten!$B$175-Geraetedaten!$B$162)+Geraetedaten!$B$162</f>
        <v>35.756969436942356</v>
      </c>
      <c r="R211" s="21">
        <f t="shared" si="152"/>
        <v>35.756969436942356</v>
      </c>
      <c r="S211" s="21">
        <f t="shared" si="153"/>
        <v>4.9764083174735489</v>
      </c>
      <c r="T211" s="88">
        <f t="shared" si="154"/>
        <v>-35.40898506837226</v>
      </c>
      <c r="U211" s="86">
        <f t="shared" si="155"/>
        <v>-48531.08913</v>
      </c>
      <c r="V211" s="85">
        <f t="shared" si="156"/>
        <v>-2683.3128092763232</v>
      </c>
      <c r="W211" s="85">
        <f t="shared" si="157"/>
        <v>-19430.534946728891</v>
      </c>
      <c r="X211" s="90">
        <f t="shared" si="158"/>
        <v>2683.3128092763232</v>
      </c>
      <c r="Y211" s="86">
        <f t="shared" si="159"/>
        <v>8715.1525999999994</v>
      </c>
      <c r="Z211" s="85">
        <f t="shared" si="160"/>
        <v>-832.16398485565549</v>
      </c>
      <c r="AA211" s="85">
        <f t="shared" si="161"/>
        <v>844.392324393178</v>
      </c>
      <c r="AB211" s="90">
        <f t="shared" si="162"/>
        <v>832.16398485565549</v>
      </c>
      <c r="AC211" s="86">
        <f t="shared" si="163"/>
        <v>47093.024599999997</v>
      </c>
      <c r="AD211" s="85">
        <f t="shared" si="164"/>
        <v>2598.140025222212</v>
      </c>
      <c r="AE211" s="85">
        <f t="shared" si="165"/>
        <v>18575.613005749397</v>
      </c>
      <c r="AF211" s="90">
        <f t="shared" si="166"/>
        <v>2598.140025222212</v>
      </c>
      <c r="AG211" s="86">
        <f t="shared" si="167"/>
        <v>-9118.9498500000009</v>
      </c>
      <c r="AH211" s="85">
        <f t="shared" si="168"/>
        <v>6183.1314163678471</v>
      </c>
      <c r="AI211" s="85">
        <f t="shared" si="169"/>
        <v>-6235.5875774743172</v>
      </c>
      <c r="AJ211" s="90">
        <f t="shared" si="170"/>
        <v>6183.1314163678471</v>
      </c>
      <c r="AL211" s="95">
        <f t="shared" si="171"/>
        <v>0</v>
      </c>
      <c r="AM211" s="95">
        <f t="shared" si="172"/>
        <v>0</v>
      </c>
      <c r="AN211" s="95">
        <f t="shared" si="173"/>
        <v>0</v>
      </c>
      <c r="AO211" s="95">
        <f t="shared" si="174"/>
        <v>0</v>
      </c>
      <c r="AP211"/>
      <c r="AQ211" s="95">
        <f t="shared" si="175"/>
        <v>0</v>
      </c>
      <c r="AR211" s="95">
        <f t="shared" si="176"/>
        <v>0</v>
      </c>
      <c r="AS211" s="95">
        <f>Geraetedaten!$B$94*ABS(SIN(RADIANS($A211)))</f>
        <v>21.432657547850059</v>
      </c>
      <c r="AT211" s="95">
        <f>Geraetedaten!$B$94*ABS(COS(RADIANS($A211)))</f>
        <v>152.50128258620182</v>
      </c>
      <c r="AU211" s="95">
        <f>((h_Aw_Sw+Geraetedaten!$B$18)/1000)*(AQ211*AS211+AR211*AT211)/100</f>
        <v>0</v>
      </c>
    </row>
    <row r="212" spans="1:47" ht="13.5" x14ac:dyDescent="0.25">
      <c r="A212" s="16">
        <v>173</v>
      </c>
      <c r="B212" s="16">
        <f t="shared" si="118"/>
        <v>277</v>
      </c>
      <c r="C212" s="19">
        <f t="shared" si="119"/>
        <v>37.468186017463069</v>
      </c>
      <c r="D212" s="17">
        <f t="shared" si="120"/>
        <v>-55521.775696017459</v>
      </c>
      <c r="E212" s="17">
        <f t="shared" si="121"/>
        <v>8652.9117639825381</v>
      </c>
      <c r="F212" s="17">
        <f t="shared" si="122"/>
        <v>53703.481343982538</v>
      </c>
      <c r="G212" s="17">
        <f t="shared" si="123"/>
        <v>-9137.0736260174617</v>
      </c>
      <c r="H212" s="17">
        <f t="shared" si="151"/>
        <v>8652.9117639825381</v>
      </c>
      <c r="I212" s="17">
        <f t="shared" si="124"/>
        <v>841.9921552450943</v>
      </c>
      <c r="J212" s="20">
        <f>(Geraetedaten!$B$152+(Geraetedaten!$B$153*(Geraetedaten!$B$18+d_y_Sw)/1000))*10</f>
        <v>6051.0442000000003</v>
      </c>
      <c r="K212" s="20">
        <f>(Geraetedaten!$B$165+(Geraetedaten!$B$166*(Geraetedaten!$B$18+d_y_Sw)/1000))*10</f>
        <v>10816.164000000001</v>
      </c>
      <c r="L212" s="20">
        <f>(Geraetedaten!$B$158+(Geraetedaten!$B$159*(Geraetedaten!$B$18+d_y_Sw)/1000)-(Geraetedaten!$B$160*I212/1000))*10</f>
        <v>539.79331525587691</v>
      </c>
      <c r="M212" s="20">
        <f>(Geraetedaten!$B$171+(Geraetedaten!$B$172*(Geraetedaten!$B$18+d_y_Sw)/1000)-(Geraetedaten!$B$173*I212/1000))*10</f>
        <v>1002.1891039635561</v>
      </c>
      <c r="N212" s="20">
        <f>IF((H212-J212)/(K212-J212)*(Geraetedaten!$B$174-Geraetedaten!$B$161)&lt;Geraetedaten!$B$174,(H212-J212)/(K212-J212)*(Geraetedaten!$B$174-Geraetedaten!$B$161),Geraetedaten!$B$174)</f>
        <v>218.40941451105073</v>
      </c>
      <c r="O212" s="20">
        <f>N212/Geraetedaten!$B$174*(M212-L212)+L212+C212</f>
        <v>829.74048498338925</v>
      </c>
      <c r="P212" s="20">
        <f t="shared" si="125"/>
        <v>242.66079433423329</v>
      </c>
      <c r="Q212" s="21">
        <f>(N212-Geraetedaten!$B$161)/(Geraetedaten!$B$174-Geraetedaten!$B$161)*(Geraetedaten!$B$175-Geraetedaten!$B$162)+Geraetedaten!$B$162</f>
        <v>35.697680081703759</v>
      </c>
      <c r="R212" s="21">
        <f t="shared" si="152"/>
        <v>35.697680081703759</v>
      </c>
      <c r="S212" s="21">
        <f t="shared" si="153"/>
        <v>4.3504528326442511</v>
      </c>
      <c r="T212" s="88">
        <f t="shared" si="154"/>
        <v>-35.431594987618141</v>
      </c>
      <c r="U212" s="86">
        <f t="shared" si="155"/>
        <v>-55484.307509999999</v>
      </c>
      <c r="V212" s="85">
        <f t="shared" si="156"/>
        <v>-2683.3128092763232</v>
      </c>
      <c r="W212" s="85">
        <f t="shared" si="157"/>
        <v>-22214.415447634186</v>
      </c>
      <c r="X212" s="90">
        <f t="shared" si="158"/>
        <v>2683.3128092763232</v>
      </c>
      <c r="Y212" s="86">
        <f t="shared" si="159"/>
        <v>8690.3799500000005</v>
      </c>
      <c r="Z212" s="85">
        <f t="shared" si="160"/>
        <v>-832.16398485565549</v>
      </c>
      <c r="AA212" s="85">
        <f t="shared" si="161"/>
        <v>841.9921552450943</v>
      </c>
      <c r="AB212" s="90">
        <f t="shared" si="162"/>
        <v>832.16398485565549</v>
      </c>
      <c r="AC212" s="86">
        <f t="shared" si="163"/>
        <v>53740.949529999998</v>
      </c>
      <c r="AD212" s="85">
        <f t="shared" si="164"/>
        <v>2598.140025222212</v>
      </c>
      <c r="AE212" s="85">
        <f t="shared" si="165"/>
        <v>21197.854445946527</v>
      </c>
      <c r="AF212" s="90">
        <f t="shared" si="166"/>
        <v>2598.140025222212</v>
      </c>
      <c r="AG212" s="86">
        <f t="shared" si="167"/>
        <v>-9099.6054399999994</v>
      </c>
      <c r="AH212" s="85">
        <f t="shared" si="168"/>
        <v>6183.1314163678471</v>
      </c>
      <c r="AI212" s="85">
        <f t="shared" si="169"/>
        <v>-6222.3597656631437</v>
      </c>
      <c r="AJ212" s="90">
        <f t="shared" si="170"/>
        <v>6183.1314163678471</v>
      </c>
      <c r="AL212" s="95">
        <f t="shared" si="171"/>
        <v>0</v>
      </c>
      <c r="AM212" s="95">
        <f t="shared" si="172"/>
        <v>0</v>
      </c>
      <c r="AN212" s="95">
        <f t="shared" si="173"/>
        <v>0</v>
      </c>
      <c r="AO212" s="95">
        <f t="shared" si="174"/>
        <v>0</v>
      </c>
      <c r="AP212"/>
      <c r="AQ212" s="95">
        <f t="shared" si="175"/>
        <v>0</v>
      </c>
      <c r="AR212" s="95">
        <f t="shared" si="176"/>
        <v>0</v>
      </c>
      <c r="AS212" s="95">
        <f>Geraetedaten!$B$94*ABS(SIN(RADIANS($A212)))</f>
        <v>18.767878884392722</v>
      </c>
      <c r="AT212" s="95">
        <f>Geraetedaten!$B$94*ABS(COS(RADIANS($A212)))</f>
        <v>152.8521073527636</v>
      </c>
      <c r="AU212" s="95">
        <f>((h_Aw_Sw+Geraetedaten!$B$18)/1000)*(AQ212*AS212+AR212*AT212)/100</f>
        <v>0</v>
      </c>
    </row>
    <row r="213" spans="1:47" ht="13.5" x14ac:dyDescent="0.25">
      <c r="A213" s="16">
        <v>174</v>
      </c>
      <c r="B213" s="16">
        <f t="shared" si="118"/>
        <v>276</v>
      </c>
      <c r="C213" s="19">
        <f t="shared" si="119"/>
        <v>36.42537331366961</v>
      </c>
      <c r="D213" s="17">
        <f t="shared" si="120"/>
        <v>-64822.609973313673</v>
      </c>
      <c r="E213" s="17">
        <f t="shared" si="121"/>
        <v>8631.9553366863292</v>
      </c>
      <c r="F213" s="17">
        <f t="shared" si="122"/>
        <v>62560.077656686328</v>
      </c>
      <c r="G213" s="17">
        <f t="shared" si="123"/>
        <v>-9119.5292533136708</v>
      </c>
      <c r="H213" s="17">
        <f t="shared" si="151"/>
        <v>8631.9553366863292</v>
      </c>
      <c r="I213" s="17">
        <f t="shared" si="124"/>
        <v>839.86069686638405</v>
      </c>
      <c r="J213" s="20">
        <f>(Geraetedaten!$B$152+(Geraetedaten!$B$153*(Geraetedaten!$B$18+d_y_Sw)/1000))*10</f>
        <v>6051.0442000000003</v>
      </c>
      <c r="K213" s="20">
        <f>(Geraetedaten!$B$165+(Geraetedaten!$B$166*(Geraetedaten!$B$18+d_y_Sw)/1000))*10</f>
        <v>10816.164000000001</v>
      </c>
      <c r="L213" s="20">
        <f>(Geraetedaten!$B$158+(Geraetedaten!$B$159*(Geraetedaten!$B$18+d_y_Sw)/1000)-(Geraetedaten!$B$160*I213/1000))*10</f>
        <v>539.94961509878772</v>
      </c>
      <c r="M213" s="20">
        <f>(Geraetedaten!$B$171+(Geraetedaten!$B$172*(Geraetedaten!$B$18+d_y_Sw)/1000)-(Geraetedaten!$B$173*I213/1000))*10</f>
        <v>1002.3477697252673</v>
      </c>
      <c r="N213" s="20">
        <f>IF((H213-J213)/(K213-J213)*(Geraetedaten!$B$174-Geraetedaten!$B$161)&lt;Geraetedaten!$B$174,(H213-J213)/(K213-J213)*(Geraetedaten!$B$174-Geraetedaten!$B$161),Geraetedaten!$B$174)</f>
        <v>216.65026232384159</v>
      </c>
      <c r="O213" s="20">
        <f>N213/Geraetedaten!$B$174*(M213-L213)+L213+C213</f>
        <v>826.82169215717499</v>
      </c>
      <c r="P213" s="20">
        <f t="shared" si="125"/>
        <v>242.15596405521498</v>
      </c>
      <c r="Q213" s="21">
        <f>(N213-Geraetedaten!$B$161)/(Geraetedaten!$B$174-Geraetedaten!$B$161)*(Geraetedaten!$B$175-Geraetedaten!$B$162)+Geraetedaten!$B$162</f>
        <v>35.645345304134288</v>
      </c>
      <c r="R213" s="21">
        <f t="shared" si="152"/>
        <v>35.645345304134288</v>
      </c>
      <c r="S213" s="21">
        <f t="shared" si="153"/>
        <v>3.7259531672860344</v>
      </c>
      <c r="T213" s="88">
        <f t="shared" si="154"/>
        <v>-35.450076372924215</v>
      </c>
      <c r="U213" s="86">
        <f t="shared" si="155"/>
        <v>-64786.184600000001</v>
      </c>
      <c r="V213" s="85">
        <f t="shared" si="156"/>
        <v>-2683.3128092763232</v>
      </c>
      <c r="W213" s="85">
        <f t="shared" si="157"/>
        <v>-25938.635347985488</v>
      </c>
      <c r="X213" s="90">
        <f t="shared" si="158"/>
        <v>2683.3128092763232</v>
      </c>
      <c r="Y213" s="86">
        <f t="shared" si="159"/>
        <v>8668.3807099999995</v>
      </c>
      <c r="Z213" s="85">
        <f t="shared" si="160"/>
        <v>-832.16398485565549</v>
      </c>
      <c r="AA213" s="85">
        <f t="shared" si="161"/>
        <v>839.86069686638405</v>
      </c>
      <c r="AB213" s="90">
        <f t="shared" si="162"/>
        <v>832.16398485565549</v>
      </c>
      <c r="AC213" s="86">
        <f t="shared" si="163"/>
        <v>62596.50303</v>
      </c>
      <c r="AD213" s="85">
        <f t="shared" si="164"/>
        <v>2598.140025222212</v>
      </c>
      <c r="AE213" s="85">
        <f t="shared" si="165"/>
        <v>24690.884170756475</v>
      </c>
      <c r="AF213" s="90">
        <f t="shared" si="166"/>
        <v>2598.140025222212</v>
      </c>
      <c r="AG213" s="86">
        <f t="shared" si="167"/>
        <v>-9083.1038800000006</v>
      </c>
      <c r="AH213" s="85">
        <f t="shared" si="168"/>
        <v>6183.1314163678471</v>
      </c>
      <c r="AI213" s="85">
        <f t="shared" si="169"/>
        <v>-6211.0759053724023</v>
      </c>
      <c r="AJ213" s="90">
        <f t="shared" si="170"/>
        <v>6183.1314163678471</v>
      </c>
      <c r="AL213" s="95">
        <f t="shared" si="171"/>
        <v>0</v>
      </c>
      <c r="AM213" s="95">
        <f t="shared" si="172"/>
        <v>0</v>
      </c>
      <c r="AN213" s="95">
        <f t="shared" si="173"/>
        <v>0</v>
      </c>
      <c r="AO213" s="95">
        <f t="shared" si="174"/>
        <v>0</v>
      </c>
      <c r="AP213"/>
      <c r="AQ213" s="95">
        <f t="shared" si="175"/>
        <v>0</v>
      </c>
      <c r="AR213" s="95">
        <f t="shared" si="176"/>
        <v>0</v>
      </c>
      <c r="AS213" s="95">
        <f>Geraetedaten!$B$94*ABS(SIN(RADIANS($A213)))</f>
        <v>16.097383343218674</v>
      </c>
      <c r="AT213" s="95">
        <f>Geraetedaten!$B$94*ABS(COS(RADIANS($A213)))</f>
        <v>153.15637188671408</v>
      </c>
      <c r="AU213" s="95">
        <f>((h_Aw_Sw+Geraetedaten!$B$18)/1000)*(AQ213*AS213+AR213*AT213)/100</f>
        <v>0</v>
      </c>
    </row>
    <row r="214" spans="1:47" ht="13.5" x14ac:dyDescent="0.25">
      <c r="A214" s="16">
        <v>175</v>
      </c>
      <c r="B214" s="16">
        <f t="shared" si="118"/>
        <v>275</v>
      </c>
      <c r="C214" s="19">
        <f t="shared" si="119"/>
        <v>35.371465088304269</v>
      </c>
      <c r="D214" s="17">
        <f t="shared" si="120"/>
        <v>-77899.020785088302</v>
      </c>
      <c r="E214" s="17">
        <f t="shared" si="121"/>
        <v>8613.7490649116953</v>
      </c>
      <c r="F214" s="17">
        <f t="shared" si="122"/>
        <v>74938.297644911698</v>
      </c>
      <c r="G214" s="17">
        <f t="shared" si="123"/>
        <v>-9104.7911550883055</v>
      </c>
      <c r="H214" s="17">
        <f t="shared" si="151"/>
        <v>8613.7490649116953</v>
      </c>
      <c r="I214" s="17">
        <f t="shared" si="124"/>
        <v>837.99461931623921</v>
      </c>
      <c r="J214" s="20">
        <f>(Geraetedaten!$B$152+(Geraetedaten!$B$153*(Geraetedaten!$B$18+d_y_Sw)/1000))*10</f>
        <v>6051.0442000000003</v>
      </c>
      <c r="K214" s="20">
        <f>(Geraetedaten!$B$165+(Geraetedaten!$B$166*(Geraetedaten!$B$18+d_y_Sw)/1000))*10</f>
        <v>10816.164000000001</v>
      </c>
      <c r="L214" s="20">
        <f>(Geraetedaten!$B$158+(Geraetedaten!$B$159*(Geraetedaten!$B$18+d_y_Sw)/1000)-(Geraetedaten!$B$160*I214/1000))*10</f>
        <v>540.08645456553995</v>
      </c>
      <c r="M214" s="20">
        <f>(Geraetedaten!$B$171+(Geraetedaten!$B$172*(Geraetedaten!$B$18+d_y_Sw)/1000)-(Geraetedaten!$B$173*I214/1000))*10</f>
        <v>1002.4866805381</v>
      </c>
      <c r="N214" s="20">
        <f>IF((H214-J214)/(K214-J214)*(Geraetedaten!$B$174-Geraetedaten!$B$161)&lt;Geraetedaten!$B$174,(H214-J214)/(K214-J214)*(Geraetedaten!$B$174-Geraetedaten!$B$161),Geraetedaten!$B$174)</f>
        <v>215.12196733536015</v>
      </c>
      <c r="O214" s="20">
        <f>N214/Geraetedaten!$B$174*(M214-L214)+L214+C214</f>
        <v>824.13903542267474</v>
      </c>
      <c r="P214" s="20">
        <f t="shared" si="125"/>
        <v>241.67302202070391</v>
      </c>
      <c r="Q214" s="21">
        <f>(N214-Geraetedaten!$B$161)/(Geraetedaten!$B$174-Geraetedaten!$B$161)*(Geraetedaten!$B$175-Geraetedaten!$B$162)+Geraetedaten!$B$162</f>
        <v>35.599878528226967</v>
      </c>
      <c r="R214" s="21">
        <f t="shared" si="152"/>
        <v>35.599878528226967</v>
      </c>
      <c r="S214" s="21">
        <f t="shared" si="153"/>
        <v>3.10273385485403</v>
      </c>
      <c r="T214" s="88">
        <f t="shared" si="154"/>
        <v>-35.46441024252988</v>
      </c>
      <c r="U214" s="86">
        <f t="shared" si="155"/>
        <v>-77863.649319999997</v>
      </c>
      <c r="V214" s="85">
        <f t="shared" si="156"/>
        <v>-2683.3128092763232</v>
      </c>
      <c r="W214" s="85">
        <f t="shared" si="157"/>
        <v>-31174.498375851199</v>
      </c>
      <c r="X214" s="90">
        <f t="shared" si="158"/>
        <v>2683.3128092763232</v>
      </c>
      <c r="Y214" s="86">
        <f t="shared" si="159"/>
        <v>8649.1205300000001</v>
      </c>
      <c r="Z214" s="85">
        <f t="shared" si="160"/>
        <v>-832.16398485565549</v>
      </c>
      <c r="AA214" s="85">
        <f t="shared" si="161"/>
        <v>837.99461931623921</v>
      </c>
      <c r="AB214" s="90">
        <f t="shared" si="162"/>
        <v>832.16398485565549</v>
      </c>
      <c r="AC214" s="86">
        <f t="shared" si="163"/>
        <v>74973.669110000003</v>
      </c>
      <c r="AD214" s="85">
        <f t="shared" si="164"/>
        <v>2598.140025222212</v>
      </c>
      <c r="AE214" s="85">
        <f t="shared" si="165"/>
        <v>29572.996739810154</v>
      </c>
      <c r="AF214" s="90">
        <f t="shared" si="166"/>
        <v>2598.140025222212</v>
      </c>
      <c r="AG214" s="86">
        <f t="shared" si="167"/>
        <v>-9069.4196900000006</v>
      </c>
      <c r="AH214" s="85">
        <f t="shared" si="168"/>
        <v>6183.1314163678471</v>
      </c>
      <c r="AI214" s="85">
        <f t="shared" si="169"/>
        <v>-6201.7185801376263</v>
      </c>
      <c r="AJ214" s="90">
        <f t="shared" si="170"/>
        <v>6183.1314163678471</v>
      </c>
      <c r="AL214" s="95">
        <f t="shared" si="171"/>
        <v>0</v>
      </c>
      <c r="AM214" s="95">
        <f t="shared" si="172"/>
        <v>0</v>
      </c>
      <c r="AN214" s="95">
        <f t="shared" si="173"/>
        <v>0</v>
      </c>
      <c r="AO214" s="95">
        <f t="shared" si="174"/>
        <v>0</v>
      </c>
      <c r="AP214"/>
      <c r="AQ214" s="95">
        <f t="shared" si="175"/>
        <v>0</v>
      </c>
      <c r="AR214" s="95">
        <f t="shared" si="176"/>
        <v>0</v>
      </c>
      <c r="AS214" s="95">
        <f>Geraetedaten!$B$94*ABS(SIN(RADIANS($A214)))</f>
        <v>13.421984383139362</v>
      </c>
      <c r="AT214" s="95">
        <f>Geraetedaten!$B$94*ABS(COS(RADIANS($A214)))</f>
        <v>153.4139835061288</v>
      </c>
      <c r="AU214" s="95">
        <f>((h_Aw_Sw+Geraetedaten!$B$18)/1000)*(AQ214*AS214+AR214*AT214)/100</f>
        <v>0</v>
      </c>
    </row>
    <row r="215" spans="1:47" ht="13.5" x14ac:dyDescent="0.25">
      <c r="A215" s="16">
        <v>176</v>
      </c>
      <c r="B215" s="16">
        <f t="shared" si="118"/>
        <v>274</v>
      </c>
      <c r="C215" s="19">
        <f t="shared" si="119"/>
        <v>34.306782372021978</v>
      </c>
      <c r="D215" s="17">
        <f t="shared" si="120"/>
        <v>-97627.415282372021</v>
      </c>
      <c r="E215" s="17">
        <f t="shared" si="121"/>
        <v>8598.2626976279789</v>
      </c>
      <c r="F215" s="17">
        <f t="shared" si="122"/>
        <v>93453.030197627973</v>
      </c>
      <c r="G215" s="17">
        <f t="shared" si="123"/>
        <v>-9092.8386123720211</v>
      </c>
      <c r="H215" s="17">
        <f t="shared" si="151"/>
        <v>8598.2626976279789</v>
      </c>
      <c r="I215" s="17">
        <f t="shared" si="124"/>
        <v>836.39102380392308</v>
      </c>
      <c r="J215" s="20">
        <f>(Geraetedaten!$B$152+(Geraetedaten!$B$153*(Geraetedaten!$B$18+d_y_Sw)/1000))*10</f>
        <v>6051.0442000000003</v>
      </c>
      <c r="K215" s="20">
        <f>(Geraetedaten!$B$165+(Geraetedaten!$B$166*(Geraetedaten!$B$18+d_y_Sw)/1000))*10</f>
        <v>10816.164000000001</v>
      </c>
      <c r="L215" s="20">
        <f>(Geraetedaten!$B$158+(Geraetedaten!$B$159*(Geraetedaten!$B$18+d_y_Sw)/1000)-(Geraetedaten!$B$160*I215/1000))*10</f>
        <v>540.20404622445812</v>
      </c>
      <c r="M215" s="20">
        <f>(Geraetedaten!$B$171+(Geraetedaten!$B$172*(Geraetedaten!$B$18+d_y_Sw)/1000)-(Geraetedaten!$B$173*I215/1000))*10</f>
        <v>1002.6060521880369</v>
      </c>
      <c r="N215" s="20">
        <f>IF((H215-J215)/(K215-J215)*(Geraetedaten!$B$174-Geraetedaten!$B$161)&lt;Geraetedaten!$B$174,(H215-J215)/(K215-J215)*(Geraetedaten!$B$174-Geraetedaten!$B$161),Geraetedaten!$B$174)</f>
        <v>213.8219901735086</v>
      </c>
      <c r="O215" s="20">
        <f>N215/Geraetedaten!$B$174*(M215-L215)+L215+C215</f>
        <v>821.69012153486767</v>
      </c>
      <c r="P215" s="20">
        <f t="shared" si="125"/>
        <v>241.21212824761392</v>
      </c>
      <c r="Q215" s="21">
        <f>(N215-Geraetedaten!$B$161)/(Geraetedaten!$B$174-Geraetedaten!$B$161)*(Geraetedaten!$B$175-Geraetedaten!$B$162)+Geraetedaten!$B$162</f>
        <v>35.561204207661881</v>
      </c>
      <c r="R215" s="21">
        <f t="shared" si="152"/>
        <v>35.561204207661881</v>
      </c>
      <c r="S215" s="21">
        <f t="shared" si="153"/>
        <v>2.4806242076212519</v>
      </c>
      <c r="T215" s="88">
        <f t="shared" si="154"/>
        <v>-35.47457890151189</v>
      </c>
      <c r="U215" s="86">
        <f t="shared" si="155"/>
        <v>-97593.108500000002</v>
      </c>
      <c r="V215" s="85">
        <f t="shared" si="156"/>
        <v>-2683.3128092763232</v>
      </c>
      <c r="W215" s="85">
        <f t="shared" si="157"/>
        <v>-39073.639997827522</v>
      </c>
      <c r="X215" s="90">
        <f t="shared" si="158"/>
        <v>2683.3128092763232</v>
      </c>
      <c r="Y215" s="86">
        <f t="shared" si="159"/>
        <v>8632.5694800000001</v>
      </c>
      <c r="Z215" s="85">
        <f t="shared" si="160"/>
        <v>-832.16398485565549</v>
      </c>
      <c r="AA215" s="85">
        <f t="shared" si="161"/>
        <v>836.39102380392308</v>
      </c>
      <c r="AB215" s="90">
        <f t="shared" si="162"/>
        <v>832.16398485565549</v>
      </c>
      <c r="AC215" s="86">
        <f t="shared" si="163"/>
        <v>93487.336979999993</v>
      </c>
      <c r="AD215" s="85">
        <f t="shared" si="164"/>
        <v>2598.140025222212</v>
      </c>
      <c r="AE215" s="85">
        <f t="shared" si="165"/>
        <v>36875.622394497412</v>
      </c>
      <c r="AF215" s="90">
        <f t="shared" si="166"/>
        <v>2598.140025222212</v>
      </c>
      <c r="AG215" s="86">
        <f t="shared" si="167"/>
        <v>-9058.5318299999999</v>
      </c>
      <c r="AH215" s="85">
        <f t="shared" si="168"/>
        <v>6183.1314163678471</v>
      </c>
      <c r="AI215" s="85">
        <f t="shared" si="169"/>
        <v>-6194.2734044728477</v>
      </c>
      <c r="AJ215" s="90">
        <f t="shared" si="170"/>
        <v>6183.1314163678471</v>
      </c>
      <c r="AL215" s="95">
        <f t="shared" si="171"/>
        <v>0</v>
      </c>
      <c r="AM215" s="95">
        <f t="shared" si="172"/>
        <v>0</v>
      </c>
      <c r="AN215" s="95">
        <f t="shared" si="173"/>
        <v>0</v>
      </c>
      <c r="AO215" s="95">
        <f t="shared" si="174"/>
        <v>0</v>
      </c>
      <c r="AP215"/>
      <c r="AQ215" s="95">
        <f t="shared" si="175"/>
        <v>0</v>
      </c>
      <c r="AR215" s="95">
        <f t="shared" si="176"/>
        <v>0</v>
      </c>
      <c r="AS215" s="95">
        <f>Geraetedaten!$B$94*ABS(SIN(RADIANS($A215)))</f>
        <v>10.74249695659533</v>
      </c>
      <c r="AT215" s="95">
        <f>Geraetedaten!$B$94*ABS(COS(RADIANS($A215)))</f>
        <v>153.62486374001293</v>
      </c>
      <c r="AU215" s="95">
        <f>((h_Aw_Sw+Geraetedaten!$B$18)/1000)*(AQ215*AS215+AR215*AT215)/100</f>
        <v>0</v>
      </c>
    </row>
    <row r="216" spans="1:47" ht="13.5" x14ac:dyDescent="0.25">
      <c r="A216" s="16">
        <v>177</v>
      </c>
      <c r="B216" s="16">
        <f t="shared" si="118"/>
        <v>273</v>
      </c>
      <c r="C216" s="19">
        <f t="shared" si="119"/>
        <v>33.231649477491878</v>
      </c>
      <c r="D216" s="17">
        <f t="shared" si="120"/>
        <v>-130800.63551947748</v>
      </c>
      <c r="E216" s="17">
        <f t="shared" si="121"/>
        <v>8585.4703305225084</v>
      </c>
      <c r="F216" s="17">
        <f t="shared" si="122"/>
        <v>124159.55604052251</v>
      </c>
      <c r="G216" s="17">
        <f t="shared" si="123"/>
        <v>-9083.6552694774909</v>
      </c>
      <c r="H216" s="17">
        <f t="shared" si="151"/>
        <v>8585.4703305225084</v>
      </c>
      <c r="I216" s="17">
        <f t="shared" si="124"/>
        <v>835.04743159865791</v>
      </c>
      <c r="J216" s="20">
        <f>(Geraetedaten!$B$152+(Geraetedaten!$B$153*(Geraetedaten!$B$18+d_y_Sw)/1000))*10</f>
        <v>6051.0442000000003</v>
      </c>
      <c r="K216" s="20">
        <f>(Geraetedaten!$B$165+(Geraetedaten!$B$166*(Geraetedaten!$B$18+d_y_Sw)/1000))*10</f>
        <v>10816.164000000001</v>
      </c>
      <c r="L216" s="20">
        <f>(Geraetedaten!$B$158+(Geraetedaten!$B$159*(Geraetedaten!$B$18+d_y_Sw)/1000)-(Geraetedaten!$B$160*I216/1000))*10</f>
        <v>540.3025718408702</v>
      </c>
      <c r="M216" s="20">
        <f>(Geraetedaten!$B$171+(Geraetedaten!$B$172*(Geraetedaten!$B$18+d_y_Sw)/1000)-(Geraetedaten!$B$173*I216/1000))*10</f>
        <v>1002.7060691917968</v>
      </c>
      <c r="N216" s="20">
        <f>IF((H216-J216)/(K216-J216)*(Geraetedaten!$B$174-Geraetedaten!$B$161)&lt;Geraetedaten!$B$174,(H216-J216)/(K216-J216)*(Geraetedaten!$B$174-Geraetedaten!$B$161),Geraetedaten!$B$174)</f>
        <v>212.74815634414966</v>
      </c>
      <c r="O216" s="20">
        <f>N216/Geraetedaten!$B$174*(M216-L216)+L216+C216</f>
        <v>819.47295018960335</v>
      </c>
      <c r="P216" s="20">
        <f t="shared" si="125"/>
        <v>240.77345768004989</v>
      </c>
      <c r="Q216" s="21">
        <f>(N216-Geraetedaten!$B$161)/(Geraetedaten!$B$174-Geraetedaten!$B$161)*(Geraetedaten!$B$175-Geraetedaten!$B$162)+Geraetedaten!$B$162</f>
        <v>35.529257651238453</v>
      </c>
      <c r="R216" s="21">
        <f t="shared" si="152"/>
        <v>35.529257651238453</v>
      </c>
      <c r="S216" s="21">
        <f t="shared" si="153"/>
        <v>1.8594576737794921</v>
      </c>
      <c r="T216" s="88">
        <f t="shared" si="154"/>
        <v>-35.48056603843164</v>
      </c>
      <c r="U216" s="86">
        <f t="shared" si="155"/>
        <v>-130767.40386999999</v>
      </c>
      <c r="V216" s="85">
        <f t="shared" si="156"/>
        <v>-2683.3128092763232</v>
      </c>
      <c r="W216" s="85">
        <f t="shared" si="157"/>
        <v>-52355.730242460384</v>
      </c>
      <c r="X216" s="90">
        <f t="shared" si="158"/>
        <v>2683.3128092763232</v>
      </c>
      <c r="Y216" s="86">
        <f t="shared" si="159"/>
        <v>8618.7019799999998</v>
      </c>
      <c r="Z216" s="85">
        <f t="shared" si="160"/>
        <v>-832.16398485565549</v>
      </c>
      <c r="AA216" s="85">
        <f t="shared" si="161"/>
        <v>835.04743159865791</v>
      </c>
      <c r="AB216" s="90">
        <f t="shared" si="162"/>
        <v>832.16398485565549</v>
      </c>
      <c r="AC216" s="86">
        <f t="shared" si="163"/>
        <v>124192.78769</v>
      </c>
      <c r="AD216" s="85">
        <f t="shared" si="164"/>
        <v>2598.140025222212</v>
      </c>
      <c r="AE216" s="85">
        <f t="shared" si="165"/>
        <v>48987.2371031933</v>
      </c>
      <c r="AF216" s="90">
        <f t="shared" si="166"/>
        <v>2598.140025222212</v>
      </c>
      <c r="AG216" s="86">
        <f t="shared" si="167"/>
        <v>-9050.4236199999996</v>
      </c>
      <c r="AH216" s="85">
        <f t="shared" si="168"/>
        <v>6183.1314163678471</v>
      </c>
      <c r="AI216" s="85">
        <f t="shared" si="169"/>
        <v>-6188.7289696573716</v>
      </c>
      <c r="AJ216" s="90">
        <f t="shared" si="170"/>
        <v>6183.1314163678471</v>
      </c>
      <c r="AL216" s="95">
        <f t="shared" si="171"/>
        <v>0</v>
      </c>
      <c r="AM216" s="95">
        <f t="shared" si="172"/>
        <v>0</v>
      </c>
      <c r="AN216" s="95">
        <f t="shared" si="173"/>
        <v>0</v>
      </c>
      <c r="AO216" s="95">
        <f t="shared" si="174"/>
        <v>0</v>
      </c>
      <c r="AP216"/>
      <c r="AQ216" s="95">
        <f t="shared" si="175"/>
        <v>0</v>
      </c>
      <c r="AR216" s="95">
        <f t="shared" si="176"/>
        <v>0</v>
      </c>
      <c r="AS216" s="95">
        <f>Geraetedaten!$B$94*ABS(SIN(RADIANS($A216)))</f>
        <v>8.0597372614133462</v>
      </c>
      <c r="AT216" s="95">
        <f>Geraetedaten!$B$94*ABS(COS(RADIANS($A216)))</f>
        <v>153.78894835220436</v>
      </c>
      <c r="AU216" s="95">
        <f>((h_Aw_Sw+Geraetedaten!$B$18)/1000)*(AQ216*AS216+AR216*AT216)/100</f>
        <v>0</v>
      </c>
    </row>
    <row r="217" spans="1:47" ht="13.5" x14ac:dyDescent="0.25">
      <c r="A217" s="16">
        <v>178</v>
      </c>
      <c r="B217" s="16">
        <f t="shared" si="118"/>
        <v>272</v>
      </c>
      <c r="C217" s="19">
        <f t="shared" si="119"/>
        <v>32.14639390060875</v>
      </c>
      <c r="D217" s="17">
        <f t="shared" si="120"/>
        <v>-198233.40006390063</v>
      </c>
      <c r="E217" s="17">
        <f t="shared" si="121"/>
        <v>8575.3502860993922</v>
      </c>
      <c r="F217" s="17">
        <f t="shared" si="122"/>
        <v>184984.94119609939</v>
      </c>
      <c r="G217" s="17">
        <f t="shared" si="123"/>
        <v>-9077.2290739006075</v>
      </c>
      <c r="H217" s="17">
        <f t="shared" si="151"/>
        <v>8575.3502860993922</v>
      </c>
      <c r="I217" s="17">
        <f t="shared" si="124"/>
        <v>833.96177461429556</v>
      </c>
      <c r="J217" s="20">
        <f>(Geraetedaten!$B$152+(Geraetedaten!$B$153*(Geraetedaten!$B$18+d_y_Sw)/1000))*10</f>
        <v>6051.0442000000003</v>
      </c>
      <c r="K217" s="20">
        <f>(Geraetedaten!$B$165+(Geraetedaten!$B$166*(Geraetedaten!$B$18+d_y_Sw)/1000))*10</f>
        <v>10816.164000000001</v>
      </c>
      <c r="L217" s="20">
        <f>(Geraetedaten!$B$158+(Geraetedaten!$B$159*(Geraetedaten!$B$18+d_y_Sw)/1000)-(Geraetedaten!$B$160*I217/1000))*10</f>
        <v>540.38218306753345</v>
      </c>
      <c r="M217" s="20">
        <f>(Geraetedaten!$B$171+(Geraetedaten!$B$172*(Geraetedaten!$B$18+d_y_Sw)/1000)-(Geraetedaten!$B$173*I217/1000))*10</f>
        <v>1002.7868854977128</v>
      </c>
      <c r="N217" s="20">
        <f>IF((H217-J217)/(K217-J217)*(Geraetedaten!$B$174-Geraetedaten!$B$161)&lt;Geraetedaten!$B$174,(H217-J217)/(K217-J217)*(Geraetedaten!$B$174-Geraetedaten!$B$161),Geraetedaten!$B$174)</f>
        <v>211.89864616620065</v>
      </c>
      <c r="O217" s="20">
        <f>N217/Geraetedaten!$B$174*(M217-L217)+L217+C217</f>
        <v>817.48590303274182</v>
      </c>
      <c r="P217" s="20">
        <f t="shared" si="125"/>
        <v>240.35719981092365</v>
      </c>
      <c r="Q217" s="21">
        <f>(N217-Geraetedaten!$B$161)/(Geraetedaten!$B$174-Geraetedaten!$B$161)*(Geraetedaten!$B$175-Geraetedaten!$B$162)+Geraetedaten!$B$162</f>
        <v>35.503984723444468</v>
      </c>
      <c r="R217" s="21">
        <f t="shared" si="152"/>
        <v>35.503984723444468</v>
      </c>
      <c r="S217" s="21">
        <f t="shared" si="153"/>
        <v>1.2390711977815012</v>
      </c>
      <c r="T217" s="88">
        <f t="shared" si="154"/>
        <v>-35.482356655236508</v>
      </c>
      <c r="U217" s="86">
        <f t="shared" si="155"/>
        <v>-198201.25367000001</v>
      </c>
      <c r="V217" s="85">
        <f t="shared" si="156"/>
        <v>-2683.3128092763232</v>
      </c>
      <c r="W217" s="85">
        <f t="shared" si="157"/>
        <v>-79354.419094781726</v>
      </c>
      <c r="X217" s="90">
        <f t="shared" si="158"/>
        <v>2683.3128092763232</v>
      </c>
      <c r="Y217" s="86">
        <f t="shared" si="159"/>
        <v>8607.4966800000002</v>
      </c>
      <c r="Z217" s="85">
        <f t="shared" si="160"/>
        <v>-832.16398485565549</v>
      </c>
      <c r="AA217" s="85">
        <f t="shared" si="161"/>
        <v>833.96177461429556</v>
      </c>
      <c r="AB217" s="90">
        <f t="shared" si="162"/>
        <v>832.16398485565549</v>
      </c>
      <c r="AC217" s="86">
        <f t="shared" si="163"/>
        <v>185017.08759000001</v>
      </c>
      <c r="AD217" s="85">
        <f t="shared" si="164"/>
        <v>2598.140025222212</v>
      </c>
      <c r="AE217" s="85">
        <f t="shared" si="165"/>
        <v>72979.084427725262</v>
      </c>
      <c r="AF217" s="90">
        <f t="shared" si="166"/>
        <v>2598.140025222212</v>
      </c>
      <c r="AG217" s="86">
        <f t="shared" si="167"/>
        <v>-9045.0826799999995</v>
      </c>
      <c r="AH217" s="85">
        <f t="shared" si="168"/>
        <v>6183.1314163678471</v>
      </c>
      <c r="AI217" s="85">
        <f t="shared" si="169"/>
        <v>-6185.0768009434123</v>
      </c>
      <c r="AJ217" s="90">
        <f t="shared" si="170"/>
        <v>6183.1314163678471</v>
      </c>
      <c r="AL217" s="95">
        <f t="shared" si="171"/>
        <v>0</v>
      </c>
      <c r="AM217" s="95">
        <f t="shared" si="172"/>
        <v>0</v>
      </c>
      <c r="AN217" s="95">
        <f t="shared" si="173"/>
        <v>0</v>
      </c>
      <c r="AO217" s="95">
        <f t="shared" si="174"/>
        <v>0</v>
      </c>
      <c r="AP217"/>
      <c r="AQ217" s="95">
        <f t="shared" si="175"/>
        <v>0</v>
      </c>
      <c r="AR217" s="95">
        <f t="shared" si="176"/>
        <v>0</v>
      </c>
      <c r="AS217" s="95">
        <f>Geraetedaten!$B$94*ABS(SIN(RADIANS($A217)))</f>
        <v>5.374522492185176</v>
      </c>
      <c r="AT217" s="95">
        <f>Geraetedaten!$B$94*ABS(COS(RADIANS($A217)))</f>
        <v>153.90618736094075</v>
      </c>
      <c r="AU217" s="95">
        <f>((h_Aw_Sw+Geraetedaten!$B$18)/1000)*(AQ217*AS217+AR217*AT217)/100</f>
        <v>0</v>
      </c>
    </row>
    <row r="218" spans="1:47" ht="13.5" x14ac:dyDescent="0.25">
      <c r="A218" s="16">
        <v>179</v>
      </c>
      <c r="B218" s="16">
        <f t="shared" si="118"/>
        <v>271</v>
      </c>
      <c r="C218" s="19">
        <f t="shared" si="119"/>
        <v>31.051346220734359</v>
      </c>
      <c r="D218" s="17">
        <f t="shared" si="120"/>
        <v>-409522.90857622074</v>
      </c>
      <c r="E218" s="17">
        <f t="shared" si="121"/>
        <v>8567.8850537792659</v>
      </c>
      <c r="F218" s="17">
        <f t="shared" si="122"/>
        <v>362791.4551537793</v>
      </c>
      <c r="G218" s="17">
        <f t="shared" si="123"/>
        <v>-9073.5521862207352</v>
      </c>
      <c r="H218" s="17">
        <f t="shared" si="151"/>
        <v>8567.8850537792659</v>
      </c>
      <c r="I218" s="17">
        <f t="shared" si="124"/>
        <v>833.13238760173579</v>
      </c>
      <c r="J218" s="20">
        <f>(Geraetedaten!$B$152+(Geraetedaten!$B$153*(Geraetedaten!$B$18+d_y_Sw)/1000))*10</f>
        <v>6051.0442000000003</v>
      </c>
      <c r="K218" s="20">
        <f>(Geraetedaten!$B$165+(Geraetedaten!$B$166*(Geraetedaten!$B$18+d_y_Sw)/1000))*10</f>
        <v>10816.164000000001</v>
      </c>
      <c r="L218" s="20">
        <f>(Geraetedaten!$B$158+(Geraetedaten!$B$159*(Geraetedaten!$B$18+d_y_Sw)/1000)-(Geraetedaten!$B$160*I218/1000))*10</f>
        <v>540.44300201716442</v>
      </c>
      <c r="M218" s="20">
        <f>(Geraetedaten!$B$171+(Geraetedaten!$B$172*(Geraetedaten!$B$18+d_y_Sw)/1000)-(Geraetedaten!$B$173*I218/1000))*10</f>
        <v>1002.8486250669278</v>
      </c>
      <c r="N218" s="20">
        <f>IF((H218-J218)/(K218-J218)*(Geraetedaten!$B$174-Geraetedaten!$B$161)&lt;Geraetedaten!$B$174,(H218-J218)/(K218-J218)*(Geraetedaten!$B$174-Geraetedaten!$B$161),Geraetedaten!$B$174)</f>
        <v>211.27198974340712</v>
      </c>
      <c r="O218" s="20">
        <f>N218/Geraetedaten!$B$174*(M218-L218)+L218+C218</f>
        <v>815.72773836355714</v>
      </c>
      <c r="P218" s="20">
        <f t="shared" si="125"/>
        <v>239.96355879497816</v>
      </c>
      <c r="Q218" s="21">
        <f>(N218-Geraetedaten!$B$161)/(Geraetedaten!$B$174-Geraetedaten!$B$161)*(Geraetedaten!$B$175-Geraetedaten!$B$162)+Geraetedaten!$B$162</f>
        <v>35.485341694866364</v>
      </c>
      <c r="R218" s="21">
        <f t="shared" si="152"/>
        <v>35.485341694866364</v>
      </c>
      <c r="S218" s="21">
        <f t="shared" si="153"/>
        <v>0.61930460582468816</v>
      </c>
      <c r="T218" s="88">
        <f t="shared" si="154"/>
        <v>-35.479937105449125</v>
      </c>
      <c r="U218" s="86">
        <f t="shared" si="155"/>
        <v>-409491.85723000002</v>
      </c>
      <c r="V218" s="85">
        <f t="shared" si="156"/>
        <v>-2683.3128092763232</v>
      </c>
      <c r="W218" s="85">
        <f t="shared" si="157"/>
        <v>-163949.45971650636</v>
      </c>
      <c r="X218" s="90">
        <f t="shared" si="158"/>
        <v>2683.3128092763232</v>
      </c>
      <c r="Y218" s="86">
        <f t="shared" si="159"/>
        <v>8598.9364000000005</v>
      </c>
      <c r="Z218" s="85">
        <f t="shared" si="160"/>
        <v>-832.16398485565549</v>
      </c>
      <c r="AA218" s="85">
        <f t="shared" si="161"/>
        <v>833.13238760173579</v>
      </c>
      <c r="AB218" s="90">
        <f t="shared" si="162"/>
        <v>832.16398485565549</v>
      </c>
      <c r="AC218" s="86">
        <f t="shared" si="163"/>
        <v>362822.50650000002</v>
      </c>
      <c r="AD218" s="85">
        <f t="shared" si="164"/>
        <v>2598.140025222212</v>
      </c>
      <c r="AE218" s="85">
        <f t="shared" si="165"/>
        <v>143113.56145317087</v>
      </c>
      <c r="AF218" s="90">
        <f t="shared" si="166"/>
        <v>2598.140025222212</v>
      </c>
      <c r="AG218" s="86">
        <f t="shared" si="167"/>
        <v>-9042.5008400000006</v>
      </c>
      <c r="AH218" s="85">
        <f t="shared" si="168"/>
        <v>6183.1314163678471</v>
      </c>
      <c r="AI218" s="85">
        <f t="shared" si="169"/>
        <v>-6183.3113258848498</v>
      </c>
      <c r="AJ218" s="90">
        <f t="shared" si="170"/>
        <v>6183.1314163678471</v>
      </c>
      <c r="AL218" s="95">
        <f t="shared" si="171"/>
        <v>0</v>
      </c>
      <c r="AM218" s="95">
        <f t="shared" si="172"/>
        <v>0</v>
      </c>
      <c r="AN218" s="95">
        <f t="shared" si="173"/>
        <v>0</v>
      </c>
      <c r="AO218" s="95">
        <f t="shared" si="174"/>
        <v>0</v>
      </c>
      <c r="AP218"/>
      <c r="AQ218" s="95">
        <f t="shared" si="175"/>
        <v>0</v>
      </c>
      <c r="AR218" s="95">
        <f t="shared" si="176"/>
        <v>0</v>
      </c>
      <c r="AS218" s="95">
        <f>Geraetedaten!$B$94*ABS(SIN(RADIANS($A218)))</f>
        <v>2.6876705913416497</v>
      </c>
      <c r="AT218" s="95">
        <f>Geraetedaten!$B$94*ABS(COS(RADIANS($A218)))</f>
        <v>153.97654505408426</v>
      </c>
      <c r="AU218" s="95">
        <f>((h_Aw_Sw+Geraetedaten!$B$18)/1000)*(AQ218*AS218+AR218*AT218)/100</f>
        <v>0</v>
      </c>
    </row>
    <row r="219" spans="1:47" s="3" customFormat="1" ht="13.5" x14ac:dyDescent="0.25">
      <c r="A219" s="59" t="s">
        <v>76</v>
      </c>
      <c r="B219" s="60"/>
      <c r="C219" s="22"/>
      <c r="D219" s="17"/>
      <c r="E219" s="17"/>
      <c r="F219" s="17"/>
      <c r="G219" s="17"/>
      <c r="H219" s="17"/>
      <c r="I219" s="17"/>
      <c r="J219" s="22"/>
      <c r="K219" s="22"/>
      <c r="L219" s="22"/>
      <c r="M219" s="22"/>
      <c r="N219" s="22"/>
      <c r="O219" s="22"/>
      <c r="P219" s="20"/>
      <c r="Q219" s="61"/>
      <c r="R219" s="61"/>
      <c r="S219" s="61">
        <f>Geraetedaten!B175*(-1)</f>
        <v>-41.1</v>
      </c>
      <c r="T219" s="87">
        <f>Geraetedaten!B175</f>
        <v>41.1</v>
      </c>
      <c r="U219" s="86"/>
      <c r="V219" s="85"/>
      <c r="W219" s="85"/>
      <c r="X219" s="90"/>
      <c r="Y219" s="86"/>
      <c r="Z219" s="85"/>
      <c r="AA219" s="85"/>
      <c r="AB219" s="90"/>
      <c r="AC219" s="86"/>
      <c r="AD219" s="85"/>
      <c r="AE219" s="85"/>
      <c r="AF219" s="90"/>
      <c r="AG219" s="86"/>
      <c r="AH219" s="85"/>
      <c r="AI219" s="85"/>
      <c r="AJ219" s="90"/>
      <c r="AL219" s="95"/>
      <c r="AM219" s="95"/>
      <c r="AN219" s="95"/>
      <c r="AO219" s="95"/>
      <c r="AQ219" s="95"/>
      <c r="AR219" s="95"/>
      <c r="AS219" s="95"/>
      <c r="AT219" s="95"/>
      <c r="AU219" s="95"/>
    </row>
    <row r="220" spans="1:47" s="3" customFormat="1" ht="13.5" x14ac:dyDescent="0.25">
      <c r="A220" s="59" t="s">
        <v>76</v>
      </c>
      <c r="B220" s="60"/>
      <c r="C220" s="22"/>
      <c r="D220" s="17"/>
      <c r="E220" s="17"/>
      <c r="F220" s="17"/>
      <c r="G220" s="17"/>
      <c r="H220" s="17"/>
      <c r="I220" s="17"/>
      <c r="J220" s="22"/>
      <c r="K220" s="22"/>
      <c r="L220" s="22"/>
      <c r="M220" s="22"/>
      <c r="N220" s="22"/>
      <c r="O220" s="22"/>
      <c r="P220" s="20"/>
      <c r="Q220" s="61"/>
      <c r="R220" s="61"/>
      <c r="S220" s="61">
        <f>Geraetedaten!B175*(-1)</f>
        <v>-41.1</v>
      </c>
      <c r="T220" s="87">
        <f>Geraetedaten!B175*(-1)</f>
        <v>-41.1</v>
      </c>
      <c r="U220" s="86"/>
      <c r="V220" s="85"/>
      <c r="W220" s="85"/>
      <c r="X220" s="90"/>
      <c r="Y220" s="86"/>
      <c r="Z220" s="85"/>
      <c r="AA220" s="85"/>
      <c r="AB220" s="90"/>
      <c r="AC220" s="86"/>
      <c r="AD220" s="85"/>
      <c r="AE220" s="85"/>
      <c r="AF220" s="90"/>
      <c r="AG220" s="86"/>
      <c r="AH220" s="85"/>
      <c r="AI220" s="85"/>
      <c r="AJ220" s="90"/>
      <c r="AL220" s="95"/>
      <c r="AM220" s="95"/>
      <c r="AN220" s="95"/>
      <c r="AO220" s="95"/>
      <c r="AQ220" s="95"/>
      <c r="AR220" s="95"/>
      <c r="AS220" s="95"/>
      <c r="AT220" s="95"/>
      <c r="AU220" s="95"/>
    </row>
    <row r="221" spans="1:47" ht="13.5" x14ac:dyDescent="0.25">
      <c r="A221" s="16">
        <v>180</v>
      </c>
      <c r="B221" s="16">
        <f t="shared" ref="B221:B284" si="177">360-A221+90</f>
        <v>270</v>
      </c>
      <c r="C221" s="19">
        <f t="shared" ref="C221:C284" si="178">$AE$16*ABS(COS(RADIANS(A221)))+$AE$17*ABS(SIN(RADIANS(A221)))+AU221</f>
        <v>29.946840000000009</v>
      </c>
      <c r="D221" s="17">
        <f t="shared" ref="D221:D284" si="179">IF(ISNUMBER(U221),U221-C221,"unendlich")</f>
        <v>6172099.5996999992</v>
      </c>
      <c r="E221" s="17">
        <f t="shared" ref="E221:E284" si="180">IF(ISNUMBER(Y221),Y221-C221,"unendlich")</f>
        <v>8563.0612000000001</v>
      </c>
      <c r="F221" s="17">
        <f t="shared" ref="F221:F284" si="181">IF(ISNUMBER(AC221),AC221-C221,"unendlich")</f>
        <v>9381584.1455000006</v>
      </c>
      <c r="G221" s="17">
        <f t="shared" ref="G221:G284" si="182">IF(ISNUMBER(AG221),AG221-C221,"unendlich")</f>
        <v>-9072.6210100000008</v>
      </c>
      <c r="H221" s="17">
        <f t="shared" ref="H221:H284" si="183">SMALL(D221:G221,COUNTIF(D221:G221,"&lt;0")+1)</f>
        <v>8563.0612000000001</v>
      </c>
      <c r="I221" s="17">
        <f t="shared" ref="I221:I284" si="184">IF(H221+C221=U221,W221,IF(H221+C221=Y221,AA221,IF(H221+C221=AC221,AE221,IF(H221+C221=AG221,AI221,"???"))))</f>
        <v>832.55800189393938</v>
      </c>
      <c r="J221" s="20">
        <f>(Geraetedaten!$B$152+(Geraetedaten!$B$153*(Geraetedaten!$B$18+d_y_Sw)/1000))*10</f>
        <v>6051.0442000000003</v>
      </c>
      <c r="K221" s="20">
        <f>(Geraetedaten!$B$165+(Geraetedaten!$B$166*(Geraetedaten!$B$18+d_y_Sw)/1000))*10</f>
        <v>10816.164000000001</v>
      </c>
      <c r="L221" s="20">
        <f>(Geraetedaten!$B$158+(Geraetedaten!$B$159*(Geraetedaten!$B$18+d_y_Sw)/1000)-(Geraetedaten!$B$160*I221/1000))*10</f>
        <v>540.48512172111714</v>
      </c>
      <c r="M221" s="20">
        <f>(Geraetedaten!$B$171+(Geraetedaten!$B$172*(Geraetedaten!$B$18+d_y_Sw)/1000)-(Geraetedaten!$B$173*I221/1000))*10</f>
        <v>1002.8913823390161</v>
      </c>
      <c r="N221" s="20">
        <f>IF((H221-J221)/(K221-J221)*(Geraetedaten!$B$174-Geraetedaten!$B$161)&lt;Geraetedaten!$B$174,(H221-J221)/(K221-J221)*(Geraetedaten!$B$174-Geraetedaten!$B$161),Geraetedaten!$B$174)</f>
        <v>210.86705941789751</v>
      </c>
      <c r="O221" s="20">
        <f>N221/Geraetedaten!$B$174*(M221-L221)+L221+C221</f>
        <v>814.19758280342285</v>
      </c>
      <c r="P221" s="20">
        <f t="shared" ref="P221:P284" si="185">O221*100/9.81/(Q221-(I221/1000))</f>
        <v>239.5927530552085</v>
      </c>
      <c r="Q221" s="21">
        <f>(N221-Geraetedaten!$B$161)/(Geraetedaten!$B$174-Geraetedaten!$B$161)*(Geraetedaten!$B$175-Geraetedaten!$B$162)+Geraetedaten!$B$162</f>
        <v>35.473295017682453</v>
      </c>
      <c r="R221" s="21">
        <f t="shared" ref="R221:R252" si="186">SQRT((r_K_D/1000)^2+Q221^2-(2*(r_K_D/1000)*Q221*COS(RADIANS(2*A221))))</f>
        <v>35.473295017682453</v>
      </c>
      <c r="S221" s="21">
        <f t="shared" ref="S221:S252" si="187">R221*SIN(A221*Const_2)</f>
        <v>4.3460052581431309E-15</v>
      </c>
      <c r="T221" s="88">
        <f t="shared" ref="T221:T252" si="188">R221*COS(A221*Const_2)</f>
        <v>-35.473295017682453</v>
      </c>
      <c r="U221" s="86">
        <f t="shared" ref="U221:U252" si="189">ROUND((F_S*r_Su_L-F_G*V221+F_SSw*X221)/(SIN(RADIANS(270+g_L-A221)))/1000,5)</f>
        <v>6172129.5465399995</v>
      </c>
      <c r="V221" s="85">
        <f t="shared" ref="V221:V252" si="190">(SIN(RADIANS(g_L)))*(((VL_Z-HL_Z)/(VL_X-HL_X))*(-HL_X+AM221)+HL_Z-AL221)</f>
        <v>-2683.3128092763232</v>
      </c>
      <c r="W221" s="85">
        <f t="shared" ref="W221:W252" si="191">V221/(SIN(RADIANS(180-g_L-(90-$A221))))</f>
        <v>2471153.6666673152</v>
      </c>
      <c r="X221" s="90">
        <f t="shared" ref="X221:X252" si="192">SIN(RADIANS(g_L))*(((VL_Z-HL_Z)/(VL_X-HL_X))*(-AO221+HL_X)-HL_Z+AN221)</f>
        <v>2683.3128092763232</v>
      </c>
      <c r="Y221" s="86">
        <f t="shared" ref="Y221:Y252" si="193">ROUND((F_S*r_Su_H-F_G*Z221+F_SSw*AB221)/(SIN(RADIANS(180+g_H-A221)))/1000,5)</f>
        <v>8593.0080400000006</v>
      </c>
      <c r="Z221" s="85">
        <f t="shared" ref="Z221:Z252" si="194">(SIN(RADIANS(g_H)))*(((HL_X-HR_X)/(HL_Z-HR_Z))*(-HR_Z+AL221)+HR_X-AM221)</f>
        <v>-832.16398485565549</v>
      </c>
      <c r="AA221" s="85">
        <f t="shared" ref="AA221:AA252" si="195">Z221/(SIN(RADIANS(g_H-$A221)))</f>
        <v>832.55800189393938</v>
      </c>
      <c r="AB221" s="90">
        <f t="shared" ref="AB221:AB252" si="196">SIN(RADIANS(g_H))*(((HL_X-HR_X)/(HL_Z-HR_Z))*(-AN221+HR_Z)-HR_X+AO221)</f>
        <v>832.16398485565549</v>
      </c>
      <c r="AC221" s="86">
        <f t="shared" ref="AC221:AC252" si="197">ROUND((F_S*r_Su_R+F_G*AD221+F_SSw*AF221)/(SIN(RADIANS(90+g_R-A221)))/1000,5)</f>
        <v>9381614.09234</v>
      </c>
      <c r="AD221" s="85">
        <f t="shared" ref="AD221:AD252" si="198">(SIN(RADIANS(g_R)))*(((HR_Z-VR_Z)/(HR_X-VR_X))*(-VR_X+AM221)+VR_Z-AL221)</f>
        <v>2598.140025222212</v>
      </c>
      <c r="AE221" s="85">
        <f t="shared" ref="AE221:AE252" si="199">AD221/(SIN(RADIANS(180-g_R-(90-$A221))))</f>
        <v>3700531.7500012787</v>
      </c>
      <c r="AF221" s="90">
        <f t="shared" ref="AF221:AF252" si="200">(SIN(RADIANS(g_R)))*(((HR_Z-VR_Z)/(HR_X-VR_X))*(-VR_X+AO221)+VR_Z-AN221)</f>
        <v>2598.140025222212</v>
      </c>
      <c r="AG221" s="86">
        <f t="shared" ref="AG221:AG252" si="201">ROUND((F_S*r_Su_V+F_G*AH221+F_SSw*AJ221)/(SIN(RADIANS(g_V-A221)))/1000,5)</f>
        <v>-9042.6741700000002</v>
      </c>
      <c r="AH221" s="85">
        <f t="shared" ref="AH221:AH252" si="202">(SIN(RADIANS(g_V)))*(((VR_X-VL_X)/(VR_Z-VL_Z))*(AL221-VL_Z)+VL_X-AM221)</f>
        <v>6183.1314163678471</v>
      </c>
      <c r="AI221" s="85">
        <f t="shared" ref="AI221:AI252" si="203">AH221/(SIN(RADIANS(g_V-$A221)))</f>
        <v>-6183.4298535663675</v>
      </c>
      <c r="AJ221" s="90">
        <f t="shared" ref="AJ221:AJ252" si="204">(SIN(RADIANS(g_V)))*(((VR_X-VL_X)/(VR_Z-VL_Z))*(-VL_Z+AN221)+VL_X-AO221)</f>
        <v>6183.1314163678471</v>
      </c>
      <c r="AL221" s="95">
        <f t="shared" ref="AL221:AL252" si="205">SIN(RADIANS(A221))*r_K_D</f>
        <v>0</v>
      </c>
      <c r="AM221" s="95">
        <f t="shared" ref="AM221:AM252" si="206">COS(RADIANS(A221-180))*r_K_D</f>
        <v>0</v>
      </c>
      <c r="AN221" s="95">
        <f t="shared" ref="AN221:AN252" si="207">SIN(RADIANS(A221))*r_K_SSw</f>
        <v>0</v>
      </c>
      <c r="AO221" s="95">
        <f t="shared" ref="AO221:AO252" si="208">-COS(RADIANS(A221))*r_K_SSw</f>
        <v>0</v>
      </c>
      <c r="AP221"/>
      <c r="AQ221" s="95">
        <f t="shared" ref="AQ221:AQ252" si="209">MAX(d_y_Sw*(r_K_D*ABS(COS(RADIANS($A221)))+_r1_Sw+_r2_Sw), 2*_r1_Sw*d_y_Sw)/1000000</f>
        <v>0</v>
      </c>
      <c r="AR221" s="95">
        <f t="shared" ref="AR221:AR252" si="210">MAX(d_y_Sw*(r_K_D*ABS(SIN(RADIANS($A221)))+_r1_Sw+_r2_Sw), 2*_r1_Sw*d_y_Sw)/1000000</f>
        <v>0</v>
      </c>
      <c r="AS221" s="95">
        <f>Geraetedaten!$B$94*ABS(SIN(RADIANS($A221)))</f>
        <v>1.8867286205592748E-14</v>
      </c>
      <c r="AT221" s="95">
        <f>Geraetedaten!$B$94*ABS(COS(RADIANS($A221)))</f>
        <v>154</v>
      </c>
      <c r="AU221" s="95">
        <f>((h_Aw_Sw+Geraetedaten!$B$18)/1000)*(AQ221*AS221+AR221*AT221)/100</f>
        <v>0</v>
      </c>
    </row>
    <row r="222" spans="1:47" ht="13.5" x14ac:dyDescent="0.25">
      <c r="A222" s="16">
        <v>181</v>
      </c>
      <c r="B222" s="16">
        <f t="shared" si="177"/>
        <v>269</v>
      </c>
      <c r="C222" s="19">
        <f t="shared" si="178"/>
        <v>31.05134622073437</v>
      </c>
      <c r="D222" s="17">
        <f t="shared" si="179"/>
        <v>361496.7614537793</v>
      </c>
      <c r="E222" s="17">
        <f t="shared" si="180"/>
        <v>8558.6512137792652</v>
      </c>
      <c r="F222" s="17">
        <f t="shared" si="181"/>
        <v>-393264.58175622072</v>
      </c>
      <c r="G222" s="17">
        <f t="shared" si="182"/>
        <v>-9076.654296220735</v>
      </c>
      <c r="H222" s="17">
        <f t="shared" si="183"/>
        <v>8558.6512137792652</v>
      </c>
      <c r="I222" s="17">
        <f t="shared" si="184"/>
        <v>832.23774065964744</v>
      </c>
      <c r="J222" s="20">
        <f>(Geraetedaten!$B$152+(Geraetedaten!$B$153*(Geraetedaten!$B$18+d_y_Sw)/1000))*10</f>
        <v>6051.0442000000003</v>
      </c>
      <c r="K222" s="20">
        <f>(Geraetedaten!$B$165+(Geraetedaten!$B$166*(Geraetedaten!$B$18+d_y_Sw)/1000))*10</f>
        <v>10816.164000000001</v>
      </c>
      <c r="L222" s="20">
        <f>(Geraetedaten!$B$158+(Geraetedaten!$B$159*(Geraetedaten!$B$18+d_y_Sw)/1000)-(Geraetedaten!$B$160*I222/1000))*10</f>
        <v>540.50860647742775</v>
      </c>
      <c r="M222" s="20">
        <f>(Geraetedaten!$B$171+(Geraetedaten!$B$172*(Geraetedaten!$B$18+d_y_Sw)/1000)-(Geraetedaten!$B$173*I222/1000))*10</f>
        <v>1002.9152225852968</v>
      </c>
      <c r="N222" s="20">
        <f>IF((H222-J222)/(K222-J222)*(Geraetedaten!$B$174-Geraetedaten!$B$161)&lt;Geraetedaten!$B$174,(H222-J222)/(K222-J222)*(Geraetedaten!$B$174-Geraetedaten!$B$161),Geraetedaten!$B$174)</f>
        <v>210.49687051135754</v>
      </c>
      <c r="O222" s="20">
        <f>N222/Geraetedaten!$B$174*(M222-L222)+L222+C222</f>
        <v>814.89781668429487</v>
      </c>
      <c r="P222" s="20">
        <f t="shared" si="185"/>
        <v>239.87285352138434</v>
      </c>
      <c r="Q222" s="21">
        <f>(N222-Geraetedaten!$B$161)/(Geraetedaten!$B$174-Geraetedaten!$B$161)*(Geraetedaten!$B$175-Geraetedaten!$B$162)+Geraetedaten!$B$162</f>
        <v>35.462281897712884</v>
      </c>
      <c r="R222" s="21">
        <f t="shared" si="186"/>
        <v>35.462281897712884</v>
      </c>
      <c r="S222" s="21">
        <f t="shared" si="187"/>
        <v>-0.61890215687241135</v>
      </c>
      <c r="T222" s="88">
        <f t="shared" si="188"/>
        <v>-35.456880820414447</v>
      </c>
      <c r="U222" s="86">
        <f t="shared" si="189"/>
        <v>361527.81280000001</v>
      </c>
      <c r="V222" s="85">
        <f t="shared" si="190"/>
        <v>-2683.3128092763232</v>
      </c>
      <c r="W222" s="85">
        <f t="shared" si="191"/>
        <v>144745.95412654179</v>
      </c>
      <c r="X222" s="90">
        <f t="shared" si="192"/>
        <v>2683.3128092763232</v>
      </c>
      <c r="Y222" s="86">
        <f t="shared" si="193"/>
        <v>8589.7025599999997</v>
      </c>
      <c r="Z222" s="85">
        <f t="shared" si="194"/>
        <v>-832.16398485565549</v>
      </c>
      <c r="AA222" s="85">
        <f t="shared" si="195"/>
        <v>832.23774065964744</v>
      </c>
      <c r="AB222" s="90">
        <f t="shared" si="196"/>
        <v>832.16398485565549</v>
      </c>
      <c r="AC222" s="86">
        <f t="shared" si="197"/>
        <v>-393233.53041000001</v>
      </c>
      <c r="AD222" s="85">
        <f t="shared" si="198"/>
        <v>2598.140025222212</v>
      </c>
      <c r="AE222" s="85">
        <f t="shared" si="199"/>
        <v>-155109.04095129381</v>
      </c>
      <c r="AF222" s="90">
        <f t="shared" si="200"/>
        <v>2598.140025222212</v>
      </c>
      <c r="AG222" s="86">
        <f t="shared" si="201"/>
        <v>-9045.6029500000004</v>
      </c>
      <c r="AH222" s="85">
        <f t="shared" si="202"/>
        <v>6183.1314163678471</v>
      </c>
      <c r="AI222" s="85">
        <f t="shared" si="203"/>
        <v>-6185.4325645886411</v>
      </c>
      <c r="AJ222" s="90">
        <f t="shared" si="204"/>
        <v>6183.1314163678471</v>
      </c>
      <c r="AL222" s="95">
        <f t="shared" si="205"/>
        <v>0</v>
      </c>
      <c r="AM222" s="95">
        <f t="shared" si="206"/>
        <v>0</v>
      </c>
      <c r="AN222" s="95">
        <f t="shared" si="207"/>
        <v>0</v>
      </c>
      <c r="AO222" s="95">
        <f t="shared" si="208"/>
        <v>0</v>
      </c>
      <c r="AP222"/>
      <c r="AQ222" s="95">
        <f t="shared" si="209"/>
        <v>0</v>
      </c>
      <c r="AR222" s="95">
        <f t="shared" si="210"/>
        <v>0</v>
      </c>
      <c r="AS222" s="95">
        <f>Geraetedaten!$B$94*ABS(SIN(RADIANS($A222)))</f>
        <v>2.6876705913416798</v>
      </c>
      <c r="AT222" s="95">
        <f>Geraetedaten!$B$94*ABS(COS(RADIANS($A222)))</f>
        <v>153.97654505408426</v>
      </c>
      <c r="AU222" s="95">
        <f>((h_Aw_Sw+Geraetedaten!$B$18)/1000)*(AQ222*AS222+AR222*AT222)/100</f>
        <v>0</v>
      </c>
    </row>
    <row r="223" spans="1:47" ht="13.5" x14ac:dyDescent="0.25">
      <c r="A223" s="16">
        <v>182</v>
      </c>
      <c r="B223" s="16">
        <f t="shared" si="177"/>
        <v>268</v>
      </c>
      <c r="C223" s="19">
        <f t="shared" si="178"/>
        <v>32.146393900608736</v>
      </c>
      <c r="D223" s="17">
        <f t="shared" si="179"/>
        <v>186214.76210609937</v>
      </c>
      <c r="E223" s="17">
        <f t="shared" si="180"/>
        <v>8556.8685160993919</v>
      </c>
      <c r="F223" s="17">
        <f t="shared" si="181"/>
        <v>-192641.60169390062</v>
      </c>
      <c r="G223" s="17">
        <f t="shared" si="182"/>
        <v>-9083.438013900608</v>
      </c>
      <c r="H223" s="17">
        <f t="shared" si="183"/>
        <v>8556.8685160993919</v>
      </c>
      <c r="I223" s="17">
        <f t="shared" si="184"/>
        <v>832.17111563267122</v>
      </c>
      <c r="J223" s="20">
        <f>(Geraetedaten!$B$152+(Geraetedaten!$B$153*(Geraetedaten!$B$18+d_y_Sw)/1000))*10</f>
        <v>6051.0442000000003</v>
      </c>
      <c r="K223" s="20">
        <f>(Geraetedaten!$B$165+(Geraetedaten!$B$166*(Geraetedaten!$B$18+d_y_Sw)/1000))*10</f>
        <v>10816.164000000001</v>
      </c>
      <c r="L223" s="20">
        <f>(Geraetedaten!$B$158+(Geraetedaten!$B$159*(Geraetedaten!$B$18+d_y_Sw)/1000)-(Geraetedaten!$B$160*I223/1000))*10</f>
        <v>540.51349209065597</v>
      </c>
      <c r="M223" s="20">
        <f>(Geraetedaten!$B$171+(Geraetedaten!$B$172*(Geraetedaten!$B$18+d_y_Sw)/1000)-(Geraetedaten!$B$173*I223/1000))*10</f>
        <v>1002.9201821523048</v>
      </c>
      <c r="N223" s="20">
        <f>IF((H223-J223)/(K223-J223)*(Geraetedaten!$B$174-Geraetedaten!$B$161)&lt;Geraetedaten!$B$174,(H223-J223)/(K223-J223)*(Geraetedaten!$B$174-Geraetedaten!$B$161),Geraetedaten!$B$174)</f>
        <v>210.34722494065238</v>
      </c>
      <c r="O223" s="20">
        <f>N223/Geraetedaten!$B$174*(M223-L223)+L223+C223</f>
        <v>815.82479611241513</v>
      </c>
      <c r="P223" s="20">
        <f t="shared" si="185"/>
        <v>240.17613304663217</v>
      </c>
      <c r="Q223" s="21">
        <f>(N223-Geraetedaten!$B$161)/(Geraetedaten!$B$174-Geraetedaten!$B$161)*(Geraetedaten!$B$175-Geraetedaten!$B$162)+Geraetedaten!$B$162</f>
        <v>35.457829941984407</v>
      </c>
      <c r="R223" s="21">
        <f t="shared" si="186"/>
        <v>35.457829941984407</v>
      </c>
      <c r="S223" s="21">
        <f t="shared" si="187"/>
        <v>-1.2374604191381224</v>
      </c>
      <c r="T223" s="88">
        <f t="shared" si="188"/>
        <v>-35.436229990022255</v>
      </c>
      <c r="U223" s="86">
        <f t="shared" si="189"/>
        <v>186246.90849999999</v>
      </c>
      <c r="V223" s="85">
        <f t="shared" si="190"/>
        <v>-2683.3128092763232</v>
      </c>
      <c r="W223" s="85">
        <f t="shared" si="191"/>
        <v>74568.222745730847</v>
      </c>
      <c r="X223" s="90">
        <f t="shared" si="192"/>
        <v>2683.3128092763232</v>
      </c>
      <c r="Y223" s="86">
        <f t="shared" si="193"/>
        <v>8589.0149099999999</v>
      </c>
      <c r="Z223" s="85">
        <f t="shared" si="194"/>
        <v>-832.16398485565549</v>
      </c>
      <c r="AA223" s="85">
        <f t="shared" si="195"/>
        <v>832.17111563267122</v>
      </c>
      <c r="AB223" s="90">
        <f t="shared" si="196"/>
        <v>832.16398485565549</v>
      </c>
      <c r="AC223" s="86">
        <f t="shared" si="197"/>
        <v>-192609.4553</v>
      </c>
      <c r="AD223" s="85">
        <f t="shared" si="198"/>
        <v>2598.140025222212</v>
      </c>
      <c r="AE223" s="85">
        <f t="shared" si="199"/>
        <v>-75973.856701408906</v>
      </c>
      <c r="AF223" s="90">
        <f t="shared" si="200"/>
        <v>2598.140025222212</v>
      </c>
      <c r="AG223" s="86">
        <f t="shared" si="201"/>
        <v>-9051.29162</v>
      </c>
      <c r="AH223" s="85">
        <f t="shared" si="202"/>
        <v>6183.1314163678471</v>
      </c>
      <c r="AI223" s="85">
        <f t="shared" si="203"/>
        <v>-6189.3225117401716</v>
      </c>
      <c r="AJ223" s="90">
        <f t="shared" si="204"/>
        <v>6183.1314163678471</v>
      </c>
      <c r="AL223" s="95">
        <f t="shared" si="205"/>
        <v>0</v>
      </c>
      <c r="AM223" s="95">
        <f t="shared" si="206"/>
        <v>0</v>
      </c>
      <c r="AN223" s="95">
        <f t="shared" si="207"/>
        <v>0</v>
      </c>
      <c r="AO223" s="95">
        <f t="shared" si="208"/>
        <v>0</v>
      </c>
      <c r="AP223"/>
      <c r="AQ223" s="95">
        <f t="shared" si="209"/>
        <v>0</v>
      </c>
      <c r="AR223" s="95">
        <f t="shared" si="210"/>
        <v>0</v>
      </c>
      <c r="AS223" s="95">
        <f>Geraetedaten!$B$94*ABS(SIN(RADIANS($A223)))</f>
        <v>5.3745224921851387</v>
      </c>
      <c r="AT223" s="95">
        <f>Geraetedaten!$B$94*ABS(COS(RADIANS($A223)))</f>
        <v>153.90618736094075</v>
      </c>
      <c r="AU223" s="95">
        <f>((h_Aw_Sw+Geraetedaten!$B$18)/1000)*(AQ223*AS223+AR223*AT223)/100</f>
        <v>0</v>
      </c>
    </row>
    <row r="224" spans="1:47" ht="13.5" x14ac:dyDescent="0.25">
      <c r="A224" s="16">
        <v>183</v>
      </c>
      <c r="B224" s="16">
        <f t="shared" si="177"/>
        <v>267</v>
      </c>
      <c r="C224" s="19">
        <f t="shared" si="178"/>
        <v>33.231649477491864</v>
      </c>
      <c r="D224" s="17">
        <f t="shared" si="179"/>
        <v>125425.33755052251</v>
      </c>
      <c r="E224" s="17">
        <f t="shared" si="180"/>
        <v>8557.7123905225089</v>
      </c>
      <c r="F224" s="17">
        <f t="shared" si="181"/>
        <v>-127598.78868947749</v>
      </c>
      <c r="G224" s="17">
        <f t="shared" si="182"/>
        <v>-9092.9805294774906</v>
      </c>
      <c r="H224" s="17">
        <f t="shared" si="183"/>
        <v>8557.7123905225089</v>
      </c>
      <c r="I224" s="17">
        <f t="shared" si="184"/>
        <v>832.35802529401246</v>
      </c>
      <c r="J224" s="20">
        <f>(Geraetedaten!$B$152+(Geraetedaten!$B$153*(Geraetedaten!$B$18+d_y_Sw)/1000))*10</f>
        <v>6051.0442000000003</v>
      </c>
      <c r="K224" s="20">
        <f>(Geraetedaten!$B$165+(Geraetedaten!$B$166*(Geraetedaten!$B$18+d_y_Sw)/1000))*10</f>
        <v>10816.164000000001</v>
      </c>
      <c r="L224" s="20">
        <f>(Geraetedaten!$B$158+(Geraetedaten!$B$159*(Geraetedaten!$B$18+d_y_Sw)/1000)-(Geraetedaten!$B$160*I224/1000))*10</f>
        <v>540.49978600518989</v>
      </c>
      <c r="M224" s="20">
        <f>(Geraetedaten!$B$171+(Geraetedaten!$B$172*(Geraetedaten!$B$18+d_y_Sw)/1000)-(Geraetedaten!$B$173*I224/1000))*10</f>
        <v>1002.9062685971146</v>
      </c>
      <c r="N224" s="20">
        <f>IF((H224-J224)/(K224-J224)*(Geraetedaten!$B$174-Geraetedaten!$B$161)&lt;Geraetedaten!$B$174,(H224-J224)/(K224-J224)*(Geraetedaten!$B$174-Geraetedaten!$B$161),Geraetedaten!$B$174)</f>
        <v>210.41806256560506</v>
      </c>
      <c r="O224" s="20">
        <f>N224/Geraetedaten!$B$174*(M224-L224)+L224+C224</f>
        <v>816.97812594460413</v>
      </c>
      <c r="P224" s="20">
        <f t="shared" si="185"/>
        <v>240.5023301062493</v>
      </c>
      <c r="Q224" s="21">
        <f>(N224-Geraetedaten!$B$161)/(Geraetedaten!$B$174-Geraetedaten!$B$161)*(Geraetedaten!$B$175-Geraetedaten!$B$162)+Geraetedaten!$B$162</f>
        <v>35.459937361326752</v>
      </c>
      <c r="R224" s="21">
        <f t="shared" si="186"/>
        <v>35.459937361326752</v>
      </c>
      <c r="S224" s="21">
        <f t="shared" si="187"/>
        <v>-1.8558297301199163</v>
      </c>
      <c r="T224" s="88">
        <f t="shared" si="188"/>
        <v>-35.411340749568062</v>
      </c>
      <c r="U224" s="86">
        <f t="shared" si="189"/>
        <v>125458.5692</v>
      </c>
      <c r="V224" s="85">
        <f t="shared" si="190"/>
        <v>-2683.3128092763232</v>
      </c>
      <c r="W224" s="85">
        <f t="shared" si="191"/>
        <v>50230.216482827789</v>
      </c>
      <c r="X224" s="90">
        <f t="shared" si="192"/>
        <v>2683.3128092763232</v>
      </c>
      <c r="Y224" s="86">
        <f t="shared" si="193"/>
        <v>8590.9440400000003</v>
      </c>
      <c r="Z224" s="85">
        <f t="shared" si="194"/>
        <v>-832.16398485565549</v>
      </c>
      <c r="AA224" s="85">
        <f t="shared" si="195"/>
        <v>832.35802529401246</v>
      </c>
      <c r="AB224" s="90">
        <f t="shared" si="196"/>
        <v>832.16398485565549</v>
      </c>
      <c r="AC224" s="86">
        <f t="shared" si="197"/>
        <v>-127565.55704</v>
      </c>
      <c r="AD224" s="85">
        <f t="shared" si="198"/>
        <v>2598.140025222212</v>
      </c>
      <c r="AE224" s="85">
        <f t="shared" si="199"/>
        <v>-50317.609462295542</v>
      </c>
      <c r="AF224" s="90">
        <f t="shared" si="200"/>
        <v>2598.140025222212</v>
      </c>
      <c r="AG224" s="86">
        <f t="shared" si="201"/>
        <v>-9059.7488799999992</v>
      </c>
      <c r="AH224" s="85">
        <f t="shared" si="202"/>
        <v>6183.1314163678471</v>
      </c>
      <c r="AI224" s="85">
        <f t="shared" si="203"/>
        <v>-6195.1056313604022</v>
      </c>
      <c r="AJ224" s="90">
        <f t="shared" si="204"/>
        <v>6183.1314163678471</v>
      </c>
      <c r="AL224" s="95">
        <f t="shared" si="205"/>
        <v>0</v>
      </c>
      <c r="AM224" s="95">
        <f t="shared" si="206"/>
        <v>0</v>
      </c>
      <c r="AN224" s="95">
        <f t="shared" si="207"/>
        <v>0</v>
      </c>
      <c r="AO224" s="95">
        <f t="shared" si="208"/>
        <v>0</v>
      </c>
      <c r="AP224"/>
      <c r="AQ224" s="95">
        <f t="shared" si="209"/>
        <v>0</v>
      </c>
      <c r="AR224" s="95">
        <f t="shared" si="210"/>
        <v>0</v>
      </c>
      <c r="AS224" s="95">
        <f>Geraetedaten!$B$94*ABS(SIN(RADIANS($A224)))</f>
        <v>8.0597372614133072</v>
      </c>
      <c r="AT224" s="95">
        <f>Geraetedaten!$B$94*ABS(COS(RADIANS($A224)))</f>
        <v>153.78894835220436</v>
      </c>
      <c r="AU224" s="95">
        <f>((h_Aw_Sw+Geraetedaten!$B$18)/1000)*(AQ224*AS224+AR224*AT224)/100</f>
        <v>0</v>
      </c>
    </row>
    <row r="225" spans="1:47" ht="13.5" x14ac:dyDescent="0.25">
      <c r="A225" s="16">
        <v>184</v>
      </c>
      <c r="B225" s="16">
        <f t="shared" si="177"/>
        <v>266</v>
      </c>
      <c r="C225" s="19">
        <f t="shared" si="178"/>
        <v>34.306782372021964</v>
      </c>
      <c r="D225" s="17">
        <f t="shared" si="179"/>
        <v>94574.208617627984</v>
      </c>
      <c r="E225" s="17">
        <f t="shared" si="180"/>
        <v>8561.1861176279781</v>
      </c>
      <c r="F225" s="17">
        <f t="shared" si="181"/>
        <v>-95418.000982372017</v>
      </c>
      <c r="G225" s="17">
        <f t="shared" si="182"/>
        <v>-9105.2944323720203</v>
      </c>
      <c r="H225" s="17">
        <f t="shared" si="183"/>
        <v>8561.1861176279781</v>
      </c>
      <c r="I225" s="17">
        <f t="shared" si="184"/>
        <v>832.79875449420229</v>
      </c>
      <c r="J225" s="20">
        <f>(Geraetedaten!$B$152+(Geraetedaten!$B$153*(Geraetedaten!$B$18+d_y_Sw)/1000))*10</f>
        <v>6051.0442000000003</v>
      </c>
      <c r="K225" s="20">
        <f>(Geraetedaten!$B$165+(Geraetedaten!$B$166*(Geraetedaten!$B$18+d_y_Sw)/1000))*10</f>
        <v>10816.164000000001</v>
      </c>
      <c r="L225" s="20">
        <f>(Geraetedaten!$B$158+(Geraetedaten!$B$159*(Geraetedaten!$B$18+d_y_Sw)/1000)-(Geraetedaten!$B$160*I225/1000))*10</f>
        <v>540.4674673329398</v>
      </c>
      <c r="M225" s="20">
        <f>(Geraetedaten!$B$171+(Geraetedaten!$B$172*(Geraetedaten!$B$18+d_y_Sw)/1000)-(Geraetedaten!$B$173*I225/1000))*10</f>
        <v>1002.8734607154526</v>
      </c>
      <c r="N225" s="20">
        <f>IF((H225-J225)/(K225-J225)*(Geraetedaten!$B$174-Geraetedaten!$B$161)&lt;Geraetedaten!$B$174,(H225-J225)/(K225-J225)*(Geraetedaten!$B$174-Geraetedaten!$B$161),Geraetedaten!$B$174)</f>
        <v>210.70965876895497</v>
      </c>
      <c r="O225" s="20">
        <f>N225/Geraetedaten!$B$174*(M225-L225)+L225+C225</f>
        <v>818.35777240083405</v>
      </c>
      <c r="P225" s="20">
        <f t="shared" si="185"/>
        <v>240.85119779325157</v>
      </c>
      <c r="Q225" s="21">
        <f>(N225-Geraetedaten!$B$161)/(Geraetedaten!$B$174-Geraetedaten!$B$161)*(Geraetedaten!$B$175-Geraetedaten!$B$162)+Geraetedaten!$B$162</f>
        <v>35.468612348376411</v>
      </c>
      <c r="R225" s="21">
        <f t="shared" si="186"/>
        <v>35.468612348376411</v>
      </c>
      <c r="S225" s="21">
        <f t="shared" si="187"/>
        <v>-2.4741653260200764</v>
      </c>
      <c r="T225" s="88">
        <f t="shared" si="188"/>
        <v>-35.38221259134199</v>
      </c>
      <c r="U225" s="86">
        <f t="shared" si="189"/>
        <v>94608.515400000004</v>
      </c>
      <c r="V225" s="85">
        <f t="shared" si="190"/>
        <v>-2683.3128092763232</v>
      </c>
      <c r="W225" s="85">
        <f t="shared" si="191"/>
        <v>37878.689674617213</v>
      </c>
      <c r="X225" s="90">
        <f t="shared" si="192"/>
        <v>2683.3128092763232</v>
      </c>
      <c r="Y225" s="86">
        <f t="shared" si="193"/>
        <v>8595.4928999999993</v>
      </c>
      <c r="Z225" s="85">
        <f t="shared" si="194"/>
        <v>-832.16398485565549</v>
      </c>
      <c r="AA225" s="85">
        <f t="shared" si="195"/>
        <v>832.79875449420229</v>
      </c>
      <c r="AB225" s="90">
        <f t="shared" si="196"/>
        <v>832.16398485565549</v>
      </c>
      <c r="AC225" s="86">
        <f t="shared" si="197"/>
        <v>-95383.694199999998</v>
      </c>
      <c r="AD225" s="85">
        <f t="shared" si="198"/>
        <v>2598.140025222212</v>
      </c>
      <c r="AE225" s="85">
        <f t="shared" si="199"/>
        <v>-37623.631214433582</v>
      </c>
      <c r="AF225" s="90">
        <f t="shared" si="200"/>
        <v>2598.140025222212</v>
      </c>
      <c r="AG225" s="86">
        <f t="shared" si="201"/>
        <v>-9070.9876499999991</v>
      </c>
      <c r="AH225" s="85">
        <f t="shared" si="202"/>
        <v>6183.1314163678471</v>
      </c>
      <c r="AI225" s="85">
        <f t="shared" si="203"/>
        <v>-6202.7907654729215</v>
      </c>
      <c r="AJ225" s="90">
        <f t="shared" si="204"/>
        <v>6183.1314163678471</v>
      </c>
      <c r="AL225" s="95">
        <f t="shared" si="205"/>
        <v>0</v>
      </c>
      <c r="AM225" s="95">
        <f t="shared" si="206"/>
        <v>0</v>
      </c>
      <c r="AN225" s="95">
        <f t="shared" si="207"/>
        <v>0</v>
      </c>
      <c r="AO225" s="95">
        <f t="shared" si="208"/>
        <v>0</v>
      </c>
      <c r="AP225"/>
      <c r="AQ225" s="95">
        <f t="shared" si="209"/>
        <v>0</v>
      </c>
      <c r="AR225" s="95">
        <f t="shared" si="210"/>
        <v>0</v>
      </c>
      <c r="AS225" s="95">
        <f>Geraetedaten!$B$94*ABS(SIN(RADIANS($A225)))</f>
        <v>10.742496956595293</v>
      </c>
      <c r="AT225" s="95">
        <f>Geraetedaten!$B$94*ABS(COS(RADIANS($A225)))</f>
        <v>153.62486374001293</v>
      </c>
      <c r="AU225" s="95">
        <f>((h_Aw_Sw+Geraetedaten!$B$18)/1000)*(AQ225*AS225+AR225*AT225)/100</f>
        <v>0</v>
      </c>
    </row>
    <row r="226" spans="1:47" ht="13.5" x14ac:dyDescent="0.25">
      <c r="A226" s="16">
        <v>185</v>
      </c>
      <c r="B226" s="16">
        <f t="shared" si="177"/>
        <v>265</v>
      </c>
      <c r="C226" s="19">
        <f t="shared" si="178"/>
        <v>35.371465088304255</v>
      </c>
      <c r="D226" s="17">
        <f t="shared" si="179"/>
        <v>75919.181904911689</v>
      </c>
      <c r="E226" s="17">
        <f t="shared" si="180"/>
        <v>8567.2969649116949</v>
      </c>
      <c r="F226" s="17">
        <f t="shared" si="181"/>
        <v>-76222.107585088306</v>
      </c>
      <c r="G226" s="17">
        <f t="shared" si="182"/>
        <v>-9120.3966350883056</v>
      </c>
      <c r="H226" s="17">
        <f t="shared" si="183"/>
        <v>8567.2969649116949</v>
      </c>
      <c r="I226" s="17">
        <f t="shared" si="184"/>
        <v>833.49397551324228</v>
      </c>
      <c r="J226" s="20">
        <f>(Geraetedaten!$B$152+(Geraetedaten!$B$153*(Geraetedaten!$B$18+d_y_Sw)/1000))*10</f>
        <v>6051.0442000000003</v>
      </c>
      <c r="K226" s="20">
        <f>(Geraetedaten!$B$165+(Geraetedaten!$B$166*(Geraetedaten!$B$18+d_y_Sw)/1000))*10</f>
        <v>10816.164000000001</v>
      </c>
      <c r="L226" s="20">
        <f>(Geraetedaten!$B$158+(Geraetedaten!$B$159*(Geraetedaten!$B$18+d_y_Sw)/1000)-(Geraetedaten!$B$160*I226/1000))*10</f>
        <v>540.41648677561375</v>
      </c>
      <c r="M226" s="20">
        <f>(Geraetedaten!$B$171+(Geraetedaten!$B$172*(Geraetedaten!$B$18+d_y_Sw)/1000)-(Geraetedaten!$B$173*I226/1000))*10</f>
        <v>1002.8217084627953</v>
      </c>
      <c r="N226" s="20">
        <f>IF((H226-J226)/(K226-J226)*(Geraetedaten!$B$174-Geraetedaten!$B$161)&lt;Geraetedaten!$B$174,(H226-J226)/(K226-J226)*(Geraetedaten!$B$174-Geraetedaten!$B$161),Geraetedaten!$B$174)</f>
        <v>211.22262360847208</v>
      </c>
      <c r="O226" s="20">
        <f>N226/Geraetedaten!$B$174*(M226-L226)+L226+C226</f>
        <v>819.96406210147711</v>
      </c>
      <c r="P226" s="20">
        <f t="shared" si="185"/>
        <v>241.22250366034172</v>
      </c>
      <c r="Q226" s="21">
        <f>(N226-Geraetedaten!$B$161)/(Geraetedaten!$B$174-Geraetedaten!$B$161)*(Geraetedaten!$B$175-Geraetedaten!$B$162)+Geraetedaten!$B$162</f>
        <v>35.483873052352045</v>
      </c>
      <c r="R226" s="21">
        <f t="shared" si="186"/>
        <v>35.483873052352045</v>
      </c>
      <c r="S226" s="21">
        <f t="shared" si="187"/>
        <v>-3.0926233114413471</v>
      </c>
      <c r="T226" s="88">
        <f t="shared" si="188"/>
        <v>-35.34884620251367</v>
      </c>
      <c r="U226" s="86">
        <f t="shared" si="189"/>
        <v>75954.553369999994</v>
      </c>
      <c r="V226" s="85">
        <f t="shared" si="190"/>
        <v>-2683.3128092763232</v>
      </c>
      <c r="W226" s="85">
        <f t="shared" si="191"/>
        <v>30410.148011094789</v>
      </c>
      <c r="X226" s="90">
        <f t="shared" si="192"/>
        <v>2683.3128092763232</v>
      </c>
      <c r="Y226" s="86">
        <f t="shared" si="193"/>
        <v>8602.6684299999997</v>
      </c>
      <c r="Z226" s="85">
        <f t="shared" si="194"/>
        <v>-832.16398485565549</v>
      </c>
      <c r="AA226" s="85">
        <f t="shared" si="195"/>
        <v>833.49397551324228</v>
      </c>
      <c r="AB226" s="90">
        <f t="shared" si="196"/>
        <v>832.16398485565549</v>
      </c>
      <c r="AC226" s="86">
        <f t="shared" si="197"/>
        <v>-76186.736120000001</v>
      </c>
      <c r="AD226" s="85">
        <f t="shared" si="198"/>
        <v>2598.140025222212</v>
      </c>
      <c r="AE226" s="85">
        <f t="shared" si="199"/>
        <v>-30051.485081976713</v>
      </c>
      <c r="AF226" s="90">
        <f t="shared" si="200"/>
        <v>2598.140025222212</v>
      </c>
      <c r="AG226" s="86">
        <f t="shared" si="201"/>
        <v>-9085.0251700000008</v>
      </c>
      <c r="AH226" s="85">
        <f t="shared" si="202"/>
        <v>6183.1314163678471</v>
      </c>
      <c r="AI226" s="85">
        <f t="shared" si="203"/>
        <v>-6212.3896948425663</v>
      </c>
      <c r="AJ226" s="90">
        <f t="shared" si="204"/>
        <v>6183.1314163678471</v>
      </c>
      <c r="AL226" s="95">
        <f t="shared" si="205"/>
        <v>0</v>
      </c>
      <c r="AM226" s="95">
        <f t="shared" si="206"/>
        <v>0</v>
      </c>
      <c r="AN226" s="95">
        <f t="shared" si="207"/>
        <v>0</v>
      </c>
      <c r="AO226" s="95">
        <f t="shared" si="208"/>
        <v>0</v>
      </c>
      <c r="AP226"/>
      <c r="AQ226" s="95">
        <f t="shared" si="209"/>
        <v>0</v>
      </c>
      <c r="AR226" s="95">
        <f t="shared" si="210"/>
        <v>0</v>
      </c>
      <c r="AS226" s="95">
        <f>Geraetedaten!$B$94*ABS(SIN(RADIANS($A226)))</f>
        <v>13.421984383139323</v>
      </c>
      <c r="AT226" s="95">
        <f>Geraetedaten!$B$94*ABS(COS(RADIANS($A226)))</f>
        <v>153.4139835061288</v>
      </c>
      <c r="AU226" s="95">
        <f>((h_Aw_Sw+Geraetedaten!$B$18)/1000)*(AQ226*AS226+AR226*AT226)/100</f>
        <v>0</v>
      </c>
    </row>
    <row r="227" spans="1:47" ht="13.5" x14ac:dyDescent="0.25">
      <c r="A227" s="16">
        <v>186</v>
      </c>
      <c r="B227" s="16">
        <f t="shared" si="177"/>
        <v>264</v>
      </c>
      <c r="C227" s="19">
        <f t="shared" si="178"/>
        <v>36.425373313669596</v>
      </c>
      <c r="D227" s="17">
        <f t="shared" si="179"/>
        <v>63424.807006686329</v>
      </c>
      <c r="E227" s="17">
        <f t="shared" si="180"/>
        <v>8576.0562066863295</v>
      </c>
      <c r="F227" s="17">
        <f t="shared" si="181"/>
        <v>-63474.845263313669</v>
      </c>
      <c r="G227" s="17">
        <f t="shared" si="182"/>
        <v>-9138.3083933136695</v>
      </c>
      <c r="H227" s="17">
        <f t="shared" si="183"/>
        <v>8576.0562066863295</v>
      </c>
      <c r="I227" s="17">
        <f t="shared" si="184"/>
        <v>834.44475056549561</v>
      </c>
      <c r="J227" s="20">
        <f>(Geraetedaten!$B$152+(Geraetedaten!$B$153*(Geraetedaten!$B$18+d_y_Sw)/1000))*10</f>
        <v>6051.0442000000003</v>
      </c>
      <c r="K227" s="20">
        <f>(Geraetedaten!$B$165+(Geraetedaten!$B$166*(Geraetedaten!$B$18+d_y_Sw)/1000))*10</f>
        <v>10816.164000000001</v>
      </c>
      <c r="L227" s="20">
        <f>(Geraetedaten!$B$158+(Geraetedaten!$B$159*(Geraetedaten!$B$18+d_y_Sw)/1000)-(Geraetedaten!$B$160*I227/1000))*10</f>
        <v>540.34676644103195</v>
      </c>
      <c r="M227" s="20">
        <f>(Geraetedaten!$B$171+(Geraetedaten!$B$172*(Geraetedaten!$B$18+d_y_Sw)/1000)-(Geraetedaten!$B$173*I227/1000))*10</f>
        <v>1002.7509327679054</v>
      </c>
      <c r="N227" s="20">
        <f>IF((H227-J227)/(K227-J227)*(Geraetedaten!$B$174-Geraetedaten!$B$161)&lt;Geraetedaten!$B$174,(H227-J227)/(K227-J227)*(Geraetedaten!$B$174-Geraetedaten!$B$161),Geraetedaten!$B$174)</f>
        <v>211.95790348744885</v>
      </c>
      <c r="O227" s="20">
        <f>N227/Geraetedaten!$B$174*(M227-L227)+L227+C227</f>
        <v>821.79768390096581</v>
      </c>
      <c r="P227" s="20">
        <f t="shared" si="185"/>
        <v>241.61602974202165</v>
      </c>
      <c r="Q227" s="21">
        <f>(N227-Geraetedaten!$B$161)/(Geraetedaten!$B$174-Geraetedaten!$B$161)*(Geraetedaten!$B$175-Geraetedaten!$B$162)+Geraetedaten!$B$162</f>
        <v>35.505747628751607</v>
      </c>
      <c r="R227" s="21">
        <f t="shared" si="186"/>
        <v>35.505747628751607</v>
      </c>
      <c r="S227" s="21">
        <f t="shared" si="187"/>
        <v>-3.7113612368025377</v>
      </c>
      <c r="T227" s="88">
        <f t="shared" si="188"/>
        <v>-35.311243428213622</v>
      </c>
      <c r="U227" s="86">
        <f t="shared" si="189"/>
        <v>63461.232380000001</v>
      </c>
      <c r="V227" s="85">
        <f t="shared" si="190"/>
        <v>-2683.3128092763232</v>
      </c>
      <c r="W227" s="85">
        <f t="shared" si="191"/>
        <v>25408.160328846589</v>
      </c>
      <c r="X227" s="90">
        <f t="shared" si="192"/>
        <v>2683.3128092763232</v>
      </c>
      <c r="Y227" s="86">
        <f t="shared" si="193"/>
        <v>8612.4815799999997</v>
      </c>
      <c r="Z227" s="85">
        <f t="shared" si="194"/>
        <v>-832.16398485565549</v>
      </c>
      <c r="AA227" s="85">
        <f t="shared" si="195"/>
        <v>834.44475056549561</v>
      </c>
      <c r="AB227" s="90">
        <f t="shared" si="196"/>
        <v>832.16398485565549</v>
      </c>
      <c r="AC227" s="86">
        <f t="shared" si="197"/>
        <v>-63438.419889999997</v>
      </c>
      <c r="AD227" s="85">
        <f t="shared" si="198"/>
        <v>2598.140025222212</v>
      </c>
      <c r="AE227" s="85">
        <f t="shared" si="199"/>
        <v>-25022.97415639853</v>
      </c>
      <c r="AF227" s="90">
        <f t="shared" si="200"/>
        <v>2598.140025222212</v>
      </c>
      <c r="AG227" s="86">
        <f t="shared" si="201"/>
        <v>-9101.8830199999993</v>
      </c>
      <c r="AH227" s="85">
        <f t="shared" si="202"/>
        <v>6183.1314163678471</v>
      </c>
      <c r="AI227" s="85">
        <f t="shared" si="203"/>
        <v>-6223.9171831869635</v>
      </c>
      <c r="AJ227" s="90">
        <f t="shared" si="204"/>
        <v>6183.1314163678471</v>
      </c>
      <c r="AL227" s="95">
        <f t="shared" si="205"/>
        <v>0</v>
      </c>
      <c r="AM227" s="95">
        <f t="shared" si="206"/>
        <v>0</v>
      </c>
      <c r="AN227" s="95">
        <f t="shared" si="207"/>
        <v>0</v>
      </c>
      <c r="AO227" s="95">
        <f t="shared" si="208"/>
        <v>0</v>
      </c>
      <c r="AP227"/>
      <c r="AQ227" s="95">
        <f t="shared" si="209"/>
        <v>0</v>
      </c>
      <c r="AR227" s="95">
        <f t="shared" si="210"/>
        <v>0</v>
      </c>
      <c r="AS227" s="95">
        <f>Geraetedaten!$B$94*ABS(SIN(RADIANS($A227)))</f>
        <v>16.097383343218638</v>
      </c>
      <c r="AT227" s="95">
        <f>Geraetedaten!$B$94*ABS(COS(RADIANS($A227)))</f>
        <v>153.15637188671408</v>
      </c>
      <c r="AU227" s="95">
        <f>((h_Aw_Sw+Geraetedaten!$B$18)/1000)*(AQ227*AS227+AR227*AT227)/100</f>
        <v>0</v>
      </c>
    </row>
    <row r="228" spans="1:47" ht="13.5" x14ac:dyDescent="0.25">
      <c r="A228" s="16">
        <v>187</v>
      </c>
      <c r="B228" s="16">
        <f t="shared" si="177"/>
        <v>263</v>
      </c>
      <c r="C228" s="19">
        <f t="shared" si="178"/>
        <v>37.468186017463054</v>
      </c>
      <c r="D228" s="17">
        <f t="shared" si="179"/>
        <v>54474.082293982538</v>
      </c>
      <c r="E228" s="17">
        <f t="shared" si="180"/>
        <v>8587.479203982537</v>
      </c>
      <c r="F228" s="17">
        <f t="shared" si="181"/>
        <v>-54396.548786017462</v>
      </c>
      <c r="G228" s="17">
        <f t="shared" si="182"/>
        <v>-9159.0554160174615</v>
      </c>
      <c r="H228" s="17">
        <f t="shared" si="183"/>
        <v>8587.479203982537</v>
      </c>
      <c r="I228" s="17">
        <f t="shared" si="184"/>
        <v>835.65253576691953</v>
      </c>
      <c r="J228" s="20">
        <f>(Geraetedaten!$B$152+(Geraetedaten!$B$153*(Geraetedaten!$B$18+d_y_Sw)/1000))*10</f>
        <v>6051.0442000000003</v>
      </c>
      <c r="K228" s="20">
        <f>(Geraetedaten!$B$165+(Geraetedaten!$B$166*(Geraetedaten!$B$18+d_y_Sw)/1000))*10</f>
        <v>10816.164000000001</v>
      </c>
      <c r="L228" s="20">
        <f>(Geraetedaten!$B$158+(Geraetedaten!$B$159*(Geraetedaten!$B$18+d_y_Sw)/1000)-(Geraetedaten!$B$160*I228/1000))*10</f>
        <v>540.25819955221152</v>
      </c>
      <c r="M228" s="20">
        <f>(Geraetedaten!$B$171+(Geraetedaten!$B$172*(Geraetedaten!$B$18+d_y_Sw)/1000)-(Geraetedaten!$B$173*I228/1000))*10</f>
        <v>1002.6610252375115</v>
      </c>
      <c r="N228" s="20">
        <f>IF((H228-J228)/(K228-J228)*(Geraetedaten!$B$174-Geraetedaten!$B$161)&lt;Geraetedaten!$B$174,(H228-J228)/(K228-J228)*(Geraetedaten!$B$174-Geraetedaten!$B$161),Geraetedaten!$B$174)</f>
        <v>212.91678786187381</v>
      </c>
      <c r="O228" s="20">
        <f>N228/Geraetedaten!$B$174*(M228-L228)+L228+C228</f>
        <v>823.8596964275946</v>
      </c>
      <c r="P228" s="20">
        <f t="shared" si="185"/>
        <v>242.03157308500141</v>
      </c>
      <c r="Q228" s="21">
        <f>(N228-Geraetedaten!$B$161)/(Geraetedaten!$B$174-Geraetedaten!$B$161)*(Geraetedaten!$B$175-Geraetedaten!$B$162)+Geraetedaten!$B$162</f>
        <v>35.534274438890748</v>
      </c>
      <c r="R228" s="21">
        <f t="shared" si="186"/>
        <v>35.534274438890748</v>
      </c>
      <c r="S228" s="21">
        <f t="shared" si="187"/>
        <v>-4.3305386942459245</v>
      </c>
      <c r="T228" s="88">
        <f t="shared" si="188"/>
        <v>-35.269407345687611</v>
      </c>
      <c r="U228" s="86">
        <f t="shared" si="189"/>
        <v>54511.550479999998</v>
      </c>
      <c r="V228" s="85">
        <f t="shared" si="190"/>
        <v>-2683.3128092763232</v>
      </c>
      <c r="W228" s="85">
        <f t="shared" si="191"/>
        <v>21824.94985387045</v>
      </c>
      <c r="X228" s="90">
        <f t="shared" si="192"/>
        <v>2683.3128092763232</v>
      </c>
      <c r="Y228" s="86">
        <f t="shared" si="193"/>
        <v>8624.9473899999994</v>
      </c>
      <c r="Z228" s="85">
        <f t="shared" si="194"/>
        <v>-832.16398485565549</v>
      </c>
      <c r="AA228" s="85">
        <f t="shared" si="195"/>
        <v>835.65253576691953</v>
      </c>
      <c r="AB228" s="90">
        <f t="shared" si="196"/>
        <v>832.16398485565549</v>
      </c>
      <c r="AC228" s="86">
        <f t="shared" si="197"/>
        <v>-54359.080600000001</v>
      </c>
      <c r="AD228" s="85">
        <f t="shared" si="198"/>
        <v>2598.140025222212</v>
      </c>
      <c r="AE228" s="85">
        <f t="shared" si="199"/>
        <v>-21441.673223496928</v>
      </c>
      <c r="AF228" s="90">
        <f t="shared" si="200"/>
        <v>2598.140025222212</v>
      </c>
      <c r="AG228" s="86">
        <f t="shared" si="201"/>
        <v>-9121.5872299999992</v>
      </c>
      <c r="AH228" s="85">
        <f t="shared" si="202"/>
        <v>6183.1314163678471</v>
      </c>
      <c r="AI228" s="85">
        <f t="shared" si="203"/>
        <v>-6237.3910328524262</v>
      </c>
      <c r="AJ228" s="90">
        <f t="shared" si="204"/>
        <v>6183.1314163678471</v>
      </c>
      <c r="AL228" s="95">
        <f t="shared" si="205"/>
        <v>0</v>
      </c>
      <c r="AM228" s="95">
        <f t="shared" si="206"/>
        <v>0</v>
      </c>
      <c r="AN228" s="95">
        <f t="shared" si="207"/>
        <v>0</v>
      </c>
      <c r="AO228" s="95">
        <f t="shared" si="208"/>
        <v>0</v>
      </c>
      <c r="AP228"/>
      <c r="AQ228" s="95">
        <f t="shared" si="209"/>
        <v>0</v>
      </c>
      <c r="AR228" s="95">
        <f t="shared" si="210"/>
        <v>0</v>
      </c>
      <c r="AS228" s="95">
        <f>Geraetedaten!$B$94*ABS(SIN(RADIANS($A228)))</f>
        <v>18.767878884392687</v>
      </c>
      <c r="AT228" s="95">
        <f>Geraetedaten!$B$94*ABS(COS(RADIANS($A228)))</f>
        <v>152.8521073527636</v>
      </c>
      <c r="AU228" s="95">
        <f>((h_Aw_Sw+Geraetedaten!$B$18)/1000)*(AQ228*AS228+AR228*AT228)/100</f>
        <v>0</v>
      </c>
    </row>
    <row r="229" spans="1:47" ht="13.5" x14ac:dyDescent="0.25">
      <c r="A229" s="16">
        <v>188</v>
      </c>
      <c r="B229" s="16">
        <f t="shared" si="177"/>
        <v>262</v>
      </c>
      <c r="C229" s="19">
        <f t="shared" si="178"/>
        <v>38.499585548833146</v>
      </c>
      <c r="D229" s="17">
        <f t="shared" si="179"/>
        <v>47748.41169445117</v>
      </c>
      <c r="E229" s="17">
        <f t="shared" si="180"/>
        <v>8601.5854144511668</v>
      </c>
      <c r="F229" s="17">
        <f t="shared" si="181"/>
        <v>-47604.411455548834</v>
      </c>
      <c r="G229" s="17">
        <f t="shared" si="182"/>
        <v>-9182.6679755488331</v>
      </c>
      <c r="H229" s="17">
        <f t="shared" si="183"/>
        <v>8601.5854144511668</v>
      </c>
      <c r="I229" s="17">
        <f t="shared" si="184"/>
        <v>837.11918659227251</v>
      </c>
      <c r="J229" s="20">
        <f>(Geraetedaten!$B$152+(Geraetedaten!$B$153*(Geraetedaten!$B$18+d_y_Sw)/1000))*10</f>
        <v>6051.0442000000003</v>
      </c>
      <c r="K229" s="20">
        <f>(Geraetedaten!$B$165+(Geraetedaten!$B$166*(Geraetedaten!$B$18+d_y_Sw)/1000))*10</f>
        <v>10816.164000000001</v>
      </c>
      <c r="L229" s="20">
        <f>(Geraetedaten!$B$158+(Geraetedaten!$B$159*(Geraetedaten!$B$18+d_y_Sw)/1000)-(Geraetedaten!$B$160*I229/1000))*10</f>
        <v>540.15065004718838</v>
      </c>
      <c r="M229" s="20">
        <f>(Geraetedaten!$B$171+(Geraetedaten!$B$172*(Geraetedaten!$B$18+d_y_Sw)/1000)-(Geraetedaten!$B$173*I229/1000))*10</f>
        <v>1002.5518477500723</v>
      </c>
      <c r="N229" s="20">
        <f>IF((H229-J229)/(K229-J229)*(Geraetedaten!$B$174-Geraetedaten!$B$161)&lt;Geraetedaten!$B$174,(H229-J229)/(K229-J229)*(Geraetedaten!$B$174-Geraetedaten!$B$161),Geraetedaten!$B$174)</f>
        <v>214.10091007165582</v>
      </c>
      <c r="O229" s="20">
        <f>N229/Geraetedaten!$B$174*(M229-L229)+L229+C229</f>
        <v>826.15152871204918</v>
      </c>
      <c r="P229" s="20">
        <f t="shared" si="185"/>
        <v>242.46894533485349</v>
      </c>
      <c r="Q229" s="21">
        <f>(N229-Geraetedaten!$B$161)/(Geraetedaten!$B$174-Geraetedaten!$B$161)*(Geraetedaten!$B$175-Geraetedaten!$B$162)+Geraetedaten!$B$162</f>
        <v>35.569502074631764</v>
      </c>
      <c r="R229" s="21">
        <f t="shared" si="186"/>
        <v>35.569502074631764</v>
      </c>
      <c r="S229" s="21">
        <f t="shared" si="187"/>
        <v>-4.9503179033319862</v>
      </c>
      <c r="T229" s="88">
        <f t="shared" si="188"/>
        <v>-35.223342125544875</v>
      </c>
      <c r="U229" s="86">
        <f t="shared" si="189"/>
        <v>47786.91128</v>
      </c>
      <c r="V229" s="85">
        <f t="shared" si="190"/>
        <v>-2683.3128092763232</v>
      </c>
      <c r="W229" s="85">
        <f t="shared" si="191"/>
        <v>19132.586273142264</v>
      </c>
      <c r="X229" s="90">
        <f t="shared" si="192"/>
        <v>2683.3128092763232</v>
      </c>
      <c r="Y229" s="86">
        <f t="shared" si="193"/>
        <v>8640.0849999999991</v>
      </c>
      <c r="Z229" s="85">
        <f t="shared" si="194"/>
        <v>-832.16398485565549</v>
      </c>
      <c r="AA229" s="85">
        <f t="shared" si="195"/>
        <v>837.11918659227251</v>
      </c>
      <c r="AB229" s="90">
        <f t="shared" si="196"/>
        <v>832.16398485565549</v>
      </c>
      <c r="AC229" s="86">
        <f t="shared" si="197"/>
        <v>-47565.911870000004</v>
      </c>
      <c r="AD229" s="85">
        <f t="shared" si="198"/>
        <v>2598.140025222212</v>
      </c>
      <c r="AE229" s="85">
        <f t="shared" si="199"/>
        <v>-18762.141072074672</v>
      </c>
      <c r="AF229" s="90">
        <f t="shared" si="200"/>
        <v>2598.140025222212</v>
      </c>
      <c r="AG229" s="86">
        <f t="shared" si="201"/>
        <v>-9144.1683900000007</v>
      </c>
      <c r="AH229" s="85">
        <f t="shared" si="202"/>
        <v>6183.1314163678471</v>
      </c>
      <c r="AI229" s="85">
        <f t="shared" si="203"/>
        <v>-6252.8321523468776</v>
      </c>
      <c r="AJ229" s="90">
        <f t="shared" si="204"/>
        <v>6183.1314163678471</v>
      </c>
      <c r="AL229" s="95">
        <f t="shared" si="205"/>
        <v>0</v>
      </c>
      <c r="AM229" s="95">
        <f t="shared" si="206"/>
        <v>0</v>
      </c>
      <c r="AN229" s="95">
        <f t="shared" si="207"/>
        <v>0</v>
      </c>
      <c r="AO229" s="95">
        <f t="shared" si="208"/>
        <v>0</v>
      </c>
      <c r="AP229"/>
      <c r="AQ229" s="95">
        <f t="shared" si="209"/>
        <v>0</v>
      </c>
      <c r="AR229" s="95">
        <f t="shared" si="210"/>
        <v>0</v>
      </c>
      <c r="AS229" s="95">
        <f>Geraetedaten!$B$94*ABS(SIN(RADIANS($A229)))</f>
        <v>21.432657547850091</v>
      </c>
      <c r="AT229" s="95">
        <f>Geraetedaten!$B$94*ABS(COS(RADIANS($A229)))</f>
        <v>152.50128258620182</v>
      </c>
      <c r="AU229" s="95">
        <f>((h_Aw_Sw+Geraetedaten!$B$18)/1000)*(AQ229*AS229+AR229*AT229)/100</f>
        <v>0</v>
      </c>
    </row>
    <row r="230" spans="1:47" ht="13.5" x14ac:dyDescent="0.25">
      <c r="A230" s="16">
        <v>189</v>
      </c>
      <c r="B230" s="16">
        <f t="shared" si="177"/>
        <v>261</v>
      </c>
      <c r="C230" s="19">
        <f t="shared" si="178"/>
        <v>39.519257733491187</v>
      </c>
      <c r="D230" s="17">
        <f t="shared" si="179"/>
        <v>42511.220502266508</v>
      </c>
      <c r="E230" s="17">
        <f t="shared" si="180"/>
        <v>8618.398512266509</v>
      </c>
      <c r="F230" s="17">
        <f t="shared" si="181"/>
        <v>-42332.968357733487</v>
      </c>
      <c r="G230" s="17">
        <f t="shared" si="182"/>
        <v>-9209.1809877334908</v>
      </c>
      <c r="H230" s="17">
        <f t="shared" si="183"/>
        <v>8618.398512266509</v>
      </c>
      <c r="I230" s="17">
        <f t="shared" si="184"/>
        <v>838.84696486047767</v>
      </c>
      <c r="J230" s="20">
        <f>(Geraetedaten!$B$152+(Geraetedaten!$B$153*(Geraetedaten!$B$18+d_y_Sw)/1000))*10</f>
        <v>6051.0442000000003</v>
      </c>
      <c r="K230" s="20">
        <f>(Geraetedaten!$B$165+(Geraetedaten!$B$166*(Geraetedaten!$B$18+d_y_Sw)/1000))*10</f>
        <v>10816.164000000001</v>
      </c>
      <c r="L230" s="20">
        <f>(Geraetedaten!$B$158+(Geraetedaten!$B$159*(Geraetedaten!$B$18+d_y_Sw)/1000)-(Geraetedaten!$B$160*I230/1000))*10</f>
        <v>540.02395206678091</v>
      </c>
      <c r="M230" s="20">
        <f>(Geraetedaten!$B$171+(Geraetedaten!$B$172*(Geraetedaten!$B$18+d_y_Sw)/1000)-(Geraetedaten!$B$173*I230/1000))*10</f>
        <v>1002.423231935787</v>
      </c>
      <c r="N230" s="20">
        <f>IF((H230-J230)/(K230-J230)*(Geraetedaten!$B$174-Geraetedaten!$B$161)&lt;Geraetedaten!$B$174,(H230-J230)/(K230-J230)*(Geraetedaten!$B$174-Geraetedaten!$B$161),Geraetedaten!$B$174)</f>
        <v>215.51225740570121</v>
      </c>
      <c r="O230" s="20">
        <f>N230/Geraetedaten!$B$174*(M230-L230)+L230+C230</f>
        <v>828.67499136862239</v>
      </c>
      <c r="P230" s="20">
        <f t="shared" si="185"/>
        <v>242.92797337911108</v>
      </c>
      <c r="Q230" s="21">
        <f>(N230-Geraetedaten!$B$161)/(Geraetedaten!$B$174-Geraetedaten!$B$161)*(Geraetedaten!$B$175-Geraetedaten!$B$162)+Geraetedaten!$B$162</f>
        <v>35.611489657819611</v>
      </c>
      <c r="R230" s="21">
        <f t="shared" si="186"/>
        <v>35.611489657819611</v>
      </c>
      <c r="S230" s="21">
        <f t="shared" si="187"/>
        <v>-5.5708643339067203</v>
      </c>
      <c r="T230" s="88">
        <f t="shared" si="188"/>
        <v>-35.173053126252761</v>
      </c>
      <c r="U230" s="86">
        <f t="shared" si="189"/>
        <v>42550.739759999997</v>
      </c>
      <c r="V230" s="85">
        <f t="shared" si="190"/>
        <v>-2683.3128092763232</v>
      </c>
      <c r="W230" s="85">
        <f t="shared" si="191"/>
        <v>17036.164874967948</v>
      </c>
      <c r="X230" s="90">
        <f t="shared" si="192"/>
        <v>2683.3128092763232</v>
      </c>
      <c r="Y230" s="86">
        <f t="shared" si="193"/>
        <v>8657.91777</v>
      </c>
      <c r="Z230" s="85">
        <f t="shared" si="194"/>
        <v>-832.16398485565549</v>
      </c>
      <c r="AA230" s="85">
        <f t="shared" si="195"/>
        <v>838.84696486047767</v>
      </c>
      <c r="AB230" s="90">
        <f t="shared" si="196"/>
        <v>832.16398485565549</v>
      </c>
      <c r="AC230" s="86">
        <f t="shared" si="197"/>
        <v>-42293.449099999998</v>
      </c>
      <c r="AD230" s="85">
        <f t="shared" si="198"/>
        <v>2598.140025222212</v>
      </c>
      <c r="AE230" s="85">
        <f t="shared" si="199"/>
        <v>-16682.443945995758</v>
      </c>
      <c r="AF230" s="90">
        <f t="shared" si="200"/>
        <v>2598.140025222212</v>
      </c>
      <c r="AG230" s="86">
        <f t="shared" si="201"/>
        <v>-9169.6617299999998</v>
      </c>
      <c r="AH230" s="85">
        <f t="shared" si="202"/>
        <v>6183.1314163678471</v>
      </c>
      <c r="AI230" s="85">
        <f t="shared" si="203"/>
        <v>-6270.2646362098576</v>
      </c>
      <c r="AJ230" s="90">
        <f t="shared" si="204"/>
        <v>6183.1314163678471</v>
      </c>
      <c r="AL230" s="95">
        <f t="shared" si="205"/>
        <v>0</v>
      </c>
      <c r="AM230" s="95">
        <f t="shared" si="206"/>
        <v>0</v>
      </c>
      <c r="AN230" s="95">
        <f t="shared" si="207"/>
        <v>0</v>
      </c>
      <c r="AO230" s="95">
        <f t="shared" si="208"/>
        <v>0</v>
      </c>
      <c r="AP230"/>
      <c r="AQ230" s="95">
        <f t="shared" si="209"/>
        <v>0</v>
      </c>
      <c r="AR230" s="95">
        <f t="shared" si="210"/>
        <v>0</v>
      </c>
      <c r="AS230" s="95">
        <f>Geraetedaten!$B$94*ABS(SIN(RADIANS($A230)))</f>
        <v>24.090907616195533</v>
      </c>
      <c r="AT230" s="95">
        <f>Geraetedaten!$B$94*ABS(COS(RADIANS($A230)))</f>
        <v>152.10400445165121</v>
      </c>
      <c r="AU230" s="95">
        <f>((h_Aw_Sw+Geraetedaten!$B$18)/1000)*(AQ230*AS230+AR230*AT230)/100</f>
        <v>0</v>
      </c>
    </row>
    <row r="231" spans="1:47" ht="13.5" x14ac:dyDescent="0.25">
      <c r="A231" s="16">
        <v>190</v>
      </c>
      <c r="B231" s="16">
        <f t="shared" si="177"/>
        <v>260</v>
      </c>
      <c r="C231" s="19">
        <f t="shared" si="178"/>
        <v>40.526891969411977</v>
      </c>
      <c r="D231" s="17">
        <f t="shared" si="179"/>
        <v>38318.74400803059</v>
      </c>
      <c r="E231" s="17">
        <f t="shared" si="180"/>
        <v>8637.9464180305877</v>
      </c>
      <c r="F231" s="17">
        <f t="shared" si="181"/>
        <v>-38124.178821969414</v>
      </c>
      <c r="G231" s="17">
        <f t="shared" si="182"/>
        <v>-9238.6341719694119</v>
      </c>
      <c r="H231" s="17">
        <f t="shared" si="183"/>
        <v>8637.9464180305877</v>
      </c>
      <c r="I231" s="17">
        <f t="shared" si="184"/>
        <v>840.83854729730763</v>
      </c>
      <c r="J231" s="20">
        <f>(Geraetedaten!$B$152+(Geraetedaten!$B$153*(Geraetedaten!$B$18+d_y_Sw)/1000))*10</f>
        <v>6051.0442000000003</v>
      </c>
      <c r="K231" s="20">
        <f>(Geraetedaten!$B$165+(Geraetedaten!$B$166*(Geraetedaten!$B$18+d_y_Sw)/1000))*10</f>
        <v>10816.164000000001</v>
      </c>
      <c r="L231" s="20">
        <f>(Geraetedaten!$B$158+(Geraetedaten!$B$159*(Geraetedaten!$B$18+d_y_Sw)/1000)-(Geraetedaten!$B$160*I231/1000))*10</f>
        <v>539.87790932668815</v>
      </c>
      <c r="M231" s="20">
        <f>(Geraetedaten!$B$171+(Geraetedaten!$B$172*(Geraetedaten!$B$18+d_y_Sw)/1000)-(Geraetedaten!$B$173*I231/1000))*10</f>
        <v>1002.2749785391893</v>
      </c>
      <c r="N231" s="20">
        <f>IF((H231-J231)/(K231-J231)*(Geraetedaten!$B$174-Geraetedaten!$B$161)&lt;Geraetedaten!$B$174,(H231-J231)/(K231-J231)*(Geraetedaten!$B$174-Geraetedaten!$B$161),Geraetedaten!$B$174)</f>
        <v>217.15317361217967</v>
      </c>
      <c r="O231" s="20">
        <f>N231/Geraetedaten!$B$174*(M231-L231)+L231+C231</f>
        <v>831.43227891726337</v>
      </c>
      <c r="P231" s="20">
        <f t="shared" si="185"/>
        <v>243.40849882191475</v>
      </c>
      <c r="Q231" s="21">
        <f>(N231-Geraetedaten!$B$161)/(Geraetedaten!$B$174-Geraetedaten!$B$161)*(Geraetedaten!$B$175-Geraetedaten!$B$162)+Geraetedaten!$B$162</f>
        <v>35.660306914962348</v>
      </c>
      <c r="R231" s="21">
        <f t="shared" si="186"/>
        <v>35.660306914962348</v>
      </c>
      <c r="S231" s="21">
        <f t="shared" si="187"/>
        <v>-6.1923473108266514</v>
      </c>
      <c r="T231" s="88">
        <f t="shared" si="188"/>
        <v>-35.118546724649775</v>
      </c>
      <c r="U231" s="86">
        <f t="shared" si="189"/>
        <v>38359.270900000003</v>
      </c>
      <c r="V231" s="85">
        <f t="shared" si="190"/>
        <v>-2683.3128092763232</v>
      </c>
      <c r="W231" s="85">
        <f t="shared" si="191"/>
        <v>15358.014154249791</v>
      </c>
      <c r="X231" s="90">
        <f t="shared" si="192"/>
        <v>2683.3128092763232</v>
      </c>
      <c r="Y231" s="86">
        <f t="shared" si="193"/>
        <v>8678.4733099999994</v>
      </c>
      <c r="Z231" s="85">
        <f t="shared" si="194"/>
        <v>-832.16398485565549</v>
      </c>
      <c r="AA231" s="85">
        <f t="shared" si="195"/>
        <v>840.83854729730763</v>
      </c>
      <c r="AB231" s="90">
        <f t="shared" si="196"/>
        <v>832.16398485565549</v>
      </c>
      <c r="AC231" s="86">
        <f t="shared" si="197"/>
        <v>-38083.65193</v>
      </c>
      <c r="AD231" s="85">
        <f t="shared" si="198"/>
        <v>2598.140025222212</v>
      </c>
      <c r="AE231" s="85">
        <f t="shared" si="199"/>
        <v>-15021.910060561857</v>
      </c>
      <c r="AF231" s="90">
        <f t="shared" si="200"/>
        <v>2598.140025222212</v>
      </c>
      <c r="AG231" s="86">
        <f t="shared" si="201"/>
        <v>-9198.1072800000002</v>
      </c>
      <c r="AH231" s="85">
        <f t="shared" si="202"/>
        <v>6183.1314163678471</v>
      </c>
      <c r="AI231" s="85">
        <f t="shared" si="203"/>
        <v>-6289.7158577924265</v>
      </c>
      <c r="AJ231" s="90">
        <f t="shared" si="204"/>
        <v>6183.1314163678471</v>
      </c>
      <c r="AL231" s="95">
        <f t="shared" si="205"/>
        <v>0</v>
      </c>
      <c r="AM231" s="95">
        <f t="shared" si="206"/>
        <v>0</v>
      </c>
      <c r="AN231" s="95">
        <f t="shared" si="207"/>
        <v>0</v>
      </c>
      <c r="AO231" s="95">
        <f t="shared" si="208"/>
        <v>0</v>
      </c>
      <c r="AP231"/>
      <c r="AQ231" s="95">
        <f t="shared" si="209"/>
        <v>0</v>
      </c>
      <c r="AR231" s="95">
        <f t="shared" si="210"/>
        <v>0</v>
      </c>
      <c r="AS231" s="95">
        <f>Geraetedaten!$B$94*ABS(SIN(RADIANS($A231)))</f>
        <v>26.741819360707293</v>
      </c>
      <c r="AT231" s="95">
        <f>Geraetedaten!$B$94*ABS(COS(RADIANS($A231)))</f>
        <v>151.66039396388004</v>
      </c>
      <c r="AU231" s="95">
        <f>((h_Aw_Sw+Geraetedaten!$B$18)/1000)*(AQ231*AS231+AR231*AT231)/100</f>
        <v>0</v>
      </c>
    </row>
    <row r="232" spans="1:47" ht="13.5" x14ac:dyDescent="0.25">
      <c r="A232" s="16">
        <v>191</v>
      </c>
      <c r="B232" s="16">
        <f t="shared" si="177"/>
        <v>259</v>
      </c>
      <c r="C232" s="19">
        <f t="shared" si="178"/>
        <v>41.522181321446041</v>
      </c>
      <c r="D232" s="17">
        <f t="shared" si="179"/>
        <v>34887.680608678558</v>
      </c>
      <c r="E232" s="17">
        <f t="shared" si="180"/>
        <v>8660.2614686785528</v>
      </c>
      <c r="F232" s="17">
        <f t="shared" si="181"/>
        <v>-34687.175191321447</v>
      </c>
      <c r="G232" s="17">
        <f t="shared" si="182"/>
        <v>-9271.0722013214472</v>
      </c>
      <c r="H232" s="17">
        <f t="shared" si="183"/>
        <v>8660.2614686785528</v>
      </c>
      <c r="I232" s="17">
        <f t="shared" si="184"/>
        <v>843.09703573608999</v>
      </c>
      <c r="J232" s="20">
        <f>(Geraetedaten!$B$152+(Geraetedaten!$B$153*(Geraetedaten!$B$18+d_y_Sw)/1000))*10</f>
        <v>6051.0442000000003</v>
      </c>
      <c r="K232" s="20">
        <f>(Geraetedaten!$B$165+(Geraetedaten!$B$166*(Geraetedaten!$B$18+d_y_Sw)/1000))*10</f>
        <v>10816.164000000001</v>
      </c>
      <c r="L232" s="20">
        <f>(Geraetedaten!$B$158+(Geraetedaten!$B$159*(Geraetedaten!$B$18+d_y_Sw)/1000)-(Geraetedaten!$B$160*I232/1000))*10</f>
        <v>539.71229436947226</v>
      </c>
      <c r="M232" s="20">
        <f>(Geraetedaten!$B$171+(Geraetedaten!$B$172*(Geraetedaten!$B$18+d_y_Sw)/1000)-(Geraetedaten!$B$173*I232/1000))*10</f>
        <v>1002.1068566598065</v>
      </c>
      <c r="N232" s="20">
        <f>IF((H232-J232)/(K232-J232)*(Geraetedaten!$B$174-Geraetedaten!$B$161)&lt;Geraetedaten!$B$174,(H232-J232)/(K232-J232)*(Geraetedaten!$B$174-Geraetedaten!$B$161),Geraetedaten!$B$174)</f>
        <v>219.02637316094777</v>
      </c>
      <c r="O232" s="20">
        <f>N232/Geraetedaten!$B$174*(M232-L232)+L232+C232</f>
        <v>834.42598556040787</v>
      </c>
      <c r="P232" s="20">
        <f t="shared" si="185"/>
        <v>243.91037882571925</v>
      </c>
      <c r="Q232" s="21">
        <f>(N232-Geraetedaten!$B$161)/(Geraetedaten!$B$174-Geraetedaten!$B$161)*(Geraetedaten!$B$175-Geraetedaten!$B$162)+Geraetedaten!$B$162</f>
        <v>35.716034601538198</v>
      </c>
      <c r="R232" s="21">
        <f t="shared" si="186"/>
        <v>35.716034601538198</v>
      </c>
      <c r="S232" s="21">
        <f t="shared" si="187"/>
        <v>-6.8149406811534128</v>
      </c>
      <c r="T232" s="88">
        <f t="shared" si="188"/>
        <v>-35.059830449827253</v>
      </c>
      <c r="U232" s="86">
        <f t="shared" si="189"/>
        <v>34929.202790000003</v>
      </c>
      <c r="V232" s="85">
        <f t="shared" si="190"/>
        <v>-2683.3128092763232</v>
      </c>
      <c r="W232" s="85">
        <f t="shared" si="191"/>
        <v>13984.707691825122</v>
      </c>
      <c r="X232" s="90">
        <f t="shared" si="192"/>
        <v>2683.3128092763232</v>
      </c>
      <c r="Y232" s="86">
        <f t="shared" si="193"/>
        <v>8701.7836499999994</v>
      </c>
      <c r="Z232" s="85">
        <f t="shared" si="194"/>
        <v>-832.16398485565549</v>
      </c>
      <c r="AA232" s="85">
        <f t="shared" si="195"/>
        <v>843.09703573608999</v>
      </c>
      <c r="AB232" s="90">
        <f t="shared" si="196"/>
        <v>832.16398485565549</v>
      </c>
      <c r="AC232" s="86">
        <f t="shared" si="197"/>
        <v>-34645.653010000002</v>
      </c>
      <c r="AD232" s="85">
        <f t="shared" si="198"/>
        <v>2598.140025222212</v>
      </c>
      <c r="AE232" s="85">
        <f t="shared" si="199"/>
        <v>-13665.808217557749</v>
      </c>
      <c r="AF232" s="90">
        <f t="shared" si="200"/>
        <v>2598.140025222212</v>
      </c>
      <c r="AG232" s="86">
        <f t="shared" si="201"/>
        <v>-9229.5500200000006</v>
      </c>
      <c r="AH232" s="85">
        <f t="shared" si="202"/>
        <v>6183.1314163678471</v>
      </c>
      <c r="AI232" s="85">
        <f t="shared" si="203"/>
        <v>-6311.2165756193281</v>
      </c>
      <c r="AJ232" s="90">
        <f t="shared" si="204"/>
        <v>6183.1314163678471</v>
      </c>
      <c r="AL232" s="95">
        <f t="shared" si="205"/>
        <v>0</v>
      </c>
      <c r="AM232" s="95">
        <f t="shared" si="206"/>
        <v>0</v>
      </c>
      <c r="AN232" s="95">
        <f t="shared" si="207"/>
        <v>0</v>
      </c>
      <c r="AO232" s="95">
        <f t="shared" si="208"/>
        <v>0</v>
      </c>
      <c r="AP232"/>
      <c r="AQ232" s="95">
        <f t="shared" si="209"/>
        <v>0</v>
      </c>
      <c r="AR232" s="95">
        <f t="shared" si="210"/>
        <v>0</v>
      </c>
      <c r="AS232" s="95">
        <f>Geraetedaten!$B$94*ABS(SIN(RADIANS($A232)))</f>
        <v>29.384585287987885</v>
      </c>
      <c r="AT232" s="95">
        <f>Geraetedaten!$B$94*ABS(COS(RADIANS($A232)))</f>
        <v>151.17058625094026</v>
      </c>
      <c r="AU232" s="95">
        <f>((h_Aw_Sw+Geraetedaten!$B$18)/1000)*(AQ232*AS232+AR232*AT232)/100</f>
        <v>0</v>
      </c>
    </row>
    <row r="233" spans="1:47" ht="13.5" x14ac:dyDescent="0.25">
      <c r="A233" s="16">
        <v>192</v>
      </c>
      <c r="B233" s="16">
        <f t="shared" si="177"/>
        <v>258</v>
      </c>
      <c r="C233" s="19">
        <f t="shared" si="178"/>
        <v>42.504822614815225</v>
      </c>
      <c r="D233" s="17">
        <f t="shared" si="179"/>
        <v>32028.677037385187</v>
      </c>
      <c r="E233" s="17">
        <f t="shared" si="180"/>
        <v>8685.3804873851841</v>
      </c>
      <c r="F233" s="17">
        <f t="shared" si="181"/>
        <v>-31828.373152614815</v>
      </c>
      <c r="G233" s="17">
        <f t="shared" si="182"/>
        <v>-9306.5448826148149</v>
      </c>
      <c r="H233" s="17">
        <f t="shared" si="183"/>
        <v>8685.3804873851841</v>
      </c>
      <c r="I233" s="17">
        <f t="shared" si="184"/>
        <v>845.62596902937287</v>
      </c>
      <c r="J233" s="20">
        <f>(Geraetedaten!$B$152+(Geraetedaten!$B$153*(Geraetedaten!$B$18+d_y_Sw)/1000))*10</f>
        <v>6051.0442000000003</v>
      </c>
      <c r="K233" s="20">
        <f>(Geraetedaten!$B$165+(Geraetedaten!$B$166*(Geraetedaten!$B$18+d_y_Sw)/1000))*10</f>
        <v>10816.164000000001</v>
      </c>
      <c r="L233" s="20">
        <f>(Geraetedaten!$B$158+(Geraetedaten!$B$159*(Geraetedaten!$B$18+d_y_Sw)/1000)-(Geraetedaten!$B$160*I233/1000))*10</f>
        <v>539.52684769107589</v>
      </c>
      <c r="M233" s="20">
        <f>(Geraetedaten!$B$171+(Geraetedaten!$B$172*(Geraetedaten!$B$18+d_y_Sw)/1000)-(Geraetedaten!$B$173*I233/1000))*10</f>
        <v>1001.9186028654544</v>
      </c>
      <c r="N233" s="20">
        <f>IF((H233-J233)/(K233-J233)*(Geraetedaten!$B$174-Geraetedaten!$B$161)&lt;Geraetedaten!$B$174,(H233-J233)/(K233-J233)*(Geraetedaten!$B$174-Geraetedaten!$B$161),Geraetedaten!$B$174)</f>
        <v>221.13494711173334</v>
      </c>
      <c r="O233" s="20">
        <f>N233/Geraetedaten!$B$174*(M233-L233)+L233+C233</f>
        <v>837.65911111936055</v>
      </c>
      <c r="P233" s="20">
        <f t="shared" si="185"/>
        <v>244.43348566558649</v>
      </c>
      <c r="Q233" s="21">
        <f>(N233-Geraetedaten!$B$161)/(Geraetedaten!$B$174-Geraetedaten!$B$161)*(Geraetedaten!$B$175-Geraetedaten!$B$162)+Geraetedaten!$B$162</f>
        <v>35.77876467657407</v>
      </c>
      <c r="R233" s="21">
        <f t="shared" si="186"/>
        <v>35.77876467657407</v>
      </c>
      <c r="S233" s="21">
        <f t="shared" si="187"/>
        <v>-7.4388234592772431</v>
      </c>
      <c r="T233" s="88">
        <f t="shared" si="188"/>
        <v>-34.996912825610359</v>
      </c>
      <c r="U233" s="86">
        <f t="shared" si="189"/>
        <v>32071.181860000001</v>
      </c>
      <c r="V233" s="85">
        <f t="shared" si="190"/>
        <v>-2683.3128092763232</v>
      </c>
      <c r="W233" s="85">
        <f t="shared" si="191"/>
        <v>12840.433442789972</v>
      </c>
      <c r="X233" s="90">
        <f t="shared" si="192"/>
        <v>2683.3128092763232</v>
      </c>
      <c r="Y233" s="86">
        <f t="shared" si="193"/>
        <v>8727.8853099999997</v>
      </c>
      <c r="Z233" s="85">
        <f t="shared" si="194"/>
        <v>-832.16398485565549</v>
      </c>
      <c r="AA233" s="85">
        <f t="shared" si="195"/>
        <v>845.62596902937287</v>
      </c>
      <c r="AB233" s="90">
        <f t="shared" si="196"/>
        <v>832.16398485565549</v>
      </c>
      <c r="AC233" s="86">
        <f t="shared" si="197"/>
        <v>-31785.868330000001</v>
      </c>
      <c r="AD233" s="85">
        <f t="shared" si="198"/>
        <v>2598.140025222212</v>
      </c>
      <c r="AE233" s="85">
        <f t="shared" si="199"/>
        <v>-12537.780151511563</v>
      </c>
      <c r="AF233" s="90">
        <f t="shared" si="200"/>
        <v>2598.140025222212</v>
      </c>
      <c r="AG233" s="86">
        <f t="shared" si="201"/>
        <v>-9264.0400599999994</v>
      </c>
      <c r="AH233" s="85">
        <f t="shared" si="202"/>
        <v>6183.1314163678471</v>
      </c>
      <c r="AI233" s="85">
        <f t="shared" si="203"/>
        <v>-6334.8010541131052</v>
      </c>
      <c r="AJ233" s="90">
        <f t="shared" si="204"/>
        <v>6183.1314163678471</v>
      </c>
      <c r="AL233" s="95">
        <f t="shared" si="205"/>
        <v>0</v>
      </c>
      <c r="AM233" s="95">
        <f t="shared" si="206"/>
        <v>0</v>
      </c>
      <c r="AN233" s="95">
        <f t="shared" si="207"/>
        <v>0</v>
      </c>
      <c r="AO233" s="95">
        <f t="shared" si="208"/>
        <v>0</v>
      </c>
      <c r="AP233"/>
      <c r="AQ233" s="95">
        <f t="shared" si="209"/>
        <v>0</v>
      </c>
      <c r="AR233" s="95">
        <f t="shared" si="210"/>
        <v>0</v>
      </c>
      <c r="AS233" s="95">
        <f>Geraetedaten!$B$94*ABS(SIN(RADIANS($A233)))</f>
        <v>32.018400385934967</v>
      </c>
      <c r="AT233" s="95">
        <f>Geraetedaten!$B$94*ABS(COS(RADIANS($A233)))</f>
        <v>150.63473051300605</v>
      </c>
      <c r="AU233" s="95">
        <f>((h_Aw_Sw+Geraetedaten!$B$18)/1000)*(AQ233*AS233+AR233*AT233)/100</f>
        <v>0</v>
      </c>
    </row>
    <row r="234" spans="1:47" ht="13.5" x14ac:dyDescent="0.25">
      <c r="A234" s="16">
        <v>193</v>
      </c>
      <c r="B234" s="16">
        <f t="shared" si="177"/>
        <v>257</v>
      </c>
      <c r="C234" s="19">
        <f t="shared" si="178"/>
        <v>43.474516527462441</v>
      </c>
      <c r="D234" s="17">
        <f t="shared" si="179"/>
        <v>29610.366503472538</v>
      </c>
      <c r="E234" s="17">
        <f t="shared" si="180"/>
        <v>8713.3449434725389</v>
      </c>
      <c r="F234" s="17">
        <f t="shared" si="181"/>
        <v>-29413.938936527462</v>
      </c>
      <c r="G234" s="17">
        <f t="shared" si="182"/>
        <v>-9345.1073565274619</v>
      </c>
      <c r="H234" s="17">
        <f t="shared" si="183"/>
        <v>8713.3449434725389</v>
      </c>
      <c r="I234" s="17">
        <f t="shared" si="184"/>
        <v>848.42933675756501</v>
      </c>
      <c r="J234" s="20">
        <f>(Geraetedaten!$B$152+(Geraetedaten!$B$153*(Geraetedaten!$B$18+d_y_Sw)/1000))*10</f>
        <v>6051.0442000000003</v>
      </c>
      <c r="K234" s="20">
        <f>(Geraetedaten!$B$165+(Geraetedaten!$B$166*(Geraetedaten!$B$18+d_y_Sw)/1000))*10</f>
        <v>10816.164000000001</v>
      </c>
      <c r="L234" s="20">
        <f>(Geraetedaten!$B$158+(Geraetedaten!$B$159*(Geraetedaten!$B$18+d_y_Sw)/1000)-(Geraetedaten!$B$160*I234/1000))*10</f>
        <v>539.32127673556749</v>
      </c>
      <c r="M234" s="20">
        <f>(Geraetedaten!$B$171+(Geraetedaten!$B$172*(Geraetedaten!$B$18+d_y_Sw)/1000)-(Geraetedaten!$B$173*I234/1000))*10</f>
        <v>1001.7099201717679</v>
      </c>
      <c r="N234" s="20">
        <f>IF((H234-J234)/(K234-J234)*(Geraetedaten!$B$174-Geraetedaten!$B$161)&lt;Geraetedaten!$B$174,(H234-J234)/(K234-J234)*(Geraetedaten!$B$174-Geraetedaten!$B$161),Geraetedaten!$B$174)</f>
        <v>223.48237653731508</v>
      </c>
      <c r="O234" s="20">
        <f>N234/Geraetedaten!$B$174*(M234-L234)+L234+C234</f>
        <v>841.13507556049808</v>
      </c>
      <c r="P234" s="20">
        <f t="shared" si="185"/>
        <v>244.97770707956926</v>
      </c>
      <c r="Q234" s="21">
        <f>(N234-Geraetedaten!$B$161)/(Geraetedaten!$B$174-Geraetedaten!$B$161)*(Geraetedaten!$B$175-Geraetedaten!$B$162)+Geraetedaten!$B$162</f>
        <v>35.84860070198512</v>
      </c>
      <c r="R234" s="21">
        <f t="shared" si="186"/>
        <v>35.84860070198512</v>
      </c>
      <c r="S234" s="21">
        <f t="shared" si="187"/>
        <v>-8.0641805246637706</v>
      </c>
      <c r="T234" s="88">
        <f t="shared" si="188"/>
        <v>-34.929803388453273</v>
      </c>
      <c r="U234" s="86">
        <f t="shared" si="189"/>
        <v>29653.84102</v>
      </c>
      <c r="V234" s="85">
        <f t="shared" si="190"/>
        <v>-2683.3128092763232</v>
      </c>
      <c r="W234" s="85">
        <f t="shared" si="191"/>
        <v>11872.595580979301</v>
      </c>
      <c r="X234" s="90">
        <f t="shared" si="192"/>
        <v>2683.3128092763232</v>
      </c>
      <c r="Y234" s="86">
        <f t="shared" si="193"/>
        <v>8756.8194600000006</v>
      </c>
      <c r="Z234" s="85">
        <f t="shared" si="194"/>
        <v>-832.16398485565549</v>
      </c>
      <c r="AA234" s="85">
        <f t="shared" si="195"/>
        <v>848.42933675756501</v>
      </c>
      <c r="AB234" s="90">
        <f t="shared" si="196"/>
        <v>832.16398485565549</v>
      </c>
      <c r="AC234" s="86">
        <f t="shared" si="197"/>
        <v>-29370.46442</v>
      </c>
      <c r="AD234" s="85">
        <f t="shared" si="198"/>
        <v>2598.140025222212</v>
      </c>
      <c r="AE234" s="85">
        <f t="shared" si="199"/>
        <v>-11585.035902997864</v>
      </c>
      <c r="AF234" s="90">
        <f t="shared" si="200"/>
        <v>2598.140025222212</v>
      </c>
      <c r="AG234" s="86">
        <f t="shared" si="201"/>
        <v>-9301.6328400000002</v>
      </c>
      <c r="AH234" s="85">
        <f t="shared" si="202"/>
        <v>6183.1314163678471</v>
      </c>
      <c r="AI234" s="85">
        <f t="shared" si="203"/>
        <v>-6360.5071995766129</v>
      </c>
      <c r="AJ234" s="90">
        <f t="shared" si="204"/>
        <v>6183.1314163678471</v>
      </c>
      <c r="AL234" s="95">
        <f t="shared" si="205"/>
        <v>0</v>
      </c>
      <c r="AM234" s="95">
        <f t="shared" si="206"/>
        <v>0</v>
      </c>
      <c r="AN234" s="95">
        <f t="shared" si="207"/>
        <v>0</v>
      </c>
      <c r="AO234" s="95">
        <f t="shared" si="208"/>
        <v>0</v>
      </c>
      <c r="AP234"/>
      <c r="AQ234" s="95">
        <f t="shared" si="209"/>
        <v>0</v>
      </c>
      <c r="AR234" s="95">
        <f t="shared" si="210"/>
        <v>0</v>
      </c>
      <c r="AS234" s="95">
        <f>Geraetedaten!$B$94*ABS(SIN(RADIANS($A234)))</f>
        <v>34.642462368955208</v>
      </c>
      <c r="AT234" s="95">
        <f>Geraetedaten!$B$94*ABS(COS(RADIANS($A234)))</f>
        <v>150.05298997692623</v>
      </c>
      <c r="AU234" s="95">
        <f>((h_Aw_Sw+Geraetedaten!$B$18)/1000)*(AQ234*AS234+AR234*AT234)/100</f>
        <v>0</v>
      </c>
    </row>
    <row r="235" spans="1:47" ht="13.5" x14ac:dyDescent="0.25">
      <c r="A235" s="16">
        <v>194</v>
      </c>
      <c r="B235" s="16">
        <f t="shared" si="177"/>
        <v>256</v>
      </c>
      <c r="C235" s="19">
        <f t="shared" si="178"/>
        <v>44.430967681228296</v>
      </c>
      <c r="D235" s="17">
        <f t="shared" si="179"/>
        <v>27538.75090231877</v>
      </c>
      <c r="E235" s="17">
        <f t="shared" si="180"/>
        <v>8744.2011323187726</v>
      </c>
      <c r="F235" s="17">
        <f t="shared" si="181"/>
        <v>-27348.38833768123</v>
      </c>
      <c r="G235" s="17">
        <f t="shared" si="182"/>
        <v>-9386.8202976812281</v>
      </c>
      <c r="H235" s="17">
        <f t="shared" si="183"/>
        <v>8744.2011323187726</v>
      </c>
      <c r="I235" s="17">
        <f t="shared" si="184"/>
        <v>851.51159483465642</v>
      </c>
      <c r="J235" s="20">
        <f>(Geraetedaten!$B$152+(Geraetedaten!$B$153*(Geraetedaten!$B$18+d_y_Sw)/1000))*10</f>
        <v>6051.0442000000003</v>
      </c>
      <c r="K235" s="20">
        <f>(Geraetedaten!$B$165+(Geraetedaten!$B$166*(Geraetedaten!$B$18+d_y_Sw)/1000))*10</f>
        <v>10816.164000000001</v>
      </c>
      <c r="L235" s="20">
        <f>(Geraetedaten!$B$158+(Geraetedaten!$B$159*(Geraetedaten!$B$18+d_y_Sw)/1000)-(Geraetedaten!$B$160*I235/1000))*10</f>
        <v>539.09525475077442</v>
      </c>
      <c r="M235" s="20">
        <f>(Geraetedaten!$B$171+(Geraetedaten!$B$172*(Geraetedaten!$B$18+d_y_Sw)/1000)-(Geraetedaten!$B$173*I235/1000))*10</f>
        <v>1001.4804768805091</v>
      </c>
      <c r="N235" s="20">
        <f>IF((H235-J235)/(K235-J235)*(Geraetedaten!$B$174-Geraetedaten!$B$161)&lt;Geraetedaten!$B$174,(H235-J235)/(K235-J235)*(Geraetedaten!$B$174-Geraetedaten!$B$161),Geraetedaten!$B$174)</f>
        <v>226.072547625667</v>
      </c>
      <c r="O235" s="20">
        <f>N235/Geraetedaten!$B$174*(M235-L235)+L235+C235</f>
        <v>844.85773531032521</v>
      </c>
      <c r="P235" s="20">
        <f t="shared" si="185"/>
        <v>245.54294662598321</v>
      </c>
      <c r="Q235" s="21">
        <f>(N235-Geraetedaten!$B$161)/(Geraetedaten!$B$174-Geraetedaten!$B$161)*(Geraetedaten!$B$175-Geraetedaten!$B$162)+Geraetedaten!$B$162</f>
        <v>35.925658291863591</v>
      </c>
      <c r="R235" s="21">
        <f t="shared" si="186"/>
        <v>35.925658291863591</v>
      </c>
      <c r="S235" s="21">
        <f t="shared" si="187"/>
        <v>-8.6912033546335525</v>
      </c>
      <c r="T235" s="88">
        <f t="shared" si="188"/>
        <v>-34.858512704247062</v>
      </c>
      <c r="U235" s="86">
        <f t="shared" si="189"/>
        <v>27583.18187</v>
      </c>
      <c r="V235" s="85">
        <f t="shared" si="190"/>
        <v>-2683.3128092763232</v>
      </c>
      <c r="W235" s="85">
        <f t="shared" si="191"/>
        <v>11043.559681533321</v>
      </c>
      <c r="X235" s="90">
        <f t="shared" si="192"/>
        <v>2683.3128092763232</v>
      </c>
      <c r="Y235" s="86">
        <f t="shared" si="193"/>
        <v>8788.6321000000007</v>
      </c>
      <c r="Z235" s="85">
        <f t="shared" si="194"/>
        <v>-832.16398485565549</v>
      </c>
      <c r="AA235" s="85">
        <f t="shared" si="195"/>
        <v>851.51159483465642</v>
      </c>
      <c r="AB235" s="90">
        <f t="shared" si="196"/>
        <v>832.16398485565549</v>
      </c>
      <c r="AC235" s="86">
        <f t="shared" si="197"/>
        <v>-27303.95737</v>
      </c>
      <c r="AD235" s="85">
        <f t="shared" si="198"/>
        <v>2598.140025222212</v>
      </c>
      <c r="AE235" s="85">
        <f t="shared" si="199"/>
        <v>-10769.91231611906</v>
      </c>
      <c r="AF235" s="90">
        <f t="shared" si="200"/>
        <v>2598.140025222212</v>
      </c>
      <c r="AG235" s="86">
        <f t="shared" si="201"/>
        <v>-9342.38933</v>
      </c>
      <c r="AH235" s="85">
        <f t="shared" si="202"/>
        <v>6183.1314163678471</v>
      </c>
      <c r="AI235" s="85">
        <f t="shared" si="203"/>
        <v>-6388.3767124579263</v>
      </c>
      <c r="AJ235" s="90">
        <f t="shared" si="204"/>
        <v>6183.1314163678471</v>
      </c>
      <c r="AL235" s="95">
        <f t="shared" si="205"/>
        <v>0</v>
      </c>
      <c r="AM235" s="95">
        <f t="shared" si="206"/>
        <v>0</v>
      </c>
      <c r="AN235" s="95">
        <f t="shared" si="207"/>
        <v>0</v>
      </c>
      <c r="AO235" s="95">
        <f t="shared" si="208"/>
        <v>0</v>
      </c>
      <c r="AP235"/>
      <c r="AQ235" s="95">
        <f t="shared" si="209"/>
        <v>0</v>
      </c>
      <c r="AR235" s="95">
        <f t="shared" si="210"/>
        <v>0</v>
      </c>
      <c r="AS235" s="95">
        <f>Geraetedaten!$B$94*ABS(SIN(RADIANS($A235)))</f>
        <v>37.255971922348799</v>
      </c>
      <c r="AT235" s="95">
        <f>Geraetedaten!$B$94*ABS(COS(RADIANS($A235)))</f>
        <v>149.42554184650345</v>
      </c>
      <c r="AU235" s="95">
        <f>((h_Aw_Sw+Geraetedaten!$B$18)/1000)*(AQ235*AS235+AR235*AT235)/100</f>
        <v>0</v>
      </c>
    </row>
    <row r="236" spans="1:47" ht="13.5" x14ac:dyDescent="0.25">
      <c r="A236" s="16">
        <v>195</v>
      </c>
      <c r="B236" s="16">
        <f t="shared" si="177"/>
        <v>255</v>
      </c>
      <c r="C236" s="19">
        <f t="shared" si="178"/>
        <v>45.373884731826024</v>
      </c>
      <c r="D236" s="17">
        <f t="shared" si="179"/>
        <v>25744.795985268174</v>
      </c>
      <c r="E236" s="17">
        <f t="shared" si="180"/>
        <v>8778.0003352681742</v>
      </c>
      <c r="F236" s="17">
        <f t="shared" si="181"/>
        <v>-25561.769204731827</v>
      </c>
      <c r="G236" s="17">
        <f t="shared" si="182"/>
        <v>-9431.7502147318246</v>
      </c>
      <c r="H236" s="17">
        <f t="shared" si="183"/>
        <v>8778.0003352681742</v>
      </c>
      <c r="I236" s="17">
        <f t="shared" si="184"/>
        <v>854.8776831263981</v>
      </c>
      <c r="J236" s="20">
        <f>(Geraetedaten!$B$152+(Geraetedaten!$B$153*(Geraetedaten!$B$18+d_y_Sw)/1000))*10</f>
        <v>6051.0442000000003</v>
      </c>
      <c r="K236" s="20">
        <f>(Geraetedaten!$B$165+(Geraetedaten!$B$166*(Geraetedaten!$B$18+d_y_Sw)/1000))*10</f>
        <v>10816.164000000001</v>
      </c>
      <c r="L236" s="20">
        <f>(Geraetedaten!$B$158+(Geraetedaten!$B$159*(Geraetedaten!$B$18+d_y_Sw)/1000)-(Geraetedaten!$B$160*I236/1000))*10</f>
        <v>538.84841949634097</v>
      </c>
      <c r="M236" s="20">
        <f>(Geraetedaten!$B$171+(Geraetedaten!$B$172*(Geraetedaten!$B$18+d_y_Sw)/1000)-(Geraetedaten!$B$173*I236/1000))*10</f>
        <v>1001.2299052680719</v>
      </c>
      <c r="N236" s="20">
        <f>IF((H236-J236)/(K236-J236)*(Geraetedaten!$B$174-Geraetedaten!$B$161)&lt;Geraetedaten!$B$174,(H236-J236)/(K236-J236)*(Geraetedaten!$B$174-Geraetedaten!$B$161),Geraetedaten!$B$174)</f>
        <v>228.90976510333894</v>
      </c>
      <c r="O236" s="20">
        <f>N236/Geraetedaten!$B$174*(M236-L236)+L236+C236</f>
        <v>848.83139746851646</v>
      </c>
      <c r="P236" s="20">
        <f t="shared" si="185"/>
        <v>246.12912360723453</v>
      </c>
      <c r="Q236" s="21">
        <f>(N236-Geraetedaten!$B$161)/(Geraetedaten!$B$174-Geraetedaten!$B$161)*(Geraetedaten!$B$175-Geraetedaten!$B$162)+Geraetedaten!$B$162</f>
        <v>36.010065511824337</v>
      </c>
      <c r="R236" s="21">
        <f t="shared" si="186"/>
        <v>36.010065511824337</v>
      </c>
      <c r="S236" s="21">
        <f t="shared" si="187"/>
        <v>-9.3200907698495907</v>
      </c>
      <c r="T236" s="88">
        <f t="shared" si="188"/>
        <v>-34.783052284232404</v>
      </c>
      <c r="U236" s="86">
        <f t="shared" si="189"/>
        <v>25790.169870000002</v>
      </c>
      <c r="V236" s="85">
        <f t="shared" si="190"/>
        <v>-2683.3128092763232</v>
      </c>
      <c r="W236" s="85">
        <f t="shared" si="191"/>
        <v>10325.686192221674</v>
      </c>
      <c r="X236" s="90">
        <f t="shared" si="192"/>
        <v>2683.3128092763232</v>
      </c>
      <c r="Y236" s="86">
        <f t="shared" si="193"/>
        <v>8823.3742199999997</v>
      </c>
      <c r="Z236" s="85">
        <f t="shared" si="194"/>
        <v>-832.16398485565549</v>
      </c>
      <c r="AA236" s="85">
        <f t="shared" si="195"/>
        <v>854.8776831263981</v>
      </c>
      <c r="AB236" s="90">
        <f t="shared" si="196"/>
        <v>832.16398485565549</v>
      </c>
      <c r="AC236" s="86">
        <f t="shared" si="197"/>
        <v>-25516.39532</v>
      </c>
      <c r="AD236" s="85">
        <f t="shared" si="198"/>
        <v>2598.140025222212</v>
      </c>
      <c r="AE236" s="85">
        <f t="shared" si="199"/>
        <v>-10064.817217253665</v>
      </c>
      <c r="AF236" s="90">
        <f t="shared" si="200"/>
        <v>2598.140025222212</v>
      </c>
      <c r="AG236" s="86">
        <f t="shared" si="201"/>
        <v>-9386.3763299999991</v>
      </c>
      <c r="AH236" s="85">
        <f t="shared" si="202"/>
        <v>6183.1314163678471</v>
      </c>
      <c r="AI236" s="85">
        <f t="shared" si="203"/>
        <v>-6418.455257061798</v>
      </c>
      <c r="AJ236" s="90">
        <f t="shared" si="204"/>
        <v>6183.1314163678471</v>
      </c>
      <c r="AL236" s="95">
        <f t="shared" si="205"/>
        <v>0</v>
      </c>
      <c r="AM236" s="95">
        <f t="shared" si="206"/>
        <v>0</v>
      </c>
      <c r="AN236" s="95">
        <f t="shared" si="207"/>
        <v>0</v>
      </c>
      <c r="AO236" s="95">
        <f t="shared" si="208"/>
        <v>0</v>
      </c>
      <c r="AP236"/>
      <c r="AQ236" s="95">
        <f t="shared" si="209"/>
        <v>0</v>
      </c>
      <c r="AR236" s="95">
        <f t="shared" si="210"/>
        <v>0</v>
      </c>
      <c r="AS236" s="95">
        <f>Geraetedaten!$B$94*ABS(SIN(RADIANS($A236)))</f>
        <v>39.858132945788199</v>
      </c>
      <c r="AT236" s="95">
        <f>Geraetedaten!$B$94*ABS(COS(RADIANS($A236)))</f>
        <v>148.75257724851653</v>
      </c>
      <c r="AU236" s="95">
        <f>((h_Aw_Sw+Geraetedaten!$B$18)/1000)*(AQ236*AS236+AR236*AT236)/100</f>
        <v>0</v>
      </c>
    </row>
    <row r="237" spans="1:47" ht="13.5" x14ac:dyDescent="0.25">
      <c r="A237" s="16">
        <v>196</v>
      </c>
      <c r="B237" s="16">
        <f t="shared" si="177"/>
        <v>254</v>
      </c>
      <c r="C237" s="19">
        <f t="shared" si="178"/>
        <v>46.302980457587722</v>
      </c>
      <c r="D237" s="17">
        <f t="shared" si="179"/>
        <v>24176.660449542411</v>
      </c>
      <c r="E237" s="17">
        <f t="shared" si="180"/>
        <v>8814.799009542412</v>
      </c>
      <c r="F237" s="17">
        <f t="shared" si="181"/>
        <v>-24001.66255045759</v>
      </c>
      <c r="G237" s="17">
        <f t="shared" si="182"/>
        <v>-9479.9696504575877</v>
      </c>
      <c r="H237" s="17">
        <f t="shared" si="183"/>
        <v>8814.799009542412</v>
      </c>
      <c r="I237" s="17">
        <f t="shared" si="184"/>
        <v>858.5330452129914</v>
      </c>
      <c r="J237" s="20">
        <f>(Geraetedaten!$B$152+(Geraetedaten!$B$153*(Geraetedaten!$B$18+d_y_Sw)/1000))*10</f>
        <v>6051.0442000000003</v>
      </c>
      <c r="K237" s="20">
        <f>(Geraetedaten!$B$165+(Geraetedaten!$B$166*(Geraetedaten!$B$18+d_y_Sw)/1000))*10</f>
        <v>10816.164000000001</v>
      </c>
      <c r="L237" s="20">
        <f>(Geraetedaten!$B$158+(Geraetedaten!$B$159*(Geraetedaten!$B$18+d_y_Sw)/1000)-(Geraetedaten!$B$160*I237/1000))*10</f>
        <v>538.58037179453106</v>
      </c>
      <c r="M237" s="20">
        <f>(Geraetedaten!$B$171+(Geraetedaten!$B$172*(Geraetedaten!$B$18+d_y_Sw)/1000)-(Geraetedaten!$B$173*I237/1000))*10</f>
        <v>1000.9578001143459</v>
      </c>
      <c r="N237" s="20">
        <f>IF((H237-J237)/(K237-J237)*(Geraetedaten!$B$174-Geraetedaten!$B$161)&lt;Geraetedaten!$B$174,(H237-J237)/(K237-J237)*(Geraetedaten!$B$174-Geraetedaten!$B$161),Geraetedaten!$B$174)</f>
        <v>231.99876817723757</v>
      </c>
      <c r="O237" s="20">
        <f>N237/Geraetedaten!$B$174*(M237-L237)+L237+C237</f>
        <v>853.06083676000878</v>
      </c>
      <c r="P237" s="20">
        <f t="shared" si="185"/>
        <v>246.73617309347105</v>
      </c>
      <c r="Q237" s="21">
        <f>(N237-Geraetedaten!$B$161)/(Geraetedaten!$B$174-Geraetedaten!$B$161)*(Geraetedaten!$B$175-Geraetedaten!$B$162)+Geraetedaten!$B$162</f>
        <v>36.101963353272822</v>
      </c>
      <c r="R237" s="21">
        <f t="shared" si="186"/>
        <v>36.101963353272822</v>
      </c>
      <c r="S237" s="21">
        <f t="shared" si="187"/>
        <v>-9.9510497184983198</v>
      </c>
      <c r="T237" s="88">
        <f t="shared" si="188"/>
        <v>-34.703434519670068</v>
      </c>
      <c r="U237" s="86">
        <f t="shared" si="189"/>
        <v>24222.96343</v>
      </c>
      <c r="V237" s="85">
        <f t="shared" si="190"/>
        <v>-2683.3128092763232</v>
      </c>
      <c r="W237" s="85">
        <f t="shared" si="191"/>
        <v>9698.219139534056</v>
      </c>
      <c r="X237" s="90">
        <f t="shared" si="192"/>
        <v>2683.3128092763232</v>
      </c>
      <c r="Y237" s="86">
        <f t="shared" si="193"/>
        <v>8861.1019899999992</v>
      </c>
      <c r="Z237" s="85">
        <f t="shared" si="194"/>
        <v>-832.16398485565549</v>
      </c>
      <c r="AA237" s="85">
        <f t="shared" si="195"/>
        <v>858.5330452129914</v>
      </c>
      <c r="AB237" s="90">
        <f t="shared" si="196"/>
        <v>832.16398485565549</v>
      </c>
      <c r="AC237" s="86">
        <f t="shared" si="197"/>
        <v>-23955.359570000001</v>
      </c>
      <c r="AD237" s="85">
        <f t="shared" si="198"/>
        <v>2598.140025222212</v>
      </c>
      <c r="AE237" s="85">
        <f t="shared" si="199"/>
        <v>-9449.0743060066434</v>
      </c>
      <c r="AF237" s="90">
        <f t="shared" si="200"/>
        <v>2598.140025222212</v>
      </c>
      <c r="AG237" s="86">
        <f t="shared" si="201"/>
        <v>-9433.6666700000005</v>
      </c>
      <c r="AH237" s="85">
        <f t="shared" si="202"/>
        <v>6183.1314163678471</v>
      </c>
      <c r="AI237" s="85">
        <f t="shared" si="203"/>
        <v>-6450.7926500266549</v>
      </c>
      <c r="AJ237" s="90">
        <f t="shared" si="204"/>
        <v>6183.1314163678471</v>
      </c>
      <c r="AL237" s="95">
        <f t="shared" si="205"/>
        <v>0</v>
      </c>
      <c r="AM237" s="95">
        <f t="shared" si="206"/>
        <v>0</v>
      </c>
      <c r="AN237" s="95">
        <f t="shared" si="207"/>
        <v>0</v>
      </c>
      <c r="AO237" s="95">
        <f t="shared" si="208"/>
        <v>0</v>
      </c>
      <c r="AP237"/>
      <c r="AQ237" s="95">
        <f t="shared" si="209"/>
        <v>0</v>
      </c>
      <c r="AR237" s="95">
        <f t="shared" si="210"/>
        <v>0</v>
      </c>
      <c r="AS237" s="95">
        <f>Geraetedaten!$B$94*ABS(SIN(RADIANS($A237)))</f>
        <v>42.448152795817848</v>
      </c>
      <c r="AT237" s="95">
        <f>Geraetedaten!$B$94*ABS(COS(RADIANS($A237)))</f>
        <v>148.03430117450111</v>
      </c>
      <c r="AU237" s="95">
        <f>((h_Aw_Sw+Geraetedaten!$B$18)/1000)*(AQ237*AS237+AR237*AT237)/100</f>
        <v>0</v>
      </c>
    </row>
    <row r="238" spans="1:47" ht="13.5" x14ac:dyDescent="0.25">
      <c r="A238" s="16">
        <v>197</v>
      </c>
      <c r="B238" s="16">
        <f t="shared" si="177"/>
        <v>253</v>
      </c>
      <c r="C238" s="19">
        <f t="shared" si="178"/>
        <v>47.217971846955017</v>
      </c>
      <c r="D238" s="17">
        <f t="shared" si="179"/>
        <v>22794.657608153044</v>
      </c>
      <c r="E238" s="17">
        <f t="shared" si="180"/>
        <v>8854.6590481530457</v>
      </c>
      <c r="F238" s="17">
        <f t="shared" si="181"/>
        <v>-22628.013511846955</v>
      </c>
      <c r="G238" s="17">
        <f t="shared" si="182"/>
        <v>-9531.5575618469538</v>
      </c>
      <c r="H238" s="17">
        <f t="shared" si="183"/>
        <v>8854.6590481530457</v>
      </c>
      <c r="I238" s="17">
        <f t="shared" si="184"/>
        <v>862.48365044662069</v>
      </c>
      <c r="J238" s="20">
        <f>(Geraetedaten!$B$152+(Geraetedaten!$B$153*(Geraetedaten!$B$18+d_y_Sw)/1000))*10</f>
        <v>6051.0442000000003</v>
      </c>
      <c r="K238" s="20">
        <f>(Geraetedaten!$B$165+(Geraetedaten!$B$166*(Geraetedaten!$B$18+d_y_Sw)/1000))*10</f>
        <v>10816.164000000001</v>
      </c>
      <c r="L238" s="20">
        <f>(Geraetedaten!$B$158+(Geraetedaten!$B$159*(Geraetedaten!$B$18+d_y_Sw)/1000)-(Geraetedaten!$B$160*I238/1000))*10</f>
        <v>538.29067391274907</v>
      </c>
      <c r="M238" s="20">
        <f>(Geraetedaten!$B$171+(Geraetedaten!$B$172*(Geraetedaten!$B$18+d_y_Sw)/1000)-(Geraetedaten!$B$173*I238/1000))*10</f>
        <v>1000.6637170607546</v>
      </c>
      <c r="N238" s="20">
        <f>IF((H238-J238)/(K238-J238)*(Geraetedaten!$B$174-Geraetedaten!$B$161)&lt;Geraetedaten!$B$174,(H238-J238)/(K238-J238)*(Geraetedaten!$B$174-Geraetedaten!$B$161),Geraetedaten!$B$174)</f>
        <v>235.34475235254698</v>
      </c>
      <c r="O238" s="20">
        <f>N238/Geraetedaten!$B$174*(M238-L238)+L238+C238</f>
        <v>857.55131909510635</v>
      </c>
      <c r="P238" s="20">
        <f t="shared" si="185"/>
        <v>247.36404644757255</v>
      </c>
      <c r="Q238" s="21">
        <f>(N238-Geraetedaten!$B$161)/(Geraetedaten!$B$174-Geraetedaten!$B$161)*(Geraetedaten!$B$175-Geraetedaten!$B$162)+Geraetedaten!$B$162</f>
        <v>36.201506382488276</v>
      </c>
      <c r="R238" s="21">
        <f t="shared" si="186"/>
        <v>36.201506382488276</v>
      </c>
      <c r="S238" s="21">
        <f t="shared" si="187"/>
        <v>-10.584296134579132</v>
      </c>
      <c r="T238" s="88">
        <f t="shared" si="188"/>
        <v>-34.619672726599724</v>
      </c>
      <c r="U238" s="86">
        <f t="shared" si="189"/>
        <v>22841.87558</v>
      </c>
      <c r="V238" s="85">
        <f t="shared" si="190"/>
        <v>-2683.3128092763232</v>
      </c>
      <c r="W238" s="85">
        <f t="shared" si="191"/>
        <v>9145.2689348724853</v>
      </c>
      <c r="X238" s="90">
        <f t="shared" si="192"/>
        <v>2683.3128092763232</v>
      </c>
      <c r="Y238" s="86">
        <f t="shared" si="193"/>
        <v>8901.8770199999999</v>
      </c>
      <c r="Z238" s="85">
        <f t="shared" si="194"/>
        <v>-832.16398485565549</v>
      </c>
      <c r="AA238" s="85">
        <f t="shared" si="195"/>
        <v>862.48365044662069</v>
      </c>
      <c r="AB238" s="90">
        <f t="shared" si="196"/>
        <v>832.16398485565549</v>
      </c>
      <c r="AC238" s="86">
        <f t="shared" si="197"/>
        <v>-22580.795539999999</v>
      </c>
      <c r="AD238" s="85">
        <f t="shared" si="198"/>
        <v>2598.140025222212</v>
      </c>
      <c r="AE238" s="85">
        <f t="shared" si="199"/>
        <v>-8906.8842557912758</v>
      </c>
      <c r="AF238" s="90">
        <f t="shared" si="200"/>
        <v>2598.140025222212</v>
      </c>
      <c r="AG238" s="86">
        <f t="shared" si="201"/>
        <v>-9484.3395899999996</v>
      </c>
      <c r="AH238" s="85">
        <f t="shared" si="202"/>
        <v>6183.1314163678471</v>
      </c>
      <c r="AI238" s="85">
        <f t="shared" si="203"/>
        <v>-6485.4430690576937</v>
      </c>
      <c r="AJ238" s="90">
        <f t="shared" si="204"/>
        <v>6183.1314163678471</v>
      </c>
      <c r="AL238" s="95">
        <f t="shared" si="205"/>
        <v>0</v>
      </c>
      <c r="AM238" s="95">
        <f t="shared" si="206"/>
        <v>0</v>
      </c>
      <c r="AN238" s="95">
        <f t="shared" si="207"/>
        <v>0</v>
      </c>
      <c r="AO238" s="95">
        <f t="shared" si="208"/>
        <v>0</v>
      </c>
      <c r="AP238"/>
      <c r="AQ238" s="95">
        <f t="shared" si="209"/>
        <v>0</v>
      </c>
      <c r="AR238" s="95">
        <f t="shared" si="210"/>
        <v>0</v>
      </c>
      <c r="AS238" s="95">
        <f>Geraetedaten!$B$94*ABS(SIN(RADIANS($A238)))</f>
        <v>45.025242527301465</v>
      </c>
      <c r="AT238" s="95">
        <f>Geraetedaten!$B$94*ABS(COS(RADIANS($A238)))</f>
        <v>147.27093241830747</v>
      </c>
      <c r="AU238" s="95">
        <f>((h_Aw_Sw+Geraetedaten!$B$18)/1000)*(AQ238*AS238+AR238*AT238)/100</f>
        <v>0</v>
      </c>
    </row>
    <row r="239" spans="1:47" ht="13.5" x14ac:dyDescent="0.25">
      <c r="A239" s="16">
        <v>198</v>
      </c>
      <c r="B239" s="16">
        <f t="shared" si="177"/>
        <v>252</v>
      </c>
      <c r="C239" s="19">
        <f t="shared" si="178"/>
        <v>48.118580184686948</v>
      </c>
      <c r="D239" s="17">
        <f t="shared" si="179"/>
        <v>21567.890769815313</v>
      </c>
      <c r="E239" s="17">
        <f t="shared" si="180"/>
        <v>8897.6480398153126</v>
      </c>
      <c r="F239" s="17">
        <f t="shared" si="181"/>
        <v>-21409.689240184689</v>
      </c>
      <c r="G239" s="17">
        <f t="shared" si="182"/>
        <v>-9586.5996101846886</v>
      </c>
      <c r="H239" s="17">
        <f t="shared" si="183"/>
        <v>8897.6480398153126</v>
      </c>
      <c r="I239" s="17">
        <f t="shared" si="184"/>
        <v>866.73601847432212</v>
      </c>
      <c r="J239" s="20">
        <f>(Geraetedaten!$B$152+(Geraetedaten!$B$153*(Geraetedaten!$B$18+d_y_Sw)/1000))*10</f>
        <v>6051.0442000000003</v>
      </c>
      <c r="K239" s="20">
        <f>(Geraetedaten!$B$165+(Geraetedaten!$B$166*(Geraetedaten!$B$18+d_y_Sw)/1000))*10</f>
        <v>10816.164000000001</v>
      </c>
      <c r="L239" s="20">
        <f>(Geraetedaten!$B$158+(Geraetedaten!$B$159*(Geraetedaten!$B$18+d_y_Sw)/1000)-(Geraetedaten!$B$160*I239/1000))*10</f>
        <v>537.97884776527769</v>
      </c>
      <c r="M239" s="20">
        <f>(Geraetedaten!$B$171+(Geraetedaten!$B$172*(Geraetedaten!$B$18+d_y_Sw)/1000)-(Geraetedaten!$B$173*I239/1000))*10</f>
        <v>1000.3471707847724</v>
      </c>
      <c r="N239" s="20">
        <f>IF((H239-J239)/(K239-J239)*(Geraetedaten!$B$174-Geraetedaten!$B$161)&lt;Geraetedaten!$B$174,(H239-J239)/(K239-J239)*(Geraetedaten!$B$174-Geraetedaten!$B$161),Geraetedaten!$B$174)</f>
        <v>238.95339125075611</v>
      </c>
      <c r="O239" s="20">
        <f>N239/Geraetedaten!$B$174*(M239-L239)+L239+C239</f>
        <v>862.30862493104792</v>
      </c>
      <c r="P239" s="20">
        <f t="shared" si="185"/>
        <v>248.0127115789403</v>
      </c>
      <c r="Q239" s="21">
        <f>(N239-Geraetedaten!$B$161)/(Geraetedaten!$B$174-Geraetedaten!$B$161)*(Geraetedaten!$B$175-Geraetedaten!$B$162)+Geraetedaten!$B$162</f>
        <v>36.308863389709998</v>
      </c>
      <c r="R239" s="21">
        <f t="shared" si="186"/>
        <v>36.308863389709998</v>
      </c>
      <c r="S239" s="21">
        <f t="shared" si="187"/>
        <v>-11.220055833858744</v>
      </c>
      <c r="T239" s="88">
        <f t="shared" si="188"/>
        <v>-34.531781126054234</v>
      </c>
      <c r="U239" s="86">
        <f t="shared" si="189"/>
        <v>21616.00935</v>
      </c>
      <c r="V239" s="85">
        <f t="shared" si="190"/>
        <v>-2683.3128092763232</v>
      </c>
      <c r="W239" s="85">
        <f t="shared" si="191"/>
        <v>8654.4652630498622</v>
      </c>
      <c r="X239" s="90">
        <f t="shared" si="192"/>
        <v>2683.3128092763232</v>
      </c>
      <c r="Y239" s="86">
        <f t="shared" si="193"/>
        <v>8945.7666200000003</v>
      </c>
      <c r="Z239" s="85">
        <f t="shared" si="194"/>
        <v>-832.16398485565549</v>
      </c>
      <c r="AA239" s="85">
        <f t="shared" si="195"/>
        <v>866.73601847432212</v>
      </c>
      <c r="AB239" s="90">
        <f t="shared" si="196"/>
        <v>832.16398485565549</v>
      </c>
      <c r="AC239" s="86">
        <f t="shared" si="197"/>
        <v>-21361.570660000001</v>
      </c>
      <c r="AD239" s="85">
        <f t="shared" si="198"/>
        <v>2598.140025222212</v>
      </c>
      <c r="AE239" s="85">
        <f t="shared" si="199"/>
        <v>-8425.9669702488009</v>
      </c>
      <c r="AF239" s="90">
        <f t="shared" si="200"/>
        <v>2598.140025222212</v>
      </c>
      <c r="AG239" s="86">
        <f t="shared" si="201"/>
        <v>-9538.4810300000008</v>
      </c>
      <c r="AH239" s="85">
        <f t="shared" si="202"/>
        <v>6183.1314163678471</v>
      </c>
      <c r="AI239" s="85">
        <f t="shared" si="203"/>
        <v>-6522.465283597795</v>
      </c>
      <c r="AJ239" s="90">
        <f t="shared" si="204"/>
        <v>6183.1314163678471</v>
      </c>
      <c r="AL239" s="95">
        <f t="shared" si="205"/>
        <v>0</v>
      </c>
      <c r="AM239" s="95">
        <f t="shared" si="206"/>
        <v>0</v>
      </c>
      <c r="AN239" s="95">
        <f t="shared" si="207"/>
        <v>0</v>
      </c>
      <c r="AO239" s="95">
        <f t="shared" si="208"/>
        <v>0</v>
      </c>
      <c r="AP239"/>
      <c r="AQ239" s="95">
        <f t="shared" si="209"/>
        <v>0</v>
      </c>
      <c r="AR239" s="95">
        <f t="shared" si="210"/>
        <v>0</v>
      </c>
      <c r="AS239" s="95">
        <f>Geraetedaten!$B$94*ABS(SIN(RADIANS($A239)))</f>
        <v>47.588617133741884</v>
      </c>
      <c r="AT239" s="95">
        <f>Geraetedaten!$B$94*ABS(COS(RADIANS($A239)))</f>
        <v>146.46270350945366</v>
      </c>
      <c r="AU239" s="95">
        <f>((h_Aw_Sw+Geraetedaten!$B$18)/1000)*(AQ239*AS239+AR239*AT239)/100</f>
        <v>0</v>
      </c>
    </row>
    <row r="240" spans="1:47" ht="13.5" x14ac:dyDescent="0.25">
      <c r="A240" s="16">
        <v>199</v>
      </c>
      <c r="B240" s="16">
        <f t="shared" si="177"/>
        <v>251</v>
      </c>
      <c r="C240" s="19">
        <f t="shared" si="178"/>
        <v>49.004531136759482</v>
      </c>
      <c r="D240" s="17">
        <f t="shared" si="179"/>
        <v>20471.94760886324</v>
      </c>
      <c r="E240" s="17">
        <f t="shared" si="180"/>
        <v>8943.8394888632411</v>
      </c>
      <c r="F240" s="17">
        <f t="shared" si="181"/>
        <v>-20322.12599113676</v>
      </c>
      <c r="G240" s="17">
        <f t="shared" si="182"/>
        <v>-9645.1885611367597</v>
      </c>
      <c r="H240" s="17">
        <f t="shared" si="183"/>
        <v>8943.8394888632411</v>
      </c>
      <c r="I240" s="17">
        <f t="shared" si="184"/>
        <v>871.29724641901123</v>
      </c>
      <c r="J240" s="20">
        <f>(Geraetedaten!$B$152+(Geraetedaten!$B$153*(Geraetedaten!$B$18+d_y_Sw)/1000))*10</f>
        <v>6051.0442000000003</v>
      </c>
      <c r="K240" s="20">
        <f>(Geraetedaten!$B$165+(Geraetedaten!$B$166*(Geraetedaten!$B$18+d_y_Sw)/1000))*10</f>
        <v>10816.164000000001</v>
      </c>
      <c r="L240" s="20">
        <f>(Geraetedaten!$B$158+(Geraetedaten!$B$159*(Geraetedaten!$B$18+d_y_Sw)/1000)-(Geraetedaten!$B$160*I240/1000))*10</f>
        <v>537.6443729200937</v>
      </c>
      <c r="M240" s="20">
        <f>(Geraetedaten!$B$171+(Geraetedaten!$B$172*(Geraetedaten!$B$18+d_y_Sw)/1000)-(Geraetedaten!$B$173*I240/1000))*10</f>
        <v>1000.0076329765698</v>
      </c>
      <c r="N240" s="20">
        <f>IF((H240-J240)/(K240-J240)*(Geraetedaten!$B$174-Geraetedaten!$B$161)&lt;Geraetedaten!$B$174,(H240-J240)/(K240-J240)*(Geraetedaten!$B$174-Geraetedaten!$B$161),Geraetedaten!$B$174)</f>
        <v>242.83085507006481</v>
      </c>
      <c r="O240" s="20">
        <f>N240/Geraetedaten!$B$174*(M240-L240)+L240+C240</f>
        <v>867.33906853809526</v>
      </c>
      <c r="P240" s="20">
        <f t="shared" si="185"/>
        <v>248.68215250329314</v>
      </c>
      <c r="Q240" s="21">
        <f>(N240-Geraetedaten!$B$161)/(Geraetedaten!$B$174-Geraetedaten!$B$161)*(Geraetedaten!$B$175-Geraetedaten!$B$162)+Geraetedaten!$B$162</f>
        <v>36.424217938334429</v>
      </c>
      <c r="R240" s="21">
        <f t="shared" si="186"/>
        <v>36.424217938334429</v>
      </c>
      <c r="S240" s="21">
        <f t="shared" si="187"/>
        <v>-11.858565411728803</v>
      </c>
      <c r="T240" s="88">
        <f t="shared" si="188"/>
        <v>-34.439774662373054</v>
      </c>
      <c r="U240" s="86">
        <f t="shared" si="189"/>
        <v>20520.952140000001</v>
      </c>
      <c r="V240" s="85">
        <f t="shared" si="190"/>
        <v>-2683.3128092763232</v>
      </c>
      <c r="W240" s="85">
        <f t="shared" si="191"/>
        <v>8216.0339864140624</v>
      </c>
      <c r="X240" s="90">
        <f t="shared" si="192"/>
        <v>2683.3128092763232</v>
      </c>
      <c r="Y240" s="86">
        <f t="shared" si="193"/>
        <v>8992.8440200000005</v>
      </c>
      <c r="Z240" s="85">
        <f t="shared" si="194"/>
        <v>-832.16398485565549</v>
      </c>
      <c r="AA240" s="85">
        <f t="shared" si="195"/>
        <v>871.29724641901123</v>
      </c>
      <c r="AB240" s="90">
        <f t="shared" si="196"/>
        <v>832.16398485565549</v>
      </c>
      <c r="AC240" s="86">
        <f t="shared" si="197"/>
        <v>-20273.121459999998</v>
      </c>
      <c r="AD240" s="85">
        <f t="shared" si="198"/>
        <v>2598.140025222212</v>
      </c>
      <c r="AE240" s="85">
        <f t="shared" si="199"/>
        <v>-7996.6335109145302</v>
      </c>
      <c r="AF240" s="90">
        <f t="shared" si="200"/>
        <v>2598.140025222212</v>
      </c>
      <c r="AG240" s="86">
        <f t="shared" si="201"/>
        <v>-9596.1840300000003</v>
      </c>
      <c r="AH240" s="85">
        <f t="shared" si="202"/>
        <v>6183.1314163678471</v>
      </c>
      <c r="AI240" s="85">
        <f t="shared" si="203"/>
        <v>-6561.9229093313961</v>
      </c>
      <c r="AJ240" s="90">
        <f t="shared" si="204"/>
        <v>6183.1314163678471</v>
      </c>
      <c r="AL240" s="95">
        <f t="shared" si="205"/>
        <v>0</v>
      </c>
      <c r="AM240" s="95">
        <f t="shared" si="206"/>
        <v>0</v>
      </c>
      <c r="AN240" s="95">
        <f t="shared" si="207"/>
        <v>0</v>
      </c>
      <c r="AO240" s="95">
        <f t="shared" si="208"/>
        <v>0</v>
      </c>
      <c r="AP240"/>
      <c r="AQ240" s="95">
        <f t="shared" si="209"/>
        <v>0</v>
      </c>
      <c r="AR240" s="95">
        <f t="shared" si="210"/>
        <v>0</v>
      </c>
      <c r="AS240" s="95">
        <f>Geraetedaten!$B$94*ABS(SIN(RADIANS($A240)))</f>
        <v>50.137495786402141</v>
      </c>
      <c r="AT240" s="95">
        <f>Geraetedaten!$B$94*ABS(COS(RADIANS($A240)))</f>
        <v>145.60986064229479</v>
      </c>
      <c r="AU240" s="95">
        <f>((h_Aw_Sw+Geraetedaten!$B$18)/1000)*(AQ240*AS240+AR240*AT240)/100</f>
        <v>0</v>
      </c>
    </row>
    <row r="241" spans="1:47" ht="13.5" x14ac:dyDescent="0.25">
      <c r="A241" s="16">
        <v>200</v>
      </c>
      <c r="B241" s="16">
        <f t="shared" si="177"/>
        <v>250</v>
      </c>
      <c r="C241" s="19">
        <f t="shared" si="178"/>
        <v>49.875554833930195</v>
      </c>
      <c r="D241" s="17">
        <f t="shared" si="179"/>
        <v>19487.284165166071</v>
      </c>
      <c r="E241" s="17">
        <f t="shared" si="180"/>
        <v>8993.3131951660689</v>
      </c>
      <c r="F241" s="17">
        <f t="shared" si="181"/>
        <v>-19345.683574833929</v>
      </c>
      <c r="G241" s="17">
        <f t="shared" si="182"/>
        <v>-9707.4246748339301</v>
      </c>
      <c r="H241" s="17">
        <f t="shared" si="183"/>
        <v>8993.3131951660689</v>
      </c>
      <c r="I241" s="17">
        <f t="shared" si="184"/>
        <v>876.17503893630965</v>
      </c>
      <c r="J241" s="20">
        <f>(Geraetedaten!$B$152+(Geraetedaten!$B$153*(Geraetedaten!$B$18+d_y_Sw)/1000))*10</f>
        <v>6051.0442000000003</v>
      </c>
      <c r="K241" s="20">
        <f>(Geraetedaten!$B$165+(Geraetedaten!$B$166*(Geraetedaten!$B$18+d_y_Sw)/1000))*10</f>
        <v>10816.164000000001</v>
      </c>
      <c r="L241" s="20">
        <f>(Geraetedaten!$B$158+(Geraetedaten!$B$159*(Geraetedaten!$B$18+d_y_Sw)/1000)-(Geraetedaten!$B$160*I241/1000))*10</f>
        <v>537.2866843948002</v>
      </c>
      <c r="M241" s="20">
        <f>(Geraetedaten!$B$171+(Geraetedaten!$B$172*(Geraetedaten!$B$18+d_y_Sw)/1000)-(Geraetedaten!$B$173*I241/1000))*10</f>
        <v>999.64453010158206</v>
      </c>
      <c r="N241" s="20">
        <f>IF((H241-J241)/(K241-J241)*(Geraetedaten!$B$174-Geraetedaten!$B$161)&lt;Geraetedaten!$B$174,(H241-J241)/(K241-J241)*(Geraetedaten!$B$174-Geraetedaten!$B$161),Geraetedaten!$B$174)</f>
        <v>246.98384247683077</v>
      </c>
      <c r="O241" s="20">
        <f>N241/Geraetedaten!$B$174*(M241-L241)+L241+C241</f>
        <v>872.64953255865703</v>
      </c>
      <c r="P241" s="20">
        <f t="shared" si="185"/>
        <v>249.37237027797354</v>
      </c>
      <c r="Q241" s="21">
        <f>(N241-Geraetedaten!$B$161)/(Geraetedaten!$B$174-Geraetedaten!$B$161)*(Geraetedaten!$B$175-Geraetedaten!$B$162)+Geraetedaten!$B$162</f>
        <v>36.54776931368572</v>
      </c>
      <c r="R241" s="21">
        <f t="shared" si="186"/>
        <v>36.54776931368572</v>
      </c>
      <c r="S241" s="21">
        <f t="shared" si="187"/>
        <v>-12.500073298900265</v>
      </c>
      <c r="T241" s="88">
        <f t="shared" si="188"/>
        <v>-34.343669130256139</v>
      </c>
      <c r="U241" s="86">
        <f t="shared" si="189"/>
        <v>19537.15972</v>
      </c>
      <c r="V241" s="85">
        <f t="shared" si="190"/>
        <v>-2683.3128092763232</v>
      </c>
      <c r="W241" s="85">
        <f t="shared" si="191"/>
        <v>7822.1501193585818</v>
      </c>
      <c r="X241" s="90">
        <f t="shared" si="192"/>
        <v>2683.3128092763232</v>
      </c>
      <c r="Y241" s="86">
        <f t="shared" si="193"/>
        <v>9043.1887499999993</v>
      </c>
      <c r="Z241" s="85">
        <f t="shared" si="194"/>
        <v>-832.16398485565549</v>
      </c>
      <c r="AA241" s="85">
        <f t="shared" si="195"/>
        <v>876.17503893630965</v>
      </c>
      <c r="AB241" s="90">
        <f t="shared" si="196"/>
        <v>832.16398485565549</v>
      </c>
      <c r="AC241" s="86">
        <f t="shared" si="197"/>
        <v>-19295.80802</v>
      </c>
      <c r="AD241" s="85">
        <f t="shared" si="198"/>
        <v>2598.140025222212</v>
      </c>
      <c r="AE241" s="85">
        <f t="shared" si="199"/>
        <v>-7611.1370081158293</v>
      </c>
      <c r="AF241" s="90">
        <f t="shared" si="200"/>
        <v>2598.140025222212</v>
      </c>
      <c r="AG241" s="86">
        <f t="shared" si="201"/>
        <v>-9657.5491199999997</v>
      </c>
      <c r="AH241" s="85">
        <f t="shared" si="202"/>
        <v>6183.1314163678471</v>
      </c>
      <c r="AI241" s="85">
        <f t="shared" si="203"/>
        <v>-6603.8846886558113</v>
      </c>
      <c r="AJ241" s="90">
        <f t="shared" si="204"/>
        <v>6183.1314163678471</v>
      </c>
      <c r="AL241" s="95">
        <f t="shared" si="205"/>
        <v>0</v>
      </c>
      <c r="AM241" s="95">
        <f t="shared" si="206"/>
        <v>0</v>
      </c>
      <c r="AN241" s="95">
        <f t="shared" si="207"/>
        <v>0</v>
      </c>
      <c r="AO241" s="95">
        <f t="shared" si="208"/>
        <v>0</v>
      </c>
      <c r="AP241"/>
      <c r="AQ241" s="95">
        <f t="shared" si="209"/>
        <v>0</v>
      </c>
      <c r="AR241" s="95">
        <f t="shared" si="210"/>
        <v>0</v>
      </c>
      <c r="AS241" s="95">
        <f>Geraetedaten!$B$94*ABS(SIN(RADIANS($A241)))</f>
        <v>52.671102072152976</v>
      </c>
      <c r="AT241" s="95">
        <f>Geraetedaten!$B$94*ABS(COS(RADIANS($A241)))</f>
        <v>144.7126636010299</v>
      </c>
      <c r="AU241" s="95">
        <f>((h_Aw_Sw+Geraetedaten!$B$18)/1000)*(AQ241*AS241+AR241*AT241)/100</f>
        <v>0</v>
      </c>
    </row>
    <row r="242" spans="1:47" ht="13.5" x14ac:dyDescent="0.25">
      <c r="A242" s="16">
        <v>201</v>
      </c>
      <c r="B242" s="16">
        <f t="shared" si="177"/>
        <v>249</v>
      </c>
      <c r="C242" s="19">
        <f t="shared" si="178"/>
        <v>50.731385953943175</v>
      </c>
      <c r="D242" s="17">
        <f t="shared" si="179"/>
        <v>18598.069104046059</v>
      </c>
      <c r="E242" s="17">
        <f t="shared" si="180"/>
        <v>9046.1555640460574</v>
      </c>
      <c r="F242" s="17">
        <f t="shared" si="181"/>
        <v>-18464.470845953943</v>
      </c>
      <c r="G242" s="17">
        <f t="shared" si="182"/>
        <v>-9773.4161559539425</v>
      </c>
      <c r="H242" s="17">
        <f t="shared" si="183"/>
        <v>9046.1555640460574</v>
      </c>
      <c r="I242" s="17">
        <f t="shared" si="184"/>
        <v>881.37774139252065</v>
      </c>
      <c r="J242" s="20">
        <f>(Geraetedaten!$B$152+(Geraetedaten!$B$153*(Geraetedaten!$B$18+d_y_Sw)/1000))*10</f>
        <v>6051.0442000000003</v>
      </c>
      <c r="K242" s="20">
        <f>(Geraetedaten!$B$165+(Geraetedaten!$B$166*(Geraetedaten!$B$18+d_y_Sw)/1000))*10</f>
        <v>10816.164000000001</v>
      </c>
      <c r="L242" s="20">
        <f>(Geraetedaten!$B$158+(Geraetedaten!$B$159*(Geraetedaten!$B$18+d_y_Sw)/1000)-(Geraetedaten!$B$160*I242/1000))*10</f>
        <v>536.90517022368624</v>
      </c>
      <c r="M242" s="20">
        <f>(Geraetedaten!$B$171+(Geraetedaten!$B$172*(Geraetedaten!$B$18+d_y_Sw)/1000)-(Geraetedaten!$B$173*I242/1000))*10</f>
        <v>999.25724093074166</v>
      </c>
      <c r="N242" s="20">
        <f>IF((H242-J242)/(K242-J242)*(Geraetedaten!$B$174-Geraetedaten!$B$161)&lt;Geraetedaten!$B$174,(H242-J242)/(K242-J242)*(Geraetedaten!$B$174-Geraetedaten!$B$161),Geraetedaten!$B$174)</f>
        <v>251.41960662110168</v>
      </c>
      <c r="O242" s="20">
        <f>N242/Geraetedaten!$B$174*(M242-L242)+L242+C242</f>
        <v>878.2474955216785</v>
      </c>
      <c r="P242" s="20">
        <f t="shared" si="185"/>
        <v>250.08338287014007</v>
      </c>
      <c r="Q242" s="21">
        <f>(N242-Geraetedaten!$B$161)/(Geraetedaten!$B$174-Geraetedaten!$B$161)*(Geraetedaten!$B$175-Geraetedaten!$B$162)+Geraetedaten!$B$162</f>
        <v>36.679733296977773</v>
      </c>
      <c r="R242" s="21">
        <f t="shared" si="186"/>
        <v>36.679733296977773</v>
      </c>
      <c r="S242" s="21">
        <f t="shared" si="187"/>
        <v>-13.144840811506407</v>
      </c>
      <c r="T242" s="88">
        <f t="shared" si="188"/>
        <v>-34.243481055196121</v>
      </c>
      <c r="U242" s="86">
        <f t="shared" si="189"/>
        <v>18648.800490000001</v>
      </c>
      <c r="V242" s="85">
        <f t="shared" si="190"/>
        <v>-2683.3128092763232</v>
      </c>
      <c r="W242" s="85">
        <f t="shared" si="191"/>
        <v>7466.4751215932984</v>
      </c>
      <c r="X242" s="90">
        <f t="shared" si="192"/>
        <v>2683.3128092763232</v>
      </c>
      <c r="Y242" s="86">
        <f t="shared" si="193"/>
        <v>9096.8869500000001</v>
      </c>
      <c r="Z242" s="85">
        <f t="shared" si="194"/>
        <v>-832.16398485565549</v>
      </c>
      <c r="AA242" s="85">
        <f t="shared" si="195"/>
        <v>881.37774139252065</v>
      </c>
      <c r="AB242" s="90">
        <f t="shared" si="196"/>
        <v>832.16398485565549</v>
      </c>
      <c r="AC242" s="86">
        <f t="shared" si="197"/>
        <v>-18413.739460000001</v>
      </c>
      <c r="AD242" s="85">
        <f t="shared" si="198"/>
        <v>2598.140025222212</v>
      </c>
      <c r="AE242" s="85">
        <f t="shared" si="199"/>
        <v>-7263.209382220909</v>
      </c>
      <c r="AF242" s="90">
        <f t="shared" si="200"/>
        <v>2598.140025222212</v>
      </c>
      <c r="AG242" s="86">
        <f t="shared" si="201"/>
        <v>-9722.6847699999998</v>
      </c>
      <c r="AH242" s="85">
        <f t="shared" si="202"/>
        <v>6183.1314163678471</v>
      </c>
      <c r="AI242" s="85">
        <f t="shared" si="203"/>
        <v>-6648.4247995235237</v>
      </c>
      <c r="AJ242" s="90">
        <f t="shared" si="204"/>
        <v>6183.1314163678471</v>
      </c>
      <c r="AL242" s="95">
        <f t="shared" si="205"/>
        <v>0</v>
      </c>
      <c r="AM242" s="95">
        <f t="shared" si="206"/>
        <v>0</v>
      </c>
      <c r="AN242" s="95">
        <f t="shared" si="207"/>
        <v>0</v>
      </c>
      <c r="AO242" s="95">
        <f t="shared" si="208"/>
        <v>0</v>
      </c>
      <c r="AP242"/>
      <c r="AQ242" s="95">
        <f t="shared" si="209"/>
        <v>0</v>
      </c>
      <c r="AR242" s="95">
        <f t="shared" si="210"/>
        <v>0</v>
      </c>
      <c r="AS242" s="95">
        <f>Geraetedaten!$B$94*ABS(SIN(RADIANS($A242)))</f>
        <v>55.188664229976268</v>
      </c>
      <c r="AT242" s="95">
        <f>Geraetedaten!$B$94*ABS(COS(RADIANS($A242)))</f>
        <v>143.77138568056907</v>
      </c>
      <c r="AU242" s="95">
        <f>((h_Aw_Sw+Geraetedaten!$B$18)/1000)*(AQ242*AS242+AR242*AT242)/100</f>
        <v>0</v>
      </c>
    </row>
    <row r="243" spans="1:47" ht="13.5" x14ac:dyDescent="0.25">
      <c r="A243" s="16">
        <v>202</v>
      </c>
      <c r="B243" s="16">
        <f t="shared" si="177"/>
        <v>248</v>
      </c>
      <c r="C243" s="19">
        <f t="shared" si="178"/>
        <v>51.57176380234857</v>
      </c>
      <c r="D243" s="17">
        <f t="shared" si="179"/>
        <v>17791.342366197652</v>
      </c>
      <c r="E243" s="17">
        <f t="shared" si="180"/>
        <v>9102.4599761976515</v>
      </c>
      <c r="F243" s="17">
        <f t="shared" si="181"/>
        <v>-17665.492103802349</v>
      </c>
      <c r="G243" s="17">
        <f t="shared" si="182"/>
        <v>-9843.2796638023483</v>
      </c>
      <c r="H243" s="17">
        <f t="shared" si="183"/>
        <v>9102.4599761976515</v>
      </c>
      <c r="I243" s="17">
        <f t="shared" si="184"/>
        <v>886.91437644011819</v>
      </c>
      <c r="J243" s="20">
        <f>(Geraetedaten!$B$152+(Geraetedaten!$B$153*(Geraetedaten!$B$18+d_y_Sw)/1000))*10</f>
        <v>6051.0442000000003</v>
      </c>
      <c r="K243" s="20">
        <f>(Geraetedaten!$B$165+(Geraetedaten!$B$166*(Geraetedaten!$B$18+d_y_Sw)/1000))*10</f>
        <v>10816.164000000001</v>
      </c>
      <c r="L243" s="20">
        <f>(Geraetedaten!$B$158+(Geraetedaten!$B$159*(Geraetedaten!$B$18+d_y_Sw)/1000)-(Geraetedaten!$B$160*I243/1000))*10</f>
        <v>536.4991687756459</v>
      </c>
      <c r="M243" s="20">
        <f>(Geraetedaten!$B$171+(Geraetedaten!$B$172*(Geraetedaten!$B$18+d_y_Sw)/1000)-(Geraetedaten!$B$173*I243/1000))*10</f>
        <v>998.84509381779844</v>
      </c>
      <c r="N243" s="20">
        <f>IF((H243-J243)/(K243-J243)*(Geraetedaten!$B$174-Geraetedaten!$B$161)&lt;Geraetedaten!$B$174,(H243-J243)/(K243-J243)*(Geraetedaten!$B$174-Geraetedaten!$B$161),Geraetedaten!$B$174)</f>
        <v>256.14598618885941</v>
      </c>
      <c r="O243" s="20">
        <f>N243/Geraetedaten!$B$174*(M243-L243)+L243+C243</f>
        <v>884.14106490380107</v>
      </c>
      <c r="P243" s="20">
        <f t="shared" si="185"/>
        <v>250.81522530042957</v>
      </c>
      <c r="Q243" s="21">
        <f>(N243-Geraetedaten!$B$161)/(Geraetedaten!$B$174-Geraetedaten!$B$161)*(Geraetedaten!$B$175-Geraetedaten!$B$162)+Geraetedaten!$B$162</f>
        <v>36.820343089118566</v>
      </c>
      <c r="R243" s="21">
        <f t="shared" si="186"/>
        <v>36.820343089118566</v>
      </c>
      <c r="S243" s="21">
        <f t="shared" si="187"/>
        <v>-13.793143293019824</v>
      </c>
      <c r="T243" s="88">
        <f t="shared" si="188"/>
        <v>-34.139227631840527</v>
      </c>
      <c r="U243" s="86">
        <f t="shared" si="189"/>
        <v>17842.914130000001</v>
      </c>
      <c r="V243" s="85">
        <f t="shared" si="190"/>
        <v>-2683.3128092763232</v>
      </c>
      <c r="W243" s="85">
        <f t="shared" si="191"/>
        <v>7143.8200286905694</v>
      </c>
      <c r="X243" s="90">
        <f t="shared" si="192"/>
        <v>2683.3128092763232</v>
      </c>
      <c r="Y243" s="86">
        <f t="shared" si="193"/>
        <v>9154.0317400000004</v>
      </c>
      <c r="Z243" s="85">
        <f t="shared" si="194"/>
        <v>-832.16398485565549</v>
      </c>
      <c r="AA243" s="85">
        <f t="shared" si="195"/>
        <v>886.91437644011819</v>
      </c>
      <c r="AB243" s="90">
        <f t="shared" si="196"/>
        <v>832.16398485565549</v>
      </c>
      <c r="AC243" s="86">
        <f t="shared" si="197"/>
        <v>-17613.920340000001</v>
      </c>
      <c r="AD243" s="85">
        <f t="shared" si="198"/>
        <v>2598.140025222212</v>
      </c>
      <c r="AE243" s="85">
        <f t="shared" si="199"/>
        <v>-6947.7246454712467</v>
      </c>
      <c r="AF243" s="90">
        <f t="shared" si="200"/>
        <v>2598.140025222212</v>
      </c>
      <c r="AG243" s="86">
        <f t="shared" si="201"/>
        <v>-9791.7078999999994</v>
      </c>
      <c r="AH243" s="85">
        <f t="shared" si="202"/>
        <v>6183.1314163678471</v>
      </c>
      <c r="AI243" s="85">
        <f t="shared" si="203"/>
        <v>-6695.6231953623465</v>
      </c>
      <c r="AJ243" s="90">
        <f t="shared" si="204"/>
        <v>6183.1314163678471</v>
      </c>
      <c r="AL243" s="95">
        <f t="shared" si="205"/>
        <v>0</v>
      </c>
      <c r="AM243" s="95">
        <f t="shared" si="206"/>
        <v>0</v>
      </c>
      <c r="AN243" s="95">
        <f t="shared" si="207"/>
        <v>0</v>
      </c>
      <c r="AO243" s="95">
        <f t="shared" si="208"/>
        <v>0</v>
      </c>
      <c r="AP243"/>
      <c r="AQ243" s="95">
        <f t="shared" si="209"/>
        <v>0</v>
      </c>
      <c r="AR243" s="95">
        <f t="shared" si="210"/>
        <v>0</v>
      </c>
      <c r="AS243" s="95">
        <f>Geraetedaten!$B$94*ABS(SIN(RADIANS($A243)))</f>
        <v>57.689415386050449</v>
      </c>
      <c r="AT243" s="95">
        <f>Geraetedaten!$B$94*ABS(COS(RADIANS($A243)))</f>
        <v>142.78631360328527</v>
      </c>
      <c r="AU243" s="95">
        <f>((h_Aw_Sw+Geraetedaten!$B$18)/1000)*(AQ243*AS243+AR243*AT243)/100</f>
        <v>0</v>
      </c>
    </row>
    <row r="244" spans="1:47" ht="13.5" x14ac:dyDescent="0.25">
      <c r="A244" s="16">
        <v>203</v>
      </c>
      <c r="B244" s="16">
        <f t="shared" si="177"/>
        <v>247</v>
      </c>
      <c r="C244" s="19">
        <f t="shared" si="178"/>
        <v>52.396432391912882</v>
      </c>
      <c r="D244" s="17">
        <f t="shared" si="179"/>
        <v>17056.392657608085</v>
      </c>
      <c r="E244" s="17">
        <f t="shared" si="180"/>
        <v>9162.3272076080866</v>
      </c>
      <c r="F244" s="17">
        <f t="shared" si="181"/>
        <v>-16938.016552391913</v>
      </c>
      <c r="G244" s="17">
        <f t="shared" si="182"/>
        <v>-9917.1408723919139</v>
      </c>
      <c r="H244" s="17">
        <f t="shared" si="183"/>
        <v>9162.3272076080866</v>
      </c>
      <c r="I244" s="17">
        <f t="shared" si="184"/>
        <v>892.79468430196073</v>
      </c>
      <c r="J244" s="20">
        <f>(Geraetedaten!$B$152+(Geraetedaten!$B$153*(Geraetedaten!$B$18+d_y_Sw)/1000))*10</f>
        <v>6051.0442000000003</v>
      </c>
      <c r="K244" s="20">
        <f>(Geraetedaten!$B$165+(Geraetedaten!$B$166*(Geraetedaten!$B$18+d_y_Sw)/1000))*10</f>
        <v>10816.164000000001</v>
      </c>
      <c r="L244" s="20">
        <f>(Geraetedaten!$B$158+(Geraetedaten!$B$159*(Geraetedaten!$B$18+d_y_Sw)/1000)-(Geraetedaten!$B$160*I244/1000))*10</f>
        <v>536.06796580013702</v>
      </c>
      <c r="M244" s="20">
        <f>(Geraetedaten!$B$171+(Geraetedaten!$B$172*(Geraetedaten!$B$18+d_y_Sw)/1000)-(Geraetedaten!$B$173*I244/1000))*10</f>
        <v>998.40736370056311</v>
      </c>
      <c r="N244" s="20">
        <f>IF((H244-J244)/(K244-J244)*(Geraetedaten!$B$174-Geraetedaten!$B$161)&lt;Geraetedaten!$B$174,(H244-J244)/(K244-J244)*(Geraetedaten!$B$174-Geraetedaten!$B$161),Geraetedaten!$B$174)</f>
        <v>261.17144065155185</v>
      </c>
      <c r="O244" s="20">
        <f>N244/Geraetedaten!$B$174*(M244-L244)+L244+C244</f>
        <v>890.33901474111326</v>
      </c>
      <c r="P244" s="20">
        <f t="shared" si="185"/>
        <v>251.56794991582936</v>
      </c>
      <c r="Q244" s="21">
        <f>(N244-Geraetedaten!$B$161)/(Geraetedaten!$B$174-Geraetedaten!$B$161)*(Geraetedaten!$B$175-Geraetedaten!$B$162)+Geraetedaten!$B$162</f>
        <v>36.96985035938367</v>
      </c>
      <c r="R244" s="21">
        <f t="shared" si="186"/>
        <v>36.96985035938367</v>
      </c>
      <c r="S244" s="21">
        <f t="shared" si="187"/>
        <v>-14.445271351001557</v>
      </c>
      <c r="T244" s="88">
        <f t="shared" si="188"/>
        <v>-34.030926687223115</v>
      </c>
      <c r="U244" s="86">
        <f t="shared" si="189"/>
        <v>17108.789089999998</v>
      </c>
      <c r="V244" s="85">
        <f t="shared" si="190"/>
        <v>-2683.3128092763232</v>
      </c>
      <c r="W244" s="85">
        <f t="shared" si="191"/>
        <v>6849.8962249343367</v>
      </c>
      <c r="X244" s="90">
        <f t="shared" si="192"/>
        <v>2683.3128092763232</v>
      </c>
      <c r="Y244" s="86">
        <f t="shared" si="193"/>
        <v>9214.7236400000002</v>
      </c>
      <c r="Z244" s="85">
        <f t="shared" si="194"/>
        <v>-832.16398485565549</v>
      </c>
      <c r="AA244" s="85">
        <f t="shared" si="195"/>
        <v>892.79468430196073</v>
      </c>
      <c r="AB244" s="90">
        <f t="shared" si="196"/>
        <v>832.16398485565549</v>
      </c>
      <c r="AC244" s="86">
        <f t="shared" si="197"/>
        <v>-16885.62012</v>
      </c>
      <c r="AD244" s="85">
        <f t="shared" si="198"/>
        <v>2598.140025222212</v>
      </c>
      <c r="AE244" s="85">
        <f t="shared" si="199"/>
        <v>-6660.4501923853813</v>
      </c>
      <c r="AF244" s="90">
        <f t="shared" si="200"/>
        <v>2598.140025222212</v>
      </c>
      <c r="AG244" s="86">
        <f t="shared" si="201"/>
        <v>-9864.7444400000004</v>
      </c>
      <c r="AH244" s="85">
        <f t="shared" si="202"/>
        <v>6183.1314163678471</v>
      </c>
      <c r="AI244" s="85">
        <f t="shared" si="203"/>
        <v>-6745.5659791233884</v>
      </c>
      <c r="AJ244" s="90">
        <f t="shared" si="204"/>
        <v>6183.1314163678471</v>
      </c>
      <c r="AL244" s="95">
        <f t="shared" si="205"/>
        <v>0</v>
      </c>
      <c r="AM244" s="95">
        <f t="shared" si="206"/>
        <v>0</v>
      </c>
      <c r="AN244" s="95">
        <f t="shared" si="207"/>
        <v>0</v>
      </c>
      <c r="AO244" s="95">
        <f t="shared" si="208"/>
        <v>0</v>
      </c>
      <c r="AP244"/>
      <c r="AQ244" s="95">
        <f t="shared" si="209"/>
        <v>0</v>
      </c>
      <c r="AR244" s="95">
        <f t="shared" si="210"/>
        <v>0</v>
      </c>
      <c r="AS244" s="95">
        <f>Geraetedaten!$B$94*ABS(SIN(RADIANS($A244)))</f>
        <v>60.172593787348127</v>
      </c>
      <c r="AT244" s="95">
        <f>Geraetedaten!$B$94*ABS(COS(RADIANS($A244)))</f>
        <v>141.75774743167582</v>
      </c>
      <c r="AU244" s="95">
        <f>((h_Aw_Sw+Geraetedaten!$B$18)/1000)*(AQ244*AS244+AR244*AT244)/100</f>
        <v>0</v>
      </c>
    </row>
    <row r="245" spans="1:47" ht="13.5" x14ac:dyDescent="0.25">
      <c r="A245" s="16">
        <v>204</v>
      </c>
      <c r="B245" s="16">
        <f t="shared" si="177"/>
        <v>246</v>
      </c>
      <c r="C245" s="19">
        <f t="shared" si="178"/>
        <v>53.205140520595009</v>
      </c>
      <c r="D245" s="17">
        <f t="shared" si="179"/>
        <v>16384.290169479402</v>
      </c>
      <c r="E245" s="17">
        <f t="shared" si="180"/>
        <v>9225.8659194794054</v>
      </c>
      <c r="F245" s="17">
        <f t="shared" si="181"/>
        <v>-16273.105710520595</v>
      </c>
      <c r="G245" s="17">
        <f t="shared" si="182"/>
        <v>-9995.135040520594</v>
      </c>
      <c r="H245" s="17">
        <f t="shared" si="183"/>
        <v>9225.8659194794054</v>
      </c>
      <c r="I245" s="17">
        <f t="shared" si="184"/>
        <v>899.02916711469504</v>
      </c>
      <c r="J245" s="20">
        <f>(Geraetedaten!$B$152+(Geraetedaten!$B$153*(Geraetedaten!$B$18+d_y_Sw)/1000))*10</f>
        <v>6051.0442000000003</v>
      </c>
      <c r="K245" s="20">
        <f>(Geraetedaten!$B$165+(Geraetedaten!$B$166*(Geraetedaten!$B$18+d_y_Sw)/1000))*10</f>
        <v>10816.164000000001</v>
      </c>
      <c r="L245" s="20">
        <f>(Geraetedaten!$B$158+(Geraetedaten!$B$159*(Geraetedaten!$B$18+d_y_Sw)/1000)-(Geraetedaten!$B$160*I245/1000))*10</f>
        <v>535.61079117547922</v>
      </c>
      <c r="M245" s="20">
        <f>(Geraetedaten!$B$171+(Geraetedaten!$B$172*(Geraetedaten!$B$18+d_y_Sw)/1000)-(Geraetedaten!$B$173*I245/1000))*10</f>
        <v>997.94326879998312</v>
      </c>
      <c r="N245" s="20">
        <f>IF((H245-J245)/(K245-J245)*(Geraetedaten!$B$174-Geraetedaten!$B$161)&lt;Geraetedaten!$B$174,(H245-J245)/(K245-J245)*(Geraetedaten!$B$174-Geraetedaten!$B$161),Geraetedaten!$B$174)</f>
        <v>266.50509139177615</v>
      </c>
      <c r="O245" s="20">
        <f>N245/Geraetedaten!$B$174*(M245-L245)+L245+C245</f>
        <v>896.85082970283599</v>
      </c>
      <c r="P245" s="20">
        <f t="shared" si="185"/>
        <v>252.34162694649555</v>
      </c>
      <c r="Q245" s="21">
        <f>(N245-Geraetedaten!$B$161)/(Geraetedaten!$B$174-Geraetedaten!$B$161)*(Geraetedaten!$B$175-Geraetedaten!$B$162)+Geraetedaten!$B$162</f>
        <v>37.128526468905342</v>
      </c>
      <c r="R245" s="21">
        <f t="shared" si="186"/>
        <v>37.128526468905342</v>
      </c>
      <c r="S245" s="21">
        <f t="shared" si="187"/>
        <v>-15.101532218313553</v>
      </c>
      <c r="T245" s="88">
        <f t="shared" si="188"/>
        <v>-33.918596704631547</v>
      </c>
      <c r="U245" s="86">
        <f t="shared" si="189"/>
        <v>16437.495309999998</v>
      </c>
      <c r="V245" s="85">
        <f t="shared" si="190"/>
        <v>-2683.3128092763232</v>
      </c>
      <c r="W245" s="85">
        <f t="shared" si="191"/>
        <v>6581.1283622388291</v>
      </c>
      <c r="X245" s="90">
        <f t="shared" si="192"/>
        <v>2683.3128092763232</v>
      </c>
      <c r="Y245" s="86">
        <f t="shared" si="193"/>
        <v>9279.0710600000002</v>
      </c>
      <c r="Z245" s="85">
        <f t="shared" si="194"/>
        <v>-832.16398485565549</v>
      </c>
      <c r="AA245" s="85">
        <f t="shared" si="195"/>
        <v>899.02916711469504</v>
      </c>
      <c r="AB245" s="90">
        <f t="shared" si="196"/>
        <v>832.16398485565549</v>
      </c>
      <c r="AC245" s="86">
        <f t="shared" si="197"/>
        <v>-16219.90057</v>
      </c>
      <c r="AD245" s="85">
        <f t="shared" si="198"/>
        <v>2598.140025222212</v>
      </c>
      <c r="AE245" s="85">
        <f t="shared" si="199"/>
        <v>-6397.8603723242368</v>
      </c>
      <c r="AF245" s="90">
        <f t="shared" si="200"/>
        <v>2598.140025222212</v>
      </c>
      <c r="AG245" s="86">
        <f t="shared" si="201"/>
        <v>-9941.9298999999992</v>
      </c>
      <c r="AH245" s="85">
        <f t="shared" si="202"/>
        <v>6183.1314163678471</v>
      </c>
      <c r="AI245" s="85">
        <f t="shared" si="203"/>
        <v>-6798.3458148955488</v>
      </c>
      <c r="AJ245" s="90">
        <f t="shared" si="204"/>
        <v>6183.1314163678471</v>
      </c>
      <c r="AL245" s="95">
        <f t="shared" si="205"/>
        <v>0</v>
      </c>
      <c r="AM245" s="95">
        <f t="shared" si="206"/>
        <v>0</v>
      </c>
      <c r="AN245" s="95">
        <f t="shared" si="207"/>
        <v>0</v>
      </c>
      <c r="AO245" s="95">
        <f t="shared" si="208"/>
        <v>0</v>
      </c>
      <c r="AP245"/>
      <c r="AQ245" s="95">
        <f t="shared" si="209"/>
        <v>0</v>
      </c>
      <c r="AR245" s="95">
        <f t="shared" si="210"/>
        <v>0</v>
      </c>
      <c r="AS245" s="95">
        <f>Geraetedaten!$B$94*ABS(SIN(RADIANS($A245)))</f>
        <v>62.637443033673229</v>
      </c>
      <c r="AT245" s="95">
        <f>Geraetedaten!$B$94*ABS(COS(RADIANS($A245)))</f>
        <v>140.68600047696054</v>
      </c>
      <c r="AU245" s="95">
        <f>((h_Aw_Sw+Geraetedaten!$B$18)/1000)*(AQ245*AS245+AR245*AT245)/100</f>
        <v>0</v>
      </c>
    </row>
    <row r="246" spans="1:47" ht="13.5" x14ac:dyDescent="0.25">
      <c r="A246" s="16">
        <v>205</v>
      </c>
      <c r="B246" s="16">
        <f t="shared" si="177"/>
        <v>245</v>
      </c>
      <c r="C246" s="19">
        <f t="shared" si="178"/>
        <v>53.99764184806476</v>
      </c>
      <c r="D246" s="17">
        <f t="shared" si="179"/>
        <v>15767.531238151934</v>
      </c>
      <c r="E246" s="17">
        <f t="shared" si="180"/>
        <v>9293.193118151934</v>
      </c>
      <c r="F246" s="17">
        <f t="shared" si="181"/>
        <v>-15663.254311848066</v>
      </c>
      <c r="G246" s="17">
        <f t="shared" si="182"/>
        <v>-10077.407681848066</v>
      </c>
      <c r="H246" s="17">
        <f t="shared" si="183"/>
        <v>9293.193118151934</v>
      </c>
      <c r="I246" s="17">
        <f t="shared" si="184"/>
        <v>905.62913772615229</v>
      </c>
      <c r="J246" s="20">
        <f>(Geraetedaten!$B$152+(Geraetedaten!$B$153*(Geraetedaten!$B$18+d_y_Sw)/1000))*10</f>
        <v>6051.0442000000003</v>
      </c>
      <c r="K246" s="20">
        <f>(Geraetedaten!$B$165+(Geraetedaten!$B$166*(Geraetedaten!$B$18+d_y_Sw)/1000))*10</f>
        <v>10816.164000000001</v>
      </c>
      <c r="L246" s="20">
        <f>(Geraetedaten!$B$158+(Geraetedaten!$B$159*(Geraetedaten!$B$18+d_y_Sw)/1000)-(Geraetedaten!$B$160*I246/1000))*10</f>
        <v>535.12681533054104</v>
      </c>
      <c r="M246" s="20">
        <f>(Geraetedaten!$B$171+(Geraetedaten!$B$172*(Geraetedaten!$B$18+d_y_Sw)/1000)-(Geraetedaten!$B$173*I246/1000))*10</f>
        <v>997.4519669876662</v>
      </c>
      <c r="N246" s="20">
        <f>IF((H246-J246)/(K246-J246)*(Geraetedaten!$B$174-Geraetedaten!$B$161)&lt;Geraetedaten!$B$174,(H246-J246)/(K246-J246)*(Geraetedaten!$B$174-Geraetedaten!$B$161),Geraetedaten!$B$174)</f>
        <v>272.15676031078448</v>
      </c>
      <c r="O246" s="20">
        <f>N246/Geraetedaten!$B$174*(M246-L246)+L246+C246</f>
        <v>903.686745891594</v>
      </c>
      <c r="P246" s="20">
        <f t="shared" si="185"/>
        <v>253.13634430598873</v>
      </c>
      <c r="Q246" s="21">
        <f>(N246-Geraetedaten!$B$161)/(Geraetedaten!$B$174-Geraetedaten!$B$161)*(Geraetedaten!$B$175-Geraetedaten!$B$162)+Geraetedaten!$B$162</f>
        <v>37.296663619245841</v>
      </c>
      <c r="R246" s="21">
        <f t="shared" si="186"/>
        <v>37.296663619245841</v>
      </c>
      <c r="S246" s="21">
        <f t="shared" si="187"/>
        <v>-15.762251147493256</v>
      </c>
      <c r="T246" s="88">
        <f t="shared" si="188"/>
        <v>-33.802256668609033</v>
      </c>
      <c r="U246" s="86">
        <f t="shared" si="189"/>
        <v>15821.52888</v>
      </c>
      <c r="V246" s="85">
        <f t="shared" si="190"/>
        <v>-2683.3128092763232</v>
      </c>
      <c r="W246" s="85">
        <f t="shared" si="191"/>
        <v>6334.5120674457985</v>
      </c>
      <c r="X246" s="90">
        <f t="shared" si="192"/>
        <v>2683.3128092763232</v>
      </c>
      <c r="Y246" s="86">
        <f t="shared" si="193"/>
        <v>9347.1907599999995</v>
      </c>
      <c r="Z246" s="85">
        <f t="shared" si="194"/>
        <v>-832.16398485565549</v>
      </c>
      <c r="AA246" s="85">
        <f t="shared" si="195"/>
        <v>905.62913772615229</v>
      </c>
      <c r="AB246" s="90">
        <f t="shared" si="196"/>
        <v>832.16398485565549</v>
      </c>
      <c r="AC246" s="86">
        <f t="shared" si="197"/>
        <v>-15609.256670000001</v>
      </c>
      <c r="AD246" s="85">
        <f t="shared" si="198"/>
        <v>2598.140025222212</v>
      </c>
      <c r="AE246" s="85">
        <f t="shared" si="199"/>
        <v>-6156.9948771183081</v>
      </c>
      <c r="AF246" s="90">
        <f t="shared" si="200"/>
        <v>2598.140025222212</v>
      </c>
      <c r="AG246" s="86">
        <f t="shared" si="201"/>
        <v>-10023.410040000001</v>
      </c>
      <c r="AH246" s="85">
        <f t="shared" si="202"/>
        <v>6183.1314163678471</v>
      </c>
      <c r="AI246" s="85">
        <f t="shared" si="203"/>
        <v>-6854.0623809671788</v>
      </c>
      <c r="AJ246" s="90">
        <f t="shared" si="204"/>
        <v>6183.1314163678471</v>
      </c>
      <c r="AL246" s="95">
        <f t="shared" si="205"/>
        <v>0</v>
      </c>
      <c r="AM246" s="95">
        <f t="shared" si="206"/>
        <v>0</v>
      </c>
      <c r="AN246" s="95">
        <f t="shared" si="207"/>
        <v>0</v>
      </c>
      <c r="AO246" s="95">
        <f t="shared" si="208"/>
        <v>0</v>
      </c>
      <c r="AP246"/>
      <c r="AQ246" s="95">
        <f t="shared" si="209"/>
        <v>0</v>
      </c>
      <c r="AR246" s="95">
        <f t="shared" si="210"/>
        <v>0</v>
      </c>
      <c r="AS246" s="95">
        <f>Geraetedaten!$B$94*ABS(SIN(RADIANS($A246)))</f>
        <v>65.083212308067687</v>
      </c>
      <c r="AT246" s="95">
        <f>Geraetedaten!$B$94*ABS(COS(RADIANS($A246)))</f>
        <v>139.57139920364412</v>
      </c>
      <c r="AU246" s="95">
        <f>((h_Aw_Sw+Geraetedaten!$B$18)/1000)*(AQ246*AS246+AR246*AT246)/100</f>
        <v>0</v>
      </c>
    </row>
    <row r="247" spans="1:47" ht="13.5" x14ac:dyDescent="0.25">
      <c r="A247" s="16">
        <v>206</v>
      </c>
      <c r="B247" s="16">
        <f t="shared" si="177"/>
        <v>244</v>
      </c>
      <c r="C247" s="19">
        <f t="shared" si="178"/>
        <v>54.773694970740721</v>
      </c>
      <c r="D247" s="17">
        <f t="shared" si="179"/>
        <v>15199.764675029259</v>
      </c>
      <c r="E247" s="17">
        <f t="shared" si="180"/>
        <v>9364.4347250292594</v>
      </c>
      <c r="F247" s="17">
        <f t="shared" si="181"/>
        <v>-15102.114364970741</v>
      </c>
      <c r="G247" s="17">
        <f t="shared" si="182"/>
        <v>-10164.115324970742</v>
      </c>
      <c r="H247" s="17">
        <f t="shared" si="183"/>
        <v>9364.4347250292594</v>
      </c>
      <c r="I247" s="17">
        <f t="shared" si="184"/>
        <v>912.60677339176732</v>
      </c>
      <c r="J247" s="20">
        <f>(Geraetedaten!$B$152+(Geraetedaten!$B$153*(Geraetedaten!$B$18+d_y_Sw)/1000))*10</f>
        <v>6051.0442000000003</v>
      </c>
      <c r="K247" s="20">
        <f>(Geraetedaten!$B$165+(Geraetedaten!$B$166*(Geraetedaten!$B$18+d_y_Sw)/1000))*10</f>
        <v>10816.164000000001</v>
      </c>
      <c r="L247" s="20">
        <f>(Geraetedaten!$B$158+(Geraetedaten!$B$159*(Geraetedaten!$B$18+d_y_Sw)/1000)-(Geraetedaten!$B$160*I247/1000))*10</f>
        <v>534.61514530718148</v>
      </c>
      <c r="M247" s="20">
        <f>(Geraetedaten!$B$171+(Geraetedaten!$B$172*(Geraetedaten!$B$18+d_y_Sw)/1000)-(Geraetedaten!$B$173*I247/1000))*10</f>
        <v>996.93255178871777</v>
      </c>
      <c r="N247" s="20">
        <f>IF((H247-J247)/(K247-J247)*(Geraetedaten!$B$174-Geraetedaten!$B$161)&lt;Geraetedaten!$B$174,(H247-J247)/(K247-J247)*(Geraetedaten!$B$174-Geraetedaten!$B$161),Geraetedaten!$B$174)</f>
        <v>278.13701766988174</v>
      </c>
      <c r="O247" s="20">
        <f>N247/Geraetedaten!$B$174*(M247-L247)+L247+C247</f>
        <v>910.85780191704453</v>
      </c>
      <c r="P247" s="20">
        <f t="shared" si="185"/>
        <v>253.95220800085593</v>
      </c>
      <c r="Q247" s="21">
        <f>(N247-Geraetedaten!$B$161)/(Geraetedaten!$B$174-Geraetedaten!$B$161)*(Geraetedaten!$B$175-Geraetedaten!$B$162)+Geraetedaten!$B$162</f>
        <v>37.474576275678984</v>
      </c>
      <c r="R247" s="21">
        <f t="shared" si="186"/>
        <v>37.474576275678984</v>
      </c>
      <c r="S247" s="21">
        <f t="shared" si="187"/>
        <v>-16.427772977404153</v>
      </c>
      <c r="T247" s="88">
        <f t="shared" si="188"/>
        <v>-33.681926044164278</v>
      </c>
      <c r="U247" s="86">
        <f t="shared" si="189"/>
        <v>15254.53837</v>
      </c>
      <c r="V247" s="85">
        <f t="shared" si="190"/>
        <v>-2683.3128092763232</v>
      </c>
      <c r="W247" s="85">
        <f t="shared" si="191"/>
        <v>6107.5044083883286</v>
      </c>
      <c r="X247" s="90">
        <f t="shared" si="192"/>
        <v>2683.3128092763232</v>
      </c>
      <c r="Y247" s="86">
        <f t="shared" si="193"/>
        <v>9419.2084200000008</v>
      </c>
      <c r="Z247" s="85">
        <f t="shared" si="194"/>
        <v>-832.16398485565549</v>
      </c>
      <c r="AA247" s="85">
        <f t="shared" si="195"/>
        <v>912.60677339176732</v>
      </c>
      <c r="AB247" s="90">
        <f t="shared" si="196"/>
        <v>832.16398485565549</v>
      </c>
      <c r="AC247" s="86">
        <f t="shared" si="197"/>
        <v>-15047.34067</v>
      </c>
      <c r="AD247" s="85">
        <f t="shared" si="198"/>
        <v>2598.140025222212</v>
      </c>
      <c r="AE247" s="85">
        <f t="shared" si="199"/>
        <v>-5935.3498594778976</v>
      </c>
      <c r="AF247" s="90">
        <f t="shared" si="200"/>
        <v>2598.140025222212</v>
      </c>
      <c r="AG247" s="86">
        <f t="shared" si="201"/>
        <v>-10109.341630000001</v>
      </c>
      <c r="AH247" s="85">
        <f t="shared" si="202"/>
        <v>6183.1314163678471</v>
      </c>
      <c r="AI247" s="85">
        <f t="shared" si="203"/>
        <v>-6912.8228687189012</v>
      </c>
      <c r="AJ247" s="90">
        <f t="shared" si="204"/>
        <v>6183.1314163678471</v>
      </c>
      <c r="AL247" s="95">
        <f t="shared" si="205"/>
        <v>0</v>
      </c>
      <c r="AM247" s="95">
        <f t="shared" si="206"/>
        <v>0</v>
      </c>
      <c r="AN247" s="95">
        <f t="shared" si="207"/>
        <v>0</v>
      </c>
      <c r="AO247" s="95">
        <f t="shared" si="208"/>
        <v>0</v>
      </c>
      <c r="AP247"/>
      <c r="AQ247" s="95">
        <f t="shared" si="209"/>
        <v>0</v>
      </c>
      <c r="AR247" s="95">
        <f t="shared" si="210"/>
        <v>0</v>
      </c>
      <c r="AS247" s="95">
        <f>Geraetedaten!$B$94*ABS(SIN(RADIANS($A247)))</f>
        <v>67.50915660551793</v>
      </c>
      <c r="AT247" s="95">
        <f>Geraetedaten!$B$94*ABS(COS(RADIANS($A247)))</f>
        <v>138.41428313007171</v>
      </c>
      <c r="AU247" s="95">
        <f>((h_Aw_Sw+Geraetedaten!$B$18)/1000)*(AQ247*AS247+AR247*AT247)/100</f>
        <v>0</v>
      </c>
    </row>
    <row r="248" spans="1:47" ht="13.5" x14ac:dyDescent="0.25">
      <c r="A248" s="16">
        <v>207</v>
      </c>
      <c r="B248" s="16">
        <f t="shared" si="177"/>
        <v>243</v>
      </c>
      <c r="C248" s="19">
        <f t="shared" si="178"/>
        <v>55.533063495323873</v>
      </c>
      <c r="D248" s="17">
        <f t="shared" si="179"/>
        <v>14675.578916504675</v>
      </c>
      <c r="E248" s="17">
        <f t="shared" si="180"/>
        <v>9439.7261965046764</v>
      </c>
      <c r="F248" s="17">
        <f t="shared" si="181"/>
        <v>-14584.280463495325</v>
      </c>
      <c r="G248" s="17">
        <f t="shared" si="182"/>
        <v>-10255.426273495324</v>
      </c>
      <c r="H248" s="17">
        <f t="shared" si="183"/>
        <v>9439.7261965046764</v>
      </c>
      <c r="I248" s="17">
        <f t="shared" si="184"/>
        <v>919.97517487207494</v>
      </c>
      <c r="J248" s="20">
        <f>(Geraetedaten!$B$152+(Geraetedaten!$B$153*(Geraetedaten!$B$18+d_y_Sw)/1000))*10</f>
        <v>6051.0442000000003</v>
      </c>
      <c r="K248" s="20">
        <f>(Geraetedaten!$B$165+(Geraetedaten!$B$166*(Geraetedaten!$B$18+d_y_Sw)/1000))*10</f>
        <v>10816.164000000001</v>
      </c>
      <c r="L248" s="20">
        <f>(Geraetedaten!$B$158+(Geraetedaten!$B$159*(Geraetedaten!$B$18+d_y_Sw)/1000)-(Geraetedaten!$B$160*I248/1000))*10</f>
        <v>534.07482042663048</v>
      </c>
      <c r="M248" s="20">
        <f>(Geraetedaten!$B$171+(Geraetedaten!$B$172*(Geraetedaten!$B$18+d_y_Sw)/1000)-(Geraetedaten!$B$173*I248/1000))*10</f>
        <v>996.38404798252373</v>
      </c>
      <c r="N248" s="20">
        <f>IF((H248-J248)/(K248-J248)*(Geraetedaten!$B$174-Geraetedaten!$B$161)&lt;Geraetedaten!$B$174,(H248-J248)/(K248-J248)*(Geraetedaten!$B$174-Geraetedaten!$B$161),Geraetedaten!$B$174)</f>
        <v>284.45723412911263</v>
      </c>
      <c r="O248" s="20">
        <f>N248/Geraetedaten!$B$174*(M248-L248)+L248+C248</f>
        <v>918.37589437924419</v>
      </c>
      <c r="P248" s="20">
        <f t="shared" si="185"/>
        <v>254.78934248269795</v>
      </c>
      <c r="Q248" s="21">
        <f>(N248-Geraetedaten!$B$161)/(Geraetedaten!$B$174-Geraetedaten!$B$161)*(Geraetedaten!$B$175-Geraetedaten!$B$162)+Geraetedaten!$B$162</f>
        <v>37.662602715341102</v>
      </c>
      <c r="R248" s="21">
        <f t="shared" si="186"/>
        <v>37.662602715341102</v>
      </c>
      <c r="S248" s="21">
        <f t="shared" si="187"/>
        <v>-17.098463828229715</v>
      </c>
      <c r="T248" s="88">
        <f t="shared" si="188"/>
        <v>-33.557624737283462</v>
      </c>
      <c r="U248" s="86">
        <f t="shared" si="189"/>
        <v>14731.11198</v>
      </c>
      <c r="V248" s="85">
        <f t="shared" si="190"/>
        <v>-2683.3128092763232</v>
      </c>
      <c r="W248" s="85">
        <f t="shared" si="191"/>
        <v>5897.9386452452645</v>
      </c>
      <c r="X248" s="90">
        <f t="shared" si="192"/>
        <v>2683.3128092763232</v>
      </c>
      <c r="Y248" s="86">
        <f t="shared" si="193"/>
        <v>9495.2592600000007</v>
      </c>
      <c r="Z248" s="85">
        <f t="shared" si="194"/>
        <v>-832.16398485565549</v>
      </c>
      <c r="AA248" s="85">
        <f t="shared" si="195"/>
        <v>919.97517487207494</v>
      </c>
      <c r="AB248" s="90">
        <f t="shared" si="196"/>
        <v>832.16398485565549</v>
      </c>
      <c r="AC248" s="86">
        <f t="shared" si="197"/>
        <v>-14528.7474</v>
      </c>
      <c r="AD248" s="85">
        <f t="shared" si="198"/>
        <v>2598.140025222212</v>
      </c>
      <c r="AE248" s="85">
        <f t="shared" si="199"/>
        <v>-5730.7932837783819</v>
      </c>
      <c r="AF248" s="90">
        <f t="shared" si="200"/>
        <v>2598.140025222212</v>
      </c>
      <c r="AG248" s="86">
        <f t="shared" si="201"/>
        <v>-10199.89321</v>
      </c>
      <c r="AH248" s="85">
        <f t="shared" si="202"/>
        <v>6183.1314163678471</v>
      </c>
      <c r="AI248" s="85">
        <f t="shared" si="203"/>
        <v>-6974.742532306469</v>
      </c>
      <c r="AJ248" s="90">
        <f t="shared" si="204"/>
        <v>6183.1314163678471</v>
      </c>
      <c r="AL248" s="95">
        <f t="shared" si="205"/>
        <v>0</v>
      </c>
      <c r="AM248" s="95">
        <f t="shared" si="206"/>
        <v>0</v>
      </c>
      <c r="AN248" s="95">
        <f t="shared" si="207"/>
        <v>0</v>
      </c>
      <c r="AO248" s="95">
        <f t="shared" si="208"/>
        <v>0</v>
      </c>
      <c r="AP248"/>
      <c r="AQ248" s="95">
        <f t="shared" si="209"/>
        <v>0</v>
      </c>
      <c r="AR248" s="95">
        <f t="shared" si="210"/>
        <v>0</v>
      </c>
      <c r="AS248" s="95">
        <f>Geraetedaten!$B$94*ABS(SIN(RADIANS($A248)))</f>
        <v>69.914536959890185</v>
      </c>
      <c r="AT248" s="95">
        <f>Geraetedaten!$B$94*ABS(COS(RADIANS($A248)))</f>
        <v>137.21500472500867</v>
      </c>
      <c r="AU248" s="95">
        <f>((h_Aw_Sw+Geraetedaten!$B$18)/1000)*(AQ248*AS248+AR248*AT248)/100</f>
        <v>0</v>
      </c>
    </row>
    <row r="249" spans="1:47" ht="13.5" x14ac:dyDescent="0.25">
      <c r="A249" s="16">
        <v>208</v>
      </c>
      <c r="B249" s="16">
        <f t="shared" si="177"/>
        <v>242</v>
      </c>
      <c r="C249" s="19">
        <f t="shared" si="178"/>
        <v>56.275516110805498</v>
      </c>
      <c r="D249" s="17">
        <f t="shared" si="179"/>
        <v>14190.334603889194</v>
      </c>
      <c r="E249" s="17">
        <f t="shared" si="180"/>
        <v>9519.2131738891949</v>
      </c>
      <c r="F249" s="17">
        <f t="shared" si="181"/>
        <v>-14105.121306110805</v>
      </c>
      <c r="G249" s="17">
        <f t="shared" si="182"/>
        <v>-10351.521526110806</v>
      </c>
      <c r="H249" s="17">
        <f t="shared" si="183"/>
        <v>9519.2131738891949</v>
      </c>
      <c r="I249" s="17">
        <f t="shared" si="184"/>
        <v>927.74843149825574</v>
      </c>
      <c r="J249" s="20">
        <f>(Geraetedaten!$B$152+(Geraetedaten!$B$153*(Geraetedaten!$B$18+d_y_Sw)/1000))*10</f>
        <v>6051.0442000000003</v>
      </c>
      <c r="K249" s="20">
        <f>(Geraetedaten!$B$165+(Geraetedaten!$B$166*(Geraetedaten!$B$18+d_y_Sw)/1000))*10</f>
        <v>10816.164000000001</v>
      </c>
      <c r="L249" s="20">
        <f>(Geraetedaten!$B$158+(Geraetedaten!$B$159*(Geraetedaten!$B$18+d_y_Sw)/1000)-(Geraetedaten!$B$160*I249/1000))*10</f>
        <v>533.50480751823272</v>
      </c>
      <c r="M249" s="20">
        <f>(Geraetedaten!$B$171+(Geraetedaten!$B$172*(Geraetedaten!$B$18+d_y_Sw)/1000)-(Geraetedaten!$B$173*I249/1000))*10</f>
        <v>995.8054067592708</v>
      </c>
      <c r="N249" s="20">
        <f>IF((H249-J249)/(K249-J249)*(Geraetedaten!$B$174-Geraetedaten!$B$161)&lt;Geraetedaten!$B$174,(H249-J249)/(K249-J249)*(Geraetedaten!$B$174-Geraetedaten!$B$161),Geraetedaten!$B$174)</f>
        <v>291.12963530437946</v>
      </c>
      <c r="O249" s="20">
        <f>N249/Geraetedaten!$B$174*(M249-L249)+L249+C249</f>
        <v>926.25383577413697</v>
      </c>
      <c r="P249" s="20">
        <f t="shared" si="185"/>
        <v>255.64789070035462</v>
      </c>
      <c r="Q249" s="21">
        <f>(N249-Geraetedaten!$B$161)/(Geraetedaten!$B$174-Geraetedaten!$B$161)*(Geraetedaten!$B$175-Geraetedaten!$B$162)+Geraetedaten!$B$162</f>
        <v>37.861106650305288</v>
      </c>
      <c r="R249" s="21">
        <f t="shared" si="186"/>
        <v>37.861106650305288</v>
      </c>
      <c r="S249" s="21">
        <f t="shared" si="187"/>
        <v>-17.774712907922108</v>
      </c>
      <c r="T249" s="88">
        <f t="shared" si="188"/>
        <v>-33.429372979862165</v>
      </c>
      <c r="U249" s="86">
        <f t="shared" si="189"/>
        <v>14246.610119999999</v>
      </c>
      <c r="V249" s="85">
        <f t="shared" si="190"/>
        <v>-2683.3128092763232</v>
      </c>
      <c r="W249" s="85">
        <f t="shared" si="191"/>
        <v>5703.9572093370125</v>
      </c>
      <c r="X249" s="90">
        <f t="shared" si="192"/>
        <v>2683.3128092763232</v>
      </c>
      <c r="Y249" s="86">
        <f t="shared" si="193"/>
        <v>9575.4886900000001</v>
      </c>
      <c r="Z249" s="85">
        <f t="shared" si="194"/>
        <v>-832.16398485565549</v>
      </c>
      <c r="AA249" s="85">
        <f t="shared" si="195"/>
        <v>927.74843149825574</v>
      </c>
      <c r="AB249" s="90">
        <f t="shared" si="196"/>
        <v>832.16398485565549</v>
      </c>
      <c r="AC249" s="86">
        <f t="shared" si="197"/>
        <v>-14048.845789999999</v>
      </c>
      <c r="AD249" s="85">
        <f t="shared" si="198"/>
        <v>2598.140025222212</v>
      </c>
      <c r="AE249" s="85">
        <f t="shared" si="199"/>
        <v>-5541.4984424229433</v>
      </c>
      <c r="AF249" s="90">
        <f t="shared" si="200"/>
        <v>2598.140025222212</v>
      </c>
      <c r="AG249" s="86">
        <f t="shared" si="201"/>
        <v>-10295.246010000001</v>
      </c>
      <c r="AH249" s="85">
        <f t="shared" si="202"/>
        <v>6183.1314163678471</v>
      </c>
      <c r="AI249" s="85">
        <f t="shared" si="203"/>
        <v>-7039.9452947506215</v>
      </c>
      <c r="AJ249" s="90">
        <f t="shared" si="204"/>
        <v>6183.1314163678471</v>
      </c>
      <c r="AL249" s="95">
        <f t="shared" si="205"/>
        <v>0</v>
      </c>
      <c r="AM249" s="95">
        <f t="shared" si="206"/>
        <v>0</v>
      </c>
      <c r="AN249" s="95">
        <f t="shared" si="207"/>
        <v>0</v>
      </c>
      <c r="AO249" s="95">
        <f t="shared" si="208"/>
        <v>0</v>
      </c>
      <c r="AP249"/>
      <c r="AQ249" s="95">
        <f t="shared" si="209"/>
        <v>0</v>
      </c>
      <c r="AR249" s="95">
        <f t="shared" si="210"/>
        <v>0</v>
      </c>
      <c r="AS249" s="95">
        <f>Geraetedaten!$B$94*ABS(SIN(RADIANS($A249)))</f>
        <v>72.298620669027187</v>
      </c>
      <c r="AT249" s="95">
        <f>Geraetedaten!$B$94*ABS(COS(RADIANS($A249)))</f>
        <v>135.97392930027473</v>
      </c>
      <c r="AU249" s="95">
        <f>((h_Aw_Sw+Geraetedaten!$B$18)/1000)*(AQ249*AS249+AR249*AT249)/100</f>
        <v>0</v>
      </c>
    </row>
    <row r="250" spans="1:47" ht="13.5" x14ac:dyDescent="0.25">
      <c r="A250" s="16">
        <v>209</v>
      </c>
      <c r="B250" s="16">
        <f t="shared" si="177"/>
        <v>241</v>
      </c>
      <c r="C250" s="19">
        <f t="shared" si="178"/>
        <v>57.000826658926592</v>
      </c>
      <c r="D250" s="17">
        <f t="shared" si="179"/>
        <v>13740.031733341073</v>
      </c>
      <c r="E250" s="17">
        <f t="shared" si="180"/>
        <v>9603.0522633410728</v>
      </c>
      <c r="F250" s="17">
        <f t="shared" si="181"/>
        <v>-13660.646016658926</v>
      </c>
      <c r="G250" s="17">
        <f t="shared" si="182"/>
        <v>-10452.595726658927</v>
      </c>
      <c r="H250" s="17">
        <f t="shared" si="183"/>
        <v>9603.0522633410728</v>
      </c>
      <c r="I250" s="17">
        <f t="shared" si="184"/>
        <v>935.94169284677832</v>
      </c>
      <c r="J250" s="20">
        <f>(Geraetedaten!$B$152+(Geraetedaten!$B$153*(Geraetedaten!$B$18+d_y_Sw)/1000))*10</f>
        <v>6051.0442000000003</v>
      </c>
      <c r="K250" s="20">
        <f>(Geraetedaten!$B$165+(Geraetedaten!$B$166*(Geraetedaten!$B$18+d_y_Sw)/1000))*10</f>
        <v>10816.164000000001</v>
      </c>
      <c r="L250" s="20">
        <f>(Geraetedaten!$B$158+(Geraetedaten!$B$159*(Geraetedaten!$B$18+d_y_Sw)/1000)-(Geraetedaten!$B$160*I250/1000))*10</f>
        <v>532.90399566354552</v>
      </c>
      <c r="M250" s="20">
        <f>(Geraetedaten!$B$171+(Geraetedaten!$B$172*(Geraetedaten!$B$18+d_y_Sw)/1000)-(Geraetedaten!$B$173*I250/1000))*10</f>
        <v>995.19550038448665</v>
      </c>
      <c r="N250" s="20">
        <f>IF((H250-J250)/(K250-J250)*(Geraetedaten!$B$174-Geraetedaten!$B$161)&lt;Geraetedaten!$B$174,(H250-J250)/(K250-J250)*(Geraetedaten!$B$174-Geraetedaten!$B$161),Geraetedaten!$B$174)</f>
        <v>298.16736723732083</v>
      </c>
      <c r="O250" s="20">
        <f>N250/Geraetedaten!$B$174*(M250-L250)+L250+C250</f>
        <v>934.50542446952841</v>
      </c>
      <c r="P250" s="20">
        <f t="shared" si="185"/>
        <v>256.5280147516782</v>
      </c>
      <c r="Q250" s="21">
        <f>(N250-Geraetedaten!$B$161)/(Geraetedaten!$B$174-Geraetedaten!$B$161)*(Geraetedaten!$B$175-Geraetedaten!$B$162)+Geraetedaten!$B$162</f>
        <v>38.070479175310297</v>
      </c>
      <c r="R250" s="21">
        <f t="shared" si="186"/>
        <v>38.070479175310297</v>
      </c>
      <c r="S250" s="21">
        <f t="shared" si="187"/>
        <v>-18.456934551578264</v>
      </c>
      <c r="T250" s="88">
        <f t="shared" si="188"/>
        <v>-33.297191346966358</v>
      </c>
      <c r="U250" s="86">
        <f t="shared" si="189"/>
        <v>13797.03256</v>
      </c>
      <c r="V250" s="85">
        <f t="shared" si="190"/>
        <v>-2683.3128092763232</v>
      </c>
      <c r="W250" s="85">
        <f t="shared" si="191"/>
        <v>5523.9585190673406</v>
      </c>
      <c r="X250" s="90">
        <f t="shared" si="192"/>
        <v>2683.3128092763232</v>
      </c>
      <c r="Y250" s="86">
        <f t="shared" si="193"/>
        <v>9660.0530899999994</v>
      </c>
      <c r="Z250" s="85">
        <f t="shared" si="194"/>
        <v>-832.16398485565549</v>
      </c>
      <c r="AA250" s="85">
        <f t="shared" si="195"/>
        <v>935.94169284677832</v>
      </c>
      <c r="AB250" s="90">
        <f t="shared" si="196"/>
        <v>832.16398485565549</v>
      </c>
      <c r="AC250" s="86">
        <f t="shared" si="197"/>
        <v>-13603.645189999999</v>
      </c>
      <c r="AD250" s="85">
        <f t="shared" si="198"/>
        <v>2598.140025222212</v>
      </c>
      <c r="AE250" s="85">
        <f t="shared" si="199"/>
        <v>-5365.8912469103607</v>
      </c>
      <c r="AF250" s="90">
        <f t="shared" si="200"/>
        <v>2598.140025222212</v>
      </c>
      <c r="AG250" s="86">
        <f t="shared" si="201"/>
        <v>-10395.5949</v>
      </c>
      <c r="AH250" s="85">
        <f t="shared" si="202"/>
        <v>6183.1314163678471</v>
      </c>
      <c r="AI250" s="85">
        <f t="shared" si="203"/>
        <v>-7108.564416805958</v>
      </c>
      <c r="AJ250" s="90">
        <f t="shared" si="204"/>
        <v>6183.1314163678471</v>
      </c>
      <c r="AL250" s="95">
        <f t="shared" si="205"/>
        <v>0</v>
      </c>
      <c r="AM250" s="95">
        <f t="shared" si="206"/>
        <v>0</v>
      </c>
      <c r="AN250" s="95">
        <f t="shared" si="207"/>
        <v>0</v>
      </c>
      <c r="AO250" s="95">
        <f t="shared" si="208"/>
        <v>0</v>
      </c>
      <c r="AP250"/>
      <c r="AQ250" s="95">
        <f t="shared" si="209"/>
        <v>0</v>
      </c>
      <c r="AR250" s="95">
        <f t="shared" si="210"/>
        <v>0</v>
      </c>
      <c r="AS250" s="95">
        <f>Geraetedaten!$B$94*ABS(SIN(RADIANS($A250)))</f>
        <v>74.660681517935885</v>
      </c>
      <c r="AT250" s="95">
        <f>Geraetedaten!$B$94*ABS(COS(RADIANS($A250)))</f>
        <v>134.69143489946697</v>
      </c>
      <c r="AU250" s="95">
        <f>((h_Aw_Sw+Geraetedaten!$B$18)/1000)*(AQ250*AS250+AR250*AT250)/100</f>
        <v>0</v>
      </c>
    </row>
    <row r="251" spans="1:47" ht="13.5" x14ac:dyDescent="0.25">
      <c r="A251" s="16">
        <v>210</v>
      </c>
      <c r="B251" s="16">
        <f t="shared" si="177"/>
        <v>240</v>
      </c>
      <c r="C251" s="19">
        <f t="shared" si="178"/>
        <v>57.708774203067989</v>
      </c>
      <c r="D251" s="17">
        <f t="shared" si="179"/>
        <v>13321.203345796934</v>
      </c>
      <c r="E251" s="17">
        <f t="shared" si="180"/>
        <v>9691.4117857969322</v>
      </c>
      <c r="F251" s="17">
        <f t="shared" si="181"/>
        <v>-13247.397324203068</v>
      </c>
      <c r="G251" s="17">
        <f t="shared" si="182"/>
        <v>-10558.858294203068</v>
      </c>
      <c r="H251" s="17">
        <f t="shared" si="183"/>
        <v>9691.4117857969322</v>
      </c>
      <c r="I251" s="17">
        <f t="shared" si="184"/>
        <v>944.57124774891417</v>
      </c>
      <c r="J251" s="20">
        <f>(Geraetedaten!$B$152+(Geraetedaten!$B$153*(Geraetedaten!$B$18+d_y_Sw)/1000))*10</f>
        <v>6051.0442000000003</v>
      </c>
      <c r="K251" s="20">
        <f>(Geraetedaten!$B$165+(Geraetedaten!$B$166*(Geraetedaten!$B$18+d_y_Sw)/1000))*10</f>
        <v>10816.164000000001</v>
      </c>
      <c r="L251" s="20">
        <f>(Geraetedaten!$B$158+(Geraetedaten!$B$159*(Geraetedaten!$B$18+d_y_Sw)/1000)-(Geraetedaten!$B$160*I251/1000))*10</f>
        <v>532.27119040257185</v>
      </c>
      <c r="M251" s="20">
        <f>(Geraetedaten!$B$171+(Geraetedaten!$B$172*(Geraetedaten!$B$18+d_y_Sw)/1000)-(Geraetedaten!$B$173*I251/1000))*10</f>
        <v>994.55311631757183</v>
      </c>
      <c r="N251" s="20">
        <f>IF((H251-J251)/(K251-J251)*(Geraetedaten!$B$174-Geraetedaten!$B$161)&lt;Geraetedaten!$B$174,(H251-J251)/(K251-J251)*(Geraetedaten!$B$174-Geraetedaten!$B$161),Geraetedaten!$B$174)</f>
        <v>305.58455934702266</v>
      </c>
      <c r="O251" s="20">
        <f>N251/Geraetedaten!$B$174*(M251-L251)+L251+C251</f>
        <v>943.14551116771042</v>
      </c>
      <c r="P251" s="20">
        <f t="shared" si="185"/>
        <v>257.42989553450474</v>
      </c>
      <c r="Q251" s="21">
        <f>(N251-Geraetedaten!$B$161)/(Geraetedaten!$B$174-Geraetedaten!$B$161)*(Geraetedaten!$B$175-Geraetedaten!$B$162)+Geraetedaten!$B$162</f>
        <v>38.291140640573929</v>
      </c>
      <c r="R251" s="21">
        <f t="shared" si="186"/>
        <v>38.291140640573929</v>
      </c>
      <c r="S251" s="21">
        <f t="shared" si="187"/>
        <v>-19.145570320286968</v>
      </c>
      <c r="T251" s="88">
        <f t="shared" si="188"/>
        <v>-33.161100534619763</v>
      </c>
      <c r="U251" s="86">
        <f t="shared" si="189"/>
        <v>13378.912120000001</v>
      </c>
      <c r="V251" s="85">
        <f t="shared" si="190"/>
        <v>-2683.3128092763232</v>
      </c>
      <c r="W251" s="85">
        <f t="shared" si="191"/>
        <v>5356.5544110394267</v>
      </c>
      <c r="X251" s="90">
        <f t="shared" si="192"/>
        <v>2683.3128092763232</v>
      </c>
      <c r="Y251" s="86">
        <f t="shared" si="193"/>
        <v>9749.1205599999994</v>
      </c>
      <c r="Z251" s="85">
        <f t="shared" si="194"/>
        <v>-832.16398485565549</v>
      </c>
      <c r="AA251" s="85">
        <f t="shared" si="195"/>
        <v>944.57124774891417</v>
      </c>
      <c r="AB251" s="90">
        <f t="shared" si="196"/>
        <v>832.16398485565549</v>
      </c>
      <c r="AC251" s="86">
        <f t="shared" si="197"/>
        <v>-13189.688550000001</v>
      </c>
      <c r="AD251" s="85">
        <f t="shared" si="198"/>
        <v>2598.140025222212</v>
      </c>
      <c r="AE251" s="85">
        <f t="shared" si="199"/>
        <v>-5202.6080752075604</v>
      </c>
      <c r="AF251" s="90">
        <f t="shared" si="200"/>
        <v>2598.140025222212</v>
      </c>
      <c r="AG251" s="86">
        <f t="shared" si="201"/>
        <v>-10501.149520000001</v>
      </c>
      <c r="AH251" s="85">
        <f t="shared" si="202"/>
        <v>6183.1314163678471</v>
      </c>
      <c r="AI251" s="85">
        <f t="shared" si="203"/>
        <v>-7180.7432358494871</v>
      </c>
      <c r="AJ251" s="90">
        <f t="shared" si="204"/>
        <v>6183.1314163678471</v>
      </c>
      <c r="AL251" s="95">
        <f t="shared" si="205"/>
        <v>0</v>
      </c>
      <c r="AM251" s="95">
        <f t="shared" si="206"/>
        <v>0</v>
      </c>
      <c r="AN251" s="95">
        <f t="shared" si="207"/>
        <v>0</v>
      </c>
      <c r="AO251" s="95">
        <f t="shared" si="208"/>
        <v>0</v>
      </c>
      <c r="AP251"/>
      <c r="AQ251" s="95">
        <f t="shared" si="209"/>
        <v>0</v>
      </c>
      <c r="AR251" s="95">
        <f t="shared" si="210"/>
        <v>0</v>
      </c>
      <c r="AS251" s="95">
        <f>Geraetedaten!$B$94*ABS(SIN(RADIANS($A251)))</f>
        <v>77.000000000000014</v>
      </c>
      <c r="AT251" s="95">
        <f>Geraetedaten!$B$94*ABS(COS(RADIANS($A251)))</f>
        <v>133.36791218280354</v>
      </c>
      <c r="AU251" s="95">
        <f>((h_Aw_Sw+Geraetedaten!$B$18)/1000)*(AQ251*AS251+AR251*AT251)/100</f>
        <v>0</v>
      </c>
    </row>
    <row r="252" spans="1:47" ht="13.5" x14ac:dyDescent="0.25">
      <c r="A252" s="16">
        <v>211</v>
      </c>
      <c r="B252" s="16">
        <f t="shared" si="177"/>
        <v>239</v>
      </c>
      <c r="C252" s="19">
        <f t="shared" si="178"/>
        <v>58.399143095549661</v>
      </c>
      <c r="D252" s="17">
        <f t="shared" si="179"/>
        <v>12930.82975690445</v>
      </c>
      <c r="E252" s="17">
        <f t="shared" si="180"/>
        <v>9784.4727369044504</v>
      </c>
      <c r="F252" s="17">
        <f t="shared" si="181"/>
        <v>-12862.365353095551</v>
      </c>
      <c r="G252" s="17">
        <f t="shared" si="182"/>
        <v>-10670.53453309555</v>
      </c>
      <c r="H252" s="17">
        <f t="shared" si="183"/>
        <v>9784.4727369044504</v>
      </c>
      <c r="I252" s="17">
        <f t="shared" si="184"/>
        <v>953.65461145804716</v>
      </c>
      <c r="J252" s="20">
        <f>(Geraetedaten!$B$152+(Geraetedaten!$B$153*(Geraetedaten!$B$18+d_y_Sw)/1000))*10</f>
        <v>6051.0442000000003</v>
      </c>
      <c r="K252" s="20">
        <f>(Geraetedaten!$B$165+(Geraetedaten!$B$166*(Geraetedaten!$B$18+d_y_Sw)/1000))*10</f>
        <v>10816.164000000001</v>
      </c>
      <c r="L252" s="20">
        <f>(Geraetedaten!$B$158+(Geraetedaten!$B$159*(Geraetedaten!$B$18+d_y_Sw)/1000)-(Geraetedaten!$B$160*I252/1000))*10</f>
        <v>531.60510734178115</v>
      </c>
      <c r="M252" s="20">
        <f>(Geraetedaten!$B$171+(Geraetedaten!$B$172*(Geraetedaten!$B$18+d_y_Sw)/1000)-(Geraetedaten!$B$173*I252/1000))*10</f>
        <v>993.87695072306406</v>
      </c>
      <c r="N252" s="20">
        <f>IF((H252-J252)/(K252-J252)*(Geraetedaten!$B$174-Geraetedaten!$B$161)&lt;Geraetedaten!$B$174,(H252-J252)/(K252-J252)*(Geraetedaten!$B$174-Geraetedaten!$B$161),Geraetedaten!$B$174)</f>
        <v>313.39640500996006</v>
      </c>
      <c r="O252" s="20">
        <f>N252/Geraetedaten!$B$174*(M252-L252)+L252+C252</f>
        <v>952.19008506988428</v>
      </c>
      <c r="P252" s="20">
        <f t="shared" si="185"/>
        <v>258.35373359835535</v>
      </c>
      <c r="Q252" s="21">
        <f>(N252-Geraetedaten!$B$161)/(Geraetedaten!$B$174-Geraetedaten!$B$161)*(Geraetedaten!$B$175-Geraetedaten!$B$162)+Geraetedaten!$B$162</f>
        <v>38.52354304904631</v>
      </c>
      <c r="R252" s="21">
        <f t="shared" si="186"/>
        <v>38.52354304904631</v>
      </c>
      <c r="S252" s="21">
        <f t="shared" si="187"/>
        <v>-19.841091450695409</v>
      </c>
      <c r="T252" s="88">
        <f t="shared" si="188"/>
        <v>-33.021121408832649</v>
      </c>
      <c r="U252" s="86">
        <f t="shared" si="189"/>
        <v>12989.2289</v>
      </c>
      <c r="V252" s="85">
        <f t="shared" si="190"/>
        <v>-2683.3128092763232</v>
      </c>
      <c r="W252" s="85">
        <f t="shared" si="191"/>
        <v>5200.5357941862139</v>
      </c>
      <c r="X252" s="90">
        <f t="shared" si="192"/>
        <v>2683.3128092763232</v>
      </c>
      <c r="Y252" s="86">
        <f t="shared" si="193"/>
        <v>9842.8718800000006</v>
      </c>
      <c r="Z252" s="85">
        <f t="shared" si="194"/>
        <v>-832.16398485565549</v>
      </c>
      <c r="AA252" s="85">
        <f t="shared" si="195"/>
        <v>953.65461145804716</v>
      </c>
      <c r="AB252" s="90">
        <f t="shared" si="196"/>
        <v>832.16398485565549</v>
      </c>
      <c r="AC252" s="86">
        <f t="shared" si="197"/>
        <v>-12803.966210000001</v>
      </c>
      <c r="AD252" s="85">
        <f t="shared" si="198"/>
        <v>2598.140025222212</v>
      </c>
      <c r="AE252" s="85">
        <f t="shared" si="199"/>
        <v>-5050.4617886615351</v>
      </c>
      <c r="AF252" s="90">
        <f t="shared" si="200"/>
        <v>2598.140025222212</v>
      </c>
      <c r="AG252" s="86">
        <f t="shared" si="201"/>
        <v>-10612.135389999999</v>
      </c>
      <c r="AH252" s="85">
        <f t="shared" si="202"/>
        <v>6183.1314163678471</v>
      </c>
      <c r="AI252" s="85">
        <f t="shared" si="203"/>
        <v>-7256.6359830310221</v>
      </c>
      <c r="AJ252" s="90">
        <f t="shared" si="204"/>
        <v>6183.1314163678471</v>
      </c>
      <c r="AL252" s="95">
        <f t="shared" si="205"/>
        <v>0</v>
      </c>
      <c r="AM252" s="95">
        <f t="shared" si="206"/>
        <v>0</v>
      </c>
      <c r="AN252" s="95">
        <f t="shared" si="207"/>
        <v>0</v>
      </c>
      <c r="AO252" s="95">
        <f t="shared" si="208"/>
        <v>0</v>
      </c>
      <c r="AP252"/>
      <c r="AQ252" s="95">
        <f t="shared" si="209"/>
        <v>0</v>
      </c>
      <c r="AR252" s="95">
        <f t="shared" si="210"/>
        <v>0</v>
      </c>
      <c r="AS252" s="95">
        <f>Geraetedaten!$B$94*ABS(SIN(RADIANS($A252)))</f>
        <v>79.315863536148342</v>
      </c>
      <c r="AT252" s="95">
        <f>Geraetedaten!$B$94*ABS(COS(RADIANS($A252)))</f>
        <v>132.00376430812531</v>
      </c>
      <c r="AU252" s="95">
        <f>((h_Aw_Sw+Geraetedaten!$B$18)/1000)*(AQ252*AS252+AR252*AT252)/100</f>
        <v>0</v>
      </c>
    </row>
    <row r="253" spans="1:47" ht="13.5" x14ac:dyDescent="0.25">
      <c r="A253" s="16">
        <v>212</v>
      </c>
      <c r="B253" s="16">
        <f t="shared" si="177"/>
        <v>238</v>
      </c>
      <c r="C253" s="19">
        <f t="shared" si="178"/>
        <v>59.071723043319224</v>
      </c>
      <c r="D253" s="17">
        <f t="shared" si="179"/>
        <v>12566.268796956681</v>
      </c>
      <c r="E253" s="17">
        <f t="shared" si="180"/>
        <v>9882.429776956682</v>
      </c>
      <c r="F253" s="17">
        <f t="shared" si="181"/>
        <v>-12502.917713043318</v>
      </c>
      <c r="G253" s="17">
        <f t="shared" si="182"/>
        <v>-10787.867063043319</v>
      </c>
      <c r="H253" s="17">
        <f t="shared" si="183"/>
        <v>9882.429776956682</v>
      </c>
      <c r="I253" s="17">
        <f t="shared" si="184"/>
        <v>963.21062190936527</v>
      </c>
      <c r="J253" s="20">
        <f>(Geraetedaten!$B$152+(Geraetedaten!$B$153*(Geraetedaten!$B$18+d_y_Sw)/1000))*10</f>
        <v>6051.0442000000003</v>
      </c>
      <c r="K253" s="20">
        <f>(Geraetedaten!$B$165+(Geraetedaten!$B$166*(Geraetedaten!$B$18+d_y_Sw)/1000))*10</f>
        <v>10816.164000000001</v>
      </c>
      <c r="L253" s="20">
        <f>(Geraetedaten!$B$158+(Geraetedaten!$B$159*(Geraetedaten!$B$18+d_y_Sw)/1000)-(Geraetedaten!$B$160*I253/1000))*10</f>
        <v>530.90436509538597</v>
      </c>
      <c r="M253" s="20">
        <f>(Geraetedaten!$B$171+(Geraetedaten!$B$172*(Geraetedaten!$B$18+d_y_Sw)/1000)-(Geraetedaten!$B$173*I253/1000))*10</f>
        <v>993.16560130506787</v>
      </c>
      <c r="N253" s="20">
        <f>IF((H253-J253)/(K253-J253)*(Geraetedaten!$B$174-Geraetedaten!$B$161)&lt;Geraetedaten!$B$174,(H253-J253)/(K253-J253)*(Geraetedaten!$B$174-Geraetedaten!$B$161),Geraetedaten!$B$174)</f>
        <v>321.6192446583762</v>
      </c>
      <c r="O253" s="20">
        <f>N253/Geraetedaten!$B$174*(M253-L253)+L253+C253</f>
        <v>961.65636220021793</v>
      </c>
      <c r="P253" s="20">
        <f t="shared" si="185"/>
        <v>259.29974938234636</v>
      </c>
      <c r="Q253" s="21">
        <f>(N253-Geraetedaten!$B$161)/(Geraetedaten!$B$174-Geraetedaten!$B$161)*(Geraetedaten!$B$175-Geraetedaten!$B$162)+Geraetedaten!$B$162</f>
        <v>38.768172528586689</v>
      </c>
      <c r="R253" s="21">
        <f t="shared" ref="R253:R284" si="211">SQRT((r_K_D/1000)^2+Q253^2-(2*(r_K_D/1000)*Q253*COS(RADIANS(2*A253))))</f>
        <v>38.768172528586689</v>
      </c>
      <c r="S253" s="21">
        <f t="shared" ref="S253:S284" si="212">R253*SIN(A253*Const_2)</f>
        <v>-20.544001462014602</v>
      </c>
      <c r="T253" s="88">
        <f t="shared" ref="T253:T284" si="213">R253*COS(A253*Const_2)</f>
        <v>-32.877274904331799</v>
      </c>
      <c r="U253" s="86">
        <f t="shared" ref="U253:U284" si="214">ROUND((F_S*r_Su_L-F_G*V253+F_SSw*X253)/(SIN(RADIANS(270+g_L-A253)))/1000,5)</f>
        <v>12625.34052</v>
      </c>
      <c r="V253" s="85">
        <f t="shared" ref="V253:V284" si="215">(SIN(RADIANS(g_L)))*(((VL_Z-HL_Z)/(VL_X-HL_X))*(-HL_X+AM253)+HL_Z-AL253)</f>
        <v>-2683.3128092763232</v>
      </c>
      <c r="W253" s="85">
        <f t="shared" ref="W253:W284" si="216">V253/(SIN(RADIANS(180-g_L-(90-$A253))))</f>
        <v>5054.8447316357133</v>
      </c>
      <c r="X253" s="90">
        <f t="shared" ref="X253:X284" si="217">SIN(RADIANS(g_L))*(((VL_Z-HL_Z)/(VL_X-HL_X))*(-AO253+HL_X)-HL_Z+AN253)</f>
        <v>2683.3128092763232</v>
      </c>
      <c r="Y253" s="86">
        <f t="shared" ref="Y253:Y284" si="218">ROUND((F_S*r_Su_H-F_G*Z253+F_SSw*AB253)/(SIN(RADIANS(180+g_H-A253)))/1000,5)</f>
        <v>9941.5015000000003</v>
      </c>
      <c r="Z253" s="85">
        <f t="shared" ref="Z253:Z284" si="219">(SIN(RADIANS(g_H)))*(((HL_X-HR_X)/(HL_Z-HR_Z))*(-HR_Z+AL253)+HR_X-AM253)</f>
        <v>-832.16398485565549</v>
      </c>
      <c r="AA253" s="85">
        <f t="shared" ref="AA253:AA284" si="220">Z253/(SIN(RADIANS(g_H-$A253)))</f>
        <v>963.21062190936527</v>
      </c>
      <c r="AB253" s="90">
        <f t="shared" ref="AB253:AB284" si="221">SIN(RADIANS(g_H))*(((HL_X-HR_X)/(HL_Z-HR_Z))*(-AN253+HR_Z)-HR_X+AO253)</f>
        <v>832.16398485565549</v>
      </c>
      <c r="AC253" s="86">
        <f t="shared" ref="AC253:AC284" si="222">ROUND((F_S*r_Su_R+F_G*AD253+F_SSw*AF253)/(SIN(RADIANS(90+g_R-A253)))/1000,5)</f>
        <v>-12443.84599</v>
      </c>
      <c r="AD253" s="85">
        <f t="shared" ref="AD253:AD284" si="223">(SIN(RADIANS(g_R)))*(((HR_Z-VR_Z)/(HR_X-VR_X))*(-VR_X+AM253)+VR_Z-AL253)</f>
        <v>2598.140025222212</v>
      </c>
      <c r="AE253" s="85">
        <f t="shared" ref="AE253:AE284" si="224">AD253/(SIN(RADIANS(180-g_R-(90-$A253))))</f>
        <v>-4908.4141291285878</v>
      </c>
      <c r="AF253" s="90">
        <f t="shared" ref="AF253:AF284" si="225">(SIN(RADIANS(g_R)))*(((HR_Z-VR_Z)/(HR_X-VR_X))*(-VR_X+AO253)+VR_Z-AN253)</f>
        <v>2598.140025222212</v>
      </c>
      <c r="AG253" s="86">
        <f t="shared" ref="AG253:AG284" si="226">ROUND((F_S*r_Su_V+F_G*AH253+F_SSw*AJ253)/(SIN(RADIANS(g_V-A253)))/1000,5)</f>
        <v>-10728.795340000001</v>
      </c>
      <c r="AH253" s="85">
        <f t="shared" ref="AH253:AH284" si="227">(SIN(RADIANS(g_V)))*(((VR_X-VL_X)/(VR_Z-VL_Z))*(AL253-VL_Z)+VL_X-AM253)</f>
        <v>6183.1314163678471</v>
      </c>
      <c r="AI253" s="85">
        <f t="shared" ref="AI253:AI284" si="228">AH253/(SIN(RADIANS(g_V-$A253)))</f>
        <v>-7336.4086880852374</v>
      </c>
      <c r="AJ253" s="90">
        <f t="shared" ref="AJ253:AJ284" si="229">(SIN(RADIANS(g_V)))*(((VR_X-VL_X)/(VR_Z-VL_Z))*(-VL_Z+AN253)+VL_X-AO253)</f>
        <v>6183.1314163678471</v>
      </c>
      <c r="AL253" s="95">
        <f t="shared" ref="AL253:AL284" si="230">SIN(RADIANS(A253))*r_K_D</f>
        <v>0</v>
      </c>
      <c r="AM253" s="95">
        <f t="shared" ref="AM253:AM284" si="231">COS(RADIANS(A253-180))*r_K_D</f>
        <v>0</v>
      </c>
      <c r="AN253" s="95">
        <f t="shared" ref="AN253:AN284" si="232">SIN(RADIANS(A253))*r_K_SSw</f>
        <v>0</v>
      </c>
      <c r="AO253" s="95">
        <f t="shared" ref="AO253:AO284" si="233">-COS(RADIANS(A253))*r_K_SSw</f>
        <v>0</v>
      </c>
      <c r="AP253"/>
      <c r="AQ253" s="95">
        <f t="shared" ref="AQ253:AQ284" si="234">MAX(d_y_Sw*(r_K_D*ABS(COS(RADIANS($A253)))+_r1_Sw+_r2_Sw), 2*_r1_Sw*d_y_Sw)/1000000</f>
        <v>0</v>
      </c>
      <c r="AR253" s="95">
        <f t="shared" ref="AR253:AR284" si="235">MAX(d_y_Sw*(r_K_D*ABS(SIN(RADIANS($A253)))+_r1_Sw+_r2_Sw), 2*_r1_Sw*d_y_Sw)/1000000</f>
        <v>0</v>
      </c>
      <c r="AS253" s="95">
        <f>Geraetedaten!$B$94*ABS(SIN(RADIANS($A253)))</f>
        <v>81.607566691913533</v>
      </c>
      <c r="AT253" s="95">
        <f>Geraetedaten!$B$94*ABS(COS(RADIANS($A253)))</f>
        <v>130.59940680808961</v>
      </c>
      <c r="AU253" s="95">
        <f>((h_Aw_Sw+Geraetedaten!$B$18)/1000)*(AQ253*AS253+AR253*AT253)/100</f>
        <v>0</v>
      </c>
    </row>
    <row r="254" spans="1:47" ht="13.5" x14ac:dyDescent="0.25">
      <c r="A254" s="16">
        <v>213</v>
      </c>
      <c r="B254" s="16">
        <f t="shared" si="177"/>
        <v>237</v>
      </c>
      <c r="C254" s="19">
        <f t="shared" si="178"/>
        <v>59.726309172009181</v>
      </c>
      <c r="D254" s="17">
        <f t="shared" si="179"/>
        <v>12225.198740827991</v>
      </c>
      <c r="E254" s="17">
        <f t="shared" si="180"/>
        <v>9985.4922708279919</v>
      </c>
      <c r="F254" s="17">
        <f t="shared" si="181"/>
        <v>-12166.74218917201</v>
      </c>
      <c r="G254" s="17">
        <f t="shared" si="182"/>
        <v>-10911.117179172008</v>
      </c>
      <c r="H254" s="17">
        <f t="shared" si="183"/>
        <v>9985.4922708279919</v>
      </c>
      <c r="I254" s="17">
        <f t="shared" si="184"/>
        <v>973.25954613516092</v>
      </c>
      <c r="J254" s="20">
        <f>(Geraetedaten!$B$152+(Geraetedaten!$B$153*(Geraetedaten!$B$18+d_y_Sw)/1000))*10</f>
        <v>6051.0442000000003</v>
      </c>
      <c r="K254" s="20">
        <f>(Geraetedaten!$B$165+(Geraetedaten!$B$166*(Geraetedaten!$B$18+d_y_Sw)/1000))*10</f>
        <v>10816.164000000001</v>
      </c>
      <c r="L254" s="20">
        <f>(Geraetedaten!$B$158+(Geraetedaten!$B$159*(Geraetedaten!$B$18+d_y_Sw)/1000)-(Geraetedaten!$B$160*I254/1000))*10</f>
        <v>530.16747748190835</v>
      </c>
      <c r="M254" s="20">
        <f>(Geraetedaten!$B$171+(Geraetedaten!$B$172*(Geraetedaten!$B$18+d_y_Sw)/1000)-(Geraetedaten!$B$173*I254/1000))*10</f>
        <v>992.41755938569952</v>
      </c>
      <c r="N254" s="20">
        <f>IF((H254-J254)/(K254-J254)*(Geraetedaten!$B$174-Geraetedaten!$B$161)&lt;Geraetedaten!$B$174,(H254-J254)/(K254-J254)*(Geraetedaten!$B$174-Geraetedaten!$B$161),Geraetedaten!$B$174)</f>
        <v>330.27065307596183</v>
      </c>
      <c r="O254" s="20">
        <f>N254/Geraetedaten!$B$174*(M254-L254)+L254+C254</f>
        <v>971.56287774087241</v>
      </c>
      <c r="P254" s="20">
        <f t="shared" si="185"/>
        <v>260.26818297013654</v>
      </c>
      <c r="Q254" s="21">
        <f>(N254-Geraetedaten!$B$161)/(Geraetedaten!$B$174-Geraetedaten!$B$161)*(Geraetedaten!$B$175-Geraetedaten!$B$162)+Geraetedaten!$B$162</f>
        <v>39.025551929009865</v>
      </c>
      <c r="R254" s="21">
        <f t="shared" si="211"/>
        <v>39.025551929009865</v>
      </c>
      <c r="S254" s="21">
        <f t="shared" si="212"/>
        <v>-21.254838943544762</v>
      </c>
      <c r="T254" s="88">
        <f t="shared" si="213"/>
        <v>-32.72958180068634</v>
      </c>
      <c r="U254" s="86">
        <f t="shared" si="214"/>
        <v>12284.92505</v>
      </c>
      <c r="V254" s="85">
        <f t="shared" si="215"/>
        <v>-2683.3128092763232</v>
      </c>
      <c r="W254" s="85">
        <f t="shared" si="216"/>
        <v>4918.5515894328464</v>
      </c>
      <c r="X254" s="90">
        <f t="shared" si="217"/>
        <v>2683.3128092763232</v>
      </c>
      <c r="Y254" s="86">
        <f t="shared" si="218"/>
        <v>10045.218580000001</v>
      </c>
      <c r="Z254" s="85">
        <f t="shared" si="219"/>
        <v>-832.16398485565549</v>
      </c>
      <c r="AA254" s="85">
        <f t="shared" si="220"/>
        <v>973.25954613516092</v>
      </c>
      <c r="AB254" s="90">
        <f t="shared" si="221"/>
        <v>832.16398485565549</v>
      </c>
      <c r="AC254" s="86">
        <f t="shared" si="222"/>
        <v>-12107.015880000001</v>
      </c>
      <c r="AD254" s="85">
        <f t="shared" si="223"/>
        <v>2598.140025222212</v>
      </c>
      <c r="AE254" s="85">
        <f t="shared" si="224"/>
        <v>-4775.5531413039625</v>
      </c>
      <c r="AF254" s="90">
        <f t="shared" si="225"/>
        <v>2598.140025222212</v>
      </c>
      <c r="AG254" s="86">
        <f t="shared" si="226"/>
        <v>-10851.390869999999</v>
      </c>
      <c r="AH254" s="85">
        <f t="shared" si="227"/>
        <v>6183.1314163678471</v>
      </c>
      <c r="AI254" s="85">
        <f t="shared" si="228"/>
        <v>-7420.2401825468933</v>
      </c>
      <c r="AJ254" s="90">
        <f t="shared" si="229"/>
        <v>6183.1314163678471</v>
      </c>
      <c r="AL254" s="95">
        <f t="shared" si="230"/>
        <v>0</v>
      </c>
      <c r="AM254" s="95">
        <f t="shared" si="231"/>
        <v>0</v>
      </c>
      <c r="AN254" s="95">
        <f t="shared" si="232"/>
        <v>0</v>
      </c>
      <c r="AO254" s="95">
        <f t="shared" si="233"/>
        <v>0</v>
      </c>
      <c r="AP254"/>
      <c r="AQ254" s="95">
        <f t="shared" si="234"/>
        <v>0</v>
      </c>
      <c r="AR254" s="95">
        <f t="shared" si="235"/>
        <v>0</v>
      </c>
      <c r="AS254" s="95">
        <f>Geraetedaten!$B$94*ABS(SIN(RADIANS($A254)))</f>
        <v>83.874411392314173</v>
      </c>
      <c r="AT254" s="95">
        <f>Geraetedaten!$B$94*ABS(COS(RADIANS($A254)))</f>
        <v>129.15526746359529</v>
      </c>
      <c r="AU254" s="95">
        <f>((h_Aw_Sw+Geraetedaten!$B$18)/1000)*(AQ254*AS254+AR254*AT254)/100</f>
        <v>0</v>
      </c>
    </row>
    <row r="255" spans="1:47" ht="13.5" x14ac:dyDescent="0.25">
      <c r="A255" s="16">
        <v>214</v>
      </c>
      <c r="B255" s="16">
        <f t="shared" si="177"/>
        <v>236</v>
      </c>
      <c r="C255" s="19">
        <f t="shared" si="178"/>
        <v>60.362702088343582</v>
      </c>
      <c r="D255" s="17">
        <f t="shared" si="179"/>
        <v>11905.571317911657</v>
      </c>
      <c r="E255" s="17">
        <f t="shared" si="180"/>
        <v>10093.885577911657</v>
      </c>
      <c r="F255" s="17">
        <f t="shared" si="181"/>
        <v>-11851.799662088344</v>
      </c>
      <c r="G255" s="17">
        <f t="shared" si="182"/>
        <v>-11040.566572088343</v>
      </c>
      <c r="H255" s="17">
        <f t="shared" si="183"/>
        <v>10093.885577911657</v>
      </c>
      <c r="I255" s="17">
        <f t="shared" si="184"/>
        <v>983.82319804755355</v>
      </c>
      <c r="J255" s="20">
        <f>(Geraetedaten!$B$152+(Geraetedaten!$B$153*(Geraetedaten!$B$18+d_y_Sw)/1000))*10</f>
        <v>6051.0442000000003</v>
      </c>
      <c r="K255" s="20">
        <f>(Geraetedaten!$B$165+(Geraetedaten!$B$166*(Geraetedaten!$B$18+d_y_Sw)/1000))*10</f>
        <v>10816.164000000001</v>
      </c>
      <c r="L255" s="20">
        <f>(Geraetedaten!$B$158+(Geraetedaten!$B$159*(Geraetedaten!$B$18+d_y_Sw)/1000)-(Geraetedaten!$B$160*I255/1000))*10</f>
        <v>529.3928448871726</v>
      </c>
      <c r="M255" s="20">
        <f>(Geraetedaten!$B$171+(Geraetedaten!$B$172*(Geraetedaten!$B$18+d_y_Sw)/1000)-(Geraetedaten!$B$173*I255/1000))*10</f>
        <v>991.63120113734112</v>
      </c>
      <c r="N255" s="20">
        <f>IF((H255-J255)/(K255-J255)*(Geraetedaten!$B$174-Geraetedaten!$B$161)&lt;Geraetedaten!$B$174,(H255-J255)/(K255-J255)*(Geraetedaten!$B$174-Geraetedaten!$B$161),Geraetedaten!$B$174)</f>
        <v>339.36954767950687</v>
      </c>
      <c r="O255" s="20">
        <f>N255/Geraetedaten!$B$174*(M255-L255)+L255+C255</f>
        <v>981.92960167736226</v>
      </c>
      <c r="P255" s="20">
        <f t="shared" si="185"/>
        <v>261.25929505568774</v>
      </c>
      <c r="Q255" s="21">
        <f>(N255-Geraetedaten!$B$161)/(Geraetedaten!$B$174-Geraetedaten!$B$161)*(Geraetedaten!$B$175-Geraetedaten!$B$162)+Geraetedaten!$B$162</f>
        <v>39.296244043465329</v>
      </c>
      <c r="R255" s="21">
        <f t="shared" si="211"/>
        <v>39.296244043465329</v>
      </c>
      <c r="S255" s="21">
        <f t="shared" si="212"/>
        <v>-21.974180802160411</v>
      </c>
      <c r="T255" s="88">
        <f t="shared" si="213"/>
        <v>-32.578062772325019</v>
      </c>
      <c r="U255" s="86">
        <f t="shared" si="214"/>
        <v>11965.934020000001</v>
      </c>
      <c r="V255" s="85">
        <f t="shared" si="215"/>
        <v>-2683.3128092763232</v>
      </c>
      <c r="W255" s="85">
        <f t="shared" si="216"/>
        <v>4790.836210862296</v>
      </c>
      <c r="X255" s="90">
        <f t="shared" si="217"/>
        <v>2683.3128092763232</v>
      </c>
      <c r="Y255" s="86">
        <f t="shared" si="218"/>
        <v>10154.24828</v>
      </c>
      <c r="Z255" s="85">
        <f t="shared" si="219"/>
        <v>-832.16398485565549</v>
      </c>
      <c r="AA255" s="85">
        <f t="shared" si="220"/>
        <v>983.82319804755355</v>
      </c>
      <c r="AB255" s="90">
        <f t="shared" si="221"/>
        <v>832.16398485565549</v>
      </c>
      <c r="AC255" s="86">
        <f t="shared" si="222"/>
        <v>-11791.436960000001</v>
      </c>
      <c r="AD255" s="85">
        <f t="shared" si="223"/>
        <v>2598.140025222212</v>
      </c>
      <c r="AE255" s="85">
        <f t="shared" si="224"/>
        <v>-4651.0745844411904</v>
      </c>
      <c r="AF255" s="90">
        <f t="shared" si="225"/>
        <v>2598.140025222212</v>
      </c>
      <c r="AG255" s="86">
        <f t="shared" si="226"/>
        <v>-10980.203869999999</v>
      </c>
      <c r="AH255" s="85">
        <f t="shared" si="227"/>
        <v>6183.1314163678471</v>
      </c>
      <c r="AI255" s="85">
        <f t="shared" si="228"/>
        <v>-7508.3232136693259</v>
      </c>
      <c r="AJ255" s="90">
        <f t="shared" si="229"/>
        <v>6183.1314163678471</v>
      </c>
      <c r="AL255" s="95">
        <f t="shared" si="230"/>
        <v>0</v>
      </c>
      <c r="AM255" s="95">
        <f t="shared" si="231"/>
        <v>0</v>
      </c>
      <c r="AN255" s="95">
        <f t="shared" si="232"/>
        <v>0</v>
      </c>
      <c r="AO255" s="95">
        <f t="shared" si="233"/>
        <v>0</v>
      </c>
      <c r="AP255"/>
      <c r="AQ255" s="95">
        <f t="shared" si="234"/>
        <v>0</v>
      </c>
      <c r="AR255" s="95">
        <f t="shared" si="235"/>
        <v>0</v>
      </c>
      <c r="AS255" s="95">
        <f>Geraetedaten!$B$94*ABS(SIN(RADIANS($A255)))</f>
        <v>86.115707134494983</v>
      </c>
      <c r="AT255" s="95">
        <f>Geraetedaten!$B$94*ABS(COS(RADIANS($A255)))</f>
        <v>127.67178617347645</v>
      </c>
      <c r="AU255" s="95">
        <f>((h_Aw_Sw+Geraetedaten!$B$18)/1000)*(AQ255*AS255+AR255*AT255)/100</f>
        <v>0</v>
      </c>
    </row>
    <row r="256" spans="1:47" ht="13.5" x14ac:dyDescent="0.25">
      <c r="A256" s="16">
        <v>215</v>
      </c>
      <c r="B256" s="16">
        <f t="shared" si="177"/>
        <v>235</v>
      </c>
      <c r="C256" s="19">
        <f t="shared" si="178"/>
        <v>60.98070794087527</v>
      </c>
      <c r="D256" s="17">
        <f t="shared" si="179"/>
        <v>11605.572692059126</v>
      </c>
      <c r="E256" s="17">
        <f t="shared" si="180"/>
        <v>10207.852332059125</v>
      </c>
      <c r="F256" s="17">
        <f t="shared" si="181"/>
        <v>-11556.285087940874</v>
      </c>
      <c r="G256" s="17">
        <f t="shared" si="182"/>
        <v>-11176.519077940875</v>
      </c>
      <c r="H256" s="17">
        <f t="shared" si="183"/>
        <v>10207.852332059125</v>
      </c>
      <c r="I256" s="17">
        <f t="shared" si="184"/>
        <v>994.92506897250121</v>
      </c>
      <c r="J256" s="20">
        <f>(Geraetedaten!$B$152+(Geraetedaten!$B$153*(Geraetedaten!$B$18+d_y_Sw)/1000))*10</f>
        <v>6051.0442000000003</v>
      </c>
      <c r="K256" s="20">
        <f>(Geraetedaten!$B$165+(Geraetedaten!$B$166*(Geraetedaten!$B$18+d_y_Sw)/1000))*10</f>
        <v>10816.164000000001</v>
      </c>
      <c r="L256" s="20">
        <f>(Geraetedaten!$B$158+(Geraetedaten!$B$159*(Geraetedaten!$B$18+d_y_Sw)/1000)-(Geraetedaten!$B$160*I256/1000))*10</f>
        <v>528.57874469224623</v>
      </c>
      <c r="M256" s="20">
        <f>(Geraetedaten!$B$171+(Geraetedaten!$B$172*(Geraetedaten!$B$18+d_y_Sw)/1000)-(Geraetedaten!$B$173*I256/1000))*10</f>
        <v>990.80477786568792</v>
      </c>
      <c r="N256" s="20">
        <f>IF((H256-J256)/(K256-J256)*(Geraetedaten!$B$174-Geraetedaten!$B$161)&lt;Geraetedaten!$B$174,(H256-J256)/(K256-J256)*(Geraetedaten!$B$174-Geraetedaten!$B$161),Geraetedaten!$B$174)</f>
        <v>348.93629596125783</v>
      </c>
      <c r="O256" s="20">
        <f>N256/Geraetedaten!$B$174*(M256-L256)+L256+C256</f>
        <v>992.77805241413705</v>
      </c>
      <c r="P256" s="20">
        <f t="shared" si="185"/>
        <v>262.27336662989387</v>
      </c>
      <c r="Q256" s="21">
        <f>(N256-Geraetedaten!$B$161)/(Geraetedaten!$B$174-Geraetedaten!$B$161)*(Geraetedaten!$B$175-Geraetedaten!$B$162)+Geraetedaten!$B$162</f>
        <v>39.580854804847419</v>
      </c>
      <c r="R256" s="21">
        <f t="shared" si="211"/>
        <v>39.580854804847419</v>
      </c>
      <c r="S256" s="21">
        <f t="shared" si="212"/>
        <v>-22.702645646692567</v>
      </c>
      <c r="T256" s="88">
        <f t="shared" si="213"/>
        <v>-32.422738128096526</v>
      </c>
      <c r="U256" s="86">
        <f t="shared" si="214"/>
        <v>11666.553400000001</v>
      </c>
      <c r="V256" s="85">
        <f t="shared" si="215"/>
        <v>-2683.3128092763232</v>
      </c>
      <c r="W256" s="85">
        <f t="shared" si="216"/>
        <v>4670.9723126966182</v>
      </c>
      <c r="X256" s="90">
        <f t="shared" si="217"/>
        <v>2683.3128092763232</v>
      </c>
      <c r="Y256" s="86">
        <f t="shared" si="218"/>
        <v>10268.83304</v>
      </c>
      <c r="Z256" s="85">
        <f t="shared" si="219"/>
        <v>-832.16398485565549</v>
      </c>
      <c r="AA256" s="85">
        <f t="shared" si="220"/>
        <v>994.92506897250121</v>
      </c>
      <c r="AB256" s="90">
        <f t="shared" si="221"/>
        <v>832.16398485565549</v>
      </c>
      <c r="AC256" s="86">
        <f t="shared" si="222"/>
        <v>-11495.30438</v>
      </c>
      <c r="AD256" s="85">
        <f t="shared" si="223"/>
        <v>2598.140025222212</v>
      </c>
      <c r="AE256" s="85">
        <f t="shared" si="224"/>
        <v>-4534.2665346803151</v>
      </c>
      <c r="AF256" s="90">
        <f t="shared" si="225"/>
        <v>2598.140025222212</v>
      </c>
      <c r="AG256" s="86">
        <f t="shared" si="226"/>
        <v>-11115.53837</v>
      </c>
      <c r="AH256" s="85">
        <f t="shared" si="227"/>
        <v>6183.1314163678471</v>
      </c>
      <c r="AI256" s="85">
        <f t="shared" si="228"/>
        <v>-7600.8656831622411</v>
      </c>
      <c r="AJ256" s="90">
        <f t="shared" si="229"/>
        <v>6183.1314163678471</v>
      </c>
      <c r="AL256" s="95">
        <f t="shared" si="230"/>
        <v>0</v>
      </c>
      <c r="AM256" s="95">
        <f t="shared" si="231"/>
        <v>0</v>
      </c>
      <c r="AN256" s="95">
        <f t="shared" si="232"/>
        <v>0</v>
      </c>
      <c r="AO256" s="95">
        <f t="shared" si="233"/>
        <v>0</v>
      </c>
      <c r="AP256"/>
      <c r="AQ256" s="95">
        <f t="shared" si="234"/>
        <v>0</v>
      </c>
      <c r="AR256" s="95">
        <f t="shared" si="235"/>
        <v>0</v>
      </c>
      <c r="AS256" s="95">
        <f>Geraetedaten!$B$94*ABS(SIN(RADIANS($A256)))</f>
        <v>88.330771198061115</v>
      </c>
      <c r="AT256" s="95">
        <f>Geraetedaten!$B$94*ABS(COS(RADIANS($A256)))</f>
        <v>126.14941482050473</v>
      </c>
      <c r="AU256" s="95">
        <f>((h_Aw_Sw+Geraetedaten!$B$18)/1000)*(AQ256*AS256+AR256*AT256)/100</f>
        <v>0</v>
      </c>
    </row>
    <row r="257" spans="1:47" ht="13.5" x14ac:dyDescent="0.25">
      <c r="A257" s="16">
        <v>216</v>
      </c>
      <c r="B257" s="16">
        <f t="shared" si="177"/>
        <v>234</v>
      </c>
      <c r="C257" s="19">
        <f t="shared" si="178"/>
        <v>61.580138479034758</v>
      </c>
      <c r="D257" s="17">
        <f t="shared" si="179"/>
        <v>11323.591031520966</v>
      </c>
      <c r="E257" s="17">
        <f t="shared" si="180"/>
        <v>10327.654011520965</v>
      </c>
      <c r="F257" s="17">
        <f t="shared" si="181"/>
        <v>-11278.594898479034</v>
      </c>
      <c r="G257" s="17">
        <f t="shared" si="182"/>
        <v>-11319.302728479033</v>
      </c>
      <c r="H257" s="17">
        <f t="shared" si="183"/>
        <v>10327.654011520965</v>
      </c>
      <c r="I257" s="17">
        <f t="shared" si="184"/>
        <v>1006.590472518672</v>
      </c>
      <c r="J257" s="20">
        <f>(Geraetedaten!$B$152+(Geraetedaten!$B$153*(Geraetedaten!$B$18+d_y_Sw)/1000))*10</f>
        <v>6051.0442000000003</v>
      </c>
      <c r="K257" s="20">
        <f>(Geraetedaten!$B$165+(Geraetedaten!$B$166*(Geraetedaten!$B$18+d_y_Sw)/1000))*10</f>
        <v>10816.164000000001</v>
      </c>
      <c r="L257" s="20">
        <f>(Geraetedaten!$B$158+(Geraetedaten!$B$159*(Geraetedaten!$B$18+d_y_Sw)/1000)-(Geraetedaten!$B$160*I257/1000))*10</f>
        <v>527.72332065020555</v>
      </c>
      <c r="M257" s="20">
        <f>(Geraetedaten!$B$171+(Geraetedaten!$B$172*(Geraetedaten!$B$18+d_y_Sw)/1000)-(Geraetedaten!$B$173*I257/1000))*10</f>
        <v>989.93640522571104</v>
      </c>
      <c r="N257" s="20">
        <f>IF((H257-J257)/(K257-J257)*(Geraetedaten!$B$174-Geraetedaten!$B$161)&lt;Geraetedaten!$B$174,(H257-J257)/(K257-J257)*(Geraetedaten!$B$174-Geraetedaten!$B$161),Geraetedaten!$B$174)</f>
        <v>358.99284727498053</v>
      </c>
      <c r="O257" s="20">
        <f>N257/Geraetedaten!$B$174*(M257-L257)+L257+C257</f>
        <v>1004.1314373280206</v>
      </c>
      <c r="P257" s="20">
        <f t="shared" si="185"/>
        <v>263.31069992942378</v>
      </c>
      <c r="Q257" s="21">
        <f>(N257-Geraetedaten!$B$161)/(Geraetedaten!$B$174-Geraetedaten!$B$161)*(Geraetedaten!$B$175-Geraetedaten!$B$162)+Geraetedaten!$B$162</f>
        <v>39.880037206430671</v>
      </c>
      <c r="R257" s="21">
        <f t="shared" si="211"/>
        <v>39.880037206430671</v>
      </c>
      <c r="S257" s="21">
        <f t="shared" si="212"/>
        <v>-23.440897730815063</v>
      </c>
      <c r="T257" s="88">
        <f t="shared" si="213"/>
        <v>-32.26362783630762</v>
      </c>
      <c r="U257" s="86">
        <f t="shared" si="214"/>
        <v>11385.17117</v>
      </c>
      <c r="V257" s="85">
        <f t="shared" si="215"/>
        <v>-2683.3128092763232</v>
      </c>
      <c r="W257" s="85">
        <f t="shared" si="216"/>
        <v>4558.3144779812892</v>
      </c>
      <c r="X257" s="90">
        <f t="shared" si="217"/>
        <v>2683.3128092763232</v>
      </c>
      <c r="Y257" s="86">
        <f t="shared" si="218"/>
        <v>10389.23415</v>
      </c>
      <c r="Z257" s="85">
        <f t="shared" si="219"/>
        <v>-832.16398485565549</v>
      </c>
      <c r="AA257" s="85">
        <f t="shared" si="220"/>
        <v>1006.590472518672</v>
      </c>
      <c r="AB257" s="90">
        <f t="shared" si="221"/>
        <v>832.16398485565549</v>
      </c>
      <c r="AC257" s="86">
        <f t="shared" si="222"/>
        <v>-11217.01476</v>
      </c>
      <c r="AD257" s="85">
        <f t="shared" si="223"/>
        <v>2598.140025222212</v>
      </c>
      <c r="AE257" s="85">
        <f t="shared" si="224"/>
        <v>-4424.4965569106898</v>
      </c>
      <c r="AF257" s="90">
        <f t="shared" si="225"/>
        <v>2598.140025222212</v>
      </c>
      <c r="AG257" s="86">
        <f t="shared" si="226"/>
        <v>-11257.722589999999</v>
      </c>
      <c r="AH257" s="85">
        <f t="shared" si="227"/>
        <v>6183.1314163678471</v>
      </c>
      <c r="AI257" s="85">
        <f t="shared" si="228"/>
        <v>-7698.0920269857288</v>
      </c>
      <c r="AJ257" s="90">
        <f t="shared" si="229"/>
        <v>6183.1314163678471</v>
      </c>
      <c r="AL257" s="95">
        <f t="shared" si="230"/>
        <v>0</v>
      </c>
      <c r="AM257" s="95">
        <f t="shared" si="231"/>
        <v>0</v>
      </c>
      <c r="AN257" s="95">
        <f t="shared" si="232"/>
        <v>0</v>
      </c>
      <c r="AO257" s="95">
        <f t="shared" si="233"/>
        <v>0</v>
      </c>
      <c r="AP257"/>
      <c r="AQ257" s="95">
        <f t="shared" si="234"/>
        <v>0</v>
      </c>
      <c r="AR257" s="95">
        <f t="shared" si="235"/>
        <v>0</v>
      </c>
      <c r="AS257" s="95">
        <f>Geraetedaten!$B$94*ABS(SIN(RADIANS($A257)))</f>
        <v>90.518928853040848</v>
      </c>
      <c r="AT257" s="95">
        <f>Geraetedaten!$B$94*ABS(COS(RADIANS($A257)))</f>
        <v>124.58861713374192</v>
      </c>
      <c r="AU257" s="95">
        <f>((h_Aw_Sw+Geraetedaten!$B$18)/1000)*(AQ257*AS257+AR257*AT257)/100</f>
        <v>0</v>
      </c>
    </row>
    <row r="258" spans="1:47" ht="13.5" x14ac:dyDescent="0.25">
      <c r="A258" s="16">
        <v>217</v>
      </c>
      <c r="B258" s="16">
        <f t="shared" si="177"/>
        <v>233</v>
      </c>
      <c r="C258" s="19">
        <f t="shared" si="178"/>
        <v>62.160811110473361</v>
      </c>
      <c r="D258" s="17">
        <f t="shared" si="179"/>
        <v>11058.189208889526</v>
      </c>
      <c r="E258" s="17">
        <f t="shared" si="180"/>
        <v>10453.572528889526</v>
      </c>
      <c r="F258" s="17">
        <f t="shared" si="181"/>
        <v>-11017.299841110475</v>
      </c>
      <c r="G258" s="17">
        <f t="shared" si="182"/>
        <v>-11469.271991110474</v>
      </c>
      <c r="H258" s="17">
        <f t="shared" si="183"/>
        <v>10453.572528889526</v>
      </c>
      <c r="I258" s="17">
        <f t="shared" si="184"/>
        <v>1018.8467055972266</v>
      </c>
      <c r="J258" s="20">
        <f>(Geraetedaten!$B$152+(Geraetedaten!$B$153*(Geraetedaten!$B$18+d_y_Sw)/1000))*10</f>
        <v>6051.0442000000003</v>
      </c>
      <c r="K258" s="20">
        <f>(Geraetedaten!$B$165+(Geraetedaten!$B$166*(Geraetedaten!$B$18+d_y_Sw)/1000))*10</f>
        <v>10816.164000000001</v>
      </c>
      <c r="L258" s="20">
        <f>(Geraetedaten!$B$158+(Geraetedaten!$B$159*(Geraetedaten!$B$18+d_y_Sw)/1000)-(Geraetedaten!$B$160*I258/1000))*10</f>
        <v>526.8245710785551</v>
      </c>
      <c r="M258" s="20">
        <f>(Geraetedaten!$B$171+(Geraetedaten!$B$172*(Geraetedaten!$B$18+d_y_Sw)/1000)-(Geraetedaten!$B$173*I258/1000))*10</f>
        <v>989.02405123534334</v>
      </c>
      <c r="N258" s="20">
        <f>IF((H258-J258)/(K258-J258)*(Geraetedaten!$B$174-Geraetedaten!$B$161)&lt;Geraetedaten!$B$174,(H258-J258)/(K258-J258)*(Geraetedaten!$B$174-Geraetedaten!$B$161),Geraetedaten!$B$174)</f>
        <v>369.56286630103409</v>
      </c>
      <c r="O258" s="20">
        <f>N258/Geraetedaten!$B$174*(M258-L258)+L258+C258</f>
        <v>1016.014793913005</v>
      </c>
      <c r="P258" s="20">
        <f t="shared" si="185"/>
        <v>264.37161809546512</v>
      </c>
      <c r="Q258" s="21">
        <f>(N258-Geraetedaten!$B$161)/(Geraetedaten!$B$174-Geraetedaten!$B$161)*(Geraetedaten!$B$175-Geraetedaten!$B$162)+Geraetedaten!$B$162</f>
        <v>40.194495272455768</v>
      </c>
      <c r="R258" s="21">
        <f t="shared" si="211"/>
        <v>40.194495272455768</v>
      </c>
      <c r="S258" s="21">
        <f t="shared" si="212"/>
        <v>-24.189651102977866</v>
      </c>
      <c r="T258" s="88">
        <f t="shared" si="213"/>
        <v>-32.100751233011209</v>
      </c>
      <c r="U258" s="86">
        <f t="shared" si="214"/>
        <v>11120.35002</v>
      </c>
      <c r="V258" s="85">
        <f t="shared" si="215"/>
        <v>-2683.3128092763232</v>
      </c>
      <c r="W258" s="85">
        <f t="shared" si="216"/>
        <v>4452.2872549615768</v>
      </c>
      <c r="X258" s="90">
        <f t="shared" si="217"/>
        <v>2683.3128092763232</v>
      </c>
      <c r="Y258" s="86">
        <f t="shared" si="218"/>
        <v>10515.733340000001</v>
      </c>
      <c r="Z258" s="85">
        <f t="shared" si="219"/>
        <v>-832.16398485565549</v>
      </c>
      <c r="AA258" s="85">
        <f t="shared" si="220"/>
        <v>1018.8467055972266</v>
      </c>
      <c r="AB258" s="90">
        <f t="shared" si="221"/>
        <v>832.16398485565549</v>
      </c>
      <c r="AC258" s="86">
        <f t="shared" si="222"/>
        <v>-10955.13903</v>
      </c>
      <c r="AD258" s="85">
        <f t="shared" si="223"/>
        <v>2598.140025222212</v>
      </c>
      <c r="AE258" s="85">
        <f t="shared" si="224"/>
        <v>-4321.200959527313</v>
      </c>
      <c r="AF258" s="90">
        <f t="shared" si="225"/>
        <v>2598.140025222212</v>
      </c>
      <c r="AG258" s="86">
        <f t="shared" si="226"/>
        <v>-11407.11118</v>
      </c>
      <c r="AH258" s="85">
        <f t="shared" si="227"/>
        <v>6183.1314163678471</v>
      </c>
      <c r="AI258" s="85">
        <f t="shared" si="228"/>
        <v>-7800.2447549220788</v>
      </c>
      <c r="AJ258" s="90">
        <f t="shared" si="229"/>
        <v>6183.1314163678471</v>
      </c>
      <c r="AL258" s="95">
        <f t="shared" si="230"/>
        <v>0</v>
      </c>
      <c r="AM258" s="95">
        <f t="shared" si="231"/>
        <v>0</v>
      </c>
      <c r="AN258" s="95">
        <f t="shared" si="232"/>
        <v>0</v>
      </c>
      <c r="AO258" s="95">
        <f t="shared" si="233"/>
        <v>0</v>
      </c>
      <c r="AP258"/>
      <c r="AQ258" s="95">
        <f t="shared" si="234"/>
        <v>0</v>
      </c>
      <c r="AR258" s="95">
        <f t="shared" si="235"/>
        <v>0</v>
      </c>
      <c r="AS258" s="95">
        <f>Geraetedaten!$B$94*ABS(SIN(RADIANS($A258)))</f>
        <v>92.679513565415448</v>
      </c>
      <c r="AT258" s="95">
        <f>Geraetedaten!$B$94*ABS(COS(RADIANS($A258)))</f>
        <v>122.98986854728309</v>
      </c>
      <c r="AU258" s="95">
        <f>((h_Aw_Sw+Geraetedaten!$B$18)/1000)*(AQ258*AS258+AR258*AT258)/100</f>
        <v>0</v>
      </c>
    </row>
    <row r="259" spans="1:47" ht="13.5" x14ac:dyDescent="0.25">
      <c r="A259" s="16">
        <v>218</v>
      </c>
      <c r="B259" s="16">
        <f t="shared" si="177"/>
        <v>232</v>
      </c>
      <c r="C259" s="19">
        <f t="shared" si="178"/>
        <v>62.722548956682388</v>
      </c>
      <c r="D259" s="17">
        <f t="shared" si="179"/>
        <v>10808.081931043318</v>
      </c>
      <c r="E259" s="17">
        <f t="shared" si="180"/>
        <v>10585.912111043317</v>
      </c>
      <c r="F259" s="17">
        <f t="shared" si="181"/>
        <v>-10771.122018956683</v>
      </c>
      <c r="G259" s="17">
        <f t="shared" si="182"/>
        <v>-11626.810268956682</v>
      </c>
      <c r="H259" s="17">
        <f t="shared" si="183"/>
        <v>10585.912111043317</v>
      </c>
      <c r="I259" s="17">
        <f t="shared" si="184"/>
        <v>1031.7232276798288</v>
      </c>
      <c r="J259" s="20">
        <f>(Geraetedaten!$B$152+(Geraetedaten!$B$153*(Geraetedaten!$B$18+d_y_Sw)/1000))*10</f>
        <v>6051.0442000000003</v>
      </c>
      <c r="K259" s="20">
        <f>(Geraetedaten!$B$165+(Geraetedaten!$B$166*(Geraetedaten!$B$18+d_y_Sw)/1000))*10</f>
        <v>10816.164000000001</v>
      </c>
      <c r="L259" s="20">
        <f>(Geraetedaten!$B$158+(Geraetedaten!$B$159*(Geraetedaten!$B$18+d_y_Sw)/1000)-(Geraetedaten!$B$160*I259/1000))*10</f>
        <v>525.88033571423796</v>
      </c>
      <c r="M259" s="20">
        <f>(Geraetedaten!$B$171+(Geraetedaten!$B$172*(Geraetedaten!$B$18+d_y_Sw)/1000)-(Geraetedaten!$B$173*I259/1000))*10</f>
        <v>988.06552293151458</v>
      </c>
      <c r="N259" s="20">
        <f>IF((H259-J259)/(K259-J259)*(Geraetedaten!$B$174-Geraetedaten!$B$161)&lt;Geraetedaten!$B$174,(H259-J259)/(K259-J259)*(Geraetedaten!$B$174-Geraetedaten!$B$161),Geraetedaten!$B$174)</f>
        <v>380.67189085515258</v>
      </c>
      <c r="O259" s="20">
        <f>N259/Geraetedaten!$B$174*(M259-L259)+L259+C259</f>
        <v>1028.4551575290288</v>
      </c>
      <c r="P259" s="20">
        <f t="shared" si="185"/>
        <v>265.45646572641311</v>
      </c>
      <c r="Q259" s="21">
        <f>(N259-Geraetedaten!$B$161)/(Geraetedaten!$B$174-Geraetedaten!$B$161)*(Geraetedaten!$B$175-Geraetedaten!$B$162)+Geraetedaten!$B$162</f>
        <v>40.524988752940786</v>
      </c>
      <c r="R259" s="21">
        <f t="shared" si="211"/>
        <v>40.524988752940786</v>
      </c>
      <c r="S259" s="21">
        <f t="shared" si="212"/>
        <v>-24.949674363191228</v>
      </c>
      <c r="T259" s="88">
        <f t="shared" si="213"/>
        <v>-31.934126927108803</v>
      </c>
      <c r="U259" s="86">
        <f t="shared" si="214"/>
        <v>10870.804480000001</v>
      </c>
      <c r="V259" s="85">
        <f t="shared" si="215"/>
        <v>-2683.3128092763232</v>
      </c>
      <c r="W259" s="85">
        <f t="shared" si="216"/>
        <v>4352.3759748292787</v>
      </c>
      <c r="X259" s="90">
        <f t="shared" si="217"/>
        <v>2683.3128092763232</v>
      </c>
      <c r="Y259" s="86">
        <f t="shared" si="218"/>
        <v>10648.63466</v>
      </c>
      <c r="Z259" s="85">
        <f t="shared" si="219"/>
        <v>-832.16398485565549</v>
      </c>
      <c r="AA259" s="85">
        <f t="shared" si="220"/>
        <v>1031.7232276798288</v>
      </c>
      <c r="AB259" s="90">
        <f t="shared" si="221"/>
        <v>832.16398485565549</v>
      </c>
      <c r="AC259" s="86">
        <f t="shared" si="222"/>
        <v>-10708.39947</v>
      </c>
      <c r="AD259" s="85">
        <f t="shared" si="223"/>
        <v>2598.140025222212</v>
      </c>
      <c r="AE259" s="85">
        <f t="shared" si="224"/>
        <v>-4223.8757480000795</v>
      </c>
      <c r="AF259" s="90">
        <f t="shared" si="225"/>
        <v>2598.140025222212</v>
      </c>
      <c r="AG259" s="86">
        <f t="shared" si="226"/>
        <v>-11564.08772</v>
      </c>
      <c r="AH259" s="85">
        <f t="shared" si="227"/>
        <v>6183.1314163678471</v>
      </c>
      <c r="AI259" s="85">
        <f t="shared" si="228"/>
        <v>-7907.586171565521</v>
      </c>
      <c r="AJ259" s="90">
        <f t="shared" si="229"/>
        <v>6183.1314163678471</v>
      </c>
      <c r="AL259" s="95">
        <f t="shared" si="230"/>
        <v>0</v>
      </c>
      <c r="AM259" s="95">
        <f t="shared" si="231"/>
        <v>0</v>
      </c>
      <c r="AN259" s="95">
        <f t="shared" si="232"/>
        <v>0</v>
      </c>
      <c r="AO259" s="95">
        <f t="shared" si="233"/>
        <v>0</v>
      </c>
      <c r="AP259"/>
      <c r="AQ259" s="95">
        <f t="shared" si="234"/>
        <v>0</v>
      </c>
      <c r="AR259" s="95">
        <f t="shared" si="235"/>
        <v>0</v>
      </c>
      <c r="AS259" s="95">
        <f>Geraetedaten!$B$94*ABS(SIN(RADIANS($A259)))</f>
        <v>94.811867200151354</v>
      </c>
      <c r="AT259" s="95">
        <f>Geraetedaten!$B$94*ABS(COS(RADIANS($A259)))</f>
        <v>121.3536560554352</v>
      </c>
      <c r="AU259" s="95">
        <f>((h_Aw_Sw+Geraetedaten!$B$18)/1000)*(AQ259*AS259+AR259*AT259)/100</f>
        <v>0</v>
      </c>
    </row>
    <row r="260" spans="1:47" ht="13.5" x14ac:dyDescent="0.25">
      <c r="A260" s="16">
        <v>219</v>
      </c>
      <c r="B260" s="16">
        <f t="shared" si="177"/>
        <v>231</v>
      </c>
      <c r="C260" s="19">
        <f t="shared" si="178"/>
        <v>63.26518090687226</v>
      </c>
      <c r="D260" s="17">
        <f t="shared" si="179"/>
        <v>10572.116309093128</v>
      </c>
      <c r="E260" s="17">
        <f t="shared" si="180"/>
        <v>10725.001379093128</v>
      </c>
      <c r="F260" s="17">
        <f t="shared" si="181"/>
        <v>-10538.915470906872</v>
      </c>
      <c r="G260" s="17">
        <f t="shared" si="182"/>
        <v>-11792.332770906873</v>
      </c>
      <c r="H260" s="17">
        <f t="shared" si="183"/>
        <v>10572.116309093128</v>
      </c>
      <c r="I260" s="17">
        <f t="shared" si="184"/>
        <v>4258.1189802926938</v>
      </c>
      <c r="J260" s="20">
        <f>(Geraetedaten!$B$152+(Geraetedaten!$B$153*(Geraetedaten!$B$18+d_y_Sw)/1000))*10</f>
        <v>6051.0442000000003</v>
      </c>
      <c r="K260" s="20">
        <f>(Geraetedaten!$B$165+(Geraetedaten!$B$166*(Geraetedaten!$B$18+d_y_Sw)/1000))*10</f>
        <v>10816.164000000001</v>
      </c>
      <c r="L260" s="20">
        <f>(Geraetedaten!$B$158+(Geraetedaten!$B$159*(Geraetedaten!$B$18+d_y_Sw)/1000)-(Geraetedaten!$B$160*I260/1000))*10</f>
        <v>289.28873517513659</v>
      </c>
      <c r="M260" s="20">
        <f>(Geraetedaten!$B$171+(Geraetedaten!$B$172*(Geraetedaten!$B$18+d_y_Sw)/1000)-(Geraetedaten!$B$173*I260/1000))*10</f>
        <v>747.8926231070127</v>
      </c>
      <c r="N260" s="20">
        <f>IF((H260-J260)/(K260-J260)*(Geraetedaten!$B$174-Geraetedaten!$B$161)&lt;Geraetedaten!$B$174,(H260-J260)/(K260-J260)*(Geraetedaten!$B$174-Geraetedaten!$B$161),Geraetedaten!$B$174)</f>
        <v>379.51382536851452</v>
      </c>
      <c r="O260" s="20">
        <f>N260/Geraetedaten!$B$174*(M260-L260)+L260+C260</f>
        <v>787.67020567675843</v>
      </c>
      <c r="P260" s="20">
        <f t="shared" si="185"/>
        <v>221.60425803434546</v>
      </c>
      <c r="Q260" s="21">
        <f>(N260-Geraetedaten!$B$161)/(Geraetedaten!$B$174-Geraetedaten!$B$161)*(Geraetedaten!$B$175-Geraetedaten!$B$162)+Geraetedaten!$B$162</f>
        <v>40.490536304713309</v>
      </c>
      <c r="R260" s="21">
        <f t="shared" si="211"/>
        <v>40.490536304713309</v>
      </c>
      <c r="S260" s="21">
        <f t="shared" si="212"/>
        <v>-25.481520141099825</v>
      </c>
      <c r="T260" s="88">
        <f t="shared" si="213"/>
        <v>-31.467056766434805</v>
      </c>
      <c r="U260" s="86">
        <f t="shared" si="214"/>
        <v>10635.38149</v>
      </c>
      <c r="V260" s="85">
        <f t="shared" si="215"/>
        <v>-2683.3128092763232</v>
      </c>
      <c r="W260" s="85">
        <f t="shared" si="216"/>
        <v>4258.1189802926938</v>
      </c>
      <c r="X260" s="90">
        <f t="shared" si="217"/>
        <v>2683.3128092763232</v>
      </c>
      <c r="Y260" s="86">
        <f t="shared" si="218"/>
        <v>10788.26656</v>
      </c>
      <c r="Z260" s="85">
        <f t="shared" si="219"/>
        <v>-832.16398485565549</v>
      </c>
      <c r="AA260" s="85">
        <f t="shared" si="220"/>
        <v>1045.2518606997135</v>
      </c>
      <c r="AB260" s="90">
        <f t="shared" si="221"/>
        <v>832.16398485565549</v>
      </c>
      <c r="AC260" s="86">
        <f t="shared" si="222"/>
        <v>-10475.65029</v>
      </c>
      <c r="AD260" s="85">
        <f t="shared" si="223"/>
        <v>2598.140025222212</v>
      </c>
      <c r="AE260" s="85">
        <f t="shared" si="224"/>
        <v>-4132.0689720433802</v>
      </c>
      <c r="AF260" s="90">
        <f t="shared" si="225"/>
        <v>2598.140025222212</v>
      </c>
      <c r="AG260" s="86">
        <f t="shared" si="226"/>
        <v>-11729.067590000001</v>
      </c>
      <c r="AH260" s="85">
        <f t="shared" si="227"/>
        <v>6183.1314163678471</v>
      </c>
      <c r="AI260" s="85">
        <f t="shared" si="228"/>
        <v>-8020.4003038091805</v>
      </c>
      <c r="AJ260" s="90">
        <f t="shared" si="229"/>
        <v>6183.1314163678471</v>
      </c>
      <c r="AL260" s="95">
        <f t="shared" si="230"/>
        <v>0</v>
      </c>
      <c r="AM260" s="95">
        <f t="shared" si="231"/>
        <v>0</v>
      </c>
      <c r="AN260" s="95">
        <f t="shared" si="232"/>
        <v>0</v>
      </c>
      <c r="AO260" s="95">
        <f t="shared" si="233"/>
        <v>0</v>
      </c>
      <c r="AP260"/>
      <c r="AQ260" s="95">
        <f t="shared" si="234"/>
        <v>0</v>
      </c>
      <c r="AR260" s="95">
        <f t="shared" si="235"/>
        <v>0</v>
      </c>
      <c r="AS260" s="95">
        <f>Geraetedaten!$B$94*ABS(SIN(RADIANS($A260)))</f>
        <v>96.915340221674995</v>
      </c>
      <c r="AT260" s="95">
        <f>Geraetedaten!$B$94*ABS(COS(RADIANS($A260)))</f>
        <v>119.6804780643735</v>
      </c>
      <c r="AU260" s="95">
        <f>((h_Aw_Sw+Geraetedaten!$B$18)/1000)*(AQ260*AS260+AR260*AT260)/100</f>
        <v>0</v>
      </c>
    </row>
    <row r="261" spans="1:47" ht="13.5" x14ac:dyDescent="0.25">
      <c r="A261" s="16">
        <v>220</v>
      </c>
      <c r="B261" s="16">
        <f t="shared" si="177"/>
        <v>230</v>
      </c>
      <c r="C261" s="19">
        <f t="shared" si="178"/>
        <v>63.788541670094304</v>
      </c>
      <c r="D261" s="17">
        <f t="shared" si="179"/>
        <v>10349.255348329907</v>
      </c>
      <c r="E261" s="17">
        <f t="shared" si="180"/>
        <v>10871.195618329906</v>
      </c>
      <c r="F261" s="17">
        <f t="shared" si="181"/>
        <v>-10319.649691670094</v>
      </c>
      <c r="G261" s="17">
        <f t="shared" si="182"/>
        <v>-11966.289611670094</v>
      </c>
      <c r="H261" s="17">
        <f t="shared" si="183"/>
        <v>10349.255348329907</v>
      </c>
      <c r="I261" s="17">
        <f t="shared" si="184"/>
        <v>4169.1010184777924</v>
      </c>
      <c r="J261" s="20">
        <f>(Geraetedaten!$B$152+(Geraetedaten!$B$153*(Geraetedaten!$B$18+d_y_Sw)/1000))*10</f>
        <v>6051.0442000000003</v>
      </c>
      <c r="K261" s="20">
        <f>(Geraetedaten!$B$165+(Geraetedaten!$B$166*(Geraetedaten!$B$18+d_y_Sw)/1000))*10</f>
        <v>10816.164000000001</v>
      </c>
      <c r="L261" s="20">
        <f>(Geraetedaten!$B$158+(Geraetedaten!$B$159*(Geraetedaten!$B$18+d_y_Sw)/1000)-(Geraetedaten!$B$160*I261/1000))*10</f>
        <v>295.81642231502326</v>
      </c>
      <c r="M261" s="20">
        <f>(Geraetedaten!$B$171+(Geraetedaten!$B$172*(Geraetedaten!$B$18+d_y_Sw)/1000)-(Geraetedaten!$B$173*I261/1000))*10</f>
        <v>754.51912018451389</v>
      </c>
      <c r="N261" s="20">
        <f>IF((H261-J261)/(K261-J261)*(Geraetedaten!$B$174-Geraetedaten!$B$161)&lt;Geraetedaten!$B$174,(H261-J261)/(K261-J261)*(Geraetedaten!$B$174-Geraetedaten!$B$161),Geraetedaten!$B$174)</f>
        <v>360.80613531100784</v>
      </c>
      <c r="O261" s="20">
        <f>N261/Geraetedaten!$B$174*(M261-L261)+L261+C261</f>
        <v>773.36183317267705</v>
      </c>
      <c r="P261" s="20">
        <f t="shared" si="185"/>
        <v>220.42301431811049</v>
      </c>
      <c r="Q261" s="21">
        <f>(N261-Geraetedaten!$B$161)/(Geraetedaten!$B$174-Geraetedaten!$B$161)*(Geraetedaten!$B$175-Geraetedaten!$B$162)+Geraetedaten!$B$162</f>
        <v>39.933982525502486</v>
      </c>
      <c r="R261" s="21">
        <f t="shared" si="211"/>
        <v>39.933982525502486</v>
      </c>
      <c r="S261" s="21">
        <f t="shared" si="212"/>
        <v>-25.669069172831772</v>
      </c>
      <c r="T261" s="88">
        <f t="shared" si="213"/>
        <v>-30.591205405271552</v>
      </c>
      <c r="U261" s="86">
        <f t="shared" si="214"/>
        <v>10413.043890000001</v>
      </c>
      <c r="V261" s="85">
        <f t="shared" si="215"/>
        <v>-2683.3128092763232</v>
      </c>
      <c r="W261" s="85">
        <f t="shared" si="216"/>
        <v>4169.1010184777924</v>
      </c>
      <c r="X261" s="90">
        <f t="shared" si="217"/>
        <v>2683.3128092763232</v>
      </c>
      <c r="Y261" s="86">
        <f t="shared" si="218"/>
        <v>10934.98416</v>
      </c>
      <c r="Z261" s="85">
        <f t="shared" si="219"/>
        <v>-832.16398485565549</v>
      </c>
      <c r="AA261" s="85">
        <f t="shared" si="220"/>
        <v>1059.4670123732394</v>
      </c>
      <c r="AB261" s="90">
        <f t="shared" si="221"/>
        <v>832.16398485565549</v>
      </c>
      <c r="AC261" s="86">
        <f t="shared" si="222"/>
        <v>-10255.861150000001</v>
      </c>
      <c r="AD261" s="85">
        <f t="shared" si="223"/>
        <v>2598.140025222212</v>
      </c>
      <c r="AE261" s="85">
        <f t="shared" si="224"/>
        <v>-4045.3742222784849</v>
      </c>
      <c r="AF261" s="90">
        <f t="shared" si="225"/>
        <v>2598.140025222212</v>
      </c>
      <c r="AG261" s="86">
        <f t="shared" si="226"/>
        <v>-11902.50107</v>
      </c>
      <c r="AH261" s="85">
        <f t="shared" si="227"/>
        <v>6183.1314163678471</v>
      </c>
      <c r="AI261" s="85">
        <f t="shared" si="228"/>
        <v>-8138.9950639731405</v>
      </c>
      <c r="AJ261" s="90">
        <f t="shared" si="229"/>
        <v>6183.1314163678471</v>
      </c>
      <c r="AL261" s="95">
        <f t="shared" si="230"/>
        <v>0</v>
      </c>
      <c r="AM261" s="95">
        <f t="shared" si="231"/>
        <v>0</v>
      </c>
      <c r="AN261" s="95">
        <f t="shared" si="232"/>
        <v>0</v>
      </c>
      <c r="AO261" s="95">
        <f t="shared" si="233"/>
        <v>0</v>
      </c>
      <c r="AP261"/>
      <c r="AQ261" s="95">
        <f t="shared" si="234"/>
        <v>0</v>
      </c>
      <c r="AR261" s="95">
        <f t="shared" si="235"/>
        <v>0</v>
      </c>
      <c r="AS261" s="95">
        <f>Geraetedaten!$B$94*ABS(SIN(RADIANS($A261)))</f>
        <v>98.989291891727049</v>
      </c>
      <c r="AT261" s="95">
        <f>Geraetedaten!$B$94*ABS(COS(RADIANS($A261)))</f>
        <v>117.97084424032262</v>
      </c>
      <c r="AU261" s="95">
        <f>((h_Aw_Sw+Geraetedaten!$B$18)/1000)*(AQ261*AS261+AR261*AT261)/100</f>
        <v>0</v>
      </c>
    </row>
    <row r="262" spans="1:47" ht="13.5" x14ac:dyDescent="0.25">
      <c r="A262" s="16">
        <v>221</v>
      </c>
      <c r="B262" s="16">
        <f t="shared" si="177"/>
        <v>229</v>
      </c>
      <c r="C262" s="19">
        <f t="shared" si="178"/>
        <v>64.292471825590169</v>
      </c>
      <c r="D262" s="17">
        <f t="shared" si="179"/>
        <v>10138.563838174408</v>
      </c>
      <c r="E262" s="17">
        <f t="shared" si="180"/>
        <v>11024.87938817441</v>
      </c>
      <c r="F262" s="17">
        <f t="shared" si="181"/>
        <v>-10112.395581825591</v>
      </c>
      <c r="G262" s="17">
        <f t="shared" si="182"/>
        <v>-12149.169421825591</v>
      </c>
      <c r="H262" s="17">
        <f t="shared" si="183"/>
        <v>10138.563838174408</v>
      </c>
      <c r="I262" s="17">
        <f t="shared" si="184"/>
        <v>4084.9475996929414</v>
      </c>
      <c r="J262" s="20">
        <f>(Geraetedaten!$B$152+(Geraetedaten!$B$153*(Geraetedaten!$B$18+d_y_Sw)/1000))*10</f>
        <v>6051.0442000000003</v>
      </c>
      <c r="K262" s="20">
        <f>(Geraetedaten!$B$165+(Geraetedaten!$B$166*(Geraetedaten!$B$18+d_y_Sw)/1000))*10</f>
        <v>10816.164000000001</v>
      </c>
      <c r="L262" s="20">
        <f>(Geraetedaten!$B$158+(Geraetedaten!$B$159*(Geraetedaten!$B$18+d_y_Sw)/1000)-(Geraetedaten!$B$160*I262/1000))*10</f>
        <v>301.98739251451639</v>
      </c>
      <c r="M262" s="20">
        <f>(Geraetedaten!$B$171+(Geraetedaten!$B$172*(Geraetedaten!$B$18+d_y_Sw)/1000)-(Geraetedaten!$B$173*I262/1000))*10</f>
        <v>760.78350067885833</v>
      </c>
      <c r="N262" s="20">
        <f>IF((H262-J262)/(K262-J262)*(Geraetedaten!$B$174-Geraetedaten!$B$161)&lt;Geraetedaten!$B$174,(H262-J262)/(K262-J262)*(Geraetedaten!$B$174-Geraetedaten!$B$161),Geraetedaten!$B$174)</f>
        <v>343.11998940084635</v>
      </c>
      <c r="O262" s="20">
        <f>N262/Geraetedaten!$B$174*(M262-L262)+L262+C262</f>
        <v>759.83515376635296</v>
      </c>
      <c r="P262" s="20">
        <f t="shared" si="185"/>
        <v>219.27764904411396</v>
      </c>
      <c r="Q262" s="21">
        <f>(N262-Geraetedaten!$B$161)/(Geraetedaten!$B$174-Geraetedaten!$B$161)*(Geraetedaten!$B$175-Geraetedaten!$B$162)+Geraetedaten!$B$162</f>
        <v>39.407819684675182</v>
      </c>
      <c r="R262" s="21">
        <f t="shared" si="211"/>
        <v>39.407819684675182</v>
      </c>
      <c r="S262" s="21">
        <f t="shared" si="212"/>
        <v>-25.853855916960988</v>
      </c>
      <c r="T262" s="88">
        <f t="shared" si="213"/>
        <v>-29.741459051715903</v>
      </c>
      <c r="U262" s="86">
        <f t="shared" si="214"/>
        <v>10202.856309999999</v>
      </c>
      <c r="V262" s="85">
        <f t="shared" si="215"/>
        <v>-2683.3128092763232</v>
      </c>
      <c r="W262" s="85">
        <f t="shared" si="216"/>
        <v>4084.9475996929414</v>
      </c>
      <c r="X262" s="90">
        <f t="shared" si="217"/>
        <v>2683.3128092763232</v>
      </c>
      <c r="Y262" s="86">
        <f t="shared" si="218"/>
        <v>11089.17186</v>
      </c>
      <c r="Z262" s="85">
        <f t="shared" si="219"/>
        <v>-832.16398485565549</v>
      </c>
      <c r="AA262" s="85">
        <f t="shared" si="220"/>
        <v>1074.4059261579921</v>
      </c>
      <c r="AB262" s="90">
        <f t="shared" si="221"/>
        <v>832.16398485565549</v>
      </c>
      <c r="AC262" s="86">
        <f t="shared" si="222"/>
        <v>-10048.10311</v>
      </c>
      <c r="AD262" s="85">
        <f t="shared" si="223"/>
        <v>2598.140025222212</v>
      </c>
      <c r="AE262" s="85">
        <f t="shared" si="224"/>
        <v>-3963.4250799597989</v>
      </c>
      <c r="AF262" s="90">
        <f t="shared" si="225"/>
        <v>2598.140025222212</v>
      </c>
      <c r="AG262" s="86">
        <f t="shared" si="226"/>
        <v>-12084.87695</v>
      </c>
      <c r="AH262" s="85">
        <f t="shared" si="227"/>
        <v>6183.1314163678471</v>
      </c>
      <c r="AI262" s="85">
        <f t="shared" si="228"/>
        <v>-8263.704682536887</v>
      </c>
      <c r="AJ262" s="90">
        <f t="shared" si="229"/>
        <v>6183.1314163678471</v>
      </c>
      <c r="AL262" s="95">
        <f t="shared" si="230"/>
        <v>0</v>
      </c>
      <c r="AM262" s="95">
        <f t="shared" si="231"/>
        <v>0</v>
      </c>
      <c r="AN262" s="95">
        <f t="shared" si="232"/>
        <v>0</v>
      </c>
      <c r="AO262" s="95">
        <f t="shared" si="233"/>
        <v>0</v>
      </c>
      <c r="AP262"/>
      <c r="AQ262" s="95">
        <f t="shared" si="234"/>
        <v>0</v>
      </c>
      <c r="AR262" s="95">
        <f t="shared" si="235"/>
        <v>0</v>
      </c>
      <c r="AS262" s="95">
        <f>Geraetedaten!$B$94*ABS(SIN(RADIANS($A262)))</f>
        <v>101.03309046453809</v>
      </c>
      <c r="AT262" s="95">
        <f>Geraetedaten!$B$94*ABS(COS(RADIANS($A262)))</f>
        <v>116.2252753543069</v>
      </c>
      <c r="AU262" s="95">
        <f>((h_Aw_Sw+Geraetedaten!$B$18)/1000)*(AQ262*AS262+AR262*AT262)/100</f>
        <v>0</v>
      </c>
    </row>
    <row r="263" spans="1:47" ht="13.5" x14ac:dyDescent="0.25">
      <c r="A263" s="16">
        <v>222</v>
      </c>
      <c r="B263" s="16">
        <f t="shared" si="177"/>
        <v>228</v>
      </c>
      <c r="C263" s="19">
        <f t="shared" si="178"/>
        <v>64.776817871352804</v>
      </c>
      <c r="D263" s="17">
        <f t="shared" si="179"/>
        <v>9939.1963221286478</v>
      </c>
      <c r="E263" s="17">
        <f t="shared" si="180"/>
        <v>11186.469412128648</v>
      </c>
      <c r="F263" s="17">
        <f t="shared" si="181"/>
        <v>-9916.3133578713514</v>
      </c>
      <c r="G263" s="17">
        <f t="shared" si="182"/>
        <v>-12341.503317871353</v>
      </c>
      <c r="H263" s="17">
        <f t="shared" si="183"/>
        <v>9939.1963221286478</v>
      </c>
      <c r="I263" s="17">
        <f t="shared" si="184"/>
        <v>4005.3201613379906</v>
      </c>
      <c r="J263" s="20">
        <f>(Geraetedaten!$B$152+(Geraetedaten!$B$153*(Geraetedaten!$B$18+d_y_Sw)/1000))*10</f>
        <v>6051.0442000000003</v>
      </c>
      <c r="K263" s="20">
        <f>(Geraetedaten!$B$165+(Geraetedaten!$B$166*(Geraetedaten!$B$18+d_y_Sw)/1000))*10</f>
        <v>10816.164000000001</v>
      </c>
      <c r="L263" s="20">
        <f>(Geraetedaten!$B$158+(Geraetedaten!$B$159*(Geraetedaten!$B$18+d_y_Sw)/1000)-(Geraetedaten!$B$160*I263/1000))*10</f>
        <v>307.82647256908496</v>
      </c>
      <c r="M263" s="20">
        <f>(Geraetedaten!$B$171+(Geraetedaten!$B$172*(Geraetedaten!$B$18+d_y_Sw)/1000)-(Geraetedaten!$B$173*I263/1000))*10</f>
        <v>766.7109671900007</v>
      </c>
      <c r="N263" s="20">
        <f>IF((H263-J263)/(K263-J263)*(Geraetedaten!$B$174-Geraetedaten!$B$161)&lt;Geraetedaten!$B$174,(H263-J263)/(K263-J263)*(Geraetedaten!$B$174-Geraetedaten!$B$161),Geraetedaten!$B$174)</f>
        <v>326.3844172084527</v>
      </c>
      <c r="O263" s="20">
        <f>N263/Geraetedaten!$B$174*(M263-L263)+L263+C263</f>
        <v>747.03516129754507</v>
      </c>
      <c r="P263" s="20">
        <f t="shared" si="185"/>
        <v>218.16705467894721</v>
      </c>
      <c r="Q263" s="21">
        <f>(N263-Geraetedaten!$B$161)/(Geraetedaten!$B$174-Geraetedaten!$B$161)*(Geraetedaten!$B$175-Geraetedaten!$B$162)+Geraetedaten!$B$162</f>
        <v>38.90993641195147</v>
      </c>
      <c r="R263" s="21">
        <f t="shared" si="211"/>
        <v>38.90993641195147</v>
      </c>
      <c r="S263" s="21">
        <f t="shared" si="212"/>
        <v>-26.035829344713704</v>
      </c>
      <c r="T263" s="88">
        <f t="shared" si="213"/>
        <v>-28.915717904196182</v>
      </c>
      <c r="U263" s="86">
        <f t="shared" si="214"/>
        <v>10003.97314</v>
      </c>
      <c r="V263" s="85">
        <f t="shared" si="215"/>
        <v>-2683.3128092763232</v>
      </c>
      <c r="W263" s="85">
        <f t="shared" si="216"/>
        <v>4005.3201613379906</v>
      </c>
      <c r="X263" s="90">
        <f t="shared" si="217"/>
        <v>2683.3128092763232</v>
      </c>
      <c r="Y263" s="86">
        <f t="shared" si="218"/>
        <v>11251.246230000001</v>
      </c>
      <c r="Z263" s="85">
        <f t="shared" si="219"/>
        <v>-832.16398485565549</v>
      </c>
      <c r="AA263" s="85">
        <f t="shared" si="220"/>
        <v>1090.1089615813612</v>
      </c>
      <c r="AB263" s="90">
        <f t="shared" si="221"/>
        <v>832.16398485565549</v>
      </c>
      <c r="AC263" s="86">
        <f t="shared" si="222"/>
        <v>-9851.5365399999991</v>
      </c>
      <c r="AD263" s="85">
        <f t="shared" si="223"/>
        <v>2598.140025222212</v>
      </c>
      <c r="AE263" s="85">
        <f t="shared" si="224"/>
        <v>-3885.8903607880266</v>
      </c>
      <c r="AF263" s="90">
        <f t="shared" si="225"/>
        <v>2598.140025222212</v>
      </c>
      <c r="AG263" s="86">
        <f t="shared" si="226"/>
        <v>-12276.726500000001</v>
      </c>
      <c r="AH263" s="85">
        <f t="shared" si="227"/>
        <v>6183.1314163678471</v>
      </c>
      <c r="AI263" s="85">
        <f t="shared" si="228"/>
        <v>-8394.8924501729598</v>
      </c>
      <c r="AJ263" s="90">
        <f t="shared" si="229"/>
        <v>6183.1314163678471</v>
      </c>
      <c r="AL263" s="95">
        <f t="shared" si="230"/>
        <v>0</v>
      </c>
      <c r="AM263" s="95">
        <f t="shared" si="231"/>
        <v>0</v>
      </c>
      <c r="AN263" s="95">
        <f t="shared" si="232"/>
        <v>0</v>
      </c>
      <c r="AO263" s="95">
        <f t="shared" si="233"/>
        <v>0</v>
      </c>
      <c r="AP263"/>
      <c r="AQ263" s="95">
        <f t="shared" si="234"/>
        <v>0</v>
      </c>
      <c r="AR263" s="95">
        <f t="shared" si="235"/>
        <v>0</v>
      </c>
      <c r="AS263" s="95">
        <f>Geraetedaten!$B$94*ABS(SIN(RADIANS($A263)))</f>
        <v>103.04611337926417</v>
      </c>
      <c r="AT263" s="95">
        <f>Geraetedaten!$B$94*ABS(COS(RADIANS($A263)))</f>
        <v>114.44430312351871</v>
      </c>
      <c r="AU263" s="95">
        <f>((h_Aw_Sw+Geraetedaten!$B$18)/1000)*(AQ263*AS263+AR263*AT263)/100</f>
        <v>0</v>
      </c>
    </row>
    <row r="264" spans="1:47" ht="13.5" x14ac:dyDescent="0.25">
      <c r="A264" s="16">
        <v>223</v>
      </c>
      <c r="B264" s="16">
        <f t="shared" si="177"/>
        <v>227</v>
      </c>
      <c r="C264" s="19">
        <f t="shared" si="178"/>
        <v>65.241432270884687</v>
      </c>
      <c r="D264" s="17">
        <f t="shared" si="179"/>
        <v>9750.386677729115</v>
      </c>
      <c r="E264" s="17">
        <f t="shared" si="180"/>
        <v>11356.417787729115</v>
      </c>
      <c r="F264" s="17">
        <f t="shared" si="181"/>
        <v>-9730.6422222708843</v>
      </c>
      <c r="G264" s="17">
        <f t="shared" si="182"/>
        <v>-12543.869462270884</v>
      </c>
      <c r="H264" s="17">
        <f t="shared" si="183"/>
        <v>9750.386677729115</v>
      </c>
      <c r="I264" s="17">
        <f t="shared" si="184"/>
        <v>3929.9119060979315</v>
      </c>
      <c r="J264" s="20">
        <f>(Geraetedaten!$B$152+(Geraetedaten!$B$153*(Geraetedaten!$B$18+d_y_Sw)/1000))*10</f>
        <v>6051.0442000000003</v>
      </c>
      <c r="K264" s="20">
        <f>(Geraetedaten!$B$165+(Geraetedaten!$B$166*(Geraetedaten!$B$18+d_y_Sw)/1000))*10</f>
        <v>10816.164000000001</v>
      </c>
      <c r="L264" s="20">
        <f>(Geraetedaten!$B$158+(Geraetedaten!$B$159*(Geraetedaten!$B$18+d_y_Sw)/1000)-(Geraetedaten!$B$160*I264/1000))*10</f>
        <v>313.35615992583848</v>
      </c>
      <c r="M264" s="20">
        <f>(Geraetedaten!$B$171+(Geraetedaten!$B$172*(Geraetedaten!$B$18+d_y_Sw)/1000)-(Geraetedaten!$B$173*I264/1000))*10</f>
        <v>772.3243577100709</v>
      </c>
      <c r="N264" s="20">
        <f>IF((H264-J264)/(K264-J264)*(Geraetedaten!$B$174-Geraetedaten!$B$161)&lt;Geraetedaten!$B$174,(H264-J264)/(K264-J264)*(Geraetedaten!$B$174-Geraetedaten!$B$161),Geraetedaten!$B$174)</f>
        <v>310.53510786688838</v>
      </c>
      <c r="O264" s="20">
        <f>N264/Geraetedaten!$B$174*(M264-L264)+L264+C264</f>
        <v>734.91193921271804</v>
      </c>
      <c r="P264" s="20">
        <f t="shared" si="185"/>
        <v>217.09014987359441</v>
      </c>
      <c r="Q264" s="21">
        <f>(N264-Geraetedaten!$B$161)/(Geraetedaten!$B$174-Geraetedaten!$B$161)*(Geraetedaten!$B$175-Geraetedaten!$B$162)+Geraetedaten!$B$162</f>
        <v>38.438419459039928</v>
      </c>
      <c r="R264" s="21">
        <f t="shared" si="211"/>
        <v>38.438419459039928</v>
      </c>
      <c r="S264" s="21">
        <f t="shared" si="212"/>
        <v>-26.214939034459658</v>
      </c>
      <c r="T264" s="88">
        <f t="shared" si="213"/>
        <v>-28.112080355759208</v>
      </c>
      <c r="U264" s="86">
        <f t="shared" si="214"/>
        <v>9815.6281099999997</v>
      </c>
      <c r="V264" s="85">
        <f t="shared" si="215"/>
        <v>-2683.3128092763232</v>
      </c>
      <c r="W264" s="85">
        <f t="shared" si="216"/>
        <v>3929.9119060979315</v>
      </c>
      <c r="X264" s="90">
        <f t="shared" si="217"/>
        <v>2683.3128092763232</v>
      </c>
      <c r="Y264" s="86">
        <f t="shared" si="218"/>
        <v>11421.65922</v>
      </c>
      <c r="Z264" s="85">
        <f t="shared" si="219"/>
        <v>-832.16398485565549</v>
      </c>
      <c r="AA264" s="85">
        <f t="shared" si="220"/>
        <v>1106.6199092869342</v>
      </c>
      <c r="AB264" s="90">
        <f t="shared" si="221"/>
        <v>832.16398485565549</v>
      </c>
      <c r="AC264" s="86">
        <f t="shared" si="222"/>
        <v>-9665.4007899999997</v>
      </c>
      <c r="AD264" s="85">
        <f t="shared" si="223"/>
        <v>2598.140025222212</v>
      </c>
      <c r="AE264" s="85">
        <f t="shared" si="224"/>
        <v>-3812.4700234393172</v>
      </c>
      <c r="AF264" s="90">
        <f t="shared" si="225"/>
        <v>2598.140025222212</v>
      </c>
      <c r="AG264" s="86">
        <f t="shared" si="226"/>
        <v>-12478.62803</v>
      </c>
      <c r="AH264" s="85">
        <f t="shared" si="227"/>
        <v>6183.1314163678471</v>
      </c>
      <c r="AI264" s="85">
        <f t="shared" si="228"/>
        <v>-8532.9538156226772</v>
      </c>
      <c r="AJ264" s="90">
        <f t="shared" si="229"/>
        <v>6183.1314163678471</v>
      </c>
      <c r="AL264" s="95">
        <f t="shared" si="230"/>
        <v>0</v>
      </c>
      <c r="AM264" s="95">
        <f t="shared" si="231"/>
        <v>0</v>
      </c>
      <c r="AN264" s="95">
        <f t="shared" si="232"/>
        <v>0</v>
      </c>
      <c r="AO264" s="95">
        <f t="shared" si="233"/>
        <v>0</v>
      </c>
      <c r="AP264"/>
      <c r="AQ264" s="95">
        <f t="shared" si="234"/>
        <v>0</v>
      </c>
      <c r="AR264" s="95">
        <f t="shared" si="235"/>
        <v>0</v>
      </c>
      <c r="AS264" s="95">
        <f>Geraetedaten!$B$94*ABS(SIN(RADIANS($A264)))</f>
        <v>105.02774744962475</v>
      </c>
      <c r="AT264" s="95">
        <f>Geraetedaten!$B$94*ABS(COS(RADIANS($A264)))</f>
        <v>112.62847004935227</v>
      </c>
      <c r="AU264" s="95">
        <f>((h_Aw_Sw+Geraetedaten!$B$18)/1000)*(AQ264*AS264+AR264*AT264)/100</f>
        <v>0</v>
      </c>
    </row>
    <row r="265" spans="1:47" ht="13.5" x14ac:dyDescent="0.25">
      <c r="A265" s="16">
        <v>224</v>
      </c>
      <c r="B265" s="16">
        <f t="shared" si="177"/>
        <v>226</v>
      </c>
      <c r="C265" s="19">
        <f t="shared" si="178"/>
        <v>65.686173498138942</v>
      </c>
      <c r="D265" s="17">
        <f t="shared" si="179"/>
        <v>9571.4391165018606</v>
      </c>
      <c r="E265" s="17">
        <f t="shared" si="180"/>
        <v>11535.215736501861</v>
      </c>
      <c r="F265" s="17">
        <f t="shared" si="181"/>
        <v>-9554.6913534981395</v>
      </c>
      <c r="G265" s="17">
        <f t="shared" si="182"/>
        <v>-12756.898173498139</v>
      </c>
      <c r="H265" s="17">
        <f t="shared" si="183"/>
        <v>9571.4391165018606</v>
      </c>
      <c r="I265" s="17">
        <f t="shared" si="184"/>
        <v>3858.4442073215687</v>
      </c>
      <c r="J265" s="20">
        <f>(Geraetedaten!$B$152+(Geraetedaten!$B$153*(Geraetedaten!$B$18+d_y_Sw)/1000))*10</f>
        <v>6051.0442000000003</v>
      </c>
      <c r="K265" s="20">
        <f>(Geraetedaten!$B$165+(Geraetedaten!$B$166*(Geraetedaten!$B$18+d_y_Sw)/1000))*10</f>
        <v>10816.164000000001</v>
      </c>
      <c r="L265" s="20">
        <f>(Geraetedaten!$B$158+(Geraetedaten!$B$159*(Geraetedaten!$B$18+d_y_Sw)/1000)-(Geraetedaten!$B$160*I265/1000))*10</f>
        <v>318.59688627710915</v>
      </c>
      <c r="M265" s="20">
        <f>(Geraetedaten!$B$171+(Geraetedaten!$B$172*(Geraetedaten!$B$18+d_y_Sw)/1000)-(Geraetedaten!$B$173*I265/1000))*10</f>
        <v>777.64441320698324</v>
      </c>
      <c r="N265" s="20">
        <f>IF((H265-J265)/(K265-J265)*(Geraetedaten!$B$174-Geraetedaten!$B$161)&lt;Geraetedaten!$B$174,(H265-J265)/(K265-J265)*(Geraetedaten!$B$174-Geraetedaten!$B$161),Geraetedaten!$B$174)</f>
        <v>295.51365457815859</v>
      </c>
      <c r="O265" s="20">
        <f>N265/Geraetedaten!$B$174*(M265-L265)+L265+C265</f>
        <v>723.42009054553</v>
      </c>
      <c r="P265" s="20">
        <f t="shared" si="185"/>
        <v>216.04588082112568</v>
      </c>
      <c r="Q265" s="21">
        <f>(N265-Geraetedaten!$B$161)/(Geraetedaten!$B$174-Geraetedaten!$B$161)*(Geraetedaten!$B$175-Geraetedaten!$B$162)+Geraetedaten!$B$162</f>
        <v>37.991531223700221</v>
      </c>
      <c r="R265" s="21">
        <f t="shared" si="211"/>
        <v>37.991531223700221</v>
      </c>
      <c r="S265" s="21">
        <f t="shared" si="212"/>
        <v>-26.391135171097712</v>
      </c>
      <c r="T265" s="88">
        <f t="shared" si="213"/>
        <v>-27.328820485016145</v>
      </c>
      <c r="U265" s="86">
        <f t="shared" si="214"/>
        <v>9637.1252899999999</v>
      </c>
      <c r="V265" s="85">
        <f t="shared" si="215"/>
        <v>-2683.3128092763232</v>
      </c>
      <c r="W265" s="85">
        <f t="shared" si="216"/>
        <v>3858.4442073215687</v>
      </c>
      <c r="X265" s="90">
        <f t="shared" si="217"/>
        <v>2683.3128092763232</v>
      </c>
      <c r="Y265" s="86">
        <f t="shared" si="218"/>
        <v>11600.90191</v>
      </c>
      <c r="Z265" s="85">
        <f t="shared" si="219"/>
        <v>-832.16398485565549</v>
      </c>
      <c r="AA265" s="85">
        <f t="shared" si="220"/>
        <v>1123.9863458749776</v>
      </c>
      <c r="AB265" s="90">
        <f t="shared" si="221"/>
        <v>832.16398485565549</v>
      </c>
      <c r="AC265" s="86">
        <f t="shared" si="222"/>
        <v>-9489.0051800000001</v>
      </c>
      <c r="AD265" s="85">
        <f t="shared" si="223"/>
        <v>2598.140025222212</v>
      </c>
      <c r="AE265" s="85">
        <f t="shared" si="224"/>
        <v>-3742.8916369841063</v>
      </c>
      <c r="AF265" s="90">
        <f t="shared" si="225"/>
        <v>2598.140025222212</v>
      </c>
      <c r="AG265" s="86">
        <f t="shared" si="226"/>
        <v>-12691.212</v>
      </c>
      <c r="AH265" s="85">
        <f t="shared" si="227"/>
        <v>6183.1314163678471</v>
      </c>
      <c r="AI265" s="85">
        <f t="shared" si="228"/>
        <v>-8678.319894154567</v>
      </c>
      <c r="AJ265" s="90">
        <f t="shared" si="229"/>
        <v>6183.1314163678471</v>
      </c>
      <c r="AL265" s="95">
        <f t="shared" si="230"/>
        <v>0</v>
      </c>
      <c r="AM265" s="95">
        <f t="shared" si="231"/>
        <v>0</v>
      </c>
      <c r="AN265" s="95">
        <f t="shared" si="232"/>
        <v>0</v>
      </c>
      <c r="AO265" s="95">
        <f t="shared" si="233"/>
        <v>0</v>
      </c>
      <c r="AP265"/>
      <c r="AQ265" s="95">
        <f t="shared" si="234"/>
        <v>0</v>
      </c>
      <c r="AR265" s="95">
        <f t="shared" si="235"/>
        <v>0</v>
      </c>
      <c r="AS265" s="95">
        <f>Geraetedaten!$B$94*ABS(SIN(RADIANS($A265)))</f>
        <v>106.97738905068559</v>
      </c>
      <c r="AT265" s="95">
        <f>Geraetedaten!$B$94*ABS(COS(RADIANS($A265)))</f>
        <v>110.77832925215226</v>
      </c>
      <c r="AU265" s="95">
        <f>((h_Aw_Sw+Geraetedaten!$B$18)/1000)*(AQ265*AS265+AR265*AT265)/100</f>
        <v>0</v>
      </c>
    </row>
    <row r="266" spans="1:47" ht="13.5" x14ac:dyDescent="0.25">
      <c r="A266" s="16">
        <v>225</v>
      </c>
      <c r="B266" s="16">
        <f t="shared" si="177"/>
        <v>225</v>
      </c>
      <c r="C266" s="19">
        <f t="shared" si="178"/>
        <v>66.110906080629391</v>
      </c>
      <c r="D266" s="17">
        <f t="shared" si="179"/>
        <v>9401.7204439193702</v>
      </c>
      <c r="E266" s="17">
        <f t="shared" si="180"/>
        <v>11723.397623919369</v>
      </c>
      <c r="F266" s="17">
        <f t="shared" si="181"/>
        <v>-9387.8321760806302</v>
      </c>
      <c r="G266" s="17">
        <f t="shared" si="182"/>
        <v>-12981.277776080629</v>
      </c>
      <c r="H266" s="17">
        <f t="shared" si="183"/>
        <v>9401.7204439193702</v>
      </c>
      <c r="I266" s="17">
        <f t="shared" si="184"/>
        <v>3790.6634935006191</v>
      </c>
      <c r="J266" s="20">
        <f>(Geraetedaten!$B$152+(Geraetedaten!$B$153*(Geraetedaten!$B$18+d_y_Sw)/1000))*10</f>
        <v>6051.0442000000003</v>
      </c>
      <c r="K266" s="20">
        <f>(Geraetedaten!$B$165+(Geraetedaten!$B$166*(Geraetedaten!$B$18+d_y_Sw)/1000))*10</f>
        <v>10816.164000000001</v>
      </c>
      <c r="L266" s="20">
        <f>(Geraetedaten!$B$158+(Geraetedaten!$B$159*(Geraetedaten!$B$18+d_y_Sw)/1000)-(Geraetedaten!$B$160*I266/1000))*10</f>
        <v>323.56724602159943</v>
      </c>
      <c r="M266" s="20">
        <f>(Geraetedaten!$B$171+(Geraetedaten!$B$172*(Geraetedaten!$B$18+d_y_Sw)/1000)-(Geraetedaten!$B$173*I266/1000))*10</f>
        <v>782.69000954381477</v>
      </c>
      <c r="N266" s="20">
        <f>IF((H266-J266)/(K266-J266)*(Geraetedaten!$B$174-Geraetedaten!$B$161)&lt;Geraetedaten!$B$174,(H266-J266)/(K266-J266)*(Geraetedaten!$B$174-Geraetedaten!$B$161),Geraetedaten!$B$174)</f>
        <v>281.26690488825653</v>
      </c>
      <c r="O266" s="20">
        <f>N266/Geraetedaten!$B$174*(M266-L266)+L266+C266</f>
        <v>712.5182487513199</v>
      </c>
      <c r="P266" s="20">
        <f t="shared" si="185"/>
        <v>215.03322301099618</v>
      </c>
      <c r="Q266" s="21">
        <f>(N266-Geraetedaten!$B$161)/(Geraetedaten!$B$174-Geraetedaten!$B$161)*(Geraetedaten!$B$175-Geraetedaten!$B$162)+Geraetedaten!$B$162</f>
        <v>37.567690420425635</v>
      </c>
      <c r="R266" s="21">
        <f t="shared" si="211"/>
        <v>37.567690420425635</v>
      </c>
      <c r="S266" s="21">
        <f t="shared" si="212"/>
        <v>-26.564368649799864</v>
      </c>
      <c r="T266" s="88">
        <f t="shared" si="213"/>
        <v>-26.564368649799874</v>
      </c>
      <c r="U266" s="86">
        <f t="shared" si="214"/>
        <v>9467.8313500000004</v>
      </c>
      <c r="V266" s="85">
        <f t="shared" si="215"/>
        <v>-2683.3128092763232</v>
      </c>
      <c r="W266" s="85">
        <f t="shared" si="216"/>
        <v>3790.6634935006191</v>
      </c>
      <c r="X266" s="90">
        <f t="shared" si="217"/>
        <v>2683.3128092763232</v>
      </c>
      <c r="Y266" s="86">
        <f t="shared" si="218"/>
        <v>11789.508529999999</v>
      </c>
      <c r="Z266" s="85">
        <f t="shared" si="219"/>
        <v>-832.16398485565549</v>
      </c>
      <c r="AA266" s="85">
        <f t="shared" si="220"/>
        <v>1142.260034482435</v>
      </c>
      <c r="AB266" s="90">
        <f t="shared" si="221"/>
        <v>832.16398485565549</v>
      </c>
      <c r="AC266" s="86">
        <f t="shared" si="222"/>
        <v>-9321.72127</v>
      </c>
      <c r="AD266" s="85">
        <f t="shared" si="223"/>
        <v>2598.140025222212</v>
      </c>
      <c r="AE266" s="85">
        <f t="shared" si="224"/>
        <v>-3676.9073202011123</v>
      </c>
      <c r="AF266" s="90">
        <f t="shared" si="225"/>
        <v>2598.140025222212</v>
      </c>
      <c r="AG266" s="86">
        <f t="shared" si="226"/>
        <v>-12915.166869999999</v>
      </c>
      <c r="AH266" s="85">
        <f t="shared" si="227"/>
        <v>6183.1314163678471</v>
      </c>
      <c r="AI266" s="85">
        <f t="shared" si="228"/>
        <v>-8831.4614512056723</v>
      </c>
      <c r="AJ266" s="90">
        <f t="shared" si="229"/>
        <v>6183.1314163678471</v>
      </c>
      <c r="AL266" s="95">
        <f t="shared" si="230"/>
        <v>0</v>
      </c>
      <c r="AM266" s="95">
        <f t="shared" si="231"/>
        <v>0</v>
      </c>
      <c r="AN266" s="95">
        <f t="shared" si="232"/>
        <v>0</v>
      </c>
      <c r="AO266" s="95">
        <f t="shared" si="233"/>
        <v>0</v>
      </c>
      <c r="AP266"/>
      <c r="AQ266" s="95">
        <f t="shared" si="234"/>
        <v>0</v>
      </c>
      <c r="AR266" s="95">
        <f t="shared" si="235"/>
        <v>0</v>
      </c>
      <c r="AS266" s="95">
        <f>Geraetedaten!$B$94*ABS(SIN(RADIANS($A266)))</f>
        <v>108.8944443027283</v>
      </c>
      <c r="AT266" s="95">
        <f>Geraetedaten!$B$94*ABS(COS(RADIANS($A266)))</f>
        <v>108.89444430272835</v>
      </c>
      <c r="AU266" s="95">
        <f>((h_Aw_Sw+Geraetedaten!$B$18)/1000)*(AQ266*AS266+AR266*AT266)/100</f>
        <v>0</v>
      </c>
    </row>
    <row r="267" spans="1:47" ht="13.5" x14ac:dyDescent="0.25">
      <c r="A267" s="16">
        <v>226</v>
      </c>
      <c r="B267" s="16">
        <f t="shared" si="177"/>
        <v>224</v>
      </c>
      <c r="C267" s="19">
        <f t="shared" si="178"/>
        <v>66.515500640696956</v>
      </c>
      <c r="D267" s="17">
        <f t="shared" si="179"/>
        <v>9240.6532593593038</v>
      </c>
      <c r="E267" s="17">
        <f t="shared" si="180"/>
        <v>11921.545739359304</v>
      </c>
      <c r="F267" s="17">
        <f t="shared" si="181"/>
        <v>-9229.4916406406974</v>
      </c>
      <c r="G267" s="17">
        <f t="shared" si="182"/>
        <v>-13217.761200640696</v>
      </c>
      <c r="H267" s="17">
        <f t="shared" si="183"/>
        <v>9240.6532593593038</v>
      </c>
      <c r="I267" s="17">
        <f t="shared" si="184"/>
        <v>3726.338539064423</v>
      </c>
      <c r="J267" s="20">
        <f>(Geraetedaten!$B$152+(Geraetedaten!$B$153*(Geraetedaten!$B$18+d_y_Sw)/1000))*10</f>
        <v>6051.0442000000003</v>
      </c>
      <c r="K267" s="20">
        <f>(Geraetedaten!$B$165+(Geraetedaten!$B$166*(Geraetedaten!$B$18+d_y_Sw)/1000))*10</f>
        <v>10816.164000000001</v>
      </c>
      <c r="L267" s="20">
        <f>(Geraetedaten!$B$158+(Geraetedaten!$B$159*(Geraetedaten!$B$18+d_y_Sw)/1000)-(Geraetedaten!$B$160*I267/1000))*10</f>
        <v>328.28419493040565</v>
      </c>
      <c r="M267" s="20">
        <f>(Geraetedaten!$B$171+(Geraetedaten!$B$172*(Geraetedaten!$B$18+d_y_Sw)/1000)-(Geraetedaten!$B$173*I267/1000))*10</f>
        <v>787.47835915204519</v>
      </c>
      <c r="N267" s="20">
        <f>IF((H267-J267)/(K267-J267)*(Geraetedaten!$B$174-Geraetedaten!$B$161)&lt;Geraetedaten!$B$174,(H267-J267)/(K267-J267)*(Geraetedaten!$B$174-Geraetedaten!$B$161),Geraetedaten!$B$174)</f>
        <v>267.74638986909025</v>
      </c>
      <c r="O267" s="20">
        <f>N267/Geraetedaten!$B$174*(M267-L267)+L267+C267</f>
        <v>702.16864486934799</v>
      </c>
      <c r="P267" s="20">
        <f t="shared" si="185"/>
        <v>214.05118169989601</v>
      </c>
      <c r="Q267" s="21">
        <f>(N267-Geraetedaten!$B$161)/(Geraetedaten!$B$174-Geraetedaten!$B$161)*(Geraetedaten!$B$175-Geraetedaten!$B$162)+Geraetedaten!$B$162</f>
        <v>37.165455098605435</v>
      </c>
      <c r="R267" s="21">
        <f t="shared" si="211"/>
        <v>37.165455098605435</v>
      </c>
      <c r="S267" s="21">
        <f t="shared" si="212"/>
        <v>-26.734591050125939</v>
      </c>
      <c r="T267" s="88">
        <f t="shared" si="213"/>
        <v>-25.817294476164282</v>
      </c>
      <c r="U267" s="86">
        <f t="shared" si="214"/>
        <v>9307.1687600000005</v>
      </c>
      <c r="V267" s="85">
        <f t="shared" si="215"/>
        <v>-2683.3128092763232</v>
      </c>
      <c r="W267" s="85">
        <f t="shared" si="216"/>
        <v>3726.338539064423</v>
      </c>
      <c r="X267" s="90">
        <f t="shared" si="217"/>
        <v>2683.3128092763232</v>
      </c>
      <c r="Y267" s="86">
        <f t="shared" si="218"/>
        <v>11988.061240000001</v>
      </c>
      <c r="Z267" s="85">
        <f t="shared" si="219"/>
        <v>-832.16398485565549</v>
      </c>
      <c r="AA267" s="85">
        <f t="shared" si="220"/>
        <v>1161.4973780879498</v>
      </c>
      <c r="AB267" s="90">
        <f t="shared" si="221"/>
        <v>832.16398485565549</v>
      </c>
      <c r="AC267" s="86">
        <f t="shared" si="222"/>
        <v>-9162.9761400000007</v>
      </c>
      <c r="AD267" s="85">
        <f t="shared" si="223"/>
        <v>2598.140025222212</v>
      </c>
      <c r="AE267" s="85">
        <f t="shared" si="224"/>
        <v>-3614.2910809358846</v>
      </c>
      <c r="AF267" s="90">
        <f t="shared" si="225"/>
        <v>2598.140025222212</v>
      </c>
      <c r="AG267" s="86">
        <f t="shared" si="226"/>
        <v>-13151.245699999999</v>
      </c>
      <c r="AH267" s="85">
        <f t="shared" si="227"/>
        <v>6183.1314163678471</v>
      </c>
      <c r="AI267" s="85">
        <f t="shared" si="228"/>
        <v>-8992.8934377087553</v>
      </c>
      <c r="AJ267" s="90">
        <f t="shared" si="229"/>
        <v>6183.1314163678471</v>
      </c>
      <c r="AL267" s="95">
        <f t="shared" si="230"/>
        <v>0</v>
      </c>
      <c r="AM267" s="95">
        <f t="shared" si="231"/>
        <v>0</v>
      </c>
      <c r="AN267" s="95">
        <f t="shared" si="232"/>
        <v>0</v>
      </c>
      <c r="AO267" s="95">
        <f t="shared" si="233"/>
        <v>0</v>
      </c>
      <c r="AP267"/>
      <c r="AQ267" s="95">
        <f t="shared" si="234"/>
        <v>0</v>
      </c>
      <c r="AR267" s="95">
        <f t="shared" si="235"/>
        <v>0</v>
      </c>
      <c r="AS267" s="95">
        <f>Geraetedaten!$B$94*ABS(SIN(RADIANS($A267)))</f>
        <v>110.77832925215229</v>
      </c>
      <c r="AT267" s="95">
        <f>Geraetedaten!$B$94*ABS(COS(RADIANS($A267)))</f>
        <v>106.97738905068557</v>
      </c>
      <c r="AU267" s="95">
        <f>((h_Aw_Sw+Geraetedaten!$B$18)/1000)*(AQ267*AS267+AR267*AT267)/100</f>
        <v>0</v>
      </c>
    </row>
    <row r="268" spans="1:47" ht="13.5" x14ac:dyDescent="0.25">
      <c r="A268" s="16">
        <v>227</v>
      </c>
      <c r="B268" s="16">
        <f t="shared" si="177"/>
        <v>223</v>
      </c>
      <c r="C268" s="19">
        <f t="shared" si="178"/>
        <v>66.899833934919243</v>
      </c>
      <c r="D268" s="17">
        <f t="shared" si="179"/>
        <v>9087.7100660650794</v>
      </c>
      <c r="E268" s="17">
        <f t="shared" si="180"/>
        <v>12130.295546065079</v>
      </c>
      <c r="F268" s="17">
        <f t="shared" si="181"/>
        <v>-9079.1462939349203</v>
      </c>
      <c r="G268" s="17">
        <f t="shared" si="182"/>
        <v>-13467.173573934921</v>
      </c>
      <c r="H268" s="17">
        <f t="shared" si="183"/>
        <v>9087.7100660650794</v>
      </c>
      <c r="I268" s="17">
        <f t="shared" si="184"/>
        <v>3665.2581010793115</v>
      </c>
      <c r="J268" s="20">
        <f>(Geraetedaten!$B$152+(Geraetedaten!$B$153*(Geraetedaten!$B$18+d_y_Sw)/1000))*10</f>
        <v>6051.0442000000003</v>
      </c>
      <c r="K268" s="20">
        <f>(Geraetedaten!$B$165+(Geraetedaten!$B$166*(Geraetedaten!$B$18+d_y_Sw)/1000))*10</f>
        <v>10816.164000000001</v>
      </c>
      <c r="L268" s="20">
        <f>(Geraetedaten!$B$158+(Geraetedaten!$B$159*(Geraetedaten!$B$18+d_y_Sw)/1000)-(Geraetedaten!$B$160*I268/1000))*10</f>
        <v>332.76322344785387</v>
      </c>
      <c r="M268" s="20">
        <f>(Geraetedaten!$B$171+(Geraetedaten!$B$172*(Geraetedaten!$B$18+d_y_Sw)/1000)-(Geraetedaten!$B$173*I268/1000))*10</f>
        <v>792.02518695565686</v>
      </c>
      <c r="N268" s="20">
        <f>IF((H268-J268)/(K268-J268)*(Geraetedaten!$B$174-Geraetedaten!$B$161)&lt;Geraetedaten!$B$174,(H268-J268)/(K268-J268)*(Geraetedaten!$B$174-Geraetedaten!$B$161),Geraetedaten!$B$174)</f>
        <v>254.90782968898947</v>
      </c>
      <c r="O268" s="20">
        <f>N268/Geraetedaten!$B$174*(M268-L268)+L268+C268</f>
        <v>692.33673332396791</v>
      </c>
      <c r="P268" s="20">
        <f t="shared" si="185"/>
        <v>213.09879269149073</v>
      </c>
      <c r="Q268" s="21">
        <f>(N268-Geraetedaten!$B$161)/(Geraetedaten!$B$174-Geraetedaten!$B$161)*(Geraetedaten!$B$175-Geraetedaten!$B$162)+Geraetedaten!$B$162</f>
        <v>36.783507933247435</v>
      </c>
      <c r="R268" s="21">
        <f t="shared" si="211"/>
        <v>36.783507933247435</v>
      </c>
      <c r="S268" s="21">
        <f t="shared" si="212"/>
        <v>-26.901754685518632</v>
      </c>
      <c r="T268" s="88">
        <f t="shared" si="213"/>
        <v>-25.086292087820656</v>
      </c>
      <c r="U268" s="86">
        <f t="shared" si="214"/>
        <v>9154.6098999999995</v>
      </c>
      <c r="V268" s="85">
        <f t="shared" si="215"/>
        <v>-2683.3128092763232</v>
      </c>
      <c r="W268" s="85">
        <f t="shared" si="216"/>
        <v>3665.2581010793115</v>
      </c>
      <c r="X268" s="90">
        <f t="shared" si="217"/>
        <v>2683.3128092763232</v>
      </c>
      <c r="Y268" s="86">
        <f t="shared" si="218"/>
        <v>12197.195379999999</v>
      </c>
      <c r="Z268" s="85">
        <f t="shared" si="219"/>
        <v>-832.16398485565549</v>
      </c>
      <c r="AA268" s="85">
        <f t="shared" si="220"/>
        <v>1181.7599337765034</v>
      </c>
      <c r="AB268" s="90">
        <f t="shared" si="221"/>
        <v>832.16398485565549</v>
      </c>
      <c r="AC268" s="86">
        <f t="shared" si="222"/>
        <v>-9012.2464600000003</v>
      </c>
      <c r="AD268" s="85">
        <f t="shared" si="223"/>
        <v>2598.140025222212</v>
      </c>
      <c r="AE268" s="85">
        <f t="shared" si="224"/>
        <v>-3554.8364958951174</v>
      </c>
      <c r="AF268" s="90">
        <f t="shared" si="225"/>
        <v>2598.140025222212</v>
      </c>
      <c r="AG268" s="86">
        <f t="shared" si="226"/>
        <v>-13400.273740000001</v>
      </c>
      <c r="AH268" s="85">
        <f t="shared" si="227"/>
        <v>6183.1314163678471</v>
      </c>
      <c r="AI268" s="85">
        <f t="shared" si="228"/>
        <v>-9163.1801680344215</v>
      </c>
      <c r="AJ268" s="90">
        <f t="shared" si="229"/>
        <v>6183.1314163678471</v>
      </c>
      <c r="AL268" s="95">
        <f t="shared" si="230"/>
        <v>0</v>
      </c>
      <c r="AM268" s="95">
        <f t="shared" si="231"/>
        <v>0</v>
      </c>
      <c r="AN268" s="95">
        <f t="shared" si="232"/>
        <v>0</v>
      </c>
      <c r="AO268" s="95">
        <f t="shared" si="233"/>
        <v>0</v>
      </c>
      <c r="AP268"/>
      <c r="AQ268" s="95">
        <f t="shared" si="234"/>
        <v>0</v>
      </c>
      <c r="AR268" s="95">
        <f t="shared" si="235"/>
        <v>0</v>
      </c>
      <c r="AS268" s="95">
        <f>Geraetedaten!$B$94*ABS(SIN(RADIANS($A268)))</f>
        <v>112.62847004935225</v>
      </c>
      <c r="AT268" s="95">
        <f>Geraetedaten!$B$94*ABS(COS(RADIANS($A268)))</f>
        <v>105.02774744962478</v>
      </c>
      <c r="AU268" s="95">
        <f>((h_Aw_Sw+Geraetedaten!$B$18)/1000)*(AQ268*AS268+AR268*AT268)/100</f>
        <v>0</v>
      </c>
    </row>
    <row r="269" spans="1:47" ht="13.5" x14ac:dyDescent="0.25">
      <c r="A269" s="16">
        <v>228</v>
      </c>
      <c r="B269" s="16">
        <f t="shared" si="177"/>
        <v>222</v>
      </c>
      <c r="C269" s="19">
        <f t="shared" si="178"/>
        <v>67.263788891651714</v>
      </c>
      <c r="D269" s="17">
        <f t="shared" si="179"/>
        <v>8942.4081211083467</v>
      </c>
      <c r="E269" s="17">
        <f t="shared" si="180"/>
        <v>12350.341751108348</v>
      </c>
      <c r="F269" s="17">
        <f t="shared" si="181"/>
        <v>-8936.3171588916521</v>
      </c>
      <c r="G269" s="17">
        <f t="shared" si="182"/>
        <v>-13730.420898891653</v>
      </c>
      <c r="H269" s="17">
        <f t="shared" si="183"/>
        <v>8942.4081211083467</v>
      </c>
      <c r="I269" s="17">
        <f t="shared" si="184"/>
        <v>3607.2288514987067</v>
      </c>
      <c r="J269" s="20">
        <f>(Geraetedaten!$B$152+(Geraetedaten!$B$153*(Geraetedaten!$B$18+d_y_Sw)/1000))*10</f>
        <v>6051.0442000000003</v>
      </c>
      <c r="K269" s="20">
        <f>(Geraetedaten!$B$165+(Geraetedaten!$B$166*(Geraetedaten!$B$18+d_y_Sw)/1000))*10</f>
        <v>10816.164000000001</v>
      </c>
      <c r="L269" s="20">
        <f>(Geraetedaten!$B$158+(Geraetedaten!$B$159*(Geraetedaten!$B$18+d_y_Sw)/1000)-(Geraetedaten!$B$160*I269/1000))*10</f>
        <v>337.01850831959962</v>
      </c>
      <c r="M269" s="20">
        <f>(Geraetedaten!$B$171+(Geraetedaten!$B$172*(Geraetedaten!$B$18+d_y_Sw)/1000)-(Geraetedaten!$B$173*I269/1000))*10</f>
        <v>796.34488429443718</v>
      </c>
      <c r="N269" s="20">
        <f>IF((H269-J269)/(K269-J269)*(Geraetedaten!$B$174-Geraetedaten!$B$161)&lt;Geraetedaten!$B$174,(H269-J269)/(K269-J269)*(Geraetedaten!$B$174-Geraetedaten!$B$161),Geraetedaten!$B$174)</f>
        <v>242.71070130143181</v>
      </c>
      <c r="O269" s="20">
        <f>N269/Geraetedaten!$B$174*(M269-L269)+L269+C269</f>
        <v>682.99086430899627</v>
      </c>
      <c r="P269" s="20">
        <f t="shared" si="185"/>
        <v>212.17512293331319</v>
      </c>
      <c r="Q269" s="21">
        <f>(N269-Geraetedaten!$B$161)/(Geraetedaten!$B$174-Geraetedaten!$B$161)*(Geraetedaten!$B$175-Geraetedaten!$B$162)+Geraetedaten!$B$162</f>
        <v>36.420643363717595</v>
      </c>
      <c r="R269" s="21">
        <f t="shared" si="211"/>
        <v>36.420643363717595</v>
      </c>
      <c r="S269" s="21">
        <f t="shared" si="212"/>
        <v>-27.065812656304335</v>
      </c>
      <c r="T269" s="88">
        <f t="shared" si="213"/>
        <v>-24.370167177944076</v>
      </c>
      <c r="U269" s="86">
        <f t="shared" si="214"/>
        <v>9009.6719099999991</v>
      </c>
      <c r="V269" s="85">
        <f t="shared" si="215"/>
        <v>-2683.3128092763232</v>
      </c>
      <c r="W269" s="85">
        <f t="shared" si="216"/>
        <v>3607.2288514987067</v>
      </c>
      <c r="X269" s="90">
        <f t="shared" si="217"/>
        <v>2683.3128092763232</v>
      </c>
      <c r="Y269" s="86">
        <f t="shared" si="218"/>
        <v>12417.60554</v>
      </c>
      <c r="Z269" s="85">
        <f t="shared" si="219"/>
        <v>-832.16398485565549</v>
      </c>
      <c r="AA269" s="85">
        <f t="shared" si="220"/>
        <v>1203.1149977042708</v>
      </c>
      <c r="AB269" s="90">
        <f t="shared" si="221"/>
        <v>832.16398485565549</v>
      </c>
      <c r="AC269" s="86">
        <f t="shared" si="222"/>
        <v>-8869.0533699999996</v>
      </c>
      <c r="AD269" s="85">
        <f t="shared" si="223"/>
        <v>2598.140025222212</v>
      </c>
      <c r="AE269" s="85">
        <f t="shared" si="224"/>
        <v>-3498.3546812124637</v>
      </c>
      <c r="AF269" s="90">
        <f t="shared" si="225"/>
        <v>2598.140025222212</v>
      </c>
      <c r="AG269" s="86">
        <f t="shared" si="226"/>
        <v>-13663.15711</v>
      </c>
      <c r="AH269" s="85">
        <f t="shared" si="227"/>
        <v>6183.1314163678471</v>
      </c>
      <c r="AI269" s="85">
        <f t="shared" si="228"/>
        <v>-9342.9412490369923</v>
      </c>
      <c r="AJ269" s="90">
        <f t="shared" si="229"/>
        <v>6183.1314163678471</v>
      </c>
      <c r="AL269" s="95">
        <f t="shared" si="230"/>
        <v>0</v>
      </c>
      <c r="AM269" s="95">
        <f t="shared" si="231"/>
        <v>0</v>
      </c>
      <c r="AN269" s="95">
        <f t="shared" si="232"/>
        <v>0</v>
      </c>
      <c r="AO269" s="95">
        <f t="shared" si="233"/>
        <v>0</v>
      </c>
      <c r="AP269"/>
      <c r="AQ269" s="95">
        <f t="shared" si="234"/>
        <v>0</v>
      </c>
      <c r="AR269" s="95">
        <f t="shared" si="235"/>
        <v>0</v>
      </c>
      <c r="AS269" s="95">
        <f>Geraetedaten!$B$94*ABS(SIN(RADIANS($A269)))</f>
        <v>114.44430312351874</v>
      </c>
      <c r="AT269" s="95">
        <f>Geraetedaten!$B$94*ABS(COS(RADIANS($A269)))</f>
        <v>103.04611337926416</v>
      </c>
      <c r="AU269" s="95">
        <f>((h_Aw_Sw+Geraetedaten!$B$18)/1000)*(AQ269*AS269+AR269*AT269)/100</f>
        <v>0</v>
      </c>
    </row>
    <row r="270" spans="1:47" ht="13.5" x14ac:dyDescent="0.25">
      <c r="A270" s="16">
        <v>229</v>
      </c>
      <c r="B270" s="16">
        <f t="shared" si="177"/>
        <v>221</v>
      </c>
      <c r="C270" s="19">
        <f t="shared" si="178"/>
        <v>67.60725464668883</v>
      </c>
      <c r="D270" s="17">
        <f t="shared" si="179"/>
        <v>8804.3048753533112</v>
      </c>
      <c r="E270" s="17">
        <f t="shared" si="180"/>
        <v>12582.445145353311</v>
      </c>
      <c r="F270" s="17">
        <f t="shared" si="181"/>
        <v>-8800.5652146466891</v>
      </c>
      <c r="G270" s="17">
        <f t="shared" si="182"/>
        <v>-14008.499994646689</v>
      </c>
      <c r="H270" s="17">
        <f t="shared" si="183"/>
        <v>8804.3048753533112</v>
      </c>
      <c r="I270" s="17">
        <f t="shared" si="184"/>
        <v>3552.0735628221182</v>
      </c>
      <c r="J270" s="20">
        <f>(Geraetedaten!$B$152+(Geraetedaten!$B$153*(Geraetedaten!$B$18+d_y_Sw)/1000))*10</f>
        <v>6051.0442000000003</v>
      </c>
      <c r="K270" s="20">
        <f>(Geraetedaten!$B$165+(Geraetedaten!$B$166*(Geraetedaten!$B$18+d_y_Sw)/1000))*10</f>
        <v>10816.164000000001</v>
      </c>
      <c r="L270" s="20">
        <f>(Geraetedaten!$B$158+(Geraetedaten!$B$159*(Geraetedaten!$B$18+d_y_Sw)/1000)-(Geraetedaten!$B$160*I270/1000))*10</f>
        <v>341.06304563825393</v>
      </c>
      <c r="M270" s="20">
        <f>(Geraetedaten!$B$171+(Geraetedaten!$B$172*(Geraetedaten!$B$18+d_y_Sw)/1000)-(Geraetedaten!$B$173*I270/1000))*10</f>
        <v>800.45064398352235</v>
      </c>
      <c r="N270" s="20">
        <f>IF((H270-J270)/(K270-J270)*(Geraetedaten!$B$174-Geraetedaten!$B$161)&lt;Geraetedaten!$B$174,(H270-J270)/(K270-J270)*(Geraetedaten!$B$174-Geraetedaten!$B$161),Geraetedaten!$B$174)</f>
        <v>231.11785566048607</v>
      </c>
      <c r="O270" s="20">
        <f>N270/Geraetedaten!$B$174*(M270-L270)+L270+C270</f>
        <v>674.10199190139053</v>
      </c>
      <c r="P270" s="20">
        <f t="shared" si="185"/>
        <v>211.2792703471832</v>
      </c>
      <c r="Q270" s="21">
        <f>(N270-Geraetedaten!$B$161)/(Geraetedaten!$B$174-Geraetedaten!$B$161)*(Geraetedaten!$B$175-Geraetedaten!$B$162)+Geraetedaten!$B$162</f>
        <v>36.075756205899459</v>
      </c>
      <c r="R270" s="21">
        <f t="shared" si="211"/>
        <v>36.075756205899459</v>
      </c>
      <c r="S270" s="21">
        <f t="shared" si="212"/>
        <v>-27.226718822373442</v>
      </c>
      <c r="T270" s="88">
        <f t="shared" si="213"/>
        <v>-23.667825586540665</v>
      </c>
      <c r="U270" s="86">
        <f t="shared" si="214"/>
        <v>8871.9121300000006</v>
      </c>
      <c r="V270" s="85">
        <f t="shared" si="215"/>
        <v>-2683.3128092763232</v>
      </c>
      <c r="W270" s="85">
        <f t="shared" si="216"/>
        <v>3552.0735628221182</v>
      </c>
      <c r="X270" s="90">
        <f t="shared" si="217"/>
        <v>2683.3128092763232</v>
      </c>
      <c r="Y270" s="86">
        <f t="shared" si="218"/>
        <v>12650.0524</v>
      </c>
      <c r="Z270" s="85">
        <f t="shared" si="219"/>
        <v>-832.16398485565549</v>
      </c>
      <c r="AA270" s="85">
        <f t="shared" si="220"/>
        <v>1225.6362723271081</v>
      </c>
      <c r="AB270" s="90">
        <f t="shared" si="221"/>
        <v>832.16398485565549</v>
      </c>
      <c r="AC270" s="86">
        <f t="shared" si="222"/>
        <v>-8732.9579599999997</v>
      </c>
      <c r="AD270" s="85">
        <f t="shared" si="223"/>
        <v>2598.140025222212</v>
      </c>
      <c r="AE270" s="85">
        <f t="shared" si="224"/>
        <v>-3444.6725122381686</v>
      </c>
      <c r="AF270" s="90">
        <f t="shared" si="225"/>
        <v>2598.140025222212</v>
      </c>
      <c r="AG270" s="86">
        <f t="shared" si="226"/>
        <v>-13940.892739999999</v>
      </c>
      <c r="AH270" s="85">
        <f t="shared" si="227"/>
        <v>6183.1314163678471</v>
      </c>
      <c r="AI270" s="85">
        <f t="shared" si="228"/>
        <v>-9532.8583901601414</v>
      </c>
      <c r="AJ270" s="90">
        <f t="shared" si="229"/>
        <v>6183.1314163678471</v>
      </c>
      <c r="AL270" s="95">
        <f t="shared" si="230"/>
        <v>0</v>
      </c>
      <c r="AM270" s="95">
        <f t="shared" si="231"/>
        <v>0</v>
      </c>
      <c r="AN270" s="95">
        <f t="shared" si="232"/>
        <v>0</v>
      </c>
      <c r="AO270" s="95">
        <f t="shared" si="233"/>
        <v>0</v>
      </c>
      <c r="AP270"/>
      <c r="AQ270" s="95">
        <f t="shared" si="234"/>
        <v>0</v>
      </c>
      <c r="AR270" s="95">
        <f t="shared" si="235"/>
        <v>0</v>
      </c>
      <c r="AS270" s="95">
        <f>Geraetedaten!$B$94*ABS(SIN(RADIANS($A270)))</f>
        <v>116.22527535430689</v>
      </c>
      <c r="AT270" s="95">
        <f>Geraetedaten!$B$94*ABS(COS(RADIANS($A270)))</f>
        <v>101.03309046453812</v>
      </c>
      <c r="AU270" s="95">
        <f>((h_Aw_Sw+Geraetedaten!$B$18)/1000)*(AQ270*AS270+AR270*AT270)/100</f>
        <v>0</v>
      </c>
    </row>
    <row r="271" spans="1:47" ht="13.5" x14ac:dyDescent="0.25">
      <c r="A271" s="16">
        <v>230</v>
      </c>
      <c r="B271" s="16">
        <f t="shared" si="177"/>
        <v>220</v>
      </c>
      <c r="C271" s="19">
        <f t="shared" si="178"/>
        <v>67.930126577034372</v>
      </c>
      <c r="D271" s="17">
        <f t="shared" si="179"/>
        <v>8672.9940034229658</v>
      </c>
      <c r="E271" s="17">
        <f t="shared" si="180"/>
        <v>12827.440533422967</v>
      </c>
      <c r="F271" s="17">
        <f t="shared" si="181"/>
        <v>-8671.4874265770341</v>
      </c>
      <c r="G271" s="17">
        <f t="shared" si="182"/>
        <v>-14302.510006577033</v>
      </c>
      <c r="H271" s="17">
        <f t="shared" si="183"/>
        <v>8672.9940034229658</v>
      </c>
      <c r="I271" s="17">
        <f t="shared" si="184"/>
        <v>3499.6295117572208</v>
      </c>
      <c r="J271" s="20">
        <f>(Geraetedaten!$B$152+(Geraetedaten!$B$153*(Geraetedaten!$B$18+d_y_Sw)/1000))*10</f>
        <v>6051.0442000000003</v>
      </c>
      <c r="K271" s="20">
        <f>(Geraetedaten!$B$165+(Geraetedaten!$B$166*(Geraetedaten!$B$18+d_y_Sw)/1000))*10</f>
        <v>10816.164000000001</v>
      </c>
      <c r="L271" s="20">
        <f>(Geraetedaten!$B$158+(Geraetedaten!$B$159*(Geraetedaten!$B$18+d_y_Sw)/1000)-(Geraetedaten!$B$160*I271/1000))*10</f>
        <v>344.90876790284278</v>
      </c>
      <c r="M271" s="20">
        <f>(Geraetedaten!$B$171+(Geraetedaten!$B$172*(Geraetedaten!$B$18+d_y_Sw)/1000)-(Geraetedaten!$B$173*I271/1000))*10</f>
        <v>804.35457914479343</v>
      </c>
      <c r="N271" s="20">
        <f>IF((H271-J271)/(K271-J271)*(Geraetedaten!$B$174-Geraetedaten!$B$161)&lt;Geraetedaten!$B$174,(H271-J271)/(K271-J271)*(Geraetedaten!$B$174-Geraetedaten!$B$161),Geraetedaten!$B$174)</f>
        <v>220.09518446297744</v>
      </c>
      <c r="O271" s="20">
        <f>N271/Geraetedaten!$B$174*(M271-L271)+L271+C271</f>
        <v>665.64342091997571</v>
      </c>
      <c r="P271" s="20">
        <f t="shared" si="185"/>
        <v>210.41036412276586</v>
      </c>
      <c r="Q271" s="21">
        <f>(N271-Geraetedaten!$B$161)/(Geraetedaten!$B$174-Geraetedaten!$B$161)*(Geraetedaten!$B$175-Geraetedaten!$B$162)+Geraetedaten!$B$162</f>
        <v>35.747831737773581</v>
      </c>
      <c r="R271" s="21">
        <f t="shared" si="211"/>
        <v>35.747831737773581</v>
      </c>
      <c r="S271" s="21">
        <f t="shared" si="212"/>
        <v>-27.384427856273685</v>
      </c>
      <c r="T271" s="88">
        <f t="shared" si="213"/>
        <v>-22.978263314200092</v>
      </c>
      <c r="U271" s="86">
        <f t="shared" si="214"/>
        <v>8740.9241299999994</v>
      </c>
      <c r="V271" s="85">
        <f t="shared" si="215"/>
        <v>-2683.3128092763232</v>
      </c>
      <c r="W271" s="85">
        <f t="shared" si="216"/>
        <v>3499.6295117572208</v>
      </c>
      <c r="X271" s="90">
        <f t="shared" si="217"/>
        <v>2683.3128092763232</v>
      </c>
      <c r="Y271" s="86">
        <f t="shared" si="218"/>
        <v>12895.37066</v>
      </c>
      <c r="Z271" s="85">
        <f t="shared" si="219"/>
        <v>-832.16398485565549</v>
      </c>
      <c r="AA271" s="85">
        <f t="shared" si="220"/>
        <v>1249.404629671805</v>
      </c>
      <c r="AB271" s="90">
        <f t="shared" si="221"/>
        <v>832.16398485565549</v>
      </c>
      <c r="AC271" s="86">
        <f t="shared" si="222"/>
        <v>-8603.5573000000004</v>
      </c>
      <c r="AD271" s="85">
        <f t="shared" si="223"/>
        <v>2598.140025222212</v>
      </c>
      <c r="AE271" s="85">
        <f t="shared" si="224"/>
        <v>-3393.6310576594587</v>
      </c>
      <c r="AF271" s="90">
        <f t="shared" si="225"/>
        <v>2598.140025222212</v>
      </c>
      <c r="AG271" s="86">
        <f t="shared" si="226"/>
        <v>-14234.579879999999</v>
      </c>
      <c r="AH271" s="85">
        <f t="shared" si="227"/>
        <v>6183.1314163678471</v>
      </c>
      <c r="AI271" s="85">
        <f t="shared" si="228"/>
        <v>-9733.6832509245396</v>
      </c>
      <c r="AJ271" s="90">
        <f t="shared" si="229"/>
        <v>6183.1314163678471</v>
      </c>
      <c r="AL271" s="95">
        <f t="shared" si="230"/>
        <v>0</v>
      </c>
      <c r="AM271" s="95">
        <f t="shared" si="231"/>
        <v>0</v>
      </c>
      <c r="AN271" s="95">
        <f t="shared" si="232"/>
        <v>0</v>
      </c>
      <c r="AO271" s="95">
        <f t="shared" si="233"/>
        <v>0</v>
      </c>
      <c r="AP271"/>
      <c r="AQ271" s="95">
        <f t="shared" si="234"/>
        <v>0</v>
      </c>
      <c r="AR271" s="95">
        <f t="shared" si="235"/>
        <v>0</v>
      </c>
      <c r="AS271" s="95">
        <f>Geraetedaten!$B$94*ABS(SIN(RADIANS($A271)))</f>
        <v>117.97084424032259</v>
      </c>
      <c r="AT271" s="95">
        <f>Geraetedaten!$B$94*ABS(COS(RADIANS($A271)))</f>
        <v>98.989291891727078</v>
      </c>
      <c r="AU271" s="95">
        <f>((h_Aw_Sw+Geraetedaten!$B$18)/1000)*(AQ271*AS271+AR271*AT271)/100</f>
        <v>0</v>
      </c>
    </row>
    <row r="272" spans="1:47" ht="13.5" x14ac:dyDescent="0.25">
      <c r="A272" s="16">
        <v>231</v>
      </c>
      <c r="B272" s="16">
        <f t="shared" si="177"/>
        <v>219</v>
      </c>
      <c r="C272" s="19">
        <f t="shared" si="178"/>
        <v>68.232306332770634</v>
      </c>
      <c r="D272" s="17">
        <f t="shared" si="179"/>
        <v>8548.1018836672283</v>
      </c>
      <c r="E272" s="17">
        <f t="shared" si="180"/>
        <v>13086.245763667228</v>
      </c>
      <c r="F272" s="17">
        <f t="shared" si="181"/>
        <v>-8548.713266332772</v>
      </c>
      <c r="G272" s="17">
        <f t="shared" si="182"/>
        <v>-14613.665606332772</v>
      </c>
      <c r="H272" s="17">
        <f t="shared" si="183"/>
        <v>8548.1018836672283</v>
      </c>
      <c r="I272" s="17">
        <f t="shared" si="184"/>
        <v>3449.7470710279035</v>
      </c>
      <c r="J272" s="20">
        <f>(Geraetedaten!$B$152+(Geraetedaten!$B$153*(Geraetedaten!$B$18+d_y_Sw)/1000))*10</f>
        <v>6051.0442000000003</v>
      </c>
      <c r="K272" s="20">
        <f>(Geraetedaten!$B$165+(Geraetedaten!$B$166*(Geraetedaten!$B$18+d_y_Sw)/1000))*10</f>
        <v>10816.164000000001</v>
      </c>
      <c r="L272" s="20">
        <f>(Geraetedaten!$B$158+(Geraetedaten!$B$159*(Geraetedaten!$B$18+d_y_Sw)/1000)-(Geraetedaten!$B$160*I272/1000))*10</f>
        <v>348.56664728152361</v>
      </c>
      <c r="M272" s="20">
        <f>(Geraetedaten!$B$171+(Geraetedaten!$B$172*(Geraetedaten!$B$18+d_y_Sw)/1000)-(Geraetedaten!$B$173*I272/1000))*10</f>
        <v>808.06782803268379</v>
      </c>
      <c r="N272" s="20">
        <f>IF((H272-J272)/(K272-J272)*(Geraetedaten!$B$174-Geraetedaten!$B$161)&lt;Geraetedaten!$B$174,(H272-J272)/(K272-J272)*(Geraetedaten!$B$174-Geraetedaten!$B$161),Geraetedaten!$B$174)</f>
        <v>209.61132466530876</v>
      </c>
      <c r="O272" s="20">
        <f>N272/Geraetedaten!$B$174*(M272-L272)+L272+C272</f>
        <v>657.59058157060463</v>
      </c>
      <c r="P272" s="20">
        <f t="shared" si="185"/>
        <v>209.56756462453592</v>
      </c>
      <c r="Q272" s="21">
        <f>(N272-Geraetedaten!$B$161)/(Geraetedaten!$B$174-Geraetedaten!$B$161)*(Geraetedaten!$B$175-Geraetedaten!$B$162)+Geraetedaten!$B$162</f>
        <v>35.435936908792939</v>
      </c>
      <c r="R272" s="21">
        <f t="shared" si="211"/>
        <v>35.435936908792939</v>
      </c>
      <c r="S272" s="21">
        <f t="shared" si="212"/>
        <v>-27.53889525911244</v>
      </c>
      <c r="T272" s="88">
        <f t="shared" si="213"/>
        <v>-22.300557672658954</v>
      </c>
      <c r="U272" s="86">
        <f t="shared" si="214"/>
        <v>8616.3341899999996</v>
      </c>
      <c r="V272" s="85">
        <f t="shared" si="215"/>
        <v>-2683.3128092763232</v>
      </c>
      <c r="W272" s="85">
        <f t="shared" si="216"/>
        <v>3449.7470710279035</v>
      </c>
      <c r="X272" s="90">
        <f t="shared" si="217"/>
        <v>2683.3128092763232</v>
      </c>
      <c r="Y272" s="86">
        <f t="shared" si="218"/>
        <v>13154.478069999999</v>
      </c>
      <c r="Z272" s="85">
        <f t="shared" si="219"/>
        <v>-832.16398485565549</v>
      </c>
      <c r="AA272" s="85">
        <f t="shared" si="220"/>
        <v>1274.5089871340028</v>
      </c>
      <c r="AB272" s="90">
        <f t="shared" si="221"/>
        <v>832.16398485565549</v>
      </c>
      <c r="AC272" s="86">
        <f t="shared" si="222"/>
        <v>-8480.4809600000008</v>
      </c>
      <c r="AD272" s="85">
        <f t="shared" si="223"/>
        <v>2598.140025222212</v>
      </c>
      <c r="AE272" s="85">
        <f t="shared" si="224"/>
        <v>-3345.0841985379152</v>
      </c>
      <c r="AF272" s="90">
        <f t="shared" si="225"/>
        <v>2598.140025222212</v>
      </c>
      <c r="AG272" s="86">
        <f t="shared" si="226"/>
        <v>-14545.433300000001</v>
      </c>
      <c r="AH272" s="85">
        <f t="shared" si="227"/>
        <v>6183.1314163678471</v>
      </c>
      <c r="AI272" s="85">
        <f t="shared" si="228"/>
        <v>-9946.2465146594241</v>
      </c>
      <c r="AJ272" s="90">
        <f t="shared" si="229"/>
        <v>6183.1314163678471</v>
      </c>
      <c r="AL272" s="95">
        <f t="shared" si="230"/>
        <v>0</v>
      </c>
      <c r="AM272" s="95">
        <f t="shared" si="231"/>
        <v>0</v>
      </c>
      <c r="AN272" s="95">
        <f t="shared" si="232"/>
        <v>0</v>
      </c>
      <c r="AO272" s="95">
        <f t="shared" si="233"/>
        <v>0</v>
      </c>
      <c r="AP272"/>
      <c r="AQ272" s="95">
        <f t="shared" si="234"/>
        <v>0</v>
      </c>
      <c r="AR272" s="95">
        <f t="shared" si="235"/>
        <v>0</v>
      </c>
      <c r="AS272" s="95">
        <f>Geraetedaten!$B$94*ABS(SIN(RADIANS($A272)))</f>
        <v>119.68047806437347</v>
      </c>
      <c r="AT272" s="95">
        <f>Geraetedaten!$B$94*ABS(COS(RADIANS($A272)))</f>
        <v>96.915340221675024</v>
      </c>
      <c r="AU272" s="95">
        <f>((h_Aw_Sw+Geraetedaten!$B$18)/1000)*(AQ272*AS272+AR272*AT272)/100</f>
        <v>0</v>
      </c>
    </row>
    <row r="273" spans="1:47" ht="13.5" x14ac:dyDescent="0.25">
      <c r="A273" s="16">
        <v>232</v>
      </c>
      <c r="B273" s="16">
        <f t="shared" si="177"/>
        <v>218</v>
      </c>
      <c r="C273" s="19">
        <f t="shared" si="178"/>
        <v>68.513701867016778</v>
      </c>
      <c r="D273" s="17">
        <f t="shared" si="179"/>
        <v>8429.284488132982</v>
      </c>
      <c r="E273" s="17">
        <f t="shared" si="180"/>
        <v>13359.872098132983</v>
      </c>
      <c r="F273" s="17">
        <f t="shared" si="181"/>
        <v>-8431.9015918670175</v>
      </c>
      <c r="G273" s="17">
        <f t="shared" si="182"/>
        <v>-14943.312471867017</v>
      </c>
      <c r="H273" s="17">
        <f t="shared" si="183"/>
        <v>8429.284488132982</v>
      </c>
      <c r="I273" s="17">
        <f t="shared" si="184"/>
        <v>3402.2884640609454</v>
      </c>
      <c r="J273" s="20">
        <f>(Geraetedaten!$B$152+(Geraetedaten!$B$153*(Geraetedaten!$B$18+d_y_Sw)/1000))*10</f>
        <v>6051.0442000000003</v>
      </c>
      <c r="K273" s="20">
        <f>(Geraetedaten!$B$165+(Geraetedaten!$B$166*(Geraetedaten!$B$18+d_y_Sw)/1000))*10</f>
        <v>10816.164000000001</v>
      </c>
      <c r="L273" s="20">
        <f>(Geraetedaten!$B$158+(Geraetedaten!$B$159*(Geraetedaten!$B$18+d_y_Sw)/1000)-(Geraetedaten!$B$160*I273/1000))*10</f>
        <v>352.04678693041069</v>
      </c>
      <c r="M273" s="20">
        <f>(Geraetedaten!$B$171+(Geraetedaten!$B$172*(Geraetedaten!$B$18+d_y_Sw)/1000)-(Geraetedaten!$B$173*I273/1000))*10</f>
        <v>811.60064673530417</v>
      </c>
      <c r="N273" s="20">
        <f>IF((H273-J273)/(K273-J273)*(Geraetedaten!$B$174-Geraetedaten!$B$161)&lt;Geraetedaten!$B$174,(H273-J273)/(K273-J273)*(Geraetedaten!$B$174-Geraetedaten!$B$161),Geraetedaten!$B$174)</f>
        <v>199.63739741720505</v>
      </c>
      <c r="O273" s="20">
        <f>N273/Geraetedaten!$B$174*(M273-L273)+L273+C273</f>
        <v>649.92083015862772</v>
      </c>
      <c r="P273" s="20">
        <f t="shared" si="185"/>
        <v>208.75006324481541</v>
      </c>
      <c r="Q273" s="21">
        <f>(N273-Geraetedaten!$B$161)/(Geraetedaten!$B$174-Geraetedaten!$B$161)*(Geraetedaten!$B$175-Geraetedaten!$B$162)+Geraetedaten!$B$162</f>
        <v>35.139212573161849</v>
      </c>
      <c r="R273" s="21">
        <f t="shared" si="211"/>
        <v>35.139212573161849</v>
      </c>
      <c r="S273" s="21">
        <f t="shared" si="212"/>
        <v>-27.690077380924073</v>
      </c>
      <c r="T273" s="88">
        <f t="shared" si="213"/>
        <v>-21.633859454574736</v>
      </c>
      <c r="U273" s="86">
        <f t="shared" si="214"/>
        <v>8497.7981899999995</v>
      </c>
      <c r="V273" s="85">
        <f t="shared" si="215"/>
        <v>-2683.3128092763232</v>
      </c>
      <c r="W273" s="85">
        <f t="shared" si="216"/>
        <v>3402.2884640609454</v>
      </c>
      <c r="X273" s="90">
        <f t="shared" si="217"/>
        <v>2683.3128092763232</v>
      </c>
      <c r="Y273" s="86">
        <f t="shared" si="218"/>
        <v>13428.3858</v>
      </c>
      <c r="Z273" s="85">
        <f t="shared" si="219"/>
        <v>-832.16398485565549</v>
      </c>
      <c r="AA273" s="85">
        <f t="shared" si="220"/>
        <v>1301.0473156037056</v>
      </c>
      <c r="AB273" s="90">
        <f t="shared" si="221"/>
        <v>832.16398485565549</v>
      </c>
      <c r="AC273" s="86">
        <f t="shared" si="222"/>
        <v>-8363.38789</v>
      </c>
      <c r="AD273" s="85">
        <f t="shared" si="223"/>
        <v>2598.140025222212</v>
      </c>
      <c r="AE273" s="85">
        <f t="shared" si="224"/>
        <v>-3298.8974073805462</v>
      </c>
      <c r="AF273" s="90">
        <f t="shared" si="225"/>
        <v>2598.140025222212</v>
      </c>
      <c r="AG273" s="86">
        <f t="shared" si="226"/>
        <v>-14874.798769999999</v>
      </c>
      <c r="AH273" s="85">
        <f t="shared" si="227"/>
        <v>6183.1314163678471</v>
      </c>
      <c r="AI273" s="85">
        <f t="shared" si="228"/>
        <v>-10171.468417701779</v>
      </c>
      <c r="AJ273" s="90">
        <f t="shared" si="229"/>
        <v>6183.1314163678471</v>
      </c>
      <c r="AL273" s="95">
        <f t="shared" si="230"/>
        <v>0</v>
      </c>
      <c r="AM273" s="95">
        <f t="shared" si="231"/>
        <v>0</v>
      </c>
      <c r="AN273" s="95">
        <f t="shared" si="232"/>
        <v>0</v>
      </c>
      <c r="AO273" s="95">
        <f t="shared" si="233"/>
        <v>0</v>
      </c>
      <c r="AP273"/>
      <c r="AQ273" s="95">
        <f t="shared" si="234"/>
        <v>0</v>
      </c>
      <c r="AR273" s="95">
        <f t="shared" si="235"/>
        <v>0</v>
      </c>
      <c r="AS273" s="95">
        <f>Geraetedaten!$B$94*ABS(SIN(RADIANS($A273)))</f>
        <v>121.35365605543521</v>
      </c>
      <c r="AT273" s="95">
        <f>Geraetedaten!$B$94*ABS(COS(RADIANS($A273)))</f>
        <v>94.81186720015134</v>
      </c>
      <c r="AU273" s="95">
        <f>((h_Aw_Sw+Geraetedaten!$B$18)/1000)*(AQ273*AS273+AR273*AT273)/100</f>
        <v>0</v>
      </c>
    </row>
    <row r="274" spans="1:47" ht="13.5" x14ac:dyDescent="0.25">
      <c r="A274" s="16">
        <v>233</v>
      </c>
      <c r="B274" s="16">
        <f t="shared" si="177"/>
        <v>217</v>
      </c>
      <c r="C274" s="19">
        <f t="shared" si="178"/>
        <v>68.774227463967051</v>
      </c>
      <c r="D274" s="17">
        <f t="shared" si="179"/>
        <v>8316.2246225360323</v>
      </c>
      <c r="E274" s="17">
        <f t="shared" si="180"/>
        <v>13649.436252536032</v>
      </c>
      <c r="F274" s="17">
        <f t="shared" si="181"/>
        <v>-8320.7378874639671</v>
      </c>
      <c r="G274" s="17">
        <f t="shared" si="182"/>
        <v>-15292.945167463968</v>
      </c>
      <c r="H274" s="17">
        <f t="shared" si="183"/>
        <v>8316.2246225360323</v>
      </c>
      <c r="I274" s="17">
        <f t="shared" si="184"/>
        <v>3357.1266610952594</v>
      </c>
      <c r="J274" s="20">
        <f>(Geraetedaten!$B$152+(Geraetedaten!$B$153*(Geraetedaten!$B$18+d_y_Sw)/1000))*10</f>
        <v>6051.0442000000003</v>
      </c>
      <c r="K274" s="20">
        <f>(Geraetedaten!$B$165+(Geraetedaten!$B$166*(Geraetedaten!$B$18+d_y_Sw)/1000))*10</f>
        <v>10816.164000000001</v>
      </c>
      <c r="L274" s="20">
        <f>(Geraetedaten!$B$158+(Geraetedaten!$B$159*(Geraetedaten!$B$18+d_y_Sw)/1000)-(Geraetedaten!$B$160*I274/1000))*10</f>
        <v>355.35850194188441</v>
      </c>
      <c r="M274" s="20">
        <f>(Geraetedaten!$B$171+(Geraetedaten!$B$172*(Geraetedaten!$B$18+d_y_Sw)/1000)-(Geraetedaten!$B$173*I274/1000))*10</f>
        <v>814.96249134806976</v>
      </c>
      <c r="N274" s="20">
        <f>IF((H274-J274)/(K274-J274)*(Geraetedaten!$B$174-Geraetedaten!$B$161)&lt;Geraetedaten!$B$174,(H274-J274)/(K274-J274)*(Geraetedaten!$B$174-Geraetedaten!$B$161),Geraetedaten!$B$174)</f>
        <v>190.14677637578234</v>
      </c>
      <c r="O274" s="20">
        <f>N274/Geraetedaten!$B$174*(M274-L274)+L274+C274</f>
        <v>642.61327189343979</v>
      </c>
      <c r="P274" s="20">
        <f t="shared" si="185"/>
        <v>207.95708213216034</v>
      </c>
      <c r="Q274" s="21">
        <f>(N274-Geraetedaten!$B$161)/(Geraetedaten!$B$174-Geraetedaten!$B$161)*(Geraetedaten!$B$175-Geraetedaten!$B$162)+Geraetedaten!$B$162</f>
        <v>34.856866597179526</v>
      </c>
      <c r="R274" s="21">
        <f t="shared" si="211"/>
        <v>34.856866597179526</v>
      </c>
      <c r="S274" s="21">
        <f t="shared" si="212"/>
        <v>-27.837931433488915</v>
      </c>
      <c r="T274" s="88">
        <f t="shared" si="213"/>
        <v>-20.977385978189453</v>
      </c>
      <c r="U274" s="86">
        <f t="shared" si="214"/>
        <v>8384.9988499999999</v>
      </c>
      <c r="V274" s="85">
        <f t="shared" si="215"/>
        <v>-2683.3128092763232</v>
      </c>
      <c r="W274" s="85">
        <f t="shared" si="216"/>
        <v>3357.1266610952594</v>
      </c>
      <c r="X274" s="90">
        <f t="shared" si="217"/>
        <v>2683.3128092763232</v>
      </c>
      <c r="Y274" s="86">
        <f t="shared" si="218"/>
        <v>13718.21048</v>
      </c>
      <c r="Z274" s="85">
        <f t="shared" si="219"/>
        <v>-832.16398485565549</v>
      </c>
      <c r="AA274" s="85">
        <f t="shared" si="220"/>
        <v>1329.1278038064099</v>
      </c>
      <c r="AB274" s="90">
        <f t="shared" si="221"/>
        <v>832.16398485565549</v>
      </c>
      <c r="AC274" s="86">
        <f t="shared" si="222"/>
        <v>-8251.9636599999994</v>
      </c>
      <c r="AD274" s="85">
        <f t="shared" si="223"/>
        <v>2598.140025222212</v>
      </c>
      <c r="AE274" s="85">
        <f t="shared" si="224"/>
        <v>-3254.9466661218726</v>
      </c>
      <c r="AF274" s="90">
        <f t="shared" si="225"/>
        <v>2598.140025222212</v>
      </c>
      <c r="AG274" s="86">
        <f t="shared" si="226"/>
        <v>-15224.17094</v>
      </c>
      <c r="AH274" s="85">
        <f t="shared" si="227"/>
        <v>6183.1314163678471</v>
      </c>
      <c r="AI274" s="85">
        <f t="shared" si="228"/>
        <v>-10410.371013618238</v>
      </c>
      <c r="AJ274" s="90">
        <f t="shared" si="229"/>
        <v>6183.1314163678471</v>
      </c>
      <c r="AL274" s="95">
        <f t="shared" si="230"/>
        <v>0</v>
      </c>
      <c r="AM274" s="95">
        <f t="shared" si="231"/>
        <v>0</v>
      </c>
      <c r="AN274" s="95">
        <f t="shared" si="232"/>
        <v>0</v>
      </c>
      <c r="AO274" s="95">
        <f t="shared" si="233"/>
        <v>0</v>
      </c>
      <c r="AP274"/>
      <c r="AQ274" s="95">
        <f t="shared" si="234"/>
        <v>0</v>
      </c>
      <c r="AR274" s="95">
        <f t="shared" si="235"/>
        <v>0</v>
      </c>
      <c r="AS274" s="95">
        <f>Geraetedaten!$B$94*ABS(SIN(RADIANS($A274)))</f>
        <v>122.98986854728309</v>
      </c>
      <c r="AT274" s="95">
        <f>Geraetedaten!$B$94*ABS(COS(RADIANS($A274)))</f>
        <v>92.679513565415434</v>
      </c>
      <c r="AU274" s="95">
        <f>((h_Aw_Sw+Geraetedaten!$B$18)/1000)*(AQ274*AS274+AR274*AT274)/100</f>
        <v>0</v>
      </c>
    </row>
    <row r="275" spans="1:47" ht="13.5" x14ac:dyDescent="0.25">
      <c r="A275" s="16">
        <v>234</v>
      </c>
      <c r="B275" s="16">
        <f t="shared" si="177"/>
        <v>216</v>
      </c>
      <c r="C275" s="19">
        <f t="shared" si="178"/>
        <v>69.013803765000915</v>
      </c>
      <c r="D275" s="17">
        <f t="shared" si="179"/>
        <v>8208.6294862349987</v>
      </c>
      <c r="E275" s="17">
        <f t="shared" si="180"/>
        <v>13956.174356234998</v>
      </c>
      <c r="F275" s="17">
        <f t="shared" si="181"/>
        <v>-8214.931873765001</v>
      </c>
      <c r="G275" s="17">
        <f t="shared" si="182"/>
        <v>-15664.228153765001</v>
      </c>
      <c r="H275" s="17">
        <f t="shared" si="183"/>
        <v>8208.6294862349987</v>
      </c>
      <c r="I275" s="17">
        <f t="shared" si="184"/>
        <v>3314.1443984346788</v>
      </c>
      <c r="J275" s="20">
        <f>(Geraetedaten!$B$152+(Geraetedaten!$B$153*(Geraetedaten!$B$18+d_y_Sw)/1000))*10</f>
        <v>6051.0442000000003</v>
      </c>
      <c r="K275" s="20">
        <f>(Geraetedaten!$B$165+(Geraetedaten!$B$166*(Geraetedaten!$B$18+d_y_Sw)/1000))*10</f>
        <v>10816.164000000001</v>
      </c>
      <c r="L275" s="20">
        <f>(Geraetedaten!$B$158+(Geraetedaten!$B$159*(Geraetedaten!$B$18+d_y_Sw)/1000)-(Geraetedaten!$B$160*I275/1000))*10</f>
        <v>358.51039126278476</v>
      </c>
      <c r="M275" s="20">
        <f>(Geraetedaten!$B$171+(Geraetedaten!$B$172*(Geraetedaten!$B$18+d_y_Sw)/1000)-(Geraetedaten!$B$173*I275/1000))*10</f>
        <v>818.16209098052343</v>
      </c>
      <c r="N275" s="20">
        <f>IF((H275-J275)/(K275-J275)*(Geraetedaten!$B$174-Geraetedaten!$B$161)&lt;Geraetedaten!$B$174,(H275-J275)/(K275-J275)*(Geraetedaten!$B$174-Geraetedaten!$B$161),Geraetedaten!$B$174)</f>
        <v>181.11488288164327</v>
      </c>
      <c r="O275" s="20">
        <f>N275/Geraetedaten!$B$174*(M275-L275)+L275+C275</f>
        <v>635.64860442960196</v>
      </c>
      <c r="P275" s="20">
        <f t="shared" si="185"/>
        <v>207.18787404058162</v>
      </c>
      <c r="Q275" s="21">
        <f>(N275-Geraetedaten!$B$161)/(Geraetedaten!$B$174-Geraetedaten!$B$161)*(Geraetedaten!$B$175-Geraetedaten!$B$162)+Geraetedaten!$B$162</f>
        <v>34.588167765728883</v>
      </c>
      <c r="R275" s="21">
        <f t="shared" si="211"/>
        <v>34.588167765728883</v>
      </c>
      <c r="S275" s="21">
        <f t="shared" si="212"/>
        <v>-27.98241552676642</v>
      </c>
      <c r="T275" s="88">
        <f t="shared" si="213"/>
        <v>-20.330414916513341</v>
      </c>
      <c r="U275" s="86">
        <f t="shared" si="214"/>
        <v>8277.64329</v>
      </c>
      <c r="V275" s="85">
        <f t="shared" si="215"/>
        <v>-2683.3128092763232</v>
      </c>
      <c r="W275" s="85">
        <f t="shared" si="216"/>
        <v>3314.1443984346788</v>
      </c>
      <c r="X275" s="90">
        <f t="shared" si="217"/>
        <v>2683.3128092763232</v>
      </c>
      <c r="Y275" s="86">
        <f t="shared" si="218"/>
        <v>14025.18816</v>
      </c>
      <c r="Z275" s="85">
        <f t="shared" si="219"/>
        <v>-832.16398485565549</v>
      </c>
      <c r="AA275" s="85">
        <f t="shared" si="220"/>
        <v>1358.8702078090137</v>
      </c>
      <c r="AB275" s="90">
        <f t="shared" si="221"/>
        <v>832.16398485565549</v>
      </c>
      <c r="AC275" s="86">
        <f t="shared" si="222"/>
        <v>-8145.9180699999997</v>
      </c>
      <c r="AD275" s="85">
        <f t="shared" si="223"/>
        <v>2598.140025222212</v>
      </c>
      <c r="AE275" s="85">
        <f t="shared" si="224"/>
        <v>-3213.1175050278302</v>
      </c>
      <c r="AF275" s="90">
        <f t="shared" si="225"/>
        <v>2598.140025222212</v>
      </c>
      <c r="AG275" s="86">
        <f t="shared" si="226"/>
        <v>-15595.21435</v>
      </c>
      <c r="AH275" s="85">
        <f t="shared" si="227"/>
        <v>6183.1314163678471</v>
      </c>
      <c r="AI275" s="85">
        <f t="shared" si="228"/>
        <v>-10664.092515118093</v>
      </c>
      <c r="AJ275" s="90">
        <f t="shared" si="229"/>
        <v>6183.1314163678471</v>
      </c>
      <c r="AL275" s="95">
        <f t="shared" si="230"/>
        <v>0</v>
      </c>
      <c r="AM275" s="95">
        <f t="shared" si="231"/>
        <v>0</v>
      </c>
      <c r="AN275" s="95">
        <f t="shared" si="232"/>
        <v>0</v>
      </c>
      <c r="AO275" s="95">
        <f t="shared" si="233"/>
        <v>0</v>
      </c>
      <c r="AP275"/>
      <c r="AQ275" s="95">
        <f t="shared" si="234"/>
        <v>0</v>
      </c>
      <c r="AR275" s="95">
        <f t="shared" si="235"/>
        <v>0</v>
      </c>
      <c r="AS275" s="95">
        <f>Geraetedaten!$B$94*ABS(SIN(RADIANS($A275)))</f>
        <v>124.58861713374189</v>
      </c>
      <c r="AT275" s="95">
        <f>Geraetedaten!$B$94*ABS(COS(RADIANS($A275)))</f>
        <v>90.518928853040876</v>
      </c>
      <c r="AU275" s="95">
        <f>((h_Aw_Sw+Geraetedaten!$B$18)/1000)*(AQ275*AS275+AR275*AT275)/100</f>
        <v>0</v>
      </c>
    </row>
    <row r="276" spans="1:47" ht="13.5" x14ac:dyDescent="0.25">
      <c r="A276" s="16">
        <v>235</v>
      </c>
      <c r="B276" s="16">
        <f t="shared" si="177"/>
        <v>215</v>
      </c>
      <c r="C276" s="19">
        <f t="shared" si="178"/>
        <v>69.232357792856234</v>
      </c>
      <c r="D276" s="17">
        <f t="shared" si="179"/>
        <v>8106.2284722071436</v>
      </c>
      <c r="E276" s="17">
        <f t="shared" si="180"/>
        <v>14281.458072207144</v>
      </c>
      <c r="F276" s="17">
        <f t="shared" si="181"/>
        <v>-8114.2153277928564</v>
      </c>
      <c r="G276" s="17">
        <f t="shared" si="182"/>
        <v>-16059.020367792857</v>
      </c>
      <c r="H276" s="17">
        <f t="shared" si="183"/>
        <v>8106.2284722071436</v>
      </c>
      <c r="I276" s="17">
        <f t="shared" si="184"/>
        <v>3273.2333052230301</v>
      </c>
      <c r="J276" s="20">
        <f>(Geraetedaten!$B$152+(Geraetedaten!$B$153*(Geraetedaten!$B$18+d_y_Sw)/1000))*10</f>
        <v>6051.0442000000003</v>
      </c>
      <c r="K276" s="20">
        <f>(Geraetedaten!$B$165+(Geraetedaten!$B$166*(Geraetedaten!$B$18+d_y_Sw)/1000))*10</f>
        <v>10816.164000000001</v>
      </c>
      <c r="L276" s="20">
        <f>(Geraetedaten!$B$158+(Geraetedaten!$B$159*(Geraetedaten!$B$18+d_y_Sw)/1000)-(Geraetedaten!$B$160*I276/1000))*10</f>
        <v>361.51040172799497</v>
      </c>
      <c r="M276" s="20">
        <f>(Geraetedaten!$B$171+(Geraetedaten!$B$172*(Geraetedaten!$B$18+d_y_Sw)/1000)-(Geraetedaten!$B$173*I276/1000))*10</f>
        <v>821.20751275919861</v>
      </c>
      <c r="N276" s="20">
        <f>IF((H276-J276)/(K276-J276)*(Geraetedaten!$B$174-Geraetedaten!$B$161)&lt;Geraetedaten!$B$174,(H276-J276)/(K276-J276)*(Geraetedaten!$B$174-Geraetedaten!$B$161),Geraetedaten!$B$174)</f>
        <v>172.51900128153278</v>
      </c>
      <c r="O276" s="20">
        <f>N276/Geraetedaten!$B$174*(M276-L276)+L276+C276</f>
        <v>629.00897573862403</v>
      </c>
      <c r="P276" s="20">
        <f t="shared" si="185"/>
        <v>206.44172171046057</v>
      </c>
      <c r="Q276" s="21">
        <f>(N276-Geraetedaten!$B$161)/(Geraetedaten!$B$174-Geraetedaten!$B$161)*(Geraetedaten!$B$175-Geraetedaten!$B$162)+Geraetedaten!$B$162</f>
        <v>34.332440288125603</v>
      </c>
      <c r="R276" s="21">
        <f t="shared" si="211"/>
        <v>34.332440288125603</v>
      </c>
      <c r="S276" s="21">
        <f t="shared" si="212"/>
        <v>-28.123488647447822</v>
      </c>
      <c r="T276" s="88">
        <f t="shared" si="213"/>
        <v>-19.692278751698176</v>
      </c>
      <c r="U276" s="86">
        <f t="shared" si="214"/>
        <v>8175.46083</v>
      </c>
      <c r="V276" s="85">
        <f t="shared" si="215"/>
        <v>-2683.3128092763232</v>
      </c>
      <c r="W276" s="85">
        <f t="shared" si="216"/>
        <v>3273.2333052230301</v>
      </c>
      <c r="X276" s="90">
        <f t="shared" si="217"/>
        <v>2683.3128092763232</v>
      </c>
      <c r="Y276" s="86">
        <f t="shared" si="218"/>
        <v>14350.690430000001</v>
      </c>
      <c r="Z276" s="85">
        <f t="shared" si="219"/>
        <v>-832.16398485565549</v>
      </c>
      <c r="AA276" s="85">
        <f t="shared" si="220"/>
        <v>1390.4074209398434</v>
      </c>
      <c r="AB276" s="90">
        <f t="shared" si="221"/>
        <v>832.16398485565549</v>
      </c>
      <c r="AC276" s="86">
        <f t="shared" si="222"/>
        <v>-8044.98297</v>
      </c>
      <c r="AD276" s="85">
        <f t="shared" si="223"/>
        <v>2598.140025222212</v>
      </c>
      <c r="AE276" s="85">
        <f t="shared" si="224"/>
        <v>-3173.3041471528686</v>
      </c>
      <c r="AF276" s="90">
        <f t="shared" si="225"/>
        <v>2598.140025222212</v>
      </c>
      <c r="AG276" s="86">
        <f t="shared" si="226"/>
        <v>-15989.78801</v>
      </c>
      <c r="AH276" s="85">
        <f t="shared" si="227"/>
        <v>6183.1314163678471</v>
      </c>
      <c r="AI276" s="85">
        <f t="shared" si="228"/>
        <v>-10933.904135934126</v>
      </c>
      <c r="AJ276" s="90">
        <f t="shared" si="229"/>
        <v>6183.1314163678471</v>
      </c>
      <c r="AL276" s="95">
        <f t="shared" si="230"/>
        <v>0</v>
      </c>
      <c r="AM276" s="95">
        <f t="shared" si="231"/>
        <v>0</v>
      </c>
      <c r="AN276" s="95">
        <f t="shared" si="232"/>
        <v>0</v>
      </c>
      <c r="AO276" s="95">
        <f t="shared" si="233"/>
        <v>0</v>
      </c>
      <c r="AP276"/>
      <c r="AQ276" s="95">
        <f t="shared" si="234"/>
        <v>0</v>
      </c>
      <c r="AR276" s="95">
        <f t="shared" si="235"/>
        <v>0</v>
      </c>
      <c r="AS276" s="95">
        <f>Geraetedaten!$B$94*ABS(SIN(RADIANS($A276)))</f>
        <v>126.1494148205047</v>
      </c>
      <c r="AT276" s="95">
        <f>Geraetedaten!$B$94*ABS(COS(RADIANS($A276)))</f>
        <v>88.330771198061143</v>
      </c>
      <c r="AU276" s="95">
        <f>((h_Aw_Sw+Geraetedaten!$B$18)/1000)*(AQ276*AS276+AR276*AT276)/100</f>
        <v>0</v>
      </c>
    </row>
    <row r="277" spans="1:47" ht="13.5" x14ac:dyDescent="0.25">
      <c r="A277" s="16">
        <v>236</v>
      </c>
      <c r="B277" s="16">
        <f t="shared" si="177"/>
        <v>214</v>
      </c>
      <c r="C277" s="19">
        <f t="shared" si="178"/>
        <v>69.429822973858947</v>
      </c>
      <c r="D277" s="17">
        <f t="shared" si="179"/>
        <v>8008.7712270261409</v>
      </c>
      <c r="E277" s="17">
        <f t="shared" si="180"/>
        <v>14626.81362702614</v>
      </c>
      <c r="F277" s="17">
        <f t="shared" si="181"/>
        <v>-8018.3401029738588</v>
      </c>
      <c r="G277" s="17">
        <f t="shared" si="182"/>
        <v>-16479.404342973859</v>
      </c>
      <c r="H277" s="17">
        <f t="shared" si="183"/>
        <v>8008.7712270261409</v>
      </c>
      <c r="I277" s="17">
        <f t="shared" si="184"/>
        <v>3234.2931243516346</v>
      </c>
      <c r="J277" s="20">
        <f>(Geraetedaten!$B$152+(Geraetedaten!$B$153*(Geraetedaten!$B$18+d_y_Sw)/1000))*10</f>
        <v>6051.0442000000003</v>
      </c>
      <c r="K277" s="20">
        <f>(Geraetedaten!$B$165+(Geraetedaten!$B$166*(Geraetedaten!$B$18+d_y_Sw)/1000))*10</f>
        <v>10816.164000000001</v>
      </c>
      <c r="L277" s="20">
        <f>(Geraetedaten!$B$158+(Geraetedaten!$B$159*(Geraetedaten!$B$18+d_y_Sw)/1000)-(Geraetedaten!$B$160*I277/1000))*10</f>
        <v>364.36588519129441</v>
      </c>
      <c r="M277" s="20">
        <f>(Geraetedaten!$B$171+(Geraetedaten!$B$172*(Geraetedaten!$B$18+d_y_Sw)/1000)-(Geraetedaten!$B$173*I277/1000))*10</f>
        <v>824.10621982326518</v>
      </c>
      <c r="N277" s="20">
        <f>IF((H277-J277)/(K277-J277)*(Geraetedaten!$B$174-Geraetedaten!$B$161)&lt;Geraetedaten!$B$174,(H277-J277)/(K277-J277)*(Geraetedaten!$B$174-Geraetedaten!$B$161),Geraetedaten!$B$174)</f>
        <v>164.33811607642187</v>
      </c>
      <c r="O277" s="20">
        <f>N277/Geraetedaten!$B$174*(M277-L277)+L277+C277</f>
        <v>622.67785935955794</v>
      </c>
      <c r="P277" s="20">
        <f t="shared" si="185"/>
        <v>205.71793757279306</v>
      </c>
      <c r="Q277" s="21">
        <f>(N277-Geraetedaten!$B$161)/(Geraetedaten!$B$174-Geraetedaten!$B$161)*(Geraetedaten!$B$175-Geraetedaten!$B$162)+Geraetedaten!$B$162</f>
        <v>34.08905895327355</v>
      </c>
      <c r="R277" s="21">
        <f t="shared" si="211"/>
        <v>34.08905895327355</v>
      </c>
      <c r="S277" s="21">
        <f t="shared" si="212"/>
        <v>-28.261110685307621</v>
      </c>
      <c r="T277" s="88">
        <f t="shared" si="213"/>
        <v>-19.062359852666486</v>
      </c>
      <c r="U277" s="86">
        <f t="shared" si="214"/>
        <v>8078.2010499999997</v>
      </c>
      <c r="V277" s="85">
        <f t="shared" si="215"/>
        <v>-2683.3128092763232</v>
      </c>
      <c r="W277" s="85">
        <f t="shared" si="216"/>
        <v>3234.2931243516346</v>
      </c>
      <c r="X277" s="90">
        <f t="shared" si="217"/>
        <v>2683.3128092763232</v>
      </c>
      <c r="Y277" s="86">
        <f t="shared" si="218"/>
        <v>14696.24345</v>
      </c>
      <c r="Z277" s="85">
        <f t="shared" si="219"/>
        <v>-832.16398485565549</v>
      </c>
      <c r="AA277" s="85">
        <f t="shared" si="220"/>
        <v>1423.8873072577051</v>
      </c>
      <c r="AB277" s="90">
        <f t="shared" si="221"/>
        <v>832.16398485565549</v>
      </c>
      <c r="AC277" s="86">
        <f t="shared" si="222"/>
        <v>-7948.9102800000001</v>
      </c>
      <c r="AD277" s="85">
        <f t="shared" si="223"/>
        <v>2598.140025222212</v>
      </c>
      <c r="AE277" s="85">
        <f t="shared" si="224"/>
        <v>-3135.4087451807732</v>
      </c>
      <c r="AF277" s="90">
        <f t="shared" si="225"/>
        <v>2598.140025222212</v>
      </c>
      <c r="AG277" s="86">
        <f t="shared" si="226"/>
        <v>-16409.97452</v>
      </c>
      <c r="AH277" s="85">
        <f t="shared" si="227"/>
        <v>6183.1314163678471</v>
      </c>
      <c r="AI277" s="85">
        <f t="shared" si="228"/>
        <v>-11221.229955982684</v>
      </c>
      <c r="AJ277" s="90">
        <f t="shared" si="229"/>
        <v>6183.1314163678471</v>
      </c>
      <c r="AL277" s="95">
        <f t="shared" si="230"/>
        <v>0</v>
      </c>
      <c r="AM277" s="95">
        <f t="shared" si="231"/>
        <v>0</v>
      </c>
      <c r="AN277" s="95">
        <f t="shared" si="232"/>
        <v>0</v>
      </c>
      <c r="AO277" s="95">
        <f t="shared" si="233"/>
        <v>0</v>
      </c>
      <c r="AP277"/>
      <c r="AQ277" s="95">
        <f t="shared" si="234"/>
        <v>0</v>
      </c>
      <c r="AR277" s="95">
        <f t="shared" si="235"/>
        <v>0</v>
      </c>
      <c r="AS277" s="95">
        <f>Geraetedaten!$B$94*ABS(SIN(RADIANS($A277)))</f>
        <v>127.67178617347645</v>
      </c>
      <c r="AT277" s="95">
        <f>Geraetedaten!$B$94*ABS(COS(RADIANS($A277)))</f>
        <v>86.115707134494968</v>
      </c>
      <c r="AU277" s="95">
        <f>((h_Aw_Sw+Geraetedaten!$B$18)/1000)*(AQ277*AS277+AR277*AT277)/100</f>
        <v>0</v>
      </c>
    </row>
    <row r="278" spans="1:47" ht="13.5" x14ac:dyDescent="0.25">
      <c r="A278" s="16">
        <v>237</v>
      </c>
      <c r="B278" s="16">
        <f t="shared" si="177"/>
        <v>213</v>
      </c>
      <c r="C278" s="19">
        <f t="shared" si="178"/>
        <v>69.606139158202012</v>
      </c>
      <c r="D278" s="17">
        <f t="shared" si="179"/>
        <v>7916.0259508417985</v>
      </c>
      <c r="E278" s="17">
        <f t="shared" si="180"/>
        <v>14993.943920841797</v>
      </c>
      <c r="F278" s="17">
        <f t="shared" si="181"/>
        <v>-7927.0764591582019</v>
      </c>
      <c r="G278" s="17">
        <f t="shared" si="182"/>
        <v>-16927.720559158202</v>
      </c>
      <c r="H278" s="17">
        <f t="shared" si="183"/>
        <v>7916.0259508417985</v>
      </c>
      <c r="I278" s="17">
        <f t="shared" si="184"/>
        <v>3197.2310159888184</v>
      </c>
      <c r="J278" s="20">
        <f>(Geraetedaten!$B$152+(Geraetedaten!$B$153*(Geraetedaten!$B$18+d_y_Sw)/1000))*10</f>
        <v>6051.0442000000003</v>
      </c>
      <c r="K278" s="20">
        <f>(Geraetedaten!$B$165+(Geraetedaten!$B$166*(Geraetedaten!$B$18+d_y_Sw)/1000))*10</f>
        <v>10816.164000000001</v>
      </c>
      <c r="L278" s="20">
        <f>(Geraetedaten!$B$158+(Geraetedaten!$B$159*(Geraetedaten!$B$18+d_y_Sw)/1000)-(Geraetedaten!$B$160*I278/1000))*10</f>
        <v>367.0836495975397</v>
      </c>
      <c r="M278" s="20">
        <f>(Geraetedaten!$B$171+(Geraetedaten!$B$172*(Geraetedaten!$B$18+d_y_Sw)/1000)-(Geraetedaten!$B$173*I278/1000))*10</f>
        <v>826.86512316979338</v>
      </c>
      <c r="N278" s="20">
        <f>IF((H278-J278)/(K278-J278)*(Geraetedaten!$B$174-Geraetedaten!$B$161)&lt;Geraetedaten!$B$174,(H278-J278)/(K278-J278)*(Geraetedaten!$B$174-Geraetedaten!$B$161),Geraetedaten!$B$174)</f>
        <v>156.5527692161526</v>
      </c>
      <c r="O278" s="20">
        <f>N278/Geraetedaten!$B$174*(M278-L278)+L278+C278</f>
        <v>616.63994606079075</v>
      </c>
      <c r="P278" s="20">
        <f t="shared" si="185"/>
        <v>205.0158639498442</v>
      </c>
      <c r="Q278" s="21">
        <f>(N278-Geraetedaten!$B$161)/(Geraetedaten!$B$174-Geraetedaten!$B$161)*(Geraetedaten!$B$175-Geraetedaten!$B$162)+Geraetedaten!$B$162</f>
        <v>33.857444884180538</v>
      </c>
      <c r="R278" s="21">
        <f t="shared" si="211"/>
        <v>33.857444884180538</v>
      </c>
      <c r="S278" s="21">
        <f t="shared" si="212"/>
        <v>-28.395242530196583</v>
      </c>
      <c r="T278" s="88">
        <f t="shared" si="213"/>
        <v>-18.440086109794549</v>
      </c>
      <c r="U278" s="86">
        <f t="shared" si="214"/>
        <v>7985.6320900000001</v>
      </c>
      <c r="V278" s="85">
        <f t="shared" si="215"/>
        <v>-2683.3128092763232</v>
      </c>
      <c r="W278" s="85">
        <f t="shared" si="216"/>
        <v>3197.2310159888184</v>
      </c>
      <c r="X278" s="90">
        <f t="shared" si="217"/>
        <v>2683.3128092763232</v>
      </c>
      <c r="Y278" s="86">
        <f t="shared" si="218"/>
        <v>15063.55006</v>
      </c>
      <c r="Z278" s="85">
        <f t="shared" si="219"/>
        <v>-832.16398485565549</v>
      </c>
      <c r="AA278" s="85">
        <f t="shared" si="220"/>
        <v>1459.4748516320533</v>
      </c>
      <c r="AB278" s="90">
        <f t="shared" si="221"/>
        <v>832.16398485565549</v>
      </c>
      <c r="AC278" s="86">
        <f t="shared" si="222"/>
        <v>-7857.4703200000004</v>
      </c>
      <c r="AD278" s="85">
        <f t="shared" si="223"/>
        <v>2598.140025222212</v>
      </c>
      <c r="AE278" s="85">
        <f t="shared" si="224"/>
        <v>-3099.3406993316171</v>
      </c>
      <c r="AF278" s="90">
        <f t="shared" si="225"/>
        <v>2598.140025222212</v>
      </c>
      <c r="AG278" s="86">
        <f t="shared" si="226"/>
        <v>-16858.114420000002</v>
      </c>
      <c r="AH278" s="85">
        <f t="shared" si="227"/>
        <v>6183.1314163678471</v>
      </c>
      <c r="AI278" s="85">
        <f t="shared" si="228"/>
        <v>-11527.670462182989</v>
      </c>
      <c r="AJ278" s="90">
        <f t="shared" si="229"/>
        <v>6183.1314163678471</v>
      </c>
      <c r="AL278" s="95">
        <f t="shared" si="230"/>
        <v>0</v>
      </c>
      <c r="AM278" s="95">
        <f t="shared" si="231"/>
        <v>0</v>
      </c>
      <c r="AN278" s="95">
        <f t="shared" si="232"/>
        <v>0</v>
      </c>
      <c r="AO278" s="95">
        <f t="shared" si="233"/>
        <v>0</v>
      </c>
      <c r="AP278"/>
      <c r="AQ278" s="95">
        <f t="shared" si="234"/>
        <v>0</v>
      </c>
      <c r="AR278" s="95">
        <f t="shared" si="235"/>
        <v>0</v>
      </c>
      <c r="AS278" s="95">
        <f>Geraetedaten!$B$94*ABS(SIN(RADIANS($A278)))</f>
        <v>129.15526746359529</v>
      </c>
      <c r="AT278" s="95">
        <f>Geraetedaten!$B$94*ABS(COS(RADIANS($A278)))</f>
        <v>83.874411392314158</v>
      </c>
      <c r="AU278" s="95">
        <f>((h_Aw_Sw+Geraetedaten!$B$18)/1000)*(AQ278*AS278+AR278*AT278)/100</f>
        <v>0</v>
      </c>
    </row>
    <row r="279" spans="1:47" ht="13.5" x14ac:dyDescent="0.25">
      <c r="A279" s="16">
        <v>238</v>
      </c>
      <c r="B279" s="16">
        <f t="shared" si="177"/>
        <v>212</v>
      </c>
      <c r="C279" s="19">
        <f t="shared" si="178"/>
        <v>69.761252638267678</v>
      </c>
      <c r="D279" s="17">
        <f t="shared" si="179"/>
        <v>7827.7777673617329</v>
      </c>
      <c r="E279" s="17">
        <f t="shared" si="180"/>
        <v>15384.754687361732</v>
      </c>
      <c r="F279" s="17">
        <f t="shared" si="181"/>
        <v>-7840.211472638267</v>
      </c>
      <c r="G279" s="17">
        <f t="shared" si="182"/>
        <v>-17406.608512638268</v>
      </c>
      <c r="H279" s="17">
        <f t="shared" si="183"/>
        <v>7827.7777673617329</v>
      </c>
      <c r="I279" s="17">
        <f t="shared" si="184"/>
        <v>3161.9609338094529</v>
      </c>
      <c r="J279" s="20">
        <f>(Geraetedaten!$B$152+(Geraetedaten!$B$153*(Geraetedaten!$B$18+d_y_Sw)/1000))*10</f>
        <v>6051.0442000000003</v>
      </c>
      <c r="K279" s="20">
        <f>(Geraetedaten!$B$165+(Geraetedaten!$B$166*(Geraetedaten!$B$18+d_y_Sw)/1000))*10</f>
        <v>10816.164000000001</v>
      </c>
      <c r="L279" s="20">
        <f>(Geraetedaten!$B$158+(Geraetedaten!$B$159*(Geraetedaten!$B$18+d_y_Sw)/1000)-(Geraetedaten!$B$160*I279/1000))*10</f>
        <v>369.67000472375264</v>
      </c>
      <c r="M279" s="20">
        <f>(Geraetedaten!$B$171+(Geraetedaten!$B$172*(Geraetedaten!$B$18+d_y_Sw)/1000)-(Geraetedaten!$B$173*I279/1000))*10</f>
        <v>829.4906280872251</v>
      </c>
      <c r="N279" s="20">
        <f>IF((H279-J279)/(K279-J279)*(Geraetedaten!$B$174-Geraetedaten!$B$161)&lt;Geraetedaten!$B$174,(H279-J279)/(K279-J279)*(Geraetedaten!$B$174-Geraetedaten!$B$161),Geraetedaten!$B$174)</f>
        <v>149.14492327028023</v>
      </c>
      <c r="O279" s="20">
        <f>N279/Geraetedaten!$B$174*(M279-L279)+L279+C279</f>
        <v>610.88103633611422</v>
      </c>
      <c r="P279" s="20">
        <f t="shared" si="185"/>
        <v>204.3348715394819</v>
      </c>
      <c r="Q279" s="21">
        <f>(N279-Geraetedaten!$B$161)/(Geraetedaten!$B$174-Geraetedaten!$B$161)*(Geraetedaten!$B$175-Geraetedaten!$B$162)+Geraetedaten!$B$162</f>
        <v>33.637061467290835</v>
      </c>
      <c r="R279" s="21">
        <f t="shared" si="211"/>
        <v>33.637061467290835</v>
      </c>
      <c r="S279" s="21">
        <f t="shared" si="212"/>
        <v>-28.525845937632667</v>
      </c>
      <c r="T279" s="88">
        <f t="shared" si="213"/>
        <v>-17.824926863713852</v>
      </c>
      <c r="U279" s="86">
        <f t="shared" si="214"/>
        <v>7897.5390200000002</v>
      </c>
      <c r="V279" s="85">
        <f t="shared" si="215"/>
        <v>-2683.3128092763232</v>
      </c>
      <c r="W279" s="85">
        <f t="shared" si="216"/>
        <v>3161.9609338094529</v>
      </c>
      <c r="X279" s="90">
        <f t="shared" si="217"/>
        <v>2683.3128092763232</v>
      </c>
      <c r="Y279" s="86">
        <f t="shared" si="218"/>
        <v>15454.515939999999</v>
      </c>
      <c r="Z279" s="85">
        <f t="shared" si="219"/>
        <v>-832.16398485565549</v>
      </c>
      <c r="AA279" s="85">
        <f t="shared" si="220"/>
        <v>1497.354692069659</v>
      </c>
      <c r="AB279" s="90">
        <f t="shared" si="221"/>
        <v>832.16398485565549</v>
      </c>
      <c r="AC279" s="86">
        <f t="shared" si="222"/>
        <v>-7770.4502199999997</v>
      </c>
      <c r="AD279" s="85">
        <f t="shared" si="223"/>
        <v>2598.140025222212</v>
      </c>
      <c r="AE279" s="85">
        <f t="shared" si="224"/>
        <v>-3065.0160465817339</v>
      </c>
      <c r="AF279" s="90">
        <f t="shared" si="225"/>
        <v>2598.140025222212</v>
      </c>
      <c r="AG279" s="86">
        <f t="shared" si="226"/>
        <v>-17336.847259999999</v>
      </c>
      <c r="AH279" s="85">
        <f t="shared" si="227"/>
        <v>6183.1314163678471</v>
      </c>
      <c r="AI279" s="85">
        <f t="shared" si="228"/>
        <v>-11855.030583333968</v>
      </c>
      <c r="AJ279" s="90">
        <f t="shared" si="229"/>
        <v>6183.1314163678471</v>
      </c>
      <c r="AL279" s="95">
        <f t="shared" si="230"/>
        <v>0</v>
      </c>
      <c r="AM279" s="95">
        <f t="shared" si="231"/>
        <v>0</v>
      </c>
      <c r="AN279" s="95">
        <f t="shared" si="232"/>
        <v>0</v>
      </c>
      <c r="AO279" s="95">
        <f t="shared" si="233"/>
        <v>0</v>
      </c>
      <c r="AP279"/>
      <c r="AQ279" s="95">
        <f t="shared" si="234"/>
        <v>0</v>
      </c>
      <c r="AR279" s="95">
        <f t="shared" si="235"/>
        <v>0</v>
      </c>
      <c r="AS279" s="95">
        <f>Geraetedaten!$B$94*ABS(SIN(RADIANS($A279)))</f>
        <v>130.59940680808961</v>
      </c>
      <c r="AT279" s="95">
        <f>Geraetedaten!$B$94*ABS(COS(RADIANS($A279)))</f>
        <v>81.607566691913576</v>
      </c>
      <c r="AU279" s="95">
        <f>((h_Aw_Sw+Geraetedaten!$B$18)/1000)*(AQ279*AS279+AR279*AT279)/100</f>
        <v>0</v>
      </c>
    </row>
    <row r="280" spans="1:47" ht="13.5" x14ac:dyDescent="0.25">
      <c r="A280" s="16">
        <v>239</v>
      </c>
      <c r="B280" s="16">
        <f t="shared" si="177"/>
        <v>211</v>
      </c>
      <c r="C280" s="19">
        <f t="shared" si="178"/>
        <v>69.8951161649873</v>
      </c>
      <c r="D280" s="17">
        <f t="shared" si="179"/>
        <v>7743.8273738350126</v>
      </c>
      <c r="E280" s="17">
        <f t="shared" si="180"/>
        <v>15801.385443835012</v>
      </c>
      <c r="F280" s="17">
        <f t="shared" si="181"/>
        <v>-7757.5476661649873</v>
      </c>
      <c r="G280" s="17">
        <f t="shared" si="182"/>
        <v>-17919.055736164984</v>
      </c>
      <c r="H280" s="17">
        <f t="shared" si="183"/>
        <v>7743.8273738350126</v>
      </c>
      <c r="I280" s="17">
        <f t="shared" si="184"/>
        <v>3128.4030653489663</v>
      </c>
      <c r="J280" s="20">
        <f>(Geraetedaten!$B$152+(Geraetedaten!$B$153*(Geraetedaten!$B$18+d_y_Sw)/1000))*10</f>
        <v>6051.0442000000003</v>
      </c>
      <c r="K280" s="20">
        <f>(Geraetedaten!$B$165+(Geraetedaten!$B$166*(Geraetedaten!$B$18+d_y_Sw)/1000))*10</f>
        <v>10816.164000000001</v>
      </c>
      <c r="L280" s="20">
        <f>(Geraetedaten!$B$158+(Geraetedaten!$B$159*(Geraetedaten!$B$18+d_y_Sw)/1000)-(Geraetedaten!$B$160*I280/1000))*10</f>
        <v>372.13080321796014</v>
      </c>
      <c r="M280" s="20">
        <f>(Geraetedaten!$B$171+(Geraetedaten!$B$172*(Geraetedaten!$B$18+d_y_Sw)/1000)-(Geraetedaten!$B$173*I280/1000))*10</f>
        <v>831.9886758154239</v>
      </c>
      <c r="N280" s="20">
        <f>IF((H280-J280)/(K280-J280)*(Geraetedaten!$B$174-Geraetedaten!$B$161)&lt;Geraetedaten!$B$174,(H280-J280)/(K280-J280)*(Geraetedaten!$B$174-Geraetedaten!$B$161),Geraetedaten!$B$174)</f>
        <v>142.09784810321136</v>
      </c>
      <c r="O280" s="20">
        <f>N280/Geraetedaten!$B$174*(M280-L280)+L280+C280</f>
        <v>605.38795470649825</v>
      </c>
      <c r="P280" s="20">
        <f t="shared" si="185"/>
        <v>203.67435969946092</v>
      </c>
      <c r="Q280" s="21">
        <f>(N280-Geraetedaten!$B$161)/(Geraetedaten!$B$174-Geraetedaten!$B$161)*(Geraetedaten!$B$175-Geraetedaten!$B$162)+Geraetedaten!$B$162</f>
        <v>33.427410981070537</v>
      </c>
      <c r="R280" s="21">
        <f t="shared" si="211"/>
        <v>33.427410981070537</v>
      </c>
      <c r="S280" s="21">
        <f t="shared" si="212"/>
        <v>-28.652883640104374</v>
      </c>
      <c r="T280" s="88">
        <f t="shared" si="213"/>
        <v>-17.216389400917784</v>
      </c>
      <c r="U280" s="86">
        <f t="shared" si="214"/>
        <v>7813.7224900000001</v>
      </c>
      <c r="V280" s="85">
        <f t="shared" si="215"/>
        <v>-2683.3128092763232</v>
      </c>
      <c r="W280" s="85">
        <f t="shared" si="216"/>
        <v>3128.4030653489663</v>
      </c>
      <c r="X280" s="90">
        <f t="shared" si="217"/>
        <v>2683.3128092763232</v>
      </c>
      <c r="Y280" s="86">
        <f t="shared" si="218"/>
        <v>15871.280559999999</v>
      </c>
      <c r="Z280" s="85">
        <f t="shared" si="219"/>
        <v>-832.16398485565549</v>
      </c>
      <c r="AA280" s="85">
        <f t="shared" si="220"/>
        <v>1537.7341159504465</v>
      </c>
      <c r="AB280" s="90">
        <f t="shared" si="221"/>
        <v>832.16398485565549</v>
      </c>
      <c r="AC280" s="86">
        <f t="shared" si="222"/>
        <v>-7687.6525499999998</v>
      </c>
      <c r="AD280" s="85">
        <f t="shared" si="223"/>
        <v>2598.140025222212</v>
      </c>
      <c r="AE280" s="85">
        <f t="shared" si="224"/>
        <v>-3032.3569127693686</v>
      </c>
      <c r="AF280" s="90">
        <f t="shared" si="225"/>
        <v>2598.140025222212</v>
      </c>
      <c r="AG280" s="86">
        <f t="shared" si="226"/>
        <v>-17849.160619999999</v>
      </c>
      <c r="AH280" s="85">
        <f t="shared" si="227"/>
        <v>6183.1314163678471</v>
      </c>
      <c r="AI280" s="85">
        <f t="shared" si="228"/>
        <v>-12205.353252555431</v>
      </c>
      <c r="AJ280" s="90">
        <f t="shared" si="229"/>
        <v>6183.1314163678471</v>
      </c>
      <c r="AL280" s="95">
        <f t="shared" si="230"/>
        <v>0</v>
      </c>
      <c r="AM280" s="95">
        <f t="shared" si="231"/>
        <v>0</v>
      </c>
      <c r="AN280" s="95">
        <f t="shared" si="232"/>
        <v>0</v>
      </c>
      <c r="AO280" s="95">
        <f t="shared" si="233"/>
        <v>0</v>
      </c>
      <c r="AP280"/>
      <c r="AQ280" s="95">
        <f t="shared" si="234"/>
        <v>0</v>
      </c>
      <c r="AR280" s="95">
        <f t="shared" si="235"/>
        <v>0</v>
      </c>
      <c r="AS280" s="95">
        <f>Geraetedaten!$B$94*ABS(SIN(RADIANS($A280)))</f>
        <v>132.00376430812526</v>
      </c>
      <c r="AT280" s="95">
        <f>Geraetedaten!$B$94*ABS(COS(RADIANS($A280)))</f>
        <v>79.315863536148385</v>
      </c>
      <c r="AU280" s="95">
        <f>((h_Aw_Sw+Geraetedaten!$B$18)/1000)*(AQ280*AS280+AR280*AT280)/100</f>
        <v>0</v>
      </c>
    </row>
    <row r="281" spans="1:47" ht="13.5" x14ac:dyDescent="0.25">
      <c r="A281" s="16">
        <v>240</v>
      </c>
      <c r="B281" s="16">
        <f t="shared" si="177"/>
        <v>210</v>
      </c>
      <c r="C281" s="19">
        <f t="shared" si="178"/>
        <v>70.007688962233885</v>
      </c>
      <c r="D281" s="17">
        <f t="shared" si="179"/>
        <v>7663.9898010377656</v>
      </c>
      <c r="E281" s="17">
        <f t="shared" si="180"/>
        <v>16246.246211037766</v>
      </c>
      <c r="F281" s="17">
        <f t="shared" si="181"/>
        <v>-7678.9017689622342</v>
      </c>
      <c r="G281" s="17">
        <f t="shared" si="182"/>
        <v>-18468.456938962234</v>
      </c>
      <c r="H281" s="17">
        <f t="shared" si="183"/>
        <v>7663.9898010377656</v>
      </c>
      <c r="I281" s="17">
        <f t="shared" si="184"/>
        <v>3096.483329051282</v>
      </c>
      <c r="J281" s="20">
        <f>(Geraetedaten!$B$152+(Geraetedaten!$B$153*(Geraetedaten!$B$18+d_y_Sw)/1000))*10</f>
        <v>6051.0442000000003</v>
      </c>
      <c r="K281" s="20">
        <f>(Geraetedaten!$B$165+(Geraetedaten!$B$166*(Geraetedaten!$B$18+d_y_Sw)/1000))*10</f>
        <v>10816.164000000001</v>
      </c>
      <c r="L281" s="20">
        <f>(Geraetedaten!$B$158+(Geraetedaten!$B$159*(Geraetedaten!$B$18+d_y_Sw)/1000)-(Geraetedaten!$B$160*I281/1000))*10</f>
        <v>374.47147748066925</v>
      </c>
      <c r="M281" s="20">
        <f>(Geraetedaten!$B$171+(Geraetedaten!$B$172*(Geraetedaten!$B$18+d_y_Sw)/1000)-(Geraetedaten!$B$173*I281/1000))*10</f>
        <v>834.36478098542352</v>
      </c>
      <c r="N281" s="20">
        <f>IF((H281-J281)/(K281-J281)*(Geraetedaten!$B$174-Geraetedaten!$B$161)&lt;Geraetedaten!$B$174,(H281-J281)/(K281-J281)*(Geraetedaten!$B$174-Geraetedaten!$B$161),Geraetedaten!$B$174)</f>
        <v>135.3960167832729</v>
      </c>
      <c r="O281" s="20">
        <f>N281/Geraetedaten!$B$174*(M281-L281)+L281+C281</f>
        <v>600.14847004251442</v>
      </c>
      <c r="P281" s="20">
        <f t="shared" si="185"/>
        <v>203.03375626750037</v>
      </c>
      <c r="Q281" s="21">
        <f>(N281-Geraetedaten!$B$161)/(Geraetedaten!$B$174-Geraetedaten!$B$161)*(Geraetedaten!$B$175-Geraetedaten!$B$162)+Geraetedaten!$B$162</f>
        <v>33.228031499302368</v>
      </c>
      <c r="R281" s="21">
        <f t="shared" si="211"/>
        <v>33.228031499302368</v>
      </c>
      <c r="S281" s="21">
        <f t="shared" si="212"/>
        <v>-28.776319396145372</v>
      </c>
      <c r="T281" s="88">
        <f t="shared" si="213"/>
        <v>-16.614015749651198</v>
      </c>
      <c r="U281" s="86">
        <f t="shared" si="214"/>
        <v>7733.9974899999997</v>
      </c>
      <c r="V281" s="85">
        <f t="shared" si="215"/>
        <v>-2683.3128092763232</v>
      </c>
      <c r="W281" s="85">
        <f t="shared" si="216"/>
        <v>3096.483329051282</v>
      </c>
      <c r="X281" s="90">
        <f t="shared" si="217"/>
        <v>2683.3128092763232</v>
      </c>
      <c r="Y281" s="86">
        <f t="shared" si="218"/>
        <v>16316.2539</v>
      </c>
      <c r="Z281" s="85">
        <f t="shared" si="219"/>
        <v>-832.16398485565549</v>
      </c>
      <c r="AA281" s="85">
        <f t="shared" si="220"/>
        <v>1580.8466224036506</v>
      </c>
      <c r="AB281" s="90">
        <f t="shared" si="221"/>
        <v>832.16398485565549</v>
      </c>
      <c r="AC281" s="86">
        <f t="shared" si="222"/>
        <v>-7608.89408</v>
      </c>
      <c r="AD281" s="85">
        <f t="shared" si="223"/>
        <v>2598.140025222212</v>
      </c>
      <c r="AE281" s="85">
        <f t="shared" si="224"/>
        <v>-3001.2910202857497</v>
      </c>
      <c r="AF281" s="90">
        <f t="shared" si="225"/>
        <v>2598.140025222212</v>
      </c>
      <c r="AG281" s="86">
        <f t="shared" si="226"/>
        <v>-18398.449250000001</v>
      </c>
      <c r="AH281" s="85">
        <f t="shared" si="227"/>
        <v>6183.1314163678471</v>
      </c>
      <c r="AI281" s="85">
        <f t="shared" si="228"/>
        <v>-12580.959811675737</v>
      </c>
      <c r="AJ281" s="90">
        <f t="shared" si="229"/>
        <v>6183.1314163678471</v>
      </c>
      <c r="AL281" s="95">
        <f t="shared" si="230"/>
        <v>0</v>
      </c>
      <c r="AM281" s="95">
        <f t="shared" si="231"/>
        <v>0</v>
      </c>
      <c r="AN281" s="95">
        <f t="shared" si="232"/>
        <v>0</v>
      </c>
      <c r="AO281" s="95">
        <f t="shared" si="233"/>
        <v>0</v>
      </c>
      <c r="AP281"/>
      <c r="AQ281" s="95">
        <f t="shared" si="234"/>
        <v>0</v>
      </c>
      <c r="AR281" s="95">
        <f t="shared" si="235"/>
        <v>0</v>
      </c>
      <c r="AS281" s="95">
        <f>Geraetedaten!$B$94*ABS(SIN(RADIANS($A281)))</f>
        <v>133.36791218280351</v>
      </c>
      <c r="AT281" s="95">
        <f>Geraetedaten!$B$94*ABS(COS(RADIANS($A281)))</f>
        <v>77.000000000000071</v>
      </c>
      <c r="AU281" s="95">
        <f>((h_Aw_Sw+Geraetedaten!$B$18)/1000)*(AQ281*AS281+AR281*AT281)/100</f>
        <v>0</v>
      </c>
    </row>
    <row r="282" spans="1:47" ht="13.5" x14ac:dyDescent="0.25">
      <c r="A282" s="16">
        <v>241</v>
      </c>
      <c r="B282" s="16">
        <f t="shared" si="177"/>
        <v>209</v>
      </c>
      <c r="C282" s="19">
        <f t="shared" si="178"/>
        <v>70.098936739242859</v>
      </c>
      <c r="D282" s="17">
        <f t="shared" si="179"/>
        <v>7588.093203260757</v>
      </c>
      <c r="E282" s="17">
        <f t="shared" si="180"/>
        <v>16722.061503260757</v>
      </c>
      <c r="F282" s="17">
        <f t="shared" si="181"/>
        <v>-7604.1035767392432</v>
      </c>
      <c r="G282" s="17">
        <f t="shared" si="182"/>
        <v>-19058.685536739242</v>
      </c>
      <c r="H282" s="17">
        <f t="shared" si="183"/>
        <v>7588.093203260757</v>
      </c>
      <c r="I282" s="17">
        <f t="shared" si="184"/>
        <v>3066.1329215564238</v>
      </c>
      <c r="J282" s="20">
        <f>(Geraetedaten!$B$152+(Geraetedaten!$B$153*(Geraetedaten!$B$18+d_y_Sw)/1000))*10</f>
        <v>6051.0442000000003</v>
      </c>
      <c r="K282" s="20">
        <f>(Geraetedaten!$B$165+(Geraetedaten!$B$166*(Geraetedaten!$B$18+d_y_Sw)/1000))*10</f>
        <v>10816.164000000001</v>
      </c>
      <c r="L282" s="20">
        <f>(Geraetedaten!$B$158+(Geraetedaten!$B$159*(Geraetedaten!$B$18+d_y_Sw)/1000)-(Geraetedaten!$B$160*I282/1000))*10</f>
        <v>376.69707286226725</v>
      </c>
      <c r="M282" s="20">
        <f>(Geraetedaten!$B$171+(Geraetedaten!$B$172*(Geraetedaten!$B$18+d_y_Sw)/1000)-(Geraetedaten!$B$173*I282/1000))*10</f>
        <v>836.62406531934062</v>
      </c>
      <c r="N282" s="20">
        <f>IF((H282-J282)/(K282-J282)*(Geraetedaten!$B$174-Geraetedaten!$B$161)&lt;Geraetedaten!$B$174,(H282-J282)/(K282-J282)*(Geraetedaten!$B$174-Geraetedaten!$B$161),Geraetedaten!$B$174)</f>
        <v>129.02500401024602</v>
      </c>
      <c r="O282" s="20">
        <f>N282/Geraetedaten!$B$174*(M282-L282)+L282+C282</f>
        <v>595.15121471699581</v>
      </c>
      <c r="P282" s="20">
        <f t="shared" si="185"/>
        <v>202.41251586681736</v>
      </c>
      <c r="Q282" s="21">
        <f>(N282-Geraetedaten!$B$161)/(Geraetedaten!$B$174-Geraetedaten!$B$161)*(Geraetedaten!$B$175-Geraetedaten!$B$162)+Geraetedaten!$B$162</f>
        <v>33.038493869304816</v>
      </c>
      <c r="R282" s="21">
        <f t="shared" si="211"/>
        <v>33.038493869304816</v>
      </c>
      <c r="S282" s="21">
        <f t="shared" si="212"/>
        <v>-28.896117832298106</v>
      </c>
      <c r="T282" s="88">
        <f t="shared" si="213"/>
        <v>-16.017379666288594</v>
      </c>
      <c r="U282" s="86">
        <f t="shared" si="214"/>
        <v>7658.1921400000001</v>
      </c>
      <c r="V282" s="85">
        <f t="shared" si="215"/>
        <v>-2683.3128092763232</v>
      </c>
      <c r="W282" s="85">
        <f t="shared" si="216"/>
        <v>3066.1329215564238</v>
      </c>
      <c r="X282" s="90">
        <f t="shared" si="217"/>
        <v>2683.3128092763232</v>
      </c>
      <c r="Y282" s="86">
        <f t="shared" si="218"/>
        <v>16792.16044</v>
      </c>
      <c r="Z282" s="85">
        <f t="shared" si="219"/>
        <v>-832.16398485565549</v>
      </c>
      <c r="AA282" s="85">
        <f t="shared" si="220"/>
        <v>1626.9561796415514</v>
      </c>
      <c r="AB282" s="90">
        <f t="shared" si="221"/>
        <v>832.16398485565549</v>
      </c>
      <c r="AC282" s="86">
        <f t="shared" si="222"/>
        <v>-7534.0046400000001</v>
      </c>
      <c r="AD282" s="85">
        <f t="shared" si="223"/>
        <v>2598.140025222212</v>
      </c>
      <c r="AE282" s="85">
        <f t="shared" si="224"/>
        <v>-2971.7512450120416</v>
      </c>
      <c r="AF282" s="90">
        <f t="shared" si="225"/>
        <v>2598.140025222212</v>
      </c>
      <c r="AG282" s="86">
        <f t="shared" si="226"/>
        <v>-18988.586599999999</v>
      </c>
      <c r="AH282" s="85">
        <f t="shared" si="227"/>
        <v>6183.1314163678471</v>
      </c>
      <c r="AI282" s="85">
        <f t="shared" si="228"/>
        <v>-12984.498941716298</v>
      </c>
      <c r="AJ282" s="90">
        <f t="shared" si="229"/>
        <v>6183.1314163678471</v>
      </c>
      <c r="AL282" s="95">
        <f t="shared" si="230"/>
        <v>0</v>
      </c>
      <c r="AM282" s="95">
        <f t="shared" si="231"/>
        <v>0</v>
      </c>
      <c r="AN282" s="95">
        <f t="shared" si="232"/>
        <v>0</v>
      </c>
      <c r="AO282" s="95">
        <f t="shared" si="233"/>
        <v>0</v>
      </c>
      <c r="AP282"/>
      <c r="AQ282" s="95">
        <f t="shared" si="234"/>
        <v>0</v>
      </c>
      <c r="AR282" s="95">
        <f t="shared" si="235"/>
        <v>0</v>
      </c>
      <c r="AS282" s="95">
        <f>Geraetedaten!$B$94*ABS(SIN(RADIANS($A282)))</f>
        <v>134.69143489946697</v>
      </c>
      <c r="AT282" s="95">
        <f>Geraetedaten!$B$94*ABS(COS(RADIANS($A282)))</f>
        <v>74.66068151793587</v>
      </c>
      <c r="AU282" s="95">
        <f>((h_Aw_Sw+Geraetedaten!$B$18)/1000)*(AQ282*AS282+AR282*AT282)/100</f>
        <v>0</v>
      </c>
    </row>
    <row r="283" spans="1:47" ht="13.5" x14ac:dyDescent="0.25">
      <c r="A283" s="16">
        <v>242</v>
      </c>
      <c r="B283" s="16">
        <f t="shared" si="177"/>
        <v>208</v>
      </c>
      <c r="C283" s="19">
        <f t="shared" si="178"/>
        <v>70.1688317010574</v>
      </c>
      <c r="D283" s="17">
        <f t="shared" si="179"/>
        <v>7515.9779582989422</v>
      </c>
      <c r="E283" s="17">
        <f t="shared" si="180"/>
        <v>17231.923088298943</v>
      </c>
      <c r="F283" s="17">
        <f t="shared" si="181"/>
        <v>-7532.9949217010571</v>
      </c>
      <c r="G283" s="17">
        <f t="shared" si="182"/>
        <v>-19694.180831701055</v>
      </c>
      <c r="H283" s="17">
        <f t="shared" si="183"/>
        <v>7515.9779582989422</v>
      </c>
      <c r="I283" s="17">
        <f t="shared" si="184"/>
        <v>3037.2879096085803</v>
      </c>
      <c r="J283" s="20">
        <f>(Geraetedaten!$B$152+(Geraetedaten!$B$153*(Geraetedaten!$B$18+d_y_Sw)/1000))*10</f>
        <v>6051.0442000000003</v>
      </c>
      <c r="K283" s="20">
        <f>(Geraetedaten!$B$165+(Geraetedaten!$B$166*(Geraetedaten!$B$18+d_y_Sw)/1000))*10</f>
        <v>10816.164000000001</v>
      </c>
      <c r="L283" s="20">
        <f>(Geraetedaten!$B$158+(Geraetedaten!$B$159*(Geraetedaten!$B$18+d_y_Sw)/1000)-(Geraetedaten!$B$160*I283/1000))*10</f>
        <v>378.81227758840259</v>
      </c>
      <c r="M283" s="20">
        <f>(Geraetedaten!$B$171+(Geraetedaten!$B$172*(Geraetedaten!$B$18+d_y_Sw)/1000)-(Geraetedaten!$B$173*I283/1000))*10</f>
        <v>838.77128800873822</v>
      </c>
      <c r="N283" s="20">
        <f>IF((H283-J283)/(K283-J283)*(Geraetedaten!$B$174-Geraetedaten!$B$161)&lt;Geraetedaten!$B$174,(H283-J283)/(K283-J283)*(Geraetedaten!$B$174-Geraetedaten!$B$161),Geraetedaten!$B$174)</f>
        <v>122.97141056549654</v>
      </c>
      <c r="O283" s="20">
        <f>N283/Geraetedaten!$B$174*(M283-L283)+L283+C283</f>
        <v>590.38563007370658</v>
      </c>
      <c r="P283" s="20">
        <f t="shared" si="185"/>
        <v>201.81012134246217</v>
      </c>
      <c r="Q283" s="21">
        <f>(N283-Geraetedaten!$B$161)/(Geraetedaten!$B$174-Geraetedaten!$B$161)*(Geraetedaten!$B$175-Geraetedaten!$B$162)+Geraetedaten!$B$162</f>
        <v>32.858399464323526</v>
      </c>
      <c r="R283" s="21">
        <f t="shared" si="211"/>
        <v>32.858399464323526</v>
      </c>
      <c r="S283" s="21">
        <f t="shared" si="212"/>
        <v>-29.012244712221513</v>
      </c>
      <c r="T283" s="88">
        <f t="shared" si="213"/>
        <v>-15.426084147159042</v>
      </c>
      <c r="U283" s="86">
        <f t="shared" si="214"/>
        <v>7586.1467899999998</v>
      </c>
      <c r="V283" s="85">
        <f t="shared" si="215"/>
        <v>-2683.3128092763232</v>
      </c>
      <c r="W283" s="85">
        <f t="shared" si="216"/>
        <v>3037.2879096085803</v>
      </c>
      <c r="X283" s="90">
        <f t="shared" si="217"/>
        <v>2683.3128092763232</v>
      </c>
      <c r="Y283" s="86">
        <f t="shared" si="218"/>
        <v>17302.091919999999</v>
      </c>
      <c r="Z283" s="85">
        <f t="shared" si="219"/>
        <v>-832.16398485565549</v>
      </c>
      <c r="AA283" s="85">
        <f t="shared" si="220"/>
        <v>1676.3623406934187</v>
      </c>
      <c r="AB283" s="90">
        <f t="shared" si="221"/>
        <v>832.16398485565549</v>
      </c>
      <c r="AC283" s="86">
        <f t="shared" si="222"/>
        <v>-7462.8260899999996</v>
      </c>
      <c r="AD283" s="85">
        <f t="shared" si="223"/>
        <v>2598.140025222212</v>
      </c>
      <c r="AE283" s="85">
        <f t="shared" si="224"/>
        <v>-2943.6752169841443</v>
      </c>
      <c r="AF283" s="90">
        <f t="shared" si="225"/>
        <v>2598.140025222212</v>
      </c>
      <c r="AG283" s="86">
        <f t="shared" si="226"/>
        <v>-19624.011999999999</v>
      </c>
      <c r="AH283" s="85">
        <f t="shared" si="227"/>
        <v>6183.1314163678471</v>
      </c>
      <c r="AI283" s="85">
        <f t="shared" si="228"/>
        <v>-13419.006294684894</v>
      </c>
      <c r="AJ283" s="90">
        <f t="shared" si="229"/>
        <v>6183.1314163678471</v>
      </c>
      <c r="AL283" s="95">
        <f t="shared" si="230"/>
        <v>0</v>
      </c>
      <c r="AM283" s="95">
        <f t="shared" si="231"/>
        <v>0</v>
      </c>
      <c r="AN283" s="95">
        <f t="shared" si="232"/>
        <v>0</v>
      </c>
      <c r="AO283" s="95">
        <f t="shared" si="233"/>
        <v>0</v>
      </c>
      <c r="AP283"/>
      <c r="AQ283" s="95">
        <f t="shared" si="234"/>
        <v>0</v>
      </c>
      <c r="AR283" s="95">
        <f t="shared" si="235"/>
        <v>0</v>
      </c>
      <c r="AS283" s="95">
        <f>Geraetedaten!$B$94*ABS(SIN(RADIANS($A283)))</f>
        <v>135.97392930027476</v>
      </c>
      <c r="AT283" s="95">
        <f>Geraetedaten!$B$94*ABS(COS(RADIANS($A283)))</f>
        <v>72.298620669027173</v>
      </c>
      <c r="AU283" s="95">
        <f>((h_Aw_Sw+Geraetedaten!$B$18)/1000)*(AQ283*AS283+AR283*AT283)/100</f>
        <v>0</v>
      </c>
    </row>
    <row r="284" spans="1:47" ht="13.5" x14ac:dyDescent="0.25">
      <c r="A284" s="16">
        <v>243</v>
      </c>
      <c r="B284" s="16">
        <f t="shared" si="177"/>
        <v>207</v>
      </c>
      <c r="C284" s="19">
        <f t="shared" si="178"/>
        <v>70.217352556995067</v>
      </c>
      <c r="D284" s="17">
        <f t="shared" si="179"/>
        <v>7447.4956174430044</v>
      </c>
      <c r="E284" s="17">
        <f t="shared" si="180"/>
        <v>17779.353847443002</v>
      </c>
      <c r="F284" s="17">
        <f t="shared" si="181"/>
        <v>-7465.4288225569953</v>
      </c>
      <c r="G284" s="17">
        <f t="shared" si="182"/>
        <v>-20380.055082556995</v>
      </c>
      <c r="H284" s="17">
        <f t="shared" si="183"/>
        <v>7447.4956174430044</v>
      </c>
      <c r="I284" s="17">
        <f t="shared" si="184"/>
        <v>3009.8888616814602</v>
      </c>
      <c r="J284" s="20">
        <f>(Geraetedaten!$B$152+(Geraetedaten!$B$153*(Geraetedaten!$B$18+d_y_Sw)/1000))*10</f>
        <v>6051.0442000000003</v>
      </c>
      <c r="K284" s="20">
        <f>(Geraetedaten!$B$165+(Geraetedaten!$B$166*(Geraetedaten!$B$18+d_y_Sw)/1000))*10</f>
        <v>10816.164000000001</v>
      </c>
      <c r="L284" s="20">
        <f>(Geraetedaten!$B$158+(Geraetedaten!$B$159*(Geraetedaten!$B$18+d_y_Sw)/1000)-(Geraetedaten!$B$160*I284/1000))*10</f>
        <v>380.82144977289829</v>
      </c>
      <c r="M284" s="20">
        <f>(Geraetedaten!$B$171+(Geraetedaten!$B$172*(Geraetedaten!$B$18+d_y_Sw)/1000)-(Geraetedaten!$B$173*I284/1000))*10</f>
        <v>840.81087313643297</v>
      </c>
      <c r="N284" s="20">
        <f>IF((H284-J284)/(K284-J284)*(Geraetedaten!$B$174-Geraetedaten!$B$161)&lt;Geraetedaten!$B$174,(H284-J284)/(K284-J284)*(Geraetedaten!$B$174-Geraetedaten!$B$161),Geraetedaten!$B$174)</f>
        <v>117.2227751707736</v>
      </c>
      <c r="O284" s="20">
        <f>N284/Geraetedaten!$B$174*(M284-L284)+L284+C284</f>
        <v>585.84189421958683</v>
      </c>
      <c r="P284" s="20">
        <f t="shared" si="185"/>
        <v>201.22608125410085</v>
      </c>
      <c r="Q284" s="21">
        <f>(N284-Geraetedaten!$B$161)/(Geraetedaten!$B$174-Geraetedaten!$B$161)*(Geraetedaten!$B$175-Geraetedaten!$B$162)+Geraetedaten!$B$162</f>
        <v>32.687377561330514</v>
      </c>
      <c r="R284" s="21">
        <f t="shared" si="211"/>
        <v>32.687377561330514</v>
      </c>
      <c r="S284" s="21">
        <f t="shared" si="212"/>
        <v>-29.124666665753946</v>
      </c>
      <c r="T284" s="88">
        <f t="shared" si="213"/>
        <v>-14.839758874243692</v>
      </c>
      <c r="U284" s="86">
        <f t="shared" si="214"/>
        <v>7517.7129699999996</v>
      </c>
      <c r="V284" s="85">
        <f t="shared" si="215"/>
        <v>-2683.3128092763232</v>
      </c>
      <c r="W284" s="85">
        <f t="shared" si="216"/>
        <v>3009.8888616814602</v>
      </c>
      <c r="X284" s="90">
        <f t="shared" si="217"/>
        <v>2683.3128092763232</v>
      </c>
      <c r="Y284" s="86">
        <f t="shared" si="218"/>
        <v>17849.571199999998</v>
      </c>
      <c r="Z284" s="85">
        <f t="shared" si="219"/>
        <v>-832.16398485565549</v>
      </c>
      <c r="AA284" s="85">
        <f t="shared" si="220"/>
        <v>1729.4064264421334</v>
      </c>
      <c r="AB284" s="90">
        <f t="shared" si="221"/>
        <v>832.16398485565549</v>
      </c>
      <c r="AC284" s="86">
        <f t="shared" si="222"/>
        <v>-7395.2114700000002</v>
      </c>
      <c r="AD284" s="85">
        <f t="shared" si="223"/>
        <v>2598.140025222212</v>
      </c>
      <c r="AE284" s="85">
        <f t="shared" si="224"/>
        <v>-2917.004959971498</v>
      </c>
      <c r="AF284" s="90">
        <f t="shared" si="225"/>
        <v>2598.140025222212</v>
      </c>
      <c r="AG284" s="86">
        <f t="shared" si="226"/>
        <v>-20309.837729999999</v>
      </c>
      <c r="AH284" s="85">
        <f t="shared" si="227"/>
        <v>6183.1314163678471</v>
      </c>
      <c r="AI284" s="85">
        <f t="shared" si="228"/>
        <v>-13887.977660122528</v>
      </c>
      <c r="AJ284" s="90">
        <f t="shared" si="229"/>
        <v>6183.1314163678471</v>
      </c>
      <c r="AL284" s="95">
        <f t="shared" si="230"/>
        <v>0</v>
      </c>
      <c r="AM284" s="95">
        <f t="shared" si="231"/>
        <v>0</v>
      </c>
      <c r="AN284" s="95">
        <f t="shared" si="232"/>
        <v>0</v>
      </c>
      <c r="AO284" s="95">
        <f t="shared" si="233"/>
        <v>0</v>
      </c>
      <c r="AP284"/>
      <c r="AQ284" s="95">
        <f t="shared" si="234"/>
        <v>0</v>
      </c>
      <c r="AR284" s="95">
        <f t="shared" si="235"/>
        <v>0</v>
      </c>
      <c r="AS284" s="95">
        <f>Geraetedaten!$B$94*ABS(SIN(RADIANS($A284)))</f>
        <v>137.21500472500864</v>
      </c>
      <c r="AT284" s="95">
        <f>Geraetedaten!$B$94*ABS(COS(RADIANS($A284)))</f>
        <v>69.914536959890228</v>
      </c>
      <c r="AU284" s="95">
        <f>((h_Aw_Sw+Geraetedaten!$B$18)/1000)*(AQ284*AS284+AR284*AT284)/100</f>
        <v>0</v>
      </c>
    </row>
    <row r="285" spans="1:47" ht="13.5" x14ac:dyDescent="0.25">
      <c r="A285" s="16">
        <v>244</v>
      </c>
      <c r="B285" s="16">
        <f t="shared" ref="B285:B348" si="236">360-A285+90</f>
        <v>206</v>
      </c>
      <c r="C285" s="19">
        <f t="shared" ref="C285:C348" si="237">$AE$16*ABS(COS(RADIANS(A285)))+$AE$17*ABS(SIN(RADIANS(A285)))+AU285</f>
        <v>70.24448452713311</v>
      </c>
      <c r="D285" s="17">
        <f t="shared" ref="D285:D348" si="238">IF(ISNUMBER(U285),U285-C285,"unendlich")</f>
        <v>7382.5081854728669</v>
      </c>
      <c r="E285" s="17">
        <f t="shared" ref="E285:E348" si="239">IF(ISNUMBER(Y285),Y285-C285,"unendlich")</f>
        <v>18368.385345472867</v>
      </c>
      <c r="F285" s="17">
        <f t="shared" ref="F285:F348" si="240">IF(ISNUMBER(AC285),AC285-C285,"unendlich")</f>
        <v>-7401.2685845271326</v>
      </c>
      <c r="G285" s="17">
        <f t="shared" ref="G285:G348" si="241">IF(ISNUMBER(AG285),AG285-C285,"unendlich")</f>
        <v>-21122.225654527134</v>
      </c>
      <c r="H285" s="17">
        <f t="shared" ref="H285:H348" si="242">SMALL(D285:G285,COUNTIF(D285:G285,"&lt;0")+1)</f>
        <v>7382.5081854728669</v>
      </c>
      <c r="I285" s="17">
        <f t="shared" ref="I285:I348" si="243">IF(H285+C285=U285,W285,IF(H285+C285=Y285,AA285,IF(H285+C285=AC285,AE285,IF(H285+C285=AG285,AI285,"???"))))</f>
        <v>2983.880515033456</v>
      </c>
      <c r="J285" s="20">
        <f>(Geraetedaten!$B$152+(Geraetedaten!$B$153*(Geraetedaten!$B$18+d_y_Sw)/1000))*10</f>
        <v>6051.0442000000003</v>
      </c>
      <c r="K285" s="20">
        <f>(Geraetedaten!$B$165+(Geraetedaten!$B$166*(Geraetedaten!$B$18+d_y_Sw)/1000))*10</f>
        <v>10816.164000000001</v>
      </c>
      <c r="L285" s="20">
        <f>(Geraetedaten!$B$158+(Geraetedaten!$B$159*(Geraetedaten!$B$18+d_y_Sw)/1000)-(Geraetedaten!$B$160*I285/1000))*10</f>
        <v>382.7286418325964</v>
      </c>
      <c r="M285" s="20">
        <f>(Geraetedaten!$B$171+(Geraetedaten!$B$172*(Geraetedaten!$B$18+d_y_Sw)/1000)-(Geraetedaten!$B$173*I285/1000))*10</f>
        <v>842.74693446091055</v>
      </c>
      <c r="N285" s="20">
        <f>IF((H285-J285)/(K285-J285)*(Geraetedaten!$B$174-Geraetedaten!$B$161)&lt;Geraetedaten!$B$174,(H285-J285)/(K285-J285)*(Geraetedaten!$B$174-Geraetedaten!$B$161),Geraetedaten!$B$174)</f>
        <v>111.76751404847084</v>
      </c>
      <c r="O285" s="20">
        <f>N285/Geraetedaten!$B$174*(M285-L285)+L285+C285</f>
        <v>581.51087881945114</v>
      </c>
      <c r="P285" s="20">
        <f t="shared" ref="P285:P348" si="244">O285*100/9.81/(Q285-(I285/1000))</f>
        <v>200.6599312215636</v>
      </c>
      <c r="Q285" s="21">
        <f>(N285-Geraetedaten!$B$161)/(Geraetedaten!$B$174-Geraetedaten!$B$161)*(Geraetedaten!$B$175-Geraetedaten!$B$162)+Geraetedaten!$B$162</f>
        <v>32.525083542942006</v>
      </c>
      <c r="R285" s="21">
        <f t="shared" ref="R285:R316" si="245">SQRT((r_K_D/1000)^2+Q285^2-(2*(r_K_D/1000)*Q285*COS(RADIANS(2*A285))))</f>
        <v>32.525083542942006</v>
      </c>
      <c r="S285" s="21">
        <f t="shared" ref="S285:S316" si="246">R285*SIN(A285*Const_2)</f>
        <v>-29.233351443779288</v>
      </c>
      <c r="T285" s="88">
        <f t="shared" ref="T285:T316" si="247">R285*COS(A285*Const_2)</f>
        <v>-14.258058172130047</v>
      </c>
      <c r="U285" s="86">
        <f t="shared" ref="U285:U316" si="248">ROUND((F_S*r_Su_L-F_G*V285+F_SSw*X285)/(SIN(RADIANS(270+g_L-A285)))/1000,5)</f>
        <v>7452.7526699999999</v>
      </c>
      <c r="V285" s="85">
        <f t="shared" ref="V285:V316" si="249">(SIN(RADIANS(g_L)))*(((VL_Z-HL_Z)/(VL_X-HL_X))*(-HL_X+AM285)+HL_Z-AL285)</f>
        <v>-2683.3128092763232</v>
      </c>
      <c r="W285" s="85">
        <f t="shared" ref="W285:W316" si="250">V285/(SIN(RADIANS(180-g_L-(90-$A285))))</f>
        <v>2983.880515033456</v>
      </c>
      <c r="X285" s="90">
        <f t="shared" ref="X285:X316" si="251">SIN(RADIANS(g_L))*(((VL_Z-HL_Z)/(VL_X-HL_X))*(-AO285+HL_X)-HL_Z+AN285)</f>
        <v>2683.3128092763232</v>
      </c>
      <c r="Y285" s="86">
        <f t="shared" ref="Y285:Y316" si="252">ROUND((F_S*r_Su_H-F_G*Z285+F_SSw*AB285)/(SIN(RADIANS(180+g_H-A285)))/1000,5)</f>
        <v>18438.629830000002</v>
      </c>
      <c r="Z285" s="85">
        <f t="shared" ref="Z285:Z316" si="253">(SIN(RADIANS(g_H)))*(((HL_X-HR_X)/(HL_Z-HR_Z))*(-HR_Z+AL285)+HR_X-AM285)</f>
        <v>-832.16398485565549</v>
      </c>
      <c r="AA285" s="85">
        <f t="shared" ref="AA285:AA316" si="254">Z285/(SIN(RADIANS(g_H-$A285)))</f>
        <v>1786.4790450627152</v>
      </c>
      <c r="AB285" s="90">
        <f t="shared" ref="AB285:AB316" si="255">SIN(RADIANS(g_H))*(((HL_X-HR_X)/(HL_Z-HR_Z))*(-AN285+HR_Z)-HR_X+AO285)</f>
        <v>832.16398485565549</v>
      </c>
      <c r="AC285" s="86">
        <f t="shared" ref="AC285:AC316" si="256">ROUND((F_S*r_Su_R+F_G*AD285+F_SSw*AF285)/(SIN(RADIANS(90+g_R-A285)))/1000,5)</f>
        <v>-7331.0240999999996</v>
      </c>
      <c r="AD285" s="85">
        <f t="shared" ref="AD285:AD316" si="257">(SIN(RADIANS(g_R)))*(((HR_Z-VR_Z)/(HR_X-VR_X))*(-VR_X+AM285)+VR_Z-AL285)</f>
        <v>2598.140025222212</v>
      </c>
      <c r="AE285" s="85">
        <f t="shared" ref="AE285:AE316" si="258">AD285/(SIN(RADIANS(180-g_R-(90-$A285))))</f>
        <v>-2891.6865657614881</v>
      </c>
      <c r="AF285" s="90">
        <f t="shared" ref="AF285:AF316" si="259">(SIN(RADIANS(g_R)))*(((HR_Z-VR_Z)/(HR_X-VR_X))*(-VR_X+AO285)+VR_Z-AN285)</f>
        <v>2598.140025222212</v>
      </c>
      <c r="AG285" s="86">
        <f t="shared" ref="AG285:AG316" si="260">ROUND((F_S*r_Su_V+F_G*AH285+F_SSw*AJ285)/(SIN(RADIANS(g_V-A285)))/1000,5)</f>
        <v>-21051.981169999999</v>
      </c>
      <c r="AH285" s="85">
        <f t="shared" ref="AH285:AH316" si="261">(SIN(RADIANS(g_V)))*(((VR_X-VL_X)/(VR_Z-VL_Z))*(AL285-VL_Z)+VL_X-AM285)</f>
        <v>6183.1314163678471</v>
      </c>
      <c r="AI285" s="85">
        <f t="shared" ref="AI285:AI316" si="262">AH285/(SIN(RADIANS(g_V-$A285)))</f>
        <v>-14395.459390974902</v>
      </c>
      <c r="AJ285" s="90">
        <f t="shared" ref="AJ285:AJ316" si="263">(SIN(RADIANS(g_V)))*(((VR_X-VL_X)/(VR_Z-VL_Z))*(-VL_Z+AN285)+VL_X-AO285)</f>
        <v>6183.1314163678471</v>
      </c>
      <c r="AL285" s="95">
        <f t="shared" ref="AL285:AL316" si="264">SIN(RADIANS(A285))*r_K_D</f>
        <v>0</v>
      </c>
      <c r="AM285" s="95">
        <f t="shared" ref="AM285:AM316" si="265">COS(RADIANS(A285-180))*r_K_D</f>
        <v>0</v>
      </c>
      <c r="AN285" s="95">
        <f t="shared" ref="AN285:AN316" si="266">SIN(RADIANS(A285))*r_K_SSw</f>
        <v>0</v>
      </c>
      <c r="AO285" s="95">
        <f t="shared" ref="AO285:AO316" si="267">-COS(RADIANS(A285))*r_K_SSw</f>
        <v>0</v>
      </c>
      <c r="AP285"/>
      <c r="AQ285" s="95">
        <f t="shared" ref="AQ285:AQ316" si="268">MAX(d_y_Sw*(r_K_D*ABS(COS(RADIANS($A285)))+_r1_Sw+_r2_Sw), 2*_r1_Sw*d_y_Sw)/1000000</f>
        <v>0</v>
      </c>
      <c r="AR285" s="95">
        <f t="shared" ref="AR285:AR316" si="269">MAX(d_y_Sw*(r_K_D*ABS(SIN(RADIANS($A285)))+_r1_Sw+_r2_Sw), 2*_r1_Sw*d_y_Sw)/1000000</f>
        <v>0</v>
      </c>
      <c r="AS285" s="95">
        <f>Geraetedaten!$B$94*ABS(SIN(RADIANS($A285)))</f>
        <v>138.41428313007168</v>
      </c>
      <c r="AT285" s="95">
        <f>Geraetedaten!$B$94*ABS(COS(RADIANS($A285)))</f>
        <v>67.509156605517973</v>
      </c>
      <c r="AU285" s="95">
        <f>((h_Aw_Sw+Geraetedaten!$B$18)/1000)*(AQ285*AS285+AR285*AT285)/100</f>
        <v>0</v>
      </c>
    </row>
    <row r="286" spans="1:47" ht="13.5" x14ac:dyDescent="0.25">
      <c r="A286" s="16">
        <v>245</v>
      </c>
      <c r="B286" s="16">
        <f t="shared" si="236"/>
        <v>205</v>
      </c>
      <c r="C286" s="19">
        <f t="shared" si="237"/>
        <v>70.250219346810582</v>
      </c>
      <c r="D286" s="17">
        <f t="shared" si="238"/>
        <v>7320.8873006531894</v>
      </c>
      <c r="E286" s="17">
        <f t="shared" si="239"/>
        <v>19003.652840653191</v>
      </c>
      <c r="F286" s="17">
        <f t="shared" si="240"/>
        <v>-7340.3870993468108</v>
      </c>
      <c r="G286" s="17">
        <f t="shared" si="241"/>
        <v>-21927.579819346811</v>
      </c>
      <c r="H286" s="17">
        <f t="shared" si="242"/>
        <v>7320.8873006531894</v>
      </c>
      <c r="I286" s="17">
        <f t="shared" si="243"/>
        <v>2959.2114744359733</v>
      </c>
      <c r="J286" s="20">
        <f>(Geraetedaten!$B$152+(Geraetedaten!$B$153*(Geraetedaten!$B$18+d_y_Sw)/1000))*10</f>
        <v>6051.0442000000003</v>
      </c>
      <c r="K286" s="20">
        <f>(Geraetedaten!$B$165+(Geraetedaten!$B$166*(Geraetedaten!$B$18+d_y_Sw)/1000))*10</f>
        <v>10816.164000000001</v>
      </c>
      <c r="L286" s="20">
        <f>(Geraetedaten!$B$158+(Geraetedaten!$B$159*(Geraetedaten!$B$18+d_y_Sw)/1000)-(Geraetedaten!$B$160*I286/1000))*10</f>
        <v>384.53762257960989</v>
      </c>
      <c r="M286" s="20">
        <f>(Geraetedaten!$B$171+(Geraetedaten!$B$172*(Geraetedaten!$B$18+d_y_Sw)/1000)-(Geraetedaten!$B$173*I286/1000))*10</f>
        <v>844.58329784298712</v>
      </c>
      <c r="N286" s="20">
        <f>IF((H286-J286)/(K286-J286)*(Geraetedaten!$B$174-Geraetedaten!$B$161)&lt;Geraetedaten!$B$174,(H286-J286)/(K286-J286)*(Geraetedaten!$B$174-Geraetedaten!$B$161),Geraetedaten!$B$174)</f>
        <v>106.59485208772203</v>
      </c>
      <c r="O286" s="20">
        <f>N286/Geraetedaten!$B$174*(M286-L286)+L286+C286</f>
        <v>577.38409369716021</v>
      </c>
      <c r="P286" s="20">
        <f t="shared" si="244"/>
        <v>200.11123241348844</v>
      </c>
      <c r="Q286" s="21">
        <f>(N286-Geraetedaten!$B$161)/(Geraetedaten!$B$174-Geraetedaten!$B$161)*(Geraetedaten!$B$175-Geraetedaten!$B$162)+Geraetedaten!$B$162</f>
        <v>32.371196849609731</v>
      </c>
      <c r="R286" s="21">
        <f t="shared" si="245"/>
        <v>32.371196849609731</v>
      </c>
      <c r="S286" s="21">
        <f t="shared" si="246"/>
        <v>-29.338267780497574</v>
      </c>
      <c r="T286" s="88">
        <f t="shared" si="247"/>
        <v>-13.680658943048062</v>
      </c>
      <c r="U286" s="86">
        <f t="shared" si="248"/>
        <v>7391.1375200000002</v>
      </c>
      <c r="V286" s="85">
        <f t="shared" si="249"/>
        <v>-2683.3128092763232</v>
      </c>
      <c r="W286" s="85">
        <f t="shared" si="250"/>
        <v>2959.2114744359733</v>
      </c>
      <c r="X286" s="90">
        <f t="shared" si="251"/>
        <v>2683.3128092763232</v>
      </c>
      <c r="Y286" s="86">
        <f t="shared" si="252"/>
        <v>19073.903060000001</v>
      </c>
      <c r="Z286" s="85">
        <f t="shared" si="253"/>
        <v>-832.16398485565549</v>
      </c>
      <c r="AA286" s="85">
        <f t="shared" si="254"/>
        <v>1848.029297402029</v>
      </c>
      <c r="AB286" s="90">
        <f t="shared" si="255"/>
        <v>832.16398485565549</v>
      </c>
      <c r="AC286" s="86">
        <f t="shared" si="256"/>
        <v>-7270.13688</v>
      </c>
      <c r="AD286" s="85">
        <f t="shared" si="257"/>
        <v>2598.140025222212</v>
      </c>
      <c r="AE286" s="85">
        <f t="shared" si="258"/>
        <v>-2867.66989946276</v>
      </c>
      <c r="AF286" s="90">
        <f t="shared" si="259"/>
        <v>2598.140025222212</v>
      </c>
      <c r="AG286" s="86">
        <f t="shared" si="260"/>
        <v>-21857.329600000001</v>
      </c>
      <c r="AH286" s="85">
        <f t="shared" si="261"/>
        <v>6183.1314163678471</v>
      </c>
      <c r="AI286" s="85">
        <f t="shared" si="262"/>
        <v>-14946.161032679607</v>
      </c>
      <c r="AJ286" s="90">
        <f t="shared" si="263"/>
        <v>6183.1314163678471</v>
      </c>
      <c r="AL286" s="95">
        <f t="shared" si="264"/>
        <v>0</v>
      </c>
      <c r="AM286" s="95">
        <f t="shared" si="265"/>
        <v>0</v>
      </c>
      <c r="AN286" s="95">
        <f t="shared" si="266"/>
        <v>0</v>
      </c>
      <c r="AO286" s="95">
        <f t="shared" si="267"/>
        <v>0</v>
      </c>
      <c r="AP286"/>
      <c r="AQ286" s="95">
        <f t="shared" si="268"/>
        <v>0</v>
      </c>
      <c r="AR286" s="95">
        <f t="shared" si="269"/>
        <v>0</v>
      </c>
      <c r="AS286" s="95">
        <f>Geraetedaten!$B$94*ABS(SIN(RADIANS($A286)))</f>
        <v>139.57139920364412</v>
      </c>
      <c r="AT286" s="95">
        <f>Geraetedaten!$B$94*ABS(COS(RADIANS($A286)))</f>
        <v>65.083212308067672</v>
      </c>
      <c r="AU286" s="95">
        <f>((h_Aw_Sw+Geraetedaten!$B$18)/1000)*(AQ286*AS286+AR286*AT286)/100</f>
        <v>0</v>
      </c>
    </row>
    <row r="287" spans="1:47" ht="13.5" x14ac:dyDescent="0.25">
      <c r="A287" s="16">
        <v>246</v>
      </c>
      <c r="B287" s="16">
        <f t="shared" si="236"/>
        <v>204</v>
      </c>
      <c r="C287" s="19">
        <f t="shared" si="237"/>
        <v>70.234555269145858</v>
      </c>
      <c r="D287" s="17">
        <f t="shared" si="238"/>
        <v>7262.5135647308543</v>
      </c>
      <c r="E287" s="17">
        <f t="shared" si="239"/>
        <v>19690.512464730855</v>
      </c>
      <c r="F287" s="17">
        <f t="shared" si="240"/>
        <v>-7282.666145269146</v>
      </c>
      <c r="G287" s="17">
        <f t="shared" si="241"/>
        <v>-22804.181555269148</v>
      </c>
      <c r="H287" s="17">
        <f t="shared" si="242"/>
        <v>7262.5135647308543</v>
      </c>
      <c r="I287" s="17">
        <f t="shared" si="243"/>
        <v>2935.8339392770054</v>
      </c>
      <c r="J287" s="20">
        <f>(Geraetedaten!$B$152+(Geraetedaten!$B$153*(Geraetedaten!$B$18+d_y_Sw)/1000))*10</f>
        <v>6051.0442000000003</v>
      </c>
      <c r="K287" s="20">
        <f>(Geraetedaten!$B$165+(Geraetedaten!$B$166*(Geraetedaten!$B$18+d_y_Sw)/1000))*10</f>
        <v>10816.164000000001</v>
      </c>
      <c r="L287" s="20">
        <f>(Geraetedaten!$B$158+(Geraetedaten!$B$159*(Geraetedaten!$B$18+d_y_Sw)/1000)-(Geraetedaten!$B$160*I287/1000))*10</f>
        <v>386.25189723281699</v>
      </c>
      <c r="M287" s="20">
        <f>(Geraetedaten!$B$171+(Geraetedaten!$B$172*(Geraetedaten!$B$18+d_y_Sw)/1000)-(Geraetedaten!$B$173*I287/1000))*10</f>
        <v>846.32352156022068</v>
      </c>
      <c r="N287" s="20">
        <f>IF((H287-J287)/(K287-J287)*(Geraetedaten!$B$174-Geraetedaten!$B$161)&lt;Geraetedaten!$B$174,(H287-J287)/(K287-J287)*(Geraetedaten!$B$174-Geraetedaten!$B$161),Geraetedaten!$B$174)</f>
        <v>101.69476660216215</v>
      </c>
      <c r="O287" s="20">
        <f>N287/Geraetedaten!$B$174*(M287-L287)+L287+C287</f>
        <v>573.45364364259513</v>
      </c>
      <c r="P287" s="20">
        <f t="shared" si="244"/>
        <v>199.57957130798258</v>
      </c>
      <c r="Q287" s="21">
        <f>(N287-Geraetedaten!$B$161)/(Geraetedaten!$B$174-Geraetedaten!$B$161)*(Geraetedaten!$B$175-Geraetedaten!$B$162)+Geraetedaten!$B$162</f>
        <v>32.225419306414324</v>
      </c>
      <c r="R287" s="21">
        <f t="shared" si="245"/>
        <v>32.225419306414324</v>
      </c>
      <c r="S287" s="21">
        <f t="shared" si="246"/>
        <v>-29.439385428002982</v>
      </c>
      <c r="T287" s="88">
        <f t="shared" si="247"/>
        <v>-13.10725887040104</v>
      </c>
      <c r="U287" s="86">
        <f t="shared" si="248"/>
        <v>7332.7481200000002</v>
      </c>
      <c r="V287" s="85">
        <f t="shared" si="249"/>
        <v>-2683.3128092763232</v>
      </c>
      <c r="W287" s="85">
        <f t="shared" si="250"/>
        <v>2935.8339392770054</v>
      </c>
      <c r="X287" s="90">
        <f t="shared" si="251"/>
        <v>2683.3128092763232</v>
      </c>
      <c r="Y287" s="86">
        <f t="shared" si="252"/>
        <v>19760.747019999999</v>
      </c>
      <c r="Z287" s="85">
        <f t="shared" si="253"/>
        <v>-832.16398485565549</v>
      </c>
      <c r="AA287" s="85">
        <f t="shared" si="254"/>
        <v>1914.576126380151</v>
      </c>
      <c r="AB287" s="90">
        <f t="shared" si="255"/>
        <v>832.16398485565549</v>
      </c>
      <c r="AC287" s="86">
        <f t="shared" si="256"/>
        <v>-7212.4315900000001</v>
      </c>
      <c r="AD287" s="85">
        <f t="shared" si="257"/>
        <v>2598.140025222212</v>
      </c>
      <c r="AE287" s="85">
        <f t="shared" si="258"/>
        <v>-2844.9083325915967</v>
      </c>
      <c r="AF287" s="90">
        <f t="shared" si="259"/>
        <v>2598.140025222212</v>
      </c>
      <c r="AG287" s="86">
        <f t="shared" si="260"/>
        <v>-22733.947</v>
      </c>
      <c r="AH287" s="85">
        <f t="shared" si="261"/>
        <v>6183.1314163678471</v>
      </c>
      <c r="AI287" s="85">
        <f t="shared" si="262"/>
        <v>-15545.596786908693</v>
      </c>
      <c r="AJ287" s="90">
        <f t="shared" si="263"/>
        <v>6183.1314163678471</v>
      </c>
      <c r="AL287" s="95">
        <f t="shared" si="264"/>
        <v>0</v>
      </c>
      <c r="AM287" s="95">
        <f t="shared" si="265"/>
        <v>0</v>
      </c>
      <c r="AN287" s="95">
        <f t="shared" si="266"/>
        <v>0</v>
      </c>
      <c r="AO287" s="95">
        <f t="shared" si="267"/>
        <v>0</v>
      </c>
      <c r="AP287"/>
      <c r="AQ287" s="95">
        <f t="shared" si="268"/>
        <v>0</v>
      </c>
      <c r="AR287" s="95">
        <f t="shared" si="269"/>
        <v>0</v>
      </c>
      <c r="AS287" s="95">
        <f>Geraetedaten!$B$94*ABS(SIN(RADIANS($A287)))</f>
        <v>140.68600047696054</v>
      </c>
      <c r="AT287" s="95">
        <f>Geraetedaten!$B$94*ABS(COS(RADIANS($A287)))</f>
        <v>62.637443033673215</v>
      </c>
      <c r="AU287" s="95">
        <f>((h_Aw_Sw+Geraetedaten!$B$18)/1000)*(AQ287*AS287+AR287*AT287)/100</f>
        <v>0</v>
      </c>
    </row>
    <row r="288" spans="1:47" ht="13.5" x14ac:dyDescent="0.25">
      <c r="A288" s="16">
        <v>247</v>
      </c>
      <c r="B288" s="16">
        <f t="shared" si="236"/>
        <v>203</v>
      </c>
      <c r="C288" s="19">
        <f t="shared" si="237"/>
        <v>70.19749706556874</v>
      </c>
      <c r="D288" s="17">
        <f t="shared" si="238"/>
        <v>7207.2759529344321</v>
      </c>
      <c r="E288" s="17">
        <f t="shared" si="239"/>
        <v>20435.186712934432</v>
      </c>
      <c r="F288" s="17">
        <f t="shared" si="240"/>
        <v>-7227.9958070655684</v>
      </c>
      <c r="G288" s="17">
        <f t="shared" si="241"/>
        <v>-23761.533807065567</v>
      </c>
      <c r="H288" s="17">
        <f t="shared" si="242"/>
        <v>7207.2759529344321</v>
      </c>
      <c r="I288" s="17">
        <f t="shared" si="243"/>
        <v>2913.7034561395481</v>
      </c>
      <c r="J288" s="20">
        <f>(Geraetedaten!$B$152+(Geraetedaten!$B$153*(Geraetedaten!$B$18+d_y_Sw)/1000))*10</f>
        <v>6051.0442000000003</v>
      </c>
      <c r="K288" s="20">
        <f>(Geraetedaten!$B$165+(Geraetedaten!$B$166*(Geraetedaten!$B$18+d_y_Sw)/1000))*10</f>
        <v>10816.164000000001</v>
      </c>
      <c r="L288" s="20">
        <f>(Geraetedaten!$B$158+(Geraetedaten!$B$159*(Geraetedaten!$B$18+d_y_Sw)/1000)-(Geraetedaten!$B$160*I288/1000))*10</f>
        <v>387.87472556128677</v>
      </c>
      <c r="M288" s="20">
        <f>(Geraetedaten!$B$171+(Geraetedaten!$B$172*(Geraetedaten!$B$18+d_y_Sw)/1000)-(Geraetedaten!$B$173*I288/1000))*10</f>
        <v>847.970914724973</v>
      </c>
      <c r="N288" s="20">
        <f>IF((H288-J288)/(K288-J288)*(Geraetedaten!$B$174-Geraetedaten!$B$161)&lt;Geraetedaten!$B$174,(H288-J288)/(K288-J288)*(Geraetedaten!$B$174-Geraetedaten!$B$161),Geraetedaten!$B$174)</f>
        <v>97.057937803320854</v>
      </c>
      <c r="O288" s="20">
        <f>N288/Geraetedaten!$B$174*(M288-L288)+L288+C288</f>
        <v>569.71219090534055</v>
      </c>
      <c r="P288" s="20">
        <f t="shared" si="244"/>
        <v>199.06455974690309</v>
      </c>
      <c r="Q288" s="21">
        <f>(N288-Geraetedaten!$B$161)/(Geraetedaten!$B$174-Geraetedaten!$B$161)*(Geraetedaten!$B$175-Geraetedaten!$B$162)+Geraetedaten!$B$162</f>
        <v>32.087473649648793</v>
      </c>
      <c r="R288" s="21">
        <f t="shared" si="245"/>
        <v>32.087473649648793</v>
      </c>
      <c r="S288" s="21">
        <f t="shared" si="246"/>
        <v>-29.536675229528999</v>
      </c>
      <c r="T288" s="88">
        <f t="shared" si="247"/>
        <v>-12.537574789497111</v>
      </c>
      <c r="U288" s="86">
        <f t="shared" si="248"/>
        <v>7277.4734500000004</v>
      </c>
      <c r="V288" s="85">
        <f t="shared" si="249"/>
        <v>-2683.3128092763232</v>
      </c>
      <c r="W288" s="85">
        <f t="shared" si="250"/>
        <v>2913.7034561395481</v>
      </c>
      <c r="X288" s="90">
        <f t="shared" si="251"/>
        <v>2683.3128092763232</v>
      </c>
      <c r="Y288" s="86">
        <f t="shared" si="252"/>
        <v>20505.38421</v>
      </c>
      <c r="Z288" s="85">
        <f t="shared" si="253"/>
        <v>-832.16398485565549</v>
      </c>
      <c r="AA288" s="85">
        <f t="shared" si="254"/>
        <v>1986.7224164839495</v>
      </c>
      <c r="AB288" s="90">
        <f t="shared" si="255"/>
        <v>832.16398485565549</v>
      </c>
      <c r="AC288" s="86">
        <f t="shared" si="256"/>
        <v>-7157.7983100000001</v>
      </c>
      <c r="AD288" s="85">
        <f t="shared" si="257"/>
        <v>2598.140025222212</v>
      </c>
      <c r="AE288" s="85">
        <f t="shared" si="258"/>
        <v>-2823.3585010960669</v>
      </c>
      <c r="AF288" s="90">
        <f t="shared" si="259"/>
        <v>2598.140025222212</v>
      </c>
      <c r="AG288" s="86">
        <f t="shared" si="260"/>
        <v>-23691.336309999999</v>
      </c>
      <c r="AH288" s="85">
        <f t="shared" si="261"/>
        <v>6183.1314163678471</v>
      </c>
      <c r="AI288" s="85">
        <f t="shared" si="262"/>
        <v>-16200.264805866809</v>
      </c>
      <c r="AJ288" s="90">
        <f t="shared" si="263"/>
        <v>6183.1314163678471</v>
      </c>
      <c r="AL288" s="95">
        <f t="shared" si="264"/>
        <v>0</v>
      </c>
      <c r="AM288" s="95">
        <f t="shared" si="265"/>
        <v>0</v>
      </c>
      <c r="AN288" s="95">
        <f t="shared" si="266"/>
        <v>0</v>
      </c>
      <c r="AO288" s="95">
        <f t="shared" si="267"/>
        <v>0</v>
      </c>
      <c r="AP288"/>
      <c r="AQ288" s="95">
        <f t="shared" si="268"/>
        <v>0</v>
      </c>
      <c r="AR288" s="95">
        <f t="shared" si="269"/>
        <v>0</v>
      </c>
      <c r="AS288" s="95">
        <f>Geraetedaten!$B$94*ABS(SIN(RADIANS($A288)))</f>
        <v>141.7577474316758</v>
      </c>
      <c r="AT288" s="95">
        <f>Geraetedaten!$B$94*ABS(COS(RADIANS($A288)))</f>
        <v>60.17259378734817</v>
      </c>
      <c r="AU288" s="95">
        <f>((h_Aw_Sw+Geraetedaten!$B$18)/1000)*(AQ288*AS288+AR288*AT288)/100</f>
        <v>0</v>
      </c>
    </row>
    <row r="289" spans="1:47" ht="13.5" x14ac:dyDescent="0.25">
      <c r="A289" s="16">
        <v>248</v>
      </c>
      <c r="B289" s="16">
        <f t="shared" si="236"/>
        <v>202</v>
      </c>
      <c r="C289" s="19">
        <f t="shared" si="237"/>
        <v>70.139056024367036</v>
      </c>
      <c r="D289" s="17">
        <f t="shared" si="238"/>
        <v>7155.0712139756324</v>
      </c>
      <c r="E289" s="17">
        <f t="shared" si="239"/>
        <v>21244.946723975634</v>
      </c>
      <c r="F289" s="17">
        <f t="shared" si="240"/>
        <v>-7176.2738660243667</v>
      </c>
      <c r="G289" s="17">
        <f t="shared" si="241"/>
        <v>-24810.914006024366</v>
      </c>
      <c r="H289" s="17">
        <f t="shared" si="242"/>
        <v>7155.0712139756324</v>
      </c>
      <c r="I289" s="17">
        <f t="shared" si="243"/>
        <v>2892.7786942996959</v>
      </c>
      <c r="J289" s="20">
        <f>(Geraetedaten!$B$152+(Geraetedaten!$B$153*(Geraetedaten!$B$18+d_y_Sw)/1000))*10</f>
        <v>6051.0442000000003</v>
      </c>
      <c r="K289" s="20">
        <f>(Geraetedaten!$B$165+(Geraetedaten!$B$166*(Geraetedaten!$B$18+d_y_Sw)/1000))*10</f>
        <v>10816.164000000001</v>
      </c>
      <c r="L289" s="20">
        <f>(Geraetedaten!$B$158+(Geraetedaten!$B$159*(Geraetedaten!$B$18+d_y_Sw)/1000)-(Geraetedaten!$B$160*I289/1000))*10</f>
        <v>389.40913834700314</v>
      </c>
      <c r="M289" s="20">
        <f>(Geraetedaten!$B$171+(Geraetedaten!$B$172*(Geraetedaten!$B$18+d_y_Sw)/1000)-(Geraetedaten!$B$173*I289/1000))*10</f>
        <v>849.52855399633154</v>
      </c>
      <c r="N289" s="20">
        <f>IF((H289-J289)/(K289-J289)*(Geraetedaten!$B$174-Geraetedaten!$B$161)&lt;Geraetedaten!$B$174,(H289-J289)/(K289-J289)*(Geraetedaten!$B$174-Geraetedaten!$B$161),Geraetedaten!$B$174)</f>
        <v>92.675698434749293</v>
      </c>
      <c r="O289" s="20">
        <f>N289/Geraetedaten!$B$174*(M289-L289)+L289+C289</f>
        <v>566.15291489309573</v>
      </c>
      <c r="P289" s="20">
        <f t="shared" si="244"/>
        <v>198.56583389093163</v>
      </c>
      <c r="Q289" s="21">
        <f>(N289-Geraetedaten!$B$161)/(Geraetedaten!$B$174-Geraetedaten!$B$161)*(Geraetedaten!$B$175-Geraetedaten!$B$162)+Geraetedaten!$B$162</f>
        <v>31.957102028433791</v>
      </c>
      <c r="R289" s="21">
        <f t="shared" si="245"/>
        <v>31.957102028433791</v>
      </c>
      <c r="S289" s="21">
        <f t="shared" si="246"/>
        <v>-29.630109039507339</v>
      </c>
      <c r="T289" s="88">
        <f t="shared" si="247"/>
        <v>-11.971341126316323</v>
      </c>
      <c r="U289" s="86">
        <f t="shared" si="248"/>
        <v>7225.2102699999996</v>
      </c>
      <c r="V289" s="85">
        <f t="shared" si="249"/>
        <v>-2683.3128092763232</v>
      </c>
      <c r="W289" s="85">
        <f t="shared" si="250"/>
        <v>2892.7786942996959</v>
      </c>
      <c r="X289" s="90">
        <f t="shared" si="251"/>
        <v>2683.3128092763232</v>
      </c>
      <c r="Y289" s="86">
        <f t="shared" si="252"/>
        <v>21315.085780000001</v>
      </c>
      <c r="Z289" s="85">
        <f t="shared" si="253"/>
        <v>-832.16398485565549</v>
      </c>
      <c r="AA289" s="85">
        <f t="shared" si="254"/>
        <v>2065.1726534639488</v>
      </c>
      <c r="AB289" s="90">
        <f t="shared" si="255"/>
        <v>832.16398485565549</v>
      </c>
      <c r="AC289" s="86">
        <f t="shared" si="256"/>
        <v>-7106.1348099999996</v>
      </c>
      <c r="AD289" s="85">
        <f t="shared" si="257"/>
        <v>2598.140025222212</v>
      </c>
      <c r="AE289" s="85">
        <f t="shared" si="258"/>
        <v>-2802.9800858117246</v>
      </c>
      <c r="AF289" s="90">
        <f t="shared" si="259"/>
        <v>2598.140025222212</v>
      </c>
      <c r="AG289" s="86">
        <f t="shared" si="260"/>
        <v>-24740.774949999999</v>
      </c>
      <c r="AH289" s="85">
        <f t="shared" si="261"/>
        <v>6183.1314163678471</v>
      </c>
      <c r="AI289" s="85">
        <f t="shared" si="262"/>
        <v>-16917.876670184367</v>
      </c>
      <c r="AJ289" s="90">
        <f t="shared" si="263"/>
        <v>6183.1314163678471</v>
      </c>
      <c r="AL289" s="95">
        <f t="shared" si="264"/>
        <v>0</v>
      </c>
      <c r="AM289" s="95">
        <f t="shared" si="265"/>
        <v>0</v>
      </c>
      <c r="AN289" s="95">
        <f t="shared" si="266"/>
        <v>0</v>
      </c>
      <c r="AO289" s="95">
        <f t="shared" si="267"/>
        <v>0</v>
      </c>
      <c r="AP289"/>
      <c r="AQ289" s="95">
        <f t="shared" si="268"/>
        <v>0</v>
      </c>
      <c r="AR289" s="95">
        <f t="shared" si="269"/>
        <v>0</v>
      </c>
      <c r="AS289" s="95">
        <f>Geraetedaten!$B$94*ABS(SIN(RADIANS($A289)))</f>
        <v>142.78631360328524</v>
      </c>
      <c r="AT289" s="95">
        <f>Geraetedaten!$B$94*ABS(COS(RADIANS($A289)))</f>
        <v>57.689415386050491</v>
      </c>
      <c r="AU289" s="95">
        <f>((h_Aw_Sw+Geraetedaten!$B$18)/1000)*(AQ289*AS289+AR289*AT289)/100</f>
        <v>0</v>
      </c>
    </row>
    <row r="290" spans="1:47" ht="13.5" x14ac:dyDescent="0.25">
      <c r="A290" s="16">
        <v>249</v>
      </c>
      <c r="B290" s="16">
        <f t="shared" si="236"/>
        <v>201</v>
      </c>
      <c r="C290" s="19">
        <f t="shared" si="237"/>
        <v>70.05924994724802</v>
      </c>
      <c r="D290" s="17">
        <f t="shared" si="238"/>
        <v>7105.8034000527523</v>
      </c>
      <c r="E290" s="17">
        <f t="shared" si="239"/>
        <v>22128.342580052751</v>
      </c>
      <c r="F290" s="17">
        <f t="shared" si="240"/>
        <v>-7127.405329947248</v>
      </c>
      <c r="G290" s="17">
        <f t="shared" si="241"/>
        <v>-25965.808289947247</v>
      </c>
      <c r="H290" s="17">
        <f t="shared" si="242"/>
        <v>7105.8034000527523</v>
      </c>
      <c r="I290" s="17">
        <f t="shared" si="243"/>
        <v>2873.021241889895</v>
      </c>
      <c r="J290" s="20">
        <f>(Geraetedaten!$B$152+(Geraetedaten!$B$153*(Geraetedaten!$B$18+d_y_Sw)/1000))*10</f>
        <v>6051.0442000000003</v>
      </c>
      <c r="K290" s="20">
        <f>(Geraetedaten!$B$165+(Geraetedaten!$B$166*(Geraetedaten!$B$18+d_y_Sw)/1000))*10</f>
        <v>10816.164000000001</v>
      </c>
      <c r="L290" s="20">
        <f>(Geraetedaten!$B$158+(Geraetedaten!$B$159*(Geraetedaten!$B$18+d_y_Sw)/1000)-(Geraetedaten!$B$160*I290/1000))*10</f>
        <v>390.85795233221376</v>
      </c>
      <c r="M290" s="20">
        <f>(Geraetedaten!$B$171+(Geraetedaten!$B$172*(Geraetedaten!$B$18+d_y_Sw)/1000)-(Geraetedaten!$B$173*I290/1000))*10</f>
        <v>850.99929875371708</v>
      </c>
      <c r="N290" s="20">
        <f>IF((H290-J290)/(K290-J290)*(Geraetedaten!$B$174-Geraetedaten!$B$161)&lt;Geraetedaten!$B$174,(H290-J290)/(K290-J290)*(Geraetedaten!$B$174-Geraetedaten!$B$161),Geraetedaten!$B$174)</f>
        <v>88.539994318946768</v>
      </c>
      <c r="O290" s="20">
        <f>N290/Geraetedaten!$B$174*(M290-L290)+L290+C290</f>
        <v>562.76948277464282</v>
      </c>
      <c r="P290" s="20">
        <f t="shared" si="244"/>
        <v>198.08305448758185</v>
      </c>
      <c r="Q290" s="21">
        <f>(N290-Geraetedaten!$B$161)/(Geraetedaten!$B$174-Geraetedaten!$B$161)*(Geraetedaten!$B$175-Geraetedaten!$B$162)+Geraetedaten!$B$162</f>
        <v>31.834064830988666</v>
      </c>
      <c r="R290" s="21">
        <f t="shared" si="245"/>
        <v>31.834064830988666</v>
      </c>
      <c r="S290" s="21">
        <f t="shared" si="246"/>
        <v>-29.719659822053966</v>
      </c>
      <c r="T290" s="88">
        <f t="shared" si="247"/>
        <v>-11.408308539173579</v>
      </c>
      <c r="U290" s="86">
        <f t="shared" si="248"/>
        <v>7175.86265</v>
      </c>
      <c r="V290" s="85">
        <f t="shared" si="249"/>
        <v>-2683.3128092763232</v>
      </c>
      <c r="W290" s="85">
        <f t="shared" si="250"/>
        <v>2873.021241889895</v>
      </c>
      <c r="X290" s="90">
        <f t="shared" si="251"/>
        <v>2683.3128092763232</v>
      </c>
      <c r="Y290" s="86">
        <f t="shared" si="252"/>
        <v>22198.401829999999</v>
      </c>
      <c r="Z290" s="85">
        <f t="shared" si="253"/>
        <v>-832.16398485565549</v>
      </c>
      <c r="AA290" s="85">
        <f t="shared" si="254"/>
        <v>2150.7552390597075</v>
      </c>
      <c r="AB290" s="90">
        <f t="shared" si="255"/>
        <v>832.16398485565549</v>
      </c>
      <c r="AC290" s="86">
        <f t="shared" si="256"/>
        <v>-7057.3460800000003</v>
      </c>
      <c r="AD290" s="85">
        <f t="shared" si="257"/>
        <v>2598.140025222212</v>
      </c>
      <c r="AE290" s="85">
        <f t="shared" si="258"/>
        <v>-2783.7356131378961</v>
      </c>
      <c r="AF290" s="90">
        <f t="shared" si="259"/>
        <v>2598.140025222212</v>
      </c>
      <c r="AG290" s="86">
        <f t="shared" si="260"/>
        <v>-25895.749039999999</v>
      </c>
      <c r="AH290" s="85">
        <f t="shared" si="261"/>
        <v>6183.1314163678471</v>
      </c>
      <c r="AI290" s="85">
        <f t="shared" si="262"/>
        <v>-17707.654238989966</v>
      </c>
      <c r="AJ290" s="90">
        <f t="shared" si="263"/>
        <v>6183.1314163678471</v>
      </c>
      <c r="AL290" s="95">
        <f t="shared" si="264"/>
        <v>0</v>
      </c>
      <c r="AM290" s="95">
        <f t="shared" si="265"/>
        <v>0</v>
      </c>
      <c r="AN290" s="95">
        <f t="shared" si="266"/>
        <v>0</v>
      </c>
      <c r="AO290" s="95">
        <f t="shared" si="267"/>
        <v>0</v>
      </c>
      <c r="AP290"/>
      <c r="AQ290" s="95">
        <f t="shared" si="268"/>
        <v>0</v>
      </c>
      <c r="AR290" s="95">
        <f t="shared" si="269"/>
        <v>0</v>
      </c>
      <c r="AS290" s="95">
        <f>Geraetedaten!$B$94*ABS(SIN(RADIANS($A290)))</f>
        <v>143.77138568056904</v>
      </c>
      <c r="AT290" s="95">
        <f>Geraetedaten!$B$94*ABS(COS(RADIANS($A290)))</f>
        <v>55.188664229976311</v>
      </c>
      <c r="AU290" s="95">
        <f>((h_Aw_Sw+Geraetedaten!$B$18)/1000)*(AQ290*AS290+AR290*AT290)/100</f>
        <v>0</v>
      </c>
    </row>
    <row r="291" spans="1:47" ht="13.5" x14ac:dyDescent="0.25">
      <c r="A291" s="16">
        <v>250</v>
      </c>
      <c r="B291" s="16">
        <f t="shared" si="236"/>
        <v>200</v>
      </c>
      <c r="C291" s="19">
        <f t="shared" si="237"/>
        <v>69.958103143915849</v>
      </c>
      <c r="D291" s="17">
        <f t="shared" si="238"/>
        <v>7059.3833668560846</v>
      </c>
      <c r="E291" s="17">
        <f t="shared" si="239"/>
        <v>23095.497146856083</v>
      </c>
      <c r="F291" s="17">
        <f t="shared" si="240"/>
        <v>-7081.3019931439158</v>
      </c>
      <c r="G291" s="17">
        <f t="shared" si="241"/>
        <v>-27242.479503143917</v>
      </c>
      <c r="H291" s="17">
        <f t="shared" si="242"/>
        <v>7059.3833668560846</v>
      </c>
      <c r="I291" s="17">
        <f t="shared" si="243"/>
        <v>2854.3954207351712</v>
      </c>
      <c r="J291" s="20">
        <f>(Geraetedaten!$B$152+(Geraetedaten!$B$153*(Geraetedaten!$B$18+d_y_Sw)/1000))*10</f>
        <v>6051.0442000000003</v>
      </c>
      <c r="K291" s="20">
        <f>(Geraetedaten!$B$165+(Geraetedaten!$B$166*(Geraetedaten!$B$18+d_y_Sw)/1000))*10</f>
        <v>10816.164000000001</v>
      </c>
      <c r="L291" s="20">
        <f>(Geraetedaten!$B$158+(Geraetedaten!$B$159*(Geraetedaten!$B$18+d_y_Sw)/1000)-(Geraetedaten!$B$160*I291/1000))*10</f>
        <v>392.22378379748966</v>
      </c>
      <c r="M291" s="20">
        <f>(Geraetedaten!$B$171+(Geraetedaten!$B$172*(Geraetedaten!$B$18+d_y_Sw)/1000)-(Geraetedaten!$B$173*I291/1000))*10</f>
        <v>852.38580488047478</v>
      </c>
      <c r="N291" s="20">
        <f>IF((H291-J291)/(K291-J291)*(Geraetedaten!$B$174-Geraetedaten!$B$161)&lt;Geraetedaten!$B$174,(H291-J291)/(K291-J291)*(Geraetedaten!$B$174-Geraetedaten!$B$161),Geraetedaten!$B$174)</f>
        <v>84.643342386152327</v>
      </c>
      <c r="O291" s="20">
        <f>N291/Geraetedaten!$B$174*(M291-L291)+L291+C291</f>
        <v>559.55601570048293</v>
      </c>
      <c r="P291" s="20">
        <f t="shared" si="244"/>
        <v>197.61590587416555</v>
      </c>
      <c r="Q291" s="21">
        <f>(N291-Geraetedaten!$B$161)/(Geraetedaten!$B$174-Geraetedaten!$B$161)*(Geraetedaten!$B$175-Geraetedaten!$B$162)+Geraetedaten!$B$162</f>
        <v>31.718139435988032</v>
      </c>
      <c r="R291" s="21">
        <f t="shared" si="245"/>
        <v>31.718139435988032</v>
      </c>
      <c r="S291" s="21">
        <f t="shared" si="246"/>
        <v>-29.805301573056468</v>
      </c>
      <c r="T291" s="88">
        <f t="shared" si="247"/>
        <v>-10.848242595920166</v>
      </c>
      <c r="U291" s="86">
        <f t="shared" si="248"/>
        <v>7129.3414700000003</v>
      </c>
      <c r="V291" s="85">
        <f t="shared" si="249"/>
        <v>-2683.3128092763232</v>
      </c>
      <c r="W291" s="85">
        <f t="shared" si="250"/>
        <v>2854.3954207351712</v>
      </c>
      <c r="X291" s="90">
        <f t="shared" si="251"/>
        <v>2683.3128092763232</v>
      </c>
      <c r="Y291" s="86">
        <f t="shared" si="252"/>
        <v>23165.455249999999</v>
      </c>
      <c r="Z291" s="85">
        <f t="shared" si="253"/>
        <v>-832.16398485565549</v>
      </c>
      <c r="AA291" s="85">
        <f t="shared" si="254"/>
        <v>2244.450958036748</v>
      </c>
      <c r="AB291" s="90">
        <f t="shared" si="255"/>
        <v>832.16398485565549</v>
      </c>
      <c r="AC291" s="86">
        <f t="shared" si="256"/>
        <v>-7011.3438900000001</v>
      </c>
      <c r="AD291" s="85">
        <f t="shared" si="257"/>
        <v>2598.140025222212</v>
      </c>
      <c r="AE291" s="85">
        <f t="shared" si="258"/>
        <v>-2765.5902739811095</v>
      </c>
      <c r="AF291" s="90">
        <f t="shared" si="259"/>
        <v>2598.140025222212</v>
      </c>
      <c r="AG291" s="86">
        <f t="shared" si="260"/>
        <v>-27172.521400000001</v>
      </c>
      <c r="AH291" s="85">
        <f t="shared" si="261"/>
        <v>6183.1314163678471</v>
      </c>
      <c r="AI291" s="85">
        <f t="shared" si="262"/>
        <v>-18580.718135303923</v>
      </c>
      <c r="AJ291" s="90">
        <f t="shared" si="263"/>
        <v>6183.1314163678471</v>
      </c>
      <c r="AL291" s="95">
        <f t="shared" si="264"/>
        <v>0</v>
      </c>
      <c r="AM291" s="95">
        <f t="shared" si="265"/>
        <v>0</v>
      </c>
      <c r="AN291" s="95">
        <f t="shared" si="266"/>
        <v>0</v>
      </c>
      <c r="AO291" s="95">
        <f t="shared" si="267"/>
        <v>0</v>
      </c>
      <c r="AP291"/>
      <c r="AQ291" s="95">
        <f t="shared" si="268"/>
        <v>0</v>
      </c>
      <c r="AR291" s="95">
        <f t="shared" si="269"/>
        <v>0</v>
      </c>
      <c r="AS291" s="95">
        <f>Geraetedaten!$B$94*ABS(SIN(RADIANS($A291)))</f>
        <v>144.7126636010299</v>
      </c>
      <c r="AT291" s="95">
        <f>Geraetedaten!$B$94*ABS(COS(RADIANS($A291)))</f>
        <v>52.671102072152955</v>
      </c>
      <c r="AU291" s="95">
        <f>((h_Aw_Sw+Geraetedaten!$B$18)/1000)*(AQ291*AS291+AR291*AT291)/100</f>
        <v>0</v>
      </c>
    </row>
    <row r="292" spans="1:47" ht="13.5" x14ac:dyDescent="0.25">
      <c r="A292" s="16">
        <v>251</v>
      </c>
      <c r="B292" s="16">
        <f t="shared" si="236"/>
        <v>199</v>
      </c>
      <c r="C292" s="19">
        <f t="shared" si="237"/>
        <v>69.835646424666706</v>
      </c>
      <c r="D292" s="17">
        <f t="shared" si="238"/>
        <v>7015.7283835753333</v>
      </c>
      <c r="E292" s="17">
        <f t="shared" si="239"/>
        <v>24158.484793575331</v>
      </c>
      <c r="F292" s="17">
        <f t="shared" si="240"/>
        <v>-7037.8819664246666</v>
      </c>
      <c r="G292" s="17">
        <f t="shared" si="241"/>
        <v>-28660.720306424668</v>
      </c>
      <c r="H292" s="17">
        <f t="shared" si="242"/>
        <v>7015.7283835753333</v>
      </c>
      <c r="I292" s="17">
        <f t="shared" si="243"/>
        <v>2836.8681180996991</v>
      </c>
      <c r="J292" s="20">
        <f>(Geraetedaten!$B$152+(Geraetedaten!$B$153*(Geraetedaten!$B$18+d_y_Sw)/1000))*10</f>
        <v>6051.0442000000003</v>
      </c>
      <c r="K292" s="20">
        <f>(Geraetedaten!$B$165+(Geraetedaten!$B$166*(Geraetedaten!$B$18+d_y_Sw)/1000))*10</f>
        <v>10816.164000000001</v>
      </c>
      <c r="L292" s="20">
        <f>(Geraetedaten!$B$158+(Geraetedaten!$B$159*(Geraetedaten!$B$18+d_y_Sw)/1000)-(Geraetedaten!$B$160*I292/1000))*10</f>
        <v>393.50906089974887</v>
      </c>
      <c r="M292" s="20">
        <f>(Geraetedaten!$B$171+(Geraetedaten!$B$172*(Geraetedaten!$B$18+d_y_Sw)/1000)-(Geraetedaten!$B$173*I292/1000))*10</f>
        <v>853.69053728865936</v>
      </c>
      <c r="N292" s="20">
        <f>IF((H292-J292)/(K292-J292)*(Geraetedaten!$B$174-Geraetedaten!$B$161)&lt;Geraetedaten!$B$174,(H292-J292)/(K292-J292)*(Geraetedaten!$B$174-Geraetedaten!$B$161),Geraetedaten!$B$174)</f>
        <v>80.978797937070368</v>
      </c>
      <c r="O292" s="20">
        <f>N292/Geraetedaten!$B$174*(M292-L292)+L292+C292</f>
        <v>556.50706430161631</v>
      </c>
      <c r="P292" s="20">
        <f t="shared" si="244"/>
        <v>197.16409613149276</v>
      </c>
      <c r="Q292" s="21">
        <f>(N292-Geraetedaten!$B$161)/(Geraetedaten!$B$174-Geraetedaten!$B$161)*(Geraetedaten!$B$175-Geraetedaten!$B$162)+Geraetedaten!$B$162</f>
        <v>31.609119238627844</v>
      </c>
      <c r="R292" s="21">
        <f t="shared" si="245"/>
        <v>31.609119238627844</v>
      </c>
      <c r="S292" s="21">
        <f t="shared" si="246"/>
        <v>-29.88700939845636</v>
      </c>
      <c r="T292" s="88">
        <f t="shared" si="247"/>
        <v>-10.290922614536271</v>
      </c>
      <c r="U292" s="86">
        <f t="shared" si="248"/>
        <v>7085.5640299999995</v>
      </c>
      <c r="V292" s="85">
        <f t="shared" si="249"/>
        <v>-2683.3128092763232</v>
      </c>
      <c r="W292" s="85">
        <f t="shared" si="250"/>
        <v>2836.8681180996991</v>
      </c>
      <c r="X292" s="90">
        <f t="shared" si="251"/>
        <v>2683.3128092763232</v>
      </c>
      <c r="Y292" s="86">
        <f t="shared" si="252"/>
        <v>24228.32044</v>
      </c>
      <c r="Z292" s="85">
        <f t="shared" si="253"/>
        <v>-832.16398485565549</v>
      </c>
      <c r="AA292" s="85">
        <f t="shared" si="254"/>
        <v>2347.4296717279581</v>
      </c>
      <c r="AB292" s="90">
        <f t="shared" si="255"/>
        <v>832.16398485565549</v>
      </c>
      <c r="AC292" s="86">
        <f t="shared" si="256"/>
        <v>-6968.0463200000004</v>
      </c>
      <c r="AD292" s="85">
        <f t="shared" si="257"/>
        <v>2598.140025222212</v>
      </c>
      <c r="AE292" s="85">
        <f t="shared" si="258"/>
        <v>-2748.5117592375618</v>
      </c>
      <c r="AF292" s="90">
        <f t="shared" si="259"/>
        <v>2598.140025222212</v>
      </c>
      <c r="AG292" s="86">
        <f t="shared" si="260"/>
        <v>-28590.88466</v>
      </c>
      <c r="AH292" s="85">
        <f t="shared" si="261"/>
        <v>6183.1314163678471</v>
      </c>
      <c r="AI292" s="85">
        <f t="shared" si="262"/>
        <v>-19550.60265787784</v>
      </c>
      <c r="AJ292" s="90">
        <f t="shared" si="263"/>
        <v>6183.1314163678471</v>
      </c>
      <c r="AL292" s="95">
        <f t="shared" si="264"/>
        <v>0</v>
      </c>
      <c r="AM292" s="95">
        <f t="shared" si="265"/>
        <v>0</v>
      </c>
      <c r="AN292" s="95">
        <f t="shared" si="266"/>
        <v>0</v>
      </c>
      <c r="AO292" s="95">
        <f t="shared" si="267"/>
        <v>0</v>
      </c>
      <c r="AP292"/>
      <c r="AQ292" s="95">
        <f t="shared" si="268"/>
        <v>0</v>
      </c>
      <c r="AR292" s="95">
        <f t="shared" si="269"/>
        <v>0</v>
      </c>
      <c r="AS292" s="95">
        <f>Geraetedaten!$B$94*ABS(SIN(RADIANS($A292)))</f>
        <v>145.60986064229479</v>
      </c>
      <c r="AT292" s="95">
        <f>Geraetedaten!$B$94*ABS(COS(RADIANS($A292)))</f>
        <v>50.13749578640212</v>
      </c>
      <c r="AU292" s="95">
        <f>((h_Aw_Sw+Geraetedaten!$B$18)/1000)*(AQ292*AS292+AR292*AT292)/100</f>
        <v>0</v>
      </c>
    </row>
    <row r="293" spans="1:47" ht="13.5" x14ac:dyDescent="0.25">
      <c r="A293" s="16">
        <v>252</v>
      </c>
      <c r="B293" s="16">
        <f t="shared" si="236"/>
        <v>198</v>
      </c>
      <c r="C293" s="19">
        <f t="shared" si="237"/>
        <v>69.691917091003504</v>
      </c>
      <c r="D293" s="17">
        <f t="shared" si="238"/>
        <v>6974.7617329089971</v>
      </c>
      <c r="E293" s="17">
        <f t="shared" si="239"/>
        <v>25331.825052908996</v>
      </c>
      <c r="F293" s="17">
        <f t="shared" si="240"/>
        <v>-6997.069337091003</v>
      </c>
      <c r="G293" s="17">
        <f t="shared" si="241"/>
        <v>-30244.865237091006</v>
      </c>
      <c r="H293" s="17">
        <f t="shared" si="242"/>
        <v>6974.7617329089971</v>
      </c>
      <c r="I293" s="17">
        <f t="shared" si="243"/>
        <v>2820.4086337824042</v>
      </c>
      <c r="J293" s="20">
        <f>(Geraetedaten!$B$152+(Geraetedaten!$B$153*(Geraetedaten!$B$18+d_y_Sw)/1000))*10</f>
        <v>6051.0442000000003</v>
      </c>
      <c r="K293" s="20">
        <f>(Geraetedaten!$B$165+(Geraetedaten!$B$166*(Geraetedaten!$B$18+d_y_Sw)/1000))*10</f>
        <v>10816.164000000001</v>
      </c>
      <c r="L293" s="20">
        <f>(Geraetedaten!$B$158+(Geraetedaten!$B$159*(Geraetedaten!$B$18+d_y_Sw)/1000)-(Geraetedaten!$B$160*I293/1000))*10</f>
        <v>394.71603488473602</v>
      </c>
      <c r="M293" s="20">
        <f>(Geraetedaten!$B$171+(Geraetedaten!$B$172*(Geraetedaten!$B$18+d_y_Sw)/1000)-(Geraetedaten!$B$173*I293/1000))*10</f>
        <v>854.91578130123867</v>
      </c>
      <c r="N293" s="20">
        <f>IF((H293-J293)/(K293-J293)*(Geraetedaten!$B$174-Geraetedaten!$B$161)&lt;Geraetedaten!$B$174,(H293-J293)/(K293-J293)*(Geraetedaten!$B$174-Geraetedaten!$B$161),Geraetedaten!$B$174)</f>
        <v>77.539921066328432</v>
      </c>
      <c r="O293" s="20">
        <f>N293/Geraetedaten!$B$174*(M293-L293)+L293+C293</f>
        <v>553.61758200543943</v>
      </c>
      <c r="P293" s="20">
        <f t="shared" si="244"/>
        <v>196.72735643897869</v>
      </c>
      <c r="Q293" s="21">
        <f>(N293-Geraetedaten!$B$161)/(Geraetedaten!$B$174-Geraetedaten!$B$161)*(Geraetedaten!$B$175-Geraetedaten!$B$162)+Geraetedaten!$B$162</f>
        <v>31.506812651723269</v>
      </c>
      <c r="R293" s="21">
        <f t="shared" si="245"/>
        <v>31.506812651723269</v>
      </c>
      <c r="S293" s="21">
        <f t="shared" si="246"/>
        <v>-29.964759480112001</v>
      </c>
      <c r="T293" s="88">
        <f t="shared" si="247"/>
        <v>-9.7361405479700966</v>
      </c>
      <c r="U293" s="86">
        <f t="shared" si="248"/>
        <v>7044.4536500000004</v>
      </c>
      <c r="V293" s="85">
        <f t="shared" si="249"/>
        <v>-2683.3128092763232</v>
      </c>
      <c r="W293" s="85">
        <f t="shared" si="250"/>
        <v>2820.4086337824042</v>
      </c>
      <c r="X293" s="90">
        <f t="shared" si="251"/>
        <v>2683.3128092763232</v>
      </c>
      <c r="Y293" s="86">
        <f t="shared" si="252"/>
        <v>25401.516970000001</v>
      </c>
      <c r="Z293" s="85">
        <f t="shared" si="253"/>
        <v>-832.16398485565549</v>
      </c>
      <c r="AA293" s="85">
        <f t="shared" si="254"/>
        <v>2461.0981519076954</v>
      </c>
      <c r="AB293" s="90">
        <f t="shared" si="255"/>
        <v>832.16398485565549</v>
      </c>
      <c r="AC293" s="86">
        <f t="shared" si="256"/>
        <v>-6927.3774199999998</v>
      </c>
      <c r="AD293" s="85">
        <f t="shared" si="257"/>
        <v>2598.140025222212</v>
      </c>
      <c r="AE293" s="85">
        <f t="shared" si="258"/>
        <v>-2732.4701102840177</v>
      </c>
      <c r="AF293" s="90">
        <f t="shared" si="259"/>
        <v>2598.140025222212</v>
      </c>
      <c r="AG293" s="86">
        <f t="shared" si="260"/>
        <v>-30175.173320000002</v>
      </c>
      <c r="AH293" s="85">
        <f t="shared" si="261"/>
        <v>6183.1314163678471</v>
      </c>
      <c r="AI293" s="85">
        <f t="shared" si="262"/>
        <v>-20633.947872515735</v>
      </c>
      <c r="AJ293" s="90">
        <f t="shared" si="263"/>
        <v>6183.1314163678471</v>
      </c>
      <c r="AL293" s="95">
        <f t="shared" si="264"/>
        <v>0</v>
      </c>
      <c r="AM293" s="95">
        <f t="shared" si="265"/>
        <v>0</v>
      </c>
      <c r="AN293" s="95">
        <f t="shared" si="266"/>
        <v>0</v>
      </c>
      <c r="AO293" s="95">
        <f t="shared" si="267"/>
        <v>0</v>
      </c>
      <c r="AP293"/>
      <c r="AQ293" s="95">
        <f t="shared" si="268"/>
        <v>0</v>
      </c>
      <c r="AR293" s="95">
        <f t="shared" si="269"/>
        <v>0</v>
      </c>
      <c r="AS293" s="95">
        <f>Geraetedaten!$B$94*ABS(SIN(RADIANS($A293)))</f>
        <v>146.46270350945363</v>
      </c>
      <c r="AT293" s="95">
        <f>Geraetedaten!$B$94*ABS(COS(RADIANS($A293)))</f>
        <v>47.588617133741927</v>
      </c>
      <c r="AU293" s="95">
        <f>((h_Aw_Sw+Geraetedaten!$B$18)/1000)*(AQ293*AS293+AR293*AT293)/100</f>
        <v>0</v>
      </c>
    </row>
    <row r="294" spans="1:47" ht="13.5" x14ac:dyDescent="0.25">
      <c r="A294" s="16">
        <v>253</v>
      </c>
      <c r="B294" s="16">
        <f t="shared" si="236"/>
        <v>197</v>
      </c>
      <c r="C294" s="19">
        <f t="shared" si="237"/>
        <v>69.526958924273615</v>
      </c>
      <c r="D294" s="17">
        <f t="shared" si="238"/>
        <v>6936.4123710757267</v>
      </c>
      <c r="E294" s="17">
        <f t="shared" si="239"/>
        <v>26633.134281075727</v>
      </c>
      <c r="F294" s="17">
        <f t="shared" si="240"/>
        <v>-6958.7938089242734</v>
      </c>
      <c r="G294" s="17">
        <f t="shared" si="241"/>
        <v>-32025.172298924273</v>
      </c>
      <c r="H294" s="17">
        <f t="shared" si="242"/>
        <v>6936.4123710757267</v>
      </c>
      <c r="I294" s="17">
        <f t="shared" si="243"/>
        <v>2804.9885411772248</v>
      </c>
      <c r="J294" s="20">
        <f>(Geraetedaten!$B$152+(Geraetedaten!$B$153*(Geraetedaten!$B$18+d_y_Sw)/1000))*10</f>
        <v>6051.0442000000003</v>
      </c>
      <c r="K294" s="20">
        <f>(Geraetedaten!$B$165+(Geraetedaten!$B$166*(Geraetedaten!$B$18+d_y_Sw)/1000))*10</f>
        <v>10816.164000000001</v>
      </c>
      <c r="L294" s="20">
        <f>(Geraetedaten!$B$158+(Geraetedaten!$B$159*(Geraetedaten!$B$18+d_y_Sw)/1000)-(Geraetedaten!$B$160*I294/1000))*10</f>
        <v>395.84679027547395</v>
      </c>
      <c r="M294" s="20">
        <f>(Geraetedaten!$B$171+(Geraetedaten!$B$172*(Geraetedaten!$B$18+d_y_Sw)/1000)-(Geraetedaten!$B$173*I294/1000))*10</f>
        <v>856.06365299476829</v>
      </c>
      <c r="N294" s="20">
        <f>IF((H294-J294)/(K294-J294)*(Geraetedaten!$B$174-Geraetedaten!$B$161)&lt;Geraetedaten!$B$174,(H294-J294)/(K294-J294)*(Geraetedaten!$B$174-Geraetedaten!$B$161),Geraetedaten!$B$174)</f>
        <v>74.320748122699982</v>
      </c>
      <c r="O294" s="20">
        <f>N294/Geraetedaten!$B$174*(M294-L294)+L294+C294</f>
        <v>550.88290303969723</v>
      </c>
      <c r="P294" s="20">
        <f t="shared" si="244"/>
        <v>196.30544086883449</v>
      </c>
      <c r="Q294" s="21">
        <f>(N294-Geraetedaten!$B$161)/(Geraetedaten!$B$174-Geraetedaten!$B$161)*(Geraetedaten!$B$175-Geraetedaten!$B$162)+Geraetedaten!$B$162</f>
        <v>31.411042256650326</v>
      </c>
      <c r="R294" s="21">
        <f t="shared" si="245"/>
        <v>31.411042256650326</v>
      </c>
      <c r="S294" s="21">
        <f t="shared" si="246"/>
        <v>-30.03852909979058</v>
      </c>
      <c r="T294" s="88">
        <f t="shared" si="247"/>
        <v>-9.1836999716947876</v>
      </c>
      <c r="U294" s="86">
        <f t="shared" si="248"/>
        <v>7005.9393300000002</v>
      </c>
      <c r="V294" s="85">
        <f t="shared" si="249"/>
        <v>-2683.3128092763232</v>
      </c>
      <c r="W294" s="85">
        <f t="shared" si="250"/>
        <v>2804.9885411772248</v>
      </c>
      <c r="X294" s="90">
        <f t="shared" si="251"/>
        <v>2683.3128092763232</v>
      </c>
      <c r="Y294" s="86">
        <f t="shared" si="252"/>
        <v>26702.661240000001</v>
      </c>
      <c r="Z294" s="85">
        <f t="shared" si="253"/>
        <v>-832.16398485565549</v>
      </c>
      <c r="AA294" s="85">
        <f t="shared" si="254"/>
        <v>2587.1632112119246</v>
      </c>
      <c r="AB294" s="90">
        <f t="shared" si="255"/>
        <v>832.16398485565549</v>
      </c>
      <c r="AC294" s="86">
        <f t="shared" si="256"/>
        <v>-6889.26685</v>
      </c>
      <c r="AD294" s="85">
        <f t="shared" si="257"/>
        <v>2598.140025222212</v>
      </c>
      <c r="AE294" s="85">
        <f t="shared" si="258"/>
        <v>-2717.4375831201778</v>
      </c>
      <c r="AF294" s="90">
        <f t="shared" si="259"/>
        <v>2598.140025222212</v>
      </c>
      <c r="AG294" s="86">
        <f t="shared" si="260"/>
        <v>-31955.645339999999</v>
      </c>
      <c r="AH294" s="85">
        <f t="shared" si="261"/>
        <v>6183.1314163678471</v>
      </c>
      <c r="AI294" s="85">
        <f t="shared" si="262"/>
        <v>-21851.444337653498</v>
      </c>
      <c r="AJ294" s="90">
        <f t="shared" si="263"/>
        <v>6183.1314163678471</v>
      </c>
      <c r="AL294" s="95">
        <f t="shared" si="264"/>
        <v>0</v>
      </c>
      <c r="AM294" s="95">
        <f t="shared" si="265"/>
        <v>0</v>
      </c>
      <c r="AN294" s="95">
        <f t="shared" si="266"/>
        <v>0</v>
      </c>
      <c r="AO294" s="95">
        <f t="shared" si="267"/>
        <v>0</v>
      </c>
      <c r="AP294"/>
      <c r="AQ294" s="95">
        <f t="shared" si="268"/>
        <v>0</v>
      </c>
      <c r="AR294" s="95">
        <f t="shared" si="269"/>
        <v>0</v>
      </c>
      <c r="AS294" s="95">
        <f>Geraetedaten!$B$94*ABS(SIN(RADIANS($A294)))</f>
        <v>147.27093241830744</v>
      </c>
      <c r="AT294" s="95">
        <f>Geraetedaten!$B$94*ABS(COS(RADIANS($A294)))</f>
        <v>45.025242527301515</v>
      </c>
      <c r="AU294" s="95">
        <f>((h_Aw_Sw+Geraetedaten!$B$18)/1000)*(AQ294*AS294+AR294*AT294)/100</f>
        <v>0</v>
      </c>
    </row>
    <row r="295" spans="1:47" ht="13.5" x14ac:dyDescent="0.25">
      <c r="A295" s="16">
        <v>254</v>
      </c>
      <c r="B295" s="16">
        <f t="shared" si="236"/>
        <v>196</v>
      </c>
      <c r="C295" s="19">
        <f t="shared" si="237"/>
        <v>69.340822172332622</v>
      </c>
      <c r="D295" s="17">
        <f t="shared" si="238"/>
        <v>6900.614607827667</v>
      </c>
      <c r="E295" s="17">
        <f t="shared" si="239"/>
        <v>28083.997247827669</v>
      </c>
      <c r="F295" s="17">
        <f t="shared" si="240"/>
        <v>-6922.9904021723332</v>
      </c>
      <c r="G295" s="17">
        <f t="shared" si="241"/>
        <v>-34039.741512172332</v>
      </c>
      <c r="H295" s="17">
        <f t="shared" si="242"/>
        <v>6900.614607827667</v>
      </c>
      <c r="I295" s="17">
        <f t="shared" si="243"/>
        <v>2790.5815610696864</v>
      </c>
      <c r="J295" s="20">
        <f>(Geraetedaten!$B$152+(Geraetedaten!$B$153*(Geraetedaten!$B$18+d_y_Sw)/1000))*10</f>
        <v>6051.0442000000003</v>
      </c>
      <c r="K295" s="20">
        <f>(Geraetedaten!$B$165+(Geraetedaten!$B$166*(Geraetedaten!$B$18+d_y_Sw)/1000))*10</f>
        <v>10816.164000000001</v>
      </c>
      <c r="L295" s="20">
        <f>(Geraetedaten!$B$158+(Geraetedaten!$B$159*(Geraetedaten!$B$18+d_y_Sw)/1000)-(Geraetedaten!$B$160*I295/1000))*10</f>
        <v>396.90325412675969</v>
      </c>
      <c r="M295" s="20">
        <f>(Geraetedaten!$B$171+(Geraetedaten!$B$172*(Geraetedaten!$B$18+d_y_Sw)/1000)-(Geraetedaten!$B$173*I295/1000))*10</f>
        <v>857.13610859397352</v>
      </c>
      <c r="N295" s="20">
        <f>IF((H295-J295)/(K295-J295)*(Geraetedaten!$B$174-Geraetedaten!$B$161)&lt;Geraetedaten!$B$174,(H295-J295)/(K295-J295)*(Geraetedaten!$B$174-Geraetedaten!$B$161),Geraetedaten!$B$174)</f>
        <v>71.315764848360502</v>
      </c>
      <c r="O295" s="20">
        <f>N295/Geraetedaten!$B$174*(M295-L295)+L295+C295</f>
        <v>548.2987213607762</v>
      </c>
      <c r="P295" s="20">
        <f t="shared" si="244"/>
        <v>195.89812599445054</v>
      </c>
      <c r="Q295" s="21">
        <f>(N295-Geraetedaten!$B$161)/(Geraetedaten!$B$174-Geraetedaten!$B$161)*(Geraetedaten!$B$175-Geraetedaten!$B$162)+Geraetedaten!$B$162</f>
        <v>31.321644004238724</v>
      </c>
      <c r="R295" s="21">
        <f t="shared" si="245"/>
        <v>31.321644004238724</v>
      </c>
      <c r="S295" s="21">
        <f t="shared" si="246"/>
        <v>-30.108296635090795</v>
      </c>
      <c r="T295" s="88">
        <f t="shared" si="247"/>
        <v>-8.6334151331697182</v>
      </c>
      <c r="U295" s="86">
        <f t="shared" si="248"/>
        <v>6969.95543</v>
      </c>
      <c r="V295" s="85">
        <f t="shared" si="249"/>
        <v>-2683.3128092763232</v>
      </c>
      <c r="W295" s="85">
        <f t="shared" si="250"/>
        <v>2790.5815610696864</v>
      </c>
      <c r="X295" s="90">
        <f t="shared" si="251"/>
        <v>2683.3128092763232</v>
      </c>
      <c r="Y295" s="86">
        <f t="shared" si="252"/>
        <v>28153.338070000002</v>
      </c>
      <c r="Z295" s="85">
        <f t="shared" si="253"/>
        <v>-832.16398485565549</v>
      </c>
      <c r="AA295" s="85">
        <f t="shared" si="254"/>
        <v>2727.7161581901109</v>
      </c>
      <c r="AB295" s="90">
        <f t="shared" si="255"/>
        <v>832.16398485565549</v>
      </c>
      <c r="AC295" s="86">
        <f t="shared" si="256"/>
        <v>-6853.6495800000002</v>
      </c>
      <c r="AD295" s="85">
        <f t="shared" si="257"/>
        <v>2598.140025222212</v>
      </c>
      <c r="AE295" s="85">
        <f t="shared" si="258"/>
        <v>-2703.3885249585014</v>
      </c>
      <c r="AF295" s="90">
        <f t="shared" si="259"/>
        <v>2598.140025222212</v>
      </c>
      <c r="AG295" s="86">
        <f t="shared" si="260"/>
        <v>-33970.400690000002</v>
      </c>
      <c r="AH295" s="85">
        <f t="shared" si="261"/>
        <v>6183.1314163678471</v>
      </c>
      <c r="AI295" s="85">
        <f t="shared" si="262"/>
        <v>-23229.145022123445</v>
      </c>
      <c r="AJ295" s="90">
        <f t="shared" si="263"/>
        <v>6183.1314163678471</v>
      </c>
      <c r="AL295" s="95">
        <f t="shared" si="264"/>
        <v>0</v>
      </c>
      <c r="AM295" s="95">
        <f t="shared" si="265"/>
        <v>0</v>
      </c>
      <c r="AN295" s="95">
        <f t="shared" si="266"/>
        <v>0</v>
      </c>
      <c r="AO295" s="95">
        <f t="shared" si="267"/>
        <v>0</v>
      </c>
      <c r="AP295"/>
      <c r="AQ295" s="95">
        <f t="shared" si="268"/>
        <v>0</v>
      </c>
      <c r="AR295" s="95">
        <f t="shared" si="269"/>
        <v>0</v>
      </c>
      <c r="AS295" s="95">
        <f>Geraetedaten!$B$94*ABS(SIN(RADIANS($A295)))</f>
        <v>148.03430117450114</v>
      </c>
      <c r="AT295" s="95">
        <f>Geraetedaten!$B$94*ABS(COS(RADIANS($A295)))</f>
        <v>42.448152795817826</v>
      </c>
      <c r="AU295" s="95">
        <f>((h_Aw_Sw+Geraetedaten!$B$18)/1000)*(AQ295*AS295+AR295*AT295)/100</f>
        <v>0</v>
      </c>
    </row>
    <row r="296" spans="1:47" ht="13.5" x14ac:dyDescent="0.25">
      <c r="A296" s="16">
        <v>255</v>
      </c>
      <c r="B296" s="16">
        <f t="shared" si="236"/>
        <v>195</v>
      </c>
      <c r="C296" s="19">
        <f t="shared" si="237"/>
        <v>69.133563534238306</v>
      </c>
      <c r="D296" s="17">
        <f t="shared" si="238"/>
        <v>6867.3078264657615</v>
      </c>
      <c r="E296" s="17">
        <f t="shared" si="239"/>
        <v>29711.150896465762</v>
      </c>
      <c r="F296" s="17">
        <f t="shared" si="240"/>
        <v>-6889.5991535342382</v>
      </c>
      <c r="G296" s="17">
        <f t="shared" si="241"/>
        <v>-36337.230833534239</v>
      </c>
      <c r="H296" s="17">
        <f t="shared" si="242"/>
        <v>6867.3078264657615</v>
      </c>
      <c r="I296" s="17">
        <f t="shared" si="243"/>
        <v>2777.1634470792069</v>
      </c>
      <c r="J296" s="20">
        <f>(Geraetedaten!$B$152+(Geraetedaten!$B$153*(Geraetedaten!$B$18+d_y_Sw)/1000))*10</f>
        <v>6051.0442000000003</v>
      </c>
      <c r="K296" s="20">
        <f>(Geraetedaten!$B$165+(Geraetedaten!$B$166*(Geraetedaten!$B$18+d_y_Sw)/1000))*10</f>
        <v>10816.164000000001</v>
      </c>
      <c r="L296" s="20">
        <f>(Geraetedaten!$B$158+(Geraetedaten!$B$159*(Geraetedaten!$B$18+d_y_Sw)/1000)-(Geraetedaten!$B$160*I296/1000))*10</f>
        <v>397.88720442568155</v>
      </c>
      <c r="M296" s="20">
        <f>(Geraetedaten!$B$171+(Geraetedaten!$B$172*(Geraetedaten!$B$18+d_y_Sw)/1000)-(Geraetedaten!$B$173*I296/1000))*10</f>
        <v>858.13495299942474</v>
      </c>
      <c r="N296" s="20">
        <f>IF((H296-J296)/(K296-J296)*(Geraetedaten!$B$174-Geraetedaten!$B$161)&lt;Geraetedaten!$B$174,(H296-J296)/(K296-J296)*(Geraetedaten!$B$174-Geraetedaten!$B$161),Geraetedaten!$B$174)</f>
        <v>68.519882876041123</v>
      </c>
      <c r="O296" s="20">
        <f>N296/Geraetedaten!$B$174*(M296-L296)+L296+C296</f>
        <v>545.86107252550619</v>
      </c>
      <c r="P296" s="20">
        <f t="shared" si="244"/>
        <v>195.50521070234734</v>
      </c>
      <c r="Q296" s="21">
        <f>(N296-Geraetedaten!$B$161)/(Geraetedaten!$B$174-Geraetedaten!$B$161)*(Geraetedaten!$B$175-Geraetedaten!$B$162)+Geraetedaten!$B$162</f>
        <v>31.238466515562223</v>
      </c>
      <c r="R296" s="21">
        <f t="shared" si="245"/>
        <v>31.238466515562223</v>
      </c>
      <c r="S296" s="21">
        <f t="shared" si="246"/>
        <v>-30.174041581047835</v>
      </c>
      <c r="T296" s="88">
        <f t="shared" si="247"/>
        <v>-8.0851100740248789</v>
      </c>
      <c r="U296" s="86">
        <f t="shared" si="248"/>
        <v>6936.44139</v>
      </c>
      <c r="V296" s="85">
        <f t="shared" si="249"/>
        <v>-2683.3128092763232</v>
      </c>
      <c r="W296" s="85">
        <f t="shared" si="250"/>
        <v>2777.1634470792069</v>
      </c>
      <c r="X296" s="90">
        <f t="shared" si="251"/>
        <v>2683.3128092763232</v>
      </c>
      <c r="Y296" s="86">
        <f t="shared" si="252"/>
        <v>29780.284459999999</v>
      </c>
      <c r="Z296" s="85">
        <f t="shared" si="253"/>
        <v>-832.16398485565549</v>
      </c>
      <c r="AA296" s="85">
        <f t="shared" si="254"/>
        <v>2885.3474819610892</v>
      </c>
      <c r="AB296" s="90">
        <f t="shared" si="255"/>
        <v>832.16398485565549</v>
      </c>
      <c r="AC296" s="86">
        <f t="shared" si="256"/>
        <v>-6820.4655899999998</v>
      </c>
      <c r="AD296" s="85">
        <f t="shared" si="257"/>
        <v>2598.140025222212</v>
      </c>
      <c r="AE296" s="85">
        <f t="shared" si="258"/>
        <v>-2690.299262192616</v>
      </c>
      <c r="AF296" s="90">
        <f t="shared" si="259"/>
        <v>2598.140025222212</v>
      </c>
      <c r="AG296" s="86">
        <f t="shared" si="260"/>
        <v>-36268.097269999998</v>
      </c>
      <c r="AH296" s="85">
        <f t="shared" si="261"/>
        <v>6183.1314163678471</v>
      </c>
      <c r="AI296" s="85">
        <f t="shared" si="262"/>
        <v>-24800.322452892218</v>
      </c>
      <c r="AJ296" s="90">
        <f t="shared" si="263"/>
        <v>6183.1314163678471</v>
      </c>
      <c r="AL296" s="95">
        <f t="shared" si="264"/>
        <v>0</v>
      </c>
      <c r="AM296" s="95">
        <f t="shared" si="265"/>
        <v>0</v>
      </c>
      <c r="AN296" s="95">
        <f t="shared" si="266"/>
        <v>0</v>
      </c>
      <c r="AO296" s="95">
        <f t="shared" si="267"/>
        <v>0</v>
      </c>
      <c r="AP296"/>
      <c r="AQ296" s="95">
        <f t="shared" si="268"/>
        <v>0</v>
      </c>
      <c r="AR296" s="95">
        <f t="shared" si="269"/>
        <v>0</v>
      </c>
      <c r="AS296" s="95">
        <f>Geraetedaten!$B$94*ABS(SIN(RADIANS($A296)))</f>
        <v>148.75257724851653</v>
      </c>
      <c r="AT296" s="95">
        <f>Geraetedaten!$B$94*ABS(COS(RADIANS($A296)))</f>
        <v>39.858132945788178</v>
      </c>
      <c r="AU296" s="95">
        <f>((h_Aw_Sw+Geraetedaten!$B$18)/1000)*(AQ296*AS296+AR296*AT296)/100</f>
        <v>0</v>
      </c>
    </row>
    <row r="297" spans="1:47" ht="13.5" x14ac:dyDescent="0.25">
      <c r="A297" s="16">
        <v>256</v>
      </c>
      <c r="B297" s="16">
        <f t="shared" si="236"/>
        <v>194</v>
      </c>
      <c r="C297" s="19">
        <f t="shared" si="237"/>
        <v>68.905246142979607</v>
      </c>
      <c r="D297" s="17">
        <f t="shared" si="238"/>
        <v>6836.4362238570211</v>
      </c>
      <c r="E297" s="17">
        <f t="shared" si="239"/>
        <v>31548.118533857021</v>
      </c>
      <c r="F297" s="17">
        <f t="shared" si="240"/>
        <v>-6858.5648661429796</v>
      </c>
      <c r="G297" s="17">
        <f t="shared" si="241"/>
        <v>-38980.784726142985</v>
      </c>
      <c r="H297" s="17">
        <f t="shared" si="242"/>
        <v>6836.4362238570211</v>
      </c>
      <c r="I297" s="17">
        <f t="shared" si="243"/>
        <v>2764.7118817786895</v>
      </c>
      <c r="J297" s="20">
        <f>(Geraetedaten!$B$152+(Geraetedaten!$B$153*(Geraetedaten!$B$18+d_y_Sw)/1000))*10</f>
        <v>6051.0442000000003</v>
      </c>
      <c r="K297" s="20">
        <f>(Geraetedaten!$B$165+(Geraetedaten!$B$166*(Geraetedaten!$B$18+d_y_Sw)/1000))*10</f>
        <v>10816.164000000001</v>
      </c>
      <c r="L297" s="20">
        <f>(Geraetedaten!$B$158+(Geraetedaten!$B$159*(Geraetedaten!$B$18+d_y_Sw)/1000)-(Geraetedaten!$B$160*I297/1000))*10</f>
        <v>398.80027770916848</v>
      </c>
      <c r="M297" s="20">
        <f>(Geraetedaten!$B$171+(Geraetedaten!$B$172*(Geraetedaten!$B$18+d_y_Sw)/1000)-(Geraetedaten!$B$173*I297/1000))*10</f>
        <v>859.0618475203953</v>
      </c>
      <c r="N297" s="20">
        <f>IF((H297-J297)/(K297-J297)*(Geraetedaten!$B$174-Geraetedaten!$B$161)&lt;Geraetedaten!$B$174,(H297-J297)/(K297-J297)*(Geraetedaten!$B$174-Geraetedaten!$B$161),Geraetedaten!$B$174)</f>
        <v>65.928417905213692</v>
      </c>
      <c r="O297" s="20">
        <f>N297/Geraetedaten!$B$174*(M297-L297)+L297+C297</f>
        <v>543.56631665270868</v>
      </c>
      <c r="P297" s="20">
        <f t="shared" si="244"/>
        <v>195.12651590596965</v>
      </c>
      <c r="Q297" s="21">
        <f>(N297-Geraetedaten!$B$161)/(Geraetedaten!$B$174-Geraetedaten!$B$161)*(Geraetedaten!$B$175-Geraetedaten!$B$162)+Geraetedaten!$B$162</f>
        <v>31.161370432680108</v>
      </c>
      <c r="R297" s="21">
        <f t="shared" si="245"/>
        <v>31.161370432680108</v>
      </c>
      <c r="S297" s="21">
        <f t="shared" si="246"/>
        <v>-30.235744555732708</v>
      </c>
      <c r="T297" s="88">
        <f t="shared" si="247"/>
        <v>-7.5386178045574121</v>
      </c>
      <c r="U297" s="86">
        <f t="shared" si="248"/>
        <v>6905.3414700000003</v>
      </c>
      <c r="V297" s="85">
        <f t="shared" si="249"/>
        <v>-2683.3128092763232</v>
      </c>
      <c r="W297" s="85">
        <f t="shared" si="250"/>
        <v>2764.7118817786895</v>
      </c>
      <c r="X297" s="90">
        <f t="shared" si="251"/>
        <v>2683.3128092763232</v>
      </c>
      <c r="Y297" s="86">
        <f t="shared" si="252"/>
        <v>31617.02378</v>
      </c>
      <c r="Z297" s="85">
        <f t="shared" si="253"/>
        <v>-832.16398485565549</v>
      </c>
      <c r="AA297" s="85">
        <f t="shared" si="254"/>
        <v>3063.3051909304099</v>
      </c>
      <c r="AB297" s="90">
        <f t="shared" si="255"/>
        <v>832.16398485565549</v>
      </c>
      <c r="AC297" s="86">
        <f t="shared" si="256"/>
        <v>-6789.6596200000004</v>
      </c>
      <c r="AD297" s="85">
        <f t="shared" si="257"/>
        <v>2598.140025222212</v>
      </c>
      <c r="AE297" s="85">
        <f t="shared" si="258"/>
        <v>-2678.1479987951188</v>
      </c>
      <c r="AF297" s="90">
        <f t="shared" si="259"/>
        <v>2598.140025222212</v>
      </c>
      <c r="AG297" s="86">
        <f t="shared" si="260"/>
        <v>-38911.879480000003</v>
      </c>
      <c r="AH297" s="85">
        <f t="shared" si="261"/>
        <v>6183.1314163678471</v>
      </c>
      <c r="AI297" s="85">
        <f t="shared" si="262"/>
        <v>-26608.155128511906</v>
      </c>
      <c r="AJ297" s="90">
        <f t="shared" si="263"/>
        <v>6183.1314163678471</v>
      </c>
      <c r="AL297" s="95">
        <f t="shared" si="264"/>
        <v>0</v>
      </c>
      <c r="AM297" s="95">
        <f t="shared" si="265"/>
        <v>0</v>
      </c>
      <c r="AN297" s="95">
        <f t="shared" si="266"/>
        <v>0</v>
      </c>
      <c r="AO297" s="95">
        <f t="shared" si="267"/>
        <v>0</v>
      </c>
      <c r="AP297"/>
      <c r="AQ297" s="95">
        <f t="shared" si="268"/>
        <v>0</v>
      </c>
      <c r="AR297" s="95">
        <f t="shared" si="269"/>
        <v>0</v>
      </c>
      <c r="AS297" s="95">
        <f>Geraetedaten!$B$94*ABS(SIN(RADIANS($A297)))</f>
        <v>149.42554184650345</v>
      </c>
      <c r="AT297" s="95">
        <f>Geraetedaten!$B$94*ABS(COS(RADIANS($A297)))</f>
        <v>37.255971922348841</v>
      </c>
      <c r="AU297" s="95">
        <f>((h_Aw_Sw+Geraetedaten!$B$18)/1000)*(AQ297*AS297+AR297*AT297)/100</f>
        <v>0</v>
      </c>
    </row>
    <row r="298" spans="1:47" ht="13.5" x14ac:dyDescent="0.25">
      <c r="A298" s="16">
        <v>257</v>
      </c>
      <c r="B298" s="16">
        <f t="shared" si="236"/>
        <v>193</v>
      </c>
      <c r="C298" s="19">
        <f t="shared" si="237"/>
        <v>68.655939546245634</v>
      </c>
      <c r="D298" s="17">
        <f t="shared" si="238"/>
        <v>6807.9485804537544</v>
      </c>
      <c r="E298" s="17">
        <f t="shared" si="239"/>
        <v>33637.508350453754</v>
      </c>
      <c r="F298" s="17">
        <f t="shared" si="240"/>
        <v>-6829.8368895462454</v>
      </c>
      <c r="G298" s="17">
        <f t="shared" si="241"/>
        <v>-42053.85812954625</v>
      </c>
      <c r="H298" s="17">
        <f t="shared" si="242"/>
        <v>6807.9485804537544</v>
      </c>
      <c r="I298" s="17">
        <f t="shared" si="243"/>
        <v>2753.2063826314052</v>
      </c>
      <c r="J298" s="20">
        <f>(Geraetedaten!$B$152+(Geraetedaten!$B$153*(Geraetedaten!$B$18+d_y_Sw)/1000))*10</f>
        <v>6051.0442000000003</v>
      </c>
      <c r="K298" s="20">
        <f>(Geraetedaten!$B$165+(Geraetedaten!$B$166*(Geraetedaten!$B$18+d_y_Sw)/1000))*10</f>
        <v>10816.164000000001</v>
      </c>
      <c r="L298" s="20">
        <f>(Geraetedaten!$B$158+(Geraetedaten!$B$159*(Geraetedaten!$B$18+d_y_Sw)/1000)-(Geraetedaten!$B$160*I298/1000))*10</f>
        <v>399.64397596163883</v>
      </c>
      <c r="M298" s="20">
        <f>(Geraetedaten!$B$171+(Geraetedaten!$B$172*(Geraetedaten!$B$18+d_y_Sw)/1000)-(Geraetedaten!$B$173*I298/1000))*10</f>
        <v>859.91831687691911</v>
      </c>
      <c r="N298" s="20">
        <f>IF((H298-J298)/(K298-J298)*(Geraetedaten!$B$174-Geraetedaten!$B$161)&lt;Geraetedaten!$B$174,(H298-J298)/(K298-J298)*(Geraetedaten!$B$174-Geraetedaten!$B$161),Geraetedaten!$B$174)</f>
        <v>63.537070396740411</v>
      </c>
      <c r="O298" s="20">
        <f>N298/Geraetedaten!$B$174*(M298-L298)+L298+C298</f>
        <v>541.41112350925312</v>
      </c>
      <c r="P298" s="20">
        <f t="shared" si="244"/>
        <v>194.7618843711904</v>
      </c>
      <c r="Q298" s="21">
        <f>(N298-Geraetedaten!$B$161)/(Geraetedaten!$B$174-Geraetedaten!$B$161)*(Geraetedaten!$B$175-Geraetedaten!$B$162)+Geraetedaten!$B$162</f>
        <v>31.090227844303026</v>
      </c>
      <c r="R298" s="21">
        <f t="shared" si="245"/>
        <v>31.090227844303026</v>
      </c>
      <c r="S298" s="21">
        <f t="shared" si="246"/>
        <v>-30.293387318841262</v>
      </c>
      <c r="T298" s="88">
        <f t="shared" si="247"/>
        <v>-6.993779533366963</v>
      </c>
      <c r="U298" s="86">
        <f t="shared" si="248"/>
        <v>6876.6045199999999</v>
      </c>
      <c r="V298" s="85">
        <f t="shared" si="249"/>
        <v>-2683.3128092763232</v>
      </c>
      <c r="W298" s="85">
        <f t="shared" si="250"/>
        <v>2753.2063826314052</v>
      </c>
      <c r="X298" s="90">
        <f t="shared" si="251"/>
        <v>2683.3128092763232</v>
      </c>
      <c r="Y298" s="86">
        <f t="shared" si="252"/>
        <v>33706.164290000001</v>
      </c>
      <c r="Z298" s="85">
        <f t="shared" si="253"/>
        <v>-832.16398485565549</v>
      </c>
      <c r="AA298" s="85">
        <f t="shared" si="254"/>
        <v>3265.7175047721003</v>
      </c>
      <c r="AB298" s="90">
        <f t="shared" si="255"/>
        <v>832.16398485565549</v>
      </c>
      <c r="AC298" s="86">
        <f t="shared" si="256"/>
        <v>-6761.1809499999999</v>
      </c>
      <c r="AD298" s="85">
        <f t="shared" si="257"/>
        <v>2598.140025222212</v>
      </c>
      <c r="AE298" s="85">
        <f t="shared" si="258"/>
        <v>-2666.9147243018706</v>
      </c>
      <c r="AF298" s="90">
        <f t="shared" si="259"/>
        <v>2598.140025222212</v>
      </c>
      <c r="AG298" s="86">
        <f t="shared" si="260"/>
        <v>-41985.202190000004</v>
      </c>
      <c r="AH298" s="85">
        <f t="shared" si="261"/>
        <v>6183.1314163678471</v>
      </c>
      <c r="AI298" s="85">
        <f t="shared" si="262"/>
        <v>-28709.709936635427</v>
      </c>
      <c r="AJ298" s="90">
        <f t="shared" si="263"/>
        <v>6183.1314163678471</v>
      </c>
      <c r="AL298" s="95">
        <f t="shared" si="264"/>
        <v>0</v>
      </c>
      <c r="AM298" s="95">
        <f t="shared" si="265"/>
        <v>0</v>
      </c>
      <c r="AN298" s="95">
        <f t="shared" si="266"/>
        <v>0</v>
      </c>
      <c r="AO298" s="95">
        <f t="shared" si="267"/>
        <v>0</v>
      </c>
      <c r="AP298"/>
      <c r="AQ298" s="95">
        <f t="shared" si="268"/>
        <v>0</v>
      </c>
      <c r="AR298" s="95">
        <f t="shared" si="269"/>
        <v>0</v>
      </c>
      <c r="AS298" s="95">
        <f>Geraetedaten!$B$94*ABS(SIN(RADIANS($A298)))</f>
        <v>150.0529899769262</v>
      </c>
      <c r="AT298" s="95">
        <f>Geraetedaten!$B$94*ABS(COS(RADIANS($A298)))</f>
        <v>34.64246236895525</v>
      </c>
      <c r="AU298" s="95">
        <f>((h_Aw_Sw+Geraetedaten!$B$18)/1000)*(AQ298*AS298+AR298*AT298)/100</f>
        <v>0</v>
      </c>
    </row>
    <row r="299" spans="1:47" ht="13.5" x14ac:dyDescent="0.25">
      <c r="A299" s="16">
        <v>258</v>
      </c>
      <c r="B299" s="16">
        <f t="shared" si="236"/>
        <v>192</v>
      </c>
      <c r="C299" s="19">
        <f t="shared" si="237"/>
        <v>68.385719685240872</v>
      </c>
      <c r="D299" s="17">
        <f t="shared" si="238"/>
        <v>6781.7980103147593</v>
      </c>
      <c r="E299" s="17">
        <f t="shared" si="239"/>
        <v>36034.313800314761</v>
      </c>
      <c r="F299" s="17">
        <f t="shared" si="240"/>
        <v>-6803.3688696852405</v>
      </c>
      <c r="G299" s="17">
        <f t="shared" si="241"/>
        <v>-45669.095599685243</v>
      </c>
      <c r="H299" s="17">
        <f t="shared" si="242"/>
        <v>6781.7980103147593</v>
      </c>
      <c r="I299" s="17">
        <f t="shared" si="243"/>
        <v>2742.6282169818569</v>
      </c>
      <c r="J299" s="20">
        <f>(Geraetedaten!$B$152+(Geraetedaten!$B$153*(Geraetedaten!$B$18+d_y_Sw)/1000))*10</f>
        <v>6051.0442000000003</v>
      </c>
      <c r="K299" s="20">
        <f>(Geraetedaten!$B$165+(Geraetedaten!$B$166*(Geraetedaten!$B$18+d_y_Sw)/1000))*10</f>
        <v>10816.164000000001</v>
      </c>
      <c r="L299" s="20">
        <f>(Geraetedaten!$B$158+(Geraetedaten!$B$159*(Geraetedaten!$B$18+d_y_Sw)/1000)-(Geraetedaten!$B$160*I299/1000))*10</f>
        <v>400.41967284872021</v>
      </c>
      <c r="M299" s="20">
        <f>(Geraetedaten!$B$171+(Geraetedaten!$B$172*(Geraetedaten!$B$18+d_y_Sw)/1000)-(Geraetedaten!$B$173*I299/1000))*10</f>
        <v>860.70575552787147</v>
      </c>
      <c r="N299" s="20">
        <f>IF((H299-J299)/(K299-J299)*(Geraetedaten!$B$174-Geraetedaten!$B$161)&lt;Geraetedaten!$B$174,(H299-J299)/(K299-J299)*(Geraetedaten!$B$174-Geraetedaten!$B$161),Geraetedaten!$B$174)</f>
        <v>61.341904588821372</v>
      </c>
      <c r="O299" s="20">
        <f>N299/Geraetedaten!$B$174*(M299-L299)+L299+C299</f>
        <v>539.39245495212822</v>
      </c>
      <c r="P299" s="20">
        <f t="shared" si="244"/>
        <v>194.41117980732932</v>
      </c>
      <c r="Q299" s="21">
        <f>(N299-Geraetedaten!$B$161)/(Geraetedaten!$B$174-Geraetedaten!$B$161)*(Geraetedaten!$B$175-Geraetedaten!$B$162)+Geraetedaten!$B$162</f>
        <v>31.024921661517435</v>
      </c>
      <c r="R299" s="21">
        <f t="shared" si="245"/>
        <v>31.024921661517435</v>
      </c>
      <c r="S299" s="21">
        <f t="shared" si="246"/>
        <v>-30.346952686167551</v>
      </c>
      <c r="T299" s="88">
        <f t="shared" si="247"/>
        <v>-6.4504439201346315</v>
      </c>
      <c r="U299" s="86">
        <f t="shared" si="248"/>
        <v>6850.1837299999997</v>
      </c>
      <c r="V299" s="85">
        <f t="shared" si="249"/>
        <v>-2683.3128092763232</v>
      </c>
      <c r="W299" s="85">
        <f t="shared" si="250"/>
        <v>2742.6282169818569</v>
      </c>
      <c r="X299" s="90">
        <f t="shared" si="251"/>
        <v>2683.3128092763232</v>
      </c>
      <c r="Y299" s="86">
        <f t="shared" si="252"/>
        <v>36102.699520000002</v>
      </c>
      <c r="Z299" s="85">
        <f t="shared" si="253"/>
        <v>-832.16398485565549</v>
      </c>
      <c r="AA299" s="85">
        <f t="shared" si="254"/>
        <v>3497.9126308427735</v>
      </c>
      <c r="AB299" s="90">
        <f t="shared" si="255"/>
        <v>832.16398485565549</v>
      </c>
      <c r="AC299" s="86">
        <f t="shared" si="256"/>
        <v>-6734.98315</v>
      </c>
      <c r="AD299" s="85">
        <f t="shared" si="257"/>
        <v>2598.140025222212</v>
      </c>
      <c r="AE299" s="85">
        <f t="shared" si="258"/>
        <v>-2656.581130634595</v>
      </c>
      <c r="AF299" s="90">
        <f t="shared" si="259"/>
        <v>2598.140025222212</v>
      </c>
      <c r="AG299" s="86">
        <f t="shared" si="260"/>
        <v>-45600.709880000002</v>
      </c>
      <c r="AH299" s="85">
        <f t="shared" si="261"/>
        <v>6183.1314163678471</v>
      </c>
      <c r="AI299" s="85">
        <f t="shared" si="262"/>
        <v>-31182.013787904027</v>
      </c>
      <c r="AJ299" s="90">
        <f t="shared" si="263"/>
        <v>6183.1314163678471</v>
      </c>
      <c r="AL299" s="95">
        <f t="shared" si="264"/>
        <v>0</v>
      </c>
      <c r="AM299" s="95">
        <f t="shared" si="265"/>
        <v>0</v>
      </c>
      <c r="AN299" s="95">
        <f t="shared" si="266"/>
        <v>0</v>
      </c>
      <c r="AO299" s="95">
        <f t="shared" si="267"/>
        <v>0</v>
      </c>
      <c r="AP299"/>
      <c r="AQ299" s="95">
        <f t="shared" si="268"/>
        <v>0</v>
      </c>
      <c r="AR299" s="95">
        <f t="shared" si="269"/>
        <v>0</v>
      </c>
      <c r="AS299" s="95">
        <f>Geraetedaten!$B$94*ABS(SIN(RADIANS($A299)))</f>
        <v>150.63473051300605</v>
      </c>
      <c r="AT299" s="95">
        <f>Geraetedaten!$B$94*ABS(COS(RADIANS($A299)))</f>
        <v>32.01840038593501</v>
      </c>
      <c r="AU299" s="95">
        <f>((h_Aw_Sw+Geraetedaten!$B$18)/1000)*(AQ299*AS299+AR299*AT299)/100</f>
        <v>0</v>
      </c>
    </row>
    <row r="300" spans="1:47" ht="13.5" x14ac:dyDescent="0.25">
      <c r="A300" s="16">
        <v>259</v>
      </c>
      <c r="B300" s="16">
        <f t="shared" si="236"/>
        <v>191</v>
      </c>
      <c r="C300" s="19">
        <f t="shared" si="237"/>
        <v>68.094668871552614</v>
      </c>
      <c r="D300" s="17">
        <f t="shared" si="238"/>
        <v>6757.9418511284466</v>
      </c>
      <c r="E300" s="17">
        <f t="shared" si="239"/>
        <v>38810.765801128444</v>
      </c>
      <c r="F300" s="17">
        <f t="shared" si="240"/>
        <v>-6779.1186088715531</v>
      </c>
      <c r="G300" s="17">
        <f t="shared" si="241"/>
        <v>-49982.314918871554</v>
      </c>
      <c r="H300" s="17">
        <f t="shared" si="242"/>
        <v>6757.9418511284466</v>
      </c>
      <c r="I300" s="17">
        <f t="shared" si="243"/>
        <v>2732.9603254237109</v>
      </c>
      <c r="J300" s="20">
        <f>(Geraetedaten!$B$152+(Geraetedaten!$B$153*(Geraetedaten!$B$18+d_y_Sw)/1000))*10</f>
        <v>6051.0442000000003</v>
      </c>
      <c r="K300" s="20">
        <f>(Geraetedaten!$B$165+(Geraetedaten!$B$166*(Geraetedaten!$B$18+d_y_Sw)/1000))*10</f>
        <v>10816.164000000001</v>
      </c>
      <c r="L300" s="20">
        <f>(Geraetedaten!$B$158+(Geraetedaten!$B$159*(Geraetedaten!$B$18+d_y_Sw)/1000)-(Geraetedaten!$B$160*I300/1000))*10</f>
        <v>401.12861933667909</v>
      </c>
      <c r="M300" s="20">
        <f>(Geraetedaten!$B$171+(Geraetedaten!$B$172*(Geraetedaten!$B$18+d_y_Sw)/1000)-(Geraetedaten!$B$173*I300/1000))*10</f>
        <v>861.42543337545987</v>
      </c>
      <c r="N300" s="20">
        <f>IF((H300-J300)/(K300-J300)*(Geraetedaten!$B$174-Geraetedaten!$B$161)&lt;Geraetedaten!$B$174,(H300-J300)/(K300-J300)*(Geraetedaten!$B$174-Geraetedaten!$B$161),Geraetedaten!$B$174)</f>
        <v>59.339339265169897</v>
      </c>
      <c r="O300" s="20">
        <f>N300/Geraetedaten!$B$174*(M300-L300)+L300+C300</f>
        <v>537.50756023554175</v>
      </c>
      <c r="P300" s="20">
        <f t="shared" si="244"/>
        <v>194.07428806848421</v>
      </c>
      <c r="Q300" s="21">
        <f>(N300-Geraetedaten!$B$161)/(Geraetedaten!$B$174-Geraetedaten!$B$161)*(Geraetedaten!$B$175-Geraetedaten!$B$162)+Geraetedaten!$B$162</f>
        <v>30.965345343138804</v>
      </c>
      <c r="R300" s="21">
        <f t="shared" si="245"/>
        <v>30.965345343138804</v>
      </c>
      <c r="S300" s="21">
        <f t="shared" si="246"/>
        <v>-30.396424733669583</v>
      </c>
      <c r="T300" s="88">
        <f t="shared" si="247"/>
        <v>-5.9084664364120796</v>
      </c>
      <c r="U300" s="86">
        <f t="shared" si="248"/>
        <v>6826.0365199999997</v>
      </c>
      <c r="V300" s="85">
        <f t="shared" si="249"/>
        <v>-2683.3128092763232</v>
      </c>
      <c r="W300" s="85">
        <f t="shared" si="250"/>
        <v>2732.9603254237109</v>
      </c>
      <c r="X300" s="90">
        <f t="shared" si="251"/>
        <v>2683.3128092763232</v>
      </c>
      <c r="Y300" s="86">
        <f t="shared" si="252"/>
        <v>38878.86047</v>
      </c>
      <c r="Z300" s="85">
        <f t="shared" si="253"/>
        <v>-832.16398485565549</v>
      </c>
      <c r="AA300" s="85">
        <f t="shared" si="254"/>
        <v>3766.888872790279</v>
      </c>
      <c r="AB300" s="90">
        <f t="shared" si="255"/>
        <v>832.16398485565549</v>
      </c>
      <c r="AC300" s="86">
        <f t="shared" si="256"/>
        <v>-6711.02394</v>
      </c>
      <c r="AD300" s="85">
        <f t="shared" si="257"/>
        <v>2598.140025222212</v>
      </c>
      <c r="AE300" s="85">
        <f t="shared" si="258"/>
        <v>-2647.1305370981986</v>
      </c>
      <c r="AF300" s="90">
        <f t="shared" si="259"/>
        <v>2598.140025222212</v>
      </c>
      <c r="AG300" s="86">
        <f t="shared" si="260"/>
        <v>-49914.220249999998</v>
      </c>
      <c r="AH300" s="85">
        <f t="shared" si="261"/>
        <v>6183.1314163678471</v>
      </c>
      <c r="AI300" s="85">
        <f t="shared" si="262"/>
        <v>-34131.615674426401</v>
      </c>
      <c r="AJ300" s="90">
        <f t="shared" si="263"/>
        <v>6183.1314163678471</v>
      </c>
      <c r="AL300" s="95">
        <f t="shared" si="264"/>
        <v>0</v>
      </c>
      <c r="AM300" s="95">
        <f t="shared" si="265"/>
        <v>0</v>
      </c>
      <c r="AN300" s="95">
        <f t="shared" si="266"/>
        <v>0</v>
      </c>
      <c r="AO300" s="95">
        <f t="shared" si="267"/>
        <v>0</v>
      </c>
      <c r="AP300"/>
      <c r="AQ300" s="95">
        <f t="shared" si="268"/>
        <v>0</v>
      </c>
      <c r="AR300" s="95">
        <f t="shared" si="269"/>
        <v>0</v>
      </c>
      <c r="AS300" s="95">
        <f>Geraetedaten!$B$94*ABS(SIN(RADIANS($A300)))</f>
        <v>151.17058625094026</v>
      </c>
      <c r="AT300" s="95">
        <f>Geraetedaten!$B$94*ABS(COS(RADIANS($A300)))</f>
        <v>29.384585287987871</v>
      </c>
      <c r="AU300" s="95">
        <f>((h_Aw_Sw+Geraetedaten!$B$18)/1000)*(AQ300*AS300+AR300*AT300)/100</f>
        <v>0</v>
      </c>
    </row>
    <row r="301" spans="1:47" ht="13.5" x14ac:dyDescent="0.25">
      <c r="A301" s="16">
        <v>260</v>
      </c>
      <c r="B301" s="16">
        <f t="shared" si="236"/>
        <v>190</v>
      </c>
      <c r="C301" s="19">
        <f t="shared" si="237"/>
        <v>67.782875762078234</v>
      </c>
      <c r="D301" s="17">
        <f t="shared" si="238"/>
        <v>6736.341394237922</v>
      </c>
      <c r="E301" s="17">
        <f t="shared" si="239"/>
        <v>42063.659704237922</v>
      </c>
      <c r="F301" s="17">
        <f t="shared" si="240"/>
        <v>-6757.0478557620781</v>
      </c>
      <c r="G301" s="17">
        <f t="shared" si="241"/>
        <v>-55215.381325762079</v>
      </c>
      <c r="H301" s="17">
        <f t="shared" si="242"/>
        <v>6736.341394237922</v>
      </c>
      <c r="I301" s="17">
        <f t="shared" si="243"/>
        <v>2724.1872529453881</v>
      </c>
      <c r="J301" s="20">
        <f>(Geraetedaten!$B$152+(Geraetedaten!$B$153*(Geraetedaten!$B$18+d_y_Sw)/1000))*10</f>
        <v>6051.0442000000003</v>
      </c>
      <c r="K301" s="20">
        <f>(Geraetedaten!$B$165+(Geraetedaten!$B$166*(Geraetedaten!$B$18+d_y_Sw)/1000))*10</f>
        <v>10816.164000000001</v>
      </c>
      <c r="L301" s="20">
        <f>(Geraetedaten!$B$158+(Geraetedaten!$B$159*(Geraetedaten!$B$18+d_y_Sw)/1000)-(Geraetedaten!$B$160*I301/1000))*10</f>
        <v>401.77194874151445</v>
      </c>
      <c r="M301" s="20">
        <f>(Geraetedaten!$B$171+(Geraetedaten!$B$172*(Geraetedaten!$B$18+d_y_Sw)/1000)-(Geraetedaten!$B$173*I301/1000))*10</f>
        <v>862.07850089074623</v>
      </c>
      <c r="N301" s="20">
        <f>IF((H301-J301)/(K301-J301)*(Geraetedaten!$B$174-Geraetedaten!$B$161)&lt;Geraetedaten!$B$174,(H301-J301)/(K301-J301)*(Geraetedaten!$B$174-Geraetedaten!$B$161),Geraetedaten!$B$174)</f>
        <v>57.52612509242028</v>
      </c>
      <c r="O301" s="20">
        <f>N301/Geraetedaten!$B$174*(M301-L301)+L301+C301</f>
        <v>535.75395525308613</v>
      </c>
      <c r="P301" s="20">
        <f t="shared" si="244"/>
        <v>193.75111521257136</v>
      </c>
      <c r="Q301" s="21">
        <f>(N301-Geraetedaten!$B$161)/(Geraetedaten!$B$174-Geraetedaten!$B$161)*(Geraetedaten!$B$175-Geraetedaten!$B$162)+Geraetedaten!$B$162</f>
        <v>30.911402221499504</v>
      </c>
      <c r="R301" s="21">
        <f t="shared" si="245"/>
        <v>30.911402221499504</v>
      </c>
      <c r="S301" s="21">
        <f t="shared" si="246"/>
        <v>-30.441788564211503</v>
      </c>
      <c r="T301" s="88">
        <f t="shared" si="247"/>
        <v>-5.3677086648928904</v>
      </c>
      <c r="U301" s="86">
        <f t="shared" si="248"/>
        <v>6804.1242700000003</v>
      </c>
      <c r="V301" s="85">
        <f t="shared" si="249"/>
        <v>-2683.3128092763232</v>
      </c>
      <c r="W301" s="85">
        <f t="shared" si="250"/>
        <v>2724.1872529453881</v>
      </c>
      <c r="X301" s="90">
        <f t="shared" si="251"/>
        <v>2683.3128092763232</v>
      </c>
      <c r="Y301" s="86">
        <f t="shared" si="252"/>
        <v>42131.442580000003</v>
      </c>
      <c r="Z301" s="85">
        <f t="shared" si="253"/>
        <v>-832.16398485565549</v>
      </c>
      <c r="AA301" s="85">
        <f t="shared" si="254"/>
        <v>4082.024533439519</v>
      </c>
      <c r="AB301" s="90">
        <f t="shared" si="255"/>
        <v>832.16398485565549</v>
      </c>
      <c r="AC301" s="86">
        <f t="shared" si="256"/>
        <v>-6689.2649799999999</v>
      </c>
      <c r="AD301" s="85">
        <f t="shared" si="257"/>
        <v>2598.140025222212</v>
      </c>
      <c r="AE301" s="85">
        <f t="shared" si="258"/>
        <v>-2638.5478229651094</v>
      </c>
      <c r="AF301" s="90">
        <f t="shared" si="259"/>
        <v>2598.140025222212</v>
      </c>
      <c r="AG301" s="86">
        <f t="shared" si="260"/>
        <v>-55147.598449999998</v>
      </c>
      <c r="AH301" s="85">
        <f t="shared" si="261"/>
        <v>6183.1314163678471</v>
      </c>
      <c r="AI301" s="85">
        <f t="shared" si="262"/>
        <v>-37710.228193819319</v>
      </c>
      <c r="AJ301" s="90">
        <f t="shared" si="263"/>
        <v>6183.1314163678471</v>
      </c>
      <c r="AL301" s="95">
        <f t="shared" si="264"/>
        <v>0</v>
      </c>
      <c r="AM301" s="95">
        <f t="shared" si="265"/>
        <v>0</v>
      </c>
      <c r="AN301" s="95">
        <f t="shared" si="266"/>
        <v>0</v>
      </c>
      <c r="AO301" s="95">
        <f t="shared" si="267"/>
        <v>0</v>
      </c>
      <c r="AP301"/>
      <c r="AQ301" s="95">
        <f t="shared" si="268"/>
        <v>0</v>
      </c>
      <c r="AR301" s="95">
        <f t="shared" si="269"/>
        <v>0</v>
      </c>
      <c r="AS301" s="95">
        <f>Geraetedaten!$B$94*ABS(SIN(RADIANS($A301)))</f>
        <v>151.66039396388004</v>
      </c>
      <c r="AT301" s="95">
        <f>Geraetedaten!$B$94*ABS(COS(RADIANS($A301)))</f>
        <v>26.741819360707272</v>
      </c>
      <c r="AU301" s="95">
        <f>((h_Aw_Sw+Geraetedaten!$B$18)/1000)*(AQ301*AS301+AR301*AT301)/100</f>
        <v>0</v>
      </c>
    </row>
    <row r="302" spans="1:47" ht="13.5" x14ac:dyDescent="0.25">
      <c r="A302" s="16">
        <v>261</v>
      </c>
      <c r="B302" s="16">
        <f t="shared" si="236"/>
        <v>189</v>
      </c>
      <c r="C302" s="19">
        <f t="shared" si="237"/>
        <v>67.450435332019254</v>
      </c>
      <c r="D302" s="17">
        <f t="shared" si="238"/>
        <v>6716.9617946679809</v>
      </c>
      <c r="E302" s="17">
        <f t="shared" si="239"/>
        <v>45925.767084667976</v>
      </c>
      <c r="F302" s="17">
        <f t="shared" si="240"/>
        <v>-6737.1221753320187</v>
      </c>
      <c r="G302" s="17">
        <f t="shared" si="241"/>
        <v>-61695.348695332024</v>
      </c>
      <c r="H302" s="17">
        <f t="shared" si="242"/>
        <v>6716.9617946679809</v>
      </c>
      <c r="I302" s="17">
        <f t="shared" si="243"/>
        <v>2716.2950873237182</v>
      </c>
      <c r="J302" s="20">
        <f>(Geraetedaten!$B$152+(Geraetedaten!$B$153*(Geraetedaten!$B$18+d_y_Sw)/1000))*10</f>
        <v>6051.0442000000003</v>
      </c>
      <c r="K302" s="20">
        <f>(Geraetedaten!$B$165+(Geraetedaten!$B$166*(Geraetedaten!$B$18+d_y_Sw)/1000))*10</f>
        <v>10816.164000000001</v>
      </c>
      <c r="L302" s="20">
        <f>(Geraetedaten!$B$158+(Geraetedaten!$B$159*(Geraetedaten!$B$18+d_y_Sw)/1000)-(Geraetedaten!$B$160*I302/1000))*10</f>
        <v>402.35068124655157</v>
      </c>
      <c r="M302" s="20">
        <f>(Geraetedaten!$B$171+(Geraetedaten!$B$172*(Geraetedaten!$B$18+d_y_Sw)/1000)-(Geraetedaten!$B$173*I302/1000))*10</f>
        <v>862.66599369962341</v>
      </c>
      <c r="N302" s="20">
        <f>IF((H302-J302)/(K302-J302)*(Geraetedaten!$B$174-Geraetedaten!$B$161)&lt;Geraetedaten!$B$174,(H302-J302)/(K302-J302)*(Geraetedaten!$B$174-Geraetedaten!$B$161),Geraetedaten!$B$174)</f>
        <v>55.899337067494557</v>
      </c>
      <c r="O302" s="20">
        <f>N302/Geraetedaten!$B$174*(M302-L302)+L302+C302</f>
        <v>534.12941859892919</v>
      </c>
      <c r="P302" s="20">
        <f t="shared" si="244"/>
        <v>193.44158842677081</v>
      </c>
      <c r="Q302" s="21">
        <f>(N302-Geraetedaten!$B$161)/(Geraetedaten!$B$174-Geraetedaten!$B$161)*(Geraetedaten!$B$175-Geraetedaten!$B$162)+Geraetedaten!$B$162</f>
        <v>30.863005277757964</v>
      </c>
      <c r="R302" s="21">
        <f t="shared" si="245"/>
        <v>30.863005277757964</v>
      </c>
      <c r="S302" s="21">
        <f t="shared" si="246"/>
        <v>-30.483030468567737</v>
      </c>
      <c r="T302" s="88">
        <f t="shared" si="247"/>
        <v>-4.8280377201598945</v>
      </c>
      <c r="U302" s="86">
        <f t="shared" si="248"/>
        <v>6784.4122299999999</v>
      </c>
      <c r="V302" s="85">
        <f t="shared" si="249"/>
        <v>-2683.3128092763232</v>
      </c>
      <c r="W302" s="85">
        <f t="shared" si="250"/>
        <v>2716.2950873237182</v>
      </c>
      <c r="X302" s="90">
        <f t="shared" si="251"/>
        <v>2683.3128092763232</v>
      </c>
      <c r="Y302" s="86">
        <f t="shared" si="252"/>
        <v>45993.217519999998</v>
      </c>
      <c r="Z302" s="85">
        <f t="shared" si="253"/>
        <v>-832.16398485565549</v>
      </c>
      <c r="AA302" s="85">
        <f t="shared" si="254"/>
        <v>4456.1835712448292</v>
      </c>
      <c r="AB302" s="90">
        <f t="shared" si="255"/>
        <v>832.16398485565549</v>
      </c>
      <c r="AC302" s="86">
        <f t="shared" si="256"/>
        <v>-6669.6717399999998</v>
      </c>
      <c r="AD302" s="85">
        <f t="shared" si="257"/>
        <v>2598.140025222212</v>
      </c>
      <c r="AE302" s="85">
        <f t="shared" si="258"/>
        <v>-2630.8193671272252</v>
      </c>
      <c r="AF302" s="90">
        <f t="shared" si="259"/>
        <v>2598.140025222212</v>
      </c>
      <c r="AG302" s="86">
        <f t="shared" si="260"/>
        <v>-61627.898260000002</v>
      </c>
      <c r="AH302" s="85">
        <f t="shared" si="261"/>
        <v>6183.1314163678471</v>
      </c>
      <c r="AI302" s="85">
        <f t="shared" si="262"/>
        <v>-42141.492498059815</v>
      </c>
      <c r="AJ302" s="90">
        <f t="shared" si="263"/>
        <v>6183.1314163678471</v>
      </c>
      <c r="AL302" s="95">
        <f t="shared" si="264"/>
        <v>0</v>
      </c>
      <c r="AM302" s="95">
        <f t="shared" si="265"/>
        <v>0</v>
      </c>
      <c r="AN302" s="95">
        <f t="shared" si="266"/>
        <v>0</v>
      </c>
      <c r="AO302" s="95">
        <f t="shared" si="267"/>
        <v>0</v>
      </c>
      <c r="AP302"/>
      <c r="AQ302" s="95">
        <f t="shared" si="268"/>
        <v>0</v>
      </c>
      <c r="AR302" s="95">
        <f t="shared" si="269"/>
        <v>0</v>
      </c>
      <c r="AS302" s="95">
        <f>Geraetedaten!$B$94*ABS(SIN(RADIANS($A302)))</f>
        <v>152.10400445165121</v>
      </c>
      <c r="AT302" s="95">
        <f>Geraetedaten!$B$94*ABS(COS(RADIANS($A302)))</f>
        <v>24.09090761619558</v>
      </c>
      <c r="AU302" s="95">
        <f>((h_Aw_Sw+Geraetedaten!$B$18)/1000)*(AQ302*AS302+AR302*AT302)/100</f>
        <v>0</v>
      </c>
    </row>
    <row r="303" spans="1:47" ht="13.5" x14ac:dyDescent="0.25">
      <c r="A303" s="16">
        <v>262</v>
      </c>
      <c r="B303" s="16">
        <f t="shared" si="236"/>
        <v>188</v>
      </c>
      <c r="C303" s="19">
        <f t="shared" si="237"/>
        <v>67.097448845951121</v>
      </c>
      <c r="D303" s="17">
        <f t="shared" si="238"/>
        <v>6699.7719311540486</v>
      </c>
      <c r="E303" s="17">
        <f t="shared" si="239"/>
        <v>50584.260751154048</v>
      </c>
      <c r="F303" s="17">
        <f t="shared" si="240"/>
        <v>-6719.3108088459512</v>
      </c>
      <c r="G303" s="17">
        <f t="shared" si="241"/>
        <v>-69925.178578845953</v>
      </c>
      <c r="H303" s="17">
        <f t="shared" si="242"/>
        <v>6699.7719311540486</v>
      </c>
      <c r="I303" s="17">
        <f t="shared" si="243"/>
        <v>2709.2714042991388</v>
      </c>
      <c r="J303" s="20">
        <f>(Geraetedaten!$B$152+(Geraetedaten!$B$153*(Geraetedaten!$B$18+d_y_Sw)/1000))*10</f>
        <v>6051.0442000000003</v>
      </c>
      <c r="K303" s="20">
        <f>(Geraetedaten!$B$165+(Geraetedaten!$B$166*(Geraetedaten!$B$18+d_y_Sw)/1000))*10</f>
        <v>10816.164000000001</v>
      </c>
      <c r="L303" s="20">
        <f>(Geraetedaten!$B$158+(Geraetedaten!$B$159*(Geraetedaten!$B$18+d_y_Sw)/1000)-(Geraetedaten!$B$160*I303/1000))*10</f>
        <v>402.86572792274393</v>
      </c>
      <c r="M303" s="20">
        <f>(Geraetedaten!$B$171+(Geraetedaten!$B$172*(Geraetedaten!$B$18+d_y_Sw)/1000)-(Geraetedaten!$B$173*I303/1000))*10</f>
        <v>863.18883666397301</v>
      </c>
      <c r="N303" s="20">
        <f>IF((H303-J303)/(K303-J303)*(Geraetedaten!$B$174-Geraetedaten!$B$161)&lt;Geraetedaten!$B$174,(H303-J303)/(K303-J303)*(Geraetedaten!$B$174-Geraetedaten!$B$161),Geraetedaten!$B$174)</f>
        <v>54.456362767966361</v>
      </c>
      <c r="O303" s="20">
        <f>N303/Geraetedaten!$B$174*(M303-L303)+L303+C303</f>
        <v>532.63198226892098</v>
      </c>
      <c r="P303" s="20">
        <f t="shared" si="244"/>
        <v>193.14565579425621</v>
      </c>
      <c r="Q303" s="21">
        <f>(N303-Geraetedaten!$B$161)/(Geraetedaten!$B$174-Geraetedaten!$B$161)*(Geraetedaten!$B$175-Geraetedaten!$B$162)+Geraetedaten!$B$162</f>
        <v>30.820076792346999</v>
      </c>
      <c r="R303" s="21">
        <f t="shared" si="245"/>
        <v>30.820076792346999</v>
      </c>
      <c r="S303" s="21">
        <f t="shared" si="246"/>
        <v>-30.52013792362435</v>
      </c>
      <c r="T303" s="88">
        <f t="shared" si="247"/>
        <v>-4.2893256590182904</v>
      </c>
      <c r="U303" s="86">
        <f t="shared" si="248"/>
        <v>6766.8693800000001</v>
      </c>
      <c r="V303" s="85">
        <f t="shared" si="249"/>
        <v>-2683.3128092763232</v>
      </c>
      <c r="W303" s="85">
        <f t="shared" si="250"/>
        <v>2709.2714042991388</v>
      </c>
      <c r="X303" s="90">
        <f t="shared" si="251"/>
        <v>2683.3128092763232</v>
      </c>
      <c r="Y303" s="86">
        <f t="shared" si="252"/>
        <v>50651.358200000002</v>
      </c>
      <c r="Z303" s="85">
        <f t="shared" si="253"/>
        <v>-832.16398485565549</v>
      </c>
      <c r="AA303" s="85">
        <f t="shared" si="254"/>
        <v>4907.5007683136701</v>
      </c>
      <c r="AB303" s="90">
        <f t="shared" si="255"/>
        <v>832.16398485565549</v>
      </c>
      <c r="AC303" s="86">
        <f t="shared" si="256"/>
        <v>-6652.2133599999997</v>
      </c>
      <c r="AD303" s="85">
        <f t="shared" si="257"/>
        <v>2598.140025222212</v>
      </c>
      <c r="AE303" s="85">
        <f t="shared" si="258"/>
        <v>-2623.9329943577932</v>
      </c>
      <c r="AF303" s="90">
        <f t="shared" si="259"/>
        <v>2598.140025222212</v>
      </c>
      <c r="AG303" s="86">
        <f t="shared" si="260"/>
        <v>-69858.081130000006</v>
      </c>
      <c r="AH303" s="85">
        <f t="shared" si="261"/>
        <v>6183.1314163678471</v>
      </c>
      <c r="AI303" s="85">
        <f t="shared" si="262"/>
        <v>-47769.336372178339</v>
      </c>
      <c r="AJ303" s="90">
        <f t="shared" si="263"/>
        <v>6183.1314163678471</v>
      </c>
      <c r="AL303" s="95">
        <f t="shared" si="264"/>
        <v>0</v>
      </c>
      <c r="AM303" s="95">
        <f t="shared" si="265"/>
        <v>0</v>
      </c>
      <c r="AN303" s="95">
        <f t="shared" si="266"/>
        <v>0</v>
      </c>
      <c r="AO303" s="95">
        <f t="shared" si="267"/>
        <v>0</v>
      </c>
      <c r="AP303"/>
      <c r="AQ303" s="95">
        <f t="shared" si="268"/>
        <v>0</v>
      </c>
      <c r="AR303" s="95">
        <f t="shared" si="269"/>
        <v>0</v>
      </c>
      <c r="AS303" s="95">
        <f>Geraetedaten!$B$94*ABS(SIN(RADIANS($A303)))</f>
        <v>152.50128258620182</v>
      </c>
      <c r="AT303" s="95">
        <f>Geraetedaten!$B$94*ABS(COS(RADIANS($A303)))</f>
        <v>21.432657547850138</v>
      </c>
      <c r="AU303" s="95">
        <f>((h_Aw_Sw+Geraetedaten!$B$18)/1000)*(AQ303*AS303+AR303*AT303)/100</f>
        <v>0</v>
      </c>
    </row>
    <row r="304" spans="1:47" ht="13.5" x14ac:dyDescent="0.25">
      <c r="A304" s="16">
        <v>263</v>
      </c>
      <c r="B304" s="16">
        <f t="shared" si="236"/>
        <v>187</v>
      </c>
      <c r="C304" s="19">
        <f t="shared" si="237"/>
        <v>66.724023826976889</v>
      </c>
      <c r="D304" s="17">
        <f t="shared" si="238"/>
        <v>6684.7442561730231</v>
      </c>
      <c r="E304" s="17">
        <f t="shared" si="239"/>
        <v>56311.75584617303</v>
      </c>
      <c r="F304" s="17">
        <f t="shared" si="240"/>
        <v>-6703.5865438269766</v>
      </c>
      <c r="G304" s="17">
        <f t="shared" si="241"/>
        <v>-80720.376563826969</v>
      </c>
      <c r="H304" s="17">
        <f t="shared" si="242"/>
        <v>6684.7442561730231</v>
      </c>
      <c r="I304" s="17">
        <f t="shared" si="243"/>
        <v>2703.1052191232689</v>
      </c>
      <c r="J304" s="20">
        <f>(Geraetedaten!$B$152+(Geraetedaten!$B$153*(Geraetedaten!$B$18+d_y_Sw)/1000))*10</f>
        <v>6051.0442000000003</v>
      </c>
      <c r="K304" s="20">
        <f>(Geraetedaten!$B$165+(Geraetedaten!$B$166*(Geraetedaten!$B$18+d_y_Sw)/1000))*10</f>
        <v>10816.164000000001</v>
      </c>
      <c r="L304" s="20">
        <f>(Geraetedaten!$B$158+(Geraetedaten!$B$159*(Geraetedaten!$B$18+d_y_Sw)/1000)-(Geraetedaten!$B$160*I304/1000))*10</f>
        <v>403.31789428169043</v>
      </c>
      <c r="M304" s="20">
        <f>(Geraetedaten!$B$171+(Geraetedaten!$B$172*(Geraetedaten!$B$18+d_y_Sw)/1000)-(Geraetedaten!$B$173*I304/1000))*10</f>
        <v>863.64784748846478</v>
      </c>
      <c r="N304" s="20">
        <f>IF((H304-J304)/(K304-J304)*(Geraetedaten!$B$174-Geraetedaten!$B$161)&lt;Geraetedaten!$B$174,(H304-J304)/(K304-J304)*(Geraetedaten!$B$174-Geraetedaten!$B$161),Geraetedaten!$B$174)</f>
        <v>53.19488976315121</v>
      </c>
      <c r="O304" s="20">
        <f>N304/Geraetedaten!$B$174*(M304-L304)+L304+C304</f>
        <v>531.25992089744466</v>
      </c>
      <c r="P304" s="20">
        <f t="shared" si="244"/>
        <v>192.86328561037112</v>
      </c>
      <c r="Q304" s="21">
        <f>(N304-Geraetedaten!$B$161)/(Geraetedaten!$B$174-Geraetedaten!$B$161)*(Geraetedaten!$B$175-Geraetedaten!$B$162)+Geraetedaten!$B$162</f>
        <v>30.782547970453749</v>
      </c>
      <c r="R304" s="21">
        <f t="shared" si="245"/>
        <v>30.782547970453749</v>
      </c>
      <c r="S304" s="21">
        <f t="shared" si="246"/>
        <v>-30.553099525788259</v>
      </c>
      <c r="T304" s="88">
        <f t="shared" si="247"/>
        <v>-3.7514489094966441</v>
      </c>
      <c r="U304" s="86">
        <f t="shared" si="248"/>
        <v>6751.46828</v>
      </c>
      <c r="V304" s="85">
        <f t="shared" si="249"/>
        <v>-2683.3128092763232</v>
      </c>
      <c r="W304" s="85">
        <f t="shared" si="250"/>
        <v>2703.1052191232689</v>
      </c>
      <c r="X304" s="90">
        <f t="shared" si="251"/>
        <v>2683.3128092763232</v>
      </c>
      <c r="Y304" s="86">
        <f t="shared" si="252"/>
        <v>56378.479870000003</v>
      </c>
      <c r="Z304" s="85">
        <f t="shared" si="253"/>
        <v>-832.16398485565549</v>
      </c>
      <c r="AA304" s="85">
        <f t="shared" si="254"/>
        <v>5462.3892246969417</v>
      </c>
      <c r="AB304" s="90">
        <f t="shared" si="255"/>
        <v>832.16398485565549</v>
      </c>
      <c r="AC304" s="86">
        <f t="shared" si="256"/>
        <v>-6636.8625199999997</v>
      </c>
      <c r="AD304" s="85">
        <f t="shared" si="257"/>
        <v>2598.140025222212</v>
      </c>
      <c r="AE304" s="85">
        <f t="shared" si="258"/>
        <v>-2617.8779277815679</v>
      </c>
      <c r="AF304" s="90">
        <f t="shared" si="259"/>
        <v>2598.140025222212</v>
      </c>
      <c r="AG304" s="86">
        <f t="shared" si="260"/>
        <v>-80653.652539999995</v>
      </c>
      <c r="AH304" s="85">
        <f t="shared" si="261"/>
        <v>6183.1314163678471</v>
      </c>
      <c r="AI304" s="85">
        <f t="shared" si="262"/>
        <v>-55151.406903986637</v>
      </c>
      <c r="AJ304" s="90">
        <f t="shared" si="263"/>
        <v>6183.1314163678471</v>
      </c>
      <c r="AL304" s="95">
        <f t="shared" si="264"/>
        <v>0</v>
      </c>
      <c r="AM304" s="95">
        <f t="shared" si="265"/>
        <v>0</v>
      </c>
      <c r="AN304" s="95">
        <f t="shared" si="266"/>
        <v>0</v>
      </c>
      <c r="AO304" s="95">
        <f t="shared" si="267"/>
        <v>0</v>
      </c>
      <c r="AP304"/>
      <c r="AQ304" s="95">
        <f t="shared" si="268"/>
        <v>0</v>
      </c>
      <c r="AR304" s="95">
        <f t="shared" si="269"/>
        <v>0</v>
      </c>
      <c r="AS304" s="95">
        <f>Geraetedaten!$B$94*ABS(SIN(RADIANS($A304)))</f>
        <v>152.8521073527636</v>
      </c>
      <c r="AT304" s="95">
        <f>Geraetedaten!$B$94*ABS(COS(RADIANS($A304)))</f>
        <v>18.767878884392665</v>
      </c>
      <c r="AU304" s="95">
        <f>((h_Aw_Sw+Geraetedaten!$B$18)/1000)*(AQ304*AS304+AR304*AT304)/100</f>
        <v>0</v>
      </c>
    </row>
    <row r="305" spans="1:47" ht="13.5" x14ac:dyDescent="0.25">
      <c r="A305" s="16">
        <v>264</v>
      </c>
      <c r="B305" s="16">
        <f t="shared" si="236"/>
        <v>186</v>
      </c>
      <c r="C305" s="19">
        <f t="shared" si="237"/>
        <v>66.330274023974866</v>
      </c>
      <c r="D305" s="17">
        <f t="shared" si="238"/>
        <v>6671.8547059760249</v>
      </c>
      <c r="E305" s="17">
        <f t="shared" si="239"/>
        <v>63521.342805976026</v>
      </c>
      <c r="F305" s="17">
        <f t="shared" si="240"/>
        <v>-6689.9255940239755</v>
      </c>
      <c r="G305" s="17">
        <f t="shared" si="241"/>
        <v>-95496.41153402398</v>
      </c>
      <c r="H305" s="17">
        <f t="shared" si="242"/>
        <v>6671.8547059760249</v>
      </c>
      <c r="I305" s="17">
        <f t="shared" si="243"/>
        <v>2697.7869441219818</v>
      </c>
      <c r="J305" s="20">
        <f>(Geraetedaten!$B$152+(Geraetedaten!$B$153*(Geraetedaten!$B$18+d_y_Sw)/1000))*10</f>
        <v>6051.0442000000003</v>
      </c>
      <c r="K305" s="20">
        <f>(Geraetedaten!$B$165+(Geraetedaten!$B$166*(Geraetedaten!$B$18+d_y_Sw)/1000))*10</f>
        <v>10816.164000000001</v>
      </c>
      <c r="L305" s="20">
        <f>(Geraetedaten!$B$158+(Geraetedaten!$B$159*(Geraetedaten!$B$18+d_y_Sw)/1000)-(Geraetedaten!$B$160*I305/1000))*10</f>
        <v>403.70788338753482</v>
      </c>
      <c r="M305" s="20">
        <f>(Geraetedaten!$B$171+(Geraetedaten!$B$172*(Geraetedaten!$B$18+d_y_Sw)/1000)-(Geraetedaten!$B$173*I305/1000))*10</f>
        <v>864.04373987956069</v>
      </c>
      <c r="N305" s="20">
        <f>IF((H305-J305)/(K305-J305)*(Geraetedaten!$B$174-Geraetedaten!$B$161)&lt;Geraetedaten!$B$174,(H305-J305)/(K305-J305)*(Geraetedaten!$B$174-Geraetedaten!$B$161),Geraetedaten!$B$174)</f>
        <v>52.112898061956351</v>
      </c>
      <c r="O305" s="20">
        <f>N305/Geraetedaten!$B$174*(M305-L305)+L305+C305</f>
        <v>530.01174632059042</v>
      </c>
      <c r="P305" s="20">
        <f t="shared" si="244"/>
        <v>192.59446651406699</v>
      </c>
      <c r="Q305" s="21">
        <f>(N305-Geraetedaten!$B$161)/(Geraetedaten!$B$174-Geraetedaten!$B$161)*(Geraetedaten!$B$175-Geraetedaten!$B$162)+Geraetedaten!$B$162</f>
        <v>30.7503587173432</v>
      </c>
      <c r="R305" s="21">
        <f t="shared" si="245"/>
        <v>30.7503587173432</v>
      </c>
      <c r="S305" s="21">
        <f t="shared" si="246"/>
        <v>-30.58190503482647</v>
      </c>
      <c r="T305" s="88">
        <f t="shared" si="247"/>
        <v>-3.2142877416529729</v>
      </c>
      <c r="U305" s="86">
        <f t="shared" si="248"/>
        <v>6738.18498</v>
      </c>
      <c r="V305" s="85">
        <f t="shared" si="249"/>
        <v>-2683.3128092763232</v>
      </c>
      <c r="W305" s="85">
        <f t="shared" si="250"/>
        <v>2697.7869441219818</v>
      </c>
      <c r="X305" s="90">
        <f t="shared" si="251"/>
        <v>2683.3128092763232</v>
      </c>
      <c r="Y305" s="86">
        <f t="shared" si="252"/>
        <v>63587.67308</v>
      </c>
      <c r="Z305" s="85">
        <f t="shared" si="253"/>
        <v>-832.16398485565549</v>
      </c>
      <c r="AA305" s="85">
        <f t="shared" si="254"/>
        <v>6160.8723939995216</v>
      </c>
      <c r="AB305" s="90">
        <f t="shared" si="255"/>
        <v>832.16398485565549</v>
      </c>
      <c r="AC305" s="86">
        <f t="shared" si="256"/>
        <v>-6623.5953200000004</v>
      </c>
      <c r="AD305" s="85">
        <f t="shared" si="257"/>
        <v>2598.140025222212</v>
      </c>
      <c r="AE305" s="85">
        <f t="shared" si="258"/>
        <v>-2612.6447472027271</v>
      </c>
      <c r="AF305" s="90">
        <f t="shared" si="259"/>
        <v>2598.140025222212</v>
      </c>
      <c r="AG305" s="86">
        <f t="shared" si="260"/>
        <v>-95430.081260000006</v>
      </c>
      <c r="AH305" s="85">
        <f t="shared" si="261"/>
        <v>6183.1314163678471</v>
      </c>
      <c r="AI305" s="85">
        <f t="shared" si="262"/>
        <v>-65255.609348604157</v>
      </c>
      <c r="AJ305" s="90">
        <f t="shared" si="263"/>
        <v>6183.1314163678471</v>
      </c>
      <c r="AL305" s="95">
        <f t="shared" si="264"/>
        <v>0</v>
      </c>
      <c r="AM305" s="95">
        <f t="shared" si="265"/>
        <v>0</v>
      </c>
      <c r="AN305" s="95">
        <f t="shared" si="266"/>
        <v>0</v>
      </c>
      <c r="AO305" s="95">
        <f t="shared" si="267"/>
        <v>0</v>
      </c>
      <c r="AP305"/>
      <c r="AQ305" s="95">
        <f t="shared" si="268"/>
        <v>0</v>
      </c>
      <c r="AR305" s="95">
        <f t="shared" si="269"/>
        <v>0</v>
      </c>
      <c r="AS305" s="95">
        <f>Geraetedaten!$B$94*ABS(SIN(RADIANS($A305)))</f>
        <v>153.15637188671411</v>
      </c>
      <c r="AT305" s="95">
        <f>Geraetedaten!$B$94*ABS(COS(RADIANS($A305)))</f>
        <v>16.097383343218617</v>
      </c>
      <c r="AU305" s="95">
        <f>((h_Aw_Sw+Geraetedaten!$B$18)/1000)*(AQ305*AS305+AR305*AT305)/100</f>
        <v>0</v>
      </c>
    </row>
    <row r="306" spans="1:47" ht="13.5" x14ac:dyDescent="0.25">
      <c r="A306" s="16">
        <v>265</v>
      </c>
      <c r="B306" s="16">
        <f t="shared" si="236"/>
        <v>185</v>
      </c>
      <c r="C306" s="19">
        <f t="shared" si="237"/>
        <v>65.916319376949332</v>
      </c>
      <c r="D306" s="17">
        <f t="shared" si="238"/>
        <v>6661.0826006230509</v>
      </c>
      <c r="E306" s="17">
        <f t="shared" si="239"/>
        <v>72870.446150623044</v>
      </c>
      <c r="F306" s="17">
        <f t="shared" si="240"/>
        <v>-6678.307559376949</v>
      </c>
      <c r="G306" s="17">
        <f t="shared" si="241"/>
        <v>-116944.79549937695</v>
      </c>
      <c r="H306" s="17">
        <f t="shared" si="242"/>
        <v>6661.0826006230509</v>
      </c>
      <c r="I306" s="17">
        <f t="shared" si="243"/>
        <v>2693.308351965185</v>
      </c>
      <c r="J306" s="20">
        <f>(Geraetedaten!$B$152+(Geraetedaten!$B$153*(Geraetedaten!$B$18+d_y_Sw)/1000))*10</f>
        <v>6051.0442000000003</v>
      </c>
      <c r="K306" s="20">
        <f>(Geraetedaten!$B$165+(Geraetedaten!$B$166*(Geraetedaten!$B$18+d_y_Sw)/1000))*10</f>
        <v>10816.164000000001</v>
      </c>
      <c r="L306" s="20">
        <f>(Geraetedaten!$B$158+(Geraetedaten!$B$159*(Geraetedaten!$B$18+d_y_Sw)/1000)-(Geraetedaten!$B$160*I306/1000))*10</f>
        <v>404.03629855039276</v>
      </c>
      <c r="M306" s="20">
        <f>(Geraetedaten!$B$171+(Geraetedaten!$B$172*(Geraetedaten!$B$18+d_y_Sw)/1000)-(Geraetedaten!$B$173*I306/1000))*10</f>
        <v>864.37712627971246</v>
      </c>
      <c r="N306" s="20">
        <f>IF((H306-J306)/(K306-J306)*(Geraetedaten!$B$174-Geraetedaten!$B$161)&lt;Geraetedaten!$B$174,(H306-J306)/(K306-J306)*(Geraetedaten!$B$174-Geraetedaten!$B$161),Geraetedaten!$B$174)</f>
        <v>51.208651721457286</v>
      </c>
      <c r="O306" s="20">
        <f>N306/Geraetedaten!$B$174*(M306-L306)+L306+C306</f>
        <v>528.88620072823733</v>
      </c>
      <c r="P306" s="20">
        <f t="shared" si="244"/>
        <v>192.33920720296319</v>
      </c>
      <c r="Q306" s="21">
        <f>(N306-Geraetedaten!$B$161)/(Geraetedaten!$B$174-Geraetedaten!$B$161)*(Geraetedaten!$B$175-Geraetedaten!$B$162)+Geraetedaten!$B$162</f>
        <v>30.723457388713353</v>
      </c>
      <c r="R306" s="21">
        <f t="shared" si="245"/>
        <v>30.723457388713353</v>
      </c>
      <c r="S306" s="21">
        <f t="shared" si="246"/>
        <v>-30.606545357683906</v>
      </c>
      <c r="T306" s="88">
        <f t="shared" si="247"/>
        <v>-2.6777257484893409</v>
      </c>
      <c r="U306" s="86">
        <f t="shared" si="248"/>
        <v>6726.99892</v>
      </c>
      <c r="V306" s="85">
        <f t="shared" si="249"/>
        <v>-2683.3128092763232</v>
      </c>
      <c r="W306" s="85">
        <f t="shared" si="250"/>
        <v>2693.308351965185</v>
      </c>
      <c r="X306" s="90">
        <f t="shared" si="251"/>
        <v>2683.3128092763232</v>
      </c>
      <c r="Y306" s="86">
        <f t="shared" si="252"/>
        <v>72936.362469999993</v>
      </c>
      <c r="Z306" s="85">
        <f t="shared" si="253"/>
        <v>-832.16398485565549</v>
      </c>
      <c r="AA306" s="85">
        <f t="shared" si="254"/>
        <v>7066.6467302773144</v>
      </c>
      <c r="AB306" s="90">
        <f t="shared" si="255"/>
        <v>832.16398485565549</v>
      </c>
      <c r="AC306" s="86">
        <f t="shared" si="256"/>
        <v>-6612.3912399999999</v>
      </c>
      <c r="AD306" s="85">
        <f t="shared" si="257"/>
        <v>2598.140025222212</v>
      </c>
      <c r="AE306" s="85">
        <f t="shared" si="258"/>
        <v>-2608.2253529869458</v>
      </c>
      <c r="AF306" s="90">
        <f t="shared" si="259"/>
        <v>2598.140025222212</v>
      </c>
      <c r="AG306" s="86">
        <f t="shared" si="260"/>
        <v>-116878.87918</v>
      </c>
      <c r="AH306" s="85">
        <f t="shared" si="261"/>
        <v>6183.1314163678471</v>
      </c>
      <c r="AI306" s="85">
        <f t="shared" si="262"/>
        <v>-79922.414186869442</v>
      </c>
      <c r="AJ306" s="90">
        <f t="shared" si="263"/>
        <v>6183.1314163678471</v>
      </c>
      <c r="AL306" s="95">
        <f t="shared" si="264"/>
        <v>0</v>
      </c>
      <c r="AM306" s="95">
        <f t="shared" si="265"/>
        <v>0</v>
      </c>
      <c r="AN306" s="95">
        <f t="shared" si="266"/>
        <v>0</v>
      </c>
      <c r="AO306" s="95">
        <f t="shared" si="267"/>
        <v>0</v>
      </c>
      <c r="AP306"/>
      <c r="AQ306" s="95">
        <f t="shared" si="268"/>
        <v>0</v>
      </c>
      <c r="AR306" s="95">
        <f t="shared" si="269"/>
        <v>0</v>
      </c>
      <c r="AS306" s="95">
        <f>Geraetedaten!$B$94*ABS(SIN(RADIANS($A306)))</f>
        <v>153.4139835061288</v>
      </c>
      <c r="AT306" s="95">
        <f>Geraetedaten!$B$94*ABS(COS(RADIANS($A306)))</f>
        <v>13.421984383139371</v>
      </c>
      <c r="AU306" s="95">
        <f>((h_Aw_Sw+Geraetedaten!$B$18)/1000)*(AQ306*AS306+AR306*AT306)/100</f>
        <v>0</v>
      </c>
    </row>
    <row r="307" spans="1:47" ht="13.5" x14ac:dyDescent="0.25">
      <c r="A307" s="16">
        <v>266</v>
      </c>
      <c r="B307" s="16">
        <f t="shared" si="236"/>
        <v>184</v>
      </c>
      <c r="C307" s="19">
        <f t="shared" si="237"/>
        <v>65.48228598049586</v>
      </c>
      <c r="D307" s="17">
        <f t="shared" si="238"/>
        <v>6652.4106140195036</v>
      </c>
      <c r="E307" s="17">
        <f t="shared" si="239"/>
        <v>85472.816624019499</v>
      </c>
      <c r="F307" s="17">
        <f t="shared" si="240"/>
        <v>-6668.7152959804962</v>
      </c>
      <c r="G307" s="17">
        <f t="shared" si="241"/>
        <v>-150889.37612598049</v>
      </c>
      <c r="H307" s="17">
        <f t="shared" si="242"/>
        <v>6652.4106140195036</v>
      </c>
      <c r="I307" s="17">
        <f t="shared" si="243"/>
        <v>2689.6625443788721</v>
      </c>
      <c r="J307" s="20">
        <f>(Geraetedaten!$B$152+(Geraetedaten!$B$153*(Geraetedaten!$B$18+d_y_Sw)/1000))*10</f>
        <v>6051.0442000000003</v>
      </c>
      <c r="K307" s="20">
        <f>(Geraetedaten!$B$165+(Geraetedaten!$B$166*(Geraetedaten!$B$18+d_y_Sw)/1000))*10</f>
        <v>10816.164000000001</v>
      </c>
      <c r="L307" s="20">
        <f>(Geraetedaten!$B$158+(Geraetedaten!$B$159*(Geraetedaten!$B$18+d_y_Sw)/1000)-(Geraetedaten!$B$160*I307/1000))*10</f>
        <v>404.30364562069713</v>
      </c>
      <c r="M307" s="20">
        <f>(Geraetedaten!$B$171+(Geraetedaten!$B$172*(Geraetedaten!$B$18+d_y_Sw)/1000)-(Geraetedaten!$B$173*I307/1000))*10</f>
        <v>864.64852019643774</v>
      </c>
      <c r="N307" s="20">
        <f>IF((H307-J307)/(K307-J307)*(Geraetedaten!$B$174-Geraetedaten!$B$161)&lt;Geraetedaten!$B$174,(H307-J307)/(K307-J307)*(Geraetedaten!$B$174-Geraetedaten!$B$161),Geraetedaten!$B$174)</f>
        <v>50.480696331664376</v>
      </c>
      <c r="O307" s="20">
        <f>N307/Geraetedaten!$B$174*(M307-L307)+L307+C307</f>
        <v>527.88225615443321</v>
      </c>
      <c r="P307" s="20">
        <f t="shared" si="244"/>
        <v>192.09753717925315</v>
      </c>
      <c r="Q307" s="21">
        <f>(N307-Geraetedaten!$B$161)/(Geraetedaten!$B$174-Geraetedaten!$B$161)*(Geraetedaten!$B$175-Geraetedaten!$B$162)+Geraetedaten!$B$162</f>
        <v>30.701800715867016</v>
      </c>
      <c r="R307" s="21">
        <f t="shared" si="245"/>
        <v>30.701800715867016</v>
      </c>
      <c r="S307" s="21">
        <f t="shared" si="246"/>
        <v>-30.627012672390272</v>
      </c>
      <c r="T307" s="88">
        <f t="shared" si="247"/>
        <v>-2.1416493555337532</v>
      </c>
      <c r="U307" s="86">
        <f t="shared" si="248"/>
        <v>6717.8928999999998</v>
      </c>
      <c r="V307" s="85">
        <f t="shared" si="249"/>
        <v>-2683.3128092763232</v>
      </c>
      <c r="W307" s="85">
        <f t="shared" si="250"/>
        <v>2689.6625443788721</v>
      </c>
      <c r="X307" s="90">
        <f t="shared" si="251"/>
        <v>2683.3128092763232</v>
      </c>
      <c r="Y307" s="86">
        <f t="shared" si="252"/>
        <v>85538.298909999998</v>
      </c>
      <c r="Z307" s="85">
        <f t="shared" si="253"/>
        <v>-832.16398485565549</v>
      </c>
      <c r="AA307" s="85">
        <f t="shared" si="254"/>
        <v>8287.6211517191932</v>
      </c>
      <c r="AB307" s="90">
        <f t="shared" si="255"/>
        <v>832.16398485565549</v>
      </c>
      <c r="AC307" s="86">
        <f t="shared" si="256"/>
        <v>-6603.2330099999999</v>
      </c>
      <c r="AD307" s="85">
        <f t="shared" si="257"/>
        <v>2598.140025222212</v>
      </c>
      <c r="AE307" s="85">
        <f t="shared" si="258"/>
        <v>-2604.6129352373446</v>
      </c>
      <c r="AF307" s="90">
        <f t="shared" si="259"/>
        <v>2598.140025222212</v>
      </c>
      <c r="AG307" s="86">
        <f t="shared" si="260"/>
        <v>-150823.89384</v>
      </c>
      <c r="AH307" s="85">
        <f t="shared" si="261"/>
        <v>6183.1314163678471</v>
      </c>
      <c r="AI307" s="85">
        <f t="shared" si="262"/>
        <v>-103134.20010584097</v>
      </c>
      <c r="AJ307" s="90">
        <f t="shared" si="263"/>
        <v>6183.1314163678471</v>
      </c>
      <c r="AL307" s="95">
        <f t="shared" si="264"/>
        <v>0</v>
      </c>
      <c r="AM307" s="95">
        <f t="shared" si="265"/>
        <v>0</v>
      </c>
      <c r="AN307" s="95">
        <f t="shared" si="266"/>
        <v>0</v>
      </c>
      <c r="AO307" s="95">
        <f t="shared" si="267"/>
        <v>0</v>
      </c>
      <c r="AP307"/>
      <c r="AQ307" s="95">
        <f t="shared" si="268"/>
        <v>0</v>
      </c>
      <c r="AR307" s="95">
        <f t="shared" si="269"/>
        <v>0</v>
      </c>
      <c r="AS307" s="95">
        <f>Geraetedaten!$B$94*ABS(SIN(RADIANS($A307)))</f>
        <v>153.62486374001293</v>
      </c>
      <c r="AT307" s="95">
        <f>Geraetedaten!$B$94*ABS(COS(RADIANS($A307)))</f>
        <v>10.742496956595339</v>
      </c>
      <c r="AU307" s="95">
        <f>((h_Aw_Sw+Geraetedaten!$B$18)/1000)*(AQ307*AS307+AR307*AT307)/100</f>
        <v>0</v>
      </c>
    </row>
    <row r="308" spans="1:47" ht="13.5" x14ac:dyDescent="0.25">
      <c r="A308" s="16">
        <v>267</v>
      </c>
      <c r="B308" s="16">
        <f t="shared" si="236"/>
        <v>183</v>
      </c>
      <c r="C308" s="19">
        <f t="shared" si="237"/>
        <v>65.028306045391588</v>
      </c>
      <c r="D308" s="17">
        <f t="shared" si="238"/>
        <v>6645.8246039546084</v>
      </c>
      <c r="E308" s="17">
        <f t="shared" si="239"/>
        <v>103377.58286395461</v>
      </c>
      <c r="F308" s="17">
        <f t="shared" si="240"/>
        <v>-6661.1348860453909</v>
      </c>
      <c r="G308" s="17">
        <f t="shared" si="241"/>
        <v>-212712.7633160454</v>
      </c>
      <c r="H308" s="17">
        <f t="shared" si="242"/>
        <v>6645.8246039546084</v>
      </c>
      <c r="I308" s="17">
        <f t="shared" si="243"/>
        <v>2686.8439260763562</v>
      </c>
      <c r="J308" s="20">
        <f>(Geraetedaten!$B$152+(Geraetedaten!$B$153*(Geraetedaten!$B$18+d_y_Sw)/1000))*10</f>
        <v>6051.0442000000003</v>
      </c>
      <c r="K308" s="20">
        <f>(Geraetedaten!$B$165+(Geraetedaten!$B$166*(Geraetedaten!$B$18+d_y_Sw)/1000))*10</f>
        <v>10816.164000000001</v>
      </c>
      <c r="L308" s="20">
        <f>(Geraetedaten!$B$158+(Geraetedaten!$B$159*(Geraetedaten!$B$18+d_y_Sw)/1000)-(Geraetedaten!$B$160*I308/1000))*10</f>
        <v>404.51033490082062</v>
      </c>
      <c r="M308" s="20">
        <f>(Geraetedaten!$B$171+(Geraetedaten!$B$172*(Geraetedaten!$B$18+d_y_Sw)/1000)-(Geraetedaten!$B$173*I308/1000))*10</f>
        <v>864.85833814287707</v>
      </c>
      <c r="N308" s="20">
        <f>IF((H308-J308)/(K308-J308)*(Geraetedaten!$B$174-Geraetedaten!$B$161)&lt;Geraetedaten!$B$174,(H308-J308)/(K308-J308)*(Geraetedaten!$B$174-Geraetedaten!$B$161),Geraetedaten!$B$174)</f>
        <v>49.927844748382448</v>
      </c>
      <c r="O308" s="20">
        <f>N308/Geraetedaten!$B$174*(M308-L308)+L308+C308</f>
        <v>526.99910003645539</v>
      </c>
      <c r="P308" s="20">
        <f t="shared" si="244"/>
        <v>191.86950475635805</v>
      </c>
      <c r="Q308" s="21">
        <f>(N308-Geraetedaten!$B$161)/(Geraetedaten!$B$174-Geraetedaten!$B$161)*(Geraetedaten!$B$175-Geraetedaten!$B$162)+Geraetedaten!$B$162</f>
        <v>30.685353381264378</v>
      </c>
      <c r="R308" s="21">
        <f t="shared" si="245"/>
        <v>30.685353381264378</v>
      </c>
      <c r="S308" s="21">
        <f t="shared" si="246"/>
        <v>-30.643300170911733</v>
      </c>
      <c r="T308" s="88">
        <f t="shared" si="247"/>
        <v>-1.6059473118611356</v>
      </c>
      <c r="U308" s="86">
        <f t="shared" si="248"/>
        <v>6710.8529099999996</v>
      </c>
      <c r="V308" s="85">
        <f t="shared" si="249"/>
        <v>-2683.3128092763232</v>
      </c>
      <c r="W308" s="85">
        <f t="shared" si="250"/>
        <v>2686.8439260763562</v>
      </c>
      <c r="X308" s="90">
        <f t="shared" si="251"/>
        <v>2683.3128092763232</v>
      </c>
      <c r="Y308" s="86">
        <f t="shared" si="252"/>
        <v>103442.61117</v>
      </c>
      <c r="Z308" s="85">
        <f t="shared" si="253"/>
        <v>-832.16398485565549</v>
      </c>
      <c r="AA308" s="85">
        <f t="shared" si="254"/>
        <v>10022.331321109823</v>
      </c>
      <c r="AB308" s="90">
        <f t="shared" si="255"/>
        <v>832.16398485565549</v>
      </c>
      <c r="AC308" s="86">
        <f t="shared" si="256"/>
        <v>-6596.1065799999997</v>
      </c>
      <c r="AD308" s="85">
        <f t="shared" si="257"/>
        <v>2598.140025222212</v>
      </c>
      <c r="AE308" s="85">
        <f t="shared" si="258"/>
        <v>-2601.8019480443195</v>
      </c>
      <c r="AF308" s="90">
        <f t="shared" si="259"/>
        <v>2598.140025222212</v>
      </c>
      <c r="AG308" s="86">
        <f t="shared" si="260"/>
        <v>-212647.73501</v>
      </c>
      <c r="AH308" s="85">
        <f t="shared" si="261"/>
        <v>6183.1314163678471</v>
      </c>
      <c r="AI308" s="85">
        <f t="shared" si="262"/>
        <v>-145409.67943380185</v>
      </c>
      <c r="AJ308" s="90">
        <f t="shared" si="263"/>
        <v>6183.1314163678471</v>
      </c>
      <c r="AL308" s="95">
        <f t="shared" si="264"/>
        <v>0</v>
      </c>
      <c r="AM308" s="95">
        <f t="shared" si="265"/>
        <v>0</v>
      </c>
      <c r="AN308" s="95">
        <f t="shared" si="266"/>
        <v>0</v>
      </c>
      <c r="AO308" s="95">
        <f t="shared" si="267"/>
        <v>0</v>
      </c>
      <c r="AP308"/>
      <c r="AQ308" s="95">
        <f t="shared" si="268"/>
        <v>0</v>
      </c>
      <c r="AR308" s="95">
        <f t="shared" si="269"/>
        <v>0</v>
      </c>
      <c r="AS308" s="95">
        <f>Geraetedaten!$B$94*ABS(SIN(RADIANS($A308)))</f>
        <v>153.78894835220436</v>
      </c>
      <c r="AT308" s="95">
        <f>Geraetedaten!$B$94*ABS(COS(RADIANS($A308)))</f>
        <v>8.0597372614134226</v>
      </c>
      <c r="AU308" s="95">
        <f>((h_Aw_Sw+Geraetedaten!$B$18)/1000)*(AQ308*AS308+AR308*AT308)/100</f>
        <v>0</v>
      </c>
    </row>
    <row r="309" spans="1:47" ht="13.5" x14ac:dyDescent="0.25">
      <c r="A309" s="16">
        <v>268</v>
      </c>
      <c r="B309" s="16">
        <f t="shared" si="236"/>
        <v>182</v>
      </c>
      <c r="C309" s="19">
        <f t="shared" si="237"/>
        <v>64.554517858322512</v>
      </c>
      <c r="D309" s="17">
        <f t="shared" si="238"/>
        <v>6641.3136821416774</v>
      </c>
      <c r="E309" s="17">
        <f t="shared" si="239"/>
        <v>130812.17669214167</v>
      </c>
      <c r="F309" s="17">
        <f t="shared" si="240"/>
        <v>-6655.5555478583228</v>
      </c>
      <c r="G309" s="17">
        <f t="shared" si="241"/>
        <v>-360614.04816785833</v>
      </c>
      <c r="H309" s="17">
        <f t="shared" si="242"/>
        <v>6641.3136821416774</v>
      </c>
      <c r="I309" s="17">
        <f t="shared" si="243"/>
        <v>2684.8481837242857</v>
      </c>
      <c r="J309" s="20">
        <f>(Geraetedaten!$B$152+(Geraetedaten!$B$153*(Geraetedaten!$B$18+d_y_Sw)/1000))*10</f>
        <v>6051.0442000000003</v>
      </c>
      <c r="K309" s="20">
        <f>(Geraetedaten!$B$165+(Geraetedaten!$B$166*(Geraetedaten!$B$18+d_y_Sw)/1000))*10</f>
        <v>10816.164000000001</v>
      </c>
      <c r="L309" s="20">
        <f>(Geraetedaten!$B$158+(Geraetedaten!$B$159*(Geraetedaten!$B$18+d_y_Sw)/1000)-(Geraetedaten!$B$160*I309/1000))*10</f>
        <v>404.65668268749795</v>
      </c>
      <c r="M309" s="20">
        <f>(Geraetedaten!$B$171+(Geraetedaten!$B$172*(Geraetedaten!$B$18+d_y_Sw)/1000)-(Geraetedaten!$B$173*I309/1000))*10</f>
        <v>865.00690120356512</v>
      </c>
      <c r="N309" s="20">
        <f>IF((H309-J309)/(K309-J309)*(Geraetedaten!$B$174-Geraetedaten!$B$161)&lt;Geraetedaten!$B$174,(H309-J309)/(K309-J309)*(Geraetedaten!$B$174-Geraetedaten!$B$161),Geraetedaten!$B$174)</f>
        <v>49.549182972623449</v>
      </c>
      <c r="O309" s="20">
        <f>N309/Geraetedaten!$B$174*(M309-L309)+L309+C309</f>
        <v>526.23614356766996</v>
      </c>
      <c r="P309" s="20">
        <f t="shared" si="244"/>
        <v>191.65517917554777</v>
      </c>
      <c r="Q309" s="21">
        <f>(N309-Geraetedaten!$B$161)/(Geraetedaten!$B$174-Geraetedaten!$B$161)*(Geraetedaten!$B$175-Geraetedaten!$B$162)+Geraetedaten!$B$162</f>
        <v>30.674088193435548</v>
      </c>
      <c r="R309" s="21">
        <f t="shared" si="245"/>
        <v>30.674088193435548</v>
      </c>
      <c r="S309" s="21">
        <f t="shared" si="246"/>
        <v>-30.655402367694233</v>
      </c>
      <c r="T309" s="88">
        <f t="shared" si="247"/>
        <v>-1.0705102397590214</v>
      </c>
      <c r="U309" s="86">
        <f t="shared" si="248"/>
        <v>6705.8681999999999</v>
      </c>
      <c r="V309" s="85">
        <f t="shared" si="249"/>
        <v>-2683.3128092763232</v>
      </c>
      <c r="W309" s="85">
        <f t="shared" si="250"/>
        <v>2684.8481837242857</v>
      </c>
      <c r="X309" s="90">
        <f t="shared" si="251"/>
        <v>2683.3128092763232</v>
      </c>
      <c r="Y309" s="86">
        <f t="shared" si="252"/>
        <v>130876.73121</v>
      </c>
      <c r="Z309" s="85">
        <f t="shared" si="253"/>
        <v>-832.16398485565549</v>
      </c>
      <c r="AA309" s="85">
        <f t="shared" si="254"/>
        <v>12680.36399679205</v>
      </c>
      <c r="AB309" s="90">
        <f t="shared" si="255"/>
        <v>832.16398485565549</v>
      </c>
      <c r="AC309" s="86">
        <f t="shared" si="256"/>
        <v>-6591.0010300000004</v>
      </c>
      <c r="AD309" s="85">
        <f t="shared" si="257"/>
        <v>2598.140025222212</v>
      </c>
      <c r="AE309" s="85">
        <f t="shared" si="258"/>
        <v>-2599.7880886269691</v>
      </c>
      <c r="AF309" s="90">
        <f t="shared" si="259"/>
        <v>2598.140025222212</v>
      </c>
      <c r="AG309" s="86">
        <f t="shared" si="260"/>
        <v>-360549.49365000002</v>
      </c>
      <c r="AH309" s="85">
        <f t="shared" si="261"/>
        <v>6183.1314163678471</v>
      </c>
      <c r="AI309" s="85">
        <f t="shared" si="262"/>
        <v>-246545.70757394162</v>
      </c>
      <c r="AJ309" s="90">
        <f t="shared" si="263"/>
        <v>6183.1314163678471</v>
      </c>
      <c r="AL309" s="95">
        <f t="shared" si="264"/>
        <v>0</v>
      </c>
      <c r="AM309" s="95">
        <f t="shared" si="265"/>
        <v>0</v>
      </c>
      <c r="AN309" s="95">
        <f t="shared" si="266"/>
        <v>0</v>
      </c>
      <c r="AO309" s="95">
        <f t="shared" si="267"/>
        <v>0</v>
      </c>
      <c r="AP309"/>
      <c r="AQ309" s="95">
        <f t="shared" si="268"/>
        <v>0</v>
      </c>
      <c r="AR309" s="95">
        <f t="shared" si="269"/>
        <v>0</v>
      </c>
      <c r="AS309" s="95">
        <f>Geraetedaten!$B$94*ABS(SIN(RADIANS($A309)))</f>
        <v>153.90618736094075</v>
      </c>
      <c r="AT309" s="95">
        <f>Geraetedaten!$B$94*ABS(COS(RADIANS($A309)))</f>
        <v>5.3745224921851174</v>
      </c>
      <c r="AU309" s="95">
        <f>((h_Aw_Sw+Geraetedaten!$B$18)/1000)*(AQ309*AS309+AR309*AT309)/100</f>
        <v>0</v>
      </c>
    </row>
    <row r="310" spans="1:47" ht="13.5" x14ac:dyDescent="0.25">
      <c r="A310" s="16">
        <v>269</v>
      </c>
      <c r="B310" s="16">
        <f t="shared" si="236"/>
        <v>181</v>
      </c>
      <c r="C310" s="19">
        <f t="shared" si="237"/>
        <v>64.061065739760167</v>
      </c>
      <c r="D310" s="17">
        <f t="shared" si="238"/>
        <v>6638.87009426024</v>
      </c>
      <c r="E310" s="17">
        <f t="shared" si="239"/>
        <v>178124.52380426024</v>
      </c>
      <c r="F310" s="17">
        <f t="shared" si="240"/>
        <v>-6651.96962573976</v>
      </c>
      <c r="G310" s="17">
        <f t="shared" si="241"/>
        <v>-1185416.6989657397</v>
      </c>
      <c r="H310" s="17">
        <f t="shared" si="242"/>
        <v>6638.87009426024</v>
      </c>
      <c r="I310" s="17">
        <f t="shared" si="243"/>
        <v>2683.6722697957039</v>
      </c>
      <c r="J310" s="20">
        <f>(Geraetedaten!$B$152+(Geraetedaten!$B$153*(Geraetedaten!$B$18+d_y_Sw)/1000))*10</f>
        <v>6051.0442000000003</v>
      </c>
      <c r="K310" s="20">
        <f>(Geraetedaten!$B$165+(Geraetedaten!$B$166*(Geraetedaten!$B$18+d_y_Sw)/1000))*10</f>
        <v>10816.164000000001</v>
      </c>
      <c r="L310" s="20">
        <f>(Geraetedaten!$B$158+(Geraetedaten!$B$159*(Geraetedaten!$B$18+d_y_Sw)/1000)-(Geraetedaten!$B$160*I310/1000))*10</f>
        <v>404.74291245588086</v>
      </c>
      <c r="M310" s="20">
        <f>(Geraetedaten!$B$171+(Geraetedaten!$B$172*(Geraetedaten!$B$18+d_y_Sw)/1000)-(Geraetedaten!$B$173*I310/1000))*10</f>
        <v>865.0944362364088</v>
      </c>
      <c r="N310" s="20">
        <f>IF((H310-J310)/(K310-J310)*(Geraetedaten!$B$174-Geraetedaten!$B$161)&lt;Geraetedaten!$B$174,(H310-J310)/(K310-J310)*(Geraetedaten!$B$174-Geraetedaten!$B$161),Geraetedaten!$B$174)</f>
        <v>49.344060080944004</v>
      </c>
      <c r="O310" s="20">
        <f>N310/Geraetedaten!$B$174*(M310-L310)+L310+C310</f>
        <v>525.59301131509221</v>
      </c>
      <c r="P310" s="20">
        <f t="shared" si="244"/>
        <v>191.45464909648908</v>
      </c>
      <c r="Q310" s="21">
        <f>(N310-Geraetedaten!$B$161)/(Geraetedaten!$B$174-Geraetedaten!$B$161)*(Geraetedaten!$B$175-Geraetedaten!$B$162)+Geraetedaten!$B$162</f>
        <v>30.667985787408085</v>
      </c>
      <c r="R310" s="21">
        <f t="shared" si="245"/>
        <v>30.667985787408085</v>
      </c>
      <c r="S310" s="21">
        <f t="shared" si="246"/>
        <v>-30.66331490462894</v>
      </c>
      <c r="T310" s="88">
        <f t="shared" si="247"/>
        <v>-0.53523015257467965</v>
      </c>
      <c r="U310" s="86">
        <f t="shared" si="248"/>
        <v>6702.9311600000001</v>
      </c>
      <c r="V310" s="85">
        <f t="shared" si="249"/>
        <v>-2683.3128092763232</v>
      </c>
      <c r="W310" s="85">
        <f t="shared" si="250"/>
        <v>2683.6722697957039</v>
      </c>
      <c r="X310" s="90">
        <f t="shared" si="251"/>
        <v>2683.3128092763232</v>
      </c>
      <c r="Y310" s="86">
        <f t="shared" si="252"/>
        <v>178188.58486999999</v>
      </c>
      <c r="Z310" s="85">
        <f t="shared" si="253"/>
        <v>-832.16398485565549</v>
      </c>
      <c r="AA310" s="85">
        <f t="shared" si="254"/>
        <v>17264.307378055579</v>
      </c>
      <c r="AB310" s="90">
        <f t="shared" si="255"/>
        <v>832.16398485565549</v>
      </c>
      <c r="AC310" s="86">
        <f t="shared" si="256"/>
        <v>-6587.9085599999999</v>
      </c>
      <c r="AD310" s="85">
        <f t="shared" si="257"/>
        <v>2598.140025222212</v>
      </c>
      <c r="AE310" s="85">
        <f t="shared" si="258"/>
        <v>-2598.5682812195219</v>
      </c>
      <c r="AF310" s="90">
        <f t="shared" si="259"/>
        <v>2598.140025222212</v>
      </c>
      <c r="AG310" s="86">
        <f t="shared" si="260"/>
        <v>-1185352.6379</v>
      </c>
      <c r="AH310" s="85">
        <f t="shared" si="261"/>
        <v>6183.1314163678471</v>
      </c>
      <c r="AI310" s="85">
        <f t="shared" si="262"/>
        <v>-810550.59007945762</v>
      </c>
      <c r="AJ310" s="90">
        <f t="shared" si="263"/>
        <v>6183.1314163678471</v>
      </c>
      <c r="AL310" s="95">
        <f t="shared" si="264"/>
        <v>0</v>
      </c>
      <c r="AM310" s="95">
        <f t="shared" si="265"/>
        <v>0</v>
      </c>
      <c r="AN310" s="95">
        <f t="shared" si="266"/>
        <v>0</v>
      </c>
      <c r="AO310" s="95">
        <f t="shared" si="267"/>
        <v>0</v>
      </c>
      <c r="AP310"/>
      <c r="AQ310" s="95">
        <f t="shared" si="268"/>
        <v>0</v>
      </c>
      <c r="AR310" s="95">
        <f t="shared" si="269"/>
        <v>0</v>
      </c>
      <c r="AS310" s="95">
        <f>Geraetedaten!$B$94*ABS(SIN(RADIANS($A310)))</f>
        <v>153.97654505408426</v>
      </c>
      <c r="AT310" s="95">
        <f>Geraetedaten!$B$94*ABS(COS(RADIANS($A310)))</f>
        <v>2.6876705913416585</v>
      </c>
      <c r="AU310" s="95">
        <f>((h_Aw_Sw+Geraetedaten!$B$18)/1000)*(AQ310*AS310+AR310*AT310)/100</f>
        <v>0</v>
      </c>
    </row>
    <row r="311" spans="1:47" ht="13.5" x14ac:dyDescent="0.25">
      <c r="A311" s="16">
        <v>270</v>
      </c>
      <c r="B311" s="16">
        <f t="shared" si="236"/>
        <v>180</v>
      </c>
      <c r="C311" s="19">
        <f t="shared" si="237"/>
        <v>63.548100000000005</v>
      </c>
      <c r="D311" s="17">
        <f t="shared" si="238"/>
        <v>6638.4892</v>
      </c>
      <c r="E311" s="17">
        <f t="shared" si="239"/>
        <v>279143.11327999999</v>
      </c>
      <c r="F311" s="17">
        <f t="shared" si="240"/>
        <v>-6650.3725699999995</v>
      </c>
      <c r="G311" s="17">
        <f t="shared" si="241"/>
        <v>920289.39553999994</v>
      </c>
      <c r="H311" s="17">
        <f t="shared" si="242"/>
        <v>6638.4892</v>
      </c>
      <c r="I311" s="17">
        <f t="shared" si="243"/>
        <v>2683.3143911973361</v>
      </c>
      <c r="J311" s="20">
        <f>(Geraetedaten!$B$152+(Geraetedaten!$B$153*(Geraetedaten!$B$18+d_y_Sw)/1000))*10</f>
        <v>6051.0442000000003</v>
      </c>
      <c r="K311" s="20">
        <f>(Geraetedaten!$B$165+(Geraetedaten!$B$166*(Geraetedaten!$B$18+d_y_Sw)/1000))*10</f>
        <v>10816.164000000001</v>
      </c>
      <c r="L311" s="20">
        <f>(Geraetedaten!$B$158+(Geraetedaten!$B$159*(Geraetedaten!$B$18+d_y_Sw)/1000)-(Geraetedaten!$B$160*I311/1000))*10</f>
        <v>404.7691556934991</v>
      </c>
      <c r="M311" s="20">
        <f>(Geraetedaten!$B$171+(Geraetedaten!$B$172*(Geraetedaten!$B$18+d_y_Sw)/1000)-(Geraetedaten!$B$173*I311/1000))*10</f>
        <v>865.12107671927129</v>
      </c>
      <c r="N311" s="20">
        <f>IF((H311-J311)/(K311-J311)*(Geraetedaten!$B$174-Geraetedaten!$B$161)&lt;Geraetedaten!$B$174,(H311-J311)/(K311-J311)*(Geraetedaten!$B$174-Geraetedaten!$B$161),Geraetedaten!$B$174)</f>
        <v>49.312086550268866</v>
      </c>
      <c r="O311" s="20">
        <f>N311/Geraetedaten!$B$174*(M311-L311)+L311+C311</f>
        <v>525.06954012651261</v>
      </c>
      <c r="P311" s="20">
        <f t="shared" si="244"/>
        <v>191.2680226877234</v>
      </c>
      <c r="Q311" s="21">
        <f>(N311-Geraetedaten!$B$161)/(Geraetedaten!$B$174-Geraetedaten!$B$161)*(Geraetedaten!$B$175-Geraetedaten!$B$162)+Geraetedaten!$B$162</f>
        <v>30.667034574870499</v>
      </c>
      <c r="R311" s="21">
        <f t="shared" si="245"/>
        <v>30.667034574870499</v>
      </c>
      <c r="S311" s="21">
        <f t="shared" si="246"/>
        <v>-30.667034574870499</v>
      </c>
      <c r="T311" s="88">
        <f t="shared" si="247"/>
        <v>-5.6357505039047732E-15</v>
      </c>
      <c r="U311" s="86">
        <f t="shared" si="248"/>
        <v>6702.0373</v>
      </c>
      <c r="V311" s="85">
        <f t="shared" si="249"/>
        <v>-2683.3128092763232</v>
      </c>
      <c r="W311" s="85">
        <f t="shared" si="250"/>
        <v>2683.3143911973361</v>
      </c>
      <c r="X311" s="90">
        <f t="shared" si="251"/>
        <v>2683.3128092763232</v>
      </c>
      <c r="Y311" s="86">
        <f t="shared" si="252"/>
        <v>279206.66138000001</v>
      </c>
      <c r="Z311" s="85">
        <f t="shared" si="253"/>
        <v>-832.16398485565549</v>
      </c>
      <c r="AA311" s="85">
        <f t="shared" si="254"/>
        <v>27051.730769230642</v>
      </c>
      <c r="AB311" s="90">
        <f t="shared" si="255"/>
        <v>832.16398485565549</v>
      </c>
      <c r="AC311" s="86">
        <f t="shared" si="256"/>
        <v>-6586.8244699999996</v>
      </c>
      <c r="AD311" s="85">
        <f t="shared" si="257"/>
        <v>2598.140025222212</v>
      </c>
      <c r="AE311" s="85">
        <f t="shared" si="258"/>
        <v>-2598.1406655901146</v>
      </c>
      <c r="AF311" s="90">
        <f t="shared" si="259"/>
        <v>2598.140025222212</v>
      </c>
      <c r="AG311" s="86">
        <f t="shared" si="260"/>
        <v>920352.94363999995</v>
      </c>
      <c r="AH311" s="85">
        <f t="shared" si="261"/>
        <v>6183.1314163678471</v>
      </c>
      <c r="AI311" s="85">
        <f t="shared" si="262"/>
        <v>629342.35576924495</v>
      </c>
      <c r="AJ311" s="90">
        <f t="shared" si="263"/>
        <v>6183.1314163678471</v>
      </c>
      <c r="AL311" s="95">
        <f t="shared" si="264"/>
        <v>0</v>
      </c>
      <c r="AM311" s="95">
        <f t="shared" si="265"/>
        <v>0</v>
      </c>
      <c r="AN311" s="95">
        <f t="shared" si="266"/>
        <v>0</v>
      </c>
      <c r="AO311" s="95">
        <f t="shared" si="267"/>
        <v>0</v>
      </c>
      <c r="AP311"/>
      <c r="AQ311" s="95">
        <f t="shared" si="268"/>
        <v>0</v>
      </c>
      <c r="AR311" s="95">
        <f t="shared" si="269"/>
        <v>0</v>
      </c>
      <c r="AS311" s="95">
        <f>Geraetedaten!$B$94*ABS(SIN(RADIANS($A311)))</f>
        <v>154</v>
      </c>
      <c r="AT311" s="95">
        <f>Geraetedaten!$B$94*ABS(COS(RADIANS($A311)))</f>
        <v>2.8300929308389122E-14</v>
      </c>
      <c r="AU311" s="95">
        <f>((h_Aw_Sw+Geraetedaten!$B$18)/1000)*(AQ311*AS311+AR311*AT311)/100</f>
        <v>0</v>
      </c>
    </row>
    <row r="312" spans="1:47" ht="13.5" x14ac:dyDescent="0.25">
      <c r="A312" s="16">
        <v>271</v>
      </c>
      <c r="B312" s="16">
        <f t="shared" si="236"/>
        <v>179</v>
      </c>
      <c r="C312" s="19">
        <f t="shared" si="237"/>
        <v>64.061065739760153</v>
      </c>
      <c r="D312" s="17">
        <f t="shared" si="238"/>
        <v>6639.1241842602403</v>
      </c>
      <c r="E312" s="17">
        <f t="shared" si="239"/>
        <v>645084.6919942603</v>
      </c>
      <c r="F312" s="17">
        <f t="shared" si="240"/>
        <v>-6651.80815573976</v>
      </c>
      <c r="G312" s="17">
        <f t="shared" si="241"/>
        <v>331459.24234426022</v>
      </c>
      <c r="H312" s="17">
        <f t="shared" si="242"/>
        <v>6639.1241842602403</v>
      </c>
      <c r="I312" s="17">
        <f t="shared" si="243"/>
        <v>2683.7740025919793</v>
      </c>
      <c r="J312" s="20">
        <f>(Geraetedaten!$B$152+(Geraetedaten!$B$153*(Geraetedaten!$B$18+d_y_Sw)/1000))*10</f>
        <v>6051.0442000000003</v>
      </c>
      <c r="K312" s="20">
        <f>(Geraetedaten!$B$165+(Geraetedaten!$B$166*(Geraetedaten!$B$18+d_y_Sw)/1000))*10</f>
        <v>10816.164000000001</v>
      </c>
      <c r="L312" s="20">
        <f>(Geraetedaten!$B$158+(Geraetedaten!$B$159*(Geraetedaten!$B$18+d_y_Sw)/1000)-(Geraetedaten!$B$160*I312/1000))*10</f>
        <v>404.73545238992995</v>
      </c>
      <c r="M312" s="20">
        <f>(Geraetedaten!$B$171+(Geraetedaten!$B$172*(Geraetedaten!$B$18+d_y_Sw)/1000)-(Geraetedaten!$B$173*I312/1000))*10</f>
        <v>865.086863247054</v>
      </c>
      <c r="N312" s="20">
        <f>IF((H312-J312)/(K312-J312)*(Geraetedaten!$B$174-Geraetedaten!$B$161)&lt;Geraetedaten!$B$174,(H312-J312)/(K312-J312)*(Geraetedaten!$B$174-Geraetedaten!$B$161),Geraetedaten!$B$174)</f>
        <v>49.365389240391394</v>
      </c>
      <c r="O312" s="20">
        <f>N312/Geraetedaten!$B$174*(M312-L312)+L312+C312</f>
        <v>525.61008459050322</v>
      </c>
      <c r="P312" s="20">
        <f t="shared" si="244"/>
        <v>191.45722301132241</v>
      </c>
      <c r="Q312" s="21">
        <f>(N312-Geraetedaten!$B$161)/(Geraetedaten!$B$174-Geraetedaten!$B$161)*(Geraetedaten!$B$175-Geraetedaten!$B$162)+Geraetedaten!$B$162</f>
        <v>30.668620329901643</v>
      </c>
      <c r="R312" s="21">
        <f t="shared" si="245"/>
        <v>30.668620329901643</v>
      </c>
      <c r="S312" s="21">
        <f t="shared" si="246"/>
        <v>-30.663949350478603</v>
      </c>
      <c r="T312" s="88">
        <f t="shared" si="247"/>
        <v>0.53524122686816766</v>
      </c>
      <c r="U312" s="86">
        <f t="shared" si="248"/>
        <v>6703.1852500000005</v>
      </c>
      <c r="V312" s="85">
        <f t="shared" si="249"/>
        <v>-2683.3128092763232</v>
      </c>
      <c r="W312" s="85">
        <f t="shared" si="250"/>
        <v>2683.7740025919793</v>
      </c>
      <c r="X312" s="90">
        <f t="shared" si="251"/>
        <v>2683.3128092763232</v>
      </c>
      <c r="Y312" s="86">
        <f t="shared" si="252"/>
        <v>645148.75306000002</v>
      </c>
      <c r="Z312" s="85">
        <f t="shared" si="253"/>
        <v>-832.16398485565549</v>
      </c>
      <c r="AA312" s="85">
        <f t="shared" si="254"/>
        <v>62507.070166396094</v>
      </c>
      <c r="AB312" s="90">
        <f t="shared" si="255"/>
        <v>832.16398485565549</v>
      </c>
      <c r="AC312" s="86">
        <f t="shared" si="256"/>
        <v>-6587.7470899999998</v>
      </c>
      <c r="AD312" s="85">
        <f t="shared" si="257"/>
        <v>2598.140025222212</v>
      </c>
      <c r="AE312" s="85">
        <f t="shared" si="258"/>
        <v>-2598.5045901120266</v>
      </c>
      <c r="AF312" s="90">
        <f t="shared" si="259"/>
        <v>2598.140025222212</v>
      </c>
      <c r="AG312" s="86">
        <f t="shared" si="260"/>
        <v>331523.30340999999</v>
      </c>
      <c r="AH312" s="85">
        <f t="shared" si="261"/>
        <v>6183.1314163678471</v>
      </c>
      <c r="AI312" s="85">
        <f t="shared" si="262"/>
        <v>226697.44058806816</v>
      </c>
      <c r="AJ312" s="90">
        <f t="shared" si="263"/>
        <v>6183.1314163678471</v>
      </c>
      <c r="AL312" s="95">
        <f t="shared" si="264"/>
        <v>0</v>
      </c>
      <c r="AM312" s="95">
        <f t="shared" si="265"/>
        <v>0</v>
      </c>
      <c r="AN312" s="95">
        <f t="shared" si="266"/>
        <v>0</v>
      </c>
      <c r="AO312" s="95">
        <f t="shared" si="267"/>
        <v>0</v>
      </c>
      <c r="AP312"/>
      <c r="AQ312" s="95">
        <f t="shared" si="268"/>
        <v>0</v>
      </c>
      <c r="AR312" s="95">
        <f t="shared" si="269"/>
        <v>0</v>
      </c>
      <c r="AS312" s="95">
        <f>Geraetedaten!$B$94*ABS(SIN(RADIANS($A312)))</f>
        <v>153.97654505408426</v>
      </c>
      <c r="AT312" s="95">
        <f>Geraetedaten!$B$94*ABS(COS(RADIANS($A312)))</f>
        <v>2.6876705913416021</v>
      </c>
      <c r="AU312" s="95">
        <f>((h_Aw_Sw+Geraetedaten!$B$18)/1000)*(AQ312*AS312+AR312*AT312)/100</f>
        <v>0</v>
      </c>
    </row>
    <row r="313" spans="1:47" ht="13.5" x14ac:dyDescent="0.25">
      <c r="A313" s="16">
        <v>272</v>
      </c>
      <c r="B313" s="16">
        <f t="shared" si="236"/>
        <v>178</v>
      </c>
      <c r="C313" s="19">
        <f t="shared" si="237"/>
        <v>64.554517858322527</v>
      </c>
      <c r="D313" s="17">
        <f t="shared" si="238"/>
        <v>6641.8222621416771</v>
      </c>
      <c r="E313" s="17">
        <f t="shared" si="239"/>
        <v>-2074803.4960878585</v>
      </c>
      <c r="F313" s="17">
        <f t="shared" si="240"/>
        <v>-6655.2323578583228</v>
      </c>
      <c r="G313" s="17">
        <f t="shared" si="241"/>
        <v>202147.65049214169</v>
      </c>
      <c r="H313" s="17">
        <f t="shared" si="242"/>
        <v>6641.8222621416771</v>
      </c>
      <c r="I313" s="17">
        <f t="shared" si="243"/>
        <v>2685.0518043696575</v>
      </c>
      <c r="J313" s="20">
        <f>(Geraetedaten!$B$152+(Geraetedaten!$B$153*(Geraetedaten!$B$18+d_y_Sw)/1000))*10</f>
        <v>6051.0442000000003</v>
      </c>
      <c r="K313" s="20">
        <f>(Geraetedaten!$B$165+(Geraetedaten!$B$166*(Geraetedaten!$B$18+d_y_Sw)/1000))*10</f>
        <v>10816.164000000001</v>
      </c>
      <c r="L313" s="20">
        <f>(Geraetedaten!$B$158+(Geraetedaten!$B$159*(Geraetedaten!$B$18+d_y_Sw)/1000)-(Geraetedaten!$B$160*I313/1000))*10</f>
        <v>404.64175118557279</v>
      </c>
      <c r="M313" s="20">
        <f>(Geraetedaten!$B$171+(Geraetedaten!$B$172*(Geraetedaten!$B$18+d_y_Sw)/1000)-(Geraetedaten!$B$173*I313/1000))*10</f>
        <v>864.99174368272361</v>
      </c>
      <c r="N313" s="20">
        <f>IF((H313-J313)/(K313-J313)*(Geraetedaten!$B$174-Geraetedaten!$B$161)&lt;Geraetedaten!$B$174,(H313-J313)/(K313-J313)*(Geraetedaten!$B$174-Geraetedaten!$B$161),Geraetedaten!$B$174)</f>
        <v>49.591874868848151</v>
      </c>
      <c r="O313" s="20">
        <f>N313/Geraetedaten!$B$174*(M313-L313)+L313+C313</f>
        <v>526.27031710337997</v>
      </c>
      <c r="P313" s="20">
        <f t="shared" si="244"/>
        <v>191.66032241598595</v>
      </c>
      <c r="Q313" s="21">
        <f>(N313-Geraetedaten!$B$161)/(Geraetedaten!$B$174-Geraetedaten!$B$161)*(Geraetedaten!$B$175-Geraetedaten!$B$162)+Geraetedaten!$B$162</f>
        <v>30.675358277348231</v>
      </c>
      <c r="R313" s="21">
        <f t="shared" si="245"/>
        <v>30.675358277348231</v>
      </c>
      <c r="S313" s="21">
        <f t="shared" si="246"/>
        <v>-30.656671677906115</v>
      </c>
      <c r="T313" s="88">
        <f t="shared" si="247"/>
        <v>1.0705545650483599</v>
      </c>
      <c r="U313" s="86">
        <f t="shared" si="248"/>
        <v>6706.3767799999996</v>
      </c>
      <c r="V313" s="85">
        <f t="shared" si="249"/>
        <v>-2683.3128092763232</v>
      </c>
      <c r="W313" s="85">
        <f t="shared" si="250"/>
        <v>2685.0518043696575</v>
      </c>
      <c r="X313" s="90">
        <f t="shared" si="251"/>
        <v>2683.3128092763232</v>
      </c>
      <c r="Y313" s="86">
        <f t="shared" si="252"/>
        <v>-2074738.94157</v>
      </c>
      <c r="Z313" s="85">
        <f t="shared" si="253"/>
        <v>-832.16398485565549</v>
      </c>
      <c r="AA313" s="85">
        <f t="shared" si="254"/>
        <v>-201016.97784086768</v>
      </c>
      <c r="AB313" s="90">
        <f t="shared" si="255"/>
        <v>832.16398485565549</v>
      </c>
      <c r="AC313" s="86">
        <f t="shared" si="256"/>
        <v>-6590.6778400000003</v>
      </c>
      <c r="AD313" s="85">
        <f t="shared" si="257"/>
        <v>2598.140025222212</v>
      </c>
      <c r="AE313" s="85">
        <f t="shared" si="258"/>
        <v>-2599.6606093392729</v>
      </c>
      <c r="AF313" s="90">
        <f t="shared" si="259"/>
        <v>2598.140025222212</v>
      </c>
      <c r="AG313" s="86">
        <f t="shared" si="260"/>
        <v>202212.20501000001</v>
      </c>
      <c r="AH313" s="85">
        <f t="shared" si="261"/>
        <v>6183.1314163678471</v>
      </c>
      <c r="AI313" s="85">
        <f t="shared" si="262"/>
        <v>138273.80718212592</v>
      </c>
      <c r="AJ313" s="90">
        <f t="shared" si="263"/>
        <v>6183.1314163678471</v>
      </c>
      <c r="AL313" s="95">
        <f t="shared" si="264"/>
        <v>0</v>
      </c>
      <c r="AM313" s="95">
        <f t="shared" si="265"/>
        <v>0</v>
      </c>
      <c r="AN313" s="95">
        <f t="shared" si="266"/>
        <v>0</v>
      </c>
      <c r="AO313" s="95">
        <f t="shared" si="267"/>
        <v>0</v>
      </c>
      <c r="AP313"/>
      <c r="AQ313" s="95">
        <f t="shared" si="268"/>
        <v>0</v>
      </c>
      <c r="AR313" s="95">
        <f t="shared" si="269"/>
        <v>0</v>
      </c>
      <c r="AS313" s="95">
        <f>Geraetedaten!$B$94*ABS(SIN(RADIANS($A313)))</f>
        <v>153.90618736094075</v>
      </c>
      <c r="AT313" s="95">
        <f>Geraetedaten!$B$94*ABS(COS(RADIANS($A313)))</f>
        <v>5.3745224921851973</v>
      </c>
      <c r="AU313" s="95">
        <f>((h_Aw_Sw+Geraetedaten!$B$18)/1000)*(AQ313*AS313+AR313*AT313)/100</f>
        <v>0</v>
      </c>
    </row>
    <row r="314" spans="1:47" ht="13.5" x14ac:dyDescent="0.25">
      <c r="A314" s="16">
        <v>273</v>
      </c>
      <c r="B314" s="16">
        <f t="shared" si="236"/>
        <v>177</v>
      </c>
      <c r="C314" s="19">
        <f t="shared" si="237"/>
        <v>65.028306045391574</v>
      </c>
      <c r="D314" s="17">
        <f t="shared" si="238"/>
        <v>6646.5884439546089</v>
      </c>
      <c r="E314" s="17">
        <f t="shared" si="239"/>
        <v>-397859.65428604541</v>
      </c>
      <c r="F314" s="17">
        <f t="shared" si="240"/>
        <v>-6660.6494860453913</v>
      </c>
      <c r="G314" s="17">
        <f t="shared" si="241"/>
        <v>145437.8933039546</v>
      </c>
      <c r="H314" s="17">
        <f t="shared" si="242"/>
        <v>6646.5884439546089</v>
      </c>
      <c r="I314" s="17">
        <f t="shared" si="243"/>
        <v>2687.1497452534904</v>
      </c>
      <c r="J314" s="20">
        <f>(Geraetedaten!$B$152+(Geraetedaten!$B$153*(Geraetedaten!$B$18+d_y_Sw)/1000))*10</f>
        <v>6051.0442000000003</v>
      </c>
      <c r="K314" s="20">
        <f>(Geraetedaten!$B$165+(Geraetedaten!$B$166*(Geraetedaten!$B$18+d_y_Sw)/1000))*10</f>
        <v>10816.164000000001</v>
      </c>
      <c r="L314" s="20">
        <f>(Geraetedaten!$B$158+(Geraetedaten!$B$159*(Geraetedaten!$B$18+d_y_Sw)/1000)-(Geraetedaten!$B$160*I314/1000))*10</f>
        <v>404.48790918056136</v>
      </c>
      <c r="M314" s="20">
        <f>(Geraetedaten!$B$171+(Geraetedaten!$B$172*(Geraetedaten!$B$18+d_y_Sw)/1000)-(Geraetedaten!$B$173*I314/1000))*10</f>
        <v>864.83557296333117</v>
      </c>
      <c r="N314" s="20">
        <f>IF((H314-J314)/(K314-J314)*(Geraetedaten!$B$174-Geraetedaten!$B$161)&lt;Geraetedaten!$B$174,(H314-J314)/(K314-J314)*(Geraetedaten!$B$174-Geraetedaten!$B$161),Geraetedaten!$B$174)</f>
        <v>49.991964017744827</v>
      </c>
      <c r="O314" s="20">
        <f>N314/Geraetedaten!$B$174*(M314-L314)+L314+C314</f>
        <v>527.0504248346557</v>
      </c>
      <c r="P314" s="20">
        <f t="shared" si="244"/>
        <v>191.87721421139381</v>
      </c>
      <c r="Q314" s="21">
        <f>(N314-Geraetedaten!$B$161)/(Geraetedaten!$B$174-Geraetedaten!$B$161)*(Geraetedaten!$B$175-Geraetedaten!$B$162)+Geraetedaten!$B$162</f>
        <v>30.687260929527909</v>
      </c>
      <c r="R314" s="21">
        <f t="shared" si="245"/>
        <v>30.687260929527909</v>
      </c>
      <c r="S314" s="21">
        <f t="shared" si="246"/>
        <v>-30.645205104946665</v>
      </c>
      <c r="T314" s="88">
        <f t="shared" si="247"/>
        <v>1.6060471452235761</v>
      </c>
      <c r="U314" s="86">
        <f t="shared" si="248"/>
        <v>6711.6167500000001</v>
      </c>
      <c r="V314" s="85">
        <f t="shared" si="249"/>
        <v>-2683.3128092763232</v>
      </c>
      <c r="W314" s="85">
        <f t="shared" si="250"/>
        <v>2687.1497452534904</v>
      </c>
      <c r="X314" s="90">
        <f t="shared" si="251"/>
        <v>2683.3128092763232</v>
      </c>
      <c r="Y314" s="86">
        <f t="shared" si="252"/>
        <v>-397794.62598000001</v>
      </c>
      <c r="Z314" s="85">
        <f t="shared" si="253"/>
        <v>-832.16398485565549</v>
      </c>
      <c r="AA314" s="85">
        <f t="shared" si="254"/>
        <v>-38541.462693380447</v>
      </c>
      <c r="AB314" s="90">
        <f t="shared" si="255"/>
        <v>832.16398485565549</v>
      </c>
      <c r="AC314" s="86">
        <f t="shared" si="256"/>
        <v>-6595.6211800000001</v>
      </c>
      <c r="AD314" s="85">
        <f t="shared" si="257"/>
        <v>2598.140025222212</v>
      </c>
      <c r="AE314" s="85">
        <f t="shared" si="258"/>
        <v>-2601.6104860697592</v>
      </c>
      <c r="AF314" s="90">
        <f t="shared" si="259"/>
        <v>2598.140025222212</v>
      </c>
      <c r="AG314" s="86">
        <f t="shared" si="260"/>
        <v>145502.92160999999</v>
      </c>
      <c r="AH314" s="85">
        <f t="shared" si="261"/>
        <v>6183.1314163678471</v>
      </c>
      <c r="AI314" s="85">
        <f t="shared" si="262"/>
        <v>99495.690307524274</v>
      </c>
      <c r="AJ314" s="90">
        <f t="shared" si="263"/>
        <v>6183.1314163678471</v>
      </c>
      <c r="AL314" s="95">
        <f t="shared" si="264"/>
        <v>0</v>
      </c>
      <c r="AM314" s="95">
        <f t="shared" si="265"/>
        <v>0</v>
      </c>
      <c r="AN314" s="95">
        <f t="shared" si="266"/>
        <v>0</v>
      </c>
      <c r="AO314" s="95">
        <f t="shared" si="267"/>
        <v>0</v>
      </c>
      <c r="AP314"/>
      <c r="AQ314" s="95">
        <f t="shared" si="268"/>
        <v>0</v>
      </c>
      <c r="AR314" s="95">
        <f t="shared" si="269"/>
        <v>0</v>
      </c>
      <c r="AS314" s="95">
        <f>Geraetedaten!$B$94*ABS(SIN(RADIANS($A314)))</f>
        <v>153.78894835220436</v>
      </c>
      <c r="AT314" s="95">
        <f>Geraetedaten!$B$94*ABS(COS(RADIANS($A314)))</f>
        <v>8.0597372614133675</v>
      </c>
      <c r="AU314" s="95">
        <f>((h_Aw_Sw+Geraetedaten!$B$18)/1000)*(AQ314*AS314+AR314*AT314)/100</f>
        <v>0</v>
      </c>
    </row>
    <row r="315" spans="1:47" ht="13.5" x14ac:dyDescent="0.25">
      <c r="A315" s="16">
        <v>274</v>
      </c>
      <c r="B315" s="16">
        <f t="shared" si="236"/>
        <v>176</v>
      </c>
      <c r="C315" s="19">
        <f t="shared" si="237"/>
        <v>65.48228598049586</v>
      </c>
      <c r="D315" s="17">
        <f t="shared" si="238"/>
        <v>6653.4308740195038</v>
      </c>
      <c r="E315" s="17">
        <f t="shared" si="239"/>
        <v>-220089.13472598049</v>
      </c>
      <c r="F315" s="17">
        <f t="shared" si="240"/>
        <v>-6668.0669559804965</v>
      </c>
      <c r="G315" s="17">
        <f t="shared" si="241"/>
        <v>113596.26081401951</v>
      </c>
      <c r="H315" s="17">
        <f t="shared" si="242"/>
        <v>6653.4308740195038</v>
      </c>
      <c r="I315" s="17">
        <f t="shared" si="243"/>
        <v>2690.0710295583253</v>
      </c>
      <c r="J315" s="20">
        <f>(Geraetedaten!$B$152+(Geraetedaten!$B$153*(Geraetedaten!$B$18+d_y_Sw)/1000))*10</f>
        <v>6051.0442000000003</v>
      </c>
      <c r="K315" s="20">
        <f>(Geraetedaten!$B$165+(Geraetedaten!$B$166*(Geraetedaten!$B$18+d_y_Sw)/1000))*10</f>
        <v>10816.164000000001</v>
      </c>
      <c r="L315" s="20">
        <f>(Geraetedaten!$B$158+(Geraetedaten!$B$159*(Geraetedaten!$B$18+d_y_Sw)/1000)-(Geraetedaten!$B$160*I315/1000))*10</f>
        <v>404.27369140248777</v>
      </c>
      <c r="M315" s="20">
        <f>(Geraetedaten!$B$171+(Geraetedaten!$B$172*(Geraetedaten!$B$18+d_y_Sw)/1000)-(Geraetedaten!$B$173*I315/1000))*10</f>
        <v>864.61811255967916</v>
      </c>
      <c r="N315" s="20">
        <f>IF((H315-J315)/(K315-J315)*(Geraetedaten!$B$174-Geraetedaten!$B$161)&lt;Geraetedaten!$B$174,(H315-J315)/(K315-J315)*(Geraetedaten!$B$174-Geraetedaten!$B$161),Geraetedaten!$B$174)</f>
        <v>50.566340348421335</v>
      </c>
      <c r="O315" s="20">
        <f>N315/Geraetedaten!$B$174*(M315-L315)+L315+C315</f>
        <v>527.95080907731244</v>
      </c>
      <c r="P315" s="20">
        <f t="shared" si="244"/>
        <v>192.10781152631236</v>
      </c>
      <c r="Q315" s="21">
        <f>(N315-Geraetedaten!$B$161)/(Geraetedaten!$B$174-Geraetedaten!$B$161)*(Geraetedaten!$B$175-Geraetedaten!$B$162)+Geraetedaten!$B$162</f>
        <v>30.704348625365533</v>
      </c>
      <c r="R315" s="21">
        <f t="shared" si="245"/>
        <v>30.704348625365533</v>
      </c>
      <c r="S315" s="21">
        <f t="shared" si="246"/>
        <v>-30.629554375309311</v>
      </c>
      <c r="T315" s="88">
        <f t="shared" si="247"/>
        <v>2.141827088715778</v>
      </c>
      <c r="U315" s="86">
        <f t="shared" si="248"/>
        <v>6718.9131600000001</v>
      </c>
      <c r="V315" s="85">
        <f t="shared" si="249"/>
        <v>-2683.3128092763232</v>
      </c>
      <c r="W315" s="85">
        <f t="shared" si="250"/>
        <v>2690.0710295583253</v>
      </c>
      <c r="X315" s="90">
        <f t="shared" si="251"/>
        <v>2683.3128092763232</v>
      </c>
      <c r="Y315" s="86">
        <f t="shared" si="252"/>
        <v>-220023.65244000001</v>
      </c>
      <c r="Z315" s="85">
        <f t="shared" si="253"/>
        <v>-832.16398485565549</v>
      </c>
      <c r="AA315" s="85">
        <f t="shared" si="254"/>
        <v>-21317.616776071842</v>
      </c>
      <c r="AB315" s="90">
        <f t="shared" si="255"/>
        <v>832.16398485565549</v>
      </c>
      <c r="AC315" s="86">
        <f t="shared" si="256"/>
        <v>-6602.5846700000002</v>
      </c>
      <c r="AD315" s="85">
        <f t="shared" si="257"/>
        <v>2598.140025222212</v>
      </c>
      <c r="AE315" s="85">
        <f t="shared" si="258"/>
        <v>-2604.3571979102931</v>
      </c>
      <c r="AF315" s="90">
        <f t="shared" si="259"/>
        <v>2598.140025222212</v>
      </c>
      <c r="AG315" s="86">
        <f t="shared" si="260"/>
        <v>113661.74310000001</v>
      </c>
      <c r="AH315" s="85">
        <f t="shared" si="261"/>
        <v>6183.1314163678471</v>
      </c>
      <c r="AI315" s="85">
        <f t="shared" si="262"/>
        <v>77722.519013486628</v>
      </c>
      <c r="AJ315" s="90">
        <f t="shared" si="263"/>
        <v>6183.1314163678471</v>
      </c>
      <c r="AL315" s="95">
        <f t="shared" si="264"/>
        <v>0</v>
      </c>
      <c r="AM315" s="95">
        <f t="shared" si="265"/>
        <v>0</v>
      </c>
      <c r="AN315" s="95">
        <f t="shared" si="266"/>
        <v>0</v>
      </c>
      <c r="AO315" s="95">
        <f t="shared" si="267"/>
        <v>0</v>
      </c>
      <c r="AP315"/>
      <c r="AQ315" s="95">
        <f t="shared" si="268"/>
        <v>0</v>
      </c>
      <c r="AR315" s="95">
        <f t="shared" si="269"/>
        <v>0</v>
      </c>
      <c r="AS315" s="95">
        <f>Geraetedaten!$B$94*ABS(SIN(RADIANS($A315)))</f>
        <v>153.62486374001296</v>
      </c>
      <c r="AT315" s="95">
        <f>Geraetedaten!$B$94*ABS(COS(RADIANS($A315)))</f>
        <v>10.742496956595284</v>
      </c>
      <c r="AU315" s="95">
        <f>((h_Aw_Sw+Geraetedaten!$B$18)/1000)*(AQ315*AS315+AR315*AT315)/100</f>
        <v>0</v>
      </c>
    </row>
    <row r="316" spans="1:47" ht="13.5" x14ac:dyDescent="0.25">
      <c r="A316" s="16">
        <v>275</v>
      </c>
      <c r="B316" s="16">
        <f t="shared" si="236"/>
        <v>175</v>
      </c>
      <c r="C316" s="19">
        <f t="shared" si="237"/>
        <v>65.916319376949318</v>
      </c>
      <c r="D316" s="17">
        <f t="shared" si="238"/>
        <v>6662.3608606230509</v>
      </c>
      <c r="E316" s="17">
        <f t="shared" si="239"/>
        <v>-152164.40290937695</v>
      </c>
      <c r="F316" s="17">
        <f t="shared" si="240"/>
        <v>-6677.4952693769492</v>
      </c>
      <c r="G316" s="17">
        <f t="shared" si="241"/>
        <v>93211.784500623049</v>
      </c>
      <c r="H316" s="17">
        <f t="shared" si="242"/>
        <v>6662.3608606230509</v>
      </c>
      <c r="I316" s="17">
        <f t="shared" si="243"/>
        <v>2693.8201291525188</v>
      </c>
      <c r="J316" s="20">
        <f>(Geraetedaten!$B$152+(Geraetedaten!$B$153*(Geraetedaten!$B$18+d_y_Sw)/1000))*10</f>
        <v>6051.0442000000003</v>
      </c>
      <c r="K316" s="20">
        <f>(Geraetedaten!$B$165+(Geraetedaten!$B$166*(Geraetedaten!$B$18+d_y_Sw)/1000))*10</f>
        <v>10816.164000000001</v>
      </c>
      <c r="L316" s="20">
        <f>(Geraetedaten!$B$158+(Geraetedaten!$B$159*(Geraetedaten!$B$18+d_y_Sw)/1000)-(Geraetedaten!$B$160*I316/1000))*10</f>
        <v>403.99876992924561</v>
      </c>
      <c r="M316" s="20">
        <f>(Geraetedaten!$B$171+(Geraetedaten!$B$172*(Geraetedaten!$B$18+d_y_Sw)/1000)-(Geraetedaten!$B$173*I316/1000))*10</f>
        <v>864.33902958588737</v>
      </c>
      <c r="N316" s="20">
        <f>IF((H316-J316)/(K316-J316)*(Geraetedaten!$B$174-Geraetedaten!$B$161)&lt;Geraetedaten!$B$174,(H316-J316)/(K316-J316)*(Geraetedaten!$B$174-Geraetedaten!$B$161),Geraetedaten!$B$174)</f>
        <v>51.315953116062317</v>
      </c>
      <c r="O316" s="20">
        <f>N316/Geraetedaten!$B$174*(M316-L316)+L316+C316</f>
        <v>528.97208726113536</v>
      </c>
      <c r="P316" s="20">
        <f t="shared" si="244"/>
        <v>192.35204737151062</v>
      </c>
      <c r="Q316" s="21">
        <f>(N316-Geraetedaten!$B$161)/(Geraetedaten!$B$174-Geraetedaten!$B$161)*(Geraetedaten!$B$175-Geraetedaten!$B$162)+Geraetedaten!$B$162</f>
        <v>30.726649605202855</v>
      </c>
      <c r="R316" s="21">
        <f t="shared" si="245"/>
        <v>30.726649605202855</v>
      </c>
      <c r="S316" s="21">
        <f t="shared" si="246"/>
        <v>-30.609725426825911</v>
      </c>
      <c r="T316" s="88">
        <f t="shared" si="247"/>
        <v>2.678003968488484</v>
      </c>
      <c r="U316" s="86">
        <f t="shared" si="248"/>
        <v>6728.27718</v>
      </c>
      <c r="V316" s="85">
        <f t="shared" si="249"/>
        <v>-2683.3128092763232</v>
      </c>
      <c r="W316" s="85">
        <f t="shared" si="250"/>
        <v>2693.8201291525188</v>
      </c>
      <c r="X316" s="90">
        <f t="shared" si="251"/>
        <v>2683.3128092763232</v>
      </c>
      <c r="Y316" s="86">
        <f t="shared" si="252"/>
        <v>-152098.48658999999</v>
      </c>
      <c r="Z316" s="85">
        <f t="shared" si="253"/>
        <v>-832.16398485565549</v>
      </c>
      <c r="AA316" s="85">
        <f t="shared" si="254"/>
        <v>-14736.4940698263</v>
      </c>
      <c r="AB316" s="90">
        <f t="shared" si="255"/>
        <v>832.16398485565549</v>
      </c>
      <c r="AC316" s="86">
        <f t="shared" si="256"/>
        <v>-6611.5789500000001</v>
      </c>
      <c r="AD316" s="85">
        <f t="shared" si="257"/>
        <v>2598.140025222212</v>
      </c>
      <c r="AE316" s="85">
        <f t="shared" si="258"/>
        <v>-2607.9049483890071</v>
      </c>
      <c r="AF316" s="90">
        <f t="shared" si="259"/>
        <v>2598.140025222212</v>
      </c>
      <c r="AG316" s="86">
        <f t="shared" si="260"/>
        <v>93277.700819999998</v>
      </c>
      <c r="AH316" s="85">
        <f t="shared" si="261"/>
        <v>6183.1314163678471</v>
      </c>
      <c r="AI316" s="85">
        <f t="shared" si="262"/>
        <v>63783.79987698808</v>
      </c>
      <c r="AJ316" s="90">
        <f t="shared" si="263"/>
        <v>6183.1314163678471</v>
      </c>
      <c r="AL316" s="95">
        <f t="shared" si="264"/>
        <v>0</v>
      </c>
      <c r="AM316" s="95">
        <f t="shared" si="265"/>
        <v>0</v>
      </c>
      <c r="AN316" s="95">
        <f t="shared" si="266"/>
        <v>0</v>
      </c>
      <c r="AO316" s="95">
        <f t="shared" si="267"/>
        <v>0</v>
      </c>
      <c r="AP316"/>
      <c r="AQ316" s="95">
        <f t="shared" si="268"/>
        <v>0</v>
      </c>
      <c r="AR316" s="95">
        <f t="shared" si="269"/>
        <v>0</v>
      </c>
      <c r="AS316" s="95">
        <f>Geraetedaten!$B$94*ABS(SIN(RADIANS($A316)))</f>
        <v>153.4139835061288</v>
      </c>
      <c r="AT316" s="95">
        <f>Geraetedaten!$B$94*ABS(COS(RADIANS($A316)))</f>
        <v>13.421984383139314</v>
      </c>
      <c r="AU316" s="95">
        <f>((h_Aw_Sw+Geraetedaten!$B$18)/1000)*(AQ316*AS316+AR316*AT316)/100</f>
        <v>0</v>
      </c>
    </row>
    <row r="317" spans="1:47" ht="13.5" x14ac:dyDescent="0.25">
      <c r="A317" s="16">
        <v>276</v>
      </c>
      <c r="B317" s="16">
        <f t="shared" si="236"/>
        <v>174</v>
      </c>
      <c r="C317" s="19">
        <f t="shared" si="237"/>
        <v>66.330274023974852</v>
      </c>
      <c r="D317" s="17">
        <f t="shared" si="238"/>
        <v>6673.3929059760248</v>
      </c>
      <c r="E317" s="17">
        <f t="shared" si="239"/>
        <v>-116312.87627402398</v>
      </c>
      <c r="F317" s="17">
        <f t="shared" si="240"/>
        <v>-6688.9481040239752</v>
      </c>
      <c r="G317" s="17">
        <f t="shared" si="241"/>
        <v>79047.27367597603</v>
      </c>
      <c r="H317" s="17">
        <f t="shared" si="242"/>
        <v>6673.3929059760248</v>
      </c>
      <c r="I317" s="17">
        <f t="shared" si="243"/>
        <v>2698.4028002061277</v>
      </c>
      <c r="J317" s="20">
        <f>(Geraetedaten!$B$152+(Geraetedaten!$B$153*(Geraetedaten!$B$18+d_y_Sw)/1000))*10</f>
        <v>6051.0442000000003</v>
      </c>
      <c r="K317" s="20">
        <f>(Geraetedaten!$B$165+(Geraetedaten!$B$166*(Geraetedaten!$B$18+d_y_Sw)/1000))*10</f>
        <v>10816.164000000001</v>
      </c>
      <c r="L317" s="20">
        <f>(Geraetedaten!$B$158+(Geraetedaten!$B$159*(Geraetedaten!$B$18+d_y_Sw)/1000)-(Geraetedaten!$B$160*I317/1000))*10</f>
        <v>403.66272266088447</v>
      </c>
      <c r="M317" s="20">
        <f>(Geraetedaten!$B$171+(Geraetedaten!$B$172*(Geraetedaten!$B$18+d_y_Sw)/1000)-(Geraetedaten!$B$173*I317/1000))*10</f>
        <v>863.9978955526567</v>
      </c>
      <c r="N317" s="20">
        <f>IF((H317-J317)/(K317-J317)*(Geraetedaten!$B$174-Geraetedaten!$B$161)&lt;Geraetedaten!$B$174,(H317-J317)/(K317-J317)*(Geraetedaten!$B$174-Geraetedaten!$B$161),Geraetedaten!$B$174)</f>
        <v>52.24201968445994</v>
      </c>
      <c r="O317" s="20">
        <f>N317/Geraetedaten!$B$174*(M317-L317)+L317+C317</f>
        <v>530.11509459401236</v>
      </c>
      <c r="P317" s="20">
        <f t="shared" si="244"/>
        <v>192.60987450324018</v>
      </c>
      <c r="Q317" s="21">
        <f>(N317-Geraetedaten!$B$161)/(Geraetedaten!$B$174-Geraetedaten!$B$161)*(Geraetedaten!$B$175-Geraetedaten!$B$162)+Geraetedaten!$B$162</f>
        <v>30.754200085612684</v>
      </c>
      <c r="R317" s="21">
        <f t="shared" ref="R317:R348" si="270">SQRT((r_K_D/1000)^2+Q317^2-(2*(r_K_D/1000)*Q317*COS(RADIANS(2*A317))))</f>
        <v>30.754200085612684</v>
      </c>
      <c r="S317" s="21">
        <f t="shared" ref="S317:S348" si="271">R317*SIN(A317*Const_2)</f>
        <v>-30.585725359678644</v>
      </c>
      <c r="T317" s="88">
        <f t="shared" ref="T317:T348" si="272">R317*COS(A317*Const_2)</f>
        <v>3.2146892739750159</v>
      </c>
      <c r="U317" s="86">
        <f t="shared" ref="U317:U348" si="273">ROUND((F_S*r_Su_L-F_G*V317+F_SSw*X317)/(SIN(RADIANS(270+g_L-A317)))/1000,5)</f>
        <v>6739.72318</v>
      </c>
      <c r="V317" s="85">
        <f t="shared" ref="V317:V348" si="274">(SIN(RADIANS(g_L)))*(((VL_Z-HL_Z)/(VL_X-HL_X))*(-HL_X+AM317)+HL_Z-AL317)</f>
        <v>-2683.3128092763232</v>
      </c>
      <c r="W317" s="85">
        <f t="shared" ref="W317:W348" si="275">V317/(SIN(RADIANS(180-g_L-(90-$A317))))</f>
        <v>2698.4028002061277</v>
      </c>
      <c r="X317" s="90">
        <f t="shared" ref="X317:X348" si="276">SIN(RADIANS(g_L))*(((VL_Z-HL_Z)/(VL_X-HL_X))*(-AO317+HL_X)-HL_Z+AN317)</f>
        <v>2683.3128092763232</v>
      </c>
      <c r="Y317" s="86">
        <f t="shared" ref="Y317:Y348" si="277">ROUND((F_S*r_Su_H-F_G*Z317+F_SSw*AB317)/(SIN(RADIANS(180+g_H-A317)))/1000,5)</f>
        <v>-116246.546</v>
      </c>
      <c r="Z317" s="85">
        <f t="shared" ref="Z317:Z348" si="278">(SIN(RADIANS(g_H)))*(((HL_X-HR_X)/(HL_Z-HR_Z))*(-HR_Z+AL317)+HR_X-AM317)</f>
        <v>-832.16398485565549</v>
      </c>
      <c r="AA317" s="85">
        <f t="shared" ref="AA317:AA348" si="279">Z317/(SIN(RADIANS(g_H-$A317)))</f>
        <v>-11262.876929837605</v>
      </c>
      <c r="AB317" s="90">
        <f t="shared" ref="AB317:AB348" si="280">SIN(RADIANS(g_H))*(((HL_X-HR_X)/(HL_Z-HR_Z))*(-AN317+HR_Z)-HR_X+AO317)</f>
        <v>832.16398485565549</v>
      </c>
      <c r="AC317" s="86">
        <f t="shared" ref="AC317:AC348" si="281">ROUND((F_S*r_Su_R+F_G*AD317+F_SSw*AF317)/(SIN(RADIANS(90+g_R-A317)))/1000,5)</f>
        <v>-6622.6178300000001</v>
      </c>
      <c r="AD317" s="85">
        <f t="shared" ref="AD317:AD348" si="282">(SIN(RADIANS(g_R)))*(((HR_Z-VR_Z)/(HR_X-VR_X))*(-VR_X+AM317)+VR_Z-AL317)</f>
        <v>2598.140025222212</v>
      </c>
      <c r="AE317" s="85">
        <f t="shared" ref="AE317:AE348" si="283">AD317/(SIN(RADIANS(180-g_R-(90-$A317))))</f>
        <v>-2612.25918269252</v>
      </c>
      <c r="AF317" s="90">
        <f t="shared" ref="AF317:AF348" si="284">(SIN(RADIANS(g_R)))*(((HR_Z-VR_Z)/(HR_X-VR_X))*(-VR_X+AO317)+VR_Z-AN317)</f>
        <v>2598.140025222212</v>
      </c>
      <c r="AG317" s="86">
        <f t="shared" ref="AG317:AG348" si="285">ROUND((F_S*r_Su_V+F_G*AH317+F_SSw*AJ317)/(SIN(RADIANS(g_V-A317)))/1000,5)</f>
        <v>79113.603950000004</v>
      </c>
      <c r="AH317" s="85">
        <f t="shared" ref="AH317:AH348" si="286">(SIN(RADIANS(g_V)))*(((VR_X-VL_X)/(VR_Z-VL_Z))*(AL317-VL_Z)+VL_X-AM317)</f>
        <v>6183.1314163678471</v>
      </c>
      <c r="AI317" s="85">
        <f t="shared" ref="AI317:AI348" si="287">AH317/(SIN(RADIANS(g_V-$A317)))</f>
        <v>54098.313290151367</v>
      </c>
      <c r="AJ317" s="90">
        <f t="shared" ref="AJ317:AJ348" si="288">(SIN(RADIANS(g_V)))*(((VR_X-VL_X)/(VR_Z-VL_Z))*(-VL_Z+AN317)+VL_X-AO317)</f>
        <v>6183.1314163678471</v>
      </c>
      <c r="AL317" s="95">
        <f t="shared" ref="AL317:AL348" si="289">SIN(RADIANS(A317))*r_K_D</f>
        <v>0</v>
      </c>
      <c r="AM317" s="95">
        <f t="shared" ref="AM317:AM348" si="290">COS(RADIANS(A317-180))*r_K_D</f>
        <v>0</v>
      </c>
      <c r="AN317" s="95">
        <f t="shared" ref="AN317:AN348" si="291">SIN(RADIANS(A317))*r_K_SSw</f>
        <v>0</v>
      </c>
      <c r="AO317" s="95">
        <f t="shared" ref="AO317:AO348" si="292">-COS(RADIANS(A317))*r_K_SSw</f>
        <v>0</v>
      </c>
      <c r="AP317"/>
      <c r="AQ317" s="95">
        <f t="shared" ref="AQ317:AQ348" si="293">MAX(d_y_Sw*(r_K_D*ABS(COS(RADIANS($A317)))+_r1_Sw+_r2_Sw), 2*_r1_Sw*d_y_Sw)/1000000</f>
        <v>0</v>
      </c>
      <c r="AR317" s="95">
        <f t="shared" ref="AR317:AR348" si="294">MAX(d_y_Sw*(r_K_D*ABS(SIN(RADIANS($A317)))+_r1_Sw+_r2_Sw), 2*_r1_Sw*d_y_Sw)/1000000</f>
        <v>0</v>
      </c>
      <c r="AS317" s="95">
        <f>Geraetedaten!$B$94*ABS(SIN(RADIANS($A317)))</f>
        <v>153.15637188671411</v>
      </c>
      <c r="AT317" s="95">
        <f>Geraetedaten!$B$94*ABS(COS(RADIANS($A317)))</f>
        <v>16.09738334321856</v>
      </c>
      <c r="AU317" s="95">
        <f>((h_Aw_Sw+Geraetedaten!$B$18)/1000)*(AQ317*AS317+AR317*AT317)/100</f>
        <v>0</v>
      </c>
    </row>
    <row r="318" spans="1:47" ht="13.5" x14ac:dyDescent="0.25">
      <c r="A318" s="16">
        <v>277</v>
      </c>
      <c r="B318" s="16">
        <f t="shared" si="236"/>
        <v>173</v>
      </c>
      <c r="C318" s="19">
        <f t="shared" si="237"/>
        <v>66.724023826976904</v>
      </c>
      <c r="D318" s="17">
        <f t="shared" si="238"/>
        <v>6686.5447861730227</v>
      </c>
      <c r="E318" s="17">
        <f t="shared" si="239"/>
        <v>-94162.19104382697</v>
      </c>
      <c r="F318" s="17">
        <f t="shared" si="240"/>
        <v>-6702.4423538269766</v>
      </c>
      <c r="G318" s="17">
        <f t="shared" si="241"/>
        <v>68635.469106173026</v>
      </c>
      <c r="H318" s="17">
        <f t="shared" si="242"/>
        <v>6686.5447861730227</v>
      </c>
      <c r="I318" s="17">
        <f t="shared" si="243"/>
        <v>2703.8261048425879</v>
      </c>
      <c r="J318" s="20">
        <f>(Geraetedaten!$B$152+(Geraetedaten!$B$153*(Geraetedaten!$B$18+d_y_Sw)/1000))*10</f>
        <v>6051.0442000000003</v>
      </c>
      <c r="K318" s="20">
        <f>(Geraetedaten!$B$165+(Geraetedaten!$B$166*(Geraetedaten!$B$18+d_y_Sw)/1000))*10</f>
        <v>10816.164000000001</v>
      </c>
      <c r="L318" s="20">
        <f>(Geraetedaten!$B$158+(Geraetedaten!$B$159*(Geraetedaten!$B$18+d_y_Sw)/1000)-(Geraetedaten!$B$160*I318/1000))*10</f>
        <v>403.2650317318928</v>
      </c>
      <c r="M318" s="20">
        <f>(Geraetedaten!$B$171+(Geraetedaten!$B$172*(Geraetedaten!$B$18+d_y_Sw)/1000)-(Geraetedaten!$B$173*I318/1000))*10</f>
        <v>863.59418475551877</v>
      </c>
      <c r="N318" s="20">
        <f>IF((H318-J318)/(K318-J318)*(Geraetedaten!$B$174-Geraetedaten!$B$161)&lt;Geraetedaten!$B$174,(H318-J318)/(K318-J318)*(Geraetedaten!$B$174-Geraetedaten!$B$161),Geraetedaten!$B$174)</f>
        <v>53.346032238100058</v>
      </c>
      <c r="O318" s="20">
        <f>N318/Geraetedaten!$B$174*(M318-L318)+L318+C318</f>
        <v>531.38089015220885</v>
      </c>
      <c r="P318" s="20">
        <f t="shared" si="244"/>
        <v>192.88126598121781</v>
      </c>
      <c r="Q318" s="21">
        <f>(N318-Geraetedaten!$B$161)/(Geraetedaten!$B$174-Geraetedaten!$B$161)*(Geraetedaten!$B$175-Geraetedaten!$B$162)+Geraetedaten!$B$162</f>
        <v>30.787044459083475</v>
      </c>
      <c r="R318" s="21">
        <f t="shared" si="270"/>
        <v>30.787044459083475</v>
      </c>
      <c r="S318" s="21">
        <f t="shared" si="271"/>
        <v>-30.55756249827359</v>
      </c>
      <c r="T318" s="88">
        <f t="shared" si="272"/>
        <v>3.7519968936135935</v>
      </c>
      <c r="U318" s="86">
        <f t="shared" si="273"/>
        <v>6753.2688099999996</v>
      </c>
      <c r="V318" s="85">
        <f t="shared" si="274"/>
        <v>-2683.3128092763232</v>
      </c>
      <c r="W318" s="85">
        <f t="shared" si="275"/>
        <v>2703.8261048425879</v>
      </c>
      <c r="X318" s="90">
        <f t="shared" si="276"/>
        <v>2683.3128092763232</v>
      </c>
      <c r="Y318" s="86">
        <f t="shared" si="277"/>
        <v>-94095.467019999996</v>
      </c>
      <c r="Z318" s="85">
        <f t="shared" si="278"/>
        <v>-832.16398485565549</v>
      </c>
      <c r="AA318" s="85">
        <f t="shared" si="279"/>
        <v>-9116.706700184046</v>
      </c>
      <c r="AB318" s="90">
        <f t="shared" si="280"/>
        <v>832.16398485565549</v>
      </c>
      <c r="AC318" s="86">
        <f t="shared" si="281"/>
        <v>-6635.7183299999997</v>
      </c>
      <c r="AD318" s="85">
        <f t="shared" si="282"/>
        <v>2598.140025222212</v>
      </c>
      <c r="AE318" s="85">
        <f t="shared" si="283"/>
        <v>-2617.4266081377882</v>
      </c>
      <c r="AF318" s="90">
        <f t="shared" si="284"/>
        <v>2598.140025222212</v>
      </c>
      <c r="AG318" s="86">
        <f t="shared" si="285"/>
        <v>68702.19313</v>
      </c>
      <c r="AH318" s="85">
        <f t="shared" si="286"/>
        <v>6183.1314163678471</v>
      </c>
      <c r="AI318" s="85">
        <f t="shared" si="287"/>
        <v>46978.933865925836</v>
      </c>
      <c r="AJ318" s="90">
        <f t="shared" si="288"/>
        <v>6183.1314163678471</v>
      </c>
      <c r="AL318" s="95">
        <f t="shared" si="289"/>
        <v>0</v>
      </c>
      <c r="AM318" s="95">
        <f t="shared" si="290"/>
        <v>0</v>
      </c>
      <c r="AN318" s="95">
        <f t="shared" si="291"/>
        <v>0</v>
      </c>
      <c r="AO318" s="95">
        <f t="shared" si="292"/>
        <v>0</v>
      </c>
      <c r="AP318"/>
      <c r="AQ318" s="95">
        <f t="shared" si="293"/>
        <v>0</v>
      </c>
      <c r="AR318" s="95">
        <f t="shared" si="294"/>
        <v>0</v>
      </c>
      <c r="AS318" s="95">
        <f>Geraetedaten!$B$94*ABS(SIN(RADIANS($A318)))</f>
        <v>152.8521073527636</v>
      </c>
      <c r="AT318" s="95">
        <f>Geraetedaten!$B$94*ABS(COS(RADIANS($A318)))</f>
        <v>18.767878884392744</v>
      </c>
      <c r="AU318" s="95">
        <f>((h_Aw_Sw+Geraetedaten!$B$18)/1000)*(AQ318*AS318+AR318*AT318)/100</f>
        <v>0</v>
      </c>
    </row>
    <row r="319" spans="1:47" ht="13.5" x14ac:dyDescent="0.25">
      <c r="A319" s="16">
        <v>278</v>
      </c>
      <c r="B319" s="16">
        <f t="shared" si="236"/>
        <v>172</v>
      </c>
      <c r="C319" s="19">
        <f t="shared" si="237"/>
        <v>67.097448845951106</v>
      </c>
      <c r="D319" s="17">
        <f t="shared" si="238"/>
        <v>6701.8375911540488</v>
      </c>
      <c r="E319" s="17">
        <f t="shared" si="239"/>
        <v>-79122.445208845951</v>
      </c>
      <c r="F319" s="17">
        <f t="shared" si="240"/>
        <v>-6717.9981488459516</v>
      </c>
      <c r="G319" s="17">
        <f t="shared" si="241"/>
        <v>60661.645241154045</v>
      </c>
      <c r="H319" s="17">
        <f t="shared" si="242"/>
        <v>6701.8375911540488</v>
      </c>
      <c r="I319" s="17">
        <f t="shared" si="243"/>
        <v>2710.0984378460944</v>
      </c>
      <c r="J319" s="20">
        <f>(Geraetedaten!$B$152+(Geraetedaten!$B$153*(Geraetedaten!$B$18+d_y_Sw)/1000))*10</f>
        <v>6051.0442000000003</v>
      </c>
      <c r="K319" s="20">
        <f>(Geraetedaten!$B$165+(Geraetedaten!$B$166*(Geraetedaten!$B$18+d_y_Sw)/1000))*10</f>
        <v>10816.164000000001</v>
      </c>
      <c r="L319" s="20">
        <f>(Geraetedaten!$B$158+(Geraetedaten!$B$159*(Geraetedaten!$B$18+d_y_Sw)/1000)-(Geraetedaten!$B$160*I319/1000))*10</f>
        <v>402.80508155274566</v>
      </c>
      <c r="M319" s="20">
        <f>(Geraetedaten!$B$171+(Geraetedaten!$B$172*(Geraetedaten!$B$18+d_y_Sw)/1000)-(Geraetedaten!$B$173*I319/1000))*10</f>
        <v>863.12727228673771</v>
      </c>
      <c r="N319" s="20">
        <f>IF((H319-J319)/(K319-J319)*(Geraetedaten!$B$174-Geraetedaten!$B$161)&lt;Geraetedaten!$B$174,(H319-J319)/(K319-J319)*(Geraetedaten!$B$174-Geraetedaten!$B$161),Geraetedaten!$B$174)</f>
        <v>54.62976113667056</v>
      </c>
      <c r="O319" s="20">
        <f>N319/Geraetedaten!$B$174*(M319-L319)+L319+C319</f>
        <v>532.77075871296404</v>
      </c>
      <c r="P319" s="20">
        <f t="shared" si="244"/>
        <v>193.16621479508163</v>
      </c>
      <c r="Q319" s="21">
        <f>(N319-Geraetedaten!$B$161)/(Geraetedaten!$B$174-Geraetedaten!$B$161)*(Geraetedaten!$B$175-Geraetedaten!$B$162)+Geraetedaten!$B$162</f>
        <v>30.825235393815948</v>
      </c>
      <c r="R319" s="21">
        <f t="shared" si="270"/>
        <v>30.825235393815948</v>
      </c>
      <c r="S319" s="21">
        <f t="shared" si="271"/>
        <v>-30.525246321938418</v>
      </c>
      <c r="T319" s="88">
        <f t="shared" si="272"/>
        <v>4.29004359758133</v>
      </c>
      <c r="U319" s="86">
        <f t="shared" si="273"/>
        <v>6768.9350400000003</v>
      </c>
      <c r="V319" s="85">
        <f t="shared" si="274"/>
        <v>-2683.3128092763232</v>
      </c>
      <c r="W319" s="85">
        <f t="shared" si="275"/>
        <v>2710.0984378460944</v>
      </c>
      <c r="X319" s="90">
        <f t="shared" si="276"/>
        <v>2683.3128092763232</v>
      </c>
      <c r="Y319" s="86">
        <f t="shared" si="277"/>
        <v>-79055.347760000004</v>
      </c>
      <c r="Z319" s="85">
        <f t="shared" si="278"/>
        <v>-832.16398485565549</v>
      </c>
      <c r="AA319" s="85">
        <f t="shared" si="279"/>
        <v>-7659.5020082443134</v>
      </c>
      <c r="AB319" s="90">
        <f t="shared" si="280"/>
        <v>832.16398485565549</v>
      </c>
      <c r="AC319" s="86">
        <f t="shared" si="281"/>
        <v>-6650.9007000000001</v>
      </c>
      <c r="AD319" s="85">
        <f t="shared" si="282"/>
        <v>2598.140025222212</v>
      </c>
      <c r="AE319" s="85">
        <f t="shared" si="283"/>
        <v>-2623.4152195224688</v>
      </c>
      <c r="AF319" s="90">
        <f t="shared" si="284"/>
        <v>2598.140025222212</v>
      </c>
      <c r="AG319" s="86">
        <f t="shared" si="285"/>
        <v>60728.742689999999</v>
      </c>
      <c r="AH319" s="85">
        <f t="shared" si="286"/>
        <v>6183.1314163678471</v>
      </c>
      <c r="AI319" s="85">
        <f t="shared" si="287"/>
        <v>41526.645023589088</v>
      </c>
      <c r="AJ319" s="90">
        <f t="shared" si="288"/>
        <v>6183.1314163678471</v>
      </c>
      <c r="AL319" s="95">
        <f t="shared" si="289"/>
        <v>0</v>
      </c>
      <c r="AM319" s="95">
        <f t="shared" si="290"/>
        <v>0</v>
      </c>
      <c r="AN319" s="95">
        <f t="shared" si="291"/>
        <v>0</v>
      </c>
      <c r="AO319" s="95">
        <f t="shared" si="292"/>
        <v>0</v>
      </c>
      <c r="AP319"/>
      <c r="AQ319" s="95">
        <f t="shared" si="293"/>
        <v>0</v>
      </c>
      <c r="AR319" s="95">
        <f t="shared" si="294"/>
        <v>0</v>
      </c>
      <c r="AS319" s="95">
        <f>Geraetedaten!$B$94*ABS(SIN(RADIANS($A319)))</f>
        <v>152.50128258620182</v>
      </c>
      <c r="AT319" s="95">
        <f>Geraetedaten!$B$94*ABS(COS(RADIANS($A319)))</f>
        <v>21.432657547850081</v>
      </c>
      <c r="AU319" s="95">
        <f>((h_Aw_Sw+Geraetedaten!$B$18)/1000)*(AQ319*AS319+AR319*AT319)/100</f>
        <v>0</v>
      </c>
    </row>
    <row r="320" spans="1:47" ht="13.5" x14ac:dyDescent="0.25">
      <c r="A320" s="16">
        <v>279</v>
      </c>
      <c r="B320" s="16">
        <f t="shared" si="236"/>
        <v>171</v>
      </c>
      <c r="C320" s="19">
        <f t="shared" si="237"/>
        <v>67.450435332019254</v>
      </c>
      <c r="D320" s="17">
        <f t="shared" si="238"/>
        <v>6719.2958046679814</v>
      </c>
      <c r="E320" s="17">
        <f t="shared" si="239"/>
        <v>-68245.982125332026</v>
      </c>
      <c r="F320" s="17">
        <f t="shared" si="240"/>
        <v>-6735.6389853320188</v>
      </c>
      <c r="G320" s="17">
        <f t="shared" si="241"/>
        <v>54361.005044667974</v>
      </c>
      <c r="H320" s="17">
        <f t="shared" si="242"/>
        <v>6719.2958046679814</v>
      </c>
      <c r="I320" s="17">
        <f t="shared" si="243"/>
        <v>2717.2295586137529</v>
      </c>
      <c r="J320" s="20">
        <f>(Geraetedaten!$B$152+(Geraetedaten!$B$153*(Geraetedaten!$B$18+d_y_Sw)/1000))*10</f>
        <v>6051.0442000000003</v>
      </c>
      <c r="K320" s="20">
        <f>(Geraetedaten!$B$165+(Geraetedaten!$B$166*(Geraetedaten!$B$18+d_y_Sw)/1000))*10</f>
        <v>10816.164000000001</v>
      </c>
      <c r="L320" s="20">
        <f>(Geraetedaten!$B$158+(Geraetedaten!$B$159*(Geraetedaten!$B$18+d_y_Sw)/1000)-(Geraetedaten!$B$160*I320/1000))*10</f>
        <v>402.28215646685328</v>
      </c>
      <c r="M320" s="20">
        <f>(Geraetedaten!$B$171+(Geraetedaten!$B$172*(Geraetedaten!$B$18+d_y_Sw)/1000)-(Geraetedaten!$B$173*I320/1000))*10</f>
        <v>862.59643165679313</v>
      </c>
      <c r="N320" s="20">
        <f>IF((H320-J320)/(K320-J320)*(Geraetedaten!$B$174-Geraetedaten!$B$161)&lt;Geraetedaten!$B$174,(H320-J320)/(K320-J320)*(Geraetedaten!$B$174-Geraetedaten!$B$161),Geraetedaten!$B$174)</f>
        <v>56.095261627460538</v>
      </c>
      <c r="O320" s="20">
        <f>N320/Geraetedaten!$B$174*(M320-L320)+L320+C320</f>
        <v>534.28621604295881</v>
      </c>
      <c r="P320" s="20">
        <f t="shared" si="244"/>
        <v>193.46473399257721</v>
      </c>
      <c r="Q320" s="21">
        <f>(N320-Geraetedaten!$B$161)/(Geraetedaten!$B$174-Geraetedaten!$B$161)*(Geraetedaten!$B$175-Geraetedaten!$B$162)+Geraetedaten!$B$162</f>
        <v>30.868834033416949</v>
      </c>
      <c r="R320" s="21">
        <f t="shared" si="270"/>
        <v>30.868834033416949</v>
      </c>
      <c r="S320" s="21">
        <f t="shared" si="271"/>
        <v>-30.488787462572301</v>
      </c>
      <c r="T320" s="88">
        <f t="shared" si="272"/>
        <v>4.8289495384332461</v>
      </c>
      <c r="U320" s="86">
        <f t="shared" si="273"/>
        <v>6786.7462400000004</v>
      </c>
      <c r="V320" s="85">
        <f t="shared" si="274"/>
        <v>-2683.3128092763232</v>
      </c>
      <c r="W320" s="85">
        <f t="shared" si="275"/>
        <v>2717.2295586137529</v>
      </c>
      <c r="X320" s="90">
        <f t="shared" si="276"/>
        <v>2683.3128092763232</v>
      </c>
      <c r="Y320" s="86">
        <f t="shared" si="277"/>
        <v>-68178.531690000003</v>
      </c>
      <c r="Z320" s="85">
        <f t="shared" si="278"/>
        <v>-832.16398485565549</v>
      </c>
      <c r="AA320" s="85">
        <f t="shared" si="279"/>
        <v>-6605.6707760935378</v>
      </c>
      <c r="AB320" s="90">
        <f t="shared" si="280"/>
        <v>832.16398485565549</v>
      </c>
      <c r="AC320" s="86">
        <f t="shared" si="281"/>
        <v>-6668.1885499999999</v>
      </c>
      <c r="AD320" s="85">
        <f t="shared" si="282"/>
        <v>2598.140025222212</v>
      </c>
      <c r="AE320" s="85">
        <f t="shared" si="283"/>
        <v>-2630.2343295331348</v>
      </c>
      <c r="AF320" s="90">
        <f t="shared" si="284"/>
        <v>2598.140025222212</v>
      </c>
      <c r="AG320" s="86">
        <f t="shared" si="285"/>
        <v>54428.455479999997</v>
      </c>
      <c r="AH320" s="85">
        <f t="shared" si="286"/>
        <v>6183.1314163678471</v>
      </c>
      <c r="AI320" s="85">
        <f t="shared" si="287"/>
        <v>37218.474311259924</v>
      </c>
      <c r="AJ320" s="90">
        <f t="shared" si="288"/>
        <v>6183.1314163678471</v>
      </c>
      <c r="AL320" s="95">
        <f t="shared" si="289"/>
        <v>0</v>
      </c>
      <c r="AM320" s="95">
        <f t="shared" si="290"/>
        <v>0</v>
      </c>
      <c r="AN320" s="95">
        <f t="shared" si="291"/>
        <v>0</v>
      </c>
      <c r="AO320" s="95">
        <f t="shared" si="292"/>
        <v>0</v>
      </c>
      <c r="AP320"/>
      <c r="AQ320" s="95">
        <f t="shared" si="293"/>
        <v>0</v>
      </c>
      <c r="AR320" s="95">
        <f t="shared" si="294"/>
        <v>0</v>
      </c>
      <c r="AS320" s="95">
        <f>Geraetedaten!$B$94*ABS(SIN(RADIANS($A320)))</f>
        <v>152.10400445165121</v>
      </c>
      <c r="AT320" s="95">
        <f>Geraetedaten!$B$94*ABS(COS(RADIANS($A320)))</f>
        <v>24.090907616195523</v>
      </c>
      <c r="AU320" s="95">
        <f>((h_Aw_Sw+Geraetedaten!$B$18)/1000)*(AQ320*AS320+AR320*AT320)/100</f>
        <v>0</v>
      </c>
    </row>
    <row r="321" spans="1:47" ht="13.5" x14ac:dyDescent="0.25">
      <c r="A321" s="16">
        <v>280</v>
      </c>
      <c r="B321" s="16">
        <f t="shared" si="236"/>
        <v>170</v>
      </c>
      <c r="C321" s="19">
        <f t="shared" si="237"/>
        <v>67.782875762078234</v>
      </c>
      <c r="D321" s="17">
        <f t="shared" si="238"/>
        <v>6738.9474042379215</v>
      </c>
      <c r="E321" s="17">
        <f t="shared" si="239"/>
        <v>-60016.53680576208</v>
      </c>
      <c r="F321" s="17">
        <f t="shared" si="240"/>
        <v>-6755.3918057620785</v>
      </c>
      <c r="G321" s="17">
        <f t="shared" si="241"/>
        <v>49258.369324237916</v>
      </c>
      <c r="H321" s="17">
        <f t="shared" si="242"/>
        <v>6738.9474042379215</v>
      </c>
      <c r="I321" s="17">
        <f t="shared" si="243"/>
        <v>2725.2306285806148</v>
      </c>
      <c r="J321" s="20">
        <f>(Geraetedaten!$B$152+(Geraetedaten!$B$153*(Geraetedaten!$B$18+d_y_Sw)/1000))*10</f>
        <v>6051.0442000000003</v>
      </c>
      <c r="K321" s="20">
        <f>(Geraetedaten!$B$165+(Geraetedaten!$B$166*(Geraetedaten!$B$18+d_y_Sw)/1000))*10</f>
        <v>10816.164000000001</v>
      </c>
      <c r="L321" s="20">
        <f>(Geraetedaten!$B$158+(Geraetedaten!$B$159*(Geraetedaten!$B$18+d_y_Sw)/1000)-(Geraetedaten!$B$160*I321/1000))*10</f>
        <v>401.69543800618328</v>
      </c>
      <c r="M321" s="20">
        <f>(Geraetedaten!$B$171+(Geraetedaten!$B$172*(Geraetedaten!$B$18+d_y_Sw)/1000)-(Geraetedaten!$B$173*I321/1000))*10</f>
        <v>862.00083200845995</v>
      </c>
      <c r="N321" s="20">
        <f>IF((H321-J321)/(K321-J321)*(Geraetedaten!$B$174-Geraetedaten!$B$161)&lt;Geraetedaten!$B$174,(H321-J321)/(K321-J321)*(Geraetedaten!$B$174-Geraetedaten!$B$161),Geraetedaten!$B$174)</f>
        <v>57.744882236784157</v>
      </c>
      <c r="O321" s="20">
        <f>N321/Geraetedaten!$B$174*(M321-L321)+L321+C321</f>
        <v>535.92901569230651</v>
      </c>
      <c r="P321" s="20">
        <f t="shared" si="244"/>
        <v>193.77685693617741</v>
      </c>
      <c r="Q321" s="21">
        <f>(N321-Geraetedaten!$B$161)/(Geraetedaten!$B$174-Geraetedaten!$B$161)*(Geraetedaten!$B$175-Geraetedaten!$B$162)+Geraetedaten!$B$162</f>
        <v>30.917910246544327</v>
      </c>
      <c r="R321" s="21">
        <f t="shared" si="270"/>
        <v>30.917910246544327</v>
      </c>
      <c r="S321" s="21">
        <f t="shared" si="271"/>
        <v>-30.448197717732445</v>
      </c>
      <c r="T321" s="88">
        <f t="shared" si="272"/>
        <v>5.3688387715821237</v>
      </c>
      <c r="U321" s="86">
        <f t="shared" si="273"/>
        <v>6806.7302799999998</v>
      </c>
      <c r="V321" s="85">
        <f t="shared" si="274"/>
        <v>-2683.3128092763232</v>
      </c>
      <c r="W321" s="85">
        <f t="shared" si="275"/>
        <v>2725.2306285806148</v>
      </c>
      <c r="X321" s="90">
        <f t="shared" si="276"/>
        <v>2683.3128092763232</v>
      </c>
      <c r="Y321" s="86">
        <f t="shared" si="277"/>
        <v>-59948.753929999999</v>
      </c>
      <c r="Z321" s="85">
        <f t="shared" si="278"/>
        <v>-832.16398485565549</v>
      </c>
      <c r="AA321" s="85">
        <f t="shared" si="279"/>
        <v>-5808.3053724809015</v>
      </c>
      <c r="AB321" s="90">
        <f t="shared" si="280"/>
        <v>832.16398485565549</v>
      </c>
      <c r="AC321" s="86">
        <f t="shared" si="281"/>
        <v>-6687.6089300000003</v>
      </c>
      <c r="AD321" s="85">
        <f t="shared" si="282"/>
        <v>2598.140025222212</v>
      </c>
      <c r="AE321" s="85">
        <f t="shared" si="283"/>
        <v>-2637.8946044282111</v>
      </c>
      <c r="AF321" s="90">
        <f t="shared" si="284"/>
        <v>2598.140025222212</v>
      </c>
      <c r="AG321" s="86">
        <f t="shared" si="285"/>
        <v>49326.152199999997</v>
      </c>
      <c r="AH321" s="85">
        <f t="shared" si="286"/>
        <v>6183.1314163678471</v>
      </c>
      <c r="AI321" s="85">
        <f t="shared" si="287"/>
        <v>33729.491537608817</v>
      </c>
      <c r="AJ321" s="90">
        <f t="shared" si="288"/>
        <v>6183.1314163678471</v>
      </c>
      <c r="AL321" s="95">
        <f t="shared" si="289"/>
        <v>0</v>
      </c>
      <c r="AM321" s="95">
        <f t="shared" si="290"/>
        <v>0</v>
      </c>
      <c r="AN321" s="95">
        <f t="shared" si="291"/>
        <v>0</v>
      </c>
      <c r="AO321" s="95">
        <f t="shared" si="292"/>
        <v>0</v>
      </c>
      <c r="AP321"/>
      <c r="AQ321" s="95">
        <f t="shared" si="293"/>
        <v>0</v>
      </c>
      <c r="AR321" s="95">
        <f t="shared" si="294"/>
        <v>0</v>
      </c>
      <c r="AS321" s="95">
        <f>Geraetedaten!$B$94*ABS(SIN(RADIANS($A321)))</f>
        <v>151.66039396388004</v>
      </c>
      <c r="AT321" s="95">
        <f>Geraetedaten!$B$94*ABS(COS(RADIANS($A321)))</f>
        <v>26.741819360707215</v>
      </c>
      <c r="AU321" s="95">
        <f>((h_Aw_Sw+Geraetedaten!$B$18)/1000)*(AQ321*AS321+AR321*AT321)/100</f>
        <v>0</v>
      </c>
    </row>
    <row r="322" spans="1:47" ht="13.5" x14ac:dyDescent="0.25">
      <c r="A322" s="16">
        <v>281</v>
      </c>
      <c r="B322" s="16">
        <f t="shared" si="236"/>
        <v>169</v>
      </c>
      <c r="C322" s="19">
        <f t="shared" si="237"/>
        <v>68.094668871552628</v>
      </c>
      <c r="D322" s="17">
        <f t="shared" si="238"/>
        <v>6760.8239811284466</v>
      </c>
      <c r="E322" s="17">
        <f t="shared" si="239"/>
        <v>-53574.437898871554</v>
      </c>
      <c r="F322" s="17">
        <f t="shared" si="240"/>
        <v>-6777.2870888715534</v>
      </c>
      <c r="G322" s="17">
        <f t="shared" si="241"/>
        <v>45042.941211128447</v>
      </c>
      <c r="H322" s="17">
        <f t="shared" si="242"/>
        <v>6760.8239811284466</v>
      </c>
      <c r="I322" s="17">
        <f t="shared" si="243"/>
        <v>2734.1142543873366</v>
      </c>
      <c r="J322" s="20">
        <f>(Geraetedaten!$B$152+(Geraetedaten!$B$153*(Geraetedaten!$B$18+d_y_Sw)/1000))*10</f>
        <v>6051.0442000000003</v>
      </c>
      <c r="K322" s="20">
        <f>(Geraetedaten!$B$165+(Geraetedaten!$B$166*(Geraetedaten!$B$18+d_y_Sw)/1000))*10</f>
        <v>10816.164000000001</v>
      </c>
      <c r="L322" s="20">
        <f>(Geraetedaten!$B$158+(Geraetedaten!$B$159*(Geraetedaten!$B$18+d_y_Sw)/1000)-(Geraetedaten!$B$160*I322/1000))*10</f>
        <v>401.04400172577641</v>
      </c>
      <c r="M322" s="20">
        <f>(Geraetedaten!$B$171+(Geraetedaten!$B$172*(Geraetedaten!$B$18+d_y_Sw)/1000)-(Geraetedaten!$B$173*I322/1000))*10</f>
        <v>861.33953490340764</v>
      </c>
      <c r="N322" s="20">
        <f>IF((H322-J322)/(K322-J322)*(Geraetedaten!$B$174-Geraetedaten!$B$161)&lt;Geraetedaten!$B$174,(H322-J322)/(K322-J322)*(Geraetedaten!$B$174-Geraetedaten!$B$161),Geraetedaten!$B$174)</f>
        <v>59.581274840430765</v>
      </c>
      <c r="O322" s="20">
        <f>N322/Geraetedaten!$B$174*(M322-L322)+L322+C322</f>
        <v>537.70115727252664</v>
      </c>
      <c r="P322" s="20">
        <f t="shared" si="244"/>
        <v>194.10263767364083</v>
      </c>
      <c r="Q322" s="21">
        <f>(N322-Geraetedaten!$B$161)/(Geraetedaten!$B$174-Geraetedaten!$B$161)*(Geraetedaten!$B$175-Geraetedaten!$B$162)+Geraetedaten!$B$162</f>
        <v>30.972542926502815</v>
      </c>
      <c r="R322" s="21">
        <f t="shared" si="270"/>
        <v>30.972542926502815</v>
      </c>
      <c r="S322" s="21">
        <f t="shared" si="271"/>
        <v>-30.403490077154821</v>
      </c>
      <c r="T322" s="88">
        <f t="shared" si="272"/>
        <v>5.9098398000629206</v>
      </c>
      <c r="U322" s="86">
        <f t="shared" si="273"/>
        <v>6828.9186499999996</v>
      </c>
      <c r="V322" s="85">
        <f t="shared" si="274"/>
        <v>-2683.3128092763232</v>
      </c>
      <c r="W322" s="85">
        <f t="shared" si="275"/>
        <v>2734.1142543873366</v>
      </c>
      <c r="X322" s="90">
        <f t="shared" si="276"/>
        <v>2683.3128092763232</v>
      </c>
      <c r="Y322" s="86">
        <f t="shared" si="277"/>
        <v>-53506.343229999999</v>
      </c>
      <c r="Z322" s="85">
        <f t="shared" si="278"/>
        <v>-832.16398485565549</v>
      </c>
      <c r="AA322" s="85">
        <f t="shared" si="279"/>
        <v>-5184.11410507653</v>
      </c>
      <c r="AB322" s="90">
        <f t="shared" si="280"/>
        <v>832.16398485565549</v>
      </c>
      <c r="AC322" s="86">
        <f t="shared" si="281"/>
        <v>-6709.1924200000003</v>
      </c>
      <c r="AD322" s="85">
        <f t="shared" si="282"/>
        <v>2598.140025222212</v>
      </c>
      <c r="AE322" s="85">
        <f t="shared" si="283"/>
        <v>-2646.4081052525676</v>
      </c>
      <c r="AF322" s="90">
        <f t="shared" si="284"/>
        <v>2598.140025222212</v>
      </c>
      <c r="AG322" s="86">
        <f t="shared" si="285"/>
        <v>45111.035880000003</v>
      </c>
      <c r="AH322" s="85">
        <f t="shared" si="286"/>
        <v>6183.1314163678471</v>
      </c>
      <c r="AI322" s="85">
        <f t="shared" si="287"/>
        <v>30847.172040749483</v>
      </c>
      <c r="AJ322" s="90">
        <f t="shared" si="288"/>
        <v>6183.1314163678471</v>
      </c>
      <c r="AL322" s="95">
        <f t="shared" si="289"/>
        <v>0</v>
      </c>
      <c r="AM322" s="95">
        <f t="shared" si="290"/>
        <v>0</v>
      </c>
      <c r="AN322" s="95">
        <f t="shared" si="291"/>
        <v>0</v>
      </c>
      <c r="AO322" s="95">
        <f t="shared" si="292"/>
        <v>0</v>
      </c>
      <c r="AP322"/>
      <c r="AQ322" s="95">
        <f t="shared" si="293"/>
        <v>0</v>
      </c>
      <c r="AR322" s="95">
        <f t="shared" si="294"/>
        <v>0</v>
      </c>
      <c r="AS322" s="95">
        <f>Geraetedaten!$B$94*ABS(SIN(RADIANS($A322)))</f>
        <v>151.17058625094023</v>
      </c>
      <c r="AT322" s="95">
        <f>Geraetedaten!$B$94*ABS(COS(RADIANS($A322)))</f>
        <v>29.384585287987946</v>
      </c>
      <c r="AU322" s="95">
        <f>((h_Aw_Sw+Geraetedaten!$B$18)/1000)*(AQ322*AS322+AR322*AT322)/100</f>
        <v>0</v>
      </c>
    </row>
    <row r="323" spans="1:47" ht="13.5" x14ac:dyDescent="0.25">
      <c r="A323" s="16">
        <v>282</v>
      </c>
      <c r="B323" s="16">
        <f t="shared" si="236"/>
        <v>168</v>
      </c>
      <c r="C323" s="19">
        <f t="shared" si="237"/>
        <v>68.385719685240858</v>
      </c>
      <c r="D323" s="17">
        <f t="shared" si="238"/>
        <v>6784.9608703147596</v>
      </c>
      <c r="E323" s="17">
        <f t="shared" si="239"/>
        <v>-48395.917389685237</v>
      </c>
      <c r="F323" s="17">
        <f t="shared" si="240"/>
        <v>-6801.3589696852405</v>
      </c>
      <c r="G323" s="17">
        <f t="shared" si="241"/>
        <v>41502.882590314759</v>
      </c>
      <c r="H323" s="17">
        <f t="shared" si="242"/>
        <v>6784.9608703147596</v>
      </c>
      <c r="I323" s="17">
        <f t="shared" si="243"/>
        <v>2743.894537105064</v>
      </c>
      <c r="J323" s="20">
        <f>(Geraetedaten!$B$152+(Geraetedaten!$B$153*(Geraetedaten!$B$18+d_y_Sw)/1000))*10</f>
        <v>6051.0442000000003</v>
      </c>
      <c r="K323" s="20">
        <f>(Geraetedaten!$B$165+(Geraetedaten!$B$166*(Geraetedaten!$B$18+d_y_Sw)/1000))*10</f>
        <v>10816.164000000001</v>
      </c>
      <c r="L323" s="20">
        <f>(Geraetedaten!$B$158+(Geraetedaten!$B$159*(Geraetedaten!$B$18+d_y_Sw)/1000)-(Geraetedaten!$B$160*I323/1000))*10</f>
        <v>400.32681359408542</v>
      </c>
      <c r="M323" s="20">
        <f>(Geraetedaten!$B$171+(Geraetedaten!$B$172*(Geraetedaten!$B$18+d_y_Sw)/1000)-(Geraetedaten!$B$173*I323/1000))*10</f>
        <v>860.61149065789994</v>
      </c>
      <c r="N323" s="20">
        <f>IF((H323-J323)/(K323-J323)*(Geraetedaten!$B$174-Geraetedaten!$B$161)&lt;Geraetedaten!$B$174,(H323-J323)/(K323-J323)*(Geraetedaten!$B$174-Geraetedaten!$B$161),Geraetedaten!$B$174)</f>
        <v>61.607405573707453</v>
      </c>
      <c r="O323" s="20">
        <f>N323/Geraetedaten!$B$174*(M323-L323)+L323+C323</f>
        <v>539.60489522740966</v>
      </c>
      <c r="P323" s="20">
        <f t="shared" si="244"/>
        <v>194.44215122924203</v>
      </c>
      <c r="Q323" s="21">
        <f>(N323-Geraetedaten!$B$161)/(Geraetedaten!$B$174-Geraetedaten!$B$161)*(Geraetedaten!$B$175-Geraetedaten!$B$162)+Geraetedaten!$B$162</f>
        <v>31.032820315817798</v>
      </c>
      <c r="R323" s="21">
        <f t="shared" si="270"/>
        <v>31.032820315817798</v>
      </c>
      <c r="S323" s="21">
        <f t="shared" si="271"/>
        <v>-30.354678735920476</v>
      </c>
      <c r="T323" s="88">
        <f t="shared" si="272"/>
        <v>6.4520861427053937</v>
      </c>
      <c r="U323" s="86">
        <f t="shared" si="273"/>
        <v>6853.3465900000001</v>
      </c>
      <c r="V323" s="85">
        <f t="shared" si="274"/>
        <v>-2683.3128092763232</v>
      </c>
      <c r="W323" s="85">
        <f t="shared" si="275"/>
        <v>2743.894537105064</v>
      </c>
      <c r="X323" s="90">
        <f t="shared" si="276"/>
        <v>2683.3128092763232</v>
      </c>
      <c r="Y323" s="86">
        <f t="shared" si="277"/>
        <v>-48327.531669999997</v>
      </c>
      <c r="Z323" s="85">
        <f t="shared" si="278"/>
        <v>-832.16398485565549</v>
      </c>
      <c r="AA323" s="85">
        <f t="shared" si="279"/>
        <v>-4682.3502315983478</v>
      </c>
      <c r="AB323" s="90">
        <f t="shared" si="280"/>
        <v>832.16398485565549</v>
      </c>
      <c r="AC323" s="86">
        <f t="shared" si="281"/>
        <v>-6732.97325</v>
      </c>
      <c r="AD323" s="85">
        <f t="shared" si="282"/>
        <v>2598.140025222212</v>
      </c>
      <c r="AE323" s="85">
        <f t="shared" si="283"/>
        <v>-2655.7883348837622</v>
      </c>
      <c r="AF323" s="90">
        <f t="shared" si="284"/>
        <v>2598.140025222212</v>
      </c>
      <c r="AG323" s="86">
        <f t="shared" si="285"/>
        <v>41571.268309999999</v>
      </c>
      <c r="AH323" s="85">
        <f t="shared" si="286"/>
        <v>6183.1314163678471</v>
      </c>
      <c r="AI323" s="85">
        <f t="shared" si="287"/>
        <v>28426.659697510389</v>
      </c>
      <c r="AJ323" s="90">
        <f t="shared" si="288"/>
        <v>6183.1314163678471</v>
      </c>
      <c r="AL323" s="95">
        <f t="shared" si="289"/>
        <v>0</v>
      </c>
      <c r="AM323" s="95">
        <f t="shared" si="290"/>
        <v>0</v>
      </c>
      <c r="AN323" s="95">
        <f t="shared" si="291"/>
        <v>0</v>
      </c>
      <c r="AO323" s="95">
        <f t="shared" si="292"/>
        <v>0</v>
      </c>
      <c r="AP323"/>
      <c r="AQ323" s="95">
        <f t="shared" si="293"/>
        <v>0</v>
      </c>
      <c r="AR323" s="95">
        <f t="shared" si="294"/>
        <v>0</v>
      </c>
      <c r="AS323" s="95">
        <f>Geraetedaten!$B$94*ABS(SIN(RADIANS($A323)))</f>
        <v>150.63473051300605</v>
      </c>
      <c r="AT323" s="95">
        <f>Geraetedaten!$B$94*ABS(COS(RADIANS($A323)))</f>
        <v>32.018400385934953</v>
      </c>
      <c r="AU323" s="95">
        <f>((h_Aw_Sw+Geraetedaten!$B$18)/1000)*(AQ323*AS323+AR323*AT323)/100</f>
        <v>0</v>
      </c>
    </row>
    <row r="324" spans="1:47" ht="13.5" x14ac:dyDescent="0.25">
      <c r="A324" s="16">
        <v>283</v>
      </c>
      <c r="B324" s="16">
        <f t="shared" si="236"/>
        <v>167</v>
      </c>
      <c r="C324" s="19">
        <f t="shared" si="237"/>
        <v>68.655939546245634</v>
      </c>
      <c r="D324" s="17">
        <f t="shared" si="238"/>
        <v>6811.3972204537549</v>
      </c>
      <c r="E324" s="17">
        <f t="shared" si="239"/>
        <v>-44143.650119546248</v>
      </c>
      <c r="F324" s="17">
        <f t="shared" si="240"/>
        <v>-6827.6453695462451</v>
      </c>
      <c r="G324" s="17">
        <f t="shared" si="241"/>
        <v>38488.832770453751</v>
      </c>
      <c r="H324" s="17">
        <f t="shared" si="242"/>
        <v>6811.3972204537549</v>
      </c>
      <c r="I324" s="17">
        <f t="shared" si="243"/>
        <v>2754.5871278806426</v>
      </c>
      <c r="J324" s="20">
        <f>(Geraetedaten!$B$152+(Geraetedaten!$B$153*(Geraetedaten!$B$18+d_y_Sw)/1000))*10</f>
        <v>6051.0442000000003</v>
      </c>
      <c r="K324" s="20">
        <f>(Geraetedaten!$B$165+(Geraetedaten!$B$166*(Geraetedaten!$B$18+d_y_Sw)/1000))*10</f>
        <v>10816.164000000001</v>
      </c>
      <c r="L324" s="20">
        <f>(Geraetedaten!$B$158+(Geraetedaten!$B$159*(Geraetedaten!$B$18+d_y_Sw)/1000)-(Geraetedaten!$B$160*I324/1000))*10</f>
        <v>399.54272591251225</v>
      </c>
      <c r="M324" s="20">
        <f>(Geraetedaten!$B$171+(Geraetedaten!$B$172*(Geraetedaten!$B$18+d_y_Sw)/1000)-(Geraetedaten!$B$173*I324/1000))*10</f>
        <v>859.81553420056582</v>
      </c>
      <c r="N324" s="20">
        <f>IF((H324-J324)/(K324-J324)*(Geraetedaten!$B$174-Geraetedaten!$B$161)&lt;Geraetedaten!$B$174,(H324-J324)/(K324-J324)*(Geraetedaten!$B$174-Geraetedaten!$B$161),Geraetedaten!$B$174)</f>
        <v>63.826560705042887</v>
      </c>
      <c r="O324" s="20">
        <f>N324/Geraetedaten!$B$174*(M324-L324)+L324+C324</f>
        <v>541.64274130645299</v>
      </c>
      <c r="P324" s="20">
        <f t="shared" si="244"/>
        <v>194.79549257084162</v>
      </c>
      <c r="Q324" s="21">
        <f>(N324-Geraetedaten!$B$161)/(Geraetedaten!$B$174-Geraetedaten!$B$161)*(Geraetedaten!$B$175-Geraetedaten!$B$162)+Geraetedaten!$B$162</f>
        <v>31.098840180975024</v>
      </c>
      <c r="R324" s="21">
        <f t="shared" si="270"/>
        <v>31.098840180975024</v>
      </c>
      <c r="S324" s="21">
        <f t="shared" si="271"/>
        <v>-30.30177892188231</v>
      </c>
      <c r="T324" s="88">
        <f t="shared" si="272"/>
        <v>6.9957168875816826</v>
      </c>
      <c r="U324" s="86">
        <f t="shared" si="273"/>
        <v>6880.0531600000004</v>
      </c>
      <c r="V324" s="85">
        <f t="shared" si="274"/>
        <v>-2683.3128092763232</v>
      </c>
      <c r="W324" s="85">
        <f t="shared" si="275"/>
        <v>2754.5871278806426</v>
      </c>
      <c r="X324" s="90">
        <f t="shared" si="276"/>
        <v>2683.3128092763232</v>
      </c>
      <c r="Y324" s="86">
        <f t="shared" si="277"/>
        <v>-44074.994180000002</v>
      </c>
      <c r="Z324" s="85">
        <f t="shared" si="278"/>
        <v>-832.16398485565549</v>
      </c>
      <c r="AA324" s="85">
        <f t="shared" si="279"/>
        <v>-4270.3310528061766</v>
      </c>
      <c r="AB324" s="90">
        <f t="shared" si="280"/>
        <v>832.16398485565549</v>
      </c>
      <c r="AC324" s="86">
        <f t="shared" si="281"/>
        <v>-6758.9894299999996</v>
      </c>
      <c r="AD324" s="85">
        <f t="shared" si="282"/>
        <v>2598.140025222212</v>
      </c>
      <c r="AE324" s="85">
        <f t="shared" si="283"/>
        <v>-2666.0502912565307</v>
      </c>
      <c r="AF324" s="90">
        <f t="shared" si="284"/>
        <v>2598.140025222212</v>
      </c>
      <c r="AG324" s="86">
        <f t="shared" si="285"/>
        <v>38557.488709999998</v>
      </c>
      <c r="AH324" s="85">
        <f t="shared" si="286"/>
        <v>6183.1314163678471</v>
      </c>
      <c r="AI324" s="85">
        <f t="shared" si="287"/>
        <v>26365.820792367962</v>
      </c>
      <c r="AJ324" s="90">
        <f t="shared" si="288"/>
        <v>6183.1314163678471</v>
      </c>
      <c r="AL324" s="95">
        <f t="shared" si="289"/>
        <v>0</v>
      </c>
      <c r="AM324" s="95">
        <f t="shared" si="290"/>
        <v>0</v>
      </c>
      <c r="AN324" s="95">
        <f t="shared" si="291"/>
        <v>0</v>
      </c>
      <c r="AO324" s="95">
        <f t="shared" si="292"/>
        <v>0</v>
      </c>
      <c r="AP324"/>
      <c r="AQ324" s="95">
        <f t="shared" si="293"/>
        <v>0</v>
      </c>
      <c r="AR324" s="95">
        <f t="shared" si="294"/>
        <v>0</v>
      </c>
      <c r="AS324" s="95">
        <f>Geraetedaten!$B$94*ABS(SIN(RADIANS($A324)))</f>
        <v>150.05298997692623</v>
      </c>
      <c r="AT324" s="95">
        <f>Geraetedaten!$B$94*ABS(COS(RADIANS($A324)))</f>
        <v>34.642462368955201</v>
      </c>
      <c r="AU324" s="95">
        <f>((h_Aw_Sw+Geraetedaten!$B$18)/1000)*(AQ324*AS324+AR324*AT324)/100</f>
        <v>0</v>
      </c>
    </row>
    <row r="325" spans="1:47" ht="13.5" x14ac:dyDescent="0.25">
      <c r="A325" s="16">
        <v>284</v>
      </c>
      <c r="B325" s="16">
        <f t="shared" si="236"/>
        <v>166</v>
      </c>
      <c r="C325" s="19">
        <f t="shared" si="237"/>
        <v>68.905246142979607</v>
      </c>
      <c r="D325" s="17">
        <f t="shared" si="238"/>
        <v>6840.176253857021</v>
      </c>
      <c r="E325" s="17">
        <f t="shared" si="239"/>
        <v>-40590.574996142983</v>
      </c>
      <c r="F325" s="17">
        <f t="shared" si="240"/>
        <v>-6856.1881861429792</v>
      </c>
      <c r="G325" s="17">
        <f t="shared" si="241"/>
        <v>35892.457653857018</v>
      </c>
      <c r="H325" s="17">
        <f t="shared" si="242"/>
        <v>6840.176253857021</v>
      </c>
      <c r="I325" s="17">
        <f t="shared" si="243"/>
        <v>2766.2092904182</v>
      </c>
      <c r="J325" s="20">
        <f>(Geraetedaten!$B$152+(Geraetedaten!$B$153*(Geraetedaten!$B$18+d_y_Sw)/1000))*10</f>
        <v>6051.0442000000003</v>
      </c>
      <c r="K325" s="20">
        <f>(Geraetedaten!$B$165+(Geraetedaten!$B$166*(Geraetedaten!$B$18+d_y_Sw)/1000))*10</f>
        <v>10816.164000000001</v>
      </c>
      <c r="L325" s="20">
        <f>(Geraetedaten!$B$158+(Geraetedaten!$B$159*(Geraetedaten!$B$18+d_y_Sw)/1000)-(Geraetedaten!$B$160*I325/1000))*10</f>
        <v>398.69047273363321</v>
      </c>
      <c r="M325" s="20">
        <f>(Geraetedaten!$B$171+(Geraetedaten!$B$172*(Geraetedaten!$B$18+d_y_Sw)/1000)-(Geraetedaten!$B$173*I325/1000))*10</f>
        <v>858.9503804212701</v>
      </c>
      <c r="N325" s="20">
        <f>IF((H325-J325)/(K325-J325)*(Geraetedaten!$B$174-Geraetedaten!$B$161)&lt;Geraetedaten!$B$174,(H325-J325)/(K325-J325)*(Geraetedaten!$B$174-Geraetedaten!$B$161),Geraetedaten!$B$174)</f>
        <v>66.242368458985709</v>
      </c>
      <c r="O325" s="20">
        <f>N325/Geraetedaten!$B$174*(M325-L325)+L325+C325</f>
        <v>543.81748485647086</v>
      </c>
      <c r="P325" s="20">
        <f t="shared" si="244"/>
        <v>195.16277864781651</v>
      </c>
      <c r="Q325" s="21">
        <f>(N325-Geraetedaten!$B$161)/(Geraetedaten!$B$174-Geraetedaten!$B$161)*(Geraetedaten!$B$175-Geraetedaten!$B$162)+Geraetedaten!$B$162</f>
        <v>31.170710461654824</v>
      </c>
      <c r="R325" s="21">
        <f t="shared" si="270"/>
        <v>31.170710461654824</v>
      </c>
      <c r="S325" s="21">
        <f t="shared" si="271"/>
        <v>-30.244807145930171</v>
      </c>
      <c r="T325" s="88">
        <f t="shared" si="272"/>
        <v>7.5408773620719201</v>
      </c>
      <c r="U325" s="86">
        <f t="shared" si="273"/>
        <v>6909.0815000000002</v>
      </c>
      <c r="V325" s="85">
        <f t="shared" si="274"/>
        <v>-2683.3128092763232</v>
      </c>
      <c r="W325" s="85">
        <f t="shared" si="275"/>
        <v>2766.2092904182</v>
      </c>
      <c r="X325" s="90">
        <f t="shared" si="276"/>
        <v>2683.3128092763232</v>
      </c>
      <c r="Y325" s="86">
        <f t="shared" si="277"/>
        <v>-40521.669750000001</v>
      </c>
      <c r="Z325" s="85">
        <f t="shared" si="278"/>
        <v>-832.16398485565549</v>
      </c>
      <c r="AA325" s="85">
        <f t="shared" si="279"/>
        <v>-3926.0571183425213</v>
      </c>
      <c r="AB325" s="90">
        <f t="shared" si="280"/>
        <v>832.16398485565549</v>
      </c>
      <c r="AC325" s="86">
        <f t="shared" si="281"/>
        <v>-6787.2829400000001</v>
      </c>
      <c r="AD325" s="85">
        <f t="shared" si="282"/>
        <v>2598.140025222212</v>
      </c>
      <c r="AE325" s="85">
        <f t="shared" si="283"/>
        <v>-2677.2105271628884</v>
      </c>
      <c r="AF325" s="90">
        <f t="shared" si="284"/>
        <v>2598.140025222212</v>
      </c>
      <c r="AG325" s="86">
        <f t="shared" si="285"/>
        <v>35961.3629</v>
      </c>
      <c r="AH325" s="85">
        <f t="shared" si="286"/>
        <v>6183.1314163678471</v>
      </c>
      <c r="AI325" s="85">
        <f t="shared" si="287"/>
        <v>24590.575821273265</v>
      </c>
      <c r="AJ325" s="90">
        <f t="shared" si="288"/>
        <v>6183.1314163678471</v>
      </c>
      <c r="AL325" s="95">
        <f t="shared" si="289"/>
        <v>0</v>
      </c>
      <c r="AM325" s="95">
        <f t="shared" si="290"/>
        <v>0</v>
      </c>
      <c r="AN325" s="95">
        <f t="shared" si="291"/>
        <v>0</v>
      </c>
      <c r="AO325" s="95">
        <f t="shared" si="292"/>
        <v>0</v>
      </c>
      <c r="AP325"/>
      <c r="AQ325" s="95">
        <f t="shared" si="293"/>
        <v>0</v>
      </c>
      <c r="AR325" s="95">
        <f t="shared" si="294"/>
        <v>0</v>
      </c>
      <c r="AS325" s="95">
        <f>Geraetedaten!$B$94*ABS(SIN(RADIANS($A325)))</f>
        <v>149.42554184650348</v>
      </c>
      <c r="AT325" s="95">
        <f>Geraetedaten!$B$94*ABS(COS(RADIANS($A325)))</f>
        <v>37.255971922348785</v>
      </c>
      <c r="AU325" s="95">
        <f>((h_Aw_Sw+Geraetedaten!$B$18)/1000)*(AQ325*AS325+AR325*AT325)/100</f>
        <v>0</v>
      </c>
    </row>
    <row r="326" spans="1:47" ht="13.5" x14ac:dyDescent="0.25">
      <c r="A326" s="16">
        <v>285</v>
      </c>
      <c r="B326" s="16">
        <f t="shared" si="236"/>
        <v>165</v>
      </c>
      <c r="C326" s="19">
        <f t="shared" si="237"/>
        <v>69.133563534238306</v>
      </c>
      <c r="D326" s="17">
        <f t="shared" si="238"/>
        <v>6871.3453664657618</v>
      </c>
      <c r="E326" s="17">
        <f t="shared" si="239"/>
        <v>-37578.245693534242</v>
      </c>
      <c r="F326" s="17">
        <f t="shared" si="240"/>
        <v>-6887.0334135342382</v>
      </c>
      <c r="G326" s="17">
        <f t="shared" si="241"/>
        <v>33633.268866465762</v>
      </c>
      <c r="H326" s="17">
        <f t="shared" si="242"/>
        <v>6871.3453664657618</v>
      </c>
      <c r="I326" s="17">
        <f t="shared" si="243"/>
        <v>2778.7799707711197</v>
      </c>
      <c r="J326" s="20">
        <f>(Geraetedaten!$B$152+(Geraetedaten!$B$153*(Geraetedaten!$B$18+d_y_Sw)/1000))*10</f>
        <v>6051.0442000000003</v>
      </c>
      <c r="K326" s="20">
        <f>(Geraetedaten!$B$165+(Geraetedaten!$B$166*(Geraetedaten!$B$18+d_y_Sw)/1000))*10</f>
        <v>10816.164000000001</v>
      </c>
      <c r="L326" s="20">
        <f>(Geraetedaten!$B$158+(Geraetedaten!$B$159*(Geraetedaten!$B$18+d_y_Sw)/1000)-(Geraetedaten!$B$160*I326/1000))*10</f>
        <v>397.76866474335355</v>
      </c>
      <c r="M326" s="20">
        <f>(Geraetedaten!$B$171+(Geraetedaten!$B$172*(Geraetedaten!$B$18+d_y_Sw)/1000)-(Geraetedaten!$B$173*I326/1000))*10</f>
        <v>858.01461897579884</v>
      </c>
      <c r="N326" s="20">
        <f>IF((H326-J326)/(K326-J326)*(Geraetedaten!$B$174-Geraetedaten!$B$161)&lt;Geraetedaten!$B$174,(H326-J326)/(K326-J326)*(Geraetedaten!$B$174-Geraetedaten!$B$161),Geraetedaten!$B$174)</f>
        <v>68.858807408431701</v>
      </c>
      <c r="O326" s="20">
        <f>N326/Geraetedaten!$B$174*(M326-L326)+L326+C326</f>
        <v>546.13219708509644</v>
      </c>
      <c r="P326" s="20">
        <f t="shared" si="244"/>
        <v>195.54414729423183</v>
      </c>
      <c r="Q326" s="21">
        <f>(N326-Geraetedaten!$B$161)/(Geraetedaten!$B$174-Geraetedaten!$B$161)*(Geraetedaten!$B$175-Geraetedaten!$B$162)+Geraetedaten!$B$162</f>
        <v>31.248549520400843</v>
      </c>
      <c r="R326" s="21">
        <f t="shared" si="270"/>
        <v>31.248549520400843</v>
      </c>
      <c r="S326" s="21">
        <f t="shared" si="271"/>
        <v>-30.183781015828057</v>
      </c>
      <c r="T326" s="88">
        <f t="shared" si="272"/>
        <v>8.0877197477089648</v>
      </c>
      <c r="U326" s="86">
        <f t="shared" si="273"/>
        <v>6940.4789300000002</v>
      </c>
      <c r="V326" s="85">
        <f t="shared" si="274"/>
        <v>-2683.3128092763232</v>
      </c>
      <c r="W326" s="85">
        <f t="shared" si="275"/>
        <v>2778.7799707711197</v>
      </c>
      <c r="X326" s="90">
        <f t="shared" si="276"/>
        <v>2683.3128092763232</v>
      </c>
      <c r="Y326" s="86">
        <f t="shared" si="277"/>
        <v>-37509.112130000001</v>
      </c>
      <c r="Z326" s="85">
        <f t="shared" si="278"/>
        <v>-832.16398485565549</v>
      </c>
      <c r="AA326" s="85">
        <f t="shared" si="279"/>
        <v>-3634.1769130280759</v>
      </c>
      <c r="AB326" s="90">
        <f t="shared" si="280"/>
        <v>832.16398485565549</v>
      </c>
      <c r="AC326" s="86">
        <f t="shared" si="281"/>
        <v>-6817.8998499999998</v>
      </c>
      <c r="AD326" s="85">
        <f t="shared" si="282"/>
        <v>2598.140025222212</v>
      </c>
      <c r="AE326" s="85">
        <f t="shared" si="283"/>
        <v>-2689.2872170808178</v>
      </c>
      <c r="AF326" s="90">
        <f t="shared" si="284"/>
        <v>2598.140025222212</v>
      </c>
      <c r="AG326" s="86">
        <f t="shared" si="285"/>
        <v>33702.402430000002</v>
      </c>
      <c r="AH326" s="85">
        <f t="shared" si="286"/>
        <v>6183.1314163678471</v>
      </c>
      <c r="AI326" s="85">
        <f t="shared" si="287"/>
        <v>23045.886350010252</v>
      </c>
      <c r="AJ326" s="90">
        <f t="shared" si="288"/>
        <v>6183.1314163678471</v>
      </c>
      <c r="AL326" s="95">
        <f t="shared" si="289"/>
        <v>0</v>
      </c>
      <c r="AM326" s="95">
        <f t="shared" si="290"/>
        <v>0</v>
      </c>
      <c r="AN326" s="95">
        <f t="shared" si="291"/>
        <v>0</v>
      </c>
      <c r="AO326" s="95">
        <f t="shared" si="292"/>
        <v>0</v>
      </c>
      <c r="AP326"/>
      <c r="AQ326" s="95">
        <f t="shared" si="293"/>
        <v>0</v>
      </c>
      <c r="AR326" s="95">
        <f t="shared" si="294"/>
        <v>0</v>
      </c>
      <c r="AS326" s="95">
        <f>Geraetedaten!$B$94*ABS(SIN(RADIANS($A326)))</f>
        <v>148.75257724851653</v>
      </c>
      <c r="AT326" s="95">
        <f>Geraetedaten!$B$94*ABS(COS(RADIANS($A326)))</f>
        <v>39.858132945788128</v>
      </c>
      <c r="AU326" s="95">
        <f>((h_Aw_Sw+Geraetedaten!$B$18)/1000)*(AQ326*AS326+AR326*AT326)/100</f>
        <v>0</v>
      </c>
    </row>
    <row r="327" spans="1:47" ht="13.5" x14ac:dyDescent="0.25">
      <c r="A327" s="16">
        <v>286</v>
      </c>
      <c r="B327" s="16">
        <f t="shared" si="236"/>
        <v>164</v>
      </c>
      <c r="C327" s="19">
        <f t="shared" si="237"/>
        <v>69.340822172332622</v>
      </c>
      <c r="D327" s="17">
        <f t="shared" si="238"/>
        <v>6904.9563378276671</v>
      </c>
      <c r="E327" s="17">
        <f t="shared" si="239"/>
        <v>-34992.733652172326</v>
      </c>
      <c r="F327" s="17">
        <f t="shared" si="240"/>
        <v>-6920.2313521723327</v>
      </c>
      <c r="G327" s="17">
        <f t="shared" si="241"/>
        <v>31650.217757827668</v>
      </c>
      <c r="H327" s="17">
        <f t="shared" si="242"/>
        <v>6904.9563378276671</v>
      </c>
      <c r="I327" s="17">
        <f t="shared" si="243"/>
        <v>2792.3198749823109</v>
      </c>
      <c r="J327" s="20">
        <f>(Geraetedaten!$B$152+(Geraetedaten!$B$153*(Geraetedaten!$B$18+d_y_Sw)/1000))*10</f>
        <v>6051.0442000000003</v>
      </c>
      <c r="K327" s="20">
        <f>(Geraetedaten!$B$165+(Geraetedaten!$B$166*(Geraetedaten!$B$18+d_y_Sw)/1000))*10</f>
        <v>10816.164000000001</v>
      </c>
      <c r="L327" s="20">
        <f>(Geraetedaten!$B$158+(Geraetedaten!$B$159*(Geraetedaten!$B$18+d_y_Sw)/1000)-(Geraetedaten!$B$160*I327/1000))*10</f>
        <v>396.77578356754691</v>
      </c>
      <c r="M327" s="20">
        <f>(Geraetedaten!$B$171+(Geraetedaten!$B$172*(Geraetedaten!$B$18+d_y_Sw)/1000)-(Geraetedaten!$B$173*I327/1000))*10</f>
        <v>857.00670850631764</v>
      </c>
      <c r="N327" s="20">
        <f>IF((H327-J327)/(K327-J327)*(Geraetedaten!$B$174-Geraetedaten!$B$161)&lt;Geraetedaten!$B$174,(H327-J327)/(K327-J327)*(Geraetedaten!$B$174-Geraetedaten!$B$161),Geraetedaten!$B$174)</f>
        <v>71.680224100780578</v>
      </c>
      <c r="O327" s="20">
        <f>N327/Geraetedaten!$B$174*(M327-L327)+L327+C327</f>
        <v>548.59024533418108</v>
      </c>
      <c r="P327" s="20">
        <f t="shared" si="244"/>
        <v>195.93975774820308</v>
      </c>
      <c r="Q327" s="21">
        <f>(N327-Geraetedaten!$B$161)/(Geraetedaten!$B$174-Geraetedaten!$B$161)*(Geraetedaten!$B$175-Geraetedaten!$B$162)+Geraetedaten!$B$162</f>
        <v>31.332486666998221</v>
      </c>
      <c r="R327" s="21">
        <f t="shared" si="270"/>
        <v>31.332486666998221</v>
      </c>
      <c r="S327" s="21">
        <f t="shared" si="271"/>
        <v>-30.118719271483471</v>
      </c>
      <c r="T327" s="88">
        <f t="shared" si="272"/>
        <v>8.6364037760627781</v>
      </c>
      <c r="U327" s="86">
        <f t="shared" si="273"/>
        <v>6974.2971600000001</v>
      </c>
      <c r="V327" s="85">
        <f t="shared" si="274"/>
        <v>-2683.3128092763232</v>
      </c>
      <c r="W327" s="85">
        <f t="shared" si="275"/>
        <v>2792.3198749823109</v>
      </c>
      <c r="X327" s="90">
        <f t="shared" si="276"/>
        <v>2683.3128092763232</v>
      </c>
      <c r="Y327" s="86">
        <f t="shared" si="277"/>
        <v>-34923.392829999997</v>
      </c>
      <c r="Z327" s="85">
        <f t="shared" si="278"/>
        <v>-832.16398485565549</v>
      </c>
      <c r="AA327" s="85">
        <f t="shared" si="279"/>
        <v>-3383.6521512848849</v>
      </c>
      <c r="AB327" s="90">
        <f t="shared" si="280"/>
        <v>832.16398485565549</v>
      </c>
      <c r="AC327" s="86">
        <f t="shared" si="281"/>
        <v>-6850.8905299999997</v>
      </c>
      <c r="AD327" s="85">
        <f t="shared" si="282"/>
        <v>2598.140025222212</v>
      </c>
      <c r="AE327" s="85">
        <f t="shared" si="283"/>
        <v>-2702.3002315457543</v>
      </c>
      <c r="AF327" s="90">
        <f t="shared" si="284"/>
        <v>2598.140025222212</v>
      </c>
      <c r="AG327" s="86">
        <f t="shared" si="285"/>
        <v>31719.558580000001</v>
      </c>
      <c r="AH327" s="85">
        <f t="shared" si="286"/>
        <v>6183.1314163678471</v>
      </c>
      <c r="AI327" s="85">
        <f t="shared" si="287"/>
        <v>21690.006927766048</v>
      </c>
      <c r="AJ327" s="90">
        <f t="shared" si="288"/>
        <v>6183.1314163678471</v>
      </c>
      <c r="AL327" s="95">
        <f t="shared" si="289"/>
        <v>0</v>
      </c>
      <c r="AM327" s="95">
        <f t="shared" si="290"/>
        <v>0</v>
      </c>
      <c r="AN327" s="95">
        <f t="shared" si="291"/>
        <v>0</v>
      </c>
      <c r="AO327" s="95">
        <f t="shared" si="292"/>
        <v>0</v>
      </c>
      <c r="AP327"/>
      <c r="AQ327" s="95">
        <f t="shared" si="293"/>
        <v>0</v>
      </c>
      <c r="AR327" s="95">
        <f t="shared" si="294"/>
        <v>0</v>
      </c>
      <c r="AS327" s="95">
        <f>Geraetedaten!$B$94*ABS(SIN(RADIANS($A327)))</f>
        <v>148.03430117450108</v>
      </c>
      <c r="AT327" s="95">
        <f>Geraetedaten!$B$94*ABS(COS(RADIANS($A327)))</f>
        <v>42.448152795817904</v>
      </c>
      <c r="AU327" s="95">
        <f>((h_Aw_Sw+Geraetedaten!$B$18)/1000)*(AQ327*AS327+AR327*AT327)/100</f>
        <v>0</v>
      </c>
    </row>
    <row r="328" spans="1:47" ht="13.5" x14ac:dyDescent="0.25">
      <c r="A328" s="16">
        <v>287</v>
      </c>
      <c r="B328" s="16">
        <f t="shared" si="236"/>
        <v>163</v>
      </c>
      <c r="C328" s="19">
        <f t="shared" si="237"/>
        <v>69.526958924273615</v>
      </c>
      <c r="D328" s="17">
        <f t="shared" si="238"/>
        <v>6941.0655610757267</v>
      </c>
      <c r="E328" s="17">
        <f t="shared" si="239"/>
        <v>-32750.019838924276</v>
      </c>
      <c r="F328" s="17">
        <f t="shared" si="240"/>
        <v>-6955.8368389242733</v>
      </c>
      <c r="G328" s="17">
        <f t="shared" si="241"/>
        <v>29896.161101075726</v>
      </c>
      <c r="H328" s="17">
        <f t="shared" si="242"/>
        <v>6941.0655610757267</v>
      </c>
      <c r="I328" s="17">
        <f t="shared" si="243"/>
        <v>2806.851555181383</v>
      </c>
      <c r="J328" s="20">
        <f>(Geraetedaten!$B$152+(Geraetedaten!$B$153*(Geraetedaten!$B$18+d_y_Sw)/1000))*10</f>
        <v>6051.0442000000003</v>
      </c>
      <c r="K328" s="20">
        <f>(Geraetedaten!$B$165+(Geraetedaten!$B$166*(Geraetedaten!$B$18+d_y_Sw)/1000))*10</f>
        <v>10816.164000000001</v>
      </c>
      <c r="L328" s="20">
        <f>(Geraetedaten!$B$158+(Geraetedaten!$B$159*(Geraetedaten!$B$18+d_y_Sw)/1000)-(Geraetedaten!$B$160*I328/1000))*10</f>
        <v>395.71017545854897</v>
      </c>
      <c r="M328" s="20">
        <f>(Geraetedaten!$B$171+(Geraetedaten!$B$172*(Geraetedaten!$B$18+d_y_Sw)/1000)-(Geraetedaten!$B$173*I328/1000))*10</f>
        <v>855.92497023229862</v>
      </c>
      <c r="N328" s="20">
        <f>IF((H328-J328)/(K328-J328)*(Geraetedaten!$B$174-Geraetedaten!$B$161)&lt;Geraetedaten!$B$174,(H328-J328)/(K328-J328)*(Geraetedaten!$B$174-Geraetedaten!$B$161),Geraetedaten!$B$174)</f>
        <v>74.711352363122231</v>
      </c>
      <c r="O328" s="20">
        <f>N328/Geraetedaten!$B$174*(M328-L328)+L328+C328</f>
        <v>551.19530862048157</v>
      </c>
      <c r="P328" s="20">
        <f t="shared" si="244"/>
        <v>196.34979116100595</v>
      </c>
      <c r="Q328" s="21">
        <f>(N328-Geraetedaten!$B$161)/(Geraetedaten!$B$174-Geraetedaten!$B$161)*(Geraetedaten!$B$175-Geraetedaten!$B$162)+Geraetedaten!$B$162</f>
        <v>31.422662732802888</v>
      </c>
      <c r="R328" s="21">
        <f t="shared" si="270"/>
        <v>31.422662732802888</v>
      </c>
      <c r="S328" s="21">
        <f t="shared" si="271"/>
        <v>-30.049641816401834</v>
      </c>
      <c r="T328" s="88">
        <f t="shared" si="272"/>
        <v>9.1870974701171892</v>
      </c>
      <c r="U328" s="86">
        <f t="shared" si="273"/>
        <v>7010.5925200000001</v>
      </c>
      <c r="V328" s="85">
        <f t="shared" si="274"/>
        <v>-2683.3128092763232</v>
      </c>
      <c r="W328" s="85">
        <f t="shared" si="275"/>
        <v>2806.851555181383</v>
      </c>
      <c r="X328" s="90">
        <f t="shared" si="276"/>
        <v>2683.3128092763232</v>
      </c>
      <c r="Y328" s="86">
        <f t="shared" si="277"/>
        <v>-32680.492880000002</v>
      </c>
      <c r="Z328" s="85">
        <f t="shared" si="278"/>
        <v>-832.16398485565549</v>
      </c>
      <c r="AA328" s="85">
        <f t="shared" si="279"/>
        <v>-3166.3424165225292</v>
      </c>
      <c r="AB328" s="90">
        <f t="shared" si="280"/>
        <v>832.16398485565549</v>
      </c>
      <c r="AC328" s="86">
        <f t="shared" si="281"/>
        <v>-6886.3098799999998</v>
      </c>
      <c r="AD328" s="85">
        <f t="shared" si="282"/>
        <v>2598.140025222212</v>
      </c>
      <c r="AE328" s="85">
        <f t="shared" si="283"/>
        <v>-2716.2712196468101</v>
      </c>
      <c r="AF328" s="90">
        <f t="shared" si="284"/>
        <v>2598.140025222212</v>
      </c>
      <c r="AG328" s="86">
        <f t="shared" si="285"/>
        <v>29965.68806</v>
      </c>
      <c r="AH328" s="85">
        <f t="shared" si="286"/>
        <v>6183.1314163678471</v>
      </c>
      <c r="AI328" s="85">
        <f t="shared" si="287"/>
        <v>20490.700713164435</v>
      </c>
      <c r="AJ328" s="90">
        <f t="shared" si="288"/>
        <v>6183.1314163678471</v>
      </c>
      <c r="AL328" s="95">
        <f t="shared" si="289"/>
        <v>0</v>
      </c>
      <c r="AM328" s="95">
        <f t="shared" si="290"/>
        <v>0</v>
      </c>
      <c r="AN328" s="95">
        <f t="shared" si="291"/>
        <v>0</v>
      </c>
      <c r="AO328" s="95">
        <f t="shared" si="292"/>
        <v>0</v>
      </c>
      <c r="AP328"/>
      <c r="AQ328" s="95">
        <f t="shared" si="293"/>
        <v>0</v>
      </c>
      <c r="AR328" s="95">
        <f t="shared" si="294"/>
        <v>0</v>
      </c>
      <c r="AS328" s="95">
        <f>Geraetedaten!$B$94*ABS(SIN(RADIANS($A328)))</f>
        <v>147.27093241830747</v>
      </c>
      <c r="AT328" s="95">
        <f>Geraetedaten!$B$94*ABS(COS(RADIANS($A328)))</f>
        <v>45.025242527301451</v>
      </c>
      <c r="AU328" s="95">
        <f>((h_Aw_Sw+Geraetedaten!$B$18)/1000)*(AQ328*AS328+AR328*AT328)/100</f>
        <v>0</v>
      </c>
    </row>
    <row r="329" spans="1:47" ht="13.5" x14ac:dyDescent="0.25">
      <c r="A329" s="16">
        <v>288</v>
      </c>
      <c r="B329" s="16">
        <f t="shared" si="236"/>
        <v>162</v>
      </c>
      <c r="C329" s="19">
        <f t="shared" si="237"/>
        <v>69.691917091003489</v>
      </c>
      <c r="D329" s="17">
        <f t="shared" si="238"/>
        <v>6979.7342729089969</v>
      </c>
      <c r="E329" s="17">
        <f t="shared" si="239"/>
        <v>-30786.784587091006</v>
      </c>
      <c r="F329" s="17">
        <f t="shared" si="240"/>
        <v>-6993.9094270910036</v>
      </c>
      <c r="G329" s="17">
        <f t="shared" si="241"/>
        <v>28334.115622908997</v>
      </c>
      <c r="H329" s="17">
        <f t="shared" si="242"/>
        <v>6979.7342729089969</v>
      </c>
      <c r="I329" s="17">
        <f t="shared" si="243"/>
        <v>2822.3995048258707</v>
      </c>
      <c r="J329" s="20">
        <f>(Geraetedaten!$B$152+(Geraetedaten!$B$153*(Geraetedaten!$B$18+d_y_Sw)/1000))*10</f>
        <v>6051.0442000000003</v>
      </c>
      <c r="K329" s="20">
        <f>(Geraetedaten!$B$165+(Geraetedaten!$B$166*(Geraetedaten!$B$18+d_y_Sw)/1000))*10</f>
        <v>10816.164000000001</v>
      </c>
      <c r="L329" s="20">
        <f>(Geraetedaten!$B$158+(Geraetedaten!$B$159*(Geraetedaten!$B$18+d_y_Sw)/1000)-(Geraetedaten!$B$160*I329/1000))*10</f>
        <v>394.57004431111869</v>
      </c>
      <c r="M329" s="20">
        <f>(Geraetedaten!$B$171+(Geraetedaten!$B$172*(Geraetedaten!$B$18+d_y_Sw)/1000)-(Geraetedaten!$B$173*I329/1000))*10</f>
        <v>854.76758086076302</v>
      </c>
      <c r="N329" s="20">
        <f>IF((H329-J329)/(K329-J329)*(Geraetedaten!$B$174-Geraetedaten!$B$161)&lt;Geraetedaten!$B$174,(H329-J329)/(K329-J329)*(Geraetedaten!$B$174-Geraetedaten!$B$161),Geraetedaten!$B$174)</f>
        <v>77.957332607587034</v>
      </c>
      <c r="O329" s="20">
        <f>N329/Geraetedaten!$B$174*(M329-L329)+L329+C329</f>
        <v>553.95139245710425</v>
      </c>
      <c r="P329" s="20">
        <f t="shared" si="244"/>
        <v>196.77445072210665</v>
      </c>
      <c r="Q329" s="21">
        <f>(N329-Geraetedaten!$B$161)/(Geraetedaten!$B$174-Geraetedaten!$B$161)*(Geraetedaten!$B$175-Geraetedaten!$B$162)+Geraetedaten!$B$162</f>
        <v>31.519230645075716</v>
      </c>
      <c r="R329" s="21">
        <f t="shared" si="270"/>
        <v>31.519230645075716</v>
      </c>
      <c r="S329" s="21">
        <f t="shared" si="271"/>
        <v>-29.976569693609157</v>
      </c>
      <c r="T329" s="88">
        <f t="shared" si="272"/>
        <v>9.739977918952027</v>
      </c>
      <c r="U329" s="86">
        <f t="shared" si="273"/>
        <v>7049.4261900000001</v>
      </c>
      <c r="V329" s="85">
        <f t="shared" si="274"/>
        <v>-2683.3128092763232</v>
      </c>
      <c r="W329" s="85">
        <f t="shared" si="275"/>
        <v>2822.3995048258707</v>
      </c>
      <c r="X329" s="90">
        <f t="shared" si="276"/>
        <v>2683.3128092763232</v>
      </c>
      <c r="Y329" s="86">
        <f t="shared" si="277"/>
        <v>-30717.092670000002</v>
      </c>
      <c r="Z329" s="85">
        <f t="shared" si="278"/>
        <v>-832.16398485565549</v>
      </c>
      <c r="AA329" s="85">
        <f t="shared" si="279"/>
        <v>-2976.1128075804013</v>
      </c>
      <c r="AB329" s="90">
        <f t="shared" si="280"/>
        <v>832.16398485565549</v>
      </c>
      <c r="AC329" s="86">
        <f t="shared" si="281"/>
        <v>-6924.2175100000004</v>
      </c>
      <c r="AD329" s="85">
        <f t="shared" si="282"/>
        <v>2598.140025222212</v>
      </c>
      <c r="AE329" s="85">
        <f t="shared" si="283"/>
        <v>-2731.2237003049086</v>
      </c>
      <c r="AF329" s="90">
        <f t="shared" si="284"/>
        <v>2598.140025222212</v>
      </c>
      <c r="AG329" s="86">
        <f t="shared" si="285"/>
        <v>28403.807540000002</v>
      </c>
      <c r="AH329" s="85">
        <f t="shared" si="286"/>
        <v>6183.1314163678471</v>
      </c>
      <c r="AI329" s="85">
        <f t="shared" si="287"/>
        <v>19422.678305206944</v>
      </c>
      <c r="AJ329" s="90">
        <f t="shared" si="288"/>
        <v>6183.1314163678471</v>
      </c>
      <c r="AL329" s="95">
        <f t="shared" si="289"/>
        <v>0</v>
      </c>
      <c r="AM329" s="95">
        <f t="shared" si="290"/>
        <v>0</v>
      </c>
      <c r="AN329" s="95">
        <f t="shared" si="291"/>
        <v>0</v>
      </c>
      <c r="AO329" s="95">
        <f t="shared" si="292"/>
        <v>0</v>
      </c>
      <c r="AP329"/>
      <c r="AQ329" s="95">
        <f t="shared" si="293"/>
        <v>0</v>
      </c>
      <c r="AR329" s="95">
        <f t="shared" si="294"/>
        <v>0</v>
      </c>
      <c r="AS329" s="95">
        <f>Geraetedaten!$B$94*ABS(SIN(RADIANS($A329)))</f>
        <v>146.46270350945366</v>
      </c>
      <c r="AT329" s="95">
        <f>Geraetedaten!$B$94*ABS(COS(RADIANS($A329)))</f>
        <v>47.58861713374187</v>
      </c>
      <c r="AU329" s="95">
        <f>((h_Aw_Sw+Geraetedaten!$B$18)/1000)*(AQ329*AS329+AR329*AT329)/100</f>
        <v>0</v>
      </c>
    </row>
    <row r="330" spans="1:47" ht="13.5" x14ac:dyDescent="0.25">
      <c r="A330" s="16">
        <v>289</v>
      </c>
      <c r="B330" s="16">
        <f t="shared" si="236"/>
        <v>161</v>
      </c>
      <c r="C330" s="19">
        <f t="shared" si="237"/>
        <v>69.835646424666706</v>
      </c>
      <c r="D330" s="17">
        <f t="shared" si="238"/>
        <v>7021.0288035753338</v>
      </c>
      <c r="E330" s="17">
        <f t="shared" si="239"/>
        <v>-29054.403316424668</v>
      </c>
      <c r="F330" s="17">
        <f t="shared" si="240"/>
        <v>-7034.5137064246665</v>
      </c>
      <c r="G330" s="17">
        <f t="shared" si="241"/>
        <v>26934.661293575333</v>
      </c>
      <c r="H330" s="17">
        <f t="shared" si="242"/>
        <v>7021.0288035753338</v>
      </c>
      <c r="I330" s="17">
        <f t="shared" si="243"/>
        <v>2838.990263861278</v>
      </c>
      <c r="J330" s="20">
        <f>(Geraetedaten!$B$152+(Geraetedaten!$B$153*(Geraetedaten!$B$18+d_y_Sw)/1000))*10</f>
        <v>6051.0442000000003</v>
      </c>
      <c r="K330" s="20">
        <f>(Geraetedaten!$B$165+(Geraetedaten!$B$166*(Geraetedaten!$B$18+d_y_Sw)/1000))*10</f>
        <v>10816.164000000001</v>
      </c>
      <c r="L330" s="20">
        <f>(Geraetedaten!$B$158+(Geraetedaten!$B$159*(Geraetedaten!$B$18+d_y_Sw)/1000)-(Geraetedaten!$B$160*I330/1000))*10</f>
        <v>393.35344395105221</v>
      </c>
      <c r="M330" s="20">
        <f>(Geraetedaten!$B$171+(Geraetedaten!$B$172*(Geraetedaten!$B$18+d_y_Sw)/1000)-(Geraetedaten!$B$173*I330/1000))*10</f>
        <v>853.53256475816738</v>
      </c>
      <c r="N330" s="20">
        <f>IF((H330-J330)/(K330-J330)*(Geraetedaten!$B$174-Geraetedaten!$B$161)&lt;Geraetedaten!$B$174,(H330-J330)/(K330-J330)*(Geraetedaten!$B$174-Geraetedaten!$B$161),Geraetedaten!$B$174)</f>
        <v>81.423732815727604</v>
      </c>
      <c r="O330" s="20">
        <f>N330/Geraetedaten!$B$174*(M330-L330)+L330+C330</f>
        <v>556.86284482565634</v>
      </c>
      <c r="P330" s="20">
        <f t="shared" si="244"/>
        <v>197.21396172209069</v>
      </c>
      <c r="Q330" s="21">
        <f>(N330-Geraetedaten!$B$161)/(Geraetedaten!$B$174-Geraetedaten!$B$161)*(Geraetedaten!$B$175-Geraetedaten!$B$162)+Geraetedaten!$B$162</f>
        <v>31.622356051267897</v>
      </c>
      <c r="R330" s="21">
        <f t="shared" si="270"/>
        <v>31.622356051267897</v>
      </c>
      <c r="S330" s="21">
        <f t="shared" si="271"/>
        <v>-29.899525050689263</v>
      </c>
      <c r="T330" s="88">
        <f t="shared" si="272"/>
        <v>10.295232099198378</v>
      </c>
      <c r="U330" s="86">
        <f t="shared" si="273"/>
        <v>7090.86445</v>
      </c>
      <c r="V330" s="85">
        <f t="shared" si="274"/>
        <v>-2683.3128092763232</v>
      </c>
      <c r="W330" s="85">
        <f t="shared" si="275"/>
        <v>2838.990263861278</v>
      </c>
      <c r="X330" s="90">
        <f t="shared" si="276"/>
        <v>2683.3128092763232</v>
      </c>
      <c r="Y330" s="86">
        <f t="shared" si="277"/>
        <v>-28984.56767</v>
      </c>
      <c r="Z330" s="85">
        <f t="shared" si="278"/>
        <v>-832.16398485565549</v>
      </c>
      <c r="AA330" s="85">
        <f t="shared" si="279"/>
        <v>-2808.2521997818712</v>
      </c>
      <c r="AB330" s="90">
        <f t="shared" si="280"/>
        <v>832.16398485565549</v>
      </c>
      <c r="AC330" s="86">
        <f t="shared" si="281"/>
        <v>-6964.6780600000002</v>
      </c>
      <c r="AD330" s="85">
        <f t="shared" si="282"/>
        <v>2598.140025222212</v>
      </c>
      <c r="AE330" s="85">
        <f t="shared" si="283"/>
        <v>-2747.1831630738552</v>
      </c>
      <c r="AF330" s="90">
        <f t="shared" si="284"/>
        <v>2598.140025222212</v>
      </c>
      <c r="AG330" s="86">
        <f t="shared" si="285"/>
        <v>27004.496940000001</v>
      </c>
      <c r="AH330" s="85">
        <f t="shared" si="286"/>
        <v>6183.1314163678471</v>
      </c>
      <c r="AI330" s="85">
        <f t="shared" si="287"/>
        <v>18465.82209234605</v>
      </c>
      <c r="AJ330" s="90">
        <f t="shared" si="288"/>
        <v>6183.1314163678471</v>
      </c>
      <c r="AL330" s="95">
        <f t="shared" si="289"/>
        <v>0</v>
      </c>
      <c r="AM330" s="95">
        <f t="shared" si="290"/>
        <v>0</v>
      </c>
      <c r="AN330" s="95">
        <f t="shared" si="291"/>
        <v>0</v>
      </c>
      <c r="AO330" s="95">
        <f t="shared" si="292"/>
        <v>0</v>
      </c>
      <c r="AP330"/>
      <c r="AQ330" s="95">
        <f t="shared" si="293"/>
        <v>0</v>
      </c>
      <c r="AR330" s="95">
        <f t="shared" si="294"/>
        <v>0</v>
      </c>
      <c r="AS330" s="95">
        <f>Geraetedaten!$B$94*ABS(SIN(RADIANS($A330)))</f>
        <v>145.60986064229482</v>
      </c>
      <c r="AT330" s="95">
        <f>Geraetedaten!$B$94*ABS(COS(RADIANS($A330)))</f>
        <v>50.13749578640207</v>
      </c>
      <c r="AU330" s="95">
        <f>((h_Aw_Sw+Geraetedaten!$B$18)/1000)*(AQ330*AS330+AR330*AT330)/100</f>
        <v>0</v>
      </c>
    </row>
    <row r="331" spans="1:47" ht="13.5" x14ac:dyDescent="0.25">
      <c r="A331" s="16">
        <v>290</v>
      </c>
      <c r="B331" s="16">
        <f t="shared" si="236"/>
        <v>160</v>
      </c>
      <c r="C331" s="19">
        <f t="shared" si="237"/>
        <v>69.958103143915849</v>
      </c>
      <c r="D331" s="17">
        <f t="shared" si="238"/>
        <v>7065.0208968560846</v>
      </c>
      <c r="E331" s="17">
        <f t="shared" si="239"/>
        <v>-27514.917703143914</v>
      </c>
      <c r="F331" s="17">
        <f t="shared" si="240"/>
        <v>-7077.7195131439157</v>
      </c>
      <c r="G331" s="17">
        <f t="shared" si="241"/>
        <v>25674.102286856083</v>
      </c>
      <c r="H331" s="17">
        <f t="shared" si="242"/>
        <v>7065.0208968560846</v>
      </c>
      <c r="I331" s="17">
        <f t="shared" si="243"/>
        <v>2856.6525346727349</v>
      </c>
      <c r="J331" s="20">
        <f>(Geraetedaten!$B$152+(Geraetedaten!$B$153*(Geraetedaten!$B$18+d_y_Sw)/1000))*10</f>
        <v>6051.0442000000003</v>
      </c>
      <c r="K331" s="20">
        <f>(Geraetedaten!$B$165+(Geraetedaten!$B$166*(Geraetedaten!$B$18+d_y_Sw)/1000))*10</f>
        <v>10816.164000000001</v>
      </c>
      <c r="L331" s="20">
        <f>(Geraetedaten!$B$158+(Geraetedaten!$B$159*(Geraetedaten!$B$18+d_y_Sw)/1000)-(Geraetedaten!$B$160*I331/1000))*10</f>
        <v>392.05826963244817</v>
      </c>
      <c r="M331" s="20">
        <f>(Geraetedaten!$B$171+(Geraetedaten!$B$172*(Geraetedaten!$B$18+d_y_Sw)/1000)-(Geraetedaten!$B$173*I331/1000))*10</f>
        <v>852.21778531896246</v>
      </c>
      <c r="N331" s="20">
        <f>IF((H331-J331)/(K331-J331)*(Geraetedaten!$B$174-Geraetedaten!$B$161)&lt;Geraetedaten!$B$174,(H331-J331)/(K331-J331)*(Geraetedaten!$B$174-Geraetedaten!$B$161),Geraetedaten!$B$174)</f>
        <v>85.116575399097769</v>
      </c>
      <c r="O331" s="20">
        <f>N331/Geraetedaten!$B$174*(M331-L331)+L331+C331</f>
        <v>559.93437805772282</v>
      </c>
      <c r="P331" s="20">
        <f t="shared" si="244"/>
        <v>197.66857237000559</v>
      </c>
      <c r="Q331" s="21">
        <f>(N331-Geraetedaten!$B$161)/(Geraetedaten!$B$174-Geraetedaten!$B$161)*(Geraetedaten!$B$175-Geraetedaten!$B$162)+Geraetedaten!$B$162</f>
        <v>31.732218118123157</v>
      </c>
      <c r="R331" s="21">
        <f t="shared" si="270"/>
        <v>31.732218118123157</v>
      </c>
      <c r="S331" s="21">
        <f t="shared" si="271"/>
        <v>-29.818531206769233</v>
      </c>
      <c r="T331" s="88">
        <f t="shared" si="272"/>
        <v>10.853057788801873</v>
      </c>
      <c r="U331" s="86">
        <f t="shared" si="273"/>
        <v>7134.9790000000003</v>
      </c>
      <c r="V331" s="85">
        <f t="shared" si="274"/>
        <v>-2683.3128092763232</v>
      </c>
      <c r="W331" s="85">
        <f t="shared" si="275"/>
        <v>2856.6525346727349</v>
      </c>
      <c r="X331" s="90">
        <f t="shared" si="276"/>
        <v>2683.3128092763232</v>
      </c>
      <c r="Y331" s="86">
        <f t="shared" si="277"/>
        <v>-27444.959599999998</v>
      </c>
      <c r="Z331" s="85">
        <f t="shared" si="278"/>
        <v>-832.16398485565549</v>
      </c>
      <c r="AA331" s="85">
        <f t="shared" si="279"/>
        <v>-2659.0828970804405</v>
      </c>
      <c r="AB331" s="90">
        <f t="shared" si="280"/>
        <v>832.16398485565549</v>
      </c>
      <c r="AC331" s="86">
        <f t="shared" si="281"/>
        <v>-7007.7614100000001</v>
      </c>
      <c r="AD331" s="85">
        <f t="shared" si="282"/>
        <v>2598.140025222212</v>
      </c>
      <c r="AE331" s="85">
        <f t="shared" si="283"/>
        <v>-2764.1771792992249</v>
      </c>
      <c r="AF331" s="90">
        <f t="shared" si="284"/>
        <v>2598.140025222212</v>
      </c>
      <c r="AG331" s="86">
        <f t="shared" si="285"/>
        <v>25744.060389999999</v>
      </c>
      <c r="AH331" s="85">
        <f t="shared" si="286"/>
        <v>6183.1314163678471</v>
      </c>
      <c r="AI331" s="85">
        <f t="shared" si="287"/>
        <v>17603.928714824637</v>
      </c>
      <c r="AJ331" s="90">
        <f t="shared" si="288"/>
        <v>6183.1314163678471</v>
      </c>
      <c r="AL331" s="95">
        <f t="shared" si="289"/>
        <v>0</v>
      </c>
      <c r="AM331" s="95">
        <f t="shared" si="290"/>
        <v>0</v>
      </c>
      <c r="AN331" s="95">
        <f t="shared" si="291"/>
        <v>0</v>
      </c>
      <c r="AO331" s="95">
        <f t="shared" si="292"/>
        <v>0</v>
      </c>
      <c r="AP331"/>
      <c r="AQ331" s="95">
        <f t="shared" si="293"/>
        <v>0</v>
      </c>
      <c r="AR331" s="95">
        <f t="shared" si="294"/>
        <v>0</v>
      </c>
      <c r="AS331" s="95">
        <f>Geraetedaten!$B$94*ABS(SIN(RADIANS($A331)))</f>
        <v>144.71266360102987</v>
      </c>
      <c r="AT331" s="95">
        <f>Geraetedaten!$B$94*ABS(COS(RADIANS($A331)))</f>
        <v>52.671102072153026</v>
      </c>
      <c r="AU331" s="95">
        <f>((h_Aw_Sw+Geraetedaten!$B$18)/1000)*(AQ331*AS331+AR331*AT331)/100</f>
        <v>0</v>
      </c>
    </row>
    <row r="332" spans="1:47" ht="13.5" x14ac:dyDescent="0.25">
      <c r="A332" s="16">
        <v>291</v>
      </c>
      <c r="B332" s="16">
        <f t="shared" si="236"/>
        <v>159</v>
      </c>
      <c r="C332" s="19">
        <f t="shared" si="237"/>
        <v>70.059249947248006</v>
      </c>
      <c r="D332" s="17">
        <f t="shared" si="238"/>
        <v>7111.7879900527523</v>
      </c>
      <c r="E332" s="17">
        <f t="shared" si="239"/>
        <v>-26138.263389947249</v>
      </c>
      <c r="F332" s="17">
        <f t="shared" si="240"/>
        <v>-7123.602299947248</v>
      </c>
      <c r="G332" s="17">
        <f t="shared" si="241"/>
        <v>24533.139690052751</v>
      </c>
      <c r="H332" s="17">
        <f t="shared" si="242"/>
        <v>7111.7879900527523</v>
      </c>
      <c r="I332" s="17">
        <f t="shared" si="243"/>
        <v>2875.4173098111432</v>
      </c>
      <c r="J332" s="20">
        <f>(Geraetedaten!$B$152+(Geraetedaten!$B$153*(Geraetedaten!$B$18+d_y_Sw)/1000))*10</f>
        <v>6051.0442000000003</v>
      </c>
      <c r="K332" s="20">
        <f>(Geraetedaten!$B$165+(Geraetedaten!$B$166*(Geraetedaten!$B$18+d_y_Sw)/1000))*10</f>
        <v>10816.164000000001</v>
      </c>
      <c r="L332" s="20">
        <f>(Geraetedaten!$B$158+(Geraetedaten!$B$159*(Geraetedaten!$B$18+d_y_Sw)/1000)-(Geraetedaten!$B$160*I332/1000))*10</f>
        <v>390.68224867154868</v>
      </c>
      <c r="M332" s="20">
        <f>(Geraetedaten!$B$171+(Geraetedaten!$B$172*(Geraetedaten!$B$18+d_y_Sw)/1000)-(Geraetedaten!$B$173*I332/1000))*10</f>
        <v>850.8209354576594</v>
      </c>
      <c r="N332" s="20">
        <f>IF((H332-J332)/(K332-J332)*(Geraetedaten!$B$174-Geraetedaten!$B$161)&lt;Geraetedaten!$B$174,(H332-J332)/(K332-J332)*(Geraetedaten!$B$174-Geraetedaten!$B$161),Geraetedaten!$B$174)</f>
        <v>89.042360702264148</v>
      </c>
      <c r="O332" s="20">
        <f>N332/Geraetedaten!$B$174*(M332-L332)+L332+C332</f>
        <v>563.17108592348416</v>
      </c>
      <c r="P332" s="20">
        <f t="shared" si="244"/>
        <v>198.13855343612613</v>
      </c>
      <c r="Q332" s="21">
        <f>(N332-Geraetedaten!$B$161)/(Geraetedaten!$B$174-Geraetedaten!$B$161)*(Geraetedaten!$B$175-Geraetedaten!$B$162)+Geraetedaten!$B$162</f>
        <v>31.849010230892357</v>
      </c>
      <c r="R332" s="21">
        <f t="shared" si="270"/>
        <v>31.849010230892357</v>
      </c>
      <c r="S332" s="21">
        <f t="shared" si="271"/>
        <v>-29.733612554870231</v>
      </c>
      <c r="T332" s="88">
        <f t="shared" si="272"/>
        <v>11.413664491492188</v>
      </c>
      <c r="U332" s="86">
        <f t="shared" si="273"/>
        <v>7181.8472400000001</v>
      </c>
      <c r="V332" s="85">
        <f t="shared" si="274"/>
        <v>-2683.3128092763232</v>
      </c>
      <c r="W332" s="85">
        <f t="shared" si="275"/>
        <v>2875.4173098111432</v>
      </c>
      <c r="X332" s="90">
        <f t="shared" si="276"/>
        <v>2683.3128092763232</v>
      </c>
      <c r="Y332" s="86">
        <f t="shared" si="277"/>
        <v>-26068.204140000002</v>
      </c>
      <c r="Z332" s="85">
        <f t="shared" si="278"/>
        <v>-832.16398485565549</v>
      </c>
      <c r="AA332" s="85">
        <f t="shared" si="279"/>
        <v>-2525.6920322031551</v>
      </c>
      <c r="AB332" s="90">
        <f t="shared" si="280"/>
        <v>832.16398485565549</v>
      </c>
      <c r="AC332" s="86">
        <f t="shared" si="281"/>
        <v>-7053.5430500000002</v>
      </c>
      <c r="AD332" s="85">
        <f t="shared" si="282"/>
        <v>2598.140025222212</v>
      </c>
      <c r="AE332" s="85">
        <f t="shared" si="283"/>
        <v>-2782.2355245752246</v>
      </c>
      <c r="AF332" s="90">
        <f t="shared" si="284"/>
        <v>2598.140025222212</v>
      </c>
      <c r="AG332" s="86">
        <f t="shared" si="285"/>
        <v>24603.198939999998</v>
      </c>
      <c r="AH332" s="85">
        <f t="shared" si="286"/>
        <v>6183.1314163678471</v>
      </c>
      <c r="AI332" s="85">
        <f t="shared" si="287"/>
        <v>16823.80144453856</v>
      </c>
      <c r="AJ332" s="90">
        <f t="shared" si="288"/>
        <v>6183.1314163678471</v>
      </c>
      <c r="AL332" s="95">
        <f t="shared" si="289"/>
        <v>0</v>
      </c>
      <c r="AM332" s="95">
        <f t="shared" si="290"/>
        <v>0</v>
      </c>
      <c r="AN332" s="95">
        <f t="shared" si="291"/>
        <v>0</v>
      </c>
      <c r="AO332" s="95">
        <f t="shared" si="292"/>
        <v>0</v>
      </c>
      <c r="AP332"/>
      <c r="AQ332" s="95">
        <f t="shared" si="293"/>
        <v>0</v>
      </c>
      <c r="AR332" s="95">
        <f t="shared" si="294"/>
        <v>0</v>
      </c>
      <c r="AS332" s="95">
        <f>Geraetedaten!$B$94*ABS(SIN(RADIANS($A332)))</f>
        <v>143.77138568056907</v>
      </c>
      <c r="AT332" s="95">
        <f>Geraetedaten!$B$94*ABS(COS(RADIANS($A332)))</f>
        <v>55.188664229976261</v>
      </c>
      <c r="AU332" s="95">
        <f>((h_Aw_Sw+Geraetedaten!$B$18)/1000)*(AQ332*AS332+AR332*AT332)/100</f>
        <v>0</v>
      </c>
    </row>
    <row r="333" spans="1:47" ht="13.5" x14ac:dyDescent="0.25">
      <c r="A333" s="16">
        <v>292</v>
      </c>
      <c r="B333" s="16">
        <f t="shared" si="236"/>
        <v>158</v>
      </c>
      <c r="C333" s="19">
        <f t="shared" si="237"/>
        <v>70.139056024367036</v>
      </c>
      <c r="D333" s="17">
        <f t="shared" si="238"/>
        <v>7161.4135939756325</v>
      </c>
      <c r="E333" s="17">
        <f t="shared" si="239"/>
        <v>-24900.319646024367</v>
      </c>
      <c r="F333" s="17">
        <f t="shared" si="240"/>
        <v>-7172.2434660243671</v>
      </c>
      <c r="G333" s="17">
        <f t="shared" si="241"/>
        <v>23495.897163975635</v>
      </c>
      <c r="H333" s="17">
        <f t="shared" si="242"/>
        <v>7161.4135939756325</v>
      </c>
      <c r="I333" s="17">
        <f t="shared" si="243"/>
        <v>2895.3180126006118</v>
      </c>
      <c r="J333" s="20">
        <f>(Geraetedaten!$B$152+(Geraetedaten!$B$153*(Geraetedaten!$B$18+d_y_Sw)/1000))*10</f>
        <v>6051.0442000000003</v>
      </c>
      <c r="K333" s="20">
        <f>(Geraetedaten!$B$165+(Geraetedaten!$B$166*(Geraetedaten!$B$18+d_y_Sw)/1000))*10</f>
        <v>10816.164000000001</v>
      </c>
      <c r="L333" s="20">
        <f>(Geraetedaten!$B$158+(Geraetedaten!$B$159*(Geraetedaten!$B$18+d_y_Sw)/1000)-(Geraetedaten!$B$160*I333/1000))*10</f>
        <v>389.22293013599693</v>
      </c>
      <c r="M333" s="20">
        <f>(Geraetedaten!$B$171+(Geraetedaten!$B$172*(Geraetedaten!$B$18+d_y_Sw)/1000)-(Geraetedaten!$B$173*I333/1000))*10</f>
        <v>849.33952714201132</v>
      </c>
      <c r="N333" s="20">
        <f>IF((H333-J333)/(K333-J333)*(Geraetedaten!$B$174-Geraetedaten!$B$161)&lt;Geraetedaten!$B$174,(H333-J333)/(K333-J333)*(Geraetedaten!$B$174-Geraetedaten!$B$161),Geraetedaten!$B$174)</f>
        <v>93.208098900315761</v>
      </c>
      <c r="O333" s="20">
        <f>N333/Geraetedaten!$B$174*(M333-L333)+L333+C333</f>
        <v>566.57846935889722</v>
      </c>
      <c r="P333" s="20">
        <f t="shared" si="244"/>
        <v>198.62419907214385</v>
      </c>
      <c r="Q333" s="21">
        <f>(N333-Geraetedaten!$B$161)/(Geraetedaten!$B$174-Geraetedaten!$B$161)*(Geraetedaten!$B$175-Geraetedaten!$B$162)+Geraetedaten!$B$162</f>
        <v>31.972940942284392</v>
      </c>
      <c r="R333" s="21">
        <f t="shared" si="270"/>
        <v>31.972940942284392</v>
      </c>
      <c r="S333" s="21">
        <f t="shared" si="271"/>
        <v>-29.644794624703493</v>
      </c>
      <c r="T333" s="88">
        <f t="shared" si="272"/>
        <v>11.977274487877294</v>
      </c>
      <c r="U333" s="86">
        <f t="shared" si="273"/>
        <v>7231.5526499999996</v>
      </c>
      <c r="V333" s="85">
        <f t="shared" si="274"/>
        <v>-2683.3128092763232</v>
      </c>
      <c r="W333" s="85">
        <f t="shared" si="275"/>
        <v>2895.3180126006118</v>
      </c>
      <c r="X333" s="90">
        <f t="shared" si="276"/>
        <v>2683.3128092763232</v>
      </c>
      <c r="Y333" s="86">
        <f t="shared" si="277"/>
        <v>-24830.18059</v>
      </c>
      <c r="Z333" s="85">
        <f t="shared" si="278"/>
        <v>-832.16398485565549</v>
      </c>
      <c r="AA333" s="85">
        <f t="shared" si="279"/>
        <v>-2405.7426024314323</v>
      </c>
      <c r="AB333" s="90">
        <f t="shared" si="280"/>
        <v>832.16398485565549</v>
      </c>
      <c r="AC333" s="86">
        <f t="shared" si="281"/>
        <v>-7102.1044099999999</v>
      </c>
      <c r="AD333" s="85">
        <f t="shared" si="282"/>
        <v>2598.140025222212</v>
      </c>
      <c r="AE333" s="85">
        <f t="shared" si="283"/>
        <v>-2801.3903135582395</v>
      </c>
      <c r="AF333" s="90">
        <f t="shared" si="284"/>
        <v>2598.140025222212</v>
      </c>
      <c r="AG333" s="86">
        <f t="shared" si="285"/>
        <v>23566.036220000002</v>
      </c>
      <c r="AH333" s="85">
        <f t="shared" si="286"/>
        <v>6183.1314163678471</v>
      </c>
      <c r="AI333" s="85">
        <f t="shared" si="287"/>
        <v>16114.583922827322</v>
      </c>
      <c r="AJ333" s="90">
        <f t="shared" si="288"/>
        <v>6183.1314163678471</v>
      </c>
      <c r="AL333" s="95">
        <f t="shared" si="289"/>
        <v>0</v>
      </c>
      <c r="AM333" s="95">
        <f t="shared" si="290"/>
        <v>0</v>
      </c>
      <c r="AN333" s="95">
        <f t="shared" si="291"/>
        <v>0</v>
      </c>
      <c r="AO333" s="95">
        <f t="shared" si="292"/>
        <v>0</v>
      </c>
      <c r="AP333"/>
      <c r="AQ333" s="95">
        <f t="shared" si="293"/>
        <v>0</v>
      </c>
      <c r="AR333" s="95">
        <f t="shared" si="294"/>
        <v>0</v>
      </c>
      <c r="AS333" s="95">
        <f>Geraetedaten!$B$94*ABS(SIN(RADIANS($A333)))</f>
        <v>142.78631360328527</v>
      </c>
      <c r="AT333" s="95">
        <f>Geraetedaten!$B$94*ABS(COS(RADIANS($A333)))</f>
        <v>57.689415386050442</v>
      </c>
      <c r="AU333" s="95">
        <f>((h_Aw_Sw+Geraetedaten!$B$18)/1000)*(AQ333*AS333+AR333*AT333)/100</f>
        <v>0</v>
      </c>
    </row>
    <row r="334" spans="1:47" ht="13.5" x14ac:dyDescent="0.25">
      <c r="A334" s="16">
        <v>293</v>
      </c>
      <c r="B334" s="16">
        <f t="shared" si="236"/>
        <v>157</v>
      </c>
      <c r="C334" s="19">
        <f t="shared" si="237"/>
        <v>70.19749706556874</v>
      </c>
      <c r="D334" s="17">
        <f t="shared" si="238"/>
        <v>7213.9876829344321</v>
      </c>
      <c r="E334" s="17">
        <f t="shared" si="239"/>
        <v>-23781.510037065567</v>
      </c>
      <c r="F334" s="17">
        <f t="shared" si="240"/>
        <v>-7223.7306970655682</v>
      </c>
      <c r="G334" s="17">
        <f t="shared" si="241"/>
        <v>22549.194652934431</v>
      </c>
      <c r="H334" s="17">
        <f t="shared" si="242"/>
        <v>7213.9876829344321</v>
      </c>
      <c r="I334" s="17">
        <f t="shared" si="243"/>
        <v>2916.3906518739295</v>
      </c>
      <c r="J334" s="20">
        <f>(Geraetedaten!$B$152+(Geraetedaten!$B$153*(Geraetedaten!$B$18+d_y_Sw)/1000))*10</f>
        <v>6051.0442000000003</v>
      </c>
      <c r="K334" s="20">
        <f>(Geraetedaten!$B$165+(Geraetedaten!$B$166*(Geraetedaten!$B$18+d_y_Sw)/1000))*10</f>
        <v>10816.164000000001</v>
      </c>
      <c r="L334" s="20">
        <f>(Geraetedaten!$B$158+(Geraetedaten!$B$159*(Geraetedaten!$B$18+d_y_Sw)/1000)-(Geraetedaten!$B$160*I334/1000))*10</f>
        <v>387.67767349808452</v>
      </c>
      <c r="M334" s="20">
        <f>(Geraetedaten!$B$171+(Geraetedaten!$B$172*(Geraetedaten!$B$18+d_y_Sw)/1000)-(Geraetedaten!$B$173*I334/1000))*10</f>
        <v>847.77087987450557</v>
      </c>
      <c r="N334" s="20">
        <f>IF((H334-J334)/(K334-J334)*(Geraetedaten!$B$174-Geraetedaten!$B$161)&lt;Geraetedaten!$B$174,(H334-J334)/(K334-J334)*(Geraetedaten!$B$174-Geraetedaten!$B$161),Geraetedaten!$B$174)</f>
        <v>97.621342735973329</v>
      </c>
      <c r="O334" s="20">
        <f>N334/Geraetedaten!$B$174*(M334-L334)+L334+C334</f>
        <v>570.16246203906701</v>
      </c>
      <c r="P334" s="20">
        <f t="shared" si="244"/>
        <v>199.12582720721593</v>
      </c>
      <c r="Q334" s="21">
        <f>(N334-Geraetedaten!$B$161)/(Geraetedaten!$B$174-Geraetedaten!$B$161)*(Geraetedaten!$B$175-Geraetedaten!$B$162)+Geraetedaten!$B$162</f>
        <v>32.104234946395209</v>
      </c>
      <c r="R334" s="21">
        <f t="shared" si="270"/>
        <v>32.104234946395209</v>
      </c>
      <c r="S334" s="21">
        <f t="shared" si="271"/>
        <v>-29.552104084534239</v>
      </c>
      <c r="T334" s="88">
        <f t="shared" si="272"/>
        <v>12.544123949889771</v>
      </c>
      <c r="U334" s="86">
        <f t="shared" si="273"/>
        <v>7284.1851800000004</v>
      </c>
      <c r="V334" s="85">
        <f t="shared" si="274"/>
        <v>-2683.3128092763232</v>
      </c>
      <c r="W334" s="85">
        <f t="shared" si="275"/>
        <v>2916.3906518739295</v>
      </c>
      <c r="X334" s="90">
        <f t="shared" si="276"/>
        <v>2683.3128092763232</v>
      </c>
      <c r="Y334" s="86">
        <f t="shared" si="277"/>
        <v>-23711.312539999999</v>
      </c>
      <c r="Z334" s="85">
        <f t="shared" si="278"/>
        <v>-832.16398485565549</v>
      </c>
      <c r="AA334" s="85">
        <f t="shared" si="279"/>
        <v>-2297.3378922858183</v>
      </c>
      <c r="AB334" s="90">
        <f t="shared" si="280"/>
        <v>832.16398485565549</v>
      </c>
      <c r="AC334" s="86">
        <f t="shared" si="281"/>
        <v>-7153.5331999999999</v>
      </c>
      <c r="AD334" s="85">
        <f t="shared" si="282"/>
        <v>2598.140025222212</v>
      </c>
      <c r="AE334" s="85">
        <f t="shared" si="283"/>
        <v>-2821.6761483295772</v>
      </c>
      <c r="AF334" s="90">
        <f t="shared" si="284"/>
        <v>2598.140025222212</v>
      </c>
      <c r="AG334" s="86">
        <f t="shared" si="285"/>
        <v>22619.39215</v>
      </c>
      <c r="AH334" s="85">
        <f t="shared" si="286"/>
        <v>6183.1314163678471</v>
      </c>
      <c r="AI334" s="85">
        <f t="shared" si="287"/>
        <v>15467.263554364405</v>
      </c>
      <c r="AJ334" s="90">
        <f t="shared" si="288"/>
        <v>6183.1314163678471</v>
      </c>
      <c r="AL334" s="95">
        <f t="shared" si="289"/>
        <v>0</v>
      </c>
      <c r="AM334" s="95">
        <f t="shared" si="290"/>
        <v>0</v>
      </c>
      <c r="AN334" s="95">
        <f t="shared" si="291"/>
        <v>0</v>
      </c>
      <c r="AO334" s="95">
        <f t="shared" si="292"/>
        <v>0</v>
      </c>
      <c r="AP334"/>
      <c r="AQ334" s="95">
        <f t="shared" si="293"/>
        <v>0</v>
      </c>
      <c r="AR334" s="95">
        <f t="shared" si="294"/>
        <v>0</v>
      </c>
      <c r="AS334" s="95">
        <f>Geraetedaten!$B$94*ABS(SIN(RADIANS($A334)))</f>
        <v>141.75774743167582</v>
      </c>
      <c r="AT334" s="95">
        <f>Geraetedaten!$B$94*ABS(COS(RADIANS($A334)))</f>
        <v>60.17259378734812</v>
      </c>
      <c r="AU334" s="95">
        <f>((h_Aw_Sw+Geraetedaten!$B$18)/1000)*(AQ334*AS334+AR334*AT334)/100</f>
        <v>0</v>
      </c>
    </row>
    <row r="335" spans="1:47" ht="13.5" x14ac:dyDescent="0.25">
      <c r="A335" s="16">
        <v>294</v>
      </c>
      <c r="B335" s="16">
        <f t="shared" si="236"/>
        <v>156</v>
      </c>
      <c r="C335" s="19">
        <f t="shared" si="237"/>
        <v>70.234555269145858</v>
      </c>
      <c r="D335" s="17">
        <f t="shared" si="238"/>
        <v>7269.6070847308538</v>
      </c>
      <c r="E335" s="17">
        <f t="shared" si="239"/>
        <v>-22765.780685269143</v>
      </c>
      <c r="F335" s="17">
        <f t="shared" si="240"/>
        <v>-7278.1584252691455</v>
      </c>
      <c r="G335" s="17">
        <f t="shared" si="241"/>
        <v>21681.999624730852</v>
      </c>
      <c r="H335" s="17">
        <f t="shared" si="242"/>
        <v>7269.6070847308538</v>
      </c>
      <c r="I335" s="17">
        <f t="shared" si="243"/>
        <v>2938.6739922412271</v>
      </c>
      <c r="J335" s="20">
        <f>(Geraetedaten!$B$152+(Geraetedaten!$B$153*(Geraetedaten!$B$18+d_y_Sw)/1000))*10</f>
        <v>6051.0442000000003</v>
      </c>
      <c r="K335" s="20">
        <f>(Geraetedaten!$B$165+(Geraetedaten!$B$166*(Geraetedaten!$B$18+d_y_Sw)/1000))*10</f>
        <v>10816.164000000001</v>
      </c>
      <c r="L335" s="20">
        <f>(Geraetedaten!$B$158+(Geraetedaten!$B$159*(Geraetedaten!$B$18+d_y_Sw)/1000)-(Geraetedaten!$B$160*I335/1000))*10</f>
        <v>386.04363614895067</v>
      </c>
      <c r="M335" s="20">
        <f>(Geraetedaten!$B$171+(Geraetedaten!$B$172*(Geraetedaten!$B$18+d_y_Sw)/1000)-(Geraetedaten!$B$173*I335/1000))*10</f>
        <v>846.11210801756397</v>
      </c>
      <c r="N335" s="20">
        <f>IF((H335-J335)/(K335-J335)*(Geraetedaten!$B$174-Geraetedaten!$B$161)&lt;Geraetedaten!$B$174,(H335-J335)/(K335-J335)*(Geraetedaten!$B$174-Geraetedaten!$B$161),Geraetedaten!$B$174)</f>
        <v>102.29022025686349</v>
      </c>
      <c r="O335" s="20">
        <f>N335/Geraetedaten!$B$174*(M335-L335)+L335+C335</f>
        <v>573.92945471979419</v>
      </c>
      <c r="P335" s="20">
        <f t="shared" si="244"/>
        <v>199.64377931297386</v>
      </c>
      <c r="Q335" s="21">
        <f>(N335-Geraetedaten!$B$161)/(Geraetedaten!$B$174-Geraetedaten!$B$161)*(Geraetedaten!$B$175-Geraetedaten!$B$162)+Geraetedaten!$B$162</f>
        <v>32.243134052641686</v>
      </c>
      <c r="R335" s="21">
        <f t="shared" si="270"/>
        <v>32.243134052641686</v>
      </c>
      <c r="S335" s="21">
        <f t="shared" si="271"/>
        <v>-29.455568653952284</v>
      </c>
      <c r="T335" s="88">
        <f t="shared" si="272"/>
        <v>13.114464106814486</v>
      </c>
      <c r="U335" s="86">
        <f t="shared" si="273"/>
        <v>7339.8416399999996</v>
      </c>
      <c r="V335" s="85">
        <f t="shared" si="274"/>
        <v>-2683.3128092763232</v>
      </c>
      <c r="W335" s="85">
        <f t="shared" si="275"/>
        <v>2938.6739922412271</v>
      </c>
      <c r="X335" s="90">
        <f t="shared" si="276"/>
        <v>2683.3128092763232</v>
      </c>
      <c r="Y335" s="86">
        <f t="shared" si="277"/>
        <v>-22695.546129999999</v>
      </c>
      <c r="Z335" s="85">
        <f t="shared" si="278"/>
        <v>-832.16398485565549</v>
      </c>
      <c r="AA335" s="85">
        <f t="shared" si="279"/>
        <v>-2198.9224775643834</v>
      </c>
      <c r="AB335" s="90">
        <f t="shared" si="280"/>
        <v>832.16398485565549</v>
      </c>
      <c r="AC335" s="86">
        <f t="shared" si="281"/>
        <v>-7207.9238699999996</v>
      </c>
      <c r="AD335" s="85">
        <f t="shared" si="282"/>
        <v>2598.140025222212</v>
      </c>
      <c r="AE335" s="85">
        <f t="shared" si="283"/>
        <v>-2843.130281651343</v>
      </c>
      <c r="AF335" s="90">
        <f t="shared" si="284"/>
        <v>2598.140025222212</v>
      </c>
      <c r="AG335" s="86">
        <f t="shared" si="285"/>
        <v>21752.234179999999</v>
      </c>
      <c r="AH335" s="85">
        <f t="shared" si="286"/>
        <v>6183.1314163678471</v>
      </c>
      <c r="AI335" s="85">
        <f t="shared" si="287"/>
        <v>14874.296208182082</v>
      </c>
      <c r="AJ335" s="90">
        <f t="shared" si="288"/>
        <v>6183.1314163678471</v>
      </c>
      <c r="AL335" s="95">
        <f t="shared" si="289"/>
        <v>0</v>
      </c>
      <c r="AM335" s="95">
        <f t="shared" si="290"/>
        <v>0</v>
      </c>
      <c r="AN335" s="95">
        <f t="shared" si="291"/>
        <v>0</v>
      </c>
      <c r="AO335" s="95">
        <f t="shared" si="292"/>
        <v>0</v>
      </c>
      <c r="AP335"/>
      <c r="AQ335" s="95">
        <f t="shared" si="293"/>
        <v>0</v>
      </c>
      <c r="AR335" s="95">
        <f t="shared" si="294"/>
        <v>0</v>
      </c>
      <c r="AS335" s="95">
        <f>Geraetedaten!$B$94*ABS(SIN(RADIANS($A335)))</f>
        <v>140.68600047696057</v>
      </c>
      <c r="AT335" s="95">
        <f>Geraetedaten!$B$94*ABS(COS(RADIANS($A335)))</f>
        <v>62.637443033673165</v>
      </c>
      <c r="AU335" s="95">
        <f>((h_Aw_Sw+Geraetedaten!$B$18)/1000)*(AQ335*AS335+AR335*AT335)/100</f>
        <v>0</v>
      </c>
    </row>
    <row r="336" spans="1:47" ht="13.5" x14ac:dyDescent="0.25">
      <c r="A336" s="16">
        <v>295</v>
      </c>
      <c r="B336" s="16">
        <f t="shared" si="236"/>
        <v>155</v>
      </c>
      <c r="C336" s="19">
        <f t="shared" si="237"/>
        <v>70.250219346810582</v>
      </c>
      <c r="D336" s="17">
        <f t="shared" si="238"/>
        <v>7328.3759806531889</v>
      </c>
      <c r="E336" s="17">
        <f t="shared" si="239"/>
        <v>-21839.842329346811</v>
      </c>
      <c r="F336" s="17">
        <f t="shared" si="240"/>
        <v>-7335.6282493468107</v>
      </c>
      <c r="G336" s="17">
        <f t="shared" si="241"/>
        <v>20885.00698065319</v>
      </c>
      <c r="H336" s="17">
        <f t="shared" si="242"/>
        <v>7328.3759806531889</v>
      </c>
      <c r="I336" s="17">
        <f t="shared" si="243"/>
        <v>2962.2097414768082</v>
      </c>
      <c r="J336" s="20">
        <f>(Geraetedaten!$B$152+(Geraetedaten!$B$153*(Geraetedaten!$B$18+d_y_Sw)/1000))*10</f>
        <v>6051.0442000000003</v>
      </c>
      <c r="K336" s="20">
        <f>(Geraetedaten!$B$165+(Geraetedaten!$B$166*(Geraetedaten!$B$18+d_y_Sw)/1000))*10</f>
        <v>10816.164000000001</v>
      </c>
      <c r="L336" s="20">
        <f>(Geraetedaten!$B$158+(Geraetedaten!$B$159*(Geraetedaten!$B$18+d_y_Sw)/1000)-(Geraetedaten!$B$160*I336/1000))*10</f>
        <v>384.31775965750546</v>
      </c>
      <c r="M336" s="20">
        <f>(Geraetedaten!$B$171+(Geraetedaten!$B$172*(Geraetedaten!$B$18+d_y_Sw)/1000)-(Geraetedaten!$B$173*I336/1000))*10</f>
        <v>844.36010684446728</v>
      </c>
      <c r="N336" s="20">
        <f>IF((H336-J336)/(K336-J336)*(Geraetedaten!$B$174-Geraetedaten!$B$161)&lt;Geraetedaten!$B$174,(H336-J336)/(K336-J336)*(Geraetedaten!$B$174-Geraetedaten!$B$161),Geraetedaten!$B$174)</f>
        <v>107.22347678672746</v>
      </c>
      <c r="O336" s="20">
        <f>N336/Geraetedaten!$B$174*(M336-L336)+L336+C336</f>
        <v>577.88632884059803</v>
      </c>
      <c r="P336" s="20">
        <f t="shared" si="244"/>
        <v>200.17842131329587</v>
      </c>
      <c r="Q336" s="21">
        <f>(N336-Geraetedaten!$B$161)/(Geraetedaten!$B$174-Geraetedaten!$B$161)*(Geraetedaten!$B$175-Geraetedaten!$B$162)+Geraetedaten!$B$162</f>
        <v>32.38989843440514</v>
      </c>
      <c r="R336" s="21">
        <f t="shared" si="270"/>
        <v>32.38989843440514</v>
      </c>
      <c r="S336" s="21">
        <f t="shared" si="271"/>
        <v>-29.355217172427576</v>
      </c>
      <c r="T336" s="88">
        <f t="shared" si="272"/>
        <v>13.688562574306108</v>
      </c>
      <c r="U336" s="86">
        <f t="shared" si="273"/>
        <v>7398.6261999999997</v>
      </c>
      <c r="V336" s="85">
        <f t="shared" si="274"/>
        <v>-2683.3128092763232</v>
      </c>
      <c r="W336" s="85">
        <f t="shared" si="275"/>
        <v>2962.2097414768082</v>
      </c>
      <c r="X336" s="90">
        <f t="shared" si="276"/>
        <v>2683.3128092763232</v>
      </c>
      <c r="Y336" s="86">
        <f t="shared" si="277"/>
        <v>-21769.592110000001</v>
      </c>
      <c r="Z336" s="85">
        <f t="shared" si="278"/>
        <v>-832.16398485565549</v>
      </c>
      <c r="AA336" s="85">
        <f t="shared" si="279"/>
        <v>-2109.2087909267107</v>
      </c>
      <c r="AB336" s="90">
        <f t="shared" si="280"/>
        <v>832.16398485565549</v>
      </c>
      <c r="AC336" s="86">
        <f t="shared" si="281"/>
        <v>-7265.3780299999999</v>
      </c>
      <c r="AD336" s="85">
        <f t="shared" si="282"/>
        <v>2598.140025222212</v>
      </c>
      <c r="AE336" s="85">
        <f t="shared" si="283"/>
        <v>-2865.79279663124</v>
      </c>
      <c r="AF336" s="90">
        <f t="shared" si="284"/>
        <v>2598.140025222212</v>
      </c>
      <c r="AG336" s="86">
        <f t="shared" si="285"/>
        <v>20955.2572</v>
      </c>
      <c r="AH336" s="85">
        <f t="shared" si="286"/>
        <v>6183.1314163678471</v>
      </c>
      <c r="AI336" s="85">
        <f t="shared" si="287"/>
        <v>14329.319007832735</v>
      </c>
      <c r="AJ336" s="90">
        <f t="shared" si="288"/>
        <v>6183.1314163678471</v>
      </c>
      <c r="AL336" s="95">
        <f t="shared" si="289"/>
        <v>0</v>
      </c>
      <c r="AM336" s="95">
        <f t="shared" si="290"/>
        <v>0</v>
      </c>
      <c r="AN336" s="95">
        <f t="shared" si="291"/>
        <v>0</v>
      </c>
      <c r="AO336" s="95">
        <f t="shared" si="292"/>
        <v>0</v>
      </c>
      <c r="AP336"/>
      <c r="AQ336" s="95">
        <f t="shared" si="293"/>
        <v>0</v>
      </c>
      <c r="AR336" s="95">
        <f t="shared" si="294"/>
        <v>0</v>
      </c>
      <c r="AS336" s="95">
        <f>Geraetedaten!$B$94*ABS(SIN(RADIANS($A336)))</f>
        <v>139.57139920364409</v>
      </c>
      <c r="AT336" s="95">
        <f>Geraetedaten!$B$94*ABS(COS(RADIANS($A336)))</f>
        <v>65.083212308067743</v>
      </c>
      <c r="AU336" s="95">
        <f>((h_Aw_Sw+Geraetedaten!$B$18)/1000)*(AQ336*AS336+AR336*AT336)/100</f>
        <v>0</v>
      </c>
    </row>
    <row r="337" spans="1:47" ht="13.5" x14ac:dyDescent="0.25">
      <c r="A337" s="16">
        <v>296</v>
      </c>
      <c r="B337" s="16">
        <f t="shared" si="236"/>
        <v>154</v>
      </c>
      <c r="C337" s="19">
        <f t="shared" si="237"/>
        <v>70.24448452713311</v>
      </c>
      <c r="D337" s="17">
        <f t="shared" si="238"/>
        <v>7390.4064254728673</v>
      </c>
      <c r="E337" s="17">
        <f t="shared" si="239"/>
        <v>-20992.600004527136</v>
      </c>
      <c r="F337" s="17">
        <f t="shared" si="240"/>
        <v>-7396.2494745271333</v>
      </c>
      <c r="G337" s="17">
        <f t="shared" si="241"/>
        <v>20150.313955472866</v>
      </c>
      <c r="H337" s="17">
        <f t="shared" si="242"/>
        <v>7390.4064254728673</v>
      </c>
      <c r="I337" s="17">
        <f t="shared" si="243"/>
        <v>2987.0427568137206</v>
      </c>
      <c r="J337" s="20">
        <f>(Geraetedaten!$B$152+(Geraetedaten!$B$153*(Geraetedaten!$B$18+d_y_Sw)/1000))*10</f>
        <v>6051.0442000000003</v>
      </c>
      <c r="K337" s="20">
        <f>(Geraetedaten!$B$165+(Geraetedaten!$B$166*(Geraetedaten!$B$18+d_y_Sw)/1000))*10</f>
        <v>10816.164000000001</v>
      </c>
      <c r="L337" s="20">
        <f>(Geraetedaten!$B$158+(Geraetedaten!$B$159*(Geraetedaten!$B$18+d_y_Sw)/1000)-(Geraetedaten!$B$160*I337/1000))*10</f>
        <v>382.49675464284962</v>
      </c>
      <c r="M337" s="20">
        <f>(Geraetedaten!$B$171+(Geraetedaten!$B$172*(Geraetedaten!$B$18+d_y_Sw)/1000)-(Geraetedaten!$B$173*I337/1000))*10</f>
        <v>842.51153718278761</v>
      </c>
      <c r="N337" s="20">
        <f>IF((H337-J337)/(K337-J337)*(Geraetedaten!$B$174-Geraetedaten!$B$161)&lt;Geraetedaten!$B$174,(H337-J337)/(K337-J337)*(Geraetedaten!$B$174-Geraetedaten!$B$161),Geraetedaten!$B$174)</f>
        <v>112.43051857566032</v>
      </c>
      <c r="O337" s="20">
        <f>N337/Geraetedaten!$B$174*(M337-L337)+L337+C337</f>
        <v>582.04049055356984</v>
      </c>
      <c r="P337" s="20">
        <f t="shared" si="244"/>
        <v>200.7301440414688</v>
      </c>
      <c r="Q337" s="21">
        <f>(N337-Geraetedaten!$B$161)/(Geraetedaten!$B$174-Geraetedaten!$B$161)*(Geraetedaten!$B$175-Geraetedaten!$B$162)+Geraetedaten!$B$162</f>
        <v>32.544807927625897</v>
      </c>
      <c r="R337" s="21">
        <f t="shared" si="270"/>
        <v>32.544807927625897</v>
      </c>
      <c r="S337" s="21">
        <f t="shared" si="271"/>
        <v>-29.251079603300088</v>
      </c>
      <c r="T337" s="88">
        <f t="shared" si="272"/>
        <v>14.266704773263623</v>
      </c>
      <c r="U337" s="86">
        <f t="shared" si="273"/>
        <v>7460.6509100000003</v>
      </c>
      <c r="V337" s="85">
        <f t="shared" si="274"/>
        <v>-2683.3128092763232</v>
      </c>
      <c r="W337" s="85">
        <f t="shared" si="275"/>
        <v>2987.0427568137206</v>
      </c>
      <c r="X337" s="90">
        <f t="shared" si="276"/>
        <v>2683.3128092763232</v>
      </c>
      <c r="Y337" s="86">
        <f t="shared" si="277"/>
        <v>-20922.355520000001</v>
      </c>
      <c r="Z337" s="85">
        <f t="shared" si="278"/>
        <v>-832.16398485565549</v>
      </c>
      <c r="AA337" s="85">
        <f t="shared" si="279"/>
        <v>-2027.1218665375141</v>
      </c>
      <c r="AB337" s="90">
        <f t="shared" si="280"/>
        <v>832.16398485565549</v>
      </c>
      <c r="AC337" s="86">
        <f t="shared" si="281"/>
        <v>-7326.0049900000004</v>
      </c>
      <c r="AD337" s="85">
        <f t="shared" si="282"/>
        <v>2598.140025222212</v>
      </c>
      <c r="AE337" s="85">
        <f t="shared" si="283"/>
        <v>-2889.7068045075398</v>
      </c>
      <c r="AF337" s="90">
        <f t="shared" si="284"/>
        <v>2598.140025222212</v>
      </c>
      <c r="AG337" s="86">
        <f t="shared" si="285"/>
        <v>20220.558440000001</v>
      </c>
      <c r="AH337" s="85">
        <f t="shared" si="286"/>
        <v>6183.1314163678471</v>
      </c>
      <c r="AI337" s="85">
        <f t="shared" si="287"/>
        <v>13826.927997008674</v>
      </c>
      <c r="AJ337" s="90">
        <f t="shared" si="288"/>
        <v>6183.1314163678471</v>
      </c>
      <c r="AL337" s="95">
        <f t="shared" si="289"/>
        <v>0</v>
      </c>
      <c r="AM337" s="95">
        <f t="shared" si="290"/>
        <v>0</v>
      </c>
      <c r="AN337" s="95">
        <f t="shared" si="291"/>
        <v>0</v>
      </c>
      <c r="AO337" s="95">
        <f t="shared" si="292"/>
        <v>0</v>
      </c>
      <c r="AP337"/>
      <c r="AQ337" s="95">
        <f t="shared" si="293"/>
        <v>0</v>
      </c>
      <c r="AR337" s="95">
        <f t="shared" si="294"/>
        <v>0</v>
      </c>
      <c r="AS337" s="95">
        <f>Geraetedaten!$B$94*ABS(SIN(RADIANS($A337)))</f>
        <v>138.41428313007174</v>
      </c>
      <c r="AT337" s="95">
        <f>Geraetedaten!$B$94*ABS(COS(RADIANS($A337)))</f>
        <v>67.509156605517916</v>
      </c>
      <c r="AU337" s="95">
        <f>((h_Aw_Sw+Geraetedaten!$B$18)/1000)*(AQ337*AS337+AR337*AT337)/100</f>
        <v>0</v>
      </c>
    </row>
    <row r="338" spans="1:47" ht="13.5" x14ac:dyDescent="0.25">
      <c r="A338" s="16">
        <v>297</v>
      </c>
      <c r="B338" s="16">
        <f t="shared" si="236"/>
        <v>153</v>
      </c>
      <c r="C338" s="19">
        <f t="shared" si="237"/>
        <v>70.217352556995067</v>
      </c>
      <c r="D338" s="17">
        <f t="shared" si="238"/>
        <v>7455.8188874430052</v>
      </c>
      <c r="E338" s="17">
        <f t="shared" si="239"/>
        <v>-20214.718352556996</v>
      </c>
      <c r="F338" s="17">
        <f t="shared" si="240"/>
        <v>-7460.1396225569952</v>
      </c>
      <c r="G338" s="17">
        <f t="shared" si="241"/>
        <v>19471.165757443003</v>
      </c>
      <c r="H338" s="17">
        <f t="shared" si="242"/>
        <v>7455.8188874430052</v>
      </c>
      <c r="I338" s="17">
        <f t="shared" si="243"/>
        <v>3013.2212721689766</v>
      </c>
      <c r="J338" s="20">
        <f>(Geraetedaten!$B$152+(Geraetedaten!$B$153*(Geraetedaten!$B$18+d_y_Sw)/1000))*10</f>
        <v>6051.0442000000003</v>
      </c>
      <c r="K338" s="20">
        <f>(Geraetedaten!$B$165+(Geraetedaten!$B$166*(Geraetedaten!$B$18+d_y_Sw)/1000))*10</f>
        <v>10816.164000000001</v>
      </c>
      <c r="L338" s="20">
        <f>(Geraetedaten!$B$158+(Geraetedaten!$B$159*(Geraetedaten!$B$18+d_y_Sw)/1000)-(Geraetedaten!$B$160*I338/1000))*10</f>
        <v>380.57708411184876</v>
      </c>
      <c r="M338" s="20">
        <f>(Geraetedaten!$B$171+(Geraetedaten!$B$172*(Geraetedaten!$B$18+d_y_Sw)/1000)-(Geraetedaten!$B$173*I338/1000))*10</f>
        <v>840.56280849974223</v>
      </c>
      <c r="N338" s="20">
        <f>IF((H338-J338)/(K338-J338)*(Geraetedaten!$B$174-Geraetedaten!$B$161)&lt;Geraetedaten!$B$174,(H338-J338)/(K338-J338)*(Geraetedaten!$B$174-Geraetedaten!$B$161),Geraetedaten!$B$174)</f>
        <v>117.92145812938469</v>
      </c>
      <c r="O338" s="20">
        <f>N338/Geraetedaten!$B$174*(M338-L338)+L338+C338</f>
        <v>586.39990501514797</v>
      </c>
      <c r="P338" s="20">
        <f t="shared" si="244"/>
        <v>201.29936318309427</v>
      </c>
      <c r="Q338" s="21">
        <f>(N338-Geraetedaten!$B$161)/(Geraetedaten!$B$174-Geraetedaten!$B$161)*(Geraetedaten!$B$175-Geraetedaten!$B$162)+Geraetedaten!$B$162</f>
        <v>32.708163379349195</v>
      </c>
      <c r="R338" s="21">
        <f t="shared" si="270"/>
        <v>32.708163379349195</v>
      </c>
      <c r="S338" s="21">
        <f t="shared" si="271"/>
        <v>-29.143186965219186</v>
      </c>
      <c r="T338" s="88">
        <f t="shared" si="272"/>
        <v>14.84919543815348</v>
      </c>
      <c r="U338" s="86">
        <f t="shared" si="273"/>
        <v>7526.0362400000004</v>
      </c>
      <c r="V338" s="85">
        <f t="shared" si="274"/>
        <v>-2683.3128092763232</v>
      </c>
      <c r="W338" s="85">
        <f t="shared" si="275"/>
        <v>3013.2212721689766</v>
      </c>
      <c r="X338" s="90">
        <f t="shared" si="276"/>
        <v>2683.3128092763232</v>
      </c>
      <c r="Y338" s="86">
        <f t="shared" si="277"/>
        <v>-20144.501</v>
      </c>
      <c r="Z338" s="85">
        <f t="shared" si="278"/>
        <v>-832.16398485565549</v>
      </c>
      <c r="AA338" s="85">
        <f t="shared" si="279"/>
        <v>-1951.757221476596</v>
      </c>
      <c r="AB338" s="90">
        <f t="shared" si="280"/>
        <v>832.16398485565549</v>
      </c>
      <c r="AC338" s="86">
        <f t="shared" si="281"/>
        <v>-7389.92227</v>
      </c>
      <c r="AD338" s="85">
        <f t="shared" si="282"/>
        <v>2598.140025222212</v>
      </c>
      <c r="AE338" s="85">
        <f t="shared" si="283"/>
        <v>-2914.9186624884182</v>
      </c>
      <c r="AF338" s="90">
        <f t="shared" si="284"/>
        <v>2598.140025222212</v>
      </c>
      <c r="AG338" s="86">
        <f t="shared" si="285"/>
        <v>19541.383109999999</v>
      </c>
      <c r="AH338" s="85">
        <f t="shared" si="286"/>
        <v>6183.1314163678471</v>
      </c>
      <c r="AI338" s="85">
        <f t="shared" si="287"/>
        <v>13362.504204597844</v>
      </c>
      <c r="AJ338" s="90">
        <f t="shared" si="288"/>
        <v>6183.1314163678471</v>
      </c>
      <c r="AL338" s="95">
        <f t="shared" si="289"/>
        <v>0</v>
      </c>
      <c r="AM338" s="95">
        <f t="shared" si="290"/>
        <v>0</v>
      </c>
      <c r="AN338" s="95">
        <f t="shared" si="291"/>
        <v>0</v>
      </c>
      <c r="AO338" s="95">
        <f t="shared" si="292"/>
        <v>0</v>
      </c>
      <c r="AP338"/>
      <c r="AQ338" s="95">
        <f t="shared" si="293"/>
        <v>0</v>
      </c>
      <c r="AR338" s="95">
        <f t="shared" si="294"/>
        <v>0</v>
      </c>
      <c r="AS338" s="95">
        <f>Geraetedaten!$B$94*ABS(SIN(RADIANS($A338)))</f>
        <v>137.21500472500867</v>
      </c>
      <c r="AT338" s="95">
        <f>Geraetedaten!$B$94*ABS(COS(RADIANS($A338)))</f>
        <v>69.914536959890185</v>
      </c>
      <c r="AU338" s="95">
        <f>((h_Aw_Sw+Geraetedaten!$B$18)/1000)*(AQ338*AS338+AR338*AT338)/100</f>
        <v>0</v>
      </c>
    </row>
    <row r="339" spans="1:47" ht="13.5" x14ac:dyDescent="0.25">
      <c r="A339" s="16">
        <v>298</v>
      </c>
      <c r="B339" s="16">
        <f t="shared" si="236"/>
        <v>152</v>
      </c>
      <c r="C339" s="19">
        <f t="shared" si="237"/>
        <v>70.1688317010574</v>
      </c>
      <c r="D339" s="17">
        <f t="shared" si="238"/>
        <v>7524.7428782989427</v>
      </c>
      <c r="E339" s="17">
        <f t="shared" si="239"/>
        <v>-19498.286321701056</v>
      </c>
      <c r="F339" s="17">
        <f t="shared" si="240"/>
        <v>-7527.4250617010575</v>
      </c>
      <c r="G339" s="17">
        <f t="shared" si="241"/>
        <v>18841.754598298943</v>
      </c>
      <c r="H339" s="17">
        <f t="shared" si="242"/>
        <v>7524.7428782989427</v>
      </c>
      <c r="I339" s="17">
        <f t="shared" si="243"/>
        <v>3040.7971485891981</v>
      </c>
      <c r="J339" s="20">
        <f>(Geraetedaten!$B$152+(Geraetedaten!$B$153*(Geraetedaten!$B$18+d_y_Sw)/1000))*10</f>
        <v>6051.0442000000003</v>
      </c>
      <c r="K339" s="20">
        <f>(Geraetedaten!$B$165+(Geraetedaten!$B$166*(Geraetedaten!$B$18+d_y_Sw)/1000))*10</f>
        <v>10816.164000000001</v>
      </c>
      <c r="L339" s="20">
        <f>(Geraetedaten!$B$158+(Geraetedaten!$B$159*(Geraetedaten!$B$18+d_y_Sw)/1000)-(Geraetedaten!$B$160*I339/1000))*10</f>
        <v>378.55494509395385</v>
      </c>
      <c r="M339" s="20">
        <f>(Geraetedaten!$B$171+(Geraetedaten!$B$172*(Geraetedaten!$B$18+d_y_Sw)/1000)-(Geraetedaten!$B$173*I339/1000))*10</f>
        <v>838.51006025902109</v>
      </c>
      <c r="N339" s="20">
        <f>IF((H339-J339)/(K339-J339)*(Geraetedaten!$B$174-Geraetedaten!$B$161)&lt;Geraetedaten!$B$174,(H339-J339)/(K339-J339)*(Geraetedaten!$B$174-Geraetedaten!$B$161),Geraetedaten!$B$174)</f>
        <v>123.70716709359057</v>
      </c>
      <c r="O339" s="20">
        <f>N339/Geraetedaten!$B$174*(M339-L339)+L339+C339</f>
        <v>590.9731375132028</v>
      </c>
      <c r="P339" s="20">
        <f t="shared" si="244"/>
        <v>201.88651976625084</v>
      </c>
      <c r="Q339" s="21">
        <f>(N339-Geraetedaten!$B$161)/(Geraetedaten!$B$174-Geraetedaten!$B$161)*(Geraetedaten!$B$175-Geraetedaten!$B$162)+Geraetedaten!$B$162</f>
        <v>32.88028822103432</v>
      </c>
      <c r="R339" s="21">
        <f t="shared" si="270"/>
        <v>32.88028822103432</v>
      </c>
      <c r="S339" s="21">
        <f t="shared" si="271"/>
        <v>-29.031571337269988</v>
      </c>
      <c r="T339" s="88">
        <f t="shared" si="272"/>
        <v>15.436360295979487</v>
      </c>
      <c r="U339" s="86">
        <f t="shared" si="273"/>
        <v>7594.9117100000003</v>
      </c>
      <c r="V339" s="85">
        <f t="shared" si="274"/>
        <v>-2683.3128092763232</v>
      </c>
      <c r="W339" s="85">
        <f t="shared" si="275"/>
        <v>3040.7971485891981</v>
      </c>
      <c r="X339" s="90">
        <f t="shared" si="276"/>
        <v>2683.3128092763232</v>
      </c>
      <c r="Y339" s="86">
        <f t="shared" si="277"/>
        <v>-19428.117490000001</v>
      </c>
      <c r="Z339" s="85">
        <f t="shared" si="278"/>
        <v>-832.16398485565549</v>
      </c>
      <c r="AA339" s="85">
        <f t="shared" si="279"/>
        <v>-1882.3483690711489</v>
      </c>
      <c r="AB339" s="90">
        <f t="shared" si="280"/>
        <v>832.16398485565549</v>
      </c>
      <c r="AC339" s="86">
        <f t="shared" si="281"/>
        <v>-7457.25623</v>
      </c>
      <c r="AD339" s="85">
        <f t="shared" si="282"/>
        <v>2598.140025222212</v>
      </c>
      <c r="AE339" s="85">
        <f t="shared" si="283"/>
        <v>-2941.478213834569</v>
      </c>
      <c r="AF339" s="90">
        <f t="shared" si="284"/>
        <v>2598.140025222212</v>
      </c>
      <c r="AG339" s="86">
        <f t="shared" si="285"/>
        <v>18911.923429999999</v>
      </c>
      <c r="AH339" s="85">
        <f t="shared" si="286"/>
        <v>6183.1314163678471</v>
      </c>
      <c r="AI339" s="85">
        <f t="shared" si="287"/>
        <v>12932.076247813569</v>
      </c>
      <c r="AJ339" s="90">
        <f t="shared" si="288"/>
        <v>6183.1314163678471</v>
      </c>
      <c r="AL339" s="95">
        <f t="shared" si="289"/>
        <v>0</v>
      </c>
      <c r="AM339" s="95">
        <f t="shared" si="290"/>
        <v>0</v>
      </c>
      <c r="AN339" s="95">
        <f t="shared" si="291"/>
        <v>0</v>
      </c>
      <c r="AO339" s="95">
        <f t="shared" si="292"/>
        <v>0</v>
      </c>
      <c r="AP339"/>
      <c r="AQ339" s="95">
        <f t="shared" si="293"/>
        <v>0</v>
      </c>
      <c r="AR339" s="95">
        <f t="shared" si="294"/>
        <v>0</v>
      </c>
      <c r="AS339" s="95">
        <f>Geraetedaten!$B$94*ABS(SIN(RADIANS($A339)))</f>
        <v>135.97392930027476</v>
      </c>
      <c r="AT339" s="95">
        <f>Geraetedaten!$B$94*ABS(COS(RADIANS($A339)))</f>
        <v>72.29862066902713</v>
      </c>
      <c r="AU339" s="95">
        <f>((h_Aw_Sw+Geraetedaten!$B$18)/1000)*(AQ339*AS339+AR339*AT339)/100</f>
        <v>0</v>
      </c>
    </row>
    <row r="340" spans="1:47" ht="13.5" x14ac:dyDescent="0.25">
      <c r="A340" s="16">
        <v>299</v>
      </c>
      <c r="B340" s="16">
        <f t="shared" si="236"/>
        <v>151</v>
      </c>
      <c r="C340" s="19">
        <f t="shared" si="237"/>
        <v>70.098936739242845</v>
      </c>
      <c r="D340" s="17">
        <f t="shared" si="238"/>
        <v>7597.3176832607569</v>
      </c>
      <c r="E340" s="17">
        <f t="shared" si="239"/>
        <v>-18836.555696739244</v>
      </c>
      <c r="F340" s="17">
        <f t="shared" si="240"/>
        <v>-7598.2416867392431</v>
      </c>
      <c r="G340" s="17">
        <f t="shared" si="241"/>
        <v>18257.059583260758</v>
      </c>
      <c r="H340" s="17">
        <f t="shared" si="242"/>
        <v>7597.3176832607569</v>
      </c>
      <c r="I340" s="17">
        <f t="shared" si="243"/>
        <v>3069.8261505121809</v>
      </c>
      <c r="J340" s="20">
        <f>(Geraetedaten!$B$152+(Geraetedaten!$B$153*(Geraetedaten!$B$18+d_y_Sw)/1000))*10</f>
        <v>6051.0442000000003</v>
      </c>
      <c r="K340" s="20">
        <f>(Geraetedaten!$B$165+(Geraetedaten!$B$166*(Geraetedaten!$B$18+d_y_Sw)/1000))*10</f>
        <v>10816.164000000001</v>
      </c>
      <c r="L340" s="20">
        <f>(Geraetedaten!$B$158+(Geraetedaten!$B$159*(Geraetedaten!$B$18+d_y_Sw)/1000)-(Geraetedaten!$B$160*I340/1000))*10</f>
        <v>376.42624838294154</v>
      </c>
      <c r="M340" s="20">
        <f>(Geraetedaten!$B$171+(Geraetedaten!$B$172*(Geraetedaten!$B$18+d_y_Sw)/1000)-(Geraetedaten!$B$173*I340/1000))*10</f>
        <v>836.34914135587428</v>
      </c>
      <c r="N340" s="20">
        <f>IF((H340-J340)/(K340-J340)*(Geraetedaten!$B$174-Geraetedaten!$B$161)&lt;Geraetedaten!$B$174,(H340-J340)/(K340-J340)*(Geraetedaten!$B$174-Geraetedaten!$B$161),Geraetedaten!$B$174)</f>
        <v>129.79933753277359</v>
      </c>
      <c r="O340" s="20">
        <f>N340/Geraetedaten!$B$174*(M340-L340)+L340+C340</f>
        <v>595.76940218229288</v>
      </c>
      <c r="P340" s="20">
        <f t="shared" si="244"/>
        <v>202.49208122632064</v>
      </c>
      <c r="Q340" s="21">
        <f>(N340-Geraetedaten!$B$161)/(Geraetedaten!$B$174-Geraetedaten!$B$161)*(Geraetedaten!$B$175-Geraetedaten!$B$162)+Geraetedaten!$B$162</f>
        <v>33.061530291600015</v>
      </c>
      <c r="R340" s="21">
        <f t="shared" si="270"/>
        <v>33.061530291600015</v>
      </c>
      <c r="S340" s="21">
        <f t="shared" si="271"/>
        <v>-28.916265941219461</v>
      </c>
      <c r="T340" s="88">
        <f t="shared" si="272"/>
        <v>16.028547945433381</v>
      </c>
      <c r="U340" s="86">
        <f t="shared" si="273"/>
        <v>7667.41662</v>
      </c>
      <c r="V340" s="85">
        <f t="shared" si="274"/>
        <v>-2683.3128092763232</v>
      </c>
      <c r="W340" s="85">
        <f t="shared" si="275"/>
        <v>3069.8261505121809</v>
      </c>
      <c r="X340" s="90">
        <f t="shared" si="276"/>
        <v>2683.3128092763232</v>
      </c>
      <c r="Y340" s="86">
        <f t="shared" si="277"/>
        <v>-18766.456760000001</v>
      </c>
      <c r="Z340" s="85">
        <f t="shared" si="278"/>
        <v>-832.16398485565549</v>
      </c>
      <c r="AA340" s="85">
        <f t="shared" si="279"/>
        <v>-1818.2414887356053</v>
      </c>
      <c r="AB340" s="90">
        <f t="shared" si="280"/>
        <v>832.16398485565549</v>
      </c>
      <c r="AC340" s="86">
        <f t="shared" si="281"/>
        <v>-7528.14275</v>
      </c>
      <c r="AD340" s="85">
        <f t="shared" si="282"/>
        <v>2598.140025222212</v>
      </c>
      <c r="AE340" s="85">
        <f t="shared" si="283"/>
        <v>-2969.4390526660436</v>
      </c>
      <c r="AF340" s="90">
        <f t="shared" si="284"/>
        <v>2598.140025222212</v>
      </c>
      <c r="AG340" s="86">
        <f t="shared" si="285"/>
        <v>18327.158520000001</v>
      </c>
      <c r="AH340" s="85">
        <f t="shared" si="286"/>
        <v>6183.1314163678471</v>
      </c>
      <c r="AI340" s="85">
        <f t="shared" si="287"/>
        <v>12532.21082183273</v>
      </c>
      <c r="AJ340" s="90">
        <f t="shared" si="288"/>
        <v>6183.1314163678471</v>
      </c>
      <c r="AL340" s="95">
        <f t="shared" si="289"/>
        <v>0</v>
      </c>
      <c r="AM340" s="95">
        <f t="shared" si="290"/>
        <v>0</v>
      </c>
      <c r="AN340" s="95">
        <f t="shared" si="291"/>
        <v>0</v>
      </c>
      <c r="AO340" s="95">
        <f t="shared" si="292"/>
        <v>0</v>
      </c>
      <c r="AP340"/>
      <c r="AQ340" s="95">
        <f t="shared" si="293"/>
        <v>0</v>
      </c>
      <c r="AR340" s="95">
        <f t="shared" si="294"/>
        <v>0</v>
      </c>
      <c r="AS340" s="95">
        <f>Geraetedaten!$B$94*ABS(SIN(RADIANS($A340)))</f>
        <v>134.69143489946694</v>
      </c>
      <c r="AT340" s="95">
        <f>Geraetedaten!$B$94*ABS(COS(RADIANS($A340)))</f>
        <v>74.660681517935942</v>
      </c>
      <c r="AU340" s="95">
        <f>((h_Aw_Sw+Geraetedaten!$B$18)/1000)*(AQ340*AS340+AR340*AT340)/100</f>
        <v>0</v>
      </c>
    </row>
    <row r="341" spans="1:47" ht="13.5" x14ac:dyDescent="0.25">
      <c r="A341" s="16">
        <v>300</v>
      </c>
      <c r="B341" s="16">
        <f t="shared" si="236"/>
        <v>150</v>
      </c>
      <c r="C341" s="19">
        <f t="shared" si="237"/>
        <v>70.007688962233885</v>
      </c>
      <c r="D341" s="17">
        <f t="shared" si="238"/>
        <v>7673.6930510377661</v>
      </c>
      <c r="E341" s="17">
        <f t="shared" si="239"/>
        <v>-18223.735238962232</v>
      </c>
      <c r="F341" s="17">
        <f t="shared" si="240"/>
        <v>-7672.7356289622339</v>
      </c>
      <c r="G341" s="17">
        <f t="shared" si="241"/>
        <v>17712.718011037767</v>
      </c>
      <c r="H341" s="17">
        <f t="shared" si="242"/>
        <v>7673.6930510377661</v>
      </c>
      <c r="I341" s="17">
        <f t="shared" si="243"/>
        <v>3100.3682507912731</v>
      </c>
      <c r="J341" s="20">
        <f>(Geraetedaten!$B$152+(Geraetedaten!$B$153*(Geraetedaten!$B$18+d_y_Sw)/1000))*10</f>
        <v>6051.0442000000003</v>
      </c>
      <c r="K341" s="20">
        <f>(Geraetedaten!$B$165+(Geraetedaten!$B$166*(Geraetedaten!$B$18+d_y_Sw)/1000))*10</f>
        <v>10816.164000000001</v>
      </c>
      <c r="L341" s="20">
        <f>(Geraetedaten!$B$158+(Geraetedaten!$B$159*(Geraetedaten!$B$18+d_y_Sw)/1000)-(Geraetedaten!$B$160*I341/1000))*10</f>
        <v>374.18659616947571</v>
      </c>
      <c r="M341" s="20">
        <f>(Geraetedaten!$B$171+(Geraetedaten!$B$172*(Geraetedaten!$B$18+d_y_Sw)/1000)-(Geraetedaten!$B$173*I341/1000))*10</f>
        <v>834.07558741109847</v>
      </c>
      <c r="N341" s="20">
        <f>IF((H341-J341)/(K341-J341)*(Geraetedaten!$B$174-Geraetedaten!$B$161)&lt;Geraetedaten!$B$174,(H341-J341)/(K341-J341)*(Geraetedaten!$B$174-Geraetedaten!$B$161),Geraetedaten!$B$174)</f>
        <v>136.21053985150724</v>
      </c>
      <c r="O341" s="20">
        <f>N341/Geraetedaten!$B$174*(M341-L341)+L341+C341</f>
        <v>600.79860455367589</v>
      </c>
      <c r="P341" s="20">
        <f t="shared" si="244"/>
        <v>203.11654068005461</v>
      </c>
      <c r="Q341" s="21">
        <f>(N341-Geraetedaten!$B$161)/(Geraetedaten!$B$174-Geraetedaten!$B$161)*(Geraetedaten!$B$175-Geraetedaten!$B$162)+Geraetedaten!$B$162</f>
        <v>33.252263560582342</v>
      </c>
      <c r="R341" s="21">
        <f t="shared" si="270"/>
        <v>33.252263560582342</v>
      </c>
      <c r="S341" s="21">
        <f t="shared" si="271"/>
        <v>-28.797304976799897</v>
      </c>
      <c r="T341" s="88">
        <f t="shared" si="272"/>
        <v>16.626131780291175</v>
      </c>
      <c r="U341" s="86">
        <f t="shared" si="273"/>
        <v>7743.7007400000002</v>
      </c>
      <c r="V341" s="85">
        <f t="shared" si="274"/>
        <v>-2683.3128092763232</v>
      </c>
      <c r="W341" s="85">
        <f t="shared" si="275"/>
        <v>3100.3682507912731</v>
      </c>
      <c r="X341" s="90">
        <f t="shared" si="276"/>
        <v>2683.3128092763232</v>
      </c>
      <c r="Y341" s="86">
        <f t="shared" si="277"/>
        <v>-18153.72755</v>
      </c>
      <c r="Z341" s="85">
        <f t="shared" si="278"/>
        <v>-832.16398485565549</v>
      </c>
      <c r="AA341" s="85">
        <f t="shared" si="279"/>
        <v>-1758.8754782247627</v>
      </c>
      <c r="AB341" s="90">
        <f t="shared" si="280"/>
        <v>832.16398485565549</v>
      </c>
      <c r="AC341" s="86">
        <f t="shared" si="281"/>
        <v>-7602.7279399999998</v>
      </c>
      <c r="AD341" s="85">
        <f t="shared" si="282"/>
        <v>2598.140025222212</v>
      </c>
      <c r="AE341" s="85">
        <f t="shared" si="283"/>
        <v>-2998.858816309526</v>
      </c>
      <c r="AF341" s="90">
        <f t="shared" si="284"/>
        <v>2598.140025222212</v>
      </c>
      <c r="AG341" s="86">
        <f t="shared" si="285"/>
        <v>17782.725699999999</v>
      </c>
      <c r="AH341" s="85">
        <f t="shared" si="286"/>
        <v>6183.1314163678471</v>
      </c>
      <c r="AI341" s="85">
        <f t="shared" si="287"/>
        <v>12159.924688969246</v>
      </c>
      <c r="AJ341" s="90">
        <f t="shared" si="288"/>
        <v>6183.1314163678471</v>
      </c>
      <c r="AL341" s="95">
        <f t="shared" si="289"/>
        <v>0</v>
      </c>
      <c r="AM341" s="95">
        <f t="shared" si="290"/>
        <v>0</v>
      </c>
      <c r="AN341" s="95">
        <f t="shared" si="291"/>
        <v>0</v>
      </c>
      <c r="AO341" s="95">
        <f t="shared" si="292"/>
        <v>0</v>
      </c>
      <c r="AP341"/>
      <c r="AQ341" s="95">
        <f t="shared" si="293"/>
        <v>0</v>
      </c>
      <c r="AR341" s="95">
        <f t="shared" si="294"/>
        <v>0</v>
      </c>
      <c r="AS341" s="95">
        <f>Geraetedaten!$B$94*ABS(SIN(RADIANS($A341)))</f>
        <v>133.36791218280354</v>
      </c>
      <c r="AT341" s="95">
        <f>Geraetedaten!$B$94*ABS(COS(RADIANS($A341)))</f>
        <v>77.000000000000014</v>
      </c>
      <c r="AU341" s="95">
        <f>((h_Aw_Sw+Geraetedaten!$B$18)/1000)*(AQ341*AS341+AR341*AT341)/100</f>
        <v>0</v>
      </c>
    </row>
    <row r="342" spans="1:47" ht="13.5" x14ac:dyDescent="0.25">
      <c r="A342" s="16">
        <v>301</v>
      </c>
      <c r="B342" s="16">
        <f t="shared" si="236"/>
        <v>149</v>
      </c>
      <c r="C342" s="19">
        <f t="shared" si="237"/>
        <v>69.895116164987314</v>
      </c>
      <c r="D342" s="17">
        <f t="shared" si="238"/>
        <v>7754.0301238350121</v>
      </c>
      <c r="E342" s="17">
        <f t="shared" si="239"/>
        <v>-17654.827056164984</v>
      </c>
      <c r="F342" s="17">
        <f t="shared" si="240"/>
        <v>-7751.0641161649874</v>
      </c>
      <c r="G342" s="17">
        <f t="shared" si="241"/>
        <v>17204.921073835016</v>
      </c>
      <c r="H342" s="17">
        <f t="shared" si="242"/>
        <v>7754.0301238350121</v>
      </c>
      <c r="I342" s="17">
        <f t="shared" si="243"/>
        <v>3132.4879678339757</v>
      </c>
      <c r="J342" s="20">
        <f>(Geraetedaten!$B$152+(Geraetedaten!$B$153*(Geraetedaten!$B$18+d_y_Sw)/1000))*10</f>
        <v>6051.0442000000003</v>
      </c>
      <c r="K342" s="20">
        <f>(Geraetedaten!$B$165+(Geraetedaten!$B$166*(Geraetedaten!$B$18+d_y_Sw)/1000))*10</f>
        <v>10816.164000000001</v>
      </c>
      <c r="L342" s="20">
        <f>(Geraetedaten!$B$158+(Geraetedaten!$B$159*(Geraetedaten!$B$18+d_y_Sw)/1000)-(Geraetedaten!$B$160*I342/1000))*10</f>
        <v>371.83125731873429</v>
      </c>
      <c r="M342" s="20">
        <f>(Geraetedaten!$B$171+(Geraetedaten!$B$172*(Geraetedaten!$B$18+d_y_Sw)/1000)-(Geraetedaten!$B$173*I342/1000))*10</f>
        <v>831.68459567443972</v>
      </c>
      <c r="N342" s="20">
        <f>IF((H342-J342)/(K342-J342)*(Geraetedaten!$B$174-Geraetedaten!$B$161)&lt;Geraetedaten!$B$174,(H342-J342)/(K342-J342)*(Geraetedaten!$B$174-Geraetedaten!$B$161),Geraetedaten!$B$174)</f>
        <v>142.95430086227941</v>
      </c>
      <c r="O342" s="20">
        <f>N342/Geraetedaten!$B$174*(M342-L342)+L342+C342</f>
        <v>606.07140469328419</v>
      </c>
      <c r="P342" s="20">
        <f t="shared" si="244"/>
        <v>203.76041876983311</v>
      </c>
      <c r="Q342" s="21">
        <f>(N342-Geraetedaten!$B$161)/(Geraetedaten!$B$174-Geraetedaten!$B$161)*(Geraetedaten!$B$175-Geraetedaten!$B$162)+Geraetedaten!$B$162</f>
        <v>33.452890450652809</v>
      </c>
      <c r="R342" s="21">
        <f t="shared" si="270"/>
        <v>33.452890450652809</v>
      </c>
      <c r="S342" s="21">
        <f t="shared" si="271"/>
        <v>-28.67472380826954</v>
      </c>
      <c r="T342" s="88">
        <f t="shared" si="272"/>
        <v>17.229512297881158</v>
      </c>
      <c r="U342" s="86">
        <f t="shared" si="273"/>
        <v>7823.9252399999996</v>
      </c>
      <c r="V342" s="85">
        <f t="shared" si="274"/>
        <v>-2683.3128092763232</v>
      </c>
      <c r="W342" s="85">
        <f t="shared" si="275"/>
        <v>3132.4879678339757</v>
      </c>
      <c r="X342" s="90">
        <f t="shared" si="276"/>
        <v>2683.3128092763232</v>
      </c>
      <c r="Y342" s="86">
        <f t="shared" si="277"/>
        <v>-17584.931939999999</v>
      </c>
      <c r="Z342" s="85">
        <f t="shared" si="278"/>
        <v>-832.16398485565549</v>
      </c>
      <c r="AA342" s="85">
        <f t="shared" si="279"/>
        <v>-1703.7660996411928</v>
      </c>
      <c r="AB342" s="90">
        <f t="shared" si="280"/>
        <v>832.16398485565549</v>
      </c>
      <c r="AC342" s="86">
        <f t="shared" si="281"/>
        <v>-7681.1689999999999</v>
      </c>
      <c r="AD342" s="85">
        <f t="shared" si="282"/>
        <v>2598.140025222212</v>
      </c>
      <c r="AE342" s="85">
        <f t="shared" si="283"/>
        <v>-3029.7995083883688</v>
      </c>
      <c r="AF342" s="90">
        <f t="shared" si="284"/>
        <v>2598.140025222212</v>
      </c>
      <c r="AG342" s="86">
        <f t="shared" si="285"/>
        <v>17274.816190000001</v>
      </c>
      <c r="AH342" s="85">
        <f t="shared" si="286"/>
        <v>6183.1314163678471</v>
      </c>
      <c r="AI342" s="85">
        <f t="shared" si="287"/>
        <v>11812.613399266238</v>
      </c>
      <c r="AJ342" s="90">
        <f t="shared" si="288"/>
        <v>6183.1314163678471</v>
      </c>
      <c r="AL342" s="95">
        <f t="shared" si="289"/>
        <v>0</v>
      </c>
      <c r="AM342" s="95">
        <f t="shared" si="290"/>
        <v>0</v>
      </c>
      <c r="AN342" s="95">
        <f t="shared" si="291"/>
        <v>0</v>
      </c>
      <c r="AO342" s="95">
        <f t="shared" si="292"/>
        <v>0</v>
      </c>
      <c r="AP342"/>
      <c r="AQ342" s="95">
        <f t="shared" si="293"/>
        <v>0</v>
      </c>
      <c r="AR342" s="95">
        <f t="shared" si="294"/>
        <v>0</v>
      </c>
      <c r="AS342" s="95">
        <f>Geraetedaten!$B$94*ABS(SIN(RADIANS($A342)))</f>
        <v>132.00376430812531</v>
      </c>
      <c r="AT342" s="95">
        <f>Geraetedaten!$B$94*ABS(COS(RADIANS($A342)))</f>
        <v>79.315863536148342</v>
      </c>
      <c r="AU342" s="95">
        <f>((h_Aw_Sw+Geraetedaten!$B$18)/1000)*(AQ342*AS342+AR342*AT342)/100</f>
        <v>0</v>
      </c>
    </row>
    <row r="343" spans="1:47" ht="13.5" x14ac:dyDescent="0.25">
      <c r="A343" s="16">
        <v>302</v>
      </c>
      <c r="B343" s="16">
        <f t="shared" si="236"/>
        <v>148</v>
      </c>
      <c r="C343" s="19">
        <f t="shared" si="237"/>
        <v>69.761252638267678</v>
      </c>
      <c r="D343" s="17">
        <f t="shared" si="238"/>
        <v>7838.5022773617329</v>
      </c>
      <c r="E343" s="17">
        <f t="shared" si="239"/>
        <v>-17125.495442638268</v>
      </c>
      <c r="F343" s="17">
        <f t="shared" si="240"/>
        <v>-7833.3963526382677</v>
      </c>
      <c r="G343" s="17">
        <f t="shared" si="241"/>
        <v>16730.328887361731</v>
      </c>
      <c r="H343" s="17">
        <f t="shared" si="242"/>
        <v>7838.5022773617329</v>
      </c>
      <c r="I343" s="17">
        <f t="shared" si="243"/>
        <v>3166.254738673365</v>
      </c>
      <c r="J343" s="20">
        <f>(Geraetedaten!$B$152+(Geraetedaten!$B$153*(Geraetedaten!$B$18+d_y_Sw)/1000))*10</f>
        <v>6051.0442000000003</v>
      </c>
      <c r="K343" s="20">
        <f>(Geraetedaten!$B$165+(Geraetedaten!$B$166*(Geraetedaten!$B$18+d_y_Sw)/1000))*10</f>
        <v>10816.164000000001</v>
      </c>
      <c r="L343" s="20">
        <f>(Geraetedaten!$B$158+(Geraetedaten!$B$159*(Geraetedaten!$B$18+d_y_Sw)/1000)-(Geraetedaten!$B$160*I343/1000))*10</f>
        <v>369.35514001308195</v>
      </c>
      <c r="M343" s="20">
        <f>(Geraetedaten!$B$171+(Geraetedaten!$B$172*(Geraetedaten!$B$18+d_y_Sw)/1000)-(Geraetedaten!$B$173*I343/1000))*10</f>
        <v>829.17099725315563</v>
      </c>
      <c r="N343" s="20">
        <f>IF((H343-J343)/(K343-J343)*(Geraetedaten!$B$174-Geraetedaten!$B$161)&lt;Geraetedaten!$B$174,(H343-J343)/(K343-J343)*(Geraetedaten!$B$174-Geraetedaten!$B$161),Geraetedaten!$B$174)</f>
        <v>150.04517429859644</v>
      </c>
      <c r="O343" s="20">
        <f>N343/Geraetedaten!$B$174*(M343-L343)+L343+C343</f>
        <v>611.5992687634631</v>
      </c>
      <c r="P343" s="20">
        <f t="shared" si="244"/>
        <v>204.42426264977502</v>
      </c>
      <c r="Q343" s="21">
        <f>(N343-Geraetedaten!$B$161)/(Geraetedaten!$B$174-Geraetedaten!$B$161)*(Geraetedaten!$B$175-Geraetedaten!$B$162)+Geraetedaten!$B$162</f>
        <v>33.663843935383241</v>
      </c>
      <c r="R343" s="21">
        <f t="shared" si="270"/>
        <v>33.663843935383241</v>
      </c>
      <c r="S343" s="21">
        <f t="shared" si="271"/>
        <v>-28.548558758708811</v>
      </c>
      <c r="T343" s="88">
        <f t="shared" si="272"/>
        <v>17.839119409499716</v>
      </c>
      <c r="U343" s="86">
        <f t="shared" si="273"/>
        <v>7908.2635300000002</v>
      </c>
      <c r="V343" s="85">
        <f t="shared" si="274"/>
        <v>-2683.3128092763232</v>
      </c>
      <c r="W343" s="85">
        <f t="shared" si="275"/>
        <v>3166.254738673365</v>
      </c>
      <c r="X343" s="90">
        <f t="shared" si="276"/>
        <v>2683.3128092763232</v>
      </c>
      <c r="Y343" s="86">
        <f t="shared" si="277"/>
        <v>-17055.734189999999</v>
      </c>
      <c r="Z343" s="85">
        <f t="shared" si="278"/>
        <v>-832.16398485565549</v>
      </c>
      <c r="AA343" s="85">
        <f t="shared" si="279"/>
        <v>-1652.4932714848503</v>
      </c>
      <c r="AB343" s="90">
        <f t="shared" si="280"/>
        <v>832.16398485565549</v>
      </c>
      <c r="AC343" s="86">
        <f t="shared" si="281"/>
        <v>-7763.6351000000004</v>
      </c>
      <c r="AD343" s="85">
        <f t="shared" si="282"/>
        <v>2598.140025222212</v>
      </c>
      <c r="AE343" s="85">
        <f t="shared" si="283"/>
        <v>-3062.3278563033373</v>
      </c>
      <c r="AF343" s="90">
        <f t="shared" si="284"/>
        <v>2598.140025222212</v>
      </c>
      <c r="AG343" s="86">
        <f t="shared" si="285"/>
        <v>16800.09014</v>
      </c>
      <c r="AH343" s="85">
        <f t="shared" si="286"/>
        <v>6183.1314163678471</v>
      </c>
      <c r="AI343" s="85">
        <f t="shared" si="287"/>
        <v>11487.993145814653</v>
      </c>
      <c r="AJ343" s="90">
        <f t="shared" si="288"/>
        <v>6183.1314163678471</v>
      </c>
      <c r="AL343" s="95">
        <f t="shared" si="289"/>
        <v>0</v>
      </c>
      <c r="AM343" s="95">
        <f t="shared" si="290"/>
        <v>0</v>
      </c>
      <c r="AN343" s="95">
        <f t="shared" si="291"/>
        <v>0</v>
      </c>
      <c r="AO343" s="95">
        <f t="shared" si="292"/>
        <v>0</v>
      </c>
      <c r="AP343"/>
      <c r="AQ343" s="95">
        <f t="shared" si="293"/>
        <v>0</v>
      </c>
      <c r="AR343" s="95">
        <f t="shared" si="294"/>
        <v>0</v>
      </c>
      <c r="AS343" s="95">
        <f>Geraetedaten!$B$94*ABS(SIN(RADIANS($A343)))</f>
        <v>130.59940680808964</v>
      </c>
      <c r="AT343" s="95">
        <f>Geraetedaten!$B$94*ABS(COS(RADIANS($A343)))</f>
        <v>81.607566691913519</v>
      </c>
      <c r="AU343" s="95">
        <f>((h_Aw_Sw+Geraetedaten!$B$18)/1000)*(AQ343*AS343+AR343*AT343)/100</f>
        <v>0</v>
      </c>
    </row>
    <row r="344" spans="1:47" ht="13.5" x14ac:dyDescent="0.25">
      <c r="A344" s="16">
        <v>303</v>
      </c>
      <c r="B344" s="16">
        <f t="shared" si="236"/>
        <v>147</v>
      </c>
      <c r="C344" s="19">
        <f t="shared" si="237"/>
        <v>69.606139158202012</v>
      </c>
      <c r="D344" s="17">
        <f t="shared" si="238"/>
        <v>7927.2962308417982</v>
      </c>
      <c r="E344" s="17">
        <f t="shared" si="239"/>
        <v>-16631.9608791582</v>
      </c>
      <c r="F344" s="17">
        <f t="shared" si="240"/>
        <v>-7919.914519158202</v>
      </c>
      <c r="G344" s="17">
        <f t="shared" si="241"/>
        <v>16286.000660841797</v>
      </c>
      <c r="H344" s="17">
        <f t="shared" si="242"/>
        <v>7927.2962308417982</v>
      </c>
      <c r="I344" s="17">
        <f t="shared" si="243"/>
        <v>3201.7433323314499</v>
      </c>
      <c r="J344" s="20">
        <f>(Geraetedaten!$B$152+(Geraetedaten!$B$153*(Geraetedaten!$B$18+d_y_Sw)/1000))*10</f>
        <v>6051.0442000000003</v>
      </c>
      <c r="K344" s="20">
        <f>(Geraetedaten!$B$165+(Geraetedaten!$B$166*(Geraetedaten!$B$18+d_y_Sw)/1000))*10</f>
        <v>10816.164000000001</v>
      </c>
      <c r="L344" s="20">
        <f>(Geraetedaten!$B$158+(Geraetedaten!$B$159*(Geraetedaten!$B$18+d_y_Sw)/1000)-(Geraetedaten!$B$160*I344/1000))*10</f>
        <v>366.75276144013452</v>
      </c>
      <c r="M344" s="20">
        <f>(Geraetedaten!$B$171+(Geraetedaten!$B$172*(Geraetedaten!$B$18+d_y_Sw)/1000)-(Geraetedaten!$B$173*I344/1000))*10</f>
        <v>826.52922634124775</v>
      </c>
      <c r="N344" s="20">
        <f>IF((H344-J344)/(K344-J344)*(Geraetedaten!$B$174-Geraetedaten!$B$161)&lt;Geraetedaten!$B$174,(H344-J344)/(K344-J344)*(Geraetedaten!$B$174-Geraetedaten!$B$161),Geraetedaten!$B$174)</f>
        <v>157.49883399294998</v>
      </c>
      <c r="O344" s="20">
        <f>N344/Geraetedaten!$B$174*(M344-L344)+L344+C344</f>
        <v>617.3945433966511</v>
      </c>
      <c r="P344" s="20">
        <f t="shared" si="244"/>
        <v>205.10864765748323</v>
      </c>
      <c r="Q344" s="21">
        <f>(N344-Geraetedaten!$B$161)/(Geraetedaten!$B$174-Geraetedaten!$B$161)*(Geraetedaten!$B$175-Geraetedaten!$B$162)+Geraetedaten!$B$162</f>
        <v>33.885590311290265</v>
      </c>
      <c r="R344" s="21">
        <f t="shared" si="270"/>
        <v>33.885590311290265</v>
      </c>
      <c r="S344" s="21">
        <f t="shared" si="271"/>
        <v>-28.418847271535771</v>
      </c>
      <c r="T344" s="88">
        <f t="shared" si="272"/>
        <v>18.455415208055665</v>
      </c>
      <c r="U344" s="86">
        <f t="shared" si="273"/>
        <v>7996.9023699999998</v>
      </c>
      <c r="V344" s="85">
        <f t="shared" si="274"/>
        <v>-2683.3128092763232</v>
      </c>
      <c r="W344" s="85">
        <f t="shared" si="275"/>
        <v>3201.7433323314499</v>
      </c>
      <c r="X344" s="90">
        <f t="shared" si="276"/>
        <v>2683.3128092763232</v>
      </c>
      <c r="Y344" s="86">
        <f t="shared" si="277"/>
        <v>-16562.354739999999</v>
      </c>
      <c r="Z344" s="85">
        <f t="shared" si="278"/>
        <v>-832.16398485565549</v>
      </c>
      <c r="AA344" s="85">
        <f t="shared" si="279"/>
        <v>-1604.6908017468954</v>
      </c>
      <c r="AB344" s="90">
        <f t="shared" si="280"/>
        <v>832.16398485565549</v>
      </c>
      <c r="AC344" s="86">
        <f t="shared" si="281"/>
        <v>-7850.3083800000004</v>
      </c>
      <c r="AD344" s="85">
        <f t="shared" si="282"/>
        <v>2598.140025222212</v>
      </c>
      <c r="AE344" s="85">
        <f t="shared" si="283"/>
        <v>-3096.515707267582</v>
      </c>
      <c r="AF344" s="90">
        <f t="shared" si="284"/>
        <v>2598.140025222212</v>
      </c>
      <c r="AG344" s="86">
        <f t="shared" si="285"/>
        <v>16355.6068</v>
      </c>
      <c r="AH344" s="85">
        <f t="shared" si="286"/>
        <v>6183.1314163678471</v>
      </c>
      <c r="AI344" s="85">
        <f t="shared" si="287"/>
        <v>11184.053015408988</v>
      </c>
      <c r="AJ344" s="90">
        <f t="shared" si="288"/>
        <v>6183.1314163678471</v>
      </c>
      <c r="AL344" s="95">
        <f t="shared" si="289"/>
        <v>0</v>
      </c>
      <c r="AM344" s="95">
        <f t="shared" si="290"/>
        <v>0</v>
      </c>
      <c r="AN344" s="95">
        <f t="shared" si="291"/>
        <v>0</v>
      </c>
      <c r="AO344" s="95">
        <f t="shared" si="292"/>
        <v>0</v>
      </c>
      <c r="AP344"/>
      <c r="AQ344" s="95">
        <f t="shared" si="293"/>
        <v>0</v>
      </c>
      <c r="AR344" s="95">
        <f t="shared" si="294"/>
        <v>0</v>
      </c>
      <c r="AS344" s="95">
        <f>Geraetedaten!$B$94*ABS(SIN(RADIANS($A344)))</f>
        <v>129.15526746359535</v>
      </c>
      <c r="AT344" s="95">
        <f>Geraetedaten!$B$94*ABS(COS(RADIANS($A344)))</f>
        <v>83.874411392314101</v>
      </c>
      <c r="AU344" s="95">
        <f>((h_Aw_Sw+Geraetedaten!$B$18)/1000)*(AQ344*AS344+AR344*AT344)/100</f>
        <v>0</v>
      </c>
    </row>
    <row r="345" spans="1:47" ht="13.5" x14ac:dyDescent="0.25">
      <c r="A345" s="16">
        <v>304</v>
      </c>
      <c r="B345" s="16">
        <f t="shared" si="236"/>
        <v>146</v>
      </c>
      <c r="C345" s="19">
        <f t="shared" si="237"/>
        <v>69.429822973858947</v>
      </c>
      <c r="D345" s="17">
        <f t="shared" si="238"/>
        <v>8020.6131470261416</v>
      </c>
      <c r="E345" s="17">
        <f t="shared" si="239"/>
        <v>-16170.91383297386</v>
      </c>
      <c r="F345" s="17">
        <f t="shared" si="240"/>
        <v>-8010.8149029738588</v>
      </c>
      <c r="G345" s="17">
        <f t="shared" si="241"/>
        <v>15869.33694702614</v>
      </c>
      <c r="H345" s="17">
        <f t="shared" si="242"/>
        <v>8020.6131470261416</v>
      </c>
      <c r="I345" s="17">
        <f t="shared" si="243"/>
        <v>3239.0343084609499</v>
      </c>
      <c r="J345" s="20">
        <f>(Geraetedaten!$B$152+(Geraetedaten!$B$153*(Geraetedaten!$B$18+d_y_Sw)/1000))*10</f>
        <v>6051.0442000000003</v>
      </c>
      <c r="K345" s="20">
        <f>(Geraetedaten!$B$165+(Geraetedaten!$B$166*(Geraetedaten!$B$18+d_y_Sw)/1000))*10</f>
        <v>10816.164000000001</v>
      </c>
      <c r="L345" s="20">
        <f>(Geraetedaten!$B$158+(Geraetedaten!$B$159*(Geraetedaten!$B$18+d_y_Sw)/1000)-(Geraetedaten!$B$160*I345/1000))*10</f>
        <v>364.01821416055839</v>
      </c>
      <c r="M345" s="20">
        <f>(Geraetedaten!$B$171+(Geraetedaten!$B$172*(Geraetedaten!$B$18+d_y_Sw)/1000)-(Geraetedaten!$B$173*I345/1000))*10</f>
        <v>823.75328607816778</v>
      </c>
      <c r="N345" s="20">
        <f>IF((H345-J345)/(K345-J345)*(Geraetedaten!$B$174-Geraetedaten!$B$161)&lt;Geraetedaten!$B$174,(H345-J345)/(K345-J345)*(Geraetedaten!$B$174-Geraetedaten!$B$161),Geraetedaten!$B$174)</f>
        <v>165.33216621551813</v>
      </c>
      <c r="O345" s="20">
        <f>N345/Geraetedaten!$B$174*(M345-L345)+L345+C345</f>
        <v>623.47052544788073</v>
      </c>
      <c r="P345" s="20">
        <f t="shared" si="244"/>
        <v>205.81417704425681</v>
      </c>
      <c r="Q345" s="21">
        <f>(N345-Geraetedaten!$B$161)/(Geraetedaten!$B$174-Geraetedaten!$B$161)*(Geraetedaten!$B$175-Geraetedaten!$B$162)+Geraetedaten!$B$162</f>
        <v>34.118631944911662</v>
      </c>
      <c r="R345" s="21">
        <f t="shared" si="270"/>
        <v>34.118631944911662</v>
      </c>
      <c r="S345" s="21">
        <f t="shared" si="271"/>
        <v>-28.285627806508462</v>
      </c>
      <c r="T345" s="88">
        <f t="shared" si="272"/>
        <v>19.078896859724932</v>
      </c>
      <c r="U345" s="86">
        <f t="shared" si="273"/>
        <v>8090.0429700000004</v>
      </c>
      <c r="V345" s="85">
        <f t="shared" si="274"/>
        <v>-2683.3128092763232</v>
      </c>
      <c r="W345" s="85">
        <f t="shared" si="275"/>
        <v>3239.0343084609499</v>
      </c>
      <c r="X345" s="90">
        <f t="shared" si="276"/>
        <v>2683.3128092763232</v>
      </c>
      <c r="Y345" s="86">
        <f t="shared" si="277"/>
        <v>-16101.48401</v>
      </c>
      <c r="Z345" s="85">
        <f t="shared" si="278"/>
        <v>-832.16398485565549</v>
      </c>
      <c r="AA345" s="85">
        <f t="shared" si="279"/>
        <v>-1560.0380320026536</v>
      </c>
      <c r="AB345" s="90">
        <f t="shared" si="280"/>
        <v>832.16398485565549</v>
      </c>
      <c r="AC345" s="86">
        <f t="shared" si="281"/>
        <v>-7941.38508</v>
      </c>
      <c r="AD345" s="85">
        <f t="shared" si="282"/>
        <v>2598.140025222212</v>
      </c>
      <c r="AE345" s="85">
        <f t="shared" si="283"/>
        <v>-3132.4404676575386</v>
      </c>
      <c r="AF345" s="90">
        <f t="shared" si="284"/>
        <v>2598.140025222212</v>
      </c>
      <c r="AG345" s="86">
        <f t="shared" si="285"/>
        <v>15938.76677</v>
      </c>
      <c r="AH345" s="85">
        <f t="shared" si="286"/>
        <v>6183.1314163678471</v>
      </c>
      <c r="AI345" s="85">
        <f t="shared" si="287"/>
        <v>10899.01552921756</v>
      </c>
      <c r="AJ345" s="90">
        <f t="shared" si="288"/>
        <v>6183.1314163678471</v>
      </c>
      <c r="AL345" s="95">
        <f t="shared" si="289"/>
        <v>0</v>
      </c>
      <c r="AM345" s="95">
        <f t="shared" si="290"/>
        <v>0</v>
      </c>
      <c r="AN345" s="95">
        <f t="shared" si="291"/>
        <v>0</v>
      </c>
      <c r="AO345" s="95">
        <f t="shared" si="292"/>
        <v>0</v>
      </c>
      <c r="AP345"/>
      <c r="AQ345" s="95">
        <f t="shared" si="293"/>
        <v>0</v>
      </c>
      <c r="AR345" s="95">
        <f t="shared" si="294"/>
        <v>0</v>
      </c>
      <c r="AS345" s="95">
        <f>Geraetedaten!$B$94*ABS(SIN(RADIANS($A345)))</f>
        <v>127.67178617347641</v>
      </c>
      <c r="AT345" s="95">
        <f>Geraetedaten!$B$94*ABS(COS(RADIANS($A345)))</f>
        <v>86.11570713449504</v>
      </c>
      <c r="AU345" s="95">
        <f>((h_Aw_Sw+Geraetedaten!$B$18)/1000)*(AQ345*AS345+AR345*AT345)/100</f>
        <v>0</v>
      </c>
    </row>
    <row r="346" spans="1:47" ht="13.5" x14ac:dyDescent="0.25">
      <c r="A346" s="16">
        <v>305</v>
      </c>
      <c r="B346" s="16">
        <f t="shared" si="236"/>
        <v>145</v>
      </c>
      <c r="C346" s="19">
        <f t="shared" si="237"/>
        <v>69.232357792856234</v>
      </c>
      <c r="D346" s="17">
        <f t="shared" si="238"/>
        <v>8118.6699222071438</v>
      </c>
      <c r="E346" s="17">
        <f t="shared" si="239"/>
        <v>-15739.444077792856</v>
      </c>
      <c r="F346" s="17">
        <f t="shared" si="240"/>
        <v>-8106.3091377928567</v>
      </c>
      <c r="G346" s="17">
        <f t="shared" si="241"/>
        <v>15478.031692207143</v>
      </c>
      <c r="H346" s="17">
        <f t="shared" si="242"/>
        <v>8118.6699222071438</v>
      </c>
      <c r="I346" s="17">
        <f t="shared" si="243"/>
        <v>3278.2145269817124</v>
      </c>
      <c r="J346" s="20">
        <f>(Geraetedaten!$B$152+(Geraetedaten!$B$153*(Geraetedaten!$B$18+d_y_Sw)/1000))*10</f>
        <v>6051.0442000000003</v>
      </c>
      <c r="K346" s="20">
        <f>(Geraetedaten!$B$165+(Geraetedaten!$B$166*(Geraetedaten!$B$18+d_y_Sw)/1000))*10</f>
        <v>10816.164000000001</v>
      </c>
      <c r="L346" s="20">
        <f>(Geraetedaten!$B$158+(Geraetedaten!$B$159*(Geraetedaten!$B$18+d_y_Sw)/1000)-(Geraetedaten!$B$160*I346/1000))*10</f>
        <v>361.14512873643082</v>
      </c>
      <c r="M346" s="20">
        <f>(Geraetedaten!$B$171+(Geraetedaten!$B$172*(Geraetedaten!$B$18+d_y_Sw)/1000)-(Geraetedaten!$B$173*I346/1000))*10</f>
        <v>820.8367106114822</v>
      </c>
      <c r="N346" s="20">
        <f>IF((H346-J346)/(K346-J346)*(Geraetedaten!$B$174-Geraetedaten!$B$161)&lt;Geraetedaten!$B$174,(H346-J346)/(K346-J346)*(Geraetedaten!$B$174-Geraetedaten!$B$161),Geraetedaten!$B$174)</f>
        <v>173.5633779622618</v>
      </c>
      <c r="O346" s="20">
        <f>N346/Geraetedaten!$B$174*(M346-L346)+L346+C346</f>
        <v>629.84154595691098</v>
      </c>
      <c r="P346" s="20">
        <f t="shared" si="244"/>
        <v>206.54148268560755</v>
      </c>
      <c r="Q346" s="21">
        <f>(N346-Geraetedaten!$B$161)/(Geraetedaten!$B$174-Geraetedaten!$B$161)*(Geraetedaten!$B$175-Geraetedaten!$B$162)+Geraetedaten!$B$162</f>
        <v>34.363510494377287</v>
      </c>
      <c r="R346" s="21">
        <f t="shared" si="270"/>
        <v>34.363510494377287</v>
      </c>
      <c r="S346" s="21">
        <f t="shared" si="271"/>
        <v>-28.148939870415379</v>
      </c>
      <c r="T346" s="88">
        <f t="shared" si="272"/>
        <v>19.710099889876698</v>
      </c>
      <c r="U346" s="86">
        <f t="shared" si="273"/>
        <v>8187.9022800000002</v>
      </c>
      <c r="V346" s="85">
        <f t="shared" si="274"/>
        <v>-2683.3128092763232</v>
      </c>
      <c r="W346" s="85">
        <f t="shared" si="275"/>
        <v>3278.2145269817124</v>
      </c>
      <c r="X346" s="90">
        <f t="shared" si="276"/>
        <v>2683.3128092763232</v>
      </c>
      <c r="Y346" s="86">
        <f t="shared" si="277"/>
        <v>-15670.211719999999</v>
      </c>
      <c r="Z346" s="85">
        <f t="shared" si="278"/>
        <v>-832.16398485565549</v>
      </c>
      <c r="AA346" s="85">
        <f t="shared" si="279"/>
        <v>-1518.252990037749</v>
      </c>
      <c r="AB346" s="90">
        <f t="shared" si="280"/>
        <v>832.16398485565549</v>
      </c>
      <c r="AC346" s="86">
        <f t="shared" si="281"/>
        <v>-8037.0767800000003</v>
      </c>
      <c r="AD346" s="85">
        <f t="shared" si="282"/>
        <v>2598.140025222212</v>
      </c>
      <c r="AE346" s="85">
        <f t="shared" si="283"/>
        <v>-3170.1855911370676</v>
      </c>
      <c r="AF346" s="90">
        <f t="shared" si="284"/>
        <v>2598.140025222212</v>
      </c>
      <c r="AG346" s="86">
        <f t="shared" si="285"/>
        <v>15547.26405</v>
      </c>
      <c r="AH346" s="85">
        <f t="shared" si="286"/>
        <v>6183.1314163678471</v>
      </c>
      <c r="AI346" s="85">
        <f t="shared" si="287"/>
        <v>10631.303841745801</v>
      </c>
      <c r="AJ346" s="90">
        <f t="shared" si="288"/>
        <v>6183.1314163678471</v>
      </c>
      <c r="AL346" s="95">
        <f t="shared" si="289"/>
        <v>0</v>
      </c>
      <c r="AM346" s="95">
        <f t="shared" si="290"/>
        <v>0</v>
      </c>
      <c r="AN346" s="95">
        <f t="shared" si="291"/>
        <v>0</v>
      </c>
      <c r="AO346" s="95">
        <f t="shared" si="292"/>
        <v>0</v>
      </c>
      <c r="AP346"/>
      <c r="AQ346" s="95">
        <f t="shared" si="293"/>
        <v>0</v>
      </c>
      <c r="AR346" s="95">
        <f t="shared" si="294"/>
        <v>0</v>
      </c>
      <c r="AS346" s="95">
        <f>Geraetedaten!$B$94*ABS(SIN(RADIANS($A346)))</f>
        <v>126.14941482050473</v>
      </c>
      <c r="AT346" s="95">
        <f>Geraetedaten!$B$94*ABS(COS(RADIANS($A346)))</f>
        <v>88.330771198061086</v>
      </c>
      <c r="AU346" s="95">
        <f>((h_Aw_Sw+Geraetedaten!$B$18)/1000)*(AQ346*AS346+AR346*AT346)/100</f>
        <v>0</v>
      </c>
    </row>
    <row r="347" spans="1:47" ht="13.5" x14ac:dyDescent="0.25">
      <c r="A347" s="16">
        <v>306</v>
      </c>
      <c r="B347" s="16">
        <f t="shared" si="236"/>
        <v>144</v>
      </c>
      <c r="C347" s="19">
        <f t="shared" si="237"/>
        <v>69.013803765000915</v>
      </c>
      <c r="D347" s="17">
        <f t="shared" si="238"/>
        <v>8221.7005862349979</v>
      </c>
      <c r="E347" s="17">
        <f t="shared" si="239"/>
        <v>-15334.982363765001</v>
      </c>
      <c r="F347" s="17">
        <f t="shared" si="240"/>
        <v>-8206.6255637650011</v>
      </c>
      <c r="G347" s="17">
        <f t="shared" si="241"/>
        <v>15110.032186234999</v>
      </c>
      <c r="H347" s="17">
        <f t="shared" si="242"/>
        <v>8221.7005862349979</v>
      </c>
      <c r="I347" s="17">
        <f t="shared" si="243"/>
        <v>3319.3777152792663</v>
      </c>
      <c r="J347" s="20">
        <f>(Geraetedaten!$B$152+(Geraetedaten!$B$153*(Geraetedaten!$B$18+d_y_Sw)/1000))*10</f>
        <v>6051.0442000000003</v>
      </c>
      <c r="K347" s="20">
        <f>(Geraetedaten!$B$165+(Geraetedaten!$B$166*(Geraetedaten!$B$18+d_y_Sw)/1000))*10</f>
        <v>10816.164000000001</v>
      </c>
      <c r="L347" s="20">
        <f>(Geraetedaten!$B$158+(Geraetedaten!$B$159*(Geraetedaten!$B$18+d_y_Sw)/1000)-(Geraetedaten!$B$160*I347/1000))*10</f>
        <v>358.12663213857121</v>
      </c>
      <c r="M347" s="20">
        <f>(Geraetedaten!$B$171+(Geraetedaten!$B$172*(Geraetedaten!$B$18+d_y_Sw)/1000)-(Geraetedaten!$B$173*I347/1000))*10</f>
        <v>817.77252287461238</v>
      </c>
      <c r="N347" s="20">
        <f>IF((H347-J347)/(K347-J347)*(Geraetedaten!$B$174-Geraetedaten!$B$161)&lt;Geraetedaten!$B$174,(H347-J347)/(K347-J347)*(Geraetedaten!$B$174-Geraetedaten!$B$161),Geraetedaten!$B$174)</f>
        <v>182.21211447695376</v>
      </c>
      <c r="O347" s="20">
        <f>N347/Geraetedaten!$B$174*(M347-L347)+L347+C347</f>
        <v>636.52306005771447</v>
      </c>
      <c r="P347" s="20">
        <f t="shared" si="244"/>
        <v>207.2912252648718</v>
      </c>
      <c r="Q347" s="21">
        <f>(N347-Geraetedaten!$B$161)/(Geraetedaten!$B$174-Geraetedaten!$B$161)*(Geraetedaten!$B$175-Geraetedaten!$B$162)+Geraetedaten!$B$162</f>
        <v>34.620810405689376</v>
      </c>
      <c r="R347" s="21">
        <f t="shared" si="270"/>
        <v>34.620810405689376</v>
      </c>
      <c r="S347" s="21">
        <f t="shared" si="271"/>
        <v>-28.008823977235728</v>
      </c>
      <c r="T347" s="88">
        <f t="shared" si="272"/>
        <v>20.349601778878</v>
      </c>
      <c r="U347" s="86">
        <f t="shared" si="273"/>
        <v>8290.7143899999992</v>
      </c>
      <c r="V347" s="85">
        <f t="shared" si="274"/>
        <v>-2683.3128092763232</v>
      </c>
      <c r="W347" s="85">
        <f t="shared" si="275"/>
        <v>3319.3777152792663</v>
      </c>
      <c r="X347" s="90">
        <f t="shared" si="276"/>
        <v>2683.3128092763232</v>
      </c>
      <c r="Y347" s="86">
        <f t="shared" si="277"/>
        <v>-15265.968559999999</v>
      </c>
      <c r="Z347" s="85">
        <f t="shared" si="278"/>
        <v>-832.16398485565549</v>
      </c>
      <c r="AA347" s="85">
        <f t="shared" si="279"/>
        <v>-1479.0867425835054</v>
      </c>
      <c r="AB347" s="90">
        <f t="shared" si="280"/>
        <v>832.16398485565549</v>
      </c>
      <c r="AC347" s="86">
        <f t="shared" si="281"/>
        <v>-8137.6117599999998</v>
      </c>
      <c r="AD347" s="85">
        <f t="shared" si="282"/>
        <v>2598.140025222212</v>
      </c>
      <c r="AE347" s="85">
        <f t="shared" si="283"/>
        <v>-3209.8411218234314</v>
      </c>
      <c r="AF347" s="90">
        <f t="shared" si="284"/>
        <v>2598.140025222212</v>
      </c>
      <c r="AG347" s="86">
        <f t="shared" si="285"/>
        <v>15179.045990000001</v>
      </c>
      <c r="AH347" s="85">
        <f t="shared" si="286"/>
        <v>6183.1314163678471</v>
      </c>
      <c r="AI347" s="85">
        <f t="shared" si="287"/>
        <v>10379.514323395893</v>
      </c>
      <c r="AJ347" s="90">
        <f t="shared" si="288"/>
        <v>6183.1314163678471</v>
      </c>
      <c r="AL347" s="95">
        <f t="shared" si="289"/>
        <v>0</v>
      </c>
      <c r="AM347" s="95">
        <f t="shared" si="290"/>
        <v>0</v>
      </c>
      <c r="AN347" s="95">
        <f t="shared" si="291"/>
        <v>0</v>
      </c>
      <c r="AO347" s="95">
        <f t="shared" si="292"/>
        <v>0</v>
      </c>
      <c r="AP347"/>
      <c r="AQ347" s="95">
        <f t="shared" si="293"/>
        <v>0</v>
      </c>
      <c r="AR347" s="95">
        <f t="shared" si="294"/>
        <v>0</v>
      </c>
      <c r="AS347" s="95">
        <f>Geraetedaten!$B$94*ABS(SIN(RADIANS($A347)))</f>
        <v>124.58861713374192</v>
      </c>
      <c r="AT347" s="95">
        <f>Geraetedaten!$B$94*ABS(COS(RADIANS($A347)))</f>
        <v>90.518928853040833</v>
      </c>
      <c r="AU347" s="95">
        <f>((h_Aw_Sw+Geraetedaten!$B$18)/1000)*(AQ347*AS347+AR347*AT347)/100</f>
        <v>0</v>
      </c>
    </row>
    <row r="348" spans="1:47" ht="13.5" x14ac:dyDescent="0.25">
      <c r="A348" s="16">
        <v>307</v>
      </c>
      <c r="B348" s="16">
        <f t="shared" si="236"/>
        <v>143</v>
      </c>
      <c r="C348" s="19">
        <f t="shared" si="237"/>
        <v>68.774227463967065</v>
      </c>
      <c r="D348" s="17">
        <f t="shared" si="238"/>
        <v>8329.9579225360321</v>
      </c>
      <c r="E348" s="17">
        <f t="shared" si="239"/>
        <v>-14955.252107463968</v>
      </c>
      <c r="F348" s="17">
        <f t="shared" si="240"/>
        <v>-8312.0107774639673</v>
      </c>
      <c r="G348" s="17">
        <f t="shared" si="241"/>
        <v>14763.505292536032</v>
      </c>
      <c r="H348" s="17">
        <f t="shared" si="242"/>
        <v>8329.9579225360321</v>
      </c>
      <c r="I348" s="17">
        <f t="shared" si="243"/>
        <v>3362.6251005287932</v>
      </c>
      <c r="J348" s="20">
        <f>(Geraetedaten!$B$152+(Geraetedaten!$B$153*(Geraetedaten!$B$18+d_y_Sw)/1000))*10</f>
        <v>6051.0442000000003</v>
      </c>
      <c r="K348" s="20">
        <f>(Geraetedaten!$B$165+(Geraetedaten!$B$166*(Geraetedaten!$B$18+d_y_Sw)/1000))*10</f>
        <v>10816.164000000001</v>
      </c>
      <c r="L348" s="20">
        <f>(Geraetedaten!$B$158+(Geraetedaten!$B$159*(Geraetedaten!$B$18+d_y_Sw)/1000)-(Geraetedaten!$B$160*I348/1000))*10</f>
        <v>354.95530137822345</v>
      </c>
      <c r="M348" s="20">
        <f>(Geraetedaten!$B$171+(Geraetedaten!$B$172*(Geraetedaten!$B$18+d_y_Sw)/1000)-(Geraetedaten!$B$173*I348/1000))*10</f>
        <v>814.55318751663754</v>
      </c>
      <c r="N348" s="20">
        <f>IF((H348-J348)/(K348-J348)*(Geraetedaten!$B$174-Geraetedaten!$B$161)&lt;Geraetedaten!$B$174,(H348-J348)/(K348-J348)*(Geraetedaten!$B$174-Geraetedaten!$B$161),Geraetedaten!$B$174)</f>
        <v>191.29959524090302</v>
      </c>
      <c r="O348" s="20">
        <f>N348/Geraetedaten!$B$174*(M348-L348)+L348+C348</f>
        <v>643.5317528218236</v>
      </c>
      <c r="P348" s="20">
        <f t="shared" si="244"/>
        <v>208.06409530291262</v>
      </c>
      <c r="Q348" s="21">
        <f>(N348-Geraetedaten!$B$161)/(Geraetedaten!$B$174-Geraetedaten!$B$161)*(Geraetedaten!$B$175-Geraetedaten!$B$162)+Geraetedaten!$B$162</f>
        <v>34.891162958416864</v>
      </c>
      <c r="R348" s="21">
        <f t="shared" si="270"/>
        <v>34.891162958416864</v>
      </c>
      <c r="S348" s="21">
        <f t="shared" si="271"/>
        <v>-27.86532172543847</v>
      </c>
      <c r="T348" s="88">
        <f t="shared" si="272"/>
        <v>20.998026043621522</v>
      </c>
      <c r="U348" s="86">
        <f t="shared" si="273"/>
        <v>8398.7321499999998</v>
      </c>
      <c r="V348" s="85">
        <f t="shared" si="274"/>
        <v>-2683.3128092763232</v>
      </c>
      <c r="W348" s="85">
        <f t="shared" si="275"/>
        <v>3362.6251005287932</v>
      </c>
      <c r="X348" s="90">
        <f t="shared" si="276"/>
        <v>2683.3128092763232</v>
      </c>
      <c r="Y348" s="86">
        <f t="shared" si="277"/>
        <v>-14886.47788</v>
      </c>
      <c r="Z348" s="85">
        <f t="shared" si="278"/>
        <v>-832.16398485565549</v>
      </c>
      <c r="AA348" s="85">
        <f t="shared" si="279"/>
        <v>-1442.3187097603568</v>
      </c>
      <c r="AB348" s="90">
        <f t="shared" si="280"/>
        <v>832.16398485565549</v>
      </c>
      <c r="AC348" s="86">
        <f t="shared" si="281"/>
        <v>-8243.2365499999996</v>
      </c>
      <c r="AD348" s="85">
        <f t="shared" si="282"/>
        <v>2598.140025222212</v>
      </c>
      <c r="AE348" s="85">
        <f t="shared" si="283"/>
        <v>-3251.5042997123396</v>
      </c>
      <c r="AF348" s="90">
        <f t="shared" si="284"/>
        <v>2598.140025222212</v>
      </c>
      <c r="AG348" s="86">
        <f t="shared" si="285"/>
        <v>14832.27952</v>
      </c>
      <c r="AH348" s="85">
        <f t="shared" si="286"/>
        <v>6183.1314163678471</v>
      </c>
      <c r="AI348" s="85">
        <f t="shared" si="287"/>
        <v>10142.393523407593</v>
      </c>
      <c r="AJ348" s="90">
        <f t="shared" si="288"/>
        <v>6183.1314163678471</v>
      </c>
      <c r="AL348" s="95">
        <f t="shared" si="289"/>
        <v>0</v>
      </c>
      <c r="AM348" s="95">
        <f t="shared" si="290"/>
        <v>0</v>
      </c>
      <c r="AN348" s="95">
        <f t="shared" si="291"/>
        <v>0</v>
      </c>
      <c r="AO348" s="95">
        <f t="shared" si="292"/>
        <v>0</v>
      </c>
      <c r="AP348"/>
      <c r="AQ348" s="95">
        <f t="shared" si="293"/>
        <v>0</v>
      </c>
      <c r="AR348" s="95">
        <f t="shared" si="294"/>
        <v>0</v>
      </c>
      <c r="AS348" s="95">
        <f>Geraetedaten!$B$94*ABS(SIN(RADIANS($A348)))</f>
        <v>122.98986854728312</v>
      </c>
      <c r="AT348" s="95">
        <f>Geraetedaten!$B$94*ABS(COS(RADIANS($A348)))</f>
        <v>92.679513565415377</v>
      </c>
      <c r="AU348" s="95">
        <f>((h_Aw_Sw+Geraetedaten!$B$18)/1000)*(AQ348*AS348+AR348*AT348)/100</f>
        <v>0</v>
      </c>
    </row>
    <row r="349" spans="1:47" ht="13.5" x14ac:dyDescent="0.25">
      <c r="A349" s="16">
        <v>308</v>
      </c>
      <c r="B349" s="16">
        <f t="shared" ref="B349:B400" si="295">360-A349+90</f>
        <v>142</v>
      </c>
      <c r="C349" s="19">
        <f t="shared" ref="C349:C400" si="296">$AE$16*ABS(COS(RADIANS(A349)))+$AE$17*ABS(SIN(RADIANS(A349)))+AU349</f>
        <v>68.513701867016763</v>
      </c>
      <c r="D349" s="17">
        <f t="shared" ref="D349:D400" si="297">IF(ISNUMBER(U349),U349-C349,"unendlich")</f>
        <v>8443.7151581329817</v>
      </c>
      <c r="E349" s="17">
        <f t="shared" ref="E349:E400" si="298">IF(ISNUMBER(Y349),Y349-C349,"unendlich")</f>
        <v>-14598.229021867017</v>
      </c>
      <c r="F349" s="17">
        <f t="shared" ref="F349:F400" si="299">IF(ISNUMBER(AC349),AC349-C349,"unendlich")</f>
        <v>-8422.7313118670172</v>
      </c>
      <c r="G349" s="17">
        <f t="shared" ref="G349:G400" si="300">IF(ISNUMBER(AG349),AG349-C349,"unendlich")</f>
        <v>14436.809068132983</v>
      </c>
      <c r="H349" s="17">
        <f t="shared" ref="H349:H400" si="301">SMALL(D349:G349,COUNTIF(D349:G349,"&lt;0")+1)</f>
        <v>8443.7151581329817</v>
      </c>
      <c r="I349" s="17">
        <f t="shared" ref="I349:I400" si="302">IF(H349+C349=U349,W349,IF(H349+C349=Y349,AA349,IF(H349+C349=AC349,AE349,IF(H349+C349=AG349,AI349,"???"))))</f>
        <v>3408.0661158758235</v>
      </c>
      <c r="J349" s="20">
        <f>(Geraetedaten!$B$152+(Geraetedaten!$B$153*(Geraetedaten!$B$18+d_y_Sw)/1000))*10</f>
        <v>6051.0442000000003</v>
      </c>
      <c r="K349" s="20">
        <f>(Geraetedaten!$B$165+(Geraetedaten!$B$166*(Geraetedaten!$B$18+d_y_Sw)/1000))*10</f>
        <v>10816.164000000001</v>
      </c>
      <c r="L349" s="20">
        <f>(Geraetedaten!$B$158+(Geraetedaten!$B$159*(Geraetedaten!$B$18+d_y_Sw)/1000)-(Geraetedaten!$B$160*I349/1000))*10</f>
        <v>351.62311172282568</v>
      </c>
      <c r="M349" s="20">
        <f>(Geraetedaten!$B$171+(Geraetedaten!$B$172*(Geraetedaten!$B$18+d_y_Sw)/1000)-(Geraetedaten!$B$173*I349/1000))*10</f>
        <v>811.17055833420466</v>
      </c>
      <c r="N349" s="20">
        <f>IF((H349-J349)/(K349-J349)*(Geraetedaten!$B$174-Geraetedaten!$B$161)&lt;Geraetedaten!$B$174,(H349-J349)/(K349-J349)*(Geraetedaten!$B$174-Geraetedaten!$B$161),Geraetedaten!$B$174)</f>
        <v>200.84875583887575</v>
      </c>
      <c r="O349" s="20">
        <f>N349/Geraetedaten!$B$174*(M349-L349)+L349+C349</f>
        <v>650.88564584191147</v>
      </c>
      <c r="P349" s="20">
        <f t="shared" ref="P349:P400" si="303">O349*100/9.81/(Q349-(I349/1000))</f>
        <v>208.86081246228309</v>
      </c>
      <c r="Q349" s="21">
        <f>(N349-Geraetedaten!$B$161)/(Geraetedaten!$B$174-Geraetedaten!$B$161)*(Geraetedaten!$B$175-Geraetedaten!$B$162)+Geraetedaten!$B$162</f>
        <v>35.175250486206551</v>
      </c>
      <c r="R349" s="21">
        <f t="shared" ref="R349:R380" si="304">SQRT((r_K_D/1000)^2+Q349^2-(2*(r_K_D/1000)*Q349*COS(RADIANS(2*A349))))</f>
        <v>35.175250486206551</v>
      </c>
      <c r="S349" s="21">
        <f t="shared" ref="S349:S380" si="305">R349*SIN(A349*Const_2)</f>
        <v>-27.718475643940831</v>
      </c>
      <c r="T349" s="88">
        <f t="shared" ref="T349:T380" si="306">R349*COS(A349*Const_2)</f>
        <v>21.656046609287511</v>
      </c>
      <c r="U349" s="86">
        <f t="shared" ref="U349:U380" si="307">ROUND((F_S*r_Su_L-F_G*V349+F_SSw*X349)/(SIN(RADIANS(270+g_L-A349)))/1000,5)</f>
        <v>8512.2288599999993</v>
      </c>
      <c r="V349" s="85">
        <f t="shared" ref="V349:V380" si="308">(SIN(RADIANS(g_L)))*(((VL_Z-HL_Z)/(VL_X-HL_X))*(-HL_X+AM349)+HL_Z-AL349)</f>
        <v>-2683.3128092763232</v>
      </c>
      <c r="W349" s="85">
        <f t="shared" ref="W349:W380" si="309">V349/(SIN(RADIANS(180-g_L-(90-$A349))))</f>
        <v>3408.0661158758235</v>
      </c>
      <c r="X349" s="90">
        <f t="shared" ref="X349:X380" si="310">SIN(RADIANS(g_L))*(((VL_Z-HL_Z)/(VL_X-HL_X))*(-AO349+HL_X)-HL_Z+AN349)</f>
        <v>2683.3128092763232</v>
      </c>
      <c r="Y349" s="86">
        <f t="shared" ref="Y349:Y380" si="311">ROUND((F_S*r_Su_H-F_G*Z349+F_SSw*AB349)/(SIN(RADIANS(180+g_H-A349)))/1000,5)</f>
        <v>-14529.715319999999</v>
      </c>
      <c r="Z349" s="85">
        <f t="shared" ref="Z349:Z380" si="312">(SIN(RADIANS(g_H)))*(((HL_X-HR_X)/(HL_Z-HR_Z))*(-HR_Z+AL349)+HR_X-AM349)</f>
        <v>-832.16398485565549</v>
      </c>
      <c r="AA349" s="85">
        <f t="shared" ref="AA349:AA380" si="313">Z349/(SIN(RADIANS(g_H-$A349)))</f>
        <v>-1407.7527554596243</v>
      </c>
      <c r="AB349" s="90">
        <f t="shared" ref="AB349:AB380" si="314">SIN(RADIANS(g_H))*(((HL_X-HR_X)/(HL_Z-HR_Z))*(-AN349+HR_Z)-HR_X+AO349)</f>
        <v>832.16398485565549</v>
      </c>
      <c r="AC349" s="86">
        <f t="shared" ref="AC349:AC380" si="315">ROUND((F_S*r_Su_R+F_G*AD349+F_SSw*AF349)/(SIN(RADIANS(90+g_R-A349)))/1000,5)</f>
        <v>-8354.2176099999997</v>
      </c>
      <c r="AD349" s="85">
        <f t="shared" ref="AD349:AD380" si="316">(SIN(RADIANS(g_R)))*(((HR_Z-VR_Z)/(HR_X-VR_X))*(-VR_X+AM349)+VR_Z-AL349)</f>
        <v>2598.140025222212</v>
      </c>
      <c r="AE349" s="85">
        <f t="shared" ref="AE349:AE380" si="317">AD349/(SIN(RADIANS(180-g_R-(90-$A349))))</f>
        <v>-3295.2802366918258</v>
      </c>
      <c r="AF349" s="90">
        <f t="shared" ref="AF349:AF380" si="318">(SIN(RADIANS(g_R)))*(((HR_Z-VR_Z)/(HR_X-VR_X))*(-VR_X+AO349)+VR_Z-AN349)</f>
        <v>2598.140025222212</v>
      </c>
      <c r="AG349" s="86">
        <f t="shared" ref="AG349:AG380" si="319">ROUND((F_S*r_Su_V+F_G*AH349+F_SSw*AJ349)/(SIN(RADIANS(g_V-A349)))/1000,5)</f>
        <v>14505.322770000001</v>
      </c>
      <c r="AH349" s="85">
        <f t="shared" ref="AH349:AH380" si="320">(SIN(RADIANS(g_V)))*(((VR_X-VL_X)/(VR_Z-VL_Z))*(AL349-VL_Z)+VL_X-AM349)</f>
        <v>6183.1314163678471</v>
      </c>
      <c r="AI349" s="85">
        <f t="shared" ref="AI349:AI380" si="321">AH349/(SIN(RADIANS(g_V-$A349)))</f>
        <v>9918.818718087965</v>
      </c>
      <c r="AJ349" s="90">
        <f t="shared" ref="AJ349:AJ380" si="322">(SIN(RADIANS(g_V)))*(((VR_X-VL_X)/(VR_Z-VL_Z))*(-VL_Z+AN349)+VL_X-AO349)</f>
        <v>6183.1314163678471</v>
      </c>
      <c r="AL349" s="95">
        <f t="shared" ref="AL349:AL380" si="323">SIN(RADIANS(A349))*r_K_D</f>
        <v>0</v>
      </c>
      <c r="AM349" s="95">
        <f t="shared" ref="AM349:AM380" si="324">COS(RADIANS(A349-180))*r_K_D</f>
        <v>0</v>
      </c>
      <c r="AN349" s="95">
        <f t="shared" ref="AN349:AN380" si="325">SIN(RADIANS(A349))*r_K_SSw</f>
        <v>0</v>
      </c>
      <c r="AO349" s="95">
        <f t="shared" ref="AO349:AO380" si="326">-COS(RADIANS(A349))*r_K_SSw</f>
        <v>0</v>
      </c>
      <c r="AP349"/>
      <c r="AQ349" s="95">
        <f t="shared" ref="AQ349:AQ380" si="327">MAX(d_y_Sw*(r_K_D*ABS(COS(RADIANS($A349)))+_r1_Sw+_r2_Sw), 2*_r1_Sw*d_y_Sw)/1000000</f>
        <v>0</v>
      </c>
      <c r="AR349" s="95">
        <f t="shared" ref="AR349:AR380" si="328">MAX(d_y_Sw*(r_K_D*ABS(SIN(RADIANS($A349)))+_r1_Sw+_r2_Sw), 2*_r1_Sw*d_y_Sw)/1000000</f>
        <v>0</v>
      </c>
      <c r="AS349" s="95">
        <f>Geraetedaten!$B$94*ABS(SIN(RADIANS($A349)))</f>
        <v>121.35365605543515</v>
      </c>
      <c r="AT349" s="95">
        <f>Geraetedaten!$B$94*ABS(COS(RADIANS($A349)))</f>
        <v>94.811867200151411</v>
      </c>
      <c r="AU349" s="95">
        <f>((h_Aw_Sw+Geraetedaten!$B$18)/1000)*(AQ349*AS349+AR349*AT349)/100</f>
        <v>0</v>
      </c>
    </row>
    <row r="350" spans="1:47" ht="13.5" x14ac:dyDescent="0.25">
      <c r="A350" s="16">
        <v>309</v>
      </c>
      <c r="B350" s="16">
        <f t="shared" si="295"/>
        <v>141</v>
      </c>
      <c r="C350" s="19">
        <f t="shared" si="296"/>
        <v>68.232306332770648</v>
      </c>
      <c r="D350" s="17">
        <f t="shared" si="297"/>
        <v>8563.268043667229</v>
      </c>
      <c r="E350" s="17">
        <f t="shared" si="298"/>
        <v>-14262.10726633277</v>
      </c>
      <c r="F350" s="17">
        <f t="shared" si="299"/>
        <v>-8539.0756163327715</v>
      </c>
      <c r="G350" s="17">
        <f t="shared" si="300"/>
        <v>14128.468603667228</v>
      </c>
      <c r="H350" s="17">
        <f t="shared" si="301"/>
        <v>8563.268043667229</v>
      </c>
      <c r="I350" s="17">
        <f t="shared" si="302"/>
        <v>3455.8191905792482</v>
      </c>
      <c r="J350" s="20">
        <f>(Geraetedaten!$B$152+(Geraetedaten!$B$153*(Geraetedaten!$B$18+d_y_Sw)/1000))*10</f>
        <v>6051.0442000000003</v>
      </c>
      <c r="K350" s="20">
        <f>(Geraetedaten!$B$165+(Geraetedaten!$B$166*(Geraetedaten!$B$18+d_y_Sw)/1000))*10</f>
        <v>10816.164000000001</v>
      </c>
      <c r="L350" s="20">
        <f>(Geraetedaten!$B$158+(Geraetedaten!$B$159*(Geraetedaten!$B$18+d_y_Sw)/1000)-(Geraetedaten!$B$160*I350/1000))*10</f>
        <v>348.12137875482347</v>
      </c>
      <c r="M350" s="20">
        <f>(Geraetedaten!$B$171+(Geraetedaten!$B$172*(Geraetedaten!$B$18+d_y_Sw)/1000)-(Geraetedaten!$B$173*I350/1000))*10</f>
        <v>807.61581945328157</v>
      </c>
      <c r="N350" s="20">
        <f>IF((H350-J350)/(K350-J350)*(Geraetedaten!$B$174-Geraetedaten!$B$161)&lt;Geraetedaten!$B$174,(H350-J350)/(K350-J350)*(Geraetedaten!$B$174-Geraetedaten!$B$161),Geraetedaten!$B$174)</f>
        <v>210.88442256307835</v>
      </c>
      <c r="O350" s="20">
        <f>N350/Geraetedaten!$B$174*(M350-L350)+L350+C350</f>
        <v>658.60423458169157</v>
      </c>
      <c r="P350" s="20">
        <f t="shared" si="303"/>
        <v>209.6821274876234</v>
      </c>
      <c r="Q350" s="21">
        <f>(N350-Geraetedaten!$B$161)/(Geraetedaten!$B$174-Geraetedaten!$B$161)*(Geraetedaten!$B$175-Geraetedaten!$B$162)+Geraetedaten!$B$162</f>
        <v>35.473811571251581</v>
      </c>
      <c r="R350" s="21">
        <f t="shared" si="304"/>
        <v>35.473811571251581</v>
      </c>
      <c r="S350" s="21">
        <f t="shared" si="305"/>
        <v>-27.568329400083726</v>
      </c>
      <c r="T350" s="88">
        <f t="shared" si="306"/>
        <v>22.324392970048294</v>
      </c>
      <c r="U350" s="86">
        <f t="shared" si="307"/>
        <v>8631.5003500000003</v>
      </c>
      <c r="V350" s="85">
        <f t="shared" si="308"/>
        <v>-2683.3128092763232</v>
      </c>
      <c r="W350" s="85">
        <f t="shared" si="309"/>
        <v>3455.8191905792482</v>
      </c>
      <c r="X350" s="90">
        <f t="shared" si="310"/>
        <v>2683.3128092763232</v>
      </c>
      <c r="Y350" s="86">
        <f t="shared" si="311"/>
        <v>-14193.874959999999</v>
      </c>
      <c r="Z350" s="85">
        <f t="shared" si="312"/>
        <v>-832.16398485565549</v>
      </c>
      <c r="AA350" s="85">
        <f t="shared" si="313"/>
        <v>-1375.2139078048247</v>
      </c>
      <c r="AB350" s="90">
        <f t="shared" si="314"/>
        <v>832.16398485565549</v>
      </c>
      <c r="AC350" s="86">
        <f t="shared" si="315"/>
        <v>-8470.8433100000002</v>
      </c>
      <c r="AD350" s="85">
        <f t="shared" si="316"/>
        <v>2598.140025222212</v>
      </c>
      <c r="AE350" s="85">
        <f t="shared" si="317"/>
        <v>-3341.2826727831739</v>
      </c>
      <c r="AF350" s="90">
        <f t="shared" si="318"/>
        <v>2598.140025222212</v>
      </c>
      <c r="AG350" s="86">
        <f t="shared" si="319"/>
        <v>14196.70091</v>
      </c>
      <c r="AH350" s="85">
        <f t="shared" si="320"/>
        <v>6183.1314163678471</v>
      </c>
      <c r="AI350" s="85">
        <f t="shared" si="321"/>
        <v>9707.7814100152445</v>
      </c>
      <c r="AJ350" s="90">
        <f t="shared" si="322"/>
        <v>6183.1314163678471</v>
      </c>
      <c r="AL350" s="95">
        <f t="shared" si="323"/>
        <v>0</v>
      </c>
      <c r="AM350" s="95">
        <f t="shared" si="324"/>
        <v>0</v>
      </c>
      <c r="AN350" s="95">
        <f t="shared" si="325"/>
        <v>0</v>
      </c>
      <c r="AO350" s="95">
        <f t="shared" si="326"/>
        <v>0</v>
      </c>
      <c r="AP350"/>
      <c r="AQ350" s="95">
        <f t="shared" si="327"/>
        <v>0</v>
      </c>
      <c r="AR350" s="95">
        <f t="shared" si="328"/>
        <v>0</v>
      </c>
      <c r="AS350" s="95">
        <f>Geraetedaten!$B$94*ABS(SIN(RADIANS($A350)))</f>
        <v>119.6804780643735</v>
      </c>
      <c r="AT350" s="95">
        <f>Geraetedaten!$B$94*ABS(COS(RADIANS($A350)))</f>
        <v>96.915340221674981</v>
      </c>
      <c r="AU350" s="95">
        <f>((h_Aw_Sw+Geraetedaten!$B$18)/1000)*(AQ350*AS350+AR350*AT350)/100</f>
        <v>0</v>
      </c>
    </row>
    <row r="351" spans="1:47" ht="13.5" x14ac:dyDescent="0.25">
      <c r="A351" s="16">
        <v>310</v>
      </c>
      <c r="B351" s="16">
        <f t="shared" si="295"/>
        <v>140</v>
      </c>
      <c r="C351" s="19">
        <f t="shared" si="296"/>
        <v>67.930126577034372</v>
      </c>
      <c r="D351" s="17">
        <f t="shared" si="297"/>
        <v>8688.9369434229666</v>
      </c>
      <c r="E351" s="17">
        <f t="shared" si="298"/>
        <v>-13945.270906577034</v>
      </c>
      <c r="F351" s="17">
        <f t="shared" si="299"/>
        <v>-8661.3561465770345</v>
      </c>
      <c r="G351" s="17">
        <f t="shared" si="300"/>
        <v>13837.155473422967</v>
      </c>
      <c r="H351" s="17">
        <f t="shared" si="301"/>
        <v>8688.9369434229666</v>
      </c>
      <c r="I351" s="17">
        <f t="shared" si="302"/>
        <v>3506.0126358438829</v>
      </c>
      <c r="J351" s="20">
        <f>(Geraetedaten!$B$152+(Geraetedaten!$B$153*(Geraetedaten!$B$18+d_y_Sw)/1000))*10</f>
        <v>6051.0442000000003</v>
      </c>
      <c r="K351" s="20">
        <f>(Geraetedaten!$B$165+(Geraetedaten!$B$166*(Geraetedaten!$B$18+d_y_Sw)/1000))*10</f>
        <v>10816.164000000001</v>
      </c>
      <c r="L351" s="20">
        <f>(Geraetedaten!$B$158+(Geraetedaten!$B$159*(Geraetedaten!$B$18+d_y_Sw)/1000)-(Geraetedaten!$B$160*I351/1000))*10</f>
        <v>344.44069341356789</v>
      </c>
      <c r="M351" s="20">
        <f>(Geraetedaten!$B$171+(Geraetedaten!$B$172*(Geraetedaten!$B$18+d_y_Sw)/1000)-(Geraetedaten!$B$173*I351/1000))*10</f>
        <v>803.87941938778226</v>
      </c>
      <c r="N351" s="20">
        <f>IF((H351-J351)/(K351-J351)*(Geraetedaten!$B$174-Geraetedaten!$B$161)&lt;Geraetedaten!$B$174,(H351-J351)/(K351-J351)*(Geraetedaten!$B$174-Geraetedaten!$B$161),Geraetedaten!$B$174)</f>
        <v>221.43348785673479</v>
      </c>
      <c r="O351" s="20">
        <f>N351/Geraetedaten!$B$174*(M351-L351)+L351+C351</f>
        <v>666.70861886291448</v>
      </c>
      <c r="P351" s="20">
        <f t="shared" si="303"/>
        <v>210.52882074989887</v>
      </c>
      <c r="Q351" s="21">
        <f>(N351-Geraetedaten!$B$161)/(Geraetedaten!$B$174-Geraetedaten!$B$161)*(Geraetedaten!$B$175-Geraetedaten!$B$162)+Geraetedaten!$B$162</f>
        <v>35.787646263737862</v>
      </c>
      <c r="R351" s="21">
        <f t="shared" si="304"/>
        <v>35.787646263737862</v>
      </c>
      <c r="S351" s="21">
        <f t="shared" si="305"/>
        <v>-27.414927552644048</v>
      </c>
      <c r="T351" s="88">
        <f t="shared" si="306"/>
        <v>23.003855598175466</v>
      </c>
      <c r="U351" s="86">
        <f t="shared" si="307"/>
        <v>8756.8670700000002</v>
      </c>
      <c r="V351" s="85">
        <f t="shared" si="308"/>
        <v>-2683.3128092763232</v>
      </c>
      <c r="W351" s="85">
        <f t="shared" si="309"/>
        <v>3506.0126358438829</v>
      </c>
      <c r="X351" s="90">
        <f t="shared" si="310"/>
        <v>2683.3128092763232</v>
      </c>
      <c r="Y351" s="86">
        <f t="shared" si="311"/>
        <v>-13877.34078</v>
      </c>
      <c r="Z351" s="85">
        <f t="shared" si="312"/>
        <v>-832.16398485565549</v>
      </c>
      <c r="AA351" s="85">
        <f t="shared" si="313"/>
        <v>-1344.5455943506922</v>
      </c>
      <c r="AB351" s="90">
        <f t="shared" si="314"/>
        <v>832.16398485565549</v>
      </c>
      <c r="AC351" s="86">
        <f t="shared" si="315"/>
        <v>-8593.4260200000008</v>
      </c>
      <c r="AD351" s="85">
        <f t="shared" si="316"/>
        <v>2598.140025222212</v>
      </c>
      <c r="AE351" s="85">
        <f t="shared" si="317"/>
        <v>-3389.6348237906809</v>
      </c>
      <c r="AF351" s="90">
        <f t="shared" si="318"/>
        <v>2598.140025222212</v>
      </c>
      <c r="AG351" s="86">
        <f t="shared" si="319"/>
        <v>13905.0856</v>
      </c>
      <c r="AH351" s="85">
        <f t="shared" si="320"/>
        <v>6183.1314163678471</v>
      </c>
      <c r="AI351" s="85">
        <f t="shared" si="321"/>
        <v>9508.37326900683</v>
      </c>
      <c r="AJ351" s="90">
        <f t="shared" si="322"/>
        <v>6183.1314163678471</v>
      </c>
      <c r="AL351" s="95">
        <f t="shared" si="323"/>
        <v>0</v>
      </c>
      <c r="AM351" s="95">
        <f t="shared" si="324"/>
        <v>0</v>
      </c>
      <c r="AN351" s="95">
        <f t="shared" si="325"/>
        <v>0</v>
      </c>
      <c r="AO351" s="95">
        <f t="shared" si="326"/>
        <v>0</v>
      </c>
      <c r="AP351"/>
      <c r="AQ351" s="95">
        <f t="shared" si="327"/>
        <v>0</v>
      </c>
      <c r="AR351" s="95">
        <f t="shared" si="328"/>
        <v>0</v>
      </c>
      <c r="AS351" s="95">
        <f>Geraetedaten!$B$94*ABS(SIN(RADIANS($A351)))</f>
        <v>117.97084424032263</v>
      </c>
      <c r="AT351" s="95">
        <f>Geraetedaten!$B$94*ABS(COS(RADIANS($A351)))</f>
        <v>98.989291891727049</v>
      </c>
      <c r="AU351" s="95">
        <f>((h_Aw_Sw+Geraetedaten!$B$18)/1000)*(AQ351*AS351+AR351*AT351)/100</f>
        <v>0</v>
      </c>
    </row>
    <row r="352" spans="1:47" ht="13.5" x14ac:dyDescent="0.25">
      <c r="A352" s="16">
        <v>311</v>
      </c>
      <c r="B352" s="16">
        <f t="shared" si="295"/>
        <v>139</v>
      </c>
      <c r="C352" s="19">
        <f t="shared" si="296"/>
        <v>67.60725464668883</v>
      </c>
      <c r="D352" s="17">
        <f t="shared" si="297"/>
        <v>8821.0694353533108</v>
      </c>
      <c r="E352" s="17">
        <f t="shared" si="298"/>
        <v>-13646.26974464669</v>
      </c>
      <c r="F352" s="17">
        <f t="shared" si="299"/>
        <v>-8789.9118146466899</v>
      </c>
      <c r="G352" s="17">
        <f t="shared" si="300"/>
        <v>13561.67011535331</v>
      </c>
      <c r="H352" s="17">
        <f t="shared" si="301"/>
        <v>8821.0694353533108</v>
      </c>
      <c r="I352" s="17">
        <f t="shared" si="302"/>
        <v>3558.7856399896446</v>
      </c>
      <c r="J352" s="20">
        <f>(Geraetedaten!$B$152+(Geraetedaten!$B$153*(Geraetedaten!$B$18+d_y_Sw)/1000))*10</f>
        <v>6051.0442000000003</v>
      </c>
      <c r="K352" s="20">
        <f>(Geraetedaten!$B$165+(Geraetedaten!$B$166*(Geraetedaten!$B$18+d_y_Sw)/1000))*10</f>
        <v>10816.164000000001</v>
      </c>
      <c r="L352" s="20">
        <f>(Geraetedaten!$B$158+(Geraetedaten!$B$159*(Geraetedaten!$B$18+d_y_Sw)/1000)-(Geraetedaten!$B$160*I352/1000))*10</f>
        <v>340.5708490195592</v>
      </c>
      <c r="M352" s="20">
        <f>(Geraetedaten!$B$171+(Geraetedaten!$B$172*(Geraetedaten!$B$18+d_y_Sw)/1000)-(Geraetedaten!$B$173*I352/1000))*10</f>
        <v>799.95099695917179</v>
      </c>
      <c r="N352" s="20">
        <f>IF((H352-J352)/(K352-J352)*(Geraetedaten!$B$174-Geraetedaten!$B$161)&lt;Geraetedaten!$B$174,(H352-J352)/(K352-J352)*(Geraetedaten!$B$174-Geraetedaten!$B$161),Geraetedaten!$B$174)</f>
        <v>232.52512856892372</v>
      </c>
      <c r="O352" s="20">
        <f>N352/Geraetedaten!$B$174*(M352-L352)+L352+C352</f>
        <v>675.22167357042201</v>
      </c>
      <c r="P352" s="20">
        <f t="shared" si="303"/>
        <v>211.40170418654893</v>
      </c>
      <c r="Q352" s="21">
        <f>(N352-Geraetedaten!$B$161)/(Geraetedaten!$B$174-Geraetedaten!$B$161)*(Geraetedaten!$B$175-Geraetedaten!$B$162)+Geraetedaten!$B$162</f>
        <v>36.117622574925484</v>
      </c>
      <c r="R352" s="21">
        <f t="shared" si="304"/>
        <v>36.117622574925484</v>
      </c>
      <c r="S352" s="21">
        <f t="shared" si="305"/>
        <v>-27.258315772166533</v>
      </c>
      <c r="T352" s="88">
        <f t="shared" si="306"/>
        <v>23.695292395951231</v>
      </c>
      <c r="U352" s="86">
        <f t="shared" si="307"/>
        <v>8888.6766900000002</v>
      </c>
      <c r="V352" s="85">
        <f t="shared" si="308"/>
        <v>-2683.3128092763232</v>
      </c>
      <c r="W352" s="85">
        <f t="shared" si="309"/>
        <v>3558.7856399896446</v>
      </c>
      <c r="X352" s="90">
        <f t="shared" si="310"/>
        <v>2683.3128092763232</v>
      </c>
      <c r="Y352" s="86">
        <f t="shared" si="311"/>
        <v>-13578.662490000001</v>
      </c>
      <c r="Z352" s="85">
        <f t="shared" si="312"/>
        <v>-832.16398485565549</v>
      </c>
      <c r="AA352" s="85">
        <f t="shared" si="313"/>
        <v>-1315.6073001951959</v>
      </c>
      <c r="AB352" s="90">
        <f t="shared" si="314"/>
        <v>832.16398485565549</v>
      </c>
      <c r="AC352" s="86">
        <f t="shared" si="315"/>
        <v>-8722.3045600000005</v>
      </c>
      <c r="AD352" s="85">
        <f t="shared" si="316"/>
        <v>2598.140025222212</v>
      </c>
      <c r="AE352" s="85">
        <f t="shared" si="317"/>
        <v>-3440.4703333687908</v>
      </c>
      <c r="AF352" s="90">
        <f t="shared" si="318"/>
        <v>2598.140025222212</v>
      </c>
      <c r="AG352" s="86">
        <f t="shared" si="319"/>
        <v>13629.27737</v>
      </c>
      <c r="AH352" s="85">
        <f t="shared" si="320"/>
        <v>6183.1314163678471</v>
      </c>
      <c r="AI352" s="85">
        <f t="shared" si="321"/>
        <v>9319.7741036567131</v>
      </c>
      <c r="AJ352" s="90">
        <f t="shared" si="322"/>
        <v>6183.1314163678471</v>
      </c>
      <c r="AL352" s="95">
        <f t="shared" si="323"/>
        <v>0</v>
      </c>
      <c r="AM352" s="95">
        <f t="shared" si="324"/>
        <v>0</v>
      </c>
      <c r="AN352" s="95">
        <f t="shared" si="325"/>
        <v>0</v>
      </c>
      <c r="AO352" s="95">
        <f t="shared" si="326"/>
        <v>0</v>
      </c>
      <c r="AP352"/>
      <c r="AQ352" s="95">
        <f t="shared" si="327"/>
        <v>0</v>
      </c>
      <c r="AR352" s="95">
        <f t="shared" si="328"/>
        <v>0</v>
      </c>
      <c r="AS352" s="95">
        <f>Geraetedaten!$B$94*ABS(SIN(RADIANS($A352)))</f>
        <v>116.22527535430693</v>
      </c>
      <c r="AT352" s="95">
        <f>Geraetedaten!$B$94*ABS(COS(RADIANS($A352)))</f>
        <v>101.03309046453809</v>
      </c>
      <c r="AU352" s="95">
        <f>((h_Aw_Sw+Geraetedaten!$B$18)/1000)*(AQ352*AS352+AR352*AT352)/100</f>
        <v>0</v>
      </c>
    </row>
    <row r="353" spans="1:47" ht="13.5" x14ac:dyDescent="0.25">
      <c r="A353" s="16">
        <v>312</v>
      </c>
      <c r="B353" s="16">
        <f t="shared" si="295"/>
        <v>138</v>
      </c>
      <c r="C353" s="19">
        <f t="shared" si="296"/>
        <v>67.263788891651714</v>
      </c>
      <c r="D353" s="17">
        <f t="shared" si="297"/>
        <v>8960.0430211083476</v>
      </c>
      <c r="E353" s="17">
        <f t="shared" si="298"/>
        <v>-13363.798778891653</v>
      </c>
      <c r="F353" s="17">
        <f t="shared" si="299"/>
        <v>-8925.1106888916529</v>
      </c>
      <c r="G353" s="17">
        <f t="shared" si="300"/>
        <v>13300.926791108348</v>
      </c>
      <c r="H353" s="17">
        <f t="shared" si="301"/>
        <v>8960.0430211083476</v>
      </c>
      <c r="I353" s="17">
        <f t="shared" si="302"/>
        <v>3614.2893888842664</v>
      </c>
      <c r="J353" s="20">
        <f>(Geraetedaten!$B$152+(Geraetedaten!$B$153*(Geraetedaten!$B$18+d_y_Sw)/1000))*10</f>
        <v>6051.0442000000003</v>
      </c>
      <c r="K353" s="20">
        <f>(Geraetedaten!$B$165+(Geraetedaten!$B$166*(Geraetedaten!$B$18+d_y_Sw)/1000))*10</f>
        <v>10816.164000000001</v>
      </c>
      <c r="L353" s="20">
        <f>(Geraetedaten!$B$158+(Geraetedaten!$B$159*(Geraetedaten!$B$18+d_y_Sw)/1000)-(Geraetedaten!$B$160*I353/1000))*10</f>
        <v>336.50075911311654</v>
      </c>
      <c r="M353" s="20">
        <f>(Geraetedaten!$B$171+(Geraetedaten!$B$172*(Geraetedaten!$B$18+d_y_Sw)/1000)-(Geraetedaten!$B$173*I353/1000))*10</f>
        <v>795.81929789145624</v>
      </c>
      <c r="N353" s="20">
        <f>IF((H353-J353)/(K353-J353)*(Geraetedaten!$B$174-Geraetedaten!$B$161)&lt;Geraetedaten!$B$174,(H353-J353)/(K353-J353)*(Geraetedaten!$B$174-Geraetedaten!$B$161),Geraetedaten!$B$174)</f>
        <v>244.1910334433436</v>
      </c>
      <c r="O353" s="20">
        <f>N353/Geraetedaten!$B$174*(M353-L353)+L353+C353</f>
        <v>684.16821966469149</v>
      </c>
      <c r="P353" s="20">
        <f t="shared" si="303"/>
        <v>212.30162025447092</v>
      </c>
      <c r="Q353" s="21">
        <f>(N353-Geraetedaten!$B$161)/(Geraetedaten!$B$174-Geraetedaten!$B$161)*(Geraetedaten!$B$175-Geraetedaten!$B$162)+Geraetedaten!$B$162</f>
        <v>36.464683244939472</v>
      </c>
      <c r="R353" s="21">
        <f t="shared" si="304"/>
        <v>36.464683244939472</v>
      </c>
      <c r="S353" s="21">
        <f t="shared" si="305"/>
        <v>-27.098540666149017</v>
      </c>
      <c r="T353" s="88">
        <f t="shared" si="306"/>
        <v>24.39963561037003</v>
      </c>
      <c r="U353" s="86">
        <f t="shared" si="307"/>
        <v>9027.30681</v>
      </c>
      <c r="V353" s="85">
        <f t="shared" si="308"/>
        <v>-2683.3128092763232</v>
      </c>
      <c r="W353" s="85">
        <f t="shared" si="309"/>
        <v>3614.2893888842664</v>
      </c>
      <c r="X353" s="90">
        <f t="shared" si="310"/>
        <v>2683.3128092763232</v>
      </c>
      <c r="Y353" s="86">
        <f t="shared" si="311"/>
        <v>-13296.53499</v>
      </c>
      <c r="Z353" s="85">
        <f t="shared" si="312"/>
        <v>-832.16398485565549</v>
      </c>
      <c r="AA353" s="85">
        <f t="shared" si="313"/>
        <v>-1288.2725754369098</v>
      </c>
      <c r="AB353" s="90">
        <f t="shared" si="314"/>
        <v>832.16398485565549</v>
      </c>
      <c r="AC353" s="86">
        <f t="shared" si="315"/>
        <v>-8857.8469000000005</v>
      </c>
      <c r="AD353" s="85">
        <f t="shared" si="316"/>
        <v>2598.140025222212</v>
      </c>
      <c r="AE353" s="85">
        <f t="shared" si="317"/>
        <v>-3493.9343446837711</v>
      </c>
      <c r="AF353" s="90">
        <f t="shared" si="318"/>
        <v>2598.140025222212</v>
      </c>
      <c r="AG353" s="86">
        <f t="shared" si="319"/>
        <v>13368.19058</v>
      </c>
      <c r="AH353" s="85">
        <f t="shared" si="320"/>
        <v>6183.1314163678471</v>
      </c>
      <c r="AI353" s="85">
        <f t="shared" si="321"/>
        <v>9141.2415295368974</v>
      </c>
      <c r="AJ353" s="90">
        <f t="shared" si="322"/>
        <v>6183.1314163678471</v>
      </c>
      <c r="AL353" s="95">
        <f t="shared" si="323"/>
        <v>0</v>
      </c>
      <c r="AM353" s="95">
        <f t="shared" si="324"/>
        <v>0</v>
      </c>
      <c r="AN353" s="95">
        <f t="shared" si="325"/>
        <v>0</v>
      </c>
      <c r="AO353" s="95">
        <f t="shared" si="326"/>
        <v>0</v>
      </c>
      <c r="AP353"/>
      <c r="AQ353" s="95">
        <f t="shared" si="327"/>
        <v>0</v>
      </c>
      <c r="AR353" s="95">
        <f t="shared" si="328"/>
        <v>0</v>
      </c>
      <c r="AS353" s="95">
        <f>Geraetedaten!$B$94*ABS(SIN(RADIANS($A353)))</f>
        <v>114.44430312351876</v>
      </c>
      <c r="AT353" s="95">
        <f>Geraetedaten!$B$94*ABS(COS(RADIANS($A353)))</f>
        <v>103.0461133792641</v>
      </c>
      <c r="AU353" s="95">
        <f>((h_Aw_Sw+Geraetedaten!$B$18)/1000)*(AQ353*AS353+AR353*AT353)/100</f>
        <v>0</v>
      </c>
    </row>
    <row r="354" spans="1:47" ht="13.5" x14ac:dyDescent="0.25">
      <c r="A354" s="16">
        <v>313</v>
      </c>
      <c r="B354" s="16">
        <f t="shared" si="295"/>
        <v>137</v>
      </c>
      <c r="C354" s="19">
        <f t="shared" si="296"/>
        <v>66.899833934919229</v>
      </c>
      <c r="D354" s="17">
        <f t="shared" si="297"/>
        <v>9106.2683360650808</v>
      </c>
      <c r="E354" s="17">
        <f t="shared" si="298"/>
        <v>-13096.68058393492</v>
      </c>
      <c r="F354" s="17">
        <f t="shared" si="299"/>
        <v>-9067.3530539349194</v>
      </c>
      <c r="G354" s="17">
        <f t="shared" si="300"/>
        <v>13053.94046606508</v>
      </c>
      <c r="H354" s="17">
        <f t="shared" si="301"/>
        <v>9106.2683360650808</v>
      </c>
      <c r="I354" s="17">
        <f t="shared" si="302"/>
        <v>3672.6883302835745</v>
      </c>
      <c r="J354" s="20">
        <f>(Geraetedaten!$B$152+(Geraetedaten!$B$153*(Geraetedaten!$B$18+d_y_Sw)/1000))*10</f>
        <v>6051.0442000000003</v>
      </c>
      <c r="K354" s="20">
        <f>(Geraetedaten!$B$165+(Geraetedaten!$B$166*(Geraetedaten!$B$18+d_y_Sw)/1000))*10</f>
        <v>10816.164000000001</v>
      </c>
      <c r="L354" s="20">
        <f>(Geraetedaten!$B$158+(Geraetedaten!$B$159*(Geraetedaten!$B$18+d_y_Sw)/1000)-(Geraetedaten!$B$160*I354/1000))*10</f>
        <v>332.21836474030522</v>
      </c>
      <c r="M354" s="20">
        <f>(Geraetedaten!$B$171+(Geraetedaten!$B$172*(Geraetedaten!$B$18+d_y_Sw)/1000)-(Geraetedaten!$B$173*I354/1000))*10</f>
        <v>791.47208069369162</v>
      </c>
      <c r="N354" s="20">
        <f>IF((H354-J354)/(K354-J354)*(Geraetedaten!$B$174-Geraetedaten!$B$161)&lt;Geraetedaten!$B$174,(H354-J354)/(K354-J354)*(Geraetedaten!$B$174-Geraetedaten!$B$161),Geraetedaten!$B$174)</f>
        <v>256.46567257889973</v>
      </c>
      <c r="O354" s="20">
        <f>N354/Geraetedaten!$B$174*(M354-L354)+L354+C354</f>
        <v>693.57523154108492</v>
      </c>
      <c r="P354" s="20">
        <f t="shared" si="303"/>
        <v>213.22944281372358</v>
      </c>
      <c r="Q354" s="21">
        <f>(N354-Geraetedaten!$B$161)/(Geraetedaten!$B$174-Geraetedaten!$B$161)*(Geraetedaten!$B$175-Geraetedaten!$B$162)+Geraetedaten!$B$162</f>
        <v>36.829853759222267</v>
      </c>
      <c r="R354" s="21">
        <f t="shared" si="304"/>
        <v>36.829853759222267</v>
      </c>
      <c r="S354" s="21">
        <f t="shared" si="305"/>
        <v>-26.935649876899923</v>
      </c>
      <c r="T354" s="88">
        <f t="shared" si="306"/>
        <v>25.117899865131236</v>
      </c>
      <c r="U354" s="86">
        <f t="shared" si="307"/>
        <v>9173.1681700000008</v>
      </c>
      <c r="V354" s="85">
        <f t="shared" si="308"/>
        <v>-2683.3128092763232</v>
      </c>
      <c r="W354" s="85">
        <f t="shared" si="309"/>
        <v>3672.6883302835745</v>
      </c>
      <c r="X354" s="90">
        <f t="shared" si="310"/>
        <v>2683.3128092763232</v>
      </c>
      <c r="Y354" s="86">
        <f t="shared" si="311"/>
        <v>-13029.78075</v>
      </c>
      <c r="Z354" s="85">
        <f t="shared" si="312"/>
        <v>-832.16398485565549</v>
      </c>
      <c r="AA354" s="85">
        <f t="shared" si="313"/>
        <v>-1262.4273326824887</v>
      </c>
      <c r="AB354" s="90">
        <f t="shared" si="314"/>
        <v>832.16398485565549</v>
      </c>
      <c r="AC354" s="86">
        <f t="shared" si="315"/>
        <v>-9000.4532199999994</v>
      </c>
      <c r="AD354" s="85">
        <f t="shared" si="316"/>
        <v>2598.140025222212</v>
      </c>
      <c r="AE354" s="85">
        <f t="shared" si="317"/>
        <v>-3550.1847094306854</v>
      </c>
      <c r="AF354" s="90">
        <f t="shared" si="318"/>
        <v>2598.140025222212</v>
      </c>
      <c r="AG354" s="86">
        <f t="shared" si="319"/>
        <v>13120.8403</v>
      </c>
      <c r="AH354" s="85">
        <f t="shared" si="320"/>
        <v>6183.1314163678471</v>
      </c>
      <c r="AI354" s="85">
        <f t="shared" si="321"/>
        <v>8972.1020614797399</v>
      </c>
      <c r="AJ354" s="90">
        <f t="shared" si="322"/>
        <v>6183.1314163678471</v>
      </c>
      <c r="AL354" s="95">
        <f t="shared" si="323"/>
        <v>0</v>
      </c>
      <c r="AM354" s="95">
        <f t="shared" si="324"/>
        <v>0</v>
      </c>
      <c r="AN354" s="95">
        <f t="shared" si="325"/>
        <v>0</v>
      </c>
      <c r="AO354" s="95">
        <f t="shared" si="326"/>
        <v>0</v>
      </c>
      <c r="AP354"/>
      <c r="AQ354" s="95">
        <f t="shared" si="327"/>
        <v>0</v>
      </c>
      <c r="AR354" s="95">
        <f t="shared" si="328"/>
        <v>0</v>
      </c>
      <c r="AS354" s="95">
        <f>Geraetedaten!$B$94*ABS(SIN(RADIANS($A354)))</f>
        <v>112.62847004935223</v>
      </c>
      <c r="AT354" s="95">
        <f>Geraetedaten!$B$94*ABS(COS(RADIANS($A354)))</f>
        <v>105.02774744962478</v>
      </c>
      <c r="AU354" s="95">
        <f>((h_Aw_Sw+Geraetedaten!$B$18)/1000)*(AQ354*AS354+AR354*AT354)/100</f>
        <v>0</v>
      </c>
    </row>
    <row r="355" spans="1:47" ht="13.5" x14ac:dyDescent="0.25">
      <c r="A355" s="16">
        <v>314</v>
      </c>
      <c r="B355" s="16">
        <f t="shared" si="295"/>
        <v>136</v>
      </c>
      <c r="C355" s="19">
        <f t="shared" si="296"/>
        <v>66.515500640696956</v>
      </c>
      <c r="D355" s="17">
        <f t="shared" si="297"/>
        <v>9260.1926993593024</v>
      </c>
      <c r="E355" s="17">
        <f t="shared" si="298"/>
        <v>-12843.850270640696</v>
      </c>
      <c r="F355" s="17">
        <f t="shared" si="299"/>
        <v>-9217.074890640697</v>
      </c>
      <c r="G355" s="17">
        <f t="shared" si="300"/>
        <v>12819.815619359304</v>
      </c>
      <c r="H355" s="17">
        <f t="shared" si="301"/>
        <v>9260.1926993593024</v>
      </c>
      <c r="I355" s="17">
        <f t="shared" si="302"/>
        <v>3734.1616039723876</v>
      </c>
      <c r="J355" s="20">
        <f>(Geraetedaten!$B$152+(Geraetedaten!$B$153*(Geraetedaten!$B$18+d_y_Sw)/1000))*10</f>
        <v>6051.0442000000003</v>
      </c>
      <c r="K355" s="20">
        <f>(Geraetedaten!$B$165+(Geraetedaten!$B$166*(Geraetedaten!$B$18+d_y_Sw)/1000))*10</f>
        <v>10816.164000000001</v>
      </c>
      <c r="L355" s="20">
        <f>(Geraetedaten!$B$158+(Geraetedaten!$B$159*(Geraetedaten!$B$18+d_y_Sw)/1000)-(Geraetedaten!$B$160*I355/1000))*10</f>
        <v>327.71052958070459</v>
      </c>
      <c r="M355" s="20">
        <f>(Geraetedaten!$B$171+(Geraetedaten!$B$172*(Geraetedaten!$B$18+d_y_Sw)/1000)-(Geraetedaten!$B$173*I355/1000))*10</f>
        <v>786.89601020029636</v>
      </c>
      <c r="N355" s="20">
        <f>IF((H355-J355)/(K355-J355)*(Geraetedaten!$B$174-Geraetedaten!$B$161)&lt;Geraetedaten!$B$174,(H355-J355)/(K355-J355)*(Geraetedaten!$B$174-Geraetedaten!$B$161),Geraetedaten!$B$174)</f>
        <v>269.38659543118325</v>
      </c>
      <c r="O355" s="20">
        <f>N355/Geraetedaten!$B$174*(M355-L355)+L355+C355</f>
        <v>703.47206346025996</v>
      </c>
      <c r="P355" s="20">
        <f t="shared" si="303"/>
        <v>214.18607685928691</v>
      </c>
      <c r="Q355" s="21">
        <f>(N355-Geraetedaten!$B$161)/(Geraetedaten!$B$174-Geraetedaten!$B$161)*(Geraetedaten!$B$175-Geraetedaten!$B$162)+Geraetedaten!$B$162</f>
        <v>37.214251214077706</v>
      </c>
      <c r="R355" s="21">
        <f t="shared" si="304"/>
        <v>37.214251214077706</v>
      </c>
      <c r="S355" s="21">
        <f t="shared" si="305"/>
        <v>-26.769692038087065</v>
      </c>
      <c r="T355" s="88">
        <f t="shared" si="306"/>
        <v>25.851191106222981</v>
      </c>
      <c r="U355" s="86">
        <f t="shared" si="307"/>
        <v>9326.7081999999991</v>
      </c>
      <c r="V355" s="85">
        <f t="shared" si="308"/>
        <v>-2683.3128092763232</v>
      </c>
      <c r="W355" s="85">
        <f t="shared" si="309"/>
        <v>3734.1616039723876</v>
      </c>
      <c r="X355" s="90">
        <f t="shared" si="310"/>
        <v>2683.3128092763232</v>
      </c>
      <c r="Y355" s="86">
        <f t="shared" si="311"/>
        <v>-12777.334769999999</v>
      </c>
      <c r="Z355" s="85">
        <f t="shared" si="312"/>
        <v>-832.16398485565549</v>
      </c>
      <c r="AA355" s="85">
        <f t="shared" si="313"/>
        <v>-1237.9683865403122</v>
      </c>
      <c r="AB355" s="90">
        <f t="shared" si="314"/>
        <v>832.16398485565549</v>
      </c>
      <c r="AC355" s="86">
        <f t="shared" si="315"/>
        <v>-9150.5593900000003</v>
      </c>
      <c r="AD355" s="85">
        <f t="shared" si="316"/>
        <v>2598.140025222212</v>
      </c>
      <c r="AE355" s="85">
        <f t="shared" si="317"/>
        <v>-3609.3933550546917</v>
      </c>
      <c r="AF355" s="90">
        <f t="shared" si="318"/>
        <v>2598.140025222212</v>
      </c>
      <c r="AG355" s="86">
        <f t="shared" si="319"/>
        <v>12886.331120000001</v>
      </c>
      <c r="AH355" s="85">
        <f t="shared" si="320"/>
        <v>6183.1314163678471</v>
      </c>
      <c r="AI355" s="85">
        <f t="shared" si="321"/>
        <v>8811.7434062952634</v>
      </c>
      <c r="AJ355" s="90">
        <f t="shared" si="322"/>
        <v>6183.1314163678471</v>
      </c>
      <c r="AL355" s="95">
        <f t="shared" si="323"/>
        <v>0</v>
      </c>
      <c r="AM355" s="95">
        <f t="shared" si="324"/>
        <v>0</v>
      </c>
      <c r="AN355" s="95">
        <f t="shared" si="325"/>
        <v>0</v>
      </c>
      <c r="AO355" s="95">
        <f t="shared" si="326"/>
        <v>0</v>
      </c>
      <c r="AP355"/>
      <c r="AQ355" s="95">
        <f t="shared" si="327"/>
        <v>0</v>
      </c>
      <c r="AR355" s="95">
        <f t="shared" si="328"/>
        <v>0</v>
      </c>
      <c r="AS355" s="95">
        <f>Geraetedaten!$B$94*ABS(SIN(RADIANS($A355)))</f>
        <v>110.77832925215229</v>
      </c>
      <c r="AT355" s="95">
        <f>Geraetedaten!$B$94*ABS(COS(RADIANS($A355)))</f>
        <v>106.97738905068557</v>
      </c>
      <c r="AU355" s="95">
        <f>((h_Aw_Sw+Geraetedaten!$B$18)/1000)*(AQ355*AS355+AR355*AT355)/100</f>
        <v>0</v>
      </c>
    </row>
    <row r="356" spans="1:47" ht="13.5" x14ac:dyDescent="0.25">
      <c r="A356" s="16">
        <v>315</v>
      </c>
      <c r="B356" s="16">
        <f t="shared" si="295"/>
        <v>135</v>
      </c>
      <c r="C356" s="19">
        <f t="shared" si="296"/>
        <v>66.110906080629391</v>
      </c>
      <c r="D356" s="17">
        <f t="shared" si="297"/>
        <v>9422.3041739193704</v>
      </c>
      <c r="E356" s="17">
        <f t="shared" si="298"/>
        <v>-12604.34249608063</v>
      </c>
      <c r="F356" s="17">
        <f t="shared" si="299"/>
        <v>-9374.7518160806303</v>
      </c>
      <c r="G356" s="17">
        <f t="shared" si="300"/>
        <v>12597.736413919371</v>
      </c>
      <c r="H356" s="17">
        <f t="shared" si="301"/>
        <v>9422.3041739193704</v>
      </c>
      <c r="I356" s="17">
        <f t="shared" si="302"/>
        <v>3798.9046634988058</v>
      </c>
      <c r="J356" s="20">
        <f>(Geraetedaten!$B$152+(Geraetedaten!$B$153*(Geraetedaten!$B$18+d_y_Sw)/1000))*10</f>
        <v>6051.0442000000003</v>
      </c>
      <c r="K356" s="20">
        <f>(Geraetedaten!$B$165+(Geraetedaten!$B$166*(Geraetedaten!$B$18+d_y_Sw)/1000))*10</f>
        <v>10816.164000000001</v>
      </c>
      <c r="L356" s="20">
        <f>(Geraetedaten!$B$158+(Geraetedaten!$B$159*(Geraetedaten!$B$18+d_y_Sw)/1000)-(Geraetedaten!$B$160*I356/1000))*10</f>
        <v>322.96292102563245</v>
      </c>
      <c r="M356" s="20">
        <f>(Geraetedaten!$B$171+(Geraetedaten!$B$172*(Geraetedaten!$B$18+d_y_Sw)/1000)-(Geraetedaten!$B$173*I356/1000))*10</f>
        <v>782.07653684914976</v>
      </c>
      <c r="N356" s="20">
        <f>IF((H356-J356)/(K356-J356)*(Geraetedaten!$B$174-Geraetedaten!$B$161)&lt;Geraetedaten!$B$174,(H356-J356)/(K356-J356)*(Geraetedaten!$B$174-Geraetedaten!$B$161),Geraetedaten!$B$174)</f>
        <v>282.99477162520617</v>
      </c>
      <c r="O356" s="20">
        <f>N356/Geraetedaten!$B$174*(M356-L356)+L356+C356</f>
        <v>713.89070925625913</v>
      </c>
      <c r="P356" s="20">
        <f t="shared" si="303"/>
        <v>215.17245856969711</v>
      </c>
      <c r="Q356" s="21">
        <f>(N356-Geraetedaten!$B$161)/(Geraetedaten!$B$174-Geraetedaten!$B$161)*(Geraetedaten!$B$175-Geraetedaten!$B$162)+Geraetedaten!$B$162</f>
        <v>37.619094455849883</v>
      </c>
      <c r="R356" s="21">
        <f t="shared" si="304"/>
        <v>37.619094455849883</v>
      </c>
      <c r="S356" s="21">
        <f t="shared" si="305"/>
        <v>-26.600716791828713</v>
      </c>
      <c r="T356" s="88">
        <f t="shared" si="306"/>
        <v>26.600716791828699</v>
      </c>
      <c r="U356" s="86">
        <f t="shared" si="307"/>
        <v>9488.4150800000007</v>
      </c>
      <c r="V356" s="85">
        <f t="shared" si="308"/>
        <v>-2683.3128092763232</v>
      </c>
      <c r="W356" s="85">
        <f t="shared" si="309"/>
        <v>3798.9046634988058</v>
      </c>
      <c r="X356" s="90">
        <f t="shared" si="310"/>
        <v>2683.3128092763232</v>
      </c>
      <c r="Y356" s="86">
        <f t="shared" si="311"/>
        <v>-12538.231589999999</v>
      </c>
      <c r="Z356" s="85">
        <f t="shared" si="312"/>
        <v>-832.16398485565549</v>
      </c>
      <c r="AA356" s="85">
        <f t="shared" si="313"/>
        <v>-1214.8021959297812</v>
      </c>
      <c r="AB356" s="90">
        <f t="shared" si="314"/>
        <v>832.16398485565549</v>
      </c>
      <c r="AC356" s="86">
        <f t="shared" si="315"/>
        <v>-9308.6409100000001</v>
      </c>
      <c r="AD356" s="85">
        <f t="shared" si="316"/>
        <v>2598.140025222212</v>
      </c>
      <c r="AE356" s="85">
        <f t="shared" si="317"/>
        <v>-3671.7478347311057</v>
      </c>
      <c r="AF356" s="90">
        <f t="shared" si="318"/>
        <v>2598.140025222212</v>
      </c>
      <c r="AG356" s="86">
        <f t="shared" si="319"/>
        <v>12663.847320000001</v>
      </c>
      <c r="AH356" s="85">
        <f t="shared" si="320"/>
        <v>6183.1314163678471</v>
      </c>
      <c r="AI356" s="85">
        <f t="shared" si="321"/>
        <v>8659.6077715489482</v>
      </c>
      <c r="AJ356" s="90">
        <f t="shared" si="322"/>
        <v>6183.1314163678471</v>
      </c>
      <c r="AL356" s="95">
        <f t="shared" si="323"/>
        <v>0</v>
      </c>
      <c r="AM356" s="95">
        <f t="shared" si="324"/>
        <v>0</v>
      </c>
      <c r="AN356" s="95">
        <f t="shared" si="325"/>
        <v>0</v>
      </c>
      <c r="AO356" s="95">
        <f t="shared" si="326"/>
        <v>0</v>
      </c>
      <c r="AP356"/>
      <c r="AQ356" s="95">
        <f t="shared" si="327"/>
        <v>0</v>
      </c>
      <c r="AR356" s="95">
        <f t="shared" si="328"/>
        <v>0</v>
      </c>
      <c r="AS356" s="95">
        <f>Geraetedaten!$B$94*ABS(SIN(RADIANS($A356)))</f>
        <v>108.89444430272835</v>
      </c>
      <c r="AT356" s="95">
        <f>Geraetedaten!$B$94*ABS(COS(RADIANS($A356)))</f>
        <v>108.89444430272829</v>
      </c>
      <c r="AU356" s="95">
        <f>((h_Aw_Sw+Geraetedaten!$B$18)/1000)*(AQ356*AS356+AR356*AT356)/100</f>
        <v>0</v>
      </c>
    </row>
    <row r="357" spans="1:47" ht="13.5" x14ac:dyDescent="0.25">
      <c r="A357" s="16">
        <v>316</v>
      </c>
      <c r="B357" s="16">
        <f t="shared" si="295"/>
        <v>134</v>
      </c>
      <c r="C357" s="19">
        <f t="shared" si="296"/>
        <v>65.686173498138942</v>
      </c>
      <c r="D357" s="17">
        <f t="shared" si="297"/>
        <v>9593.1361665018612</v>
      </c>
      <c r="E357" s="17">
        <f t="shared" si="298"/>
        <v>-12377.28026349814</v>
      </c>
      <c r="F357" s="17">
        <f t="shared" si="299"/>
        <v>-9540.9035034981389</v>
      </c>
      <c r="G357" s="17">
        <f t="shared" si="300"/>
        <v>12386.958186501861</v>
      </c>
      <c r="H357" s="17">
        <f t="shared" si="301"/>
        <v>9593.1361665018612</v>
      </c>
      <c r="I357" s="17">
        <f t="shared" si="302"/>
        <v>3867.1311199930283</v>
      </c>
      <c r="J357" s="20">
        <f>(Geraetedaten!$B$152+(Geraetedaten!$B$153*(Geraetedaten!$B$18+d_y_Sw)/1000))*10</f>
        <v>6051.0442000000003</v>
      </c>
      <c r="K357" s="20">
        <f>(Geraetedaten!$B$165+(Geraetedaten!$B$166*(Geraetedaten!$B$18+d_y_Sw)/1000))*10</f>
        <v>10816.164000000001</v>
      </c>
      <c r="L357" s="20">
        <f>(Geraetedaten!$B$158+(Geraetedaten!$B$159*(Geraetedaten!$B$18+d_y_Sw)/1000)-(Geraetedaten!$B$160*I357/1000))*10</f>
        <v>317.95987497091107</v>
      </c>
      <c r="M357" s="20">
        <f>(Geraetedaten!$B$171+(Geraetedaten!$B$172*(Geraetedaten!$B$18+d_y_Sw)/1000)-(Geraetedaten!$B$173*I357/1000))*10</f>
        <v>776.99775942771998</v>
      </c>
      <c r="N357" s="20">
        <f>IF((H357-J357)/(K357-J357)*(Geraetedaten!$B$174-Geraetedaten!$B$161)&lt;Geraetedaten!$B$174,(H357-J357)/(K357-J357)*(Geraetedaten!$B$174-Geraetedaten!$B$161),Geraetedaten!$B$174)</f>
        <v>297.33497709768898</v>
      </c>
      <c r="O357" s="20">
        <f>N357/Geraetedaten!$B$174*(M357-L357)+L357+C357</f>
        <v>724.86609562389219</v>
      </c>
      <c r="P357" s="20">
        <f t="shared" si="303"/>
        <v>216.18955500118525</v>
      </c>
      <c r="Q357" s="21">
        <f>(N357-Geraetedaten!$B$161)/(Geraetedaten!$B$174-Geraetedaten!$B$161)*(Geraetedaten!$B$175-Geraetedaten!$B$162)+Geraetedaten!$B$162</f>
        <v>38.045715568656249</v>
      </c>
      <c r="R357" s="21">
        <f t="shared" si="304"/>
        <v>38.045715568656249</v>
      </c>
      <c r="S357" s="21">
        <f t="shared" si="305"/>
        <v>-26.428774779869265</v>
      </c>
      <c r="T357" s="88">
        <f t="shared" si="306"/>
        <v>27.367797440898286</v>
      </c>
      <c r="U357" s="86">
        <f t="shared" si="307"/>
        <v>9658.8223400000006</v>
      </c>
      <c r="V357" s="85">
        <f t="shared" si="308"/>
        <v>-2683.3128092763232</v>
      </c>
      <c r="W357" s="85">
        <f t="shared" si="309"/>
        <v>3867.1311199930283</v>
      </c>
      <c r="X357" s="90">
        <f t="shared" si="310"/>
        <v>2683.3128092763232</v>
      </c>
      <c r="Y357" s="86">
        <f t="shared" si="311"/>
        <v>-12311.594090000001</v>
      </c>
      <c r="Z357" s="85">
        <f t="shared" si="312"/>
        <v>-832.16398485565549</v>
      </c>
      <c r="AA357" s="85">
        <f t="shared" si="313"/>
        <v>-1192.8437771198714</v>
      </c>
      <c r="AB357" s="90">
        <f t="shared" si="314"/>
        <v>832.16398485565549</v>
      </c>
      <c r="AC357" s="86">
        <f t="shared" si="315"/>
        <v>-9475.2173299999995</v>
      </c>
      <c r="AD357" s="85">
        <f t="shared" si="316"/>
        <v>2598.140025222212</v>
      </c>
      <c r="AE357" s="85">
        <f t="shared" si="317"/>
        <v>-3737.453089120957</v>
      </c>
      <c r="AF357" s="90">
        <f t="shared" si="318"/>
        <v>2598.140025222212</v>
      </c>
      <c r="AG357" s="86">
        <f t="shared" si="319"/>
        <v>12452.64436</v>
      </c>
      <c r="AH357" s="85">
        <f t="shared" si="320"/>
        <v>6183.1314163678471</v>
      </c>
      <c r="AI357" s="85">
        <f t="shared" si="321"/>
        <v>8515.1860377058638</v>
      </c>
      <c r="AJ357" s="90">
        <f t="shared" si="322"/>
        <v>6183.1314163678471</v>
      </c>
      <c r="AL357" s="95">
        <f t="shared" si="323"/>
        <v>0</v>
      </c>
      <c r="AM357" s="95">
        <f t="shared" si="324"/>
        <v>0</v>
      </c>
      <c r="AN357" s="95">
        <f t="shared" si="325"/>
        <v>0</v>
      </c>
      <c r="AO357" s="95">
        <f t="shared" si="326"/>
        <v>0</v>
      </c>
      <c r="AP357"/>
      <c r="AQ357" s="95">
        <f t="shared" si="327"/>
        <v>0</v>
      </c>
      <c r="AR357" s="95">
        <f t="shared" si="328"/>
        <v>0</v>
      </c>
      <c r="AS357" s="95">
        <f>Geraetedaten!$B$94*ABS(SIN(RADIANS($A357)))</f>
        <v>106.97738905068563</v>
      </c>
      <c r="AT357" s="95">
        <f>Geraetedaten!$B$94*ABS(COS(RADIANS($A357)))</f>
        <v>110.77832925215223</v>
      </c>
      <c r="AU357" s="95">
        <f>((h_Aw_Sw+Geraetedaten!$B$18)/1000)*(AQ357*AS357+AR357*AT357)/100</f>
        <v>0</v>
      </c>
    </row>
    <row r="358" spans="1:47" ht="13.5" x14ac:dyDescent="0.25">
      <c r="A358" s="16">
        <v>317</v>
      </c>
      <c r="B358" s="16">
        <f t="shared" si="295"/>
        <v>133</v>
      </c>
      <c r="C358" s="19">
        <f t="shared" si="296"/>
        <v>65.241432270884687</v>
      </c>
      <c r="D358" s="17">
        <f t="shared" si="297"/>
        <v>9773.2726877291152</v>
      </c>
      <c r="E358" s="17">
        <f t="shared" si="298"/>
        <v>-12161.865142270884</v>
      </c>
      <c r="F358" s="17">
        <f t="shared" si="299"/>
        <v>-9716.0988322708854</v>
      </c>
      <c r="G358" s="17">
        <f t="shared" si="300"/>
        <v>12186.799997729115</v>
      </c>
      <c r="H358" s="17">
        <f t="shared" si="301"/>
        <v>9773.2726877291152</v>
      </c>
      <c r="I358" s="17">
        <f t="shared" si="302"/>
        <v>3939.0748442447339</v>
      </c>
      <c r="J358" s="20">
        <f>(Geraetedaten!$B$152+(Geraetedaten!$B$153*(Geraetedaten!$B$18+d_y_Sw)/1000))*10</f>
        <v>6051.0442000000003</v>
      </c>
      <c r="K358" s="20">
        <f>(Geraetedaten!$B$165+(Geraetedaten!$B$166*(Geraetedaten!$B$18+d_y_Sw)/1000))*10</f>
        <v>10816.164000000001</v>
      </c>
      <c r="L358" s="20">
        <f>(Geraetedaten!$B$158+(Geraetedaten!$B$159*(Geraetedaten!$B$18+d_y_Sw)/1000)-(Geraetedaten!$B$160*I358/1000))*10</f>
        <v>312.68424167153347</v>
      </c>
      <c r="M358" s="20">
        <f>(Geraetedaten!$B$171+(Geraetedaten!$B$172*(Geraetedaten!$B$18+d_y_Sw)/1000)-(Geraetedaten!$B$173*I358/1000))*10</f>
        <v>771.64226859442294</v>
      </c>
      <c r="N358" s="20">
        <f>IF((H358-J358)/(K358-J358)*(Geraetedaten!$B$174-Geraetedaten!$B$161)&lt;Geraetedaten!$B$174,(H358-J358)/(K358-J358)*(Geraetedaten!$B$174-Geraetedaten!$B$161),Geraetedaten!$B$174)</f>
        <v>312.456235642102</v>
      </c>
      <c r="O358" s="20">
        <f>N358/Geraetedaten!$B$174*(M358-L358)+L358+C358</f>
        <v>736.43641746754963</v>
      </c>
      <c r="P358" s="20">
        <f t="shared" si="303"/>
        <v>217.23836379107763</v>
      </c>
      <c r="Q358" s="21">
        <f>(N358-Geraetedaten!$B$161)/(Geraetedaten!$B$174-Geraetedaten!$B$161)*(Geraetedaten!$B$175-Geraetedaten!$B$162)+Geraetedaten!$B$162</f>
        <v>38.495573010352537</v>
      </c>
      <c r="R358" s="21">
        <f t="shared" si="304"/>
        <v>38.495573010352537</v>
      </c>
      <c r="S358" s="21">
        <f t="shared" si="305"/>
        <v>-26.2539176627266</v>
      </c>
      <c r="T358" s="88">
        <f t="shared" si="306"/>
        <v>28.153879817072369</v>
      </c>
      <c r="U358" s="86">
        <f t="shared" si="307"/>
        <v>9838.5141199999998</v>
      </c>
      <c r="V358" s="85">
        <f t="shared" si="308"/>
        <v>-2683.3128092763232</v>
      </c>
      <c r="W358" s="85">
        <f t="shared" si="309"/>
        <v>3939.0748442447339</v>
      </c>
      <c r="X358" s="90">
        <f t="shared" si="310"/>
        <v>2683.3128092763232</v>
      </c>
      <c r="Y358" s="86">
        <f t="shared" si="311"/>
        <v>-12096.62371</v>
      </c>
      <c r="Z358" s="85">
        <f t="shared" si="312"/>
        <v>-832.16398485565549</v>
      </c>
      <c r="AA358" s="85">
        <f t="shared" si="313"/>
        <v>-1172.015761085315</v>
      </c>
      <c r="AB358" s="90">
        <f t="shared" si="314"/>
        <v>832.16398485565549</v>
      </c>
      <c r="AC358" s="86">
        <f t="shared" si="315"/>
        <v>-9650.8574000000008</v>
      </c>
      <c r="AD358" s="85">
        <f t="shared" si="316"/>
        <v>2598.140025222212</v>
      </c>
      <c r="AE358" s="85">
        <f t="shared" si="317"/>
        <v>-3806.7334543142347</v>
      </c>
      <c r="AF358" s="90">
        <f t="shared" si="318"/>
        <v>2598.140025222212</v>
      </c>
      <c r="AG358" s="86">
        <f t="shared" si="319"/>
        <v>12252.041429999999</v>
      </c>
      <c r="AH358" s="85">
        <f t="shared" si="320"/>
        <v>6183.1314163678471</v>
      </c>
      <c r="AI358" s="85">
        <f t="shared" si="321"/>
        <v>8378.0126666334781</v>
      </c>
      <c r="AJ358" s="90">
        <f t="shared" si="322"/>
        <v>6183.1314163678471</v>
      </c>
      <c r="AL358" s="95">
        <f t="shared" si="323"/>
        <v>0</v>
      </c>
      <c r="AM358" s="95">
        <f t="shared" si="324"/>
        <v>0</v>
      </c>
      <c r="AN358" s="95">
        <f t="shared" si="325"/>
        <v>0</v>
      </c>
      <c r="AO358" s="95">
        <f t="shared" si="326"/>
        <v>0</v>
      </c>
      <c r="AP358"/>
      <c r="AQ358" s="95">
        <f t="shared" si="327"/>
        <v>0</v>
      </c>
      <c r="AR358" s="95">
        <f t="shared" si="328"/>
        <v>0</v>
      </c>
      <c r="AS358" s="95">
        <f>Geraetedaten!$B$94*ABS(SIN(RADIANS($A358)))</f>
        <v>105.02774744962473</v>
      </c>
      <c r="AT358" s="95">
        <f>Geraetedaten!$B$94*ABS(COS(RADIANS($A358)))</f>
        <v>112.62847004935229</v>
      </c>
      <c r="AU358" s="95">
        <f>((h_Aw_Sw+Geraetedaten!$B$18)/1000)*(AQ358*AS358+AR358*AT358)/100</f>
        <v>0</v>
      </c>
    </row>
    <row r="359" spans="1:47" ht="13.5" x14ac:dyDescent="0.25">
      <c r="A359" s="16">
        <v>318</v>
      </c>
      <c r="B359" s="16">
        <f t="shared" si="295"/>
        <v>132</v>
      </c>
      <c r="C359" s="19">
        <f t="shared" si="296"/>
        <v>64.776817871352804</v>
      </c>
      <c r="D359" s="17">
        <f t="shared" si="297"/>
        <v>9963.3543221286473</v>
      </c>
      <c r="E359" s="17">
        <f t="shared" si="298"/>
        <v>-11957.368857871352</v>
      </c>
      <c r="F359" s="17">
        <f t="shared" si="299"/>
        <v>-9900.9616578713521</v>
      </c>
      <c r="G359" s="17">
        <f t="shared" si="300"/>
        <v>11996.638132128648</v>
      </c>
      <c r="H359" s="17">
        <f t="shared" si="301"/>
        <v>9963.3543221286473</v>
      </c>
      <c r="I359" s="17">
        <f t="shared" si="302"/>
        <v>4014.9923701156126</v>
      </c>
      <c r="J359" s="20">
        <f>(Geraetedaten!$B$152+(Geraetedaten!$B$153*(Geraetedaten!$B$18+d_y_Sw)/1000))*10</f>
        <v>6051.0442000000003</v>
      </c>
      <c r="K359" s="20">
        <f>(Geraetedaten!$B$165+(Geraetedaten!$B$166*(Geraetedaten!$B$18+d_y_Sw)/1000))*10</f>
        <v>10816.164000000001</v>
      </c>
      <c r="L359" s="20">
        <f>(Geraetedaten!$B$158+(Geraetedaten!$B$159*(Geraetedaten!$B$18+d_y_Sw)/1000)-(Geraetedaten!$B$160*I359/1000))*10</f>
        <v>307.11720949942196</v>
      </c>
      <c r="M359" s="20">
        <f>(Geraetedaten!$B$171+(Geraetedaten!$B$172*(Geraetedaten!$B$18+d_y_Sw)/1000)-(Geraetedaten!$B$173*I359/1000))*10</f>
        <v>765.99096796859476</v>
      </c>
      <c r="N359" s="20">
        <f>IF((H359-J359)/(K359-J359)*(Geraetedaten!$B$174-Geraetedaten!$B$161)&lt;Geraetedaten!$B$174,(H359-J359)/(K359-J359)*(Geraetedaten!$B$174-Geraetedaten!$B$161),Geraetedaten!$B$174)</f>
        <v>328.4123200536236</v>
      </c>
      <c r="O359" s="20">
        <f>N359/Geraetedaten!$B$174*(M359-L359)+L359+C359</f>
        <v>748.64351644724263</v>
      </c>
      <c r="P359" s="20">
        <f t="shared" si="303"/>
        <v>218.31991208581101</v>
      </c>
      <c r="Q359" s="21">
        <f>(N359-Geraetedaten!$B$161)/(Geraetedaten!$B$174-Geraetedaten!$B$161)*(Geraetedaten!$B$175-Geraetedaten!$B$162)+Geraetedaten!$B$162</f>
        <v>38.970266521595306</v>
      </c>
      <c r="R359" s="21">
        <f t="shared" si="304"/>
        <v>38.970266521595306</v>
      </c>
      <c r="S359" s="21">
        <f t="shared" si="305"/>
        <v>-26.076198067561375</v>
      </c>
      <c r="T359" s="88">
        <f t="shared" si="306"/>
        <v>28.960551912998483</v>
      </c>
      <c r="U359" s="86">
        <f t="shared" si="307"/>
        <v>10028.13114</v>
      </c>
      <c r="V359" s="85">
        <f t="shared" si="308"/>
        <v>-2683.3128092763232</v>
      </c>
      <c r="W359" s="85">
        <f t="shared" si="309"/>
        <v>4014.9923701156126</v>
      </c>
      <c r="X359" s="90">
        <f t="shared" si="310"/>
        <v>2683.3128092763232</v>
      </c>
      <c r="Y359" s="86">
        <f t="shared" si="311"/>
        <v>-11892.59204</v>
      </c>
      <c r="Z359" s="85">
        <f t="shared" si="312"/>
        <v>-832.16398485565549</v>
      </c>
      <c r="AA359" s="85">
        <f t="shared" si="313"/>
        <v>-1152.2475733389347</v>
      </c>
      <c r="AB359" s="90">
        <f t="shared" si="314"/>
        <v>832.16398485565549</v>
      </c>
      <c r="AC359" s="86">
        <f t="shared" si="315"/>
        <v>-9836.1848399999999</v>
      </c>
      <c r="AD359" s="85">
        <f t="shared" si="316"/>
        <v>2598.140025222212</v>
      </c>
      <c r="AE359" s="85">
        <f t="shared" si="317"/>
        <v>-3879.834956923271</v>
      </c>
      <c r="AF359" s="90">
        <f t="shared" si="318"/>
        <v>2598.140025222212</v>
      </c>
      <c r="AG359" s="86">
        <f t="shared" si="319"/>
        <v>12061.41495</v>
      </c>
      <c r="AH359" s="85">
        <f t="shared" si="320"/>
        <v>6183.1314163678471</v>
      </c>
      <c r="AI359" s="85">
        <f t="shared" si="321"/>
        <v>8247.6612403814088</v>
      </c>
      <c r="AJ359" s="90">
        <f t="shared" si="322"/>
        <v>6183.1314163678471</v>
      </c>
      <c r="AL359" s="95">
        <f t="shared" si="323"/>
        <v>0</v>
      </c>
      <c r="AM359" s="95">
        <f t="shared" si="324"/>
        <v>0</v>
      </c>
      <c r="AN359" s="95">
        <f t="shared" si="325"/>
        <v>0</v>
      </c>
      <c r="AO359" s="95">
        <f t="shared" si="326"/>
        <v>0</v>
      </c>
      <c r="AP359"/>
      <c r="AQ359" s="95">
        <f t="shared" si="327"/>
        <v>0</v>
      </c>
      <c r="AR359" s="95">
        <f t="shared" si="328"/>
        <v>0</v>
      </c>
      <c r="AS359" s="95">
        <f>Geraetedaten!$B$94*ABS(SIN(RADIANS($A359)))</f>
        <v>103.04611337926416</v>
      </c>
      <c r="AT359" s="95">
        <f>Geraetedaten!$B$94*ABS(COS(RADIANS($A359)))</f>
        <v>114.44430312351871</v>
      </c>
      <c r="AU359" s="95">
        <f>((h_Aw_Sw+Geraetedaten!$B$18)/1000)*(AQ359*AS359+AR359*AT359)/100</f>
        <v>0</v>
      </c>
    </row>
    <row r="360" spans="1:47" ht="13.5" x14ac:dyDescent="0.25">
      <c r="A360" s="16">
        <v>319</v>
      </c>
      <c r="B360" s="16">
        <f t="shared" si="295"/>
        <v>131</v>
      </c>
      <c r="C360" s="19">
        <f t="shared" si="296"/>
        <v>64.292471825590169</v>
      </c>
      <c r="D360" s="17">
        <f t="shared" si="297"/>
        <v>10164.08516817441</v>
      </c>
      <c r="E360" s="17">
        <f t="shared" si="298"/>
        <v>-11763.12588182559</v>
      </c>
      <c r="F360" s="17">
        <f t="shared" si="299"/>
        <v>-10096.177521825592</v>
      </c>
      <c r="G360" s="17">
        <f t="shared" si="300"/>
        <v>11815.900318174408</v>
      </c>
      <c r="H360" s="17">
        <f t="shared" si="301"/>
        <v>10164.08516817441</v>
      </c>
      <c r="I360" s="17">
        <f t="shared" si="302"/>
        <v>4095.1656507833227</v>
      </c>
      <c r="J360" s="20">
        <f>(Geraetedaten!$B$152+(Geraetedaten!$B$153*(Geraetedaten!$B$18+d_y_Sw)/1000))*10</f>
        <v>6051.0442000000003</v>
      </c>
      <c r="K360" s="20">
        <f>(Geraetedaten!$B$165+(Geraetedaten!$B$166*(Geraetedaten!$B$18+d_y_Sw)/1000))*10</f>
        <v>10816.164000000001</v>
      </c>
      <c r="L360" s="20">
        <f>(Geraetedaten!$B$158+(Geraetedaten!$B$159*(Geraetedaten!$B$18+d_y_Sw)/1000)-(Geraetedaten!$B$160*I360/1000))*10</f>
        <v>301.2381028280588</v>
      </c>
      <c r="M360" s="20">
        <f>(Geraetedaten!$B$171+(Geraetedaten!$B$172*(Geraetedaten!$B$18+d_y_Sw)/1000)-(Geraetedaten!$B$173*I360/1000))*10</f>
        <v>760.02286895569023</v>
      </c>
      <c r="N360" s="20">
        <f>IF((H360-J360)/(K360-J360)*(Geraetedaten!$B$174-Geraetedaten!$B$161)&lt;Geraetedaten!$B$174,(H360-J360)/(K360-J360)*(Geraetedaten!$B$174-Geraetedaten!$B$161),Geraetedaten!$B$174)</f>
        <v>345.26233469927951</v>
      </c>
      <c r="O360" s="20">
        <f>N360/Geraetedaten!$B$174*(M360-L360)+L360+C360</f>
        <v>761.53332334787137</v>
      </c>
      <c r="P360" s="20">
        <f t="shared" si="303"/>
        <v>219.43525632020817</v>
      </c>
      <c r="Q360" s="21">
        <f>(N360-Geraetedaten!$B$161)/(Geraetedaten!$B$174-Geraetedaten!$B$161)*(Geraetedaten!$B$175-Geraetedaten!$B$162)+Geraetedaten!$B$162</f>
        <v>39.471554457303569</v>
      </c>
      <c r="R360" s="21">
        <f t="shared" si="304"/>
        <v>39.471554457303569</v>
      </c>
      <c r="S360" s="21">
        <f t="shared" si="305"/>
        <v>-25.895669690004514</v>
      </c>
      <c r="T360" s="88">
        <f t="shared" si="306"/>
        <v>29.789560295211857</v>
      </c>
      <c r="U360" s="86">
        <f t="shared" si="307"/>
        <v>10228.377640000001</v>
      </c>
      <c r="V360" s="85">
        <f t="shared" si="308"/>
        <v>-2683.3128092763232</v>
      </c>
      <c r="W360" s="85">
        <f t="shared" si="309"/>
        <v>4095.1656507833227</v>
      </c>
      <c r="X360" s="90">
        <f t="shared" si="310"/>
        <v>2683.3128092763232</v>
      </c>
      <c r="Y360" s="86">
        <f t="shared" si="311"/>
        <v>-11698.833409999999</v>
      </c>
      <c r="Z360" s="85">
        <f t="shared" si="312"/>
        <v>-832.16398485565549</v>
      </c>
      <c r="AA360" s="85">
        <f t="shared" si="313"/>
        <v>-1133.474718098166</v>
      </c>
      <c r="AB360" s="90">
        <f t="shared" si="314"/>
        <v>832.16398485565549</v>
      </c>
      <c r="AC360" s="86">
        <f t="shared" si="315"/>
        <v>-10031.885050000001</v>
      </c>
      <c r="AD360" s="85">
        <f t="shared" si="316"/>
        <v>2598.140025222212</v>
      </c>
      <c r="AE360" s="85">
        <f t="shared" si="317"/>
        <v>-3957.0279452753184</v>
      </c>
      <c r="AF360" s="90">
        <f t="shared" si="318"/>
        <v>2598.140025222212</v>
      </c>
      <c r="AG360" s="86">
        <f t="shared" si="319"/>
        <v>11880.192789999999</v>
      </c>
      <c r="AH360" s="85">
        <f t="shared" si="320"/>
        <v>6183.1314163678471</v>
      </c>
      <c r="AI360" s="85">
        <f t="shared" si="321"/>
        <v>8123.7405412827911</v>
      </c>
      <c r="AJ360" s="90">
        <f t="shared" si="322"/>
        <v>6183.1314163678471</v>
      </c>
      <c r="AL360" s="95">
        <f t="shared" si="323"/>
        <v>0</v>
      </c>
      <c r="AM360" s="95">
        <f t="shared" si="324"/>
        <v>0</v>
      </c>
      <c r="AN360" s="95">
        <f t="shared" si="325"/>
        <v>0</v>
      </c>
      <c r="AO360" s="95">
        <f t="shared" si="326"/>
        <v>0</v>
      </c>
      <c r="AP360"/>
      <c r="AQ360" s="95">
        <f t="shared" si="327"/>
        <v>0</v>
      </c>
      <c r="AR360" s="95">
        <f t="shared" si="328"/>
        <v>0</v>
      </c>
      <c r="AS360" s="95">
        <f>Geraetedaten!$B$94*ABS(SIN(RADIANS($A360)))</f>
        <v>101.03309046453813</v>
      </c>
      <c r="AT360" s="95">
        <f>Geraetedaten!$B$94*ABS(COS(RADIANS($A360)))</f>
        <v>116.22527535430687</v>
      </c>
      <c r="AU360" s="95">
        <f>((h_Aw_Sw+Geraetedaten!$B$18)/1000)*(AQ360*AS360+AR360*AT360)/100</f>
        <v>0</v>
      </c>
    </row>
    <row r="361" spans="1:47" ht="13.5" x14ac:dyDescent="0.25">
      <c r="A361" s="16">
        <v>320</v>
      </c>
      <c r="B361" s="16">
        <f t="shared" si="295"/>
        <v>130</v>
      </c>
      <c r="C361" s="19">
        <f t="shared" si="296"/>
        <v>63.788541670094318</v>
      </c>
      <c r="D361" s="17">
        <f t="shared" si="297"/>
        <v>10376.240708329906</v>
      </c>
      <c r="E361" s="17">
        <f t="shared" si="298"/>
        <v>-11578.526961670093</v>
      </c>
      <c r="F361" s="17">
        <f t="shared" si="299"/>
        <v>-10302.501281670095</v>
      </c>
      <c r="G361" s="17">
        <f t="shared" si="300"/>
        <v>11644.060728329907</v>
      </c>
      <c r="H361" s="17">
        <f t="shared" si="301"/>
        <v>10376.240708329906</v>
      </c>
      <c r="I361" s="17">
        <f t="shared" si="302"/>
        <v>4179.9052296303607</v>
      </c>
      <c r="J361" s="20">
        <f>(Geraetedaten!$B$152+(Geraetedaten!$B$153*(Geraetedaten!$B$18+d_y_Sw)/1000))*10</f>
        <v>6051.0442000000003</v>
      </c>
      <c r="K361" s="20">
        <f>(Geraetedaten!$B$165+(Geraetedaten!$B$166*(Geraetedaten!$B$18+d_y_Sw)/1000))*10</f>
        <v>10816.164000000001</v>
      </c>
      <c r="L361" s="20">
        <f>(Geraetedaten!$B$158+(Geraetedaten!$B$159*(Geraetedaten!$B$18+d_y_Sw)/1000)-(Geraetedaten!$B$160*I361/1000))*10</f>
        <v>295.02414951120545</v>
      </c>
      <c r="M361" s="20">
        <f>(Geraetedaten!$B$171+(Geraetedaten!$B$172*(Geraetedaten!$B$18+d_y_Sw)/1000)-(Geraetedaten!$B$173*I361/1000))*10</f>
        <v>753.71485470631683</v>
      </c>
      <c r="N361" s="20">
        <f>IF((H361-J361)/(K361-J361)*(Geraetedaten!$B$174-Geraetedaten!$B$161)&lt;Geraetedaten!$B$174,(H361-J361)/(K361-J361)*(Geraetedaten!$B$174-Geraetedaten!$B$161),Geraetedaten!$B$174)</f>
        <v>363.07137615552961</v>
      </c>
      <c r="O361" s="20">
        <f>N361/Geraetedaten!$B$174*(M361-L361)+L361+C361</f>
        <v>775.15635509364836</v>
      </c>
      <c r="P361" s="20">
        <f t="shared" si="303"/>
        <v>220.58548030568312</v>
      </c>
      <c r="Q361" s="21">
        <f>(N361-Geraetedaten!$B$161)/(Geraetedaten!$B$174-Geraetedaten!$B$161)*(Geraetedaten!$B$175-Geraetedaten!$B$162)+Geraetedaten!$B$162</f>
        <v>40.001373440627006</v>
      </c>
      <c r="R361" s="21">
        <f t="shared" si="304"/>
        <v>40.001373440627006</v>
      </c>
      <c r="S361" s="21">
        <f t="shared" si="305"/>
        <v>-25.712387218079265</v>
      </c>
      <c r="T361" s="88">
        <f t="shared" si="306"/>
        <v>30.642829841319383</v>
      </c>
      <c r="U361" s="86">
        <f t="shared" si="307"/>
        <v>10440.02925</v>
      </c>
      <c r="V361" s="85">
        <f t="shared" si="308"/>
        <v>-2683.3128092763232</v>
      </c>
      <c r="W361" s="85">
        <f t="shared" si="309"/>
        <v>4179.9052296303607</v>
      </c>
      <c r="X361" s="90">
        <f t="shared" si="310"/>
        <v>2683.3128092763232</v>
      </c>
      <c r="Y361" s="86">
        <f t="shared" si="311"/>
        <v>-11514.73842</v>
      </c>
      <c r="Z361" s="85">
        <f t="shared" si="312"/>
        <v>-832.16398485565549</v>
      </c>
      <c r="AA361" s="85">
        <f t="shared" si="313"/>
        <v>-1115.6381516530239</v>
      </c>
      <c r="AB361" s="90">
        <f t="shared" si="314"/>
        <v>832.16398485565549</v>
      </c>
      <c r="AC361" s="86">
        <f t="shared" si="315"/>
        <v>-10238.712740000001</v>
      </c>
      <c r="AD361" s="85">
        <f t="shared" si="316"/>
        <v>2598.140025222212</v>
      </c>
      <c r="AE361" s="85">
        <f t="shared" si="317"/>
        <v>-4038.6101154351627</v>
      </c>
      <c r="AF361" s="90">
        <f t="shared" si="318"/>
        <v>2598.140025222212</v>
      </c>
      <c r="AG361" s="86">
        <f t="shared" si="319"/>
        <v>11707.849270000001</v>
      </c>
      <c r="AH361" s="85">
        <f t="shared" si="320"/>
        <v>6183.1314163678471</v>
      </c>
      <c r="AI361" s="85">
        <f t="shared" si="321"/>
        <v>8005.8910985002694</v>
      </c>
      <c r="AJ361" s="90">
        <f t="shared" si="322"/>
        <v>6183.1314163678471</v>
      </c>
      <c r="AL361" s="95">
        <f t="shared" si="323"/>
        <v>0</v>
      </c>
      <c r="AM361" s="95">
        <f t="shared" si="324"/>
        <v>0</v>
      </c>
      <c r="AN361" s="95">
        <f t="shared" si="325"/>
        <v>0</v>
      </c>
      <c r="AO361" s="95">
        <f t="shared" si="326"/>
        <v>0</v>
      </c>
      <c r="AP361"/>
      <c r="AQ361" s="95">
        <f t="shared" si="327"/>
        <v>0</v>
      </c>
      <c r="AR361" s="95">
        <f t="shared" si="328"/>
        <v>0</v>
      </c>
      <c r="AS361" s="95">
        <f>Geraetedaten!$B$94*ABS(SIN(RADIANS($A361)))</f>
        <v>98.989291891727092</v>
      </c>
      <c r="AT361" s="95">
        <f>Geraetedaten!$B$94*ABS(COS(RADIANS($A361)))</f>
        <v>117.97084424032258</v>
      </c>
      <c r="AU361" s="95">
        <f>((h_Aw_Sw+Geraetedaten!$B$18)/1000)*(AQ361*AS361+AR361*AT361)/100</f>
        <v>0</v>
      </c>
    </row>
    <row r="362" spans="1:47" ht="13.5" x14ac:dyDescent="0.25">
      <c r="A362" s="16">
        <v>321</v>
      </c>
      <c r="B362" s="16">
        <f t="shared" si="295"/>
        <v>129</v>
      </c>
      <c r="C362" s="19">
        <f t="shared" si="296"/>
        <v>63.26518090687226</v>
      </c>
      <c r="D362" s="17">
        <f t="shared" si="297"/>
        <v>10600.676979093128</v>
      </c>
      <c r="E362" s="17">
        <f t="shared" si="298"/>
        <v>-11403.013440906872</v>
      </c>
      <c r="F362" s="17">
        <f t="shared" si="299"/>
        <v>-10520.766000906871</v>
      </c>
      <c r="G362" s="17">
        <f t="shared" si="300"/>
        <v>11480.635469093128</v>
      </c>
      <c r="H362" s="17">
        <f t="shared" si="301"/>
        <v>10600.676979093128</v>
      </c>
      <c r="I362" s="17">
        <f t="shared" si="302"/>
        <v>4269.5539002927917</v>
      </c>
      <c r="J362" s="20">
        <f>(Geraetedaten!$B$152+(Geraetedaten!$B$153*(Geraetedaten!$B$18+d_y_Sw)/1000))*10</f>
        <v>6051.0442000000003</v>
      </c>
      <c r="K362" s="20">
        <f>(Geraetedaten!$B$165+(Geraetedaten!$B$166*(Geraetedaten!$B$18+d_y_Sw)/1000))*10</f>
        <v>10816.164000000001</v>
      </c>
      <c r="L362" s="20">
        <f>(Geraetedaten!$B$158+(Geraetedaten!$B$159*(Geraetedaten!$B$18+d_y_Sw)/1000)-(Geraetedaten!$B$160*I362/1000))*10</f>
        <v>288.45021249152938</v>
      </c>
      <c r="M362" s="20">
        <f>(Geraetedaten!$B$171+(Geraetedaten!$B$172*(Geraetedaten!$B$18+d_y_Sw)/1000)-(Geraetedaten!$B$173*I362/1000))*10</f>
        <v>747.04140766220553</v>
      </c>
      <c r="N362" s="20">
        <f>IF((H362-J362)/(K362-J362)*(Geraetedaten!$B$174-Geraetedaten!$B$161)&lt;Geraetedaten!$B$174,(H362-J362)/(K362-J362)*(Geraetedaten!$B$174-Geraetedaten!$B$161),Geraetedaten!$B$174)</f>
        <v>381.91130297233053</v>
      </c>
      <c r="O362" s="20">
        <f>N362/Geraetedaten!$B$174*(M362-L362)+L362+C362</f>
        <v>789.56829559657979</v>
      </c>
      <c r="P362" s="20">
        <f t="shared" si="303"/>
        <v>221.77169388915507</v>
      </c>
      <c r="Q362" s="21">
        <f>(N362-Geraetedaten!$B$161)/(Geraetedaten!$B$174-Geraetedaten!$B$161)*(Geraetedaten!$B$175-Geraetedaten!$B$162)+Geraetedaten!$B$162</f>
        <v>40.561861263426835</v>
      </c>
      <c r="R362" s="21">
        <f t="shared" si="304"/>
        <v>40.561861263426835</v>
      </c>
      <c r="S362" s="21">
        <f t="shared" si="305"/>
        <v>-25.526406392009044</v>
      </c>
      <c r="T362" s="88">
        <f t="shared" si="306"/>
        <v>31.5224866700501</v>
      </c>
      <c r="U362" s="86">
        <f t="shared" si="307"/>
        <v>10663.942160000001</v>
      </c>
      <c r="V362" s="85">
        <f t="shared" si="308"/>
        <v>-2683.3128092763232</v>
      </c>
      <c r="W362" s="85">
        <f t="shared" si="309"/>
        <v>4269.5539002927917</v>
      </c>
      <c r="X362" s="90">
        <f t="shared" si="310"/>
        <v>2683.3128092763232</v>
      </c>
      <c r="Y362" s="86">
        <f t="shared" si="311"/>
        <v>-11339.74826</v>
      </c>
      <c r="Z362" s="85">
        <f t="shared" si="312"/>
        <v>-832.16398485565549</v>
      </c>
      <c r="AA362" s="85">
        <f t="shared" si="313"/>
        <v>-1098.6837322620374</v>
      </c>
      <c r="AB362" s="90">
        <f t="shared" si="314"/>
        <v>832.16398485565549</v>
      </c>
      <c r="AC362" s="86">
        <f t="shared" si="315"/>
        <v>-10457.500819999999</v>
      </c>
      <c r="AD362" s="85">
        <f t="shared" si="316"/>
        <v>2598.140025222212</v>
      </c>
      <c r="AE362" s="85">
        <f t="shared" si="317"/>
        <v>-4124.9100028250732</v>
      </c>
      <c r="AF362" s="90">
        <f t="shared" si="318"/>
        <v>2598.140025222212</v>
      </c>
      <c r="AG362" s="86">
        <f t="shared" si="319"/>
        <v>11543.90065</v>
      </c>
      <c r="AH362" s="85">
        <f t="shared" si="320"/>
        <v>6183.1314163678471</v>
      </c>
      <c r="AI362" s="85">
        <f t="shared" si="321"/>
        <v>7893.7821377606551</v>
      </c>
      <c r="AJ362" s="90">
        <f t="shared" si="322"/>
        <v>6183.1314163678471</v>
      </c>
      <c r="AL362" s="95">
        <f t="shared" si="323"/>
        <v>0</v>
      </c>
      <c r="AM362" s="95">
        <f t="shared" si="324"/>
        <v>0</v>
      </c>
      <c r="AN362" s="95">
        <f t="shared" si="325"/>
        <v>0</v>
      </c>
      <c r="AO362" s="95">
        <f t="shared" si="326"/>
        <v>0</v>
      </c>
      <c r="AP362"/>
      <c r="AQ362" s="95">
        <f t="shared" si="327"/>
        <v>0</v>
      </c>
      <c r="AR362" s="95">
        <f t="shared" si="328"/>
        <v>0</v>
      </c>
      <c r="AS362" s="95">
        <f>Geraetedaten!$B$94*ABS(SIN(RADIANS($A362)))</f>
        <v>96.915340221675024</v>
      </c>
      <c r="AT362" s="95">
        <f>Geraetedaten!$B$94*ABS(COS(RADIANS($A362)))</f>
        <v>119.68047806437347</v>
      </c>
      <c r="AU362" s="95">
        <f>((h_Aw_Sw+Geraetedaten!$B$18)/1000)*(AQ362*AS362+AR362*AT362)/100</f>
        <v>0</v>
      </c>
    </row>
    <row r="363" spans="1:47" ht="13.5" x14ac:dyDescent="0.25">
      <c r="A363" s="16">
        <v>322</v>
      </c>
      <c r="B363" s="16">
        <f t="shared" si="295"/>
        <v>128</v>
      </c>
      <c r="C363" s="19">
        <f t="shared" si="296"/>
        <v>62.722548956682388</v>
      </c>
      <c r="D363" s="17">
        <f t="shared" si="297"/>
        <v>10838.341151043318</v>
      </c>
      <c r="E363" s="17">
        <f t="shared" si="298"/>
        <v>-11236.072258956683</v>
      </c>
      <c r="F363" s="17">
        <f t="shared" si="299"/>
        <v>-10751.893178956683</v>
      </c>
      <c r="G363" s="17">
        <f t="shared" si="300"/>
        <v>11325.178671043317</v>
      </c>
      <c r="H363" s="17">
        <f t="shared" si="301"/>
        <v>10838.341151043318</v>
      </c>
      <c r="I363" s="17">
        <f t="shared" si="302"/>
        <v>4364.4909460986955</v>
      </c>
      <c r="J363" s="20">
        <f>(Geraetedaten!$B$152+(Geraetedaten!$B$153*(Geraetedaten!$B$18+d_y_Sw)/1000))*10</f>
        <v>6051.0442000000003</v>
      </c>
      <c r="K363" s="20">
        <f>(Geraetedaten!$B$165+(Geraetedaten!$B$166*(Geraetedaten!$B$18+d_y_Sw)/1000))*10</f>
        <v>10816.164000000001</v>
      </c>
      <c r="L363" s="20">
        <f>(Geraetedaten!$B$158+(Geraetedaten!$B$159*(Geraetedaten!$B$18+d_y_Sw)/1000)-(Geraetedaten!$B$160*I363/1000))*10</f>
        <v>281.48847892258243</v>
      </c>
      <c r="M363" s="20">
        <f>(Geraetedaten!$B$171+(Geraetedaten!$B$172*(Geraetedaten!$B$18+d_y_Sw)/1000)-(Geraetedaten!$B$173*I363/1000))*10</f>
        <v>739.97429397241399</v>
      </c>
      <c r="N363" s="20">
        <f>IF((H363-J363)/(K363-J363)*(Geraetedaten!$B$174-Geraetedaten!$B$161)&lt;Geraetedaten!$B$174,(H363-J363)/(K363-J363)*(Geraetedaten!$B$174-Geraetedaten!$B$161),Geraetedaten!$B$174)</f>
        <v>400</v>
      </c>
      <c r="O363" s="20">
        <f>N363/Geraetedaten!$B$174*(M363-L363)+L363+C363</f>
        <v>802.69684292909642</v>
      </c>
      <c r="P363" s="20">
        <f t="shared" si="303"/>
        <v>222.73911262163443</v>
      </c>
      <c r="Q363" s="21">
        <f>(N363-Geraetedaten!$B$161)/(Geraetedaten!$B$174-Geraetedaten!$B$161)*(Geraetedaten!$B$175-Geraetedaten!$B$162)+Geraetedaten!$B$162</f>
        <v>41.1</v>
      </c>
      <c r="R363" s="21">
        <f t="shared" si="304"/>
        <v>41.1</v>
      </c>
      <c r="S363" s="21">
        <f t="shared" si="305"/>
        <v>-25.303686635884553</v>
      </c>
      <c r="T363" s="88">
        <f t="shared" si="306"/>
        <v>32.387241973236279</v>
      </c>
      <c r="U363" s="86">
        <f t="shared" si="307"/>
        <v>10901.063700000001</v>
      </c>
      <c r="V363" s="85">
        <f t="shared" si="308"/>
        <v>-2683.3128092763232</v>
      </c>
      <c r="W363" s="85">
        <f t="shared" si="309"/>
        <v>4364.4909460986955</v>
      </c>
      <c r="X363" s="90">
        <f t="shared" si="310"/>
        <v>2683.3128092763232</v>
      </c>
      <c r="Y363" s="86">
        <f t="shared" si="311"/>
        <v>-11173.34971</v>
      </c>
      <c r="Z363" s="85">
        <f t="shared" si="312"/>
        <v>-832.16398485565549</v>
      </c>
      <c r="AA363" s="85">
        <f t="shared" si="313"/>
        <v>-1082.5617359213331</v>
      </c>
      <c r="AB363" s="90">
        <f t="shared" si="314"/>
        <v>832.16398485565549</v>
      </c>
      <c r="AC363" s="86">
        <f t="shared" si="315"/>
        <v>-10689.170630000001</v>
      </c>
      <c r="AD363" s="85">
        <f t="shared" si="316"/>
        <v>2598.140025222212</v>
      </c>
      <c r="AE363" s="85">
        <f t="shared" si="317"/>
        <v>-4216.2910250937184</v>
      </c>
      <c r="AF363" s="90">
        <f t="shared" si="318"/>
        <v>2598.140025222212</v>
      </c>
      <c r="AG363" s="86">
        <f t="shared" si="319"/>
        <v>11387.90122</v>
      </c>
      <c r="AH363" s="85">
        <f t="shared" si="320"/>
        <v>6183.1314163678471</v>
      </c>
      <c r="AI363" s="85">
        <f t="shared" si="321"/>
        <v>7787.1088806541047</v>
      </c>
      <c r="AJ363" s="90">
        <f t="shared" si="322"/>
        <v>6183.1314163678471</v>
      </c>
      <c r="AL363" s="95">
        <f t="shared" si="323"/>
        <v>0</v>
      </c>
      <c r="AM363" s="95">
        <f t="shared" si="324"/>
        <v>0</v>
      </c>
      <c r="AN363" s="95">
        <f t="shared" si="325"/>
        <v>0</v>
      </c>
      <c r="AO363" s="95">
        <f t="shared" si="326"/>
        <v>0</v>
      </c>
      <c r="AP363"/>
      <c r="AQ363" s="95">
        <f t="shared" si="327"/>
        <v>0</v>
      </c>
      <c r="AR363" s="95">
        <f t="shared" si="328"/>
        <v>0</v>
      </c>
      <c r="AS363" s="95">
        <f>Geraetedaten!$B$94*ABS(SIN(RADIANS($A363)))</f>
        <v>94.811867200151354</v>
      </c>
      <c r="AT363" s="95">
        <f>Geraetedaten!$B$94*ABS(COS(RADIANS($A363)))</f>
        <v>121.3536560554352</v>
      </c>
      <c r="AU363" s="95">
        <f>((h_Aw_Sw+Geraetedaten!$B$18)/1000)*(AQ363*AS363+AR363*AT363)/100</f>
        <v>0</v>
      </c>
    </row>
    <row r="364" spans="1:47" ht="13.5" x14ac:dyDescent="0.25">
      <c r="A364" s="16">
        <v>323</v>
      </c>
      <c r="B364" s="16">
        <f t="shared" si="295"/>
        <v>127</v>
      </c>
      <c r="C364" s="19">
        <f t="shared" si="296"/>
        <v>62.160811110473347</v>
      </c>
      <c r="D364" s="17">
        <f t="shared" si="297"/>
        <v>11090.283818889526</v>
      </c>
      <c r="E364" s="17">
        <f t="shared" si="298"/>
        <v>-11077.231551110473</v>
      </c>
      <c r="F364" s="17">
        <f t="shared" si="299"/>
        <v>-10996.904661110475</v>
      </c>
      <c r="G364" s="17">
        <f t="shared" si="300"/>
        <v>11177.278978889526</v>
      </c>
      <c r="H364" s="17">
        <f t="shared" si="301"/>
        <v>11090.283818889526</v>
      </c>
      <c r="I364" s="17">
        <f t="shared" si="302"/>
        <v>4465.1370686696227</v>
      </c>
      <c r="J364" s="20">
        <f>(Geraetedaten!$B$152+(Geraetedaten!$B$153*(Geraetedaten!$B$18+d_y_Sw)/1000))*10</f>
        <v>6051.0442000000003</v>
      </c>
      <c r="K364" s="20">
        <f>(Geraetedaten!$B$165+(Geraetedaten!$B$166*(Geraetedaten!$B$18+d_y_Sw)/1000))*10</f>
        <v>10816.164000000001</v>
      </c>
      <c r="L364" s="20">
        <f>(Geraetedaten!$B$158+(Geraetedaten!$B$159*(Geraetedaten!$B$18+d_y_Sw)/1000)-(Geraetedaten!$B$160*I364/1000))*10</f>
        <v>274.10809875445636</v>
      </c>
      <c r="M364" s="20">
        <f>(Geraetedaten!$B$171+(Geraetedaten!$B$172*(Geraetedaten!$B$18+d_y_Sw)/1000)-(Geraetedaten!$B$173*I364/1000))*10</f>
        <v>732.48219660823429</v>
      </c>
      <c r="N364" s="20">
        <f>IF((H364-J364)/(K364-J364)*(Geraetedaten!$B$174-Geraetedaten!$B$161)&lt;Geraetedaten!$B$174,(H364-J364)/(K364-J364)*(Geraetedaten!$B$174-Geraetedaten!$B$161),Geraetedaten!$B$174)</f>
        <v>400</v>
      </c>
      <c r="O364" s="20">
        <f>N364/Geraetedaten!$B$174*(M364-L364)+L364+C364</f>
        <v>794.64300771870762</v>
      </c>
      <c r="P364" s="20">
        <f t="shared" si="303"/>
        <v>221.11005261034788</v>
      </c>
      <c r="Q364" s="21">
        <f>(N364-Geraetedaten!$B$161)/(Geraetedaten!$B$174-Geraetedaten!$B$161)*(Geraetedaten!$B$175-Geraetedaten!$B$162)+Geraetedaten!$B$162</f>
        <v>41.1</v>
      </c>
      <c r="R364" s="21">
        <f t="shared" si="304"/>
        <v>41.1</v>
      </c>
      <c r="S364" s="21">
        <f t="shared" si="305"/>
        <v>-24.734597451549185</v>
      </c>
      <c r="T364" s="88">
        <f t="shared" si="306"/>
        <v>32.823919462943735</v>
      </c>
      <c r="U364" s="86">
        <f t="shared" si="307"/>
        <v>11152.44463</v>
      </c>
      <c r="V364" s="85">
        <f t="shared" si="308"/>
        <v>-2683.3128092763232</v>
      </c>
      <c r="W364" s="85">
        <f t="shared" si="309"/>
        <v>4465.1370686696227</v>
      </c>
      <c r="X364" s="90">
        <f t="shared" si="310"/>
        <v>2683.3128092763232</v>
      </c>
      <c r="Y364" s="86">
        <f t="shared" si="311"/>
        <v>-11015.070739999999</v>
      </c>
      <c r="Z364" s="85">
        <f t="shared" si="312"/>
        <v>-832.16398485565549</v>
      </c>
      <c r="AA364" s="85">
        <f t="shared" si="313"/>
        <v>-1067.2264290162175</v>
      </c>
      <c r="AB364" s="90">
        <f t="shared" si="314"/>
        <v>832.16398485565549</v>
      </c>
      <c r="AC364" s="86">
        <f t="shared" si="315"/>
        <v>-10934.743850000001</v>
      </c>
      <c r="AD364" s="85">
        <f t="shared" si="316"/>
        <v>2598.140025222212</v>
      </c>
      <c r="AE364" s="85">
        <f t="shared" si="317"/>
        <v>-4313.1561803863033</v>
      </c>
      <c r="AF364" s="90">
        <f t="shared" si="318"/>
        <v>2598.140025222212</v>
      </c>
      <c r="AG364" s="86">
        <f t="shared" si="319"/>
        <v>11239.43979</v>
      </c>
      <c r="AH364" s="85">
        <f t="shared" si="320"/>
        <v>6183.1314163678471</v>
      </c>
      <c r="AI364" s="85">
        <f t="shared" si="321"/>
        <v>7685.5901478871774</v>
      </c>
      <c r="AJ364" s="90">
        <f t="shared" si="322"/>
        <v>6183.1314163678471</v>
      </c>
      <c r="AL364" s="95">
        <f t="shared" si="323"/>
        <v>0</v>
      </c>
      <c r="AM364" s="95">
        <f t="shared" si="324"/>
        <v>0</v>
      </c>
      <c r="AN364" s="95">
        <f t="shared" si="325"/>
        <v>0</v>
      </c>
      <c r="AO364" s="95">
        <f t="shared" si="326"/>
        <v>0</v>
      </c>
      <c r="AP364"/>
      <c r="AQ364" s="95">
        <f t="shared" si="327"/>
        <v>0</v>
      </c>
      <c r="AR364" s="95">
        <f t="shared" si="328"/>
        <v>0</v>
      </c>
      <c r="AS364" s="95">
        <f>Geraetedaten!$B$94*ABS(SIN(RADIANS($A364)))</f>
        <v>92.679513565415434</v>
      </c>
      <c r="AT364" s="95">
        <f>Geraetedaten!$B$94*ABS(COS(RADIANS($A364)))</f>
        <v>122.98986854728309</v>
      </c>
      <c r="AU364" s="95">
        <f>((h_Aw_Sw+Geraetedaten!$B$18)/1000)*(AQ364*AS364+AR364*AT364)/100</f>
        <v>0</v>
      </c>
    </row>
    <row r="365" spans="1:47" ht="13.5" x14ac:dyDescent="0.25">
      <c r="A365" s="16">
        <v>324</v>
      </c>
      <c r="B365" s="16">
        <f t="shared" si="295"/>
        <v>126</v>
      </c>
      <c r="C365" s="19">
        <f t="shared" si="296"/>
        <v>61.580138479034773</v>
      </c>
      <c r="D365" s="17">
        <f t="shared" si="297"/>
        <v>11357.673401520964</v>
      </c>
      <c r="E365" s="17">
        <f t="shared" si="298"/>
        <v>-10926.056768479035</v>
      </c>
      <c r="F365" s="17">
        <f t="shared" si="299"/>
        <v>-11256.936548479036</v>
      </c>
      <c r="G365" s="17">
        <f t="shared" si="300"/>
        <v>11036.556421520965</v>
      </c>
      <c r="H365" s="17">
        <f t="shared" si="301"/>
        <v>11036.556421520965</v>
      </c>
      <c r="I365" s="17">
        <f t="shared" si="302"/>
        <v>7588.9662275711617</v>
      </c>
      <c r="J365" s="20">
        <f>(Geraetedaten!$B$152+(Geraetedaten!$B$153*(Geraetedaten!$B$18+d_y_Sw)/1000))*10</f>
        <v>6051.0442000000003</v>
      </c>
      <c r="K365" s="20">
        <f>(Geraetedaten!$B$165+(Geraetedaten!$B$166*(Geraetedaten!$B$18+d_y_Sw)/1000))*10</f>
        <v>10816.164000000001</v>
      </c>
      <c r="L365" s="20">
        <f>(Geraetedaten!$B$158+(Geraetedaten!$B$159*(Geraetedaten!$B$18+d_y_Sw)/1000)-(Geraetedaten!$B$160*I365/1000))*10</f>
        <v>45.037706532206556</v>
      </c>
      <c r="M365" s="20">
        <f>(Geraetedaten!$B$171+(Geraetedaten!$B$172*(Geraetedaten!$B$18+d_y_Sw)/1000)-(Geraetedaten!$B$173*I365/1000))*10</f>
        <v>499.94435401960345</v>
      </c>
      <c r="N365" s="20">
        <f>IF((H365-J365)/(K365-J365)*(Geraetedaten!$B$174-Geraetedaten!$B$161)&lt;Geraetedaten!$B$174,(H365-J365)/(K365-J365)*(Geraetedaten!$B$174-Geraetedaten!$B$161),Geraetedaten!$B$174)</f>
        <v>400</v>
      </c>
      <c r="O365" s="20">
        <f>N365/Geraetedaten!$B$174*(M365-L365)+L365+C365</f>
        <v>561.52449249863821</v>
      </c>
      <c r="P365" s="20">
        <f t="shared" si="303"/>
        <v>170.80944090751763</v>
      </c>
      <c r="Q365" s="21">
        <f>(N365-Geraetedaten!$B$161)/(Geraetedaten!$B$174-Geraetedaten!$B$161)*(Geraetedaten!$B$175-Geraetedaten!$B$162)+Geraetedaten!$B$162</f>
        <v>41.1</v>
      </c>
      <c r="R365" s="21">
        <f t="shared" si="304"/>
        <v>41.1</v>
      </c>
      <c r="S365" s="21">
        <f t="shared" si="305"/>
        <v>-24.157973869220655</v>
      </c>
      <c r="T365" s="88">
        <f t="shared" si="306"/>
        <v>33.250598468810338</v>
      </c>
      <c r="U365" s="86">
        <f t="shared" si="307"/>
        <v>11419.25354</v>
      </c>
      <c r="V365" s="85">
        <f t="shared" si="308"/>
        <v>-2683.3128092763232</v>
      </c>
      <c r="W365" s="85">
        <f t="shared" si="309"/>
        <v>4571.9601398963532</v>
      </c>
      <c r="X365" s="90">
        <f t="shared" si="310"/>
        <v>2683.3128092763232</v>
      </c>
      <c r="Y365" s="86">
        <f t="shared" si="311"/>
        <v>-10864.476629999999</v>
      </c>
      <c r="Z365" s="85">
        <f t="shared" si="312"/>
        <v>-832.16398485565549</v>
      </c>
      <c r="AA365" s="85">
        <f t="shared" si="313"/>
        <v>-1052.6356902420391</v>
      </c>
      <c r="AB365" s="90">
        <f t="shared" si="314"/>
        <v>832.16398485565549</v>
      </c>
      <c r="AC365" s="86">
        <f t="shared" si="315"/>
        <v>-11195.35641</v>
      </c>
      <c r="AD365" s="85">
        <f t="shared" si="316"/>
        <v>2598.140025222212</v>
      </c>
      <c r="AE365" s="85">
        <f t="shared" si="317"/>
        <v>-4415.9535282888455</v>
      </c>
      <c r="AF365" s="90">
        <f t="shared" si="318"/>
        <v>2598.140025222212</v>
      </c>
      <c r="AG365" s="86">
        <f t="shared" si="319"/>
        <v>11098.136560000001</v>
      </c>
      <c r="AH365" s="85">
        <f t="shared" si="320"/>
        <v>6183.1314163678471</v>
      </c>
      <c r="AI365" s="85">
        <f t="shared" si="321"/>
        <v>7588.9662275711617</v>
      </c>
      <c r="AJ365" s="90">
        <f t="shared" si="322"/>
        <v>6183.1314163678471</v>
      </c>
      <c r="AL365" s="95">
        <f t="shared" si="323"/>
        <v>0</v>
      </c>
      <c r="AM365" s="95">
        <f t="shared" si="324"/>
        <v>0</v>
      </c>
      <c r="AN365" s="95">
        <f t="shared" si="325"/>
        <v>0</v>
      </c>
      <c r="AO365" s="95">
        <f t="shared" si="326"/>
        <v>0</v>
      </c>
      <c r="AP365"/>
      <c r="AQ365" s="95">
        <f t="shared" si="327"/>
        <v>0</v>
      </c>
      <c r="AR365" s="95">
        <f t="shared" si="328"/>
        <v>0</v>
      </c>
      <c r="AS365" s="95">
        <f>Geraetedaten!$B$94*ABS(SIN(RADIANS($A365)))</f>
        <v>90.518928853040904</v>
      </c>
      <c r="AT365" s="95">
        <f>Geraetedaten!$B$94*ABS(COS(RADIANS($A365)))</f>
        <v>124.58861713374189</v>
      </c>
      <c r="AU365" s="95">
        <f>((h_Aw_Sw+Geraetedaten!$B$18)/1000)*(AQ365*AS365+AR365*AT365)/100</f>
        <v>0</v>
      </c>
    </row>
    <row r="366" spans="1:47" ht="13.5" x14ac:dyDescent="0.25">
      <c r="A366" s="16">
        <v>325</v>
      </c>
      <c r="B366" s="16">
        <f t="shared" si="295"/>
        <v>125</v>
      </c>
      <c r="C366" s="19">
        <f t="shared" si="296"/>
        <v>60.980707940875284</v>
      </c>
      <c r="D366" s="17">
        <f t="shared" si="297"/>
        <v>11641.812982059126</v>
      </c>
      <c r="E366" s="17">
        <f t="shared" si="298"/>
        <v>-10782.147147940876</v>
      </c>
      <c r="F366" s="17">
        <f t="shared" si="299"/>
        <v>-11533.255457940875</v>
      </c>
      <c r="G366" s="17">
        <f t="shared" si="300"/>
        <v>10902.659622059125</v>
      </c>
      <c r="H366" s="17">
        <f t="shared" si="301"/>
        <v>10902.659622059125</v>
      </c>
      <c r="I366" s="17">
        <f t="shared" si="302"/>
        <v>7496.9969752355946</v>
      </c>
      <c r="J366" s="20">
        <f>(Geraetedaten!$B$152+(Geraetedaten!$B$153*(Geraetedaten!$B$18+d_y_Sw)/1000))*10</f>
        <v>6051.0442000000003</v>
      </c>
      <c r="K366" s="20">
        <f>(Geraetedaten!$B$165+(Geraetedaten!$B$166*(Geraetedaten!$B$18+d_y_Sw)/1000))*10</f>
        <v>10816.164000000001</v>
      </c>
      <c r="L366" s="20">
        <f>(Geraetedaten!$B$158+(Geraetedaten!$B$159*(Geraetedaten!$B$18+d_y_Sw)/1000)-(Geraetedaten!$B$160*I366/1000))*10</f>
        <v>51.781811805973703</v>
      </c>
      <c r="M366" s="20">
        <f>(Geraetedaten!$B$171+(Geraetedaten!$B$172*(Geraetedaten!$B$18+d_y_Sw)/1000)-(Geraetedaten!$B$173*I366/1000))*10</f>
        <v>506.79054516346309</v>
      </c>
      <c r="N366" s="20">
        <f>IF((H366-J366)/(K366-J366)*(Geraetedaten!$B$174-Geraetedaten!$B$161)&lt;Geraetedaten!$B$174,(H366-J366)/(K366-J366)*(Geraetedaten!$B$174-Geraetedaten!$B$161),Geraetedaten!$B$174)</f>
        <v>400</v>
      </c>
      <c r="O366" s="20">
        <f>N366/Geraetedaten!$B$174*(M366-L366)+L366+C366</f>
        <v>567.77125310433837</v>
      </c>
      <c r="P366" s="20">
        <f t="shared" si="303"/>
        <v>172.23694015614791</v>
      </c>
      <c r="Q366" s="21">
        <f>(N366-Geraetedaten!$B$161)/(Geraetedaten!$B$174-Geraetedaten!$B$161)*(Geraetedaten!$B$175-Geraetedaten!$B$162)+Geraetedaten!$B$162</f>
        <v>41.1</v>
      </c>
      <c r="R366" s="21">
        <f t="shared" si="304"/>
        <v>41.1</v>
      </c>
      <c r="S366" s="21">
        <f t="shared" si="305"/>
        <v>-23.573991534028011</v>
      </c>
      <c r="T366" s="88">
        <f t="shared" si="306"/>
        <v>33.667149020277556</v>
      </c>
      <c r="U366" s="86">
        <f t="shared" si="307"/>
        <v>11702.79369</v>
      </c>
      <c r="V366" s="85">
        <f t="shared" si="308"/>
        <v>-2683.3128092763232</v>
      </c>
      <c r="W366" s="85">
        <f t="shared" si="309"/>
        <v>4685.4819422329701</v>
      </c>
      <c r="X366" s="90">
        <f t="shared" si="310"/>
        <v>2683.3128092763232</v>
      </c>
      <c r="Y366" s="86">
        <f t="shared" si="311"/>
        <v>-10721.166440000001</v>
      </c>
      <c r="Z366" s="85">
        <f t="shared" si="312"/>
        <v>-832.16398485565549</v>
      </c>
      <c r="AA366" s="85">
        <f t="shared" si="313"/>
        <v>-1038.7506753257549</v>
      </c>
      <c r="AB366" s="90">
        <f t="shared" si="314"/>
        <v>832.16398485565549</v>
      </c>
      <c r="AC366" s="86">
        <f t="shared" si="315"/>
        <v>-11472.27475</v>
      </c>
      <c r="AD366" s="85">
        <f t="shared" si="316"/>
        <v>2598.140025222212</v>
      </c>
      <c r="AE366" s="85">
        <f t="shared" si="317"/>
        <v>-4525.1826097783724</v>
      </c>
      <c r="AF366" s="90">
        <f t="shared" si="318"/>
        <v>2598.140025222212</v>
      </c>
      <c r="AG366" s="86">
        <f t="shared" si="319"/>
        <v>10963.64033</v>
      </c>
      <c r="AH366" s="85">
        <f t="shared" si="320"/>
        <v>6183.1314163678471</v>
      </c>
      <c r="AI366" s="85">
        <f t="shared" si="321"/>
        <v>7496.9969752355946</v>
      </c>
      <c r="AJ366" s="90">
        <f t="shared" si="322"/>
        <v>6183.1314163678471</v>
      </c>
      <c r="AL366" s="95">
        <f t="shared" si="323"/>
        <v>0</v>
      </c>
      <c r="AM366" s="95">
        <f t="shared" si="324"/>
        <v>0</v>
      </c>
      <c r="AN366" s="95">
        <f t="shared" si="325"/>
        <v>0</v>
      </c>
      <c r="AO366" s="95">
        <f t="shared" si="326"/>
        <v>0</v>
      </c>
      <c r="AP366"/>
      <c r="AQ366" s="95">
        <f t="shared" si="327"/>
        <v>0</v>
      </c>
      <c r="AR366" s="95">
        <f t="shared" si="328"/>
        <v>0</v>
      </c>
      <c r="AS366" s="95">
        <f>Geraetedaten!$B$94*ABS(SIN(RADIANS($A366)))</f>
        <v>88.330771198061157</v>
      </c>
      <c r="AT366" s="95">
        <f>Geraetedaten!$B$94*ABS(COS(RADIANS($A366)))</f>
        <v>126.1494148205047</v>
      </c>
      <c r="AU366" s="95">
        <f>((h_Aw_Sw+Geraetedaten!$B$18)/1000)*(AQ366*AS366+AR366*AT366)/100</f>
        <v>0</v>
      </c>
    </row>
    <row r="367" spans="1:47" ht="13.5" x14ac:dyDescent="0.25">
      <c r="A367" s="16">
        <v>326</v>
      </c>
      <c r="B367" s="16">
        <f t="shared" si="295"/>
        <v>124</v>
      </c>
      <c r="C367" s="19">
        <f t="shared" si="296"/>
        <v>60.362702088343582</v>
      </c>
      <c r="D367" s="17">
        <f t="shared" si="297"/>
        <v>11944.160067911656</v>
      </c>
      <c r="E367" s="17">
        <f t="shared" si="298"/>
        <v>-10645.132702088344</v>
      </c>
      <c r="F367" s="17">
        <f t="shared" si="299"/>
        <v>-11827.277662088343</v>
      </c>
      <c r="G367" s="17">
        <f t="shared" si="300"/>
        <v>10775.263357911657</v>
      </c>
      <c r="H367" s="17">
        <f t="shared" si="301"/>
        <v>10775.263357911657</v>
      </c>
      <c r="I367" s="17">
        <f t="shared" si="302"/>
        <v>7409.4601169731986</v>
      </c>
      <c r="J367" s="20">
        <f>(Geraetedaten!$B$152+(Geraetedaten!$B$153*(Geraetedaten!$B$18+d_y_Sw)/1000))*10</f>
        <v>6051.0442000000003</v>
      </c>
      <c r="K367" s="20">
        <f>(Geraetedaten!$B$165+(Geraetedaten!$B$166*(Geraetedaten!$B$18+d_y_Sw)/1000))*10</f>
        <v>10816.164000000001</v>
      </c>
      <c r="L367" s="20">
        <f>(Geraetedaten!$B$158+(Geraetedaten!$B$159*(Geraetedaten!$B$18+d_y_Sw)/1000)-(Geraetedaten!$B$160*I367/1000))*10</f>
        <v>58.200889622355163</v>
      </c>
      <c r="M367" s="20">
        <f>(Geraetedaten!$B$171+(Geraetedaten!$B$172*(Geraetedaten!$B$18+d_y_Sw)/1000)-(Geraetedaten!$B$173*I367/1000))*10</f>
        <v>513.3067888925159</v>
      </c>
      <c r="N367" s="20">
        <f>IF((H367-J367)/(K367-J367)*(Geraetedaten!$B$174-Geraetedaten!$B$161)&lt;Geraetedaten!$B$174,(H367-J367)/(K367-J367)*(Geraetedaten!$B$174-Geraetedaten!$B$161),Geraetedaten!$B$174)</f>
        <v>396.56666410877278</v>
      </c>
      <c r="O367" s="20">
        <f>N367/Geraetedaten!$B$174*(M367-L367)+L367+C367</f>
        <v>569.76316243517579</v>
      </c>
      <c r="P367" s="20">
        <f t="shared" si="303"/>
        <v>172.91635293039596</v>
      </c>
      <c r="Q367" s="21">
        <f>(N367-Geraetedaten!$B$161)/(Geraetedaten!$B$174-Geraetedaten!$B$161)*(Geraetedaten!$B$175-Geraetedaten!$B$162)+Geraetedaten!$B$162</f>
        <v>40.99785825723599</v>
      </c>
      <c r="R367" s="21">
        <f t="shared" si="304"/>
        <v>40.99785825723599</v>
      </c>
      <c r="S367" s="21">
        <f t="shared" si="305"/>
        <v>-22.925711394945914</v>
      </c>
      <c r="T367" s="88">
        <f t="shared" si="306"/>
        <v>33.9887648895346</v>
      </c>
      <c r="U367" s="86">
        <f t="shared" si="307"/>
        <v>12004.52277</v>
      </c>
      <c r="V367" s="85">
        <f t="shared" si="308"/>
        <v>-2683.3128092763232</v>
      </c>
      <c r="W367" s="85">
        <f t="shared" si="309"/>
        <v>4806.286101136443</v>
      </c>
      <c r="X367" s="90">
        <f t="shared" si="310"/>
        <v>2683.3128092763232</v>
      </c>
      <c r="Y367" s="86">
        <f t="shared" si="311"/>
        <v>-10584.77</v>
      </c>
      <c r="Z367" s="85">
        <f t="shared" si="312"/>
        <v>-832.16398485565549</v>
      </c>
      <c r="AA367" s="85">
        <f t="shared" si="313"/>
        <v>-1025.535519034351</v>
      </c>
      <c r="AB367" s="90">
        <f t="shared" si="314"/>
        <v>832.16398485565549</v>
      </c>
      <c r="AC367" s="86">
        <f t="shared" si="315"/>
        <v>-11766.91496</v>
      </c>
      <c r="AD367" s="85">
        <f t="shared" si="316"/>
        <v>2598.140025222212</v>
      </c>
      <c r="AE367" s="85">
        <f t="shared" si="317"/>
        <v>-4641.4019992528147</v>
      </c>
      <c r="AF367" s="90">
        <f t="shared" si="318"/>
        <v>2598.140025222212</v>
      </c>
      <c r="AG367" s="86">
        <f t="shared" si="319"/>
        <v>10835.626060000001</v>
      </c>
      <c r="AH367" s="85">
        <f t="shared" si="320"/>
        <v>6183.1314163678471</v>
      </c>
      <c r="AI367" s="85">
        <f t="shared" si="321"/>
        <v>7409.4601169731986</v>
      </c>
      <c r="AJ367" s="90">
        <f t="shared" si="322"/>
        <v>6183.1314163678471</v>
      </c>
      <c r="AL367" s="95">
        <f t="shared" si="323"/>
        <v>0</v>
      </c>
      <c r="AM367" s="95">
        <f t="shared" si="324"/>
        <v>0</v>
      </c>
      <c r="AN367" s="95">
        <f t="shared" si="325"/>
        <v>0</v>
      </c>
      <c r="AO367" s="95">
        <f t="shared" si="326"/>
        <v>0</v>
      </c>
      <c r="AP367"/>
      <c r="AQ367" s="95">
        <f t="shared" si="327"/>
        <v>0</v>
      </c>
      <c r="AR367" s="95">
        <f t="shared" si="328"/>
        <v>0</v>
      </c>
      <c r="AS367" s="95">
        <f>Geraetedaten!$B$94*ABS(SIN(RADIANS($A367)))</f>
        <v>86.115707134494968</v>
      </c>
      <c r="AT367" s="95">
        <f>Geraetedaten!$B$94*ABS(COS(RADIANS($A367)))</f>
        <v>127.67178617347645</v>
      </c>
      <c r="AU367" s="95">
        <f>((h_Aw_Sw+Geraetedaten!$B$18)/1000)*(AQ367*AS367+AR367*AT367)/100</f>
        <v>0</v>
      </c>
    </row>
    <row r="368" spans="1:47" ht="13.5" x14ac:dyDescent="0.25">
      <c r="A368" s="16">
        <v>327</v>
      </c>
      <c r="B368" s="16">
        <f t="shared" si="295"/>
        <v>123</v>
      </c>
      <c r="C368" s="19">
        <f t="shared" si="296"/>
        <v>59.726309172009181</v>
      </c>
      <c r="D368" s="17">
        <f t="shared" si="297"/>
        <v>12266.350060827992</v>
      </c>
      <c r="E368" s="17">
        <f t="shared" si="298"/>
        <v>-10514.671469172008</v>
      </c>
      <c r="F368" s="17">
        <f t="shared" si="299"/>
        <v>-12140.591749172008</v>
      </c>
      <c r="G368" s="17">
        <f t="shared" si="300"/>
        <v>10654.06628082799</v>
      </c>
      <c r="H368" s="17">
        <f t="shared" si="301"/>
        <v>10654.06628082799</v>
      </c>
      <c r="I368" s="17">
        <f t="shared" si="302"/>
        <v>7326.1497311018147</v>
      </c>
      <c r="J368" s="20">
        <f>(Geraetedaten!$B$152+(Geraetedaten!$B$153*(Geraetedaten!$B$18+d_y_Sw)/1000))*10</f>
        <v>6051.0442000000003</v>
      </c>
      <c r="K368" s="20">
        <f>(Geraetedaten!$B$165+(Geraetedaten!$B$166*(Geraetedaten!$B$18+d_y_Sw)/1000))*10</f>
        <v>10816.164000000001</v>
      </c>
      <c r="L368" s="20">
        <f>(Geraetedaten!$B$158+(Geraetedaten!$B$159*(Geraetedaten!$B$18+d_y_Sw)/1000)-(Geraetedaten!$B$160*I368/1000))*10</f>
        <v>64.310040218303755</v>
      </c>
      <c r="M368" s="20">
        <f>(Geraetedaten!$B$171+(Geraetedaten!$B$172*(Geraetedaten!$B$18+d_y_Sw)/1000)-(Geraetedaten!$B$173*I368/1000))*10</f>
        <v>519.50841401678167</v>
      </c>
      <c r="N368" s="20">
        <f>IF((H368-J368)/(K368-J368)*(Geraetedaten!$B$174-Geraetedaten!$B$161)&lt;Geraetedaten!$B$174,(H368-J368)/(K368-J368)*(Geraetedaten!$B$174-Geraetedaten!$B$161),Geraetedaten!$B$174)</f>
        <v>386.39297847898723</v>
      </c>
      <c r="O368" s="20">
        <f>N368/Geraetedaten!$B$174*(M368-L368)+L368+C368</f>
        <v>563.74998801727611</v>
      </c>
      <c r="P368" s="20">
        <f t="shared" si="303"/>
        <v>172.21612292271604</v>
      </c>
      <c r="Q368" s="21">
        <f>(N368-Geraetedaten!$B$161)/(Geraetedaten!$B$174-Geraetedaten!$B$161)*(Geraetedaten!$B$175-Geraetedaten!$B$162)+Geraetedaten!$B$162</f>
        <v>40.695191109749871</v>
      </c>
      <c r="R368" s="21">
        <f t="shared" si="304"/>
        <v>40.695191109749871</v>
      </c>
      <c r="S368" s="21">
        <f t="shared" si="305"/>
        <v>-22.164189615766276</v>
      </c>
      <c r="T368" s="88">
        <f t="shared" si="306"/>
        <v>34.129859040661493</v>
      </c>
      <c r="U368" s="86">
        <f t="shared" si="307"/>
        <v>12326.076370000001</v>
      </c>
      <c r="V368" s="85">
        <f t="shared" si="308"/>
        <v>-2683.3128092763232</v>
      </c>
      <c r="W368" s="85">
        <f t="shared" si="309"/>
        <v>4935.0274629861169</v>
      </c>
      <c r="X368" s="90">
        <f t="shared" si="310"/>
        <v>2683.3128092763232</v>
      </c>
      <c r="Y368" s="86">
        <f t="shared" si="311"/>
        <v>-10454.945159999999</v>
      </c>
      <c r="Z368" s="85">
        <f t="shared" si="312"/>
        <v>-832.16398485565549</v>
      </c>
      <c r="AA368" s="85">
        <f t="shared" si="313"/>
        <v>-1012.9570697554923</v>
      </c>
      <c r="AB368" s="90">
        <f t="shared" si="314"/>
        <v>832.16398485565549</v>
      </c>
      <c r="AC368" s="86">
        <f t="shared" si="315"/>
        <v>-12080.86544</v>
      </c>
      <c r="AD368" s="85">
        <f t="shared" si="316"/>
        <v>2598.140025222212</v>
      </c>
      <c r="AE368" s="85">
        <f t="shared" si="317"/>
        <v>-4765.2382284644191</v>
      </c>
      <c r="AF368" s="90">
        <f t="shared" si="318"/>
        <v>2598.140025222212</v>
      </c>
      <c r="AG368" s="86">
        <f t="shared" si="319"/>
        <v>10713.792589999999</v>
      </c>
      <c r="AH368" s="85">
        <f t="shared" si="320"/>
        <v>6183.1314163678471</v>
      </c>
      <c r="AI368" s="85">
        <f t="shared" si="321"/>
        <v>7326.1497311018147</v>
      </c>
      <c r="AJ368" s="90">
        <f t="shared" si="322"/>
        <v>6183.1314163678471</v>
      </c>
      <c r="AL368" s="95">
        <f t="shared" si="323"/>
        <v>0</v>
      </c>
      <c r="AM368" s="95">
        <f t="shared" si="324"/>
        <v>0</v>
      </c>
      <c r="AN368" s="95">
        <f t="shared" si="325"/>
        <v>0</v>
      </c>
      <c r="AO368" s="95">
        <f t="shared" si="326"/>
        <v>0</v>
      </c>
      <c r="AP368"/>
      <c r="AQ368" s="95">
        <f t="shared" si="327"/>
        <v>0</v>
      </c>
      <c r="AR368" s="95">
        <f t="shared" si="328"/>
        <v>0</v>
      </c>
      <c r="AS368" s="95">
        <f>Geraetedaten!$B$94*ABS(SIN(RADIANS($A368)))</f>
        <v>83.874411392314158</v>
      </c>
      <c r="AT368" s="95">
        <f>Geraetedaten!$B$94*ABS(COS(RADIANS($A368)))</f>
        <v>129.15526746359529</v>
      </c>
      <c r="AU368" s="95">
        <f>((h_Aw_Sw+Geraetedaten!$B$18)/1000)*(AQ368*AS368+AR368*AT368)/100</f>
        <v>0</v>
      </c>
    </row>
    <row r="369" spans="1:47" ht="13.5" x14ac:dyDescent="0.25">
      <c r="A369" s="16">
        <v>328</v>
      </c>
      <c r="B369" s="16">
        <f t="shared" si="295"/>
        <v>122</v>
      </c>
      <c r="C369" s="19">
        <f t="shared" si="296"/>
        <v>59.071723043319238</v>
      </c>
      <c r="D369" s="17">
        <f t="shared" si="297"/>
        <v>12610.224076956682</v>
      </c>
      <c r="E369" s="17">
        <f t="shared" si="298"/>
        <v>-10390.447013043318</v>
      </c>
      <c r="F369" s="17">
        <f t="shared" si="299"/>
        <v>-12474.985443043319</v>
      </c>
      <c r="G369" s="17">
        <f t="shared" si="300"/>
        <v>10538.788996956682</v>
      </c>
      <c r="H369" s="17">
        <f t="shared" si="301"/>
        <v>10538.788996956682</v>
      </c>
      <c r="I369" s="17">
        <f t="shared" si="302"/>
        <v>7246.8748870971658</v>
      </c>
      <c r="J369" s="20">
        <f>(Geraetedaten!$B$152+(Geraetedaten!$B$153*(Geraetedaten!$B$18+d_y_Sw)/1000))*10</f>
        <v>6051.0442000000003</v>
      </c>
      <c r="K369" s="20">
        <f>(Geraetedaten!$B$165+(Geraetedaten!$B$166*(Geraetedaten!$B$18+d_y_Sw)/1000))*10</f>
        <v>10816.164000000001</v>
      </c>
      <c r="L369" s="20">
        <f>(Geraetedaten!$B$158+(Geraetedaten!$B$159*(Geraetedaten!$B$18+d_y_Sw)/1000)-(Geraetedaten!$B$160*I369/1000))*10</f>
        <v>70.123264529164686</v>
      </c>
      <c r="M369" s="20">
        <f>(Geraetedaten!$B$171+(Geraetedaten!$B$172*(Geraetedaten!$B$18+d_y_Sw)/1000)-(Geraetedaten!$B$173*I369/1000))*10</f>
        <v>525.40963340448775</v>
      </c>
      <c r="N369" s="20">
        <f>IF((H369-J369)/(K369-J369)*(Geraetedaten!$B$174-Geraetedaten!$B$161)&lt;Geraetedaten!$B$174,(H369-J369)/(K369-J369)*(Geraetedaten!$B$174-Geraetedaten!$B$161),Geraetedaten!$B$174)</f>
        <v>376.71621997471556</v>
      </c>
      <c r="O369" s="20">
        <f>N369/Geraetedaten!$B$174*(M369-L369)+L369+C369</f>
        <v>557.97938729429825</v>
      </c>
      <c r="P369" s="20">
        <f t="shared" si="303"/>
        <v>171.5256050480005</v>
      </c>
      <c r="Q369" s="21">
        <f>(N369-Geraetedaten!$B$161)/(Geraetedaten!$B$174-Geraetedaten!$B$161)*(Geraetedaten!$B$175-Geraetedaten!$B$162)+Geraetedaten!$B$162</f>
        <v>40.407307544247786</v>
      </c>
      <c r="R369" s="21">
        <f t="shared" si="304"/>
        <v>40.407307544247786</v>
      </c>
      <c r="S369" s="21">
        <f t="shared" si="305"/>
        <v>-21.41261068349262</v>
      </c>
      <c r="T369" s="88">
        <f t="shared" si="306"/>
        <v>34.26734023370652</v>
      </c>
      <c r="U369" s="86">
        <f t="shared" si="307"/>
        <v>12669.2958</v>
      </c>
      <c r="V369" s="85">
        <f t="shared" si="308"/>
        <v>-2683.3128092763232</v>
      </c>
      <c r="W369" s="85">
        <f t="shared" si="309"/>
        <v>5072.4432352758449</v>
      </c>
      <c r="X369" s="90">
        <f t="shared" si="310"/>
        <v>2683.3128092763232</v>
      </c>
      <c r="Y369" s="86">
        <f t="shared" si="311"/>
        <v>-10331.37529</v>
      </c>
      <c r="Z369" s="85">
        <f t="shared" si="312"/>
        <v>-832.16398485565549</v>
      </c>
      <c r="AA369" s="85">
        <f t="shared" si="313"/>
        <v>-1000.9846526071311</v>
      </c>
      <c r="AB369" s="90">
        <f t="shared" si="314"/>
        <v>832.16398485565549</v>
      </c>
      <c r="AC369" s="86">
        <f t="shared" si="315"/>
        <v>-12415.91372</v>
      </c>
      <c r="AD369" s="85">
        <f t="shared" si="316"/>
        <v>2598.140025222212</v>
      </c>
      <c r="AE369" s="85">
        <f t="shared" si="317"/>
        <v>-4897.3963820624576</v>
      </c>
      <c r="AF369" s="90">
        <f t="shared" si="318"/>
        <v>2598.140025222212</v>
      </c>
      <c r="AG369" s="86">
        <f t="shared" si="319"/>
        <v>10597.860720000001</v>
      </c>
      <c r="AH369" s="85">
        <f t="shared" si="320"/>
        <v>6183.1314163678471</v>
      </c>
      <c r="AI369" s="85">
        <f t="shared" si="321"/>
        <v>7246.8748870971658</v>
      </c>
      <c r="AJ369" s="90">
        <f t="shared" si="322"/>
        <v>6183.1314163678471</v>
      </c>
      <c r="AL369" s="95">
        <f t="shared" si="323"/>
        <v>0</v>
      </c>
      <c r="AM369" s="95">
        <f t="shared" si="324"/>
        <v>0</v>
      </c>
      <c r="AN369" s="95">
        <f t="shared" si="325"/>
        <v>0</v>
      </c>
      <c r="AO369" s="95">
        <f t="shared" si="326"/>
        <v>0</v>
      </c>
      <c r="AP369"/>
      <c r="AQ369" s="95">
        <f t="shared" si="327"/>
        <v>0</v>
      </c>
      <c r="AR369" s="95">
        <f t="shared" si="328"/>
        <v>0</v>
      </c>
      <c r="AS369" s="95">
        <f>Geraetedaten!$B$94*ABS(SIN(RADIANS($A369)))</f>
        <v>81.607566691913576</v>
      </c>
      <c r="AT369" s="95">
        <f>Geraetedaten!$B$94*ABS(COS(RADIANS($A369)))</f>
        <v>130.59940680808961</v>
      </c>
      <c r="AU369" s="95">
        <f>((h_Aw_Sw+Geraetedaten!$B$18)/1000)*(AQ369*AS369+AR369*AT369)/100</f>
        <v>0</v>
      </c>
    </row>
    <row r="370" spans="1:47" ht="13.5" x14ac:dyDescent="0.25">
      <c r="A370" s="16">
        <v>329</v>
      </c>
      <c r="B370" s="16">
        <f t="shared" si="295"/>
        <v>121</v>
      </c>
      <c r="C370" s="19">
        <f t="shared" si="296"/>
        <v>58.399143095549675</v>
      </c>
      <c r="D370" s="17">
        <f t="shared" si="297"/>
        <v>12977.86214690445</v>
      </c>
      <c r="E370" s="17">
        <f t="shared" si="298"/>
        <v>-10272.166333095551</v>
      </c>
      <c r="F370" s="17">
        <f t="shared" si="299"/>
        <v>-12832.477683095551</v>
      </c>
      <c r="G370" s="17">
        <f t="shared" si="300"/>
        <v>10429.172226904449</v>
      </c>
      <c r="H370" s="17">
        <f t="shared" si="301"/>
        <v>10429.172226904449</v>
      </c>
      <c r="I370" s="17">
        <f t="shared" si="302"/>
        <v>7171.4584234098629</v>
      </c>
      <c r="J370" s="20">
        <f>(Geraetedaten!$B$152+(Geraetedaten!$B$153*(Geraetedaten!$B$18+d_y_Sw)/1000))*10</f>
        <v>6051.0442000000003</v>
      </c>
      <c r="K370" s="20">
        <f>(Geraetedaten!$B$165+(Geraetedaten!$B$166*(Geraetedaten!$B$18+d_y_Sw)/1000))*10</f>
        <v>10816.164000000001</v>
      </c>
      <c r="L370" s="20">
        <f>(Geraetedaten!$B$158+(Geraetedaten!$B$159*(Geraetedaten!$B$18+d_y_Sw)/1000)-(Geraetedaten!$B$160*I370/1000))*10</f>
        <v>75.653553811354541</v>
      </c>
      <c r="M370" s="20">
        <f>(Geraetedaten!$B$171+(Geraetedaten!$B$172*(Geraetedaten!$B$18+d_y_Sw)/1000)-(Geraetedaten!$B$173*I370/1000))*10</f>
        <v>531.02363496137059</v>
      </c>
      <c r="N370" s="20">
        <f>IF((H370-J370)/(K370-J370)*(Geraetedaten!$B$174-Geraetedaten!$B$161)&lt;Geraetedaten!$B$174,(H370-J370)/(K370-J370)*(Geraetedaten!$B$174-Geraetedaten!$B$161),Geraetedaten!$B$174)</f>
        <v>367.5146238215836</v>
      </c>
      <c r="O370" s="20">
        <f>N370/Geraetedaten!$B$174*(M370-L370)+L370+C370</f>
        <v>552.44060709053463</v>
      </c>
      <c r="P370" s="20">
        <f t="shared" si="303"/>
        <v>170.84477151807673</v>
      </c>
      <c r="Q370" s="21">
        <f>(N370-Geraetedaten!$B$161)/(Geraetedaten!$B$174-Geraetedaten!$B$161)*(Geraetedaten!$B$175-Geraetedaten!$B$162)+Geraetedaten!$B$162</f>
        <v>40.133560058692112</v>
      </c>
      <c r="R370" s="21">
        <f t="shared" si="304"/>
        <v>40.133560058692112</v>
      </c>
      <c r="S370" s="21">
        <f t="shared" si="305"/>
        <v>-20.670311511915838</v>
      </c>
      <c r="T370" s="88">
        <f t="shared" si="306"/>
        <v>34.401175343075217</v>
      </c>
      <c r="U370" s="86">
        <f t="shared" si="307"/>
        <v>13036.26129</v>
      </c>
      <c r="V370" s="85">
        <f t="shared" si="308"/>
        <v>-2683.3128092763232</v>
      </c>
      <c r="W370" s="85">
        <f t="shared" si="309"/>
        <v>5219.3662877903071</v>
      </c>
      <c r="X370" s="90">
        <f t="shared" si="310"/>
        <v>2683.3128092763232</v>
      </c>
      <c r="Y370" s="86">
        <f t="shared" si="311"/>
        <v>-10213.76719</v>
      </c>
      <c r="Z370" s="85">
        <f t="shared" si="312"/>
        <v>-832.16398485565549</v>
      </c>
      <c r="AA370" s="85">
        <f t="shared" si="313"/>
        <v>-989.58985759865016</v>
      </c>
      <c r="AB370" s="90">
        <f t="shared" si="314"/>
        <v>832.16398485565549</v>
      </c>
      <c r="AC370" s="86">
        <f t="shared" si="315"/>
        <v>-12774.07854</v>
      </c>
      <c r="AD370" s="85">
        <f t="shared" si="316"/>
        <v>2598.140025222212</v>
      </c>
      <c r="AE370" s="85">
        <f t="shared" si="317"/>
        <v>-5038.6727416956264</v>
      </c>
      <c r="AF370" s="90">
        <f t="shared" si="318"/>
        <v>2598.140025222212</v>
      </c>
      <c r="AG370" s="86">
        <f t="shared" si="319"/>
        <v>10487.57137</v>
      </c>
      <c r="AH370" s="85">
        <f t="shared" si="320"/>
        <v>6183.1314163678471</v>
      </c>
      <c r="AI370" s="85">
        <f t="shared" si="321"/>
        <v>7171.4584234098629</v>
      </c>
      <c r="AJ370" s="90">
        <f t="shared" si="322"/>
        <v>6183.1314163678471</v>
      </c>
      <c r="AL370" s="95">
        <f t="shared" si="323"/>
        <v>0</v>
      </c>
      <c r="AM370" s="95">
        <f t="shared" si="324"/>
        <v>0</v>
      </c>
      <c r="AN370" s="95">
        <f t="shared" si="325"/>
        <v>0</v>
      </c>
      <c r="AO370" s="95">
        <f t="shared" si="326"/>
        <v>0</v>
      </c>
      <c r="AP370"/>
      <c r="AQ370" s="95">
        <f t="shared" si="327"/>
        <v>0</v>
      </c>
      <c r="AR370" s="95">
        <f t="shared" si="328"/>
        <v>0</v>
      </c>
      <c r="AS370" s="95">
        <f>Geraetedaten!$B$94*ABS(SIN(RADIANS($A370)))</f>
        <v>79.315863536148385</v>
      </c>
      <c r="AT370" s="95">
        <f>Geraetedaten!$B$94*ABS(COS(RADIANS($A370)))</f>
        <v>132.00376430812526</v>
      </c>
      <c r="AU370" s="95">
        <f>((h_Aw_Sw+Geraetedaten!$B$18)/1000)*(AQ370*AS370+AR370*AT370)/100</f>
        <v>0</v>
      </c>
    </row>
    <row r="371" spans="1:47" ht="13.5" x14ac:dyDescent="0.25">
      <c r="A371" s="16">
        <v>330</v>
      </c>
      <c r="B371" s="16">
        <f t="shared" si="295"/>
        <v>120</v>
      </c>
      <c r="C371" s="19">
        <f t="shared" si="296"/>
        <v>57.708774203068003</v>
      </c>
      <c r="D371" s="17">
        <f t="shared" si="297"/>
        <v>13371.623115796932</v>
      </c>
      <c r="E371" s="17">
        <f t="shared" si="298"/>
        <v>-10159.557824203068</v>
      </c>
      <c r="F371" s="17">
        <f t="shared" si="299"/>
        <v>-13215.357074203068</v>
      </c>
      <c r="G371" s="17">
        <f t="shared" si="300"/>
        <v>10324.975195796933</v>
      </c>
      <c r="H371" s="17">
        <f t="shared" si="301"/>
        <v>10324.975195796933</v>
      </c>
      <c r="I371" s="17">
        <f t="shared" si="302"/>
        <v>7099.7358482153359</v>
      </c>
      <c r="J371" s="20">
        <f>(Geraetedaten!$B$152+(Geraetedaten!$B$153*(Geraetedaten!$B$18+d_y_Sw)/1000))*10</f>
        <v>6051.0442000000003</v>
      </c>
      <c r="K371" s="20">
        <f>(Geraetedaten!$B$165+(Geraetedaten!$B$166*(Geraetedaten!$B$18+d_y_Sw)/1000))*10</f>
        <v>10816.164000000001</v>
      </c>
      <c r="L371" s="20">
        <f>(Geraetedaten!$B$158+(Geraetedaten!$B$159*(Geraetedaten!$B$18+d_y_Sw)/1000)-(Geraetedaten!$B$160*I371/1000))*10</f>
        <v>80.912970250369227</v>
      </c>
      <c r="M371" s="20">
        <f>(Geraetedaten!$B$171+(Geraetedaten!$B$172*(Geraetedaten!$B$18+d_y_Sw)/1000)-(Geraetedaten!$B$173*I371/1000))*10</f>
        <v>536.36266345885122</v>
      </c>
      <c r="N371" s="20">
        <f>IF((H371-J371)/(K371-J371)*(Geraetedaten!$B$174-Geraetedaten!$B$161)&lt;Geraetedaten!$B$174,(H371-J371)/(K371-J371)*(Geraetedaten!$B$174-Geraetedaten!$B$161),Geraetedaten!$B$174)</f>
        <v>358.76797857606289</v>
      </c>
      <c r="O371" s="20">
        <f>N371/Geraetedaten!$B$174*(M371-L371)+L371+C371</f>
        <v>547.12365889217494</v>
      </c>
      <c r="P371" s="20">
        <f t="shared" si="303"/>
        <v>170.17359994347964</v>
      </c>
      <c r="Q371" s="21">
        <f>(N371-Geraetedaten!$B$161)/(Geraetedaten!$B$174-Geraetedaten!$B$161)*(Geraetedaten!$B$175-Geraetedaten!$B$162)+Geraetedaten!$B$162</f>
        <v>39.873347362637872</v>
      </c>
      <c r="R371" s="21">
        <f t="shared" si="304"/>
        <v>39.873347362637872</v>
      </c>
      <c r="S371" s="21">
        <f t="shared" si="305"/>
        <v>-19.936673681318954</v>
      </c>
      <c r="T371" s="88">
        <f t="shared" si="306"/>
        <v>34.531331749965638</v>
      </c>
      <c r="U371" s="86">
        <f t="shared" si="307"/>
        <v>13429.331889999999</v>
      </c>
      <c r="V371" s="85">
        <f t="shared" si="308"/>
        <v>-2683.3128092763232</v>
      </c>
      <c r="W371" s="85">
        <f t="shared" si="309"/>
        <v>5376.7411200220977</v>
      </c>
      <c r="X371" s="90">
        <f t="shared" si="310"/>
        <v>2683.3128092763232</v>
      </c>
      <c r="Y371" s="86">
        <f t="shared" si="311"/>
        <v>-10101.849050000001</v>
      </c>
      <c r="Z371" s="85">
        <f t="shared" si="312"/>
        <v>-832.16398485565549</v>
      </c>
      <c r="AA371" s="85">
        <f t="shared" si="313"/>
        <v>-978.74634984455952</v>
      </c>
      <c r="AB371" s="90">
        <f t="shared" si="314"/>
        <v>832.16398485565549</v>
      </c>
      <c r="AC371" s="86">
        <f t="shared" si="315"/>
        <v>-13157.648300000001</v>
      </c>
      <c r="AD371" s="85">
        <f t="shared" si="316"/>
        <v>2598.140025222212</v>
      </c>
      <c r="AE371" s="85">
        <f t="shared" si="317"/>
        <v>-5189.9699560109757</v>
      </c>
      <c r="AF371" s="90">
        <f t="shared" si="318"/>
        <v>2598.140025222212</v>
      </c>
      <c r="AG371" s="86">
        <f t="shared" si="319"/>
        <v>10382.68397</v>
      </c>
      <c r="AH371" s="85">
        <f t="shared" si="320"/>
        <v>6183.1314163678471</v>
      </c>
      <c r="AI371" s="85">
        <f t="shared" si="321"/>
        <v>7099.7358482153359</v>
      </c>
      <c r="AJ371" s="90">
        <f t="shared" si="322"/>
        <v>6183.1314163678471</v>
      </c>
      <c r="AL371" s="95">
        <f t="shared" si="323"/>
        <v>0</v>
      </c>
      <c r="AM371" s="95">
        <f t="shared" si="324"/>
        <v>0</v>
      </c>
      <c r="AN371" s="95">
        <f t="shared" si="325"/>
        <v>0</v>
      </c>
      <c r="AO371" s="95">
        <f t="shared" si="326"/>
        <v>0</v>
      </c>
      <c r="AP371"/>
      <c r="AQ371" s="95">
        <f t="shared" si="327"/>
        <v>0</v>
      </c>
      <c r="AR371" s="95">
        <f t="shared" si="328"/>
        <v>0</v>
      </c>
      <c r="AS371" s="95">
        <f>Geraetedaten!$B$94*ABS(SIN(RADIANS($A371)))</f>
        <v>77.000000000000071</v>
      </c>
      <c r="AT371" s="95">
        <f>Geraetedaten!$B$94*ABS(COS(RADIANS($A371)))</f>
        <v>133.36791218280351</v>
      </c>
      <c r="AU371" s="95">
        <f>((h_Aw_Sw+Geraetedaten!$B$18)/1000)*(AQ371*AS371+AR371*AT371)/100</f>
        <v>0</v>
      </c>
    </row>
    <row r="372" spans="1:47" ht="13.5" x14ac:dyDescent="0.25">
      <c r="A372" s="16">
        <v>331</v>
      </c>
      <c r="B372" s="16">
        <f t="shared" si="295"/>
        <v>119</v>
      </c>
      <c r="C372" s="19">
        <f t="shared" si="296"/>
        <v>57.000826658926584</v>
      </c>
      <c r="D372" s="17">
        <f t="shared" si="297"/>
        <v>13794.192783341074</v>
      </c>
      <c r="E372" s="17">
        <f t="shared" si="298"/>
        <v>-10052.369526658927</v>
      </c>
      <c r="F372" s="17">
        <f t="shared" si="299"/>
        <v>-13626.228296658926</v>
      </c>
      <c r="G372" s="17">
        <f t="shared" si="300"/>
        <v>10225.974223341073</v>
      </c>
      <c r="H372" s="17">
        <f t="shared" si="301"/>
        <v>10225.974223341073</v>
      </c>
      <c r="I372" s="17">
        <f t="shared" si="302"/>
        <v>7031.5543492249171</v>
      </c>
      <c r="J372" s="20">
        <f>(Geraetedaten!$B$152+(Geraetedaten!$B$153*(Geraetedaten!$B$18+d_y_Sw)/1000))*10</f>
        <v>6051.0442000000003</v>
      </c>
      <c r="K372" s="20">
        <f>(Geraetedaten!$B$165+(Geraetedaten!$B$166*(Geraetedaten!$B$18+d_y_Sw)/1000))*10</f>
        <v>10816.164000000001</v>
      </c>
      <c r="L372" s="20">
        <f>(Geraetedaten!$B$158+(Geraetedaten!$B$159*(Geraetedaten!$B$18+d_y_Sw)/1000)-(Geraetedaten!$B$160*I372/1000))*10</f>
        <v>85.912719571336709</v>
      </c>
      <c r="M372" s="20">
        <f>(Geraetedaten!$B$171+(Geraetedaten!$B$172*(Geraetedaten!$B$18+d_y_Sw)/1000)-(Geraetedaten!$B$173*I372/1000))*10</f>
        <v>541.43809424369795</v>
      </c>
      <c r="N372" s="20">
        <f>IF((H372-J372)/(K372-J372)*(Geraetedaten!$B$174-Geraetedaten!$B$161)&lt;Geraetedaten!$B$174,(H372-J372)/(K372-J372)*(Geraetedaten!$B$174-Geraetedaten!$B$161),Geraetedaten!$B$174)</f>
        <v>350.45750777061863</v>
      </c>
      <c r="O372" s="20">
        <f>N372/Geraetedaten!$B$174*(M372-L372)+L372+C372</f>
        <v>542.01926506514576</v>
      </c>
      <c r="P372" s="20">
        <f t="shared" si="303"/>
        <v>169.51207470884381</v>
      </c>
      <c r="Q372" s="21">
        <f>(N372-Geraetedaten!$B$161)/(Geraetedaten!$B$174-Geraetedaten!$B$161)*(Geraetedaten!$B$175-Geraetedaten!$B$162)+Geraetedaten!$B$162</f>
        <v>39.626110856175906</v>
      </c>
      <c r="R372" s="21">
        <f t="shared" si="304"/>
        <v>39.626110856175906</v>
      </c>
      <c r="S372" s="21">
        <f t="shared" si="305"/>
        <v>-19.211119756021887</v>
      </c>
      <c r="T372" s="88">
        <f t="shared" si="306"/>
        <v>34.657777472101806</v>
      </c>
      <c r="U372" s="86">
        <f t="shared" si="307"/>
        <v>13851.19361</v>
      </c>
      <c r="V372" s="85">
        <f t="shared" si="308"/>
        <v>-2683.3128092763232</v>
      </c>
      <c r="W372" s="85">
        <f t="shared" si="309"/>
        <v>5545.6431397684801</v>
      </c>
      <c r="X372" s="90">
        <f t="shared" si="310"/>
        <v>2683.3128092763232</v>
      </c>
      <c r="Y372" s="86">
        <f t="shared" si="311"/>
        <v>-9995.3687000000009</v>
      </c>
      <c r="Z372" s="85">
        <f t="shared" si="312"/>
        <v>-832.16398485565549</v>
      </c>
      <c r="AA372" s="85">
        <f t="shared" si="313"/>
        <v>-968.42969923759529</v>
      </c>
      <c r="AB372" s="90">
        <f t="shared" si="314"/>
        <v>832.16398485565549</v>
      </c>
      <c r="AC372" s="86">
        <f t="shared" si="315"/>
        <v>-13569.22747</v>
      </c>
      <c r="AD372" s="85">
        <f t="shared" si="316"/>
        <v>2598.140025222212</v>
      </c>
      <c r="AE372" s="85">
        <f t="shared" si="317"/>
        <v>-5352.3153453844498</v>
      </c>
      <c r="AF372" s="90">
        <f t="shared" si="318"/>
        <v>2598.140025222212</v>
      </c>
      <c r="AG372" s="86">
        <f t="shared" si="319"/>
        <v>10282.975049999999</v>
      </c>
      <c r="AH372" s="85">
        <f t="shared" si="320"/>
        <v>6183.1314163678471</v>
      </c>
      <c r="AI372" s="85">
        <f t="shared" si="321"/>
        <v>7031.5543492249171</v>
      </c>
      <c r="AJ372" s="90">
        <f t="shared" si="322"/>
        <v>6183.1314163678471</v>
      </c>
      <c r="AL372" s="95">
        <f t="shared" si="323"/>
        <v>0</v>
      </c>
      <c r="AM372" s="95">
        <f t="shared" si="324"/>
        <v>0</v>
      </c>
      <c r="AN372" s="95">
        <f t="shared" si="325"/>
        <v>0</v>
      </c>
      <c r="AO372" s="95">
        <f t="shared" si="326"/>
        <v>0</v>
      </c>
      <c r="AP372"/>
      <c r="AQ372" s="95">
        <f t="shared" si="327"/>
        <v>0</v>
      </c>
      <c r="AR372" s="95">
        <f t="shared" si="328"/>
        <v>0</v>
      </c>
      <c r="AS372" s="95">
        <f>Geraetedaten!$B$94*ABS(SIN(RADIANS($A372)))</f>
        <v>74.660681517935885</v>
      </c>
      <c r="AT372" s="95">
        <f>Geraetedaten!$B$94*ABS(COS(RADIANS($A372)))</f>
        <v>134.69143489946697</v>
      </c>
      <c r="AU372" s="95">
        <f>((h_Aw_Sw+Geraetedaten!$B$18)/1000)*(AQ372*AS372+AR372*AT372)/100</f>
        <v>0</v>
      </c>
    </row>
    <row r="373" spans="1:47" ht="13.5" x14ac:dyDescent="0.25">
      <c r="A373" s="16">
        <v>332</v>
      </c>
      <c r="B373" s="16">
        <f t="shared" si="295"/>
        <v>118</v>
      </c>
      <c r="C373" s="19">
        <f t="shared" si="296"/>
        <v>56.275516110805498</v>
      </c>
      <c r="D373" s="17">
        <f t="shared" si="297"/>
        <v>14248.642413889194</v>
      </c>
      <c r="E373" s="17">
        <f t="shared" si="298"/>
        <v>-9950.3676161108051</v>
      </c>
      <c r="F373" s="17">
        <f t="shared" si="299"/>
        <v>-14068.068446110805</v>
      </c>
      <c r="G373" s="17">
        <f t="shared" si="300"/>
        <v>10131.961403889194</v>
      </c>
      <c r="H373" s="17">
        <f t="shared" si="301"/>
        <v>10131.961403889194</v>
      </c>
      <c r="I373" s="17">
        <f t="shared" si="302"/>
        <v>6966.7719004673463</v>
      </c>
      <c r="J373" s="20">
        <f>(Geraetedaten!$B$152+(Geraetedaten!$B$153*(Geraetedaten!$B$18+d_y_Sw)/1000))*10</f>
        <v>6051.0442000000003</v>
      </c>
      <c r="K373" s="20">
        <f>(Geraetedaten!$B$165+(Geraetedaten!$B$166*(Geraetedaten!$B$18+d_y_Sw)/1000))*10</f>
        <v>10816.164000000001</v>
      </c>
      <c r="L373" s="20">
        <f>(Geraetedaten!$B$158+(Geraetedaten!$B$159*(Geraetedaten!$B$18+d_y_Sw)/1000)-(Geraetedaten!$B$160*I373/1000))*10</f>
        <v>90.66321653872933</v>
      </c>
      <c r="M373" s="20">
        <f>(Geraetedaten!$B$171+(Geraetedaten!$B$172*(Geraetedaten!$B$18+d_y_Sw)/1000)-(Geraetedaten!$B$173*I373/1000))*10</f>
        <v>546.26049972921146</v>
      </c>
      <c r="N373" s="20">
        <f>IF((H373-J373)/(K373-J373)*(Geraetedaten!$B$174-Geraetedaten!$B$161)&lt;Geraetedaten!$B$174,(H373-J373)/(K373-J373)*(Geraetedaten!$B$174-Geraetedaten!$B$161),Geraetedaten!$B$174)</f>
        <v>342.56575911390041</v>
      </c>
      <c r="O373" s="20">
        <f>N373/Geraetedaten!$B$174*(M373-L373)+L373+C373</f>
        <v>537.11880556548022</v>
      </c>
      <c r="P373" s="20">
        <f t="shared" si="303"/>
        <v>168.86018739590622</v>
      </c>
      <c r="Q373" s="21">
        <f>(N373-Geraetedaten!$B$161)/(Geraetedaten!$B$174-Geraetedaten!$B$161)*(Geraetedaten!$B$175-Geraetedaten!$B$162)+Geraetedaten!$B$162</f>
        <v>39.39133133363854</v>
      </c>
      <c r="R373" s="21">
        <f t="shared" si="304"/>
        <v>39.39133133363854</v>
      </c>
      <c r="S373" s="21">
        <f t="shared" si="305"/>
        <v>-18.493109881420114</v>
      </c>
      <c r="T373" s="88">
        <f t="shared" si="306"/>
        <v>34.780481180544569</v>
      </c>
      <c r="U373" s="86">
        <f t="shared" si="307"/>
        <v>14304.91793</v>
      </c>
      <c r="V373" s="85">
        <f t="shared" si="308"/>
        <v>-2683.3128092763232</v>
      </c>
      <c r="W373" s="85">
        <f t="shared" si="309"/>
        <v>5727.3020825262811</v>
      </c>
      <c r="X373" s="90">
        <f t="shared" si="310"/>
        <v>2683.3128092763232</v>
      </c>
      <c r="Y373" s="86">
        <f t="shared" si="311"/>
        <v>-9894.0920999999998</v>
      </c>
      <c r="Z373" s="85">
        <f t="shared" si="312"/>
        <v>-832.16398485565549</v>
      </c>
      <c r="AA373" s="85">
        <f t="shared" si="313"/>
        <v>-958.61722733329304</v>
      </c>
      <c r="AB373" s="90">
        <f t="shared" si="314"/>
        <v>832.16398485565549</v>
      </c>
      <c r="AC373" s="86">
        <f t="shared" si="315"/>
        <v>-14011.79293</v>
      </c>
      <c r="AD373" s="85">
        <f t="shared" si="316"/>
        <v>2598.140025222212</v>
      </c>
      <c r="AE373" s="85">
        <f t="shared" si="317"/>
        <v>-5526.8831239223664</v>
      </c>
      <c r="AF373" s="90">
        <f t="shared" si="318"/>
        <v>2598.140025222212</v>
      </c>
      <c r="AG373" s="86">
        <f t="shared" si="319"/>
        <v>10188.236919999999</v>
      </c>
      <c r="AH373" s="85">
        <f t="shared" si="320"/>
        <v>6183.1314163678471</v>
      </c>
      <c r="AI373" s="85">
        <f t="shared" si="321"/>
        <v>6966.7719004673463</v>
      </c>
      <c r="AJ373" s="90">
        <f t="shared" si="322"/>
        <v>6183.1314163678471</v>
      </c>
      <c r="AL373" s="95">
        <f t="shared" si="323"/>
        <v>0</v>
      </c>
      <c r="AM373" s="95">
        <f t="shared" si="324"/>
        <v>0</v>
      </c>
      <c r="AN373" s="95">
        <f t="shared" si="325"/>
        <v>0</v>
      </c>
      <c r="AO373" s="95">
        <f t="shared" si="326"/>
        <v>0</v>
      </c>
      <c r="AP373"/>
      <c r="AQ373" s="95">
        <f t="shared" si="327"/>
        <v>0</v>
      </c>
      <c r="AR373" s="95">
        <f t="shared" si="328"/>
        <v>0</v>
      </c>
      <c r="AS373" s="95">
        <f>Geraetedaten!$B$94*ABS(SIN(RADIANS($A373)))</f>
        <v>72.298620669027187</v>
      </c>
      <c r="AT373" s="95">
        <f>Geraetedaten!$B$94*ABS(COS(RADIANS($A373)))</f>
        <v>135.97392930027473</v>
      </c>
      <c r="AU373" s="95">
        <f>((h_Aw_Sw+Geraetedaten!$B$18)/1000)*(AQ373*AS373+AR373*AT373)/100</f>
        <v>0</v>
      </c>
    </row>
    <row r="374" spans="1:47" ht="13.5" x14ac:dyDescent="0.25">
      <c r="A374" s="16">
        <v>333</v>
      </c>
      <c r="B374" s="16">
        <f t="shared" si="295"/>
        <v>117</v>
      </c>
      <c r="C374" s="19">
        <f t="shared" si="296"/>
        <v>55.533063495323887</v>
      </c>
      <c r="D374" s="17">
        <f t="shared" si="297"/>
        <v>14738.500256504676</v>
      </c>
      <c r="E374" s="17">
        <f t="shared" si="298"/>
        <v>-9853.3348734953252</v>
      </c>
      <c r="F374" s="17">
        <f t="shared" si="299"/>
        <v>-14544.295853495325</v>
      </c>
      <c r="G374" s="17">
        <f t="shared" si="300"/>
        <v>10042.743406504676</v>
      </c>
      <c r="H374" s="17">
        <f t="shared" si="301"/>
        <v>10042.743406504676</v>
      </c>
      <c r="I374" s="17">
        <f t="shared" si="302"/>
        <v>6905.2564554792325</v>
      </c>
      <c r="J374" s="20">
        <f>(Geraetedaten!$B$152+(Geraetedaten!$B$153*(Geraetedaten!$B$18+d_y_Sw)/1000))*10</f>
        <v>6051.0442000000003</v>
      </c>
      <c r="K374" s="20">
        <f>(Geraetedaten!$B$165+(Geraetedaten!$B$166*(Geraetedaten!$B$18+d_y_Sw)/1000))*10</f>
        <v>10816.164000000001</v>
      </c>
      <c r="L374" s="20">
        <f>(Geraetedaten!$B$158+(Geraetedaten!$B$159*(Geraetedaten!$B$18+d_y_Sw)/1000)-(Geraetedaten!$B$160*I374/1000))*10</f>
        <v>95.174144119707691</v>
      </c>
      <c r="M374" s="20">
        <f>(Geraetedaten!$B$171+(Geraetedaten!$B$172*(Geraetedaten!$B$18+d_y_Sw)/1000)-(Geraetedaten!$B$173*I374/1000))*10</f>
        <v>550.83970945412671</v>
      </c>
      <c r="N374" s="20">
        <f>IF((H374-J374)/(K374-J374)*(Geraetedaten!$B$174-Geraetedaten!$B$161)&lt;Geraetedaten!$B$174,(H374-J374)/(K374-J374)*(Geraetedaten!$B$174-Geraetedaten!$B$161),Geraetedaten!$B$174)</f>
        <v>335.07650376426426</v>
      </c>
      <c r="O374" s="20">
        <f>N374/Geraetedaten!$B$174*(M374-L374)+L374+C374</f>
        <v>532.41426891009178</v>
      </c>
      <c r="P374" s="20">
        <f t="shared" si="303"/>
        <v>168.21793699442614</v>
      </c>
      <c r="Q374" s="21">
        <f>(N374-Geraetedaten!$B$161)/(Geraetedaten!$B$174-Geraetedaten!$B$161)*(Geraetedaten!$B$175-Geraetedaten!$B$162)+Geraetedaten!$B$162</f>
        <v>39.168525986986864</v>
      </c>
      <c r="R374" s="21">
        <f t="shared" si="304"/>
        <v>39.168525986986864</v>
      </c>
      <c r="S374" s="21">
        <f t="shared" si="305"/>
        <v>-17.7821386868936</v>
      </c>
      <c r="T374" s="88">
        <f t="shared" si="306"/>
        <v>34.899412197246924</v>
      </c>
      <c r="U374" s="86">
        <f t="shared" si="307"/>
        <v>14794.03332</v>
      </c>
      <c r="V374" s="85">
        <f t="shared" si="308"/>
        <v>-2683.3128092763232</v>
      </c>
      <c r="W374" s="85">
        <f t="shared" si="309"/>
        <v>5923.1306476854734</v>
      </c>
      <c r="X374" s="90">
        <f t="shared" si="310"/>
        <v>2683.3128092763232</v>
      </c>
      <c r="Y374" s="86">
        <f t="shared" si="311"/>
        <v>-9797.8018100000008</v>
      </c>
      <c r="Z374" s="85">
        <f t="shared" si="312"/>
        <v>-832.16398485565549</v>
      </c>
      <c r="AA374" s="85">
        <f t="shared" si="313"/>
        <v>-949.28786949267737</v>
      </c>
      <c r="AB374" s="90">
        <f t="shared" si="314"/>
        <v>832.16398485565549</v>
      </c>
      <c r="AC374" s="86">
        <f t="shared" si="315"/>
        <v>-14488.762790000001</v>
      </c>
      <c r="AD374" s="85">
        <f t="shared" si="316"/>
        <v>2598.140025222212</v>
      </c>
      <c r="AE374" s="85">
        <f t="shared" si="317"/>
        <v>-5715.021552793115</v>
      </c>
      <c r="AF374" s="90">
        <f t="shared" si="318"/>
        <v>2598.140025222212</v>
      </c>
      <c r="AG374" s="86">
        <f t="shared" si="319"/>
        <v>10098.276470000001</v>
      </c>
      <c r="AH374" s="85">
        <f t="shared" si="320"/>
        <v>6183.1314163678471</v>
      </c>
      <c r="AI374" s="85">
        <f t="shared" si="321"/>
        <v>6905.2564554792325</v>
      </c>
      <c r="AJ374" s="90">
        <f t="shared" si="322"/>
        <v>6183.1314163678471</v>
      </c>
      <c r="AL374" s="95">
        <f t="shared" si="323"/>
        <v>0</v>
      </c>
      <c r="AM374" s="95">
        <f t="shared" si="324"/>
        <v>0</v>
      </c>
      <c r="AN374" s="95">
        <f t="shared" si="325"/>
        <v>0</v>
      </c>
      <c r="AO374" s="95">
        <f t="shared" si="326"/>
        <v>0</v>
      </c>
      <c r="AP374"/>
      <c r="AQ374" s="95">
        <f t="shared" si="327"/>
        <v>0</v>
      </c>
      <c r="AR374" s="95">
        <f t="shared" si="328"/>
        <v>0</v>
      </c>
      <c r="AS374" s="95">
        <f>Geraetedaten!$B$94*ABS(SIN(RADIANS($A374)))</f>
        <v>69.914536959890228</v>
      </c>
      <c r="AT374" s="95">
        <f>Geraetedaten!$B$94*ABS(COS(RADIANS($A374)))</f>
        <v>137.21500472500864</v>
      </c>
      <c r="AU374" s="95">
        <f>((h_Aw_Sw+Geraetedaten!$B$18)/1000)*(AQ374*AS374+AR374*AT374)/100</f>
        <v>0</v>
      </c>
    </row>
    <row r="375" spans="1:47" ht="13.5" x14ac:dyDescent="0.25">
      <c r="A375" s="16">
        <v>334</v>
      </c>
      <c r="B375" s="16">
        <f t="shared" si="295"/>
        <v>116</v>
      </c>
      <c r="C375" s="19">
        <f t="shared" si="296"/>
        <v>54.773694970740735</v>
      </c>
      <c r="D375" s="17">
        <f t="shared" si="297"/>
        <v>15267.839575029258</v>
      </c>
      <c r="E375" s="17">
        <f t="shared" si="298"/>
        <v>-9761.069504970741</v>
      </c>
      <c r="F375" s="17">
        <f t="shared" si="299"/>
        <v>-15058.854834970742</v>
      </c>
      <c r="G375" s="17">
        <f t="shared" si="300"/>
        <v>9958.1404350292578</v>
      </c>
      <c r="H375" s="17">
        <f t="shared" si="301"/>
        <v>9958.1404350292578</v>
      </c>
      <c r="I375" s="17">
        <f t="shared" si="302"/>
        <v>6846.8852176599003</v>
      </c>
      <c r="J375" s="20">
        <f>(Geraetedaten!$B$152+(Geraetedaten!$B$153*(Geraetedaten!$B$18+d_y_Sw)/1000))*10</f>
        <v>6051.0442000000003</v>
      </c>
      <c r="K375" s="20">
        <f>(Geraetedaten!$B$165+(Geraetedaten!$B$166*(Geraetedaten!$B$18+d_y_Sw)/1000))*10</f>
        <v>10816.164000000001</v>
      </c>
      <c r="L375" s="20">
        <f>(Geraetedaten!$B$158+(Geraetedaten!$B$159*(Geraetedaten!$B$18+d_y_Sw)/1000)-(Geraetedaten!$B$160*I375/1000))*10</f>
        <v>99.454506988999327</v>
      </c>
      <c r="M375" s="20">
        <f>(Geraetedaten!$B$171+(Geraetedaten!$B$172*(Geraetedaten!$B$18+d_y_Sw)/1000)-(Geraetedaten!$B$173*I375/1000))*10</f>
        <v>555.18486439739786</v>
      </c>
      <c r="N375" s="20">
        <f>IF((H375-J375)/(K375-J375)*(Geraetedaten!$B$174-Geraetedaten!$B$161)&lt;Geraetedaten!$B$174,(H375-J375)/(K375-J375)*(Geraetedaten!$B$174-Geraetedaten!$B$161),Geraetedaten!$B$174)</f>
        <v>327.97464903436486</v>
      </c>
      <c r="O375" s="20">
        <f>N375/Geraetedaten!$B$174*(M375-L375)+L375+C375</f>
        <v>527.89821202305291</v>
      </c>
      <c r="P375" s="20">
        <f t="shared" si="303"/>
        <v>167.58533083477028</v>
      </c>
      <c r="Q375" s="21">
        <f>(N375-Geraetedaten!$B$161)/(Geraetedaten!$B$174-Geraetedaten!$B$161)*(Geraetedaten!$B$175-Geraetedaten!$B$162)+Geraetedaten!$B$162</f>
        <v>38.957245808772356</v>
      </c>
      <c r="R375" s="21">
        <f t="shared" si="304"/>
        <v>38.957245808772356</v>
      </c>
      <c r="S375" s="21">
        <f t="shared" si="305"/>
        <v>-17.07773252093553</v>
      </c>
      <c r="T375" s="88">
        <f t="shared" si="306"/>
        <v>35.014540593137767</v>
      </c>
      <c r="U375" s="86">
        <f t="shared" si="307"/>
        <v>15322.61327</v>
      </c>
      <c r="V375" s="85">
        <f t="shared" si="308"/>
        <v>-2683.3128092763232</v>
      </c>
      <c r="W375" s="85">
        <f t="shared" si="309"/>
        <v>6134.7597593939963</v>
      </c>
      <c r="X375" s="90">
        <f t="shared" si="310"/>
        <v>2683.3128092763232</v>
      </c>
      <c r="Y375" s="86">
        <f t="shared" si="311"/>
        <v>-9706.2958099999996</v>
      </c>
      <c r="Z375" s="85">
        <f t="shared" si="312"/>
        <v>-832.16398485565549</v>
      </c>
      <c r="AA375" s="85">
        <f t="shared" si="313"/>
        <v>-940.42205058175045</v>
      </c>
      <c r="AB375" s="90">
        <f t="shared" si="314"/>
        <v>832.16398485565549</v>
      </c>
      <c r="AC375" s="86">
        <f t="shared" si="315"/>
        <v>-15004.08114</v>
      </c>
      <c r="AD375" s="85">
        <f t="shared" si="316"/>
        <v>2598.140025222212</v>
      </c>
      <c r="AE375" s="85">
        <f t="shared" si="317"/>
        <v>-5918.286350485434</v>
      </c>
      <c r="AF375" s="90">
        <f t="shared" si="318"/>
        <v>2598.140025222212</v>
      </c>
      <c r="AG375" s="86">
        <f t="shared" si="319"/>
        <v>10012.914129999999</v>
      </c>
      <c r="AH375" s="85">
        <f t="shared" si="320"/>
        <v>6183.1314163678471</v>
      </c>
      <c r="AI375" s="85">
        <f t="shared" si="321"/>
        <v>6846.8852176599003</v>
      </c>
      <c r="AJ375" s="90">
        <f t="shared" si="322"/>
        <v>6183.1314163678471</v>
      </c>
      <c r="AL375" s="95">
        <f t="shared" si="323"/>
        <v>0</v>
      </c>
      <c r="AM375" s="95">
        <f t="shared" si="324"/>
        <v>0</v>
      </c>
      <c r="AN375" s="95">
        <f t="shared" si="325"/>
        <v>0</v>
      </c>
      <c r="AO375" s="95">
        <f t="shared" si="326"/>
        <v>0</v>
      </c>
      <c r="AP375"/>
      <c r="AQ375" s="95">
        <f t="shared" si="327"/>
        <v>0</v>
      </c>
      <c r="AR375" s="95">
        <f t="shared" si="328"/>
        <v>0</v>
      </c>
      <c r="AS375" s="95">
        <f>Geraetedaten!$B$94*ABS(SIN(RADIANS($A375)))</f>
        <v>67.509156605517987</v>
      </c>
      <c r="AT375" s="95">
        <f>Geraetedaten!$B$94*ABS(COS(RADIANS($A375)))</f>
        <v>138.41428313007168</v>
      </c>
      <c r="AU375" s="95">
        <f>((h_Aw_Sw+Geraetedaten!$B$18)/1000)*(AQ375*AS375+AR375*AT375)/100</f>
        <v>0</v>
      </c>
    </row>
    <row r="376" spans="1:47" ht="13.5" x14ac:dyDescent="0.25">
      <c r="A376" s="16">
        <v>335</v>
      </c>
      <c r="B376" s="16">
        <f t="shared" si="295"/>
        <v>115</v>
      </c>
      <c r="C376" s="19">
        <f t="shared" si="296"/>
        <v>53.99764184806476</v>
      </c>
      <c r="D376" s="17">
        <f t="shared" si="297"/>
        <v>15841.387988151935</v>
      </c>
      <c r="E376" s="17">
        <f t="shared" si="298"/>
        <v>-9673.3839118480664</v>
      </c>
      <c r="F376" s="17">
        <f t="shared" si="299"/>
        <v>-15616.320611848065</v>
      </c>
      <c r="G376" s="17">
        <f t="shared" si="300"/>
        <v>9877.9852181519345</v>
      </c>
      <c r="H376" s="17">
        <f t="shared" si="301"/>
        <v>9877.9852181519345</v>
      </c>
      <c r="I376" s="17">
        <f t="shared" si="302"/>
        <v>6791.5439796824858</v>
      </c>
      <c r="J376" s="20">
        <f>(Geraetedaten!$B$152+(Geraetedaten!$B$153*(Geraetedaten!$B$18+d_y_Sw)/1000))*10</f>
        <v>6051.0442000000003</v>
      </c>
      <c r="K376" s="20">
        <f>(Geraetedaten!$B$165+(Geraetedaten!$B$166*(Geraetedaten!$B$18+d_y_Sw)/1000))*10</f>
        <v>10816.164000000001</v>
      </c>
      <c r="L376" s="20">
        <f>(Geraetedaten!$B$158+(Geraetedaten!$B$159*(Geraetedaten!$B$18+d_y_Sw)/1000)-(Geraetedaten!$B$160*I376/1000))*10</f>
        <v>103.51267996988319</v>
      </c>
      <c r="M376" s="20">
        <f>(Geraetedaten!$B$171+(Geraetedaten!$B$172*(Geraetedaten!$B$18+d_y_Sw)/1000)-(Geraetedaten!$B$173*I376/1000))*10</f>
        <v>559.30446615243659</v>
      </c>
      <c r="N376" s="20">
        <f>IF((H376-J376)/(K376-J376)*(Geraetedaten!$B$174-Geraetedaten!$B$161)&lt;Geraetedaten!$B$174,(H376-J376)/(K376-J376)*(Geraetedaten!$B$174-Geraetedaten!$B$161),Geraetedaten!$B$174)</f>
        <v>321.24615361418063</v>
      </c>
      <c r="O376" s="20">
        <f>N376/Geraetedaten!$B$174*(M376-L376)+L376+C376</f>
        <v>523.56371721815378</v>
      </c>
      <c r="P376" s="20">
        <f t="shared" si="303"/>
        <v>166.96238423436515</v>
      </c>
      <c r="Q376" s="21">
        <f>(N376-Geraetedaten!$B$161)/(Geraetedaten!$B$174-Geraetedaten!$B$161)*(Geraetedaten!$B$175-Geraetedaten!$B$162)+Geraetedaten!$B$162</f>
        <v>38.757073070021875</v>
      </c>
      <c r="R376" s="21">
        <f t="shared" si="304"/>
        <v>38.757073070021875</v>
      </c>
      <c r="S376" s="21">
        <f t="shared" si="305"/>
        <v>-16.379446851009909</v>
      </c>
      <c r="T376" s="88">
        <f t="shared" si="306"/>
        <v>35.125837126109268</v>
      </c>
      <c r="U376" s="86">
        <f t="shared" si="307"/>
        <v>15895.385630000001</v>
      </c>
      <c r="V376" s="85">
        <f t="shared" si="308"/>
        <v>-2683.3128092763232</v>
      </c>
      <c r="W376" s="85">
        <f t="shared" si="309"/>
        <v>6364.0823116110842</v>
      </c>
      <c r="X376" s="90">
        <f t="shared" si="310"/>
        <v>2683.3128092763232</v>
      </c>
      <c r="Y376" s="86">
        <f t="shared" si="311"/>
        <v>-9619.3862700000009</v>
      </c>
      <c r="Z376" s="85">
        <f t="shared" si="312"/>
        <v>-832.16398485565549</v>
      </c>
      <c r="AA376" s="85">
        <f t="shared" si="313"/>
        <v>-932.00157274268065</v>
      </c>
      <c r="AB376" s="90">
        <f t="shared" si="314"/>
        <v>832.16398485565549</v>
      </c>
      <c r="AC376" s="86">
        <f t="shared" si="315"/>
        <v>-15562.322969999999</v>
      </c>
      <c r="AD376" s="85">
        <f t="shared" si="316"/>
        <v>2598.140025222212</v>
      </c>
      <c r="AE376" s="85">
        <f t="shared" si="317"/>
        <v>-6138.4821091003951</v>
      </c>
      <c r="AF376" s="90">
        <f t="shared" si="318"/>
        <v>2598.140025222212</v>
      </c>
      <c r="AG376" s="86">
        <f t="shared" si="319"/>
        <v>9931.9828600000001</v>
      </c>
      <c r="AH376" s="85">
        <f t="shared" si="320"/>
        <v>6183.1314163678471</v>
      </c>
      <c r="AI376" s="85">
        <f t="shared" si="321"/>
        <v>6791.5439796824858</v>
      </c>
      <c r="AJ376" s="90">
        <f t="shared" si="322"/>
        <v>6183.1314163678471</v>
      </c>
      <c r="AL376" s="95">
        <f t="shared" si="323"/>
        <v>0</v>
      </c>
      <c r="AM376" s="95">
        <f t="shared" si="324"/>
        <v>0</v>
      </c>
      <c r="AN376" s="95">
        <f t="shared" si="325"/>
        <v>0</v>
      </c>
      <c r="AO376" s="95">
        <f t="shared" si="326"/>
        <v>0</v>
      </c>
      <c r="AP376"/>
      <c r="AQ376" s="95">
        <f t="shared" si="327"/>
        <v>0</v>
      </c>
      <c r="AR376" s="95">
        <f t="shared" si="328"/>
        <v>0</v>
      </c>
      <c r="AS376" s="95">
        <f>Geraetedaten!$B$94*ABS(SIN(RADIANS($A376)))</f>
        <v>65.083212308067687</v>
      </c>
      <c r="AT376" s="95">
        <f>Geraetedaten!$B$94*ABS(COS(RADIANS($A376)))</f>
        <v>139.57139920364412</v>
      </c>
      <c r="AU376" s="95">
        <f>((h_Aw_Sw+Geraetedaten!$B$18)/1000)*(AQ376*AS376+AR376*AT376)/100</f>
        <v>0</v>
      </c>
    </row>
    <row r="377" spans="1:47" ht="13.5" x14ac:dyDescent="0.25">
      <c r="A377" s="16">
        <v>336</v>
      </c>
      <c r="B377" s="16">
        <f t="shared" si="295"/>
        <v>114</v>
      </c>
      <c r="C377" s="19">
        <f t="shared" si="296"/>
        <v>53.205140520595009</v>
      </c>
      <c r="D377" s="17">
        <f t="shared" si="297"/>
        <v>16464.664029479405</v>
      </c>
      <c r="E377" s="17">
        <f t="shared" si="298"/>
        <v>-9590.1036705205952</v>
      </c>
      <c r="F377" s="17">
        <f t="shared" si="299"/>
        <v>-16222.030600520595</v>
      </c>
      <c r="G377" s="17">
        <f t="shared" si="300"/>
        <v>9802.1222194794045</v>
      </c>
      <c r="H377" s="17">
        <f t="shared" si="301"/>
        <v>9802.1222194794045</v>
      </c>
      <c r="I377" s="17">
        <f t="shared" si="302"/>
        <v>6739.1265248368954</v>
      </c>
      <c r="J377" s="20">
        <f>(Geraetedaten!$B$152+(Geraetedaten!$B$153*(Geraetedaten!$B$18+d_y_Sw)/1000))*10</f>
        <v>6051.0442000000003</v>
      </c>
      <c r="K377" s="20">
        <f>(Geraetedaten!$B$165+(Geraetedaten!$B$166*(Geraetedaten!$B$18+d_y_Sw)/1000))*10</f>
        <v>10816.164000000001</v>
      </c>
      <c r="L377" s="20">
        <f>(Geraetedaten!$B$158+(Geraetedaten!$B$159*(Geraetedaten!$B$18+d_y_Sw)/1000)-(Geraetedaten!$B$160*I377/1000))*10</f>
        <v>107.35645193371035</v>
      </c>
      <c r="M377" s="20">
        <f>(Geraetedaten!$B$171+(Geraetedaten!$B$172*(Geraetedaten!$B$18+d_y_Sw)/1000)-(Geraetedaten!$B$173*I377/1000))*10</f>
        <v>563.20642149114224</v>
      </c>
      <c r="N377" s="20">
        <f>IF((H377-J377)/(K377-J377)*(Geraetedaten!$B$174-Geraetedaten!$B$161)&lt;Geraetedaten!$B$174,(H377-J377)/(K377-J377)*(Geraetedaten!$B$174-Geraetedaten!$B$161),Geraetedaten!$B$174)</f>
        <v>314.87796126170042</v>
      </c>
      <c r="O377" s="20">
        <f>N377/Geraetedaten!$B$174*(M377-L377)+L377+C377</f>
        <v>519.40436509293625</v>
      </c>
      <c r="P377" s="20">
        <f t="shared" si="303"/>
        <v>166.34912232562641</v>
      </c>
      <c r="Q377" s="21">
        <f>(N377-Geraetedaten!$B$161)/(Geraetedaten!$B$174-Geraetedaten!$B$161)*(Geraetedaten!$B$175-Geraetedaten!$B$162)+Geraetedaten!$B$162</f>
        <v>38.56761934753559</v>
      </c>
      <c r="R377" s="21">
        <f t="shared" si="304"/>
        <v>38.56761934753559</v>
      </c>
      <c r="S377" s="21">
        <f t="shared" si="305"/>
        <v>-15.686864024841908</v>
      </c>
      <c r="T377" s="88">
        <f t="shared" si="306"/>
        <v>35.233273467030031</v>
      </c>
      <c r="U377" s="86">
        <f t="shared" si="307"/>
        <v>16517.869170000002</v>
      </c>
      <c r="V377" s="85">
        <f t="shared" si="308"/>
        <v>-2683.3128092763232</v>
      </c>
      <c r="W377" s="85">
        <f t="shared" si="309"/>
        <v>6613.307878317315</v>
      </c>
      <c r="X377" s="90">
        <f t="shared" si="310"/>
        <v>2683.3128092763232</v>
      </c>
      <c r="Y377" s="86">
        <f t="shared" si="311"/>
        <v>-9536.8985300000004</v>
      </c>
      <c r="Z377" s="85">
        <f t="shared" si="312"/>
        <v>-832.16398485565549</v>
      </c>
      <c r="AA377" s="85">
        <f t="shared" si="313"/>
        <v>-924.00951393763546</v>
      </c>
      <c r="AB377" s="90">
        <f t="shared" si="314"/>
        <v>832.16398485565549</v>
      </c>
      <c r="AC377" s="86">
        <f t="shared" si="315"/>
        <v>-16168.82546</v>
      </c>
      <c r="AD377" s="85">
        <f t="shared" si="316"/>
        <v>2598.140025222212</v>
      </c>
      <c r="AE377" s="85">
        <f t="shared" si="317"/>
        <v>-6377.7140478452411</v>
      </c>
      <c r="AF377" s="90">
        <f t="shared" si="318"/>
        <v>2598.140025222212</v>
      </c>
      <c r="AG377" s="86">
        <f t="shared" si="319"/>
        <v>9855.3273599999993</v>
      </c>
      <c r="AH377" s="85">
        <f t="shared" si="320"/>
        <v>6183.1314163678471</v>
      </c>
      <c r="AI377" s="85">
        <f t="shared" si="321"/>
        <v>6739.1265248368954</v>
      </c>
      <c r="AJ377" s="90">
        <f t="shared" si="322"/>
        <v>6183.1314163678471</v>
      </c>
      <c r="AL377" s="95">
        <f t="shared" si="323"/>
        <v>0</v>
      </c>
      <c r="AM377" s="95">
        <f t="shared" si="324"/>
        <v>0</v>
      </c>
      <c r="AN377" s="95">
        <f t="shared" si="325"/>
        <v>0</v>
      </c>
      <c r="AO377" s="95">
        <f t="shared" si="326"/>
        <v>0</v>
      </c>
      <c r="AP377"/>
      <c r="AQ377" s="95">
        <f t="shared" si="327"/>
        <v>0</v>
      </c>
      <c r="AR377" s="95">
        <f t="shared" si="328"/>
        <v>0</v>
      </c>
      <c r="AS377" s="95">
        <f>Geraetedaten!$B$94*ABS(SIN(RADIANS($A377)))</f>
        <v>62.637443033673222</v>
      </c>
      <c r="AT377" s="95">
        <f>Geraetedaten!$B$94*ABS(COS(RADIANS($A377)))</f>
        <v>140.68600047696054</v>
      </c>
      <c r="AU377" s="95">
        <f>((h_Aw_Sw+Geraetedaten!$B$18)/1000)*(AQ377*AS377+AR377*AT377)/100</f>
        <v>0</v>
      </c>
    </row>
    <row r="378" spans="1:47" ht="13.5" x14ac:dyDescent="0.25">
      <c r="A378" s="16">
        <v>337</v>
      </c>
      <c r="B378" s="16">
        <f t="shared" si="295"/>
        <v>113</v>
      </c>
      <c r="C378" s="19">
        <f t="shared" si="296"/>
        <v>52.396432391912903</v>
      </c>
      <c r="D378" s="17">
        <f t="shared" si="297"/>
        <v>17144.149607608088</v>
      </c>
      <c r="E378" s="17">
        <f t="shared" si="298"/>
        <v>-9511.0665923919132</v>
      </c>
      <c r="F378" s="17">
        <f t="shared" si="299"/>
        <v>-16882.249742391912</v>
      </c>
      <c r="G378" s="17">
        <f t="shared" si="300"/>
        <v>9730.4067276080859</v>
      </c>
      <c r="H378" s="17">
        <f t="shared" si="301"/>
        <v>9730.4067276080859</v>
      </c>
      <c r="I378" s="17">
        <f t="shared" si="302"/>
        <v>6689.5340840334611</v>
      </c>
      <c r="J378" s="20">
        <f>(Geraetedaten!$B$152+(Geraetedaten!$B$153*(Geraetedaten!$B$18+d_y_Sw)/1000))*10</f>
        <v>6051.0442000000003</v>
      </c>
      <c r="K378" s="20">
        <f>(Geraetedaten!$B$165+(Geraetedaten!$B$166*(Geraetedaten!$B$18+d_y_Sw)/1000))*10</f>
        <v>10816.164000000001</v>
      </c>
      <c r="L378" s="20">
        <f>(Geraetedaten!$B$158+(Geraetedaten!$B$159*(Geraetedaten!$B$18+d_y_Sw)/1000)-(Geraetedaten!$B$160*I378/1000))*10</f>
        <v>110.99306561782612</v>
      </c>
      <c r="M378" s="20">
        <f>(Geraetedaten!$B$171+(Geraetedaten!$B$172*(Geraetedaten!$B$18+d_y_Sw)/1000)-(Geraetedaten!$B$173*I378/1000))*10</f>
        <v>566.89808278454996</v>
      </c>
      <c r="N378" s="20">
        <f>IF((H378-J378)/(K378-J378)*(Geraetedaten!$B$174-Geraetedaten!$B$161)&lt;Geraetedaten!$B$174,(H378-J378)/(K378-J378)*(Geraetedaten!$B$174-Geraetedaten!$B$161),Geraetedaten!$B$174)</f>
        <v>308.85792442054327</v>
      </c>
      <c r="O378" s="20">
        <f>N378/Geraetedaten!$B$174*(M378-L378)+L378+C378</f>
        <v>515.41419134730518</v>
      </c>
      <c r="P378" s="20">
        <f t="shared" si="303"/>
        <v>165.7455783294152</v>
      </c>
      <c r="Q378" s="21">
        <f>(N378-Geraetedaten!$B$161)/(Geraetedaten!$B$174-Geraetedaten!$B$161)*(Geraetedaten!$B$175-Geraetedaten!$B$162)+Geraetedaten!$B$162</f>
        <v>38.38852325151116</v>
      </c>
      <c r="R378" s="21">
        <f t="shared" si="304"/>
        <v>38.38852325151116</v>
      </c>
      <c r="S378" s="21">
        <f t="shared" si="305"/>
        <v>-14.999591011099685</v>
      </c>
      <c r="T378" s="88">
        <f t="shared" si="306"/>
        <v>35.336821969887879</v>
      </c>
      <c r="U378" s="86">
        <f t="shared" si="307"/>
        <v>17196.546040000001</v>
      </c>
      <c r="V378" s="85">
        <f t="shared" si="308"/>
        <v>-2683.3128092763232</v>
      </c>
      <c r="W378" s="85">
        <f t="shared" si="309"/>
        <v>6885.0317351368221</v>
      </c>
      <c r="X378" s="90">
        <f t="shared" si="310"/>
        <v>2683.3128092763232</v>
      </c>
      <c r="Y378" s="86">
        <f t="shared" si="311"/>
        <v>-9458.6701599999997</v>
      </c>
      <c r="Z378" s="85">
        <f t="shared" si="312"/>
        <v>-832.16398485565549</v>
      </c>
      <c r="AA378" s="85">
        <f t="shared" si="313"/>
        <v>-916.4301361266115</v>
      </c>
      <c r="AB378" s="90">
        <f t="shared" si="314"/>
        <v>832.16398485565549</v>
      </c>
      <c r="AC378" s="86">
        <f t="shared" si="315"/>
        <v>-16829.853309999999</v>
      </c>
      <c r="AD378" s="85">
        <f t="shared" si="316"/>
        <v>2598.140025222212</v>
      </c>
      <c r="AE378" s="85">
        <f t="shared" si="317"/>
        <v>-6638.4532443237204</v>
      </c>
      <c r="AF378" s="90">
        <f t="shared" si="318"/>
        <v>2598.140025222212</v>
      </c>
      <c r="AG378" s="86">
        <f t="shared" si="319"/>
        <v>9782.8031599999995</v>
      </c>
      <c r="AH378" s="85">
        <f t="shared" si="320"/>
        <v>6183.1314163678471</v>
      </c>
      <c r="AI378" s="85">
        <f t="shared" si="321"/>
        <v>6689.5340840334611</v>
      </c>
      <c r="AJ378" s="90">
        <f t="shared" si="322"/>
        <v>6183.1314163678471</v>
      </c>
      <c r="AL378" s="95">
        <f t="shared" si="323"/>
        <v>0</v>
      </c>
      <c r="AM378" s="95">
        <f t="shared" si="324"/>
        <v>0</v>
      </c>
      <c r="AN378" s="95">
        <f t="shared" si="325"/>
        <v>0</v>
      </c>
      <c r="AO378" s="95">
        <f t="shared" si="326"/>
        <v>0</v>
      </c>
      <c r="AP378"/>
      <c r="AQ378" s="95">
        <f t="shared" si="327"/>
        <v>0</v>
      </c>
      <c r="AR378" s="95">
        <f t="shared" si="328"/>
        <v>0</v>
      </c>
      <c r="AS378" s="95">
        <f>Geraetedaten!$B$94*ABS(SIN(RADIANS($A378)))</f>
        <v>60.172593787348177</v>
      </c>
      <c r="AT378" s="95">
        <f>Geraetedaten!$B$94*ABS(COS(RADIANS($A378)))</f>
        <v>141.7577474316758</v>
      </c>
      <c r="AU378" s="95">
        <f>((h_Aw_Sw+Geraetedaten!$B$18)/1000)*(AQ378*AS378+AR378*AT378)/100</f>
        <v>0</v>
      </c>
    </row>
    <row r="379" spans="1:47" ht="13.5" x14ac:dyDescent="0.25">
      <c r="A379" s="16">
        <v>338</v>
      </c>
      <c r="B379" s="16">
        <f t="shared" si="295"/>
        <v>112</v>
      </c>
      <c r="C379" s="19">
        <f t="shared" si="296"/>
        <v>51.571763802348592</v>
      </c>
      <c r="D379" s="17">
        <f t="shared" si="297"/>
        <v>17887.509526197649</v>
      </c>
      <c r="E379" s="17">
        <f t="shared" si="298"/>
        <v>-9436.1218538023495</v>
      </c>
      <c r="F379" s="17">
        <f t="shared" si="299"/>
        <v>-17604.380883802351</v>
      </c>
      <c r="G379" s="17">
        <f t="shared" si="300"/>
        <v>9662.704236197651</v>
      </c>
      <c r="H379" s="17">
        <f t="shared" si="301"/>
        <v>9662.704236197651</v>
      </c>
      <c r="I379" s="17">
        <f t="shared" si="302"/>
        <v>6642.6748429381796</v>
      </c>
      <c r="J379" s="20">
        <f>(Geraetedaten!$B$152+(Geraetedaten!$B$153*(Geraetedaten!$B$18+d_y_Sw)/1000))*10</f>
        <v>6051.0442000000003</v>
      </c>
      <c r="K379" s="20">
        <f>(Geraetedaten!$B$165+(Geraetedaten!$B$166*(Geraetedaten!$B$18+d_y_Sw)/1000))*10</f>
        <v>10816.164000000001</v>
      </c>
      <c r="L379" s="20">
        <f>(Geraetedaten!$B$158+(Geraetedaten!$B$159*(Geraetedaten!$B$18+d_y_Sw)/1000)-(Geraetedaten!$B$160*I379/1000))*10</f>
        <v>114.42925376734308</v>
      </c>
      <c r="M379" s="20">
        <f>(Geraetedaten!$B$171+(Geraetedaten!$B$172*(Geraetedaten!$B$18+d_y_Sw)/1000)-(Geraetedaten!$B$173*I379/1000))*10</f>
        <v>570.3862846916827</v>
      </c>
      <c r="N379" s="20">
        <f>IF((H379-J379)/(K379-J379)*(Geraetedaten!$B$174-Geraetedaten!$B$161)&lt;Geraetedaten!$B$174,(H379-J379)/(K379-J379)*(Geraetedaten!$B$174-Geraetedaten!$B$161),Geraetedaten!$B$174)</f>
        <v>303.17475218126941</v>
      </c>
      <c r="O379" s="20">
        <f>N379/Geraetedaten!$B$174*(M379-L379)+L379+C379</f>
        <v>511.5876672091768</v>
      </c>
      <c r="P379" s="20">
        <f t="shared" si="303"/>
        <v>165.15179555919539</v>
      </c>
      <c r="Q379" s="21">
        <f>(N379-Geraetedaten!$B$161)/(Geraetedaten!$B$174-Geraetedaten!$B$161)*(Geraetedaten!$B$175-Geraetedaten!$B$162)+Geraetedaten!$B$162</f>
        <v>38.219448877392765</v>
      </c>
      <c r="R379" s="21">
        <f t="shared" si="304"/>
        <v>38.219448877392765</v>
      </c>
      <c r="S379" s="21">
        <f t="shared" si="305"/>
        <v>-14.317257546193719</v>
      </c>
      <c r="T379" s="88">
        <f t="shared" si="306"/>
        <v>35.436455929559294</v>
      </c>
      <c r="U379" s="86">
        <f t="shared" si="307"/>
        <v>17939.081289999998</v>
      </c>
      <c r="V379" s="85">
        <f t="shared" si="308"/>
        <v>-2683.3128092763232</v>
      </c>
      <c r="W379" s="85">
        <f t="shared" si="309"/>
        <v>7182.3227588994705</v>
      </c>
      <c r="X379" s="90">
        <f t="shared" si="310"/>
        <v>2683.3128092763232</v>
      </c>
      <c r="Y379" s="86">
        <f t="shared" si="311"/>
        <v>-9384.5500900000006</v>
      </c>
      <c r="Z379" s="85">
        <f t="shared" si="312"/>
        <v>-832.16398485565549</v>
      </c>
      <c r="AA379" s="85">
        <f t="shared" si="313"/>
        <v>-909.2488020793628</v>
      </c>
      <c r="AB379" s="90">
        <f t="shared" si="314"/>
        <v>832.16398485565549</v>
      </c>
      <c r="AC379" s="86">
        <f t="shared" si="315"/>
        <v>-17552.809120000002</v>
      </c>
      <c r="AD379" s="85">
        <f t="shared" si="316"/>
        <v>2598.140025222212</v>
      </c>
      <c r="AE379" s="85">
        <f t="shared" si="317"/>
        <v>-6923.6196241688604</v>
      </c>
      <c r="AF379" s="90">
        <f t="shared" si="318"/>
        <v>2598.140025222212</v>
      </c>
      <c r="AG379" s="86">
        <f t="shared" si="319"/>
        <v>9714.2759999999998</v>
      </c>
      <c r="AH379" s="85">
        <f t="shared" si="320"/>
        <v>6183.1314163678471</v>
      </c>
      <c r="AI379" s="85">
        <f t="shared" si="321"/>
        <v>6642.6748429381796</v>
      </c>
      <c r="AJ379" s="90">
        <f t="shared" si="322"/>
        <v>6183.1314163678471</v>
      </c>
      <c r="AL379" s="95">
        <f t="shared" si="323"/>
        <v>0</v>
      </c>
      <c r="AM379" s="95">
        <f t="shared" si="324"/>
        <v>0</v>
      </c>
      <c r="AN379" s="95">
        <f t="shared" si="325"/>
        <v>0</v>
      </c>
      <c r="AO379" s="95">
        <f t="shared" si="326"/>
        <v>0</v>
      </c>
      <c r="AP379"/>
      <c r="AQ379" s="95">
        <f t="shared" si="327"/>
        <v>0</v>
      </c>
      <c r="AR379" s="95">
        <f t="shared" si="328"/>
        <v>0</v>
      </c>
      <c r="AS379" s="95">
        <f>Geraetedaten!$B$94*ABS(SIN(RADIANS($A379)))</f>
        <v>57.689415386050499</v>
      </c>
      <c r="AT379" s="95">
        <f>Geraetedaten!$B$94*ABS(COS(RADIANS($A379)))</f>
        <v>142.78631360328524</v>
      </c>
      <c r="AU379" s="95">
        <f>((h_Aw_Sw+Geraetedaten!$B$18)/1000)*(AQ379*AS379+AR379*AT379)/100</f>
        <v>0</v>
      </c>
    </row>
    <row r="380" spans="1:47" ht="13.5" x14ac:dyDescent="0.25">
      <c r="A380" s="16">
        <v>339</v>
      </c>
      <c r="B380" s="16">
        <f t="shared" si="295"/>
        <v>111</v>
      </c>
      <c r="C380" s="19">
        <f t="shared" si="296"/>
        <v>50.731385953943189</v>
      </c>
      <c r="D380" s="17">
        <f t="shared" si="297"/>
        <v>18703.873944046056</v>
      </c>
      <c r="E380" s="17">
        <f t="shared" si="298"/>
        <v>-9365.1292059539428</v>
      </c>
      <c r="F380" s="17">
        <f t="shared" si="299"/>
        <v>-18397.235215953944</v>
      </c>
      <c r="G380" s="17">
        <f t="shared" si="300"/>
        <v>9598.8897540460566</v>
      </c>
      <c r="H380" s="17">
        <f t="shared" si="301"/>
        <v>9598.8897540460566</v>
      </c>
      <c r="I380" s="17">
        <f t="shared" si="302"/>
        <v>6598.4634943573592</v>
      </c>
      <c r="J380" s="20">
        <f>(Geraetedaten!$B$152+(Geraetedaten!$B$153*(Geraetedaten!$B$18+d_y_Sw)/1000))*10</f>
        <v>6051.0442000000003</v>
      </c>
      <c r="K380" s="20">
        <f>(Geraetedaten!$B$165+(Geraetedaten!$B$166*(Geraetedaten!$B$18+d_y_Sw)/1000))*10</f>
        <v>10816.164000000001</v>
      </c>
      <c r="L380" s="20">
        <f>(Geraetedaten!$B$158+(Geraetedaten!$B$159*(Geraetedaten!$B$18+d_y_Sw)/1000)-(Geraetedaten!$B$160*I380/1000))*10</f>
        <v>117.67127195877464</v>
      </c>
      <c r="M380" s="20">
        <f>(Geraetedaten!$B$171+(Geraetedaten!$B$172*(Geraetedaten!$B$18+d_y_Sw)/1000)-(Geraetedaten!$B$173*I380/1000))*10</f>
        <v>573.67737748003901</v>
      </c>
      <c r="N380" s="20">
        <f>IF((H380-J380)/(K380-J380)*(Geraetedaten!$B$174-Geraetedaten!$B$161)&lt;Geraetedaten!$B$174,(H380-J380)/(K380-J380)*(Geraetedaten!$B$174-Geraetedaten!$B$161),Geraetedaten!$B$174)</f>
        <v>297.81795236678465</v>
      </c>
      <c r="O380" s="20">
        <f>N380/Geraetedaten!$B$174*(M380-L380)+L380+C380</f>
        <v>507.91966944545504</v>
      </c>
      <c r="P380" s="20">
        <f t="shared" si="303"/>
        <v>164.56782701447193</v>
      </c>
      <c r="Q380" s="21">
        <f>(N380-Geraetedaten!$B$161)/(Geraetedaten!$B$174-Geraetedaten!$B$161)*(Geraetedaten!$B$175-Geraetedaten!$B$162)+Geraetedaten!$B$162</f>
        <v>38.060084082911843</v>
      </c>
      <c r="R380" s="21">
        <f t="shared" si="304"/>
        <v>38.060084082911843</v>
      </c>
      <c r="S380" s="21">
        <f t="shared" si="305"/>
        <v>-13.639514292314857</v>
      </c>
      <c r="T380" s="88">
        <f t="shared" si="306"/>
        <v>35.53214953064419</v>
      </c>
      <c r="U380" s="86">
        <f t="shared" si="307"/>
        <v>18754.605329999999</v>
      </c>
      <c r="V380" s="85">
        <f t="shared" si="308"/>
        <v>-2683.3128092763232</v>
      </c>
      <c r="W380" s="85">
        <f t="shared" si="309"/>
        <v>7508.83651647025</v>
      </c>
      <c r="X380" s="90">
        <f t="shared" si="310"/>
        <v>2683.3128092763232</v>
      </c>
      <c r="Y380" s="86">
        <f t="shared" si="311"/>
        <v>-9314.3978200000001</v>
      </c>
      <c r="Z380" s="85">
        <f t="shared" si="312"/>
        <v>-832.16398485565549</v>
      </c>
      <c r="AA380" s="85">
        <f t="shared" si="313"/>
        <v>-902.45189994175996</v>
      </c>
      <c r="AB380" s="90">
        <f t="shared" si="314"/>
        <v>832.16398485565549</v>
      </c>
      <c r="AC380" s="86">
        <f t="shared" si="315"/>
        <v>-18346.503830000001</v>
      </c>
      <c r="AD380" s="85">
        <f t="shared" si="316"/>
        <v>2598.140025222212</v>
      </c>
      <c r="AE380" s="85">
        <f t="shared" si="317"/>
        <v>-7236.688617131188</v>
      </c>
      <c r="AF380" s="90">
        <f t="shared" si="318"/>
        <v>2598.140025222212</v>
      </c>
      <c r="AG380" s="86">
        <f t="shared" si="319"/>
        <v>9649.6211399999993</v>
      </c>
      <c r="AH380" s="85">
        <f t="shared" si="320"/>
        <v>6183.1314163678471</v>
      </c>
      <c r="AI380" s="85">
        <f t="shared" si="321"/>
        <v>6598.4634943573592</v>
      </c>
      <c r="AJ380" s="90">
        <f t="shared" si="322"/>
        <v>6183.1314163678471</v>
      </c>
      <c r="AL380" s="95">
        <f t="shared" si="323"/>
        <v>0</v>
      </c>
      <c r="AM380" s="95">
        <f t="shared" si="324"/>
        <v>0</v>
      </c>
      <c r="AN380" s="95">
        <f t="shared" si="325"/>
        <v>0</v>
      </c>
      <c r="AO380" s="95">
        <f t="shared" si="326"/>
        <v>0</v>
      </c>
      <c r="AP380"/>
      <c r="AQ380" s="95">
        <f t="shared" si="327"/>
        <v>0</v>
      </c>
      <c r="AR380" s="95">
        <f t="shared" si="328"/>
        <v>0</v>
      </c>
      <c r="AS380" s="95">
        <f>Geraetedaten!$B$94*ABS(SIN(RADIANS($A380)))</f>
        <v>55.188664229976318</v>
      </c>
      <c r="AT380" s="95">
        <f>Geraetedaten!$B$94*ABS(COS(RADIANS($A380)))</f>
        <v>143.77138568056904</v>
      </c>
      <c r="AU380" s="95">
        <f>((h_Aw_Sw+Geraetedaten!$B$18)/1000)*(AQ380*AS380+AR380*AT380)/100</f>
        <v>0</v>
      </c>
    </row>
    <row r="381" spans="1:47" ht="13.5" x14ac:dyDescent="0.25">
      <c r="A381" s="16">
        <v>340</v>
      </c>
      <c r="B381" s="16">
        <f t="shared" si="295"/>
        <v>110</v>
      </c>
      <c r="C381" s="19">
        <f t="shared" si="296"/>
        <v>49.875554833930195</v>
      </c>
      <c r="D381" s="17">
        <f t="shared" si="297"/>
        <v>19604.205815166071</v>
      </c>
      <c r="E381" s="17">
        <f t="shared" si="298"/>
        <v>-9297.9582948339303</v>
      </c>
      <c r="F381" s="17">
        <f t="shared" si="299"/>
        <v>-19271.383594833929</v>
      </c>
      <c r="G381" s="17">
        <f t="shared" si="300"/>
        <v>9538.8471751660691</v>
      </c>
      <c r="H381" s="17">
        <f t="shared" si="301"/>
        <v>9538.8471751660691</v>
      </c>
      <c r="I381" s="17">
        <f t="shared" si="302"/>
        <v>6556.8208315547108</v>
      </c>
      <c r="J381" s="20">
        <f>(Geraetedaten!$B$152+(Geraetedaten!$B$153*(Geraetedaten!$B$18+d_y_Sw)/1000))*10</f>
        <v>6051.0442000000003</v>
      </c>
      <c r="K381" s="20">
        <f>(Geraetedaten!$B$165+(Geraetedaten!$B$166*(Geraetedaten!$B$18+d_y_Sw)/1000))*10</f>
        <v>10816.164000000001</v>
      </c>
      <c r="L381" s="20">
        <f>(Geraetedaten!$B$158+(Geraetedaten!$B$159*(Geraetedaten!$B$18+d_y_Sw)/1000)-(Geraetedaten!$B$160*I381/1000))*10</f>
        <v>120.72492842209293</v>
      </c>
      <c r="M381" s="20">
        <f>(Geraetedaten!$B$171+(Geraetedaten!$B$172*(Geraetedaten!$B$18+d_y_Sw)/1000)-(Geraetedaten!$B$173*I381/1000))*10</f>
        <v>576.77725729906808</v>
      </c>
      <c r="N381" s="20">
        <f>IF((H381-J381)/(K381-J381)*(Geraetedaten!$B$174-Geraetedaten!$B$161)&lt;Geraetedaten!$B$174,(H381-J381)/(K381-J381)*(Geraetedaten!$B$174-Geraetedaten!$B$161),Geraetedaten!$B$174)</f>
        <v>292.77777865446899</v>
      </c>
      <c r="O381" s="20">
        <f>N381/Geraetedaten!$B$174*(M381-L381)+L381+C381</f>
        <v>504.40545275301844</v>
      </c>
      <c r="P381" s="20">
        <f t="shared" si="303"/>
        <v>163.99373491525674</v>
      </c>
      <c r="Q381" s="21">
        <f>(N381-Geraetedaten!$B$161)/(Geraetedaten!$B$174-Geraetedaten!$B$161)*(Geraetedaten!$B$175-Geraetedaten!$B$162)+Geraetedaten!$B$162</f>
        <v>37.910138914970453</v>
      </c>
      <c r="R381" s="21">
        <f t="shared" ref="R381:R400" si="329">SQRT((r_K_D/1000)^2+Q381^2-(2*(r_K_D/1000)*Q381*COS(RADIANS(2*A381))))</f>
        <v>37.910138914970453</v>
      </c>
      <c r="S381" s="21">
        <f t="shared" ref="S381:S400" si="330">R381*SIN(A381*Const_2)</f>
        <v>-12.966031145194201</v>
      </c>
      <c r="T381" s="88">
        <f t="shared" ref="T381:T400" si="331">R381*COS(A381*Const_2)</f>
        <v>35.623877791366439</v>
      </c>
      <c r="U381" s="86">
        <f t="shared" ref="U381:U400" si="332">ROUND((F_S*r_Su_L-F_G*V381+F_SSw*X381)/(SIN(RADIANS(270+g_L-A381)))/1000,5)</f>
        <v>19654.08137</v>
      </c>
      <c r="V381" s="85">
        <f t="shared" ref="V381:V400" si="333">(SIN(RADIANS(g_L)))*(((VL_Z-HL_Z)/(VL_X-HL_X))*(-HL_X+AM381)+HL_Z-AL381)</f>
        <v>-2683.3128092763232</v>
      </c>
      <c r="W381" s="85">
        <f t="shared" ref="W381:W400" si="334">V381/(SIN(RADIANS(180-g_L-(90-$A381))))</f>
        <v>7868.9623865833464</v>
      </c>
      <c r="X381" s="90">
        <f t="shared" ref="X381:X400" si="335">SIN(RADIANS(g_L))*(((VL_Z-HL_Z)/(VL_X-HL_X))*(-AO381+HL_X)-HL_Z+AN381)</f>
        <v>2683.3128092763232</v>
      </c>
      <c r="Y381" s="86">
        <f t="shared" ref="Y381:Y400" si="336">ROUND((F_S*r_Su_H-F_G*Z381+F_SSw*AB381)/(SIN(RADIANS(180+g_H-A381)))/1000,5)</f>
        <v>-9248.0827399999998</v>
      </c>
      <c r="Z381" s="85">
        <f t="shared" ref="Z381:Z400" si="337">(SIN(RADIANS(g_H)))*(((HL_X-HR_X)/(HL_Z-HR_Z))*(-HR_Z+AL381)+HR_X-AM381)</f>
        <v>-832.16398485565549</v>
      </c>
      <c r="AA381" s="85">
        <f t="shared" ref="AA381:AA400" si="338">Z381/(SIN(RADIANS(g_H-$A381)))</f>
        <v>-896.02677478142289</v>
      </c>
      <c r="AB381" s="90">
        <f t="shared" ref="AB381:AB400" si="339">SIN(RADIANS(g_H))*(((HL_X-HR_X)/(HL_Z-HR_Z))*(-AN381+HR_Z)-HR_X+AO381)</f>
        <v>832.16398485565549</v>
      </c>
      <c r="AC381" s="86">
        <f t="shared" ref="AC381:AC400" si="340">ROUND((F_S*r_Su_R+F_G*AD381+F_SSw*AF381)/(SIN(RADIANS(90+g_R-A381)))/1000,5)</f>
        <v>-19221.508040000001</v>
      </c>
      <c r="AD381" s="85">
        <f t="shared" ref="AD381:AD400" si="341">(SIN(RADIANS(g_R)))*(((HR_Z-VR_Z)/(HR_X-VR_X))*(-VR_X+AM381)+VR_Z-AL381)</f>
        <v>2598.140025222212</v>
      </c>
      <c r="AE381" s="85">
        <f t="shared" ref="AE381:AE400" si="342">AD381/(SIN(RADIANS(180-g_R-(90-$A381))))</f>
        <v>-7581.8297462383543</v>
      </c>
      <c r="AF381" s="90">
        <f t="shared" ref="AF381:AF400" si="343">(SIN(RADIANS(g_R)))*(((HR_Z-VR_Z)/(HR_X-VR_X))*(-VR_X+AO381)+VR_Z-AN381)</f>
        <v>2598.140025222212</v>
      </c>
      <c r="AG381" s="86">
        <f t="shared" ref="AG381:AG400" si="344">ROUND((F_S*r_Su_V+F_G*AH381+F_SSw*AJ381)/(SIN(RADIANS(g_V-A381)))/1000,5)</f>
        <v>9588.7227299999995</v>
      </c>
      <c r="AH381" s="85">
        <f t="shared" ref="AH381:AH400" si="345">(SIN(RADIANS(g_V)))*(((VR_X-VL_X)/(VR_Z-VL_Z))*(AL381-VL_Z)+VL_X-AM381)</f>
        <v>6183.1314163678471</v>
      </c>
      <c r="AI381" s="85">
        <f t="shared" ref="AI381:AI400" si="346">AH381/(SIN(RADIANS(g_V-$A381)))</f>
        <v>6556.8208315547108</v>
      </c>
      <c r="AJ381" s="90">
        <f t="shared" ref="AJ381:AJ400" si="347">(SIN(RADIANS(g_V)))*(((VR_X-VL_X)/(VR_Z-VL_Z))*(-VL_Z+AN381)+VL_X-AO381)</f>
        <v>6183.1314163678471</v>
      </c>
      <c r="AL381" s="95">
        <f t="shared" ref="AL381:AL400" si="348">SIN(RADIANS(A381))*r_K_D</f>
        <v>0</v>
      </c>
      <c r="AM381" s="95">
        <f t="shared" ref="AM381:AM400" si="349">COS(RADIANS(A381-180))*r_K_D</f>
        <v>0</v>
      </c>
      <c r="AN381" s="95">
        <f t="shared" ref="AN381:AN400" si="350">SIN(RADIANS(A381))*r_K_SSw</f>
        <v>0</v>
      </c>
      <c r="AO381" s="95">
        <f t="shared" ref="AO381:AO400" si="351">-COS(RADIANS(A381))*r_K_SSw</f>
        <v>0</v>
      </c>
      <c r="AP381"/>
      <c r="AQ381" s="95">
        <f t="shared" ref="AQ381:AQ400" si="352">MAX(d_y_Sw*(r_K_D*ABS(COS(RADIANS($A381)))+_r1_Sw+_r2_Sw), 2*_r1_Sw*d_y_Sw)/1000000</f>
        <v>0</v>
      </c>
      <c r="AR381" s="95">
        <f t="shared" ref="AR381:AR400" si="353">MAX(d_y_Sw*(r_K_D*ABS(SIN(RADIANS($A381)))+_r1_Sw+_r2_Sw), 2*_r1_Sw*d_y_Sw)/1000000</f>
        <v>0</v>
      </c>
      <c r="AS381" s="95">
        <f>Geraetedaten!$B$94*ABS(SIN(RADIANS($A381)))</f>
        <v>52.671102072152962</v>
      </c>
      <c r="AT381" s="95">
        <f>Geraetedaten!$B$94*ABS(COS(RADIANS($A381)))</f>
        <v>144.7126636010299</v>
      </c>
      <c r="AU381" s="95">
        <f>((h_Aw_Sw+Geraetedaten!$B$18)/1000)*(AQ381*AS381+AR381*AT381)/100</f>
        <v>0</v>
      </c>
    </row>
    <row r="382" spans="1:47" ht="13.5" x14ac:dyDescent="0.25">
      <c r="A382" s="16">
        <v>341</v>
      </c>
      <c r="B382" s="16">
        <f t="shared" si="295"/>
        <v>109</v>
      </c>
      <c r="C382" s="19">
        <f t="shared" si="296"/>
        <v>49.004531136759482</v>
      </c>
      <c r="D382" s="17">
        <f t="shared" si="297"/>
        <v>20601.784818863238</v>
      </c>
      <c r="E382" s="17">
        <f t="shared" si="298"/>
        <v>-9234.4879911367589</v>
      </c>
      <c r="F382" s="17">
        <f t="shared" si="299"/>
        <v>-20239.61864113676</v>
      </c>
      <c r="G382" s="17">
        <f t="shared" si="300"/>
        <v>9482.4687988632413</v>
      </c>
      <c r="H382" s="17">
        <f t="shared" si="301"/>
        <v>9482.4687988632413</v>
      </c>
      <c r="I382" s="17">
        <f t="shared" si="302"/>
        <v>6517.6733786790701</v>
      </c>
      <c r="J382" s="20">
        <f>(Geraetedaten!$B$152+(Geraetedaten!$B$153*(Geraetedaten!$B$18+d_y_Sw)/1000))*10</f>
        <v>6051.0442000000003</v>
      </c>
      <c r="K382" s="20">
        <f>(Geraetedaten!$B$165+(Geraetedaten!$B$166*(Geraetedaten!$B$18+d_y_Sw)/1000))*10</f>
        <v>10816.164000000001</v>
      </c>
      <c r="L382" s="20">
        <f>(Geraetedaten!$B$158+(Geraetedaten!$B$159*(Geraetedaten!$B$18+d_y_Sw)/1000)-(Geraetedaten!$B$160*I382/1000))*10</f>
        <v>123.59561114146366</v>
      </c>
      <c r="M382" s="20">
        <f>(Geraetedaten!$B$171+(Geraetedaten!$B$172*(Geraetedaten!$B$18+d_y_Sw)/1000)-(Geraetedaten!$B$173*I382/1000))*10</f>
        <v>579.69139369113088</v>
      </c>
      <c r="N382" s="20">
        <f>IF((H382-J382)/(K382-J382)*(Geraetedaten!$B$174-Geraetedaten!$B$161)&lt;Geraetedaten!$B$174,(H382-J382)/(K382-J382)*(Geraetedaten!$B$174-Geraetedaten!$B$161),Geraetedaten!$B$174)</f>
        <v>288.04519028992644</v>
      </c>
      <c r="O382" s="20">
        <f>N382/Geraetedaten!$B$174*(M382-L382)+L382+C382</f>
        <v>501.0406334656027</v>
      </c>
      <c r="P382" s="20">
        <f t="shared" si="303"/>
        <v>163.42959192112914</v>
      </c>
      <c r="Q382" s="21">
        <f>(N382-Geraetedaten!$B$161)/(Geraetedaten!$B$174-Geraetedaten!$B$161)*(Geraetedaten!$B$175-Geraetedaten!$B$162)+Geraetedaten!$B$162</f>
        <v>37.769344411125317</v>
      </c>
      <c r="R382" s="21">
        <f t="shared" si="329"/>
        <v>37.769344411125317</v>
      </c>
      <c r="S382" s="21">
        <f t="shared" si="330"/>
        <v>-12.296495754986795</v>
      </c>
      <c r="T382" s="88">
        <f t="shared" si="331"/>
        <v>35.711616728927225</v>
      </c>
      <c r="U382" s="86">
        <f t="shared" si="332"/>
        <v>20650.789349999999</v>
      </c>
      <c r="V382" s="85">
        <f t="shared" si="333"/>
        <v>-2683.3128092763232</v>
      </c>
      <c r="W382" s="85">
        <f t="shared" si="334"/>
        <v>8268.0172943310572</v>
      </c>
      <c r="X382" s="90">
        <f t="shared" si="335"/>
        <v>2683.3128092763232</v>
      </c>
      <c r="Y382" s="86">
        <f t="shared" si="336"/>
        <v>-9185.4834599999995</v>
      </c>
      <c r="Z382" s="85">
        <f t="shared" si="337"/>
        <v>-832.16398485565549</v>
      </c>
      <c r="AA382" s="85">
        <f t="shared" si="338"/>
        <v>-889.96166642847402</v>
      </c>
      <c r="AB382" s="90">
        <f t="shared" si="339"/>
        <v>832.16398485565549</v>
      </c>
      <c r="AC382" s="86">
        <f t="shared" si="340"/>
        <v>-20190.614109999999</v>
      </c>
      <c r="AD382" s="85">
        <f t="shared" si="341"/>
        <v>2598.140025222212</v>
      </c>
      <c r="AE382" s="85">
        <f t="shared" si="342"/>
        <v>-7964.0888899693655</v>
      </c>
      <c r="AF382" s="90">
        <f t="shared" si="343"/>
        <v>2598.140025222212</v>
      </c>
      <c r="AG382" s="86">
        <f t="shared" si="344"/>
        <v>9531.4733300000007</v>
      </c>
      <c r="AH382" s="85">
        <f t="shared" si="345"/>
        <v>6183.1314163678471</v>
      </c>
      <c r="AI382" s="85">
        <f t="shared" si="346"/>
        <v>6517.6733786790701</v>
      </c>
      <c r="AJ382" s="90">
        <f t="shared" si="347"/>
        <v>6183.1314163678471</v>
      </c>
      <c r="AL382" s="95">
        <f t="shared" si="348"/>
        <v>0</v>
      </c>
      <c r="AM382" s="95">
        <f t="shared" si="349"/>
        <v>0</v>
      </c>
      <c r="AN382" s="95">
        <f t="shared" si="350"/>
        <v>0</v>
      </c>
      <c r="AO382" s="95">
        <f t="shared" si="351"/>
        <v>0</v>
      </c>
      <c r="AP382"/>
      <c r="AQ382" s="95">
        <f t="shared" si="352"/>
        <v>0</v>
      </c>
      <c r="AR382" s="95">
        <f t="shared" si="353"/>
        <v>0</v>
      </c>
      <c r="AS382" s="95">
        <f>Geraetedaten!$B$94*ABS(SIN(RADIANS($A382)))</f>
        <v>50.137495786402134</v>
      </c>
      <c r="AT382" s="95">
        <f>Geraetedaten!$B$94*ABS(COS(RADIANS($A382)))</f>
        <v>145.60986064229479</v>
      </c>
      <c r="AU382" s="95">
        <f>((h_Aw_Sw+Geraetedaten!$B$18)/1000)*(AQ382*AS382+AR382*AT382)/100</f>
        <v>0</v>
      </c>
    </row>
    <row r="383" spans="1:47" ht="13.5" x14ac:dyDescent="0.25">
      <c r="A383" s="16">
        <v>342</v>
      </c>
      <c r="B383" s="16">
        <f t="shared" si="295"/>
        <v>108</v>
      </c>
      <c r="C383" s="19">
        <f t="shared" si="296"/>
        <v>48.118580184686962</v>
      </c>
      <c r="D383" s="17">
        <f t="shared" si="297"/>
        <v>21712.853069815312</v>
      </c>
      <c r="E383" s="17">
        <f t="shared" si="298"/>
        <v>-9174.6058501846874</v>
      </c>
      <c r="F383" s="17">
        <f t="shared" si="299"/>
        <v>-21317.570450184689</v>
      </c>
      <c r="G383" s="17">
        <f t="shared" si="300"/>
        <v>9429.6547898153131</v>
      </c>
      <c r="H383" s="17">
        <f t="shared" si="301"/>
        <v>9429.6547898153131</v>
      </c>
      <c r="I383" s="17">
        <f t="shared" si="302"/>
        <v>6480.9530549156916</v>
      </c>
      <c r="J383" s="20">
        <f>(Geraetedaten!$B$152+(Geraetedaten!$B$153*(Geraetedaten!$B$18+d_y_Sw)/1000))*10</f>
        <v>6051.0442000000003</v>
      </c>
      <c r="K383" s="20">
        <f>(Geraetedaten!$B$165+(Geraetedaten!$B$166*(Geraetedaten!$B$18+d_y_Sw)/1000))*10</f>
        <v>10816.164000000001</v>
      </c>
      <c r="L383" s="20">
        <f>(Geraetedaten!$B$158+(Geraetedaten!$B$159*(Geraetedaten!$B$18+d_y_Sw)/1000)-(Geraetedaten!$B$160*I383/1000))*10</f>
        <v>126.28831248303221</v>
      </c>
      <c r="M383" s="20">
        <f>(Geraetedaten!$B$171+(Geraetedaten!$B$172*(Geraetedaten!$B$18+d_y_Sw)/1000)-(Geraetedaten!$B$173*I383/1000))*10</f>
        <v>582.42485459207671</v>
      </c>
      <c r="N383" s="20">
        <f>IF((H383-J383)/(K383-J383)*(Geraetedaten!$B$174-Geraetedaten!$B$161)&lt;Geraetedaten!$B$174,(H383-J383)/(K383-J383)*(Geraetedaten!$B$174-Geraetedaten!$B$161),Geraetedaten!$B$174)</f>
        <v>283.61180676425494</v>
      </c>
      <c r="O383" s="20">
        <f>N383/Geraetedaten!$B$174*(M383-L383)+L383+C383</f>
        <v>497.82116476458356</v>
      </c>
      <c r="P383" s="20">
        <f t="shared" si="303"/>
        <v>162.87548036575046</v>
      </c>
      <c r="Q383" s="21">
        <f>(N383-Geraetedaten!$B$161)/(Geraetedaten!$B$174-Geraetedaten!$B$161)*(Geraetedaten!$B$175-Geraetedaten!$B$162)+Geraetedaten!$B$162</f>
        <v>37.637451251236584</v>
      </c>
      <c r="R383" s="21">
        <f t="shared" si="329"/>
        <v>37.637451251236584</v>
      </c>
      <c r="S383" s="21">
        <f t="shared" si="330"/>
        <v>-11.630612061590741</v>
      </c>
      <c r="T383" s="88">
        <f t="shared" si="331"/>
        <v>35.795343269229733</v>
      </c>
      <c r="U383" s="86">
        <f t="shared" si="332"/>
        <v>21760.971649999999</v>
      </c>
      <c r="V383" s="85">
        <f t="shared" si="333"/>
        <v>-2683.3128092763232</v>
      </c>
      <c r="W383" s="85">
        <f t="shared" si="334"/>
        <v>8712.5042483065317</v>
      </c>
      <c r="X383" s="90">
        <f t="shared" si="335"/>
        <v>2683.3128092763232</v>
      </c>
      <c r="Y383" s="86">
        <f t="shared" si="336"/>
        <v>-9126.4872699999996</v>
      </c>
      <c r="Z383" s="85">
        <f t="shared" si="337"/>
        <v>-832.16398485565549</v>
      </c>
      <c r="AA383" s="85">
        <f t="shared" si="338"/>
        <v>-884.24565300673487</v>
      </c>
      <c r="AB383" s="90">
        <f t="shared" si="339"/>
        <v>832.16398485565549</v>
      </c>
      <c r="AC383" s="86">
        <f t="shared" si="340"/>
        <v>-21269.451870000001</v>
      </c>
      <c r="AD383" s="85">
        <f t="shared" si="341"/>
        <v>2598.140025222212</v>
      </c>
      <c r="AE383" s="85">
        <f t="shared" si="342"/>
        <v>-8389.631163505841</v>
      </c>
      <c r="AF383" s="90">
        <f t="shared" si="343"/>
        <v>2598.140025222212</v>
      </c>
      <c r="AG383" s="86">
        <f t="shared" si="344"/>
        <v>9477.7733700000008</v>
      </c>
      <c r="AH383" s="85">
        <f t="shared" si="345"/>
        <v>6183.1314163678471</v>
      </c>
      <c r="AI383" s="85">
        <f t="shared" si="346"/>
        <v>6480.9530549156916</v>
      </c>
      <c r="AJ383" s="90">
        <f t="shared" si="347"/>
        <v>6183.1314163678471</v>
      </c>
      <c r="AL383" s="95">
        <f t="shared" si="348"/>
        <v>0</v>
      </c>
      <c r="AM383" s="95">
        <f t="shared" si="349"/>
        <v>0</v>
      </c>
      <c r="AN383" s="95">
        <f t="shared" si="350"/>
        <v>0</v>
      </c>
      <c r="AO383" s="95">
        <f t="shared" si="351"/>
        <v>0</v>
      </c>
      <c r="AP383"/>
      <c r="AQ383" s="95">
        <f t="shared" si="352"/>
        <v>0</v>
      </c>
      <c r="AR383" s="95">
        <f t="shared" si="353"/>
        <v>0</v>
      </c>
      <c r="AS383" s="95">
        <f>Geraetedaten!$B$94*ABS(SIN(RADIANS($A383)))</f>
        <v>47.588617133741934</v>
      </c>
      <c r="AT383" s="95">
        <f>Geraetedaten!$B$94*ABS(COS(RADIANS($A383)))</f>
        <v>146.46270350945363</v>
      </c>
      <c r="AU383" s="95">
        <f>((h_Aw_Sw+Geraetedaten!$B$18)/1000)*(AQ383*AS383+AR383*AT383)/100</f>
        <v>0</v>
      </c>
    </row>
    <row r="384" spans="1:47" ht="13.5" x14ac:dyDescent="0.25">
      <c r="A384" s="16">
        <v>343</v>
      </c>
      <c r="B384" s="16">
        <f t="shared" si="295"/>
        <v>107</v>
      </c>
      <c r="C384" s="19">
        <f t="shared" si="296"/>
        <v>47.217971846955038</v>
      </c>
      <c r="D384" s="17">
        <f t="shared" si="297"/>
        <v>22957.489608153042</v>
      </c>
      <c r="E384" s="17">
        <f t="shared" si="298"/>
        <v>-9118.2075318469542</v>
      </c>
      <c r="F384" s="17">
        <f t="shared" si="299"/>
        <v>-22524.539201846957</v>
      </c>
      <c r="G384" s="17">
        <f t="shared" si="300"/>
        <v>9380.3127681530459</v>
      </c>
      <c r="H384" s="17">
        <f t="shared" si="301"/>
        <v>9380.3127681530459</v>
      </c>
      <c r="I384" s="17">
        <f t="shared" si="302"/>
        <v>6446.5968693567693</v>
      </c>
      <c r="J384" s="20">
        <f>(Geraetedaten!$B$152+(Geraetedaten!$B$153*(Geraetedaten!$B$18+d_y_Sw)/1000))*10</f>
        <v>6051.0442000000003</v>
      </c>
      <c r="K384" s="20">
        <f>(Geraetedaten!$B$165+(Geraetedaten!$B$166*(Geraetedaten!$B$18+d_y_Sw)/1000))*10</f>
        <v>10816.164000000001</v>
      </c>
      <c r="L384" s="20">
        <f>(Geraetedaten!$B$158+(Geraetedaten!$B$159*(Geraetedaten!$B$18+d_y_Sw)/1000)-(Geraetedaten!$B$160*I384/1000))*10</f>
        <v>128.807651570068</v>
      </c>
      <c r="M384" s="20">
        <f>(Geraetedaten!$B$171+(Geraetedaten!$B$172*(Geraetedaten!$B$18+d_y_Sw)/1000)-(Geraetedaten!$B$173*I384/1000))*10</f>
        <v>584.98232904508291</v>
      </c>
      <c r="N384" s="20">
        <f>IF((H384-J384)/(K384-J384)*(Geraetedaten!$B$174-Geraetedaten!$B$161)&lt;Geraetedaten!$B$174,(H384-J384)/(K384-J384)*(Geraetedaten!$B$174-Geraetedaten!$B$161),Geraetedaten!$B$174)</f>
        <v>279.46987340406804</v>
      </c>
      <c r="O384" s="20">
        <f>N384/Geraetedaten!$B$174*(M384-L384)+L384+C384</f>
        <v>494.74332182723305</v>
      </c>
      <c r="P384" s="20">
        <f t="shared" si="303"/>
        <v>162.33149299913248</v>
      </c>
      <c r="Q384" s="21">
        <f>(N384-Geraetedaten!$B$161)/(Geraetedaten!$B$174-Geraetedaten!$B$161)*(Geraetedaten!$B$175-Geraetedaten!$B$162)+Geraetedaten!$B$162</f>
        <v>37.514228733771027</v>
      </c>
      <c r="R384" s="21">
        <f t="shared" si="329"/>
        <v>37.514228733771027</v>
      </c>
      <c r="S384" s="21">
        <f t="shared" si="330"/>
        <v>-10.968099006251325</v>
      </c>
      <c r="T384" s="88">
        <f t="shared" si="331"/>
        <v>35.875035354390391</v>
      </c>
      <c r="U384" s="86">
        <f t="shared" si="332"/>
        <v>23004.707579999998</v>
      </c>
      <c r="V384" s="85">
        <f t="shared" si="333"/>
        <v>-2683.3128092763232</v>
      </c>
      <c r="W384" s="85">
        <f t="shared" si="334"/>
        <v>9210.462461841249</v>
      </c>
      <c r="X384" s="90">
        <f t="shared" si="335"/>
        <v>2683.3128092763232</v>
      </c>
      <c r="Y384" s="86">
        <f t="shared" si="336"/>
        <v>-9070.98956</v>
      </c>
      <c r="Z384" s="85">
        <f t="shared" si="337"/>
        <v>-832.16398485565549</v>
      </c>
      <c r="AA384" s="85">
        <f t="shared" si="338"/>
        <v>-878.86859962025403</v>
      </c>
      <c r="AB384" s="90">
        <f t="shared" si="339"/>
        <v>832.16398485565549</v>
      </c>
      <c r="AC384" s="86">
        <f t="shared" si="340"/>
        <v>-22477.321230000001</v>
      </c>
      <c r="AD384" s="85">
        <f t="shared" si="341"/>
        <v>2598.140025222212</v>
      </c>
      <c r="AE384" s="85">
        <f t="shared" si="342"/>
        <v>-8866.0693209148103</v>
      </c>
      <c r="AF384" s="90">
        <f t="shared" si="343"/>
        <v>2598.140025222212</v>
      </c>
      <c r="AG384" s="86">
        <f t="shared" si="344"/>
        <v>9427.5307400000002</v>
      </c>
      <c r="AH384" s="85">
        <f t="shared" si="345"/>
        <v>6183.1314163678471</v>
      </c>
      <c r="AI384" s="85">
        <f t="shared" si="346"/>
        <v>6446.5968693567693</v>
      </c>
      <c r="AJ384" s="90">
        <f t="shared" si="347"/>
        <v>6183.1314163678471</v>
      </c>
      <c r="AL384" s="95">
        <f t="shared" si="348"/>
        <v>0</v>
      </c>
      <c r="AM384" s="95">
        <f t="shared" si="349"/>
        <v>0</v>
      </c>
      <c r="AN384" s="95">
        <f t="shared" si="350"/>
        <v>0</v>
      </c>
      <c r="AO384" s="95">
        <f t="shared" si="351"/>
        <v>0</v>
      </c>
      <c r="AP384"/>
      <c r="AQ384" s="95">
        <f t="shared" si="352"/>
        <v>0</v>
      </c>
      <c r="AR384" s="95">
        <f t="shared" si="353"/>
        <v>0</v>
      </c>
      <c r="AS384" s="95">
        <f>Geraetedaten!$B$94*ABS(SIN(RADIANS($A384)))</f>
        <v>45.025242527301522</v>
      </c>
      <c r="AT384" s="95">
        <f>Geraetedaten!$B$94*ABS(COS(RADIANS($A384)))</f>
        <v>147.27093241830744</v>
      </c>
      <c r="AU384" s="95">
        <f>((h_Aw_Sw+Geraetedaten!$B$18)/1000)*(AQ384*AS384+AR384*AT384)/100</f>
        <v>0</v>
      </c>
    </row>
    <row r="385" spans="1:47" ht="13.5" x14ac:dyDescent="0.25">
      <c r="A385" s="16">
        <v>344</v>
      </c>
      <c r="B385" s="16">
        <f t="shared" si="295"/>
        <v>106</v>
      </c>
      <c r="C385" s="19">
        <f t="shared" si="296"/>
        <v>46.302980457587722</v>
      </c>
      <c r="D385" s="17">
        <f t="shared" si="297"/>
        <v>24360.814109542411</v>
      </c>
      <c r="E385" s="17">
        <f t="shared" si="298"/>
        <v>-9065.196350457587</v>
      </c>
      <c r="F385" s="17">
        <f t="shared" si="299"/>
        <v>-23884.639150457588</v>
      </c>
      <c r="G385" s="17">
        <f t="shared" si="300"/>
        <v>9334.3573695424129</v>
      </c>
      <c r="H385" s="17">
        <f t="shared" si="301"/>
        <v>9334.3573695424129</v>
      </c>
      <c r="I385" s="17">
        <f t="shared" si="302"/>
        <v>6414.5466439245074</v>
      </c>
      <c r="J385" s="20">
        <f>(Geraetedaten!$B$152+(Geraetedaten!$B$153*(Geraetedaten!$B$18+d_y_Sw)/1000))*10</f>
        <v>6051.0442000000003</v>
      </c>
      <c r="K385" s="20">
        <f>(Geraetedaten!$B$165+(Geraetedaten!$B$166*(Geraetedaten!$B$18+d_y_Sw)/1000))*10</f>
        <v>10816.164000000001</v>
      </c>
      <c r="L385" s="20">
        <f>(Geraetedaten!$B$158+(Geraetedaten!$B$159*(Geraetedaten!$B$18+d_y_Sw)/1000)-(Geraetedaten!$B$160*I385/1000))*10</f>
        <v>131.15789460101576</v>
      </c>
      <c r="M385" s="20">
        <f>(Geraetedaten!$B$171+(Geraetedaten!$B$172*(Geraetedaten!$B$18+d_y_Sw)/1000)-(Geraetedaten!$B$173*I385/1000))*10</f>
        <v>587.3681478262605</v>
      </c>
      <c r="N385" s="20">
        <f>IF((H385-J385)/(K385-J385)*(Geraetedaten!$B$174-Geraetedaten!$B$161)&lt;Geraetedaten!$B$174,(H385-J385)/(K385-J385)*(Geraetedaten!$B$174-Geraetedaten!$B$161),Geraetedaten!$B$174)</f>
        <v>275.61222444333191</v>
      </c>
      <c r="O385" s="20">
        <f>N385/Geraetedaten!$B$174*(M385-L385)+L385+C385</f>
        <v>491.8036818217671</v>
      </c>
      <c r="P385" s="20">
        <f t="shared" si="303"/>
        <v>161.79773242008221</v>
      </c>
      <c r="Q385" s="21">
        <f>(N385-Geraetedaten!$B$161)/(Geraetedaten!$B$174-Geraetedaten!$B$161)*(Geraetedaten!$B$175-Geraetedaten!$B$162)+Geraetedaten!$B$162</f>
        <v>37.399463677189125</v>
      </c>
      <c r="R385" s="21">
        <f t="shared" si="329"/>
        <v>37.399463677189125</v>
      </c>
      <c r="S385" s="21">
        <f t="shared" si="330"/>
        <v>-10.308689276954306</v>
      </c>
      <c r="T385" s="88">
        <f t="shared" si="331"/>
        <v>35.950671881518375</v>
      </c>
      <c r="U385" s="86">
        <f t="shared" si="332"/>
        <v>24407.11709</v>
      </c>
      <c r="V385" s="85">
        <f t="shared" si="333"/>
        <v>-2683.3128092763232</v>
      </c>
      <c r="W385" s="85">
        <f t="shared" si="334"/>
        <v>9771.9492827727245</v>
      </c>
      <c r="X385" s="90">
        <f t="shared" si="335"/>
        <v>2683.3128092763232</v>
      </c>
      <c r="Y385" s="86">
        <f t="shared" si="336"/>
        <v>-9018.8933699999998</v>
      </c>
      <c r="Z385" s="85">
        <f t="shared" si="337"/>
        <v>-832.16398485565549</v>
      </c>
      <c r="AA385" s="85">
        <f t="shared" si="338"/>
        <v>-873.82111172106943</v>
      </c>
      <c r="AB385" s="90">
        <f t="shared" si="339"/>
        <v>832.16398485565549</v>
      </c>
      <c r="AC385" s="86">
        <f t="shared" si="340"/>
        <v>-23838.336169999999</v>
      </c>
      <c r="AD385" s="85">
        <f t="shared" si="341"/>
        <v>2598.140025222212</v>
      </c>
      <c r="AE385" s="85">
        <f t="shared" si="342"/>
        <v>-9402.9149998209523</v>
      </c>
      <c r="AF385" s="90">
        <f t="shared" si="343"/>
        <v>2598.140025222212</v>
      </c>
      <c r="AG385" s="86">
        <f t="shared" si="344"/>
        <v>9380.6603500000001</v>
      </c>
      <c r="AH385" s="85">
        <f t="shared" si="345"/>
        <v>6183.1314163678471</v>
      </c>
      <c r="AI385" s="85">
        <f t="shared" si="346"/>
        <v>6414.5466439245074</v>
      </c>
      <c r="AJ385" s="90">
        <f t="shared" si="347"/>
        <v>6183.1314163678471</v>
      </c>
      <c r="AL385" s="95">
        <f t="shared" si="348"/>
        <v>0</v>
      </c>
      <c r="AM385" s="95">
        <f t="shared" si="349"/>
        <v>0</v>
      </c>
      <c r="AN385" s="95">
        <f t="shared" si="350"/>
        <v>0</v>
      </c>
      <c r="AO385" s="95">
        <f t="shared" si="351"/>
        <v>0</v>
      </c>
      <c r="AP385"/>
      <c r="AQ385" s="95">
        <f t="shared" si="352"/>
        <v>0</v>
      </c>
      <c r="AR385" s="95">
        <f t="shared" si="353"/>
        <v>0</v>
      </c>
      <c r="AS385" s="95">
        <f>Geraetedaten!$B$94*ABS(SIN(RADIANS($A385)))</f>
        <v>42.44815279581784</v>
      </c>
      <c r="AT385" s="95">
        <f>Geraetedaten!$B$94*ABS(COS(RADIANS($A385)))</f>
        <v>148.03430117450111</v>
      </c>
      <c r="AU385" s="95">
        <f>((h_Aw_Sw+Geraetedaten!$B$18)/1000)*(AQ385*AS385+AR385*AT385)/100</f>
        <v>0</v>
      </c>
    </row>
    <row r="386" spans="1:47" ht="13.5" x14ac:dyDescent="0.25">
      <c r="A386" s="16">
        <v>345</v>
      </c>
      <c r="B386" s="16">
        <f t="shared" si="295"/>
        <v>105</v>
      </c>
      <c r="C386" s="19">
        <f t="shared" si="296"/>
        <v>45.373884731826017</v>
      </c>
      <c r="D386" s="17">
        <f t="shared" si="297"/>
        <v>25954.674065268173</v>
      </c>
      <c r="E386" s="17">
        <f t="shared" si="298"/>
        <v>-9015.4828147318258</v>
      </c>
      <c r="F386" s="17">
        <f t="shared" si="299"/>
        <v>-25428.398974731826</v>
      </c>
      <c r="G386" s="17">
        <f t="shared" si="300"/>
        <v>9291.7099152681749</v>
      </c>
      <c r="H386" s="17">
        <f t="shared" si="301"/>
        <v>9291.7099152681749</v>
      </c>
      <c r="I386" s="17">
        <f t="shared" si="302"/>
        <v>6384.748761978849</v>
      </c>
      <c r="J386" s="20">
        <f>(Geraetedaten!$B$152+(Geraetedaten!$B$153*(Geraetedaten!$B$18+d_y_Sw)/1000))*10</f>
        <v>6051.0442000000003</v>
      </c>
      <c r="K386" s="20">
        <f>(Geraetedaten!$B$165+(Geraetedaten!$B$166*(Geraetedaten!$B$18+d_y_Sw)/1000))*10</f>
        <v>10816.164000000001</v>
      </c>
      <c r="L386" s="20">
        <f>(Geraetedaten!$B$158+(Geraetedaten!$B$159*(Geraetedaten!$B$18+d_y_Sw)/1000)-(Geraetedaten!$B$160*I386/1000))*10</f>
        <v>133.34297328409087</v>
      </c>
      <c r="M386" s="20">
        <f>(Geraetedaten!$B$171+(Geraetedaten!$B$172*(Geraetedaten!$B$18+d_y_Sw)/1000)-(Geraetedaten!$B$173*I386/1000))*10</f>
        <v>589.58630215829533</v>
      </c>
      <c r="N386" s="20">
        <f>IF((H386-J386)/(K386-J386)*(Geraetedaten!$B$174-Geraetedaten!$B$161)&lt;Geraetedaten!$B$174,(H386-J386)/(K386-J386)*(Geraetedaten!$B$174-Geraetedaten!$B$161),Geraetedaten!$B$174)</f>
        <v>272.03225532908317</v>
      </c>
      <c r="O386" s="20">
        <f>N386/Geraetedaten!$B$174*(M386-L386)+L386+C386</f>
        <v>488.99911234716302</v>
      </c>
      <c r="P386" s="20">
        <f t="shared" si="303"/>
        <v>161.27431181426391</v>
      </c>
      <c r="Q386" s="21">
        <f>(N386-Geraetedaten!$B$161)/(Geraetedaten!$B$174-Geraetedaten!$B$161)*(Geraetedaten!$B$175-Geraetedaten!$B$162)+Geraetedaten!$B$162</f>
        <v>37.292959596040227</v>
      </c>
      <c r="R386" s="21">
        <f t="shared" si="329"/>
        <v>37.292959596040227</v>
      </c>
      <c r="S386" s="21">
        <f t="shared" si="330"/>
        <v>-9.6521281916940165</v>
      </c>
      <c r="T386" s="88">
        <f t="shared" si="331"/>
        <v>36.022232812569996</v>
      </c>
      <c r="U386" s="86">
        <f t="shared" si="332"/>
        <v>26000.04795</v>
      </c>
      <c r="V386" s="85">
        <f t="shared" si="333"/>
        <v>-2683.3128092763232</v>
      </c>
      <c r="W386" s="85">
        <f t="shared" si="334"/>
        <v>10409.715698561333</v>
      </c>
      <c r="X386" s="90">
        <f t="shared" si="335"/>
        <v>2683.3128092763232</v>
      </c>
      <c r="Y386" s="86">
        <f t="shared" si="336"/>
        <v>-8970.1089300000003</v>
      </c>
      <c r="Z386" s="85">
        <f t="shared" si="337"/>
        <v>-832.16398485565549</v>
      </c>
      <c r="AA386" s="85">
        <f t="shared" si="338"/>
        <v>-869.09449273779728</v>
      </c>
      <c r="AB386" s="90">
        <f t="shared" si="339"/>
        <v>832.16398485565549</v>
      </c>
      <c r="AC386" s="86">
        <f t="shared" si="340"/>
        <v>-25383.025089999999</v>
      </c>
      <c r="AD386" s="85">
        <f t="shared" si="341"/>
        <v>2598.140025222212</v>
      </c>
      <c r="AE386" s="85">
        <f t="shared" si="342"/>
        <v>-10012.20998171939</v>
      </c>
      <c r="AF386" s="90">
        <f t="shared" si="343"/>
        <v>2598.140025222212</v>
      </c>
      <c r="AG386" s="86">
        <f t="shared" si="344"/>
        <v>9337.0838000000003</v>
      </c>
      <c r="AH386" s="85">
        <f t="shared" si="345"/>
        <v>6183.1314163678471</v>
      </c>
      <c r="AI386" s="85">
        <f t="shared" si="346"/>
        <v>6384.748761978849</v>
      </c>
      <c r="AJ386" s="90">
        <f t="shared" si="347"/>
        <v>6183.1314163678471</v>
      </c>
      <c r="AL386" s="95">
        <f t="shared" si="348"/>
        <v>0</v>
      </c>
      <c r="AM386" s="95">
        <f t="shared" si="349"/>
        <v>0</v>
      </c>
      <c r="AN386" s="95">
        <f t="shared" si="350"/>
        <v>0</v>
      </c>
      <c r="AO386" s="95">
        <f t="shared" si="351"/>
        <v>0</v>
      </c>
      <c r="AP386"/>
      <c r="AQ386" s="95">
        <f t="shared" si="352"/>
        <v>0</v>
      </c>
      <c r="AR386" s="95">
        <f t="shared" si="353"/>
        <v>0</v>
      </c>
      <c r="AS386" s="95">
        <f>Geraetedaten!$B$94*ABS(SIN(RADIANS($A386)))</f>
        <v>39.858132945788185</v>
      </c>
      <c r="AT386" s="95">
        <f>Geraetedaten!$B$94*ABS(COS(RADIANS($A386)))</f>
        <v>148.75257724851653</v>
      </c>
      <c r="AU386" s="95">
        <f>((h_Aw_Sw+Geraetedaten!$B$18)/1000)*(AQ386*AS386+AR386*AT386)/100</f>
        <v>0</v>
      </c>
    </row>
    <row r="387" spans="1:47" ht="13.5" x14ac:dyDescent="0.25">
      <c r="A387" s="16">
        <v>346</v>
      </c>
      <c r="B387" s="16">
        <f t="shared" si="295"/>
        <v>104</v>
      </c>
      <c r="C387" s="19">
        <f t="shared" si="296"/>
        <v>44.430967681228317</v>
      </c>
      <c r="D387" s="17">
        <f t="shared" si="297"/>
        <v>27780.058302318768</v>
      </c>
      <c r="E387" s="17">
        <f t="shared" si="298"/>
        <v>-8968.984257681228</v>
      </c>
      <c r="F387" s="17">
        <f t="shared" si="299"/>
        <v>-27195.046097681228</v>
      </c>
      <c r="G387" s="17">
        <f t="shared" si="300"/>
        <v>9252.2980523187725</v>
      </c>
      <c r="H387" s="17">
        <f t="shared" si="301"/>
        <v>9252.2980523187725</v>
      </c>
      <c r="I387" s="17">
        <f t="shared" si="302"/>
        <v>6357.1539405070944</v>
      </c>
      <c r="J387" s="20">
        <f>(Geraetedaten!$B$152+(Geraetedaten!$B$153*(Geraetedaten!$B$18+d_y_Sw)/1000))*10</f>
        <v>6051.0442000000003</v>
      </c>
      <c r="K387" s="20">
        <f>(Geraetedaten!$B$165+(Geraetedaten!$B$166*(Geraetedaten!$B$18+d_y_Sw)/1000))*10</f>
        <v>10816.164000000001</v>
      </c>
      <c r="L387" s="20">
        <f>(Geraetedaten!$B$158+(Geraetedaten!$B$159*(Geraetedaten!$B$18+d_y_Sw)/1000)-(Geraetedaten!$B$160*I387/1000))*10</f>
        <v>135.36650154261466</v>
      </c>
      <c r="M387" s="20">
        <f>(Geraetedaten!$B$171+(Geraetedaten!$B$172*(Geraetedaten!$B$18+d_y_Sw)/1000)-(Geraetedaten!$B$173*I387/1000))*10</f>
        <v>591.64046066865274</v>
      </c>
      <c r="N387" s="20">
        <f>IF((H387-J387)/(K387-J387)*(Geraetedaten!$B$174-Geraetedaten!$B$161)&lt;Geraetedaten!$B$174,(H387-J387)/(K387-J387)*(Geraetedaten!$B$174-Geraetedaten!$B$161),Geraetedaten!$B$174)</f>
        <v>268.72389250895827</v>
      </c>
      <c r="O387" s="20">
        <f>N387/Geraetedaten!$B$174*(M387-L387)+L387+C387</f>
        <v>486.32675509089864</v>
      </c>
      <c r="P387" s="20">
        <f t="shared" si="303"/>
        <v>160.76135449562992</v>
      </c>
      <c r="Q387" s="21">
        <f>(N387-Geraetedaten!$B$161)/(Geraetedaten!$B$174-Geraetedaten!$B$161)*(Geraetedaten!$B$175-Geraetedaten!$B$162)+Geraetedaten!$B$162</f>
        <v>37.194535802141509</v>
      </c>
      <c r="R387" s="21">
        <f t="shared" si="329"/>
        <v>37.194535802141509</v>
      </c>
      <c r="S387" s="21">
        <f t="shared" si="330"/>
        <v>-8.9981726072037862</v>
      </c>
      <c r="T387" s="88">
        <f t="shared" si="331"/>
        <v>36.089699129637445</v>
      </c>
      <c r="U387" s="86">
        <f t="shared" si="332"/>
        <v>27824.489269999998</v>
      </c>
      <c r="V387" s="85">
        <f t="shared" si="333"/>
        <v>-2683.3128092763232</v>
      </c>
      <c r="W387" s="85">
        <f t="shared" si="334"/>
        <v>11140.172636451092</v>
      </c>
      <c r="X387" s="90">
        <f t="shared" si="335"/>
        <v>2683.3128092763232</v>
      </c>
      <c r="Y387" s="86">
        <f t="shared" si="336"/>
        <v>-8924.5532899999998</v>
      </c>
      <c r="Z387" s="85">
        <f t="shared" si="337"/>
        <v>-832.16398485565549</v>
      </c>
      <c r="AA387" s="85">
        <f t="shared" si="338"/>
        <v>-864.68070559195451</v>
      </c>
      <c r="AB387" s="90">
        <f t="shared" si="339"/>
        <v>832.16398485565549</v>
      </c>
      <c r="AC387" s="86">
        <f t="shared" si="340"/>
        <v>-27150.615129999998</v>
      </c>
      <c r="AD387" s="85">
        <f t="shared" si="341"/>
        <v>2598.140025222212</v>
      </c>
      <c r="AE387" s="85">
        <f t="shared" si="342"/>
        <v>-10709.4272178478</v>
      </c>
      <c r="AF387" s="90">
        <f t="shared" si="343"/>
        <v>2598.140025222212</v>
      </c>
      <c r="AG387" s="86">
        <f t="shared" si="344"/>
        <v>9296.7290200000007</v>
      </c>
      <c r="AH387" s="85">
        <f t="shared" si="345"/>
        <v>6183.1314163678471</v>
      </c>
      <c r="AI387" s="85">
        <f t="shared" si="346"/>
        <v>6357.1539405070944</v>
      </c>
      <c r="AJ387" s="90">
        <f t="shared" si="347"/>
        <v>6183.1314163678471</v>
      </c>
      <c r="AL387" s="95">
        <f t="shared" si="348"/>
        <v>0</v>
      </c>
      <c r="AM387" s="95">
        <f t="shared" si="349"/>
        <v>0</v>
      </c>
      <c r="AN387" s="95">
        <f t="shared" si="350"/>
        <v>0</v>
      </c>
      <c r="AO387" s="95">
        <f t="shared" si="351"/>
        <v>0</v>
      </c>
      <c r="AP387"/>
      <c r="AQ387" s="95">
        <f t="shared" si="352"/>
        <v>0</v>
      </c>
      <c r="AR387" s="95">
        <f t="shared" si="353"/>
        <v>0</v>
      </c>
      <c r="AS387" s="95">
        <f>Geraetedaten!$B$94*ABS(SIN(RADIANS($A387)))</f>
        <v>37.255971922348849</v>
      </c>
      <c r="AT387" s="95">
        <f>Geraetedaten!$B$94*ABS(COS(RADIANS($A387)))</f>
        <v>149.42554184650345</v>
      </c>
      <c r="AU387" s="95">
        <f>((h_Aw_Sw+Geraetedaten!$B$18)/1000)*(AQ387*AS387+AR387*AT387)/100</f>
        <v>0</v>
      </c>
    </row>
    <row r="388" spans="1:47" ht="13.5" x14ac:dyDescent="0.25">
      <c r="A388" s="16">
        <v>347</v>
      </c>
      <c r="B388" s="16">
        <f t="shared" si="295"/>
        <v>103</v>
      </c>
      <c r="C388" s="19">
        <f t="shared" si="296"/>
        <v>43.474516527462463</v>
      </c>
      <c r="D388" s="17">
        <f t="shared" si="297"/>
        <v>29890.629733472539</v>
      </c>
      <c r="E388" s="17">
        <f t="shared" si="298"/>
        <v>-8925.6244765274623</v>
      </c>
      <c r="F388" s="17">
        <f t="shared" si="299"/>
        <v>-29235.841976527463</v>
      </c>
      <c r="G388" s="17">
        <f t="shared" si="300"/>
        <v>9216.0554434725382</v>
      </c>
      <c r="H388" s="17">
        <f t="shared" si="301"/>
        <v>9216.0554434725382</v>
      </c>
      <c r="I388" s="17">
        <f t="shared" si="302"/>
        <v>6331.7170240284004</v>
      </c>
      <c r="J388" s="20">
        <f>(Geraetedaten!$B$152+(Geraetedaten!$B$153*(Geraetedaten!$B$18+d_y_Sw)/1000))*10</f>
        <v>6051.0442000000003</v>
      </c>
      <c r="K388" s="20">
        <f>(Geraetedaten!$B$165+(Geraetedaten!$B$166*(Geraetedaten!$B$18+d_y_Sw)/1000))*10</f>
        <v>10816.164000000001</v>
      </c>
      <c r="L388" s="20">
        <f>(Geraetedaten!$B$158+(Geraetedaten!$B$159*(Geraetedaten!$B$18+d_y_Sw)/1000)-(Geraetedaten!$B$160*I388/1000))*10</f>
        <v>137.23179062799721</v>
      </c>
      <c r="M388" s="20">
        <f>(Geraetedaten!$B$171+(Geraetedaten!$B$172*(Geraetedaten!$B$18+d_y_Sw)/1000)-(Geraetedaten!$B$173*I388/1000))*10</f>
        <v>593.53398473132665</v>
      </c>
      <c r="N388" s="20">
        <f>IF((H388-J388)/(K388-J388)*(Geraetedaten!$B$174-Geraetedaten!$B$161)&lt;Geraetedaten!$B$174,(H388-J388)/(K388-J388)*(Geraetedaten!$B$174-Geraetedaten!$B$161),Geraetedaten!$B$174)</f>
        <v>265.68156741599972</v>
      </c>
      <c r="O388" s="20">
        <f>N388/Geraetedaten!$B$174*(M388-L388)+L388+C388</f>
        <v>483.78401251729042</v>
      </c>
      <c r="P388" s="20">
        <f t="shared" si="303"/>
        <v>160.25899376131369</v>
      </c>
      <c r="Q388" s="21">
        <f>(N388-Geraetedaten!$B$161)/(Geraetedaten!$B$174-Geraetedaten!$B$161)*(Geraetedaten!$B$175-Geraetedaten!$B$162)+Geraetedaten!$B$162</f>
        <v>37.104026630625995</v>
      </c>
      <c r="R388" s="21">
        <f t="shared" si="329"/>
        <v>37.104026630625995</v>
      </c>
      <c r="S388" s="21">
        <f t="shared" si="330"/>
        <v>-8.3465899109621748</v>
      </c>
      <c r="T388" s="88">
        <f t="shared" si="331"/>
        <v>36.153052831876138</v>
      </c>
      <c r="U388" s="86">
        <f t="shared" si="332"/>
        <v>29934.10425</v>
      </c>
      <c r="V388" s="85">
        <f t="shared" si="333"/>
        <v>-2683.3128092763232</v>
      </c>
      <c r="W388" s="85">
        <f t="shared" si="334"/>
        <v>11984.805393572715</v>
      </c>
      <c r="X388" s="90">
        <f t="shared" si="335"/>
        <v>2683.3128092763232</v>
      </c>
      <c r="Y388" s="86">
        <f t="shared" si="336"/>
        <v>-8882.1499600000006</v>
      </c>
      <c r="Z388" s="85">
        <f t="shared" si="337"/>
        <v>-832.16398485565549</v>
      </c>
      <c r="AA388" s="85">
        <f t="shared" si="338"/>
        <v>-860.57233777076544</v>
      </c>
      <c r="AB388" s="90">
        <f t="shared" si="339"/>
        <v>832.16398485565549</v>
      </c>
      <c r="AC388" s="86">
        <f t="shared" si="340"/>
        <v>-29192.367460000001</v>
      </c>
      <c r="AD388" s="85">
        <f t="shared" si="341"/>
        <v>2598.140025222212</v>
      </c>
      <c r="AE388" s="85">
        <f t="shared" si="342"/>
        <v>-11514.786430878641</v>
      </c>
      <c r="AF388" s="90">
        <f t="shared" si="343"/>
        <v>2598.140025222212</v>
      </c>
      <c r="AG388" s="86">
        <f t="shared" si="344"/>
        <v>9259.5299599999998</v>
      </c>
      <c r="AH388" s="85">
        <f t="shared" si="345"/>
        <v>6183.1314163678471</v>
      </c>
      <c r="AI388" s="85">
        <f t="shared" si="346"/>
        <v>6331.7170240284004</v>
      </c>
      <c r="AJ388" s="90">
        <f t="shared" si="347"/>
        <v>6183.1314163678471</v>
      </c>
      <c r="AL388" s="95">
        <f t="shared" si="348"/>
        <v>0</v>
      </c>
      <c r="AM388" s="95">
        <f t="shared" si="349"/>
        <v>0</v>
      </c>
      <c r="AN388" s="95">
        <f t="shared" si="350"/>
        <v>0</v>
      </c>
      <c r="AO388" s="95">
        <f t="shared" si="351"/>
        <v>0</v>
      </c>
      <c r="AP388"/>
      <c r="AQ388" s="95">
        <f t="shared" si="352"/>
        <v>0</v>
      </c>
      <c r="AR388" s="95">
        <f t="shared" si="353"/>
        <v>0</v>
      </c>
      <c r="AS388" s="95">
        <f>Geraetedaten!$B$94*ABS(SIN(RADIANS($A388)))</f>
        <v>34.642462368955265</v>
      </c>
      <c r="AT388" s="95">
        <f>Geraetedaten!$B$94*ABS(COS(RADIANS($A388)))</f>
        <v>150.0529899769262</v>
      </c>
      <c r="AU388" s="95">
        <f>((h_Aw_Sw+Geraetedaten!$B$18)/1000)*(AQ388*AS388+AR388*AT388)/100</f>
        <v>0</v>
      </c>
    </row>
    <row r="389" spans="1:47" ht="13.5" x14ac:dyDescent="0.25">
      <c r="A389" s="16">
        <v>348</v>
      </c>
      <c r="B389" s="16">
        <f t="shared" si="295"/>
        <v>102</v>
      </c>
      <c r="C389" s="19">
        <f t="shared" si="296"/>
        <v>42.504822614815247</v>
      </c>
      <c r="D389" s="17">
        <f t="shared" si="297"/>
        <v>32358.033767385186</v>
      </c>
      <c r="E389" s="17">
        <f t="shared" si="298"/>
        <v>-8885.3333526148162</v>
      </c>
      <c r="F389" s="17">
        <f t="shared" si="299"/>
        <v>-31619.079562614814</v>
      </c>
      <c r="G389" s="17">
        <f t="shared" si="300"/>
        <v>9182.9215473851837</v>
      </c>
      <c r="H389" s="17">
        <f t="shared" si="301"/>
        <v>9182.9215473851837</v>
      </c>
      <c r="I389" s="17">
        <f t="shared" si="302"/>
        <v>6308.3967985567479</v>
      </c>
      <c r="J389" s="20">
        <f>(Geraetedaten!$B$152+(Geraetedaten!$B$153*(Geraetedaten!$B$18+d_y_Sw)/1000))*10</f>
        <v>6051.0442000000003</v>
      </c>
      <c r="K389" s="20">
        <f>(Geraetedaten!$B$165+(Geraetedaten!$B$166*(Geraetedaten!$B$18+d_y_Sw)/1000))*10</f>
        <v>10816.164000000001</v>
      </c>
      <c r="L389" s="20">
        <f>(Geraetedaten!$B$158+(Geraetedaten!$B$159*(Geraetedaten!$B$18+d_y_Sw)/1000)-(Geraetedaten!$B$160*I389/1000))*10</f>
        <v>138.94186276183353</v>
      </c>
      <c r="M389" s="20">
        <f>(Geraetedaten!$B$171+(Geraetedaten!$B$172*(Geraetedaten!$B$18+d_y_Sw)/1000)-(Geraetedaten!$B$173*I389/1000))*10</f>
        <v>595.26994231543642</v>
      </c>
      <c r="N389" s="20">
        <f>IF((H389-J389)/(K389-J389)*(Geraetedaten!$B$174-Geraetedaten!$B$161)&lt;Geraetedaten!$B$174,(H389-J389)/(K389-J389)*(Geraetedaten!$B$174-Geraetedaten!$B$161),Geraetedaten!$B$174)</f>
        <v>262.90019800846835</v>
      </c>
      <c r="O389" s="20">
        <f>N389/Geraetedaten!$B$174*(M389-L389)+L389+C389</f>
        <v>481.36854155531449</v>
      </c>
      <c r="P389" s="20">
        <f t="shared" si="303"/>
        <v>159.76737387138445</v>
      </c>
      <c r="Q389" s="21">
        <f>(N389-Geraetedaten!$B$161)/(Geraetedaten!$B$174-Geraetedaten!$B$161)*(Geraetedaten!$B$175-Geraetedaten!$B$162)+Geraetedaten!$B$162</f>
        <v>37.021280890751932</v>
      </c>
      <c r="R389" s="21">
        <f t="shared" si="329"/>
        <v>37.021280890751932</v>
      </c>
      <c r="S389" s="21">
        <f t="shared" si="330"/>
        <v>-7.6971571062354576</v>
      </c>
      <c r="T389" s="88">
        <f t="shared" si="331"/>
        <v>36.212277079381288</v>
      </c>
      <c r="U389" s="86">
        <f t="shared" si="332"/>
        <v>32400.53859</v>
      </c>
      <c r="V389" s="85">
        <f t="shared" si="333"/>
        <v>-2683.3128092763232</v>
      </c>
      <c r="W389" s="85">
        <f t="shared" si="334"/>
        <v>12972.298968463014</v>
      </c>
      <c r="X389" s="90">
        <f t="shared" si="335"/>
        <v>2683.3128092763232</v>
      </c>
      <c r="Y389" s="86">
        <f t="shared" si="336"/>
        <v>-8842.8285300000007</v>
      </c>
      <c r="Z389" s="85">
        <f t="shared" si="337"/>
        <v>-832.16398485565549</v>
      </c>
      <c r="AA389" s="85">
        <f t="shared" si="338"/>
        <v>-856.7625696622797</v>
      </c>
      <c r="AB389" s="90">
        <f t="shared" si="339"/>
        <v>832.16398485565549</v>
      </c>
      <c r="AC389" s="86">
        <f t="shared" si="340"/>
        <v>-31576.57474</v>
      </c>
      <c r="AD389" s="85">
        <f t="shared" si="341"/>
        <v>2598.140025222212</v>
      </c>
      <c r="AE389" s="85">
        <f t="shared" si="342"/>
        <v>-12455.225320317899</v>
      </c>
      <c r="AF389" s="90">
        <f t="shared" si="343"/>
        <v>2598.140025222212</v>
      </c>
      <c r="AG389" s="86">
        <f t="shared" si="344"/>
        <v>9225.4263699999992</v>
      </c>
      <c r="AH389" s="85">
        <f t="shared" si="345"/>
        <v>6183.1314163678471</v>
      </c>
      <c r="AI389" s="85">
        <f t="shared" si="346"/>
        <v>6308.3967985567479</v>
      </c>
      <c r="AJ389" s="90">
        <f t="shared" si="347"/>
        <v>6183.1314163678471</v>
      </c>
      <c r="AL389" s="95">
        <f t="shared" si="348"/>
        <v>0</v>
      </c>
      <c r="AM389" s="95">
        <f t="shared" si="349"/>
        <v>0</v>
      </c>
      <c r="AN389" s="95">
        <f t="shared" si="350"/>
        <v>0</v>
      </c>
      <c r="AO389" s="95">
        <f t="shared" si="351"/>
        <v>0</v>
      </c>
      <c r="AP389"/>
      <c r="AQ389" s="95">
        <f t="shared" si="352"/>
        <v>0</v>
      </c>
      <c r="AR389" s="95">
        <f t="shared" si="353"/>
        <v>0</v>
      </c>
      <c r="AS389" s="95">
        <f>Geraetedaten!$B$94*ABS(SIN(RADIANS($A389)))</f>
        <v>32.018400385935017</v>
      </c>
      <c r="AT389" s="95">
        <f>Geraetedaten!$B$94*ABS(COS(RADIANS($A389)))</f>
        <v>150.63473051300605</v>
      </c>
      <c r="AU389" s="95">
        <f>((h_Aw_Sw+Geraetedaten!$B$18)/1000)*(AQ389*AS389+AR389*AT389)/100</f>
        <v>0</v>
      </c>
    </row>
    <row r="390" spans="1:47" ht="13.5" x14ac:dyDescent="0.25">
      <c r="A390" s="16">
        <v>349</v>
      </c>
      <c r="B390" s="16">
        <f t="shared" si="295"/>
        <v>101</v>
      </c>
      <c r="C390" s="19">
        <f t="shared" si="296"/>
        <v>41.522181321446041</v>
      </c>
      <c r="D390" s="17">
        <f t="shared" si="297"/>
        <v>35280.118628678552</v>
      </c>
      <c r="E390" s="17">
        <f t="shared" si="298"/>
        <v>-8848.0466313214474</v>
      </c>
      <c r="F390" s="17">
        <f t="shared" si="299"/>
        <v>-34437.796601321446</v>
      </c>
      <c r="G390" s="17">
        <f t="shared" si="300"/>
        <v>9152.8412986785534</v>
      </c>
      <c r="H390" s="17">
        <f t="shared" si="301"/>
        <v>9152.8412986785534</v>
      </c>
      <c r="I390" s="17">
        <f t="shared" si="302"/>
        <v>6287.1558241543489</v>
      </c>
      <c r="J390" s="20">
        <f>(Geraetedaten!$B$152+(Geraetedaten!$B$153*(Geraetedaten!$B$18+d_y_Sw)/1000))*10</f>
        <v>6051.0442000000003</v>
      </c>
      <c r="K390" s="20">
        <f>(Geraetedaten!$B$165+(Geraetedaten!$B$166*(Geraetedaten!$B$18+d_y_Sw)/1000))*10</f>
        <v>10816.164000000001</v>
      </c>
      <c r="L390" s="20">
        <f>(Geraetedaten!$B$158+(Geraetedaten!$B$159*(Geraetedaten!$B$18+d_y_Sw)/1000)-(Geraetedaten!$B$160*I390/1000))*10</f>
        <v>140.49946341476144</v>
      </c>
      <c r="M390" s="20">
        <f>(Geraetedaten!$B$171+(Geraetedaten!$B$172*(Geraetedaten!$B$18+d_y_Sw)/1000)-(Geraetedaten!$B$173*I390/1000))*10</f>
        <v>596.85112044995105</v>
      </c>
      <c r="N390" s="20">
        <f>IF((H390-J390)/(K390-J390)*(Geraetedaten!$B$174-Geraetedaten!$B$161)&lt;Geraetedaten!$B$174,(H390-J390)/(K390-J390)*(Geraetedaten!$B$174-Geraetedaten!$B$161),Geraetedaten!$B$174)</f>
        <v>260.37516191542994</v>
      </c>
      <c r="O390" s="20">
        <f>N390/Geraetedaten!$B$174*(M390-L390)+L390+C390</f>
        <v>479.07823621348814</v>
      </c>
      <c r="P390" s="20">
        <f t="shared" si="303"/>
        <v>159.28664864292301</v>
      </c>
      <c r="Q390" s="21">
        <f>(N390-Geraetedaten!$B$161)/(Geraetedaten!$B$174-Geraetedaten!$B$161)*(Geraetedaten!$B$175-Geraetedaten!$B$162)+Geraetedaten!$B$162</f>
        <v>36.94616106698404</v>
      </c>
      <c r="R390" s="21">
        <f t="shared" si="329"/>
        <v>36.94616106698404</v>
      </c>
      <c r="S390" s="21">
        <f t="shared" si="330"/>
        <v>-7.0496598762112326</v>
      </c>
      <c r="T390" s="88">
        <f t="shared" si="331"/>
        <v>36.267356027387279</v>
      </c>
      <c r="U390" s="86">
        <f t="shared" si="332"/>
        <v>35321.640809999997</v>
      </c>
      <c r="V390" s="85">
        <f t="shared" si="333"/>
        <v>-2683.3128092763232</v>
      </c>
      <c r="W390" s="85">
        <f t="shared" si="334"/>
        <v>14141.829259031416</v>
      </c>
      <c r="X390" s="90">
        <f t="shared" si="335"/>
        <v>2683.3128092763232</v>
      </c>
      <c r="Y390" s="86">
        <f t="shared" si="336"/>
        <v>-8806.5244500000008</v>
      </c>
      <c r="Z390" s="85">
        <f t="shared" si="337"/>
        <v>-832.16398485565549</v>
      </c>
      <c r="AA390" s="85">
        <f t="shared" si="338"/>
        <v>-853.24514589159628</v>
      </c>
      <c r="AB390" s="90">
        <f t="shared" si="339"/>
        <v>832.16398485565549</v>
      </c>
      <c r="AC390" s="86">
        <f t="shared" si="340"/>
        <v>-34396.274420000002</v>
      </c>
      <c r="AD390" s="85">
        <f t="shared" si="341"/>
        <v>2598.140025222212</v>
      </c>
      <c r="AE390" s="85">
        <f t="shared" si="342"/>
        <v>-13567.442053792169</v>
      </c>
      <c r="AF390" s="90">
        <f t="shared" si="343"/>
        <v>2598.140025222212</v>
      </c>
      <c r="AG390" s="86">
        <f t="shared" si="344"/>
        <v>9194.36348</v>
      </c>
      <c r="AH390" s="85">
        <f t="shared" si="345"/>
        <v>6183.1314163678471</v>
      </c>
      <c r="AI390" s="85">
        <f t="shared" si="346"/>
        <v>6287.1558241543489</v>
      </c>
      <c r="AJ390" s="90">
        <f t="shared" si="347"/>
        <v>6183.1314163678471</v>
      </c>
      <c r="AL390" s="95">
        <f t="shared" si="348"/>
        <v>0</v>
      </c>
      <c r="AM390" s="95">
        <f t="shared" si="349"/>
        <v>0</v>
      </c>
      <c r="AN390" s="95">
        <f t="shared" si="350"/>
        <v>0</v>
      </c>
      <c r="AO390" s="95">
        <f t="shared" si="351"/>
        <v>0</v>
      </c>
      <c r="AP390"/>
      <c r="AQ390" s="95">
        <f t="shared" si="352"/>
        <v>0</v>
      </c>
      <c r="AR390" s="95">
        <f t="shared" si="353"/>
        <v>0</v>
      </c>
      <c r="AS390" s="95">
        <f>Geraetedaten!$B$94*ABS(SIN(RADIANS($A390)))</f>
        <v>29.384585287987878</v>
      </c>
      <c r="AT390" s="95">
        <f>Geraetedaten!$B$94*ABS(COS(RADIANS($A390)))</f>
        <v>151.17058625094026</v>
      </c>
      <c r="AU390" s="95">
        <f>((h_Aw_Sw+Geraetedaten!$B$18)/1000)*(AQ390*AS390+AR390*AT390)/100</f>
        <v>0</v>
      </c>
    </row>
    <row r="391" spans="1:47" ht="13.5" x14ac:dyDescent="0.25">
      <c r="A391" s="16">
        <v>350</v>
      </c>
      <c r="B391" s="16">
        <f t="shared" si="295"/>
        <v>100</v>
      </c>
      <c r="C391" s="19">
        <f t="shared" si="296"/>
        <v>40.52689196941197</v>
      </c>
      <c r="D391" s="17">
        <f t="shared" si="297"/>
        <v>38794.118758030585</v>
      </c>
      <c r="E391" s="17">
        <f t="shared" si="298"/>
        <v>-8813.7056119694116</v>
      </c>
      <c r="F391" s="17">
        <f t="shared" si="299"/>
        <v>-37822.09845196941</v>
      </c>
      <c r="G391" s="17">
        <f t="shared" si="300"/>
        <v>9125.7649480305881</v>
      </c>
      <c r="H391" s="17">
        <f t="shared" si="301"/>
        <v>9125.7649480305881</v>
      </c>
      <c r="I391" s="17">
        <f t="shared" si="302"/>
        <v>6267.9602847769193</v>
      </c>
      <c r="J391" s="20">
        <f>(Geraetedaten!$B$152+(Geraetedaten!$B$153*(Geraetedaten!$B$18+d_y_Sw)/1000))*10</f>
        <v>6051.0442000000003</v>
      </c>
      <c r="K391" s="20">
        <f>(Geraetedaten!$B$165+(Geraetedaten!$B$166*(Geraetedaten!$B$18+d_y_Sw)/1000))*10</f>
        <v>10816.164000000001</v>
      </c>
      <c r="L391" s="20">
        <f>(Geraetedaten!$B$158+(Geraetedaten!$B$159*(Geraetedaten!$B$18+d_y_Sw)/1000)-(Geraetedaten!$B$160*I391/1000))*10</f>
        <v>141.90707231730835</v>
      </c>
      <c r="M391" s="20">
        <f>(Geraetedaten!$B$171+(Geraetedaten!$B$172*(Geraetedaten!$B$18+d_y_Sw)/1000)-(Geraetedaten!$B$173*I391/1000))*10</f>
        <v>598.28003640120698</v>
      </c>
      <c r="N391" s="20">
        <f>IF((H391-J391)/(K391-J391)*(Geraetedaten!$B$174-Geraetedaten!$B$161)&lt;Geraetedaten!$B$174,(H391-J391)/(K391-J391)*(Geraetedaten!$B$174-Geraetedaten!$B$161),Geraetedaten!$B$174)</f>
        <v>258.10228301337463</v>
      </c>
      <c r="O391" s="20">
        <f>N391/Geraetedaten!$B$174*(M391-L391)+L391+C391</f>
        <v>476.91122412580796</v>
      </c>
      <c r="P391" s="20">
        <f t="shared" si="303"/>
        <v>158.81698255285147</v>
      </c>
      <c r="Q391" s="21">
        <f>(N391-Geraetedaten!$B$161)/(Geraetedaten!$B$174-Geraetedaten!$B$161)*(Geraetedaten!$B$175-Geraetedaten!$B$162)+Geraetedaten!$B$162</f>
        <v>36.878542919647899</v>
      </c>
      <c r="R391" s="21">
        <f t="shared" si="329"/>
        <v>36.878542919647899</v>
      </c>
      <c r="S391" s="21">
        <f t="shared" si="330"/>
        <v>-6.4038917730085361</v>
      </c>
      <c r="T391" s="88">
        <f t="shared" si="331"/>
        <v>36.318274987062722</v>
      </c>
      <c r="U391" s="86">
        <f t="shared" si="332"/>
        <v>38834.645649999999</v>
      </c>
      <c r="V391" s="85">
        <f t="shared" si="333"/>
        <v>-2683.3128092763232</v>
      </c>
      <c r="W391" s="85">
        <f t="shared" si="334"/>
        <v>15548.341342653044</v>
      </c>
      <c r="X391" s="90">
        <f t="shared" si="335"/>
        <v>2683.3128092763232</v>
      </c>
      <c r="Y391" s="86">
        <f t="shared" si="336"/>
        <v>-8773.1787199999999</v>
      </c>
      <c r="Z391" s="85">
        <f t="shared" si="337"/>
        <v>-832.16398485565549</v>
      </c>
      <c r="AA391" s="85">
        <f t="shared" si="338"/>
        <v>-850.01434942637684</v>
      </c>
      <c r="AB391" s="90">
        <f t="shared" si="339"/>
        <v>832.16398485565549</v>
      </c>
      <c r="AC391" s="86">
        <f t="shared" si="340"/>
        <v>-37781.571559999997</v>
      </c>
      <c r="AD391" s="85">
        <f t="shared" si="341"/>
        <v>2598.140025222212</v>
      </c>
      <c r="AE391" s="85">
        <f t="shared" si="342"/>
        <v>-14902.755939768651</v>
      </c>
      <c r="AF391" s="90">
        <f t="shared" si="343"/>
        <v>2598.140025222212</v>
      </c>
      <c r="AG391" s="86">
        <f t="shared" si="344"/>
        <v>9166.2918399999999</v>
      </c>
      <c r="AH391" s="85">
        <f t="shared" si="345"/>
        <v>6183.1314163678471</v>
      </c>
      <c r="AI391" s="85">
        <f t="shared" si="346"/>
        <v>6267.9602847769193</v>
      </c>
      <c r="AJ391" s="90">
        <f t="shared" si="347"/>
        <v>6183.1314163678471</v>
      </c>
      <c r="AL391" s="95">
        <f t="shared" si="348"/>
        <v>0</v>
      </c>
      <c r="AM391" s="95">
        <f t="shared" si="349"/>
        <v>0</v>
      </c>
      <c r="AN391" s="95">
        <f t="shared" si="350"/>
        <v>0</v>
      </c>
      <c r="AO391" s="95">
        <f t="shared" si="351"/>
        <v>0</v>
      </c>
      <c r="AP391"/>
      <c r="AQ391" s="95">
        <f t="shared" si="352"/>
        <v>0</v>
      </c>
      <c r="AR391" s="95">
        <f t="shared" si="353"/>
        <v>0</v>
      </c>
      <c r="AS391" s="95">
        <f>Geraetedaten!$B$94*ABS(SIN(RADIANS($A391)))</f>
        <v>26.741819360707279</v>
      </c>
      <c r="AT391" s="95">
        <f>Geraetedaten!$B$94*ABS(COS(RADIANS($A391)))</f>
        <v>151.66039396388004</v>
      </c>
      <c r="AU391" s="95">
        <f>((h_Aw_Sw+Geraetedaten!$B$18)/1000)*(AQ391*AS391+AR391*AT391)/100</f>
        <v>0</v>
      </c>
    </row>
    <row r="392" spans="1:47" ht="13.5" x14ac:dyDescent="0.25">
      <c r="A392" s="16">
        <v>351</v>
      </c>
      <c r="B392" s="16">
        <f t="shared" si="295"/>
        <v>99</v>
      </c>
      <c r="C392" s="19">
        <f t="shared" si="296"/>
        <v>39.519257733491202</v>
      </c>
      <c r="D392" s="17">
        <f t="shared" si="297"/>
        <v>43098.688352266508</v>
      </c>
      <c r="E392" s="17">
        <f t="shared" si="298"/>
        <v>-8782.2568877334907</v>
      </c>
      <c r="F392" s="17">
        <f t="shared" si="299"/>
        <v>-41959.659587733491</v>
      </c>
      <c r="G392" s="17">
        <f t="shared" si="300"/>
        <v>9101.6478422665095</v>
      </c>
      <c r="H392" s="17">
        <f t="shared" si="301"/>
        <v>9101.6478422665095</v>
      </c>
      <c r="I392" s="17">
        <f t="shared" si="302"/>
        <v>6250.7798542650426</v>
      </c>
      <c r="J392" s="20">
        <f>(Geraetedaten!$B$152+(Geraetedaten!$B$153*(Geraetedaten!$B$18+d_y_Sw)/1000))*10</f>
        <v>6051.0442000000003</v>
      </c>
      <c r="K392" s="20">
        <f>(Geraetedaten!$B$165+(Geraetedaten!$B$166*(Geraetedaten!$B$18+d_y_Sw)/1000))*10</f>
        <v>10816.164000000001</v>
      </c>
      <c r="L392" s="20">
        <f>(Geraetedaten!$B$158+(Geraetedaten!$B$159*(Geraetedaten!$B$18+d_y_Sw)/1000)-(Geraetedaten!$B$160*I392/1000))*10</f>
        <v>143.16691328674423</v>
      </c>
      <c r="M392" s="20">
        <f>(Geraetedaten!$B$171+(Geraetedaten!$B$172*(Geraetedaten!$B$18+d_y_Sw)/1000)-(Geraetedaten!$B$173*I392/1000))*10</f>
        <v>599.55894764851109</v>
      </c>
      <c r="N392" s="20">
        <f>IF((H392-J392)/(K392-J392)*(Geraetedaten!$B$174-Geraetedaten!$B$161)&lt;Geraetedaten!$B$174,(H392-J392)/(K392-J392)*(Geraetedaten!$B$174-Geraetedaten!$B$161),Geraetedaten!$B$174)</f>
        <v>256.07781296634005</v>
      </c>
      <c r="O392" s="20">
        <f>N392/Geraetedaten!$B$174*(M392-L392)+L392+C392</f>
        <v>474.86585605678539</v>
      </c>
      <c r="P392" s="20">
        <f t="shared" si="303"/>
        <v>158.35855027041816</v>
      </c>
      <c r="Q392" s="21">
        <f>(N392-Geraetedaten!$B$161)/(Geraetedaten!$B$174-Geraetedaten!$B$161)*(Geraetedaten!$B$175-Geraetedaten!$B$162)+Geraetedaten!$B$162</f>
        <v>36.818314935748617</v>
      </c>
      <c r="R392" s="21">
        <f t="shared" si="329"/>
        <v>36.818314935748617</v>
      </c>
      <c r="S392" s="21">
        <f t="shared" si="330"/>
        <v>-5.7596534006565863</v>
      </c>
      <c r="T392" s="88">
        <f t="shared" si="331"/>
        <v>36.365020382398725</v>
      </c>
      <c r="U392" s="86">
        <f t="shared" si="332"/>
        <v>43138.207609999998</v>
      </c>
      <c r="V392" s="85">
        <f t="shared" si="333"/>
        <v>-2683.3128092763232</v>
      </c>
      <c r="W392" s="85">
        <f t="shared" si="334"/>
        <v>17271.371104796675</v>
      </c>
      <c r="X392" s="90">
        <f t="shared" si="335"/>
        <v>2683.3128092763232</v>
      </c>
      <c r="Y392" s="86">
        <f t="shared" si="336"/>
        <v>-8742.7376299999996</v>
      </c>
      <c r="Z392" s="85">
        <f t="shared" si="337"/>
        <v>-832.16398485565549</v>
      </c>
      <c r="AA392" s="85">
        <f t="shared" si="338"/>
        <v>-847.06497824610756</v>
      </c>
      <c r="AB392" s="90">
        <f t="shared" si="339"/>
        <v>832.16398485565549</v>
      </c>
      <c r="AC392" s="86">
        <f t="shared" si="340"/>
        <v>-41920.140330000002</v>
      </c>
      <c r="AD392" s="85">
        <f t="shared" si="341"/>
        <v>2598.140025222212</v>
      </c>
      <c r="AE392" s="85">
        <f t="shared" si="342"/>
        <v>-16535.194130144395</v>
      </c>
      <c r="AF392" s="90">
        <f t="shared" si="343"/>
        <v>2598.140025222212</v>
      </c>
      <c r="AG392" s="86">
        <f t="shared" si="344"/>
        <v>9141.1671000000006</v>
      </c>
      <c r="AH392" s="85">
        <f t="shared" si="345"/>
        <v>6183.1314163678471</v>
      </c>
      <c r="AI392" s="85">
        <f t="shared" si="346"/>
        <v>6250.7798542650426</v>
      </c>
      <c r="AJ392" s="90">
        <f t="shared" si="347"/>
        <v>6183.1314163678471</v>
      </c>
      <c r="AL392" s="95">
        <f t="shared" si="348"/>
        <v>0</v>
      </c>
      <c r="AM392" s="95">
        <f t="shared" si="349"/>
        <v>0</v>
      </c>
      <c r="AN392" s="95">
        <f t="shared" si="350"/>
        <v>0</v>
      </c>
      <c r="AO392" s="95">
        <f t="shared" si="351"/>
        <v>0</v>
      </c>
      <c r="AP392"/>
      <c r="AQ392" s="95">
        <f t="shared" si="352"/>
        <v>0</v>
      </c>
      <c r="AR392" s="95">
        <f t="shared" si="353"/>
        <v>0</v>
      </c>
      <c r="AS392" s="95">
        <f>Geraetedaten!$B$94*ABS(SIN(RADIANS($A392)))</f>
        <v>24.090907616195594</v>
      </c>
      <c r="AT392" s="95">
        <f>Geraetedaten!$B$94*ABS(COS(RADIANS($A392)))</f>
        <v>152.10400445165121</v>
      </c>
      <c r="AU392" s="95">
        <f>((h_Aw_Sw+Geraetedaten!$B$18)/1000)*(AQ392*AS392+AR392*AT392)/100</f>
        <v>0</v>
      </c>
    </row>
    <row r="393" spans="1:47" ht="13.5" x14ac:dyDescent="0.25">
      <c r="A393" s="16">
        <v>352</v>
      </c>
      <c r="B393" s="16">
        <f t="shared" si="295"/>
        <v>98</v>
      </c>
      <c r="C393" s="19">
        <f t="shared" si="296"/>
        <v>38.499585548833167</v>
      </c>
      <c r="D393" s="17">
        <f t="shared" si="297"/>
        <v>48492.58954445117</v>
      </c>
      <c r="E393" s="17">
        <f t="shared" si="298"/>
        <v>-8753.6521855488318</v>
      </c>
      <c r="F393" s="17">
        <f t="shared" si="299"/>
        <v>-47131.524185548828</v>
      </c>
      <c r="G393" s="17">
        <f t="shared" si="300"/>
        <v>9080.4502644511686</v>
      </c>
      <c r="H393" s="17">
        <f t="shared" si="301"/>
        <v>9080.4502644511686</v>
      </c>
      <c r="I393" s="17">
        <f t="shared" si="302"/>
        <v>6235.5875774743172</v>
      </c>
      <c r="J393" s="20">
        <f>(Geraetedaten!$B$152+(Geraetedaten!$B$153*(Geraetedaten!$B$18+d_y_Sw)/1000))*10</f>
        <v>6051.0442000000003</v>
      </c>
      <c r="K393" s="20">
        <f>(Geraetedaten!$B$165+(Geraetedaten!$B$166*(Geraetedaten!$B$18+d_y_Sw)/1000))*10</f>
        <v>10816.164000000001</v>
      </c>
      <c r="L393" s="20">
        <f>(Geraetedaten!$B$158+(Geraetedaten!$B$159*(Geraetedaten!$B$18+d_y_Sw)/1000)-(Geraetedaten!$B$160*I393/1000))*10</f>
        <v>144.28096294380816</v>
      </c>
      <c r="M393" s="20">
        <f>(Geraetedaten!$B$171+(Geraetedaten!$B$172*(Geraetedaten!$B$18+d_y_Sw)/1000)-(Geraetedaten!$B$173*I393/1000))*10</f>
        <v>600.68986073281269</v>
      </c>
      <c r="N393" s="20">
        <f>IF((H393-J393)/(K393-J393)*(Geraetedaten!$B$174-Geraetedaten!$B$161)&lt;Geraetedaten!$B$174,(H393-J393)/(K393-J393)*(Geraetedaten!$B$174-Geraetedaten!$B$161),Geraetedaten!$B$174)</f>
        <v>254.29841780273125</v>
      </c>
      <c r="O393" s="20">
        <f>N393/Geraetedaten!$B$174*(M393-L393)+L393+C393</f>
        <v>472.94069993972221</v>
      </c>
      <c r="P393" s="20">
        <f t="shared" si="303"/>
        <v>157.91153689507377</v>
      </c>
      <c r="Q393" s="21">
        <f>(N393-Geraetedaten!$B$161)/(Geraetedaten!$B$174-Geraetedaten!$B$161)*(Geraetedaten!$B$175-Geraetedaten!$B$162)+Geraetedaten!$B$162</f>
        <v>36.765377929631256</v>
      </c>
      <c r="R393" s="21">
        <f t="shared" si="329"/>
        <v>36.765377929631256</v>
      </c>
      <c r="S393" s="21">
        <f t="shared" si="330"/>
        <v>-5.1167516544355491</v>
      </c>
      <c r="T393" s="88">
        <f t="shared" si="331"/>
        <v>36.407579798929895</v>
      </c>
      <c r="U393" s="86">
        <f t="shared" si="332"/>
        <v>48531.08913</v>
      </c>
      <c r="V393" s="85">
        <f t="shared" si="333"/>
        <v>-2683.3128092763232</v>
      </c>
      <c r="W393" s="85">
        <f t="shared" si="334"/>
        <v>19430.534946728872</v>
      </c>
      <c r="X393" s="90">
        <f t="shared" si="335"/>
        <v>2683.3128092763232</v>
      </c>
      <c r="Y393" s="86">
        <f t="shared" si="336"/>
        <v>-8715.1525999999994</v>
      </c>
      <c r="Z393" s="85">
        <f t="shared" si="337"/>
        <v>-832.16398485565549</v>
      </c>
      <c r="AA393" s="85">
        <f t="shared" si="338"/>
        <v>-844.392324393178</v>
      </c>
      <c r="AB393" s="90">
        <f t="shared" si="339"/>
        <v>832.16398485565549</v>
      </c>
      <c r="AC393" s="86">
        <f t="shared" si="340"/>
        <v>-47093.024599999997</v>
      </c>
      <c r="AD393" s="85">
        <f t="shared" si="341"/>
        <v>2598.140025222212</v>
      </c>
      <c r="AE393" s="85">
        <f t="shared" si="342"/>
        <v>-18575.613005749379</v>
      </c>
      <c r="AF393" s="90">
        <f t="shared" si="343"/>
        <v>2598.140025222212</v>
      </c>
      <c r="AG393" s="86">
        <f t="shared" si="344"/>
        <v>9118.9498500000009</v>
      </c>
      <c r="AH393" s="85">
        <f t="shared" si="345"/>
        <v>6183.1314163678471</v>
      </c>
      <c r="AI393" s="85">
        <f t="shared" si="346"/>
        <v>6235.5875774743172</v>
      </c>
      <c r="AJ393" s="90">
        <f t="shared" si="347"/>
        <v>6183.1314163678471</v>
      </c>
      <c r="AL393" s="95">
        <f t="shared" si="348"/>
        <v>0</v>
      </c>
      <c r="AM393" s="95">
        <f t="shared" si="349"/>
        <v>0</v>
      </c>
      <c r="AN393" s="95">
        <f t="shared" si="350"/>
        <v>0</v>
      </c>
      <c r="AO393" s="95">
        <f t="shared" si="351"/>
        <v>0</v>
      </c>
      <c r="AP393"/>
      <c r="AQ393" s="95">
        <f t="shared" si="352"/>
        <v>0</v>
      </c>
      <c r="AR393" s="95">
        <f t="shared" si="353"/>
        <v>0</v>
      </c>
      <c r="AS393" s="95">
        <f>Geraetedaten!$B$94*ABS(SIN(RADIANS($A393)))</f>
        <v>21.432657547850145</v>
      </c>
      <c r="AT393" s="95">
        <f>Geraetedaten!$B$94*ABS(COS(RADIANS($A393)))</f>
        <v>152.50128258620182</v>
      </c>
      <c r="AU393" s="95">
        <f>((h_Aw_Sw+Geraetedaten!$B$18)/1000)*(AQ393*AS393+AR393*AT393)/100</f>
        <v>0</v>
      </c>
    </row>
    <row r="394" spans="1:47" ht="13.5" x14ac:dyDescent="0.25">
      <c r="A394" s="16">
        <v>353</v>
      </c>
      <c r="B394" s="16">
        <f t="shared" si="295"/>
        <v>97</v>
      </c>
      <c r="C394" s="19">
        <f t="shared" si="296"/>
        <v>37.468186017463047</v>
      </c>
      <c r="D394" s="17">
        <f t="shared" si="297"/>
        <v>55446.839323982538</v>
      </c>
      <c r="E394" s="17">
        <f t="shared" si="298"/>
        <v>-8727.8481360174628</v>
      </c>
      <c r="F394" s="17">
        <f t="shared" si="299"/>
        <v>-53778.417716017459</v>
      </c>
      <c r="G394" s="17">
        <f t="shared" si="300"/>
        <v>9062.137253982537</v>
      </c>
      <c r="H394" s="17">
        <f t="shared" si="301"/>
        <v>9062.137253982537</v>
      </c>
      <c r="I394" s="17">
        <f t="shared" si="302"/>
        <v>6222.3597656631437</v>
      </c>
      <c r="J394" s="20">
        <f>(Geraetedaten!$B$152+(Geraetedaten!$B$153*(Geraetedaten!$B$18+d_y_Sw)/1000))*10</f>
        <v>6051.0442000000003</v>
      </c>
      <c r="K394" s="20">
        <f>(Geraetedaten!$B$165+(Geraetedaten!$B$166*(Geraetedaten!$B$18+d_y_Sw)/1000))*10</f>
        <v>10816.164000000001</v>
      </c>
      <c r="L394" s="20">
        <f>(Geraetedaten!$B$158+(Geraetedaten!$B$159*(Geraetedaten!$B$18+d_y_Sw)/1000)-(Geraetedaten!$B$160*I394/1000))*10</f>
        <v>145.25095838392156</v>
      </c>
      <c r="M394" s="20">
        <f>(Geraetedaten!$B$171+(Geraetedaten!$B$172*(Geraetedaten!$B$18+d_y_Sw)/1000)-(Geraetedaten!$B$173*I394/1000))*10</f>
        <v>601.67453904403646</v>
      </c>
      <c r="N394" s="20">
        <f>IF((H394-J394)/(K394-J394)*(Geraetedaten!$B$174-Geraetedaten!$B$161)&lt;Geraetedaten!$B$174,(H394-J394)/(K394-J394)*(Geraetedaten!$B$174-Geraetedaten!$B$161),Geraetedaten!$B$174)</f>
        <v>252.76116281337031</v>
      </c>
      <c r="O394" s="20">
        <f>N394/Geraetedaten!$B$174*(M394-L394)+L394+C394</f>
        <v>471.13453185911652</v>
      </c>
      <c r="P394" s="20">
        <f t="shared" si="303"/>
        <v>157.47613741293119</v>
      </c>
      <c r="Q394" s="21">
        <f>(N394-Geraetedaten!$B$161)/(Geraetedaten!$B$174-Geraetedaten!$B$161)*(Geraetedaten!$B$175-Geraetedaten!$B$162)+Geraetedaten!$B$162</f>
        <v>36.719644593697765</v>
      </c>
      <c r="R394" s="21">
        <f t="shared" si="329"/>
        <v>36.719644593697765</v>
      </c>
      <c r="S394" s="21">
        <f t="shared" si="330"/>
        <v>-4.4749989767043106</v>
      </c>
      <c r="T394" s="88">
        <f t="shared" si="331"/>
        <v>36.445941931111797</v>
      </c>
      <c r="U394" s="86">
        <f t="shared" si="332"/>
        <v>55484.307509999999</v>
      </c>
      <c r="V394" s="85">
        <f t="shared" si="333"/>
        <v>-2683.3128092763232</v>
      </c>
      <c r="W394" s="85">
        <f t="shared" si="334"/>
        <v>22214.415447634085</v>
      </c>
      <c r="X394" s="90">
        <f t="shared" si="335"/>
        <v>2683.3128092763232</v>
      </c>
      <c r="Y394" s="86">
        <f t="shared" si="336"/>
        <v>-8690.3799500000005</v>
      </c>
      <c r="Z394" s="85">
        <f t="shared" si="337"/>
        <v>-832.16398485565549</v>
      </c>
      <c r="AA394" s="85">
        <f t="shared" si="338"/>
        <v>-841.9921552450943</v>
      </c>
      <c r="AB394" s="90">
        <f t="shared" si="339"/>
        <v>832.16398485565549</v>
      </c>
      <c r="AC394" s="86">
        <f t="shared" si="340"/>
        <v>-53740.949529999998</v>
      </c>
      <c r="AD394" s="85">
        <f t="shared" si="341"/>
        <v>2598.140025222212</v>
      </c>
      <c r="AE394" s="85">
        <f t="shared" si="342"/>
        <v>-21197.854445946428</v>
      </c>
      <c r="AF394" s="90">
        <f t="shared" si="343"/>
        <v>2598.140025222212</v>
      </c>
      <c r="AG394" s="86">
        <f t="shared" si="344"/>
        <v>9099.6054399999994</v>
      </c>
      <c r="AH394" s="85">
        <f t="shared" si="345"/>
        <v>6183.1314163678471</v>
      </c>
      <c r="AI394" s="85">
        <f t="shared" si="346"/>
        <v>6222.3597656631437</v>
      </c>
      <c r="AJ394" s="90">
        <f t="shared" si="347"/>
        <v>6183.1314163678471</v>
      </c>
      <c r="AL394" s="95">
        <f t="shared" si="348"/>
        <v>0</v>
      </c>
      <c r="AM394" s="95">
        <f t="shared" si="349"/>
        <v>0</v>
      </c>
      <c r="AN394" s="95">
        <f t="shared" si="350"/>
        <v>0</v>
      </c>
      <c r="AO394" s="95">
        <f t="shared" si="351"/>
        <v>0</v>
      </c>
      <c r="AP394"/>
      <c r="AQ394" s="95">
        <f t="shared" si="352"/>
        <v>0</v>
      </c>
      <c r="AR394" s="95">
        <f t="shared" si="353"/>
        <v>0</v>
      </c>
      <c r="AS394" s="95">
        <f>Geraetedaten!$B$94*ABS(SIN(RADIANS($A394)))</f>
        <v>18.767878884392672</v>
      </c>
      <c r="AT394" s="95">
        <f>Geraetedaten!$B$94*ABS(COS(RADIANS($A394)))</f>
        <v>152.8521073527636</v>
      </c>
      <c r="AU394" s="95">
        <f>((h_Aw_Sw+Geraetedaten!$B$18)/1000)*(AQ394*AS394+AR394*AT394)/100</f>
        <v>0</v>
      </c>
    </row>
    <row r="395" spans="1:47" ht="13.5" x14ac:dyDescent="0.25">
      <c r="A395" s="16">
        <v>354</v>
      </c>
      <c r="B395" s="16">
        <f t="shared" si="295"/>
        <v>96</v>
      </c>
      <c r="C395" s="19">
        <f t="shared" si="296"/>
        <v>36.425373313669589</v>
      </c>
      <c r="D395" s="17">
        <f t="shared" si="297"/>
        <v>64749.759226686328</v>
      </c>
      <c r="E395" s="17">
        <f t="shared" si="298"/>
        <v>-8704.8060833136697</v>
      </c>
      <c r="F395" s="17">
        <f t="shared" si="299"/>
        <v>-62632.928403313672</v>
      </c>
      <c r="G395" s="17">
        <f t="shared" si="300"/>
        <v>9046.6785066863304</v>
      </c>
      <c r="H395" s="17">
        <f t="shared" si="301"/>
        <v>9046.6785066863304</v>
      </c>
      <c r="I395" s="17">
        <f t="shared" si="302"/>
        <v>6211.0759053724023</v>
      </c>
      <c r="J395" s="20">
        <f>(Geraetedaten!$B$152+(Geraetedaten!$B$153*(Geraetedaten!$B$18+d_y_Sw)/1000))*10</f>
        <v>6051.0442000000003</v>
      </c>
      <c r="K395" s="20">
        <f>(Geraetedaten!$B$165+(Geraetedaten!$B$166*(Geraetedaten!$B$18+d_y_Sw)/1000))*10</f>
        <v>10816.164000000001</v>
      </c>
      <c r="L395" s="20">
        <f>(Geraetedaten!$B$158+(Geraetedaten!$B$159*(Geraetedaten!$B$18+d_y_Sw)/1000)-(Geraetedaten!$B$160*I395/1000))*10</f>
        <v>146.07840385904154</v>
      </c>
      <c r="M395" s="20">
        <f>(Geraetedaten!$B$171+(Geraetedaten!$B$172*(Geraetedaten!$B$18+d_y_Sw)/1000)-(Geraetedaten!$B$173*I395/1000))*10</f>
        <v>602.51450960407919</v>
      </c>
      <c r="N395" s="20">
        <f>IF((H395-J395)/(K395-J395)*(Geraetedaten!$B$174-Geraetedaten!$B$161)&lt;Geraetedaten!$B$174,(H395-J395)/(K395-J395)*(Geraetedaten!$B$174-Geraetedaten!$B$161),Geraetedaten!$B$174)</f>
        <v>251.4635041651066</v>
      </c>
      <c r="O395" s="20">
        <f>N395/Geraetedaten!$B$174*(M395-L395)+L395+C395</f>
        <v>469.44633361801687</v>
      </c>
      <c r="P395" s="20">
        <f t="shared" si="303"/>
        <v>157.05255729514542</v>
      </c>
      <c r="Q395" s="21">
        <f>(N395-Geraetedaten!$B$161)/(Geraetedaten!$B$174-Geraetedaten!$B$161)*(Geraetedaten!$B$175-Geraetedaten!$B$162)+Geraetedaten!$B$162</f>
        <v>36.681039248911922</v>
      </c>
      <c r="R395" s="21">
        <f t="shared" si="329"/>
        <v>36.681039248911922</v>
      </c>
      <c r="S395" s="21">
        <f t="shared" si="330"/>
        <v>-3.8342126637492431</v>
      </c>
      <c r="T395" s="88">
        <f t="shared" si="331"/>
        <v>36.480096677905905</v>
      </c>
      <c r="U395" s="86">
        <f t="shared" si="332"/>
        <v>64786.184600000001</v>
      </c>
      <c r="V395" s="85">
        <f t="shared" si="333"/>
        <v>-2683.3128092763232</v>
      </c>
      <c r="W395" s="85">
        <f t="shared" si="334"/>
        <v>25938.635347985568</v>
      </c>
      <c r="X395" s="90">
        <f t="shared" si="335"/>
        <v>2683.3128092763232</v>
      </c>
      <c r="Y395" s="86">
        <f t="shared" si="336"/>
        <v>-8668.3807099999995</v>
      </c>
      <c r="Z395" s="85">
        <f t="shared" si="337"/>
        <v>-832.16398485565549</v>
      </c>
      <c r="AA395" s="85">
        <f t="shared" si="338"/>
        <v>-839.86069686638416</v>
      </c>
      <c r="AB395" s="90">
        <f t="shared" si="339"/>
        <v>832.16398485565549</v>
      </c>
      <c r="AC395" s="86">
        <f t="shared" si="340"/>
        <v>-62596.50303</v>
      </c>
      <c r="AD395" s="85">
        <f t="shared" si="341"/>
        <v>2598.140025222212</v>
      </c>
      <c r="AE395" s="85">
        <f t="shared" si="342"/>
        <v>-24690.884170756552</v>
      </c>
      <c r="AF395" s="90">
        <f t="shared" si="343"/>
        <v>2598.140025222212</v>
      </c>
      <c r="AG395" s="86">
        <f t="shared" si="344"/>
        <v>9083.1038800000006</v>
      </c>
      <c r="AH395" s="85">
        <f t="shared" si="345"/>
        <v>6183.1314163678471</v>
      </c>
      <c r="AI395" s="85">
        <f t="shared" si="346"/>
        <v>6211.0759053724023</v>
      </c>
      <c r="AJ395" s="90">
        <f t="shared" si="347"/>
        <v>6183.1314163678471</v>
      </c>
      <c r="AL395" s="95">
        <f t="shared" si="348"/>
        <v>0</v>
      </c>
      <c r="AM395" s="95">
        <f t="shared" si="349"/>
        <v>0</v>
      </c>
      <c r="AN395" s="95">
        <f t="shared" si="350"/>
        <v>0</v>
      </c>
      <c r="AO395" s="95">
        <f t="shared" si="351"/>
        <v>0</v>
      </c>
      <c r="AP395"/>
      <c r="AQ395" s="95">
        <f t="shared" si="352"/>
        <v>0</v>
      </c>
      <c r="AR395" s="95">
        <f t="shared" si="353"/>
        <v>0</v>
      </c>
      <c r="AS395" s="95">
        <f>Geraetedaten!$B$94*ABS(SIN(RADIANS($A395)))</f>
        <v>16.097383343218628</v>
      </c>
      <c r="AT395" s="95">
        <f>Geraetedaten!$B$94*ABS(COS(RADIANS($A395)))</f>
        <v>153.15637188671408</v>
      </c>
      <c r="AU395" s="95">
        <f>((h_Aw_Sw+Geraetedaten!$B$18)/1000)*(AQ395*AS395+AR395*AT395)/100</f>
        <v>0</v>
      </c>
    </row>
    <row r="396" spans="1:47" ht="13.5" x14ac:dyDescent="0.25">
      <c r="A396" s="16">
        <v>355</v>
      </c>
      <c r="B396" s="16">
        <f t="shared" si="295"/>
        <v>95</v>
      </c>
      <c r="C396" s="19">
        <f t="shared" si="296"/>
        <v>35.371465088304276</v>
      </c>
      <c r="D396" s="17">
        <f t="shared" si="297"/>
        <v>77828.277854911692</v>
      </c>
      <c r="E396" s="17">
        <f t="shared" si="298"/>
        <v>-8684.491995088305</v>
      </c>
      <c r="F396" s="17">
        <f t="shared" si="299"/>
        <v>-75009.040575088307</v>
      </c>
      <c r="G396" s="17">
        <f t="shared" si="300"/>
        <v>9034.0482249116958</v>
      </c>
      <c r="H396" s="17">
        <f t="shared" si="301"/>
        <v>9034.0482249116958</v>
      </c>
      <c r="I396" s="17">
        <f t="shared" si="302"/>
        <v>6201.7185801376263</v>
      </c>
      <c r="J396" s="20">
        <f>(Geraetedaten!$B$152+(Geraetedaten!$B$153*(Geraetedaten!$B$18+d_y_Sw)/1000))*10</f>
        <v>6051.0442000000003</v>
      </c>
      <c r="K396" s="20">
        <f>(Geraetedaten!$B$165+(Geraetedaten!$B$166*(Geraetedaten!$B$18+d_y_Sw)/1000))*10</f>
        <v>10816.164000000001</v>
      </c>
      <c r="L396" s="20">
        <f>(Geraetedaten!$B$158+(Geraetedaten!$B$159*(Geraetedaten!$B$18+d_y_Sw)/1000)-(Geraetedaten!$B$160*I396/1000))*10</f>
        <v>146.76457651850768</v>
      </c>
      <c r="M396" s="20">
        <f>(Geraetedaten!$B$171+(Geraetedaten!$B$172*(Geraetedaten!$B$18+d_y_Sw)/1000)-(Geraetedaten!$B$173*I396/1000))*10</f>
        <v>603.21106889455586</v>
      </c>
      <c r="N396" s="20">
        <f>IF((H396-J396)/(K396-J396)*(Geraetedaten!$B$174-Geraetedaten!$B$161)&lt;Geraetedaten!$B$174,(H396-J396)/(K396-J396)*(Geraetedaten!$B$174-Geraetedaten!$B$161),Geraetedaten!$B$174)</f>
        <v>250.40327631735053</v>
      </c>
      <c r="O396" s="20">
        <f>N396/Geraetedaten!$B$174*(M396-L396)+L396+C396</f>
        <v>467.87528449312452</v>
      </c>
      <c r="P396" s="20">
        <f t="shared" si="303"/>
        <v>156.64101178151185</v>
      </c>
      <c r="Q396" s="21">
        <f>(N396-Geraetedaten!$B$161)/(Geraetedaten!$B$174-Geraetedaten!$B$161)*(Geraetedaten!$B$175-Geraetedaten!$B$162)+Geraetedaten!$B$162</f>
        <v>36.649497470441176</v>
      </c>
      <c r="R396" s="21">
        <f t="shared" si="329"/>
        <v>36.649497470441176</v>
      </c>
      <c r="S396" s="21">
        <f t="shared" si="330"/>
        <v>-3.1942141733647254</v>
      </c>
      <c r="T396" s="88">
        <f t="shared" si="331"/>
        <v>36.510035067780336</v>
      </c>
      <c r="U396" s="86">
        <f t="shared" si="332"/>
        <v>77863.649319999997</v>
      </c>
      <c r="V396" s="85">
        <f t="shared" si="333"/>
        <v>-2683.3128092763232</v>
      </c>
      <c r="W396" s="85">
        <f t="shared" si="334"/>
        <v>31174.498375851155</v>
      </c>
      <c r="X396" s="90">
        <f t="shared" si="335"/>
        <v>2683.3128092763232</v>
      </c>
      <c r="Y396" s="86">
        <f t="shared" si="336"/>
        <v>-8649.1205300000001</v>
      </c>
      <c r="Z396" s="85">
        <f t="shared" si="337"/>
        <v>-832.16398485565549</v>
      </c>
      <c r="AA396" s="85">
        <f t="shared" si="338"/>
        <v>-837.99461931623932</v>
      </c>
      <c r="AB396" s="90">
        <f t="shared" si="339"/>
        <v>832.16398485565549</v>
      </c>
      <c r="AC396" s="86">
        <f t="shared" si="340"/>
        <v>-74973.669110000003</v>
      </c>
      <c r="AD396" s="85">
        <f t="shared" si="341"/>
        <v>2598.140025222212</v>
      </c>
      <c r="AE396" s="85">
        <f t="shared" si="342"/>
        <v>-29572.996739810111</v>
      </c>
      <c r="AF396" s="90">
        <f t="shared" si="343"/>
        <v>2598.140025222212</v>
      </c>
      <c r="AG396" s="86">
        <f t="shared" si="344"/>
        <v>9069.4196900000006</v>
      </c>
      <c r="AH396" s="85">
        <f t="shared" si="345"/>
        <v>6183.1314163678471</v>
      </c>
      <c r="AI396" s="85">
        <f t="shared" si="346"/>
        <v>6201.7185801376263</v>
      </c>
      <c r="AJ396" s="90">
        <f t="shared" si="347"/>
        <v>6183.1314163678471</v>
      </c>
      <c r="AL396" s="95">
        <f t="shared" si="348"/>
        <v>0</v>
      </c>
      <c r="AM396" s="95">
        <f t="shared" si="349"/>
        <v>0</v>
      </c>
      <c r="AN396" s="95">
        <f t="shared" si="350"/>
        <v>0</v>
      </c>
      <c r="AO396" s="95">
        <f t="shared" si="351"/>
        <v>0</v>
      </c>
      <c r="AP396"/>
      <c r="AQ396" s="95">
        <f t="shared" si="352"/>
        <v>0</v>
      </c>
      <c r="AR396" s="95">
        <f t="shared" si="353"/>
        <v>0</v>
      </c>
      <c r="AS396" s="95">
        <f>Geraetedaten!$B$94*ABS(SIN(RADIANS($A396)))</f>
        <v>13.421984383139382</v>
      </c>
      <c r="AT396" s="95">
        <f>Geraetedaten!$B$94*ABS(COS(RADIANS($A396)))</f>
        <v>153.4139835061288</v>
      </c>
      <c r="AU396" s="95">
        <f>((h_Aw_Sw+Geraetedaten!$B$18)/1000)*(AQ396*AS396+AR396*AT396)/100</f>
        <v>0</v>
      </c>
    </row>
    <row r="397" spans="1:47" ht="13.5" x14ac:dyDescent="0.25">
      <c r="A397" s="16">
        <v>356</v>
      </c>
      <c r="B397" s="16">
        <f t="shared" si="295"/>
        <v>94</v>
      </c>
      <c r="C397" s="19">
        <f t="shared" si="296"/>
        <v>34.306782372021985</v>
      </c>
      <c r="D397" s="17">
        <f t="shared" si="297"/>
        <v>97558.801717627983</v>
      </c>
      <c r="E397" s="17">
        <f t="shared" si="298"/>
        <v>-8666.8762623720213</v>
      </c>
      <c r="F397" s="17">
        <f t="shared" si="299"/>
        <v>-93521.643762372012</v>
      </c>
      <c r="G397" s="17">
        <f t="shared" si="300"/>
        <v>9024.2250476279787</v>
      </c>
      <c r="H397" s="17">
        <f t="shared" si="301"/>
        <v>9024.2250476279787</v>
      </c>
      <c r="I397" s="17">
        <f t="shared" si="302"/>
        <v>6194.2734044728468</v>
      </c>
      <c r="J397" s="20">
        <f>(Geraetedaten!$B$152+(Geraetedaten!$B$153*(Geraetedaten!$B$18+d_y_Sw)/1000))*10</f>
        <v>6051.0442000000003</v>
      </c>
      <c r="K397" s="20">
        <f>(Geraetedaten!$B$165+(Geraetedaten!$B$166*(Geraetedaten!$B$18+d_y_Sw)/1000))*10</f>
        <v>10816.164000000001</v>
      </c>
      <c r="L397" s="20">
        <f>(Geraetedaten!$B$158+(Geraetedaten!$B$159*(Geraetedaten!$B$18+d_y_Sw)/1000)-(Geraetedaten!$B$160*I397/1000))*10</f>
        <v>147.31053125000599</v>
      </c>
      <c r="M397" s="20">
        <f>(Geraetedaten!$B$171+(Geraetedaten!$B$172*(Geraetedaten!$B$18+d_y_Sw)/1000)-(Geraetedaten!$B$173*I397/1000))*10</f>
        <v>603.76528777104215</v>
      </c>
      <c r="N397" s="20">
        <f>IF((H397-J397)/(K397-J397)*(Geraetedaten!$B$174-Geraetedaten!$B$161)&lt;Geraetedaten!$B$174,(H397-J397)/(K397-J397)*(Geraetedaten!$B$174-Geraetedaten!$B$161),Geraetedaten!$B$174)</f>
        <v>249.57868615416371</v>
      </c>
      <c r="O397" s="20">
        <f>N397/Geraetedaten!$B$174*(M397-L397)+L397+C397</f>
        <v>466.42075967537517</v>
      </c>
      <c r="P397" s="20">
        <f t="shared" si="303"/>
        <v>156.24172634604142</v>
      </c>
      <c r="Q397" s="21">
        <f>(N397-Geraetedaten!$B$161)/(Geraetedaten!$B$174-Geraetedaten!$B$161)*(Geraetedaten!$B$175-Geraetedaten!$B$162)+Geraetedaten!$B$162</f>
        <v>36.624965913086371</v>
      </c>
      <c r="R397" s="21">
        <f t="shared" si="329"/>
        <v>36.624965913086371</v>
      </c>
      <c r="S397" s="21">
        <f t="shared" si="330"/>
        <v>-2.5548284730957058</v>
      </c>
      <c r="T397" s="88">
        <f t="shared" si="331"/>
        <v>36.53574933688644</v>
      </c>
      <c r="U397" s="86">
        <f t="shared" si="332"/>
        <v>97593.108500000002</v>
      </c>
      <c r="V397" s="85">
        <f t="shared" si="333"/>
        <v>-2683.3128092763232</v>
      </c>
      <c r="W397" s="85">
        <f t="shared" si="334"/>
        <v>39073.639997827449</v>
      </c>
      <c r="X397" s="90">
        <f t="shared" si="335"/>
        <v>2683.3128092763232</v>
      </c>
      <c r="Y397" s="86">
        <f t="shared" si="336"/>
        <v>-8632.5694800000001</v>
      </c>
      <c r="Z397" s="85">
        <f t="shared" si="337"/>
        <v>-832.16398485565549</v>
      </c>
      <c r="AA397" s="85">
        <f t="shared" si="338"/>
        <v>-836.39102380392319</v>
      </c>
      <c r="AB397" s="90">
        <f t="shared" si="339"/>
        <v>832.16398485565549</v>
      </c>
      <c r="AC397" s="86">
        <f t="shared" si="340"/>
        <v>-93487.336979999993</v>
      </c>
      <c r="AD397" s="85">
        <f t="shared" si="341"/>
        <v>2598.140025222212</v>
      </c>
      <c r="AE397" s="85">
        <f t="shared" si="342"/>
        <v>-36875.622394497346</v>
      </c>
      <c r="AF397" s="90">
        <f t="shared" si="343"/>
        <v>2598.140025222212</v>
      </c>
      <c r="AG397" s="86">
        <f t="shared" si="344"/>
        <v>9058.5318299999999</v>
      </c>
      <c r="AH397" s="85">
        <f t="shared" si="345"/>
        <v>6183.1314163678471</v>
      </c>
      <c r="AI397" s="85">
        <f t="shared" si="346"/>
        <v>6194.2734044728468</v>
      </c>
      <c r="AJ397" s="90">
        <f t="shared" si="347"/>
        <v>6183.1314163678471</v>
      </c>
      <c r="AL397" s="95">
        <f t="shared" si="348"/>
        <v>0</v>
      </c>
      <c r="AM397" s="95">
        <f t="shared" si="349"/>
        <v>0</v>
      </c>
      <c r="AN397" s="95">
        <f t="shared" si="350"/>
        <v>0</v>
      </c>
      <c r="AO397" s="95">
        <f t="shared" si="351"/>
        <v>0</v>
      </c>
      <c r="AP397"/>
      <c r="AQ397" s="95">
        <f t="shared" si="352"/>
        <v>0</v>
      </c>
      <c r="AR397" s="95">
        <f t="shared" si="353"/>
        <v>0</v>
      </c>
      <c r="AS397" s="95">
        <f>Geraetedaten!$B$94*ABS(SIN(RADIANS($A397)))</f>
        <v>10.742496956595348</v>
      </c>
      <c r="AT397" s="95">
        <f>Geraetedaten!$B$94*ABS(COS(RADIANS($A397)))</f>
        <v>153.62486374001293</v>
      </c>
      <c r="AU397" s="95">
        <f>((h_Aw_Sw+Geraetedaten!$B$18)/1000)*(AQ397*AS397+AR397*AT397)/100</f>
        <v>0</v>
      </c>
    </row>
    <row r="398" spans="1:47" ht="13.5" x14ac:dyDescent="0.25">
      <c r="A398" s="16">
        <v>357</v>
      </c>
      <c r="B398" s="16">
        <f t="shared" si="295"/>
        <v>93</v>
      </c>
      <c r="C398" s="19">
        <f t="shared" si="296"/>
        <v>33.231649477491914</v>
      </c>
      <c r="D398" s="17">
        <f t="shared" si="297"/>
        <v>130734.17222052251</v>
      </c>
      <c r="E398" s="17">
        <f t="shared" si="298"/>
        <v>-8651.9336294774912</v>
      </c>
      <c r="F398" s="17">
        <f t="shared" si="299"/>
        <v>-124226.01933947748</v>
      </c>
      <c r="G398" s="17">
        <f t="shared" si="300"/>
        <v>9017.1919705225082</v>
      </c>
      <c r="H398" s="17">
        <f t="shared" si="301"/>
        <v>9017.1919705225082</v>
      </c>
      <c r="I398" s="17">
        <f t="shared" si="302"/>
        <v>6188.7289696573716</v>
      </c>
      <c r="J398" s="20">
        <f>(Geraetedaten!$B$152+(Geraetedaten!$B$153*(Geraetedaten!$B$18+d_y_Sw)/1000))*10</f>
        <v>6051.0442000000003</v>
      </c>
      <c r="K398" s="20">
        <f>(Geraetedaten!$B$165+(Geraetedaten!$B$166*(Geraetedaten!$B$18+d_y_Sw)/1000))*10</f>
        <v>10816.164000000001</v>
      </c>
      <c r="L398" s="20">
        <f>(Geraetedaten!$B$158+(Geraetedaten!$B$159*(Geraetedaten!$B$18+d_y_Sw)/1000)-(Geraetedaten!$B$160*I398/1000))*10</f>
        <v>147.7171046550248</v>
      </c>
      <c r="M398" s="20">
        <f>(Geraetedaten!$B$171+(Geraetedaten!$B$172*(Geraetedaten!$B$18+d_y_Sw)/1000)-(Geraetedaten!$B$173*I398/1000))*10</f>
        <v>604.17801549870615</v>
      </c>
      <c r="N398" s="20">
        <f>IF((H398-J398)/(K398-J398)*(Geraetedaten!$B$174-Geraetedaten!$B$161)&lt;Geraetedaten!$B$174,(H398-J398)/(K398-J398)*(Geraetedaten!$B$174-Geraetedaten!$B$161),Geraetedaten!$B$174)</f>
        <v>248.98830627700127</v>
      </c>
      <c r="O398" s="20">
        <f>N398/Geraetedaten!$B$174*(M398-L398)+L398+C398</f>
        <v>465.08232681408049</v>
      </c>
      <c r="P398" s="20">
        <f t="shared" si="303"/>
        <v>155.85493664127134</v>
      </c>
      <c r="Q398" s="21">
        <f>(N398-Geraetedaten!$B$161)/(Geraetedaten!$B$174-Geraetedaten!$B$161)*(Geraetedaten!$B$175-Geraetedaten!$B$162)+Geraetedaten!$B$162</f>
        <v>36.60740211174079</v>
      </c>
      <c r="R398" s="21">
        <f t="shared" si="329"/>
        <v>36.60740211174079</v>
      </c>
      <c r="S398" s="21">
        <f t="shared" si="330"/>
        <v>-1.9158833950879353</v>
      </c>
      <c r="T398" s="88">
        <f t="shared" si="331"/>
        <v>36.557232939421311</v>
      </c>
      <c r="U398" s="86">
        <f t="shared" si="332"/>
        <v>130767.40386999999</v>
      </c>
      <c r="V398" s="85">
        <f t="shared" si="333"/>
        <v>-2683.3128092763232</v>
      </c>
      <c r="W398" s="85">
        <f t="shared" si="334"/>
        <v>52355.73024246026</v>
      </c>
      <c r="X398" s="90">
        <f t="shared" si="335"/>
        <v>2683.3128092763232</v>
      </c>
      <c r="Y398" s="86">
        <f t="shared" si="336"/>
        <v>-8618.7019799999998</v>
      </c>
      <c r="Z398" s="85">
        <f t="shared" si="337"/>
        <v>-832.16398485565549</v>
      </c>
      <c r="AA398" s="85">
        <f t="shared" si="338"/>
        <v>-835.04743159865791</v>
      </c>
      <c r="AB398" s="90">
        <f t="shared" si="339"/>
        <v>832.16398485565549</v>
      </c>
      <c r="AC398" s="86">
        <f t="shared" si="340"/>
        <v>-124192.78769</v>
      </c>
      <c r="AD398" s="85">
        <f t="shared" si="341"/>
        <v>2598.140025222212</v>
      </c>
      <c r="AE398" s="85">
        <f t="shared" si="342"/>
        <v>-48987.237103192776</v>
      </c>
      <c r="AF398" s="90">
        <f t="shared" si="343"/>
        <v>2598.140025222212</v>
      </c>
      <c r="AG398" s="86">
        <f t="shared" si="344"/>
        <v>9050.4236199999996</v>
      </c>
      <c r="AH398" s="85">
        <f t="shared" si="345"/>
        <v>6183.1314163678471</v>
      </c>
      <c r="AI398" s="85">
        <f t="shared" si="346"/>
        <v>6188.7289696573716</v>
      </c>
      <c r="AJ398" s="90">
        <f t="shared" si="347"/>
        <v>6183.1314163678471</v>
      </c>
      <c r="AL398" s="95">
        <f t="shared" si="348"/>
        <v>0</v>
      </c>
      <c r="AM398" s="95">
        <f t="shared" si="349"/>
        <v>0</v>
      </c>
      <c r="AN398" s="95">
        <f t="shared" si="350"/>
        <v>0</v>
      </c>
      <c r="AO398" s="95">
        <f t="shared" si="351"/>
        <v>0</v>
      </c>
      <c r="AP398"/>
      <c r="AQ398" s="95">
        <f t="shared" si="352"/>
        <v>0</v>
      </c>
      <c r="AR398" s="95">
        <f t="shared" si="353"/>
        <v>0</v>
      </c>
      <c r="AS398" s="95">
        <f>Geraetedaten!$B$94*ABS(SIN(RADIANS($A398)))</f>
        <v>8.0597372614134333</v>
      </c>
      <c r="AT398" s="95">
        <f>Geraetedaten!$B$94*ABS(COS(RADIANS($A398)))</f>
        <v>153.78894835220436</v>
      </c>
      <c r="AU398" s="95">
        <f>((h_Aw_Sw+Geraetedaten!$B$18)/1000)*(AQ398*AS398+AR398*AT398)/100</f>
        <v>0</v>
      </c>
    </row>
    <row r="399" spans="1:47" ht="13.5" x14ac:dyDescent="0.25">
      <c r="A399" s="16">
        <v>358</v>
      </c>
      <c r="B399" s="16">
        <f t="shared" si="295"/>
        <v>92</v>
      </c>
      <c r="C399" s="19">
        <f t="shared" si="296"/>
        <v>32.146393900608729</v>
      </c>
      <c r="D399" s="17">
        <f t="shared" si="297"/>
        <v>198169.10727609938</v>
      </c>
      <c r="E399" s="17">
        <f t="shared" si="298"/>
        <v>-8639.6430739006082</v>
      </c>
      <c r="F399" s="17">
        <f t="shared" si="299"/>
        <v>-185049.23398390063</v>
      </c>
      <c r="G399" s="17">
        <f t="shared" si="300"/>
        <v>9012.9362860993915</v>
      </c>
      <c r="H399" s="17">
        <f t="shared" si="301"/>
        <v>9012.9362860993915</v>
      </c>
      <c r="I399" s="17">
        <f t="shared" si="302"/>
        <v>6185.0768009434123</v>
      </c>
      <c r="J399" s="20">
        <f>(Geraetedaten!$B$152+(Geraetedaten!$B$153*(Geraetedaten!$B$18+d_y_Sw)/1000))*10</f>
        <v>6051.0442000000003</v>
      </c>
      <c r="K399" s="20">
        <f>(Geraetedaten!$B$165+(Geraetedaten!$B$166*(Geraetedaten!$B$18+d_y_Sw)/1000))*10</f>
        <v>10816.164000000001</v>
      </c>
      <c r="L399" s="20">
        <f>(Geraetedaten!$B$158+(Geraetedaten!$B$159*(Geraetedaten!$B$18+d_y_Sw)/1000)-(Geraetedaten!$B$160*I399/1000))*10</f>
        <v>147.98491818681939</v>
      </c>
      <c r="M399" s="20">
        <f>(Geraetedaten!$B$171+(Geraetedaten!$B$172*(Geraetedaten!$B$18+d_y_Sw)/1000)-(Geraetedaten!$B$173*I399/1000))*10</f>
        <v>604.44988293777317</v>
      </c>
      <c r="N399" s="20">
        <f>IF((H399-J399)/(K399-J399)*(Geraetedaten!$B$174-Geraetedaten!$B$161)&lt;Geraetedaten!$B$174,(H399-J399)/(K399-J399)*(Geraetedaten!$B$174-Geraetedaten!$B$161),Geraetedaten!$B$174)</f>
        <v>248.63106997640568</v>
      </c>
      <c r="O399" s="20">
        <f>N399/Geraetedaten!$B$174*(M399-L399)+L399+C399</f>
        <v>463.85974356935799</v>
      </c>
      <c r="P399" s="20">
        <f t="shared" si="303"/>
        <v>155.48088850361873</v>
      </c>
      <c r="Q399" s="21">
        <f>(N399-Geraetedaten!$B$161)/(Geraetedaten!$B$174-Geraetedaten!$B$161)*(Geraetedaten!$B$175-Geraetedaten!$B$162)+Geraetedaten!$B$162</f>
        <v>36.596774331798073</v>
      </c>
      <c r="R399" s="21">
        <f t="shared" si="329"/>
        <v>36.596774331798073</v>
      </c>
      <c r="S399" s="21">
        <f t="shared" si="330"/>
        <v>-1.2772090051147535</v>
      </c>
      <c r="T399" s="88">
        <f t="shared" si="331"/>
        <v>36.574480565686891</v>
      </c>
      <c r="U399" s="86">
        <f t="shared" si="332"/>
        <v>198201.25367000001</v>
      </c>
      <c r="V399" s="85">
        <f t="shared" si="333"/>
        <v>-2683.3128092763232</v>
      </c>
      <c r="W399" s="85">
        <f t="shared" si="334"/>
        <v>79354.419094782468</v>
      </c>
      <c r="X399" s="90">
        <f t="shared" si="335"/>
        <v>2683.3128092763232</v>
      </c>
      <c r="Y399" s="86">
        <f t="shared" si="336"/>
        <v>-8607.4966800000002</v>
      </c>
      <c r="Z399" s="85">
        <f t="shared" si="337"/>
        <v>-832.16398485565549</v>
      </c>
      <c r="AA399" s="85">
        <f t="shared" si="338"/>
        <v>-833.96177461429556</v>
      </c>
      <c r="AB399" s="90">
        <f t="shared" si="339"/>
        <v>832.16398485565549</v>
      </c>
      <c r="AC399" s="86">
        <f t="shared" si="340"/>
        <v>-185017.08759000001</v>
      </c>
      <c r="AD399" s="85">
        <f t="shared" si="341"/>
        <v>2598.140025222212</v>
      </c>
      <c r="AE399" s="85">
        <f t="shared" si="342"/>
        <v>-72979.084427725917</v>
      </c>
      <c r="AF399" s="90">
        <f t="shared" si="343"/>
        <v>2598.140025222212</v>
      </c>
      <c r="AG399" s="86">
        <f t="shared" si="344"/>
        <v>9045.0826799999995</v>
      </c>
      <c r="AH399" s="85">
        <f t="shared" si="345"/>
        <v>6183.1314163678471</v>
      </c>
      <c r="AI399" s="85">
        <f t="shared" si="346"/>
        <v>6185.0768009434123</v>
      </c>
      <c r="AJ399" s="90">
        <f t="shared" si="347"/>
        <v>6183.1314163678471</v>
      </c>
      <c r="AL399" s="95">
        <f t="shared" si="348"/>
        <v>0</v>
      </c>
      <c r="AM399" s="95">
        <f t="shared" si="349"/>
        <v>0</v>
      </c>
      <c r="AN399" s="95">
        <f t="shared" si="350"/>
        <v>0</v>
      </c>
      <c r="AO399" s="95">
        <f t="shared" si="351"/>
        <v>0</v>
      </c>
      <c r="AP399"/>
      <c r="AQ399" s="95">
        <f t="shared" si="352"/>
        <v>0</v>
      </c>
      <c r="AR399" s="95">
        <f t="shared" si="353"/>
        <v>0</v>
      </c>
      <c r="AS399" s="95">
        <f>Geraetedaten!$B$94*ABS(SIN(RADIANS($A399)))</f>
        <v>5.3745224921851271</v>
      </c>
      <c r="AT399" s="95">
        <f>Geraetedaten!$B$94*ABS(COS(RADIANS($A399)))</f>
        <v>153.90618736094075</v>
      </c>
      <c r="AU399" s="95">
        <f>((h_Aw_Sw+Geraetedaten!$B$18)/1000)*(AQ399*AS399+AR399*AT399)/100</f>
        <v>0</v>
      </c>
    </row>
    <row r="400" spans="1:47" ht="13.5" x14ac:dyDescent="0.25">
      <c r="A400" s="16">
        <v>359</v>
      </c>
      <c r="B400" s="16">
        <f t="shared" si="295"/>
        <v>91</v>
      </c>
      <c r="C400" s="19">
        <f t="shared" si="296"/>
        <v>31.051346220734366</v>
      </c>
      <c r="D400" s="17">
        <f t="shared" si="297"/>
        <v>409460.80588377931</v>
      </c>
      <c r="E400" s="17">
        <f t="shared" si="298"/>
        <v>-8629.9877462207351</v>
      </c>
      <c r="F400" s="17">
        <f t="shared" si="299"/>
        <v>-362853.55784622073</v>
      </c>
      <c r="G400" s="17">
        <f t="shared" si="300"/>
        <v>9011.449493779266</v>
      </c>
      <c r="H400" s="17">
        <f t="shared" si="301"/>
        <v>9011.449493779266</v>
      </c>
      <c r="I400" s="17">
        <f t="shared" si="302"/>
        <v>6183.3113258848498</v>
      </c>
      <c r="J400" s="20">
        <f>(Geraetedaten!$B$152+(Geraetedaten!$B$153*(Geraetedaten!$B$18+d_y_Sw)/1000))*10</f>
        <v>6051.0442000000003</v>
      </c>
      <c r="K400" s="20">
        <f>(Geraetedaten!$B$165+(Geraetedaten!$B$166*(Geraetedaten!$B$18+d_y_Sw)/1000))*10</f>
        <v>10816.164000000001</v>
      </c>
      <c r="L400" s="20">
        <f>(Geraetedaten!$B$158+(Geraetedaten!$B$159*(Geraetedaten!$B$18+d_y_Sw)/1000)-(Geraetedaten!$B$160*I400/1000))*10</f>
        <v>148.11438047286379</v>
      </c>
      <c r="M400" s="20">
        <f>(Geraetedaten!$B$171+(Geraetedaten!$B$172*(Geraetedaten!$B$18+d_y_Sw)/1000)-(Geraetedaten!$B$173*I400/1000))*10</f>
        <v>604.58130490113263</v>
      </c>
      <c r="N400" s="20">
        <f>IF((H400-J400)/(K400-J400)*(Geraetedaten!$B$174-Geraetedaten!$B$161)&lt;Geraetedaten!$B$174,(H400-J400)/(K400-J400)*(Geraetedaten!$B$174-Geraetedaten!$B$161),Geraetedaten!$B$174)</f>
        <v>248.50626368548095</v>
      </c>
      <c r="O400" s="20">
        <f>N400/Geraetedaten!$B$174*(M400-L400)+L400+C400</f>
        <v>462.75295140777786</v>
      </c>
      <c r="P400" s="20">
        <f t="shared" si="303"/>
        <v>155.11983706079212</v>
      </c>
      <c r="Q400" s="21">
        <f>(N400-Geraetedaten!$B$161)/(Geraetedaten!$B$174-Geraetedaten!$B$161)*(Geraetedaten!$B$175-Geraetedaten!$B$162)+Geraetedaten!$B$162</f>
        <v>36.593061344643061</v>
      </c>
      <c r="R400" s="21">
        <f t="shared" si="329"/>
        <v>36.593061344643061</v>
      </c>
      <c r="S400" s="21">
        <f t="shared" si="330"/>
        <v>-0.63863697937116082</v>
      </c>
      <c r="T400" s="88">
        <f t="shared" si="331"/>
        <v>36.587488044157801</v>
      </c>
      <c r="U400" s="86">
        <f t="shared" si="332"/>
        <v>409491.85723000002</v>
      </c>
      <c r="V400" s="85">
        <f t="shared" si="333"/>
        <v>-2683.3128092763232</v>
      </c>
      <c r="W400" s="85">
        <f t="shared" si="334"/>
        <v>163949.45971650959</v>
      </c>
      <c r="X400" s="90">
        <f t="shared" si="335"/>
        <v>2683.3128092763232</v>
      </c>
      <c r="Y400" s="86">
        <f t="shared" si="336"/>
        <v>-8598.9364000000005</v>
      </c>
      <c r="Z400" s="85">
        <f t="shared" si="337"/>
        <v>-832.16398485565549</v>
      </c>
      <c r="AA400" s="85">
        <f t="shared" si="338"/>
        <v>-833.13238760173579</v>
      </c>
      <c r="AB400" s="90">
        <f t="shared" si="339"/>
        <v>832.16398485565549</v>
      </c>
      <c r="AC400" s="86">
        <f t="shared" si="340"/>
        <v>-362822.50650000002</v>
      </c>
      <c r="AD400" s="85">
        <f t="shared" si="341"/>
        <v>2598.140025222212</v>
      </c>
      <c r="AE400" s="85">
        <f t="shared" si="342"/>
        <v>-143113.56145317343</v>
      </c>
      <c r="AF400" s="90">
        <f t="shared" si="343"/>
        <v>2598.140025222212</v>
      </c>
      <c r="AG400" s="86">
        <f t="shared" si="344"/>
        <v>9042.5008400000006</v>
      </c>
      <c r="AH400" s="85">
        <f t="shared" si="345"/>
        <v>6183.1314163678471</v>
      </c>
      <c r="AI400" s="85">
        <f t="shared" si="346"/>
        <v>6183.3113258848498</v>
      </c>
      <c r="AJ400" s="90">
        <f t="shared" si="347"/>
        <v>6183.1314163678471</v>
      </c>
      <c r="AL400" s="95">
        <f t="shared" si="348"/>
        <v>0</v>
      </c>
      <c r="AM400" s="95">
        <f t="shared" si="349"/>
        <v>0</v>
      </c>
      <c r="AN400" s="95">
        <f t="shared" si="350"/>
        <v>0</v>
      </c>
      <c r="AO400" s="95">
        <f t="shared" si="351"/>
        <v>0</v>
      </c>
      <c r="AP400"/>
      <c r="AQ400" s="95">
        <f t="shared" si="352"/>
        <v>0</v>
      </c>
      <c r="AR400" s="95">
        <f t="shared" si="353"/>
        <v>0</v>
      </c>
      <c r="AS400" s="95">
        <f>Geraetedaten!$B$94*ABS(SIN(RADIANS($A400)))</f>
        <v>2.6876705913416683</v>
      </c>
      <c r="AT400" s="95">
        <f>Geraetedaten!$B$94*ABS(COS(RADIANS($A400)))</f>
        <v>153.97654505408426</v>
      </c>
      <c r="AU400" s="95">
        <f>((h_Aw_Sw+Geraetedaten!$B$18)/1000)*(AQ400*AS400+AR400*AT400)/100</f>
        <v>0</v>
      </c>
    </row>
    <row r="401" spans="3:48" x14ac:dyDescent="0.2">
      <c r="C401"/>
      <c r="E401" s="1"/>
      <c r="F401" s="1"/>
      <c r="G401" s="1"/>
      <c r="H401" s="1"/>
      <c r="I401" s="1"/>
      <c r="AQ401"/>
      <c r="AR401" s="18"/>
      <c r="AS401" s="18"/>
    </row>
    <row r="402" spans="3:48" x14ac:dyDescent="0.2">
      <c r="C402"/>
      <c r="E402" s="1"/>
      <c r="F402" s="1"/>
      <c r="G402" s="1"/>
      <c r="H402" s="1"/>
      <c r="I402" s="1"/>
      <c r="AQ402"/>
      <c r="AR402" s="18"/>
      <c r="AS402" s="18"/>
    </row>
    <row r="403" spans="3:48" x14ac:dyDescent="0.2">
      <c r="C403"/>
      <c r="E403" s="1"/>
      <c r="F403" s="1"/>
      <c r="G403" s="1"/>
      <c r="H403" s="1"/>
      <c r="I403" s="1"/>
      <c r="J403" s="1"/>
      <c r="K403" s="1"/>
      <c r="L403" s="1"/>
      <c r="M403" s="1"/>
      <c r="N403" s="1"/>
      <c r="O403" s="1"/>
      <c r="P403" s="1"/>
      <c r="Q403" s="1"/>
      <c r="AQ403"/>
      <c r="AR403" s="18"/>
      <c r="AS403" s="18"/>
    </row>
    <row r="404" spans="3:48" x14ac:dyDescent="0.2">
      <c r="C404"/>
      <c r="E404" s="1"/>
      <c r="F404" s="1"/>
      <c r="G404" s="1"/>
      <c r="H404" s="1"/>
      <c r="I404" s="1"/>
      <c r="J404" s="1"/>
      <c r="K404" s="1"/>
      <c r="L404" s="1"/>
      <c r="M404" s="1"/>
      <c r="N404" s="1"/>
      <c r="O404" s="1"/>
      <c r="P404" s="1"/>
      <c r="Q404" s="1"/>
      <c r="AR404"/>
      <c r="AS404" s="18"/>
      <c r="AT404" s="18"/>
    </row>
    <row r="405" spans="3:48" x14ac:dyDescent="0.2">
      <c r="C405"/>
      <c r="E405" s="1"/>
      <c r="F405" s="1"/>
      <c r="G405" s="1"/>
      <c r="H405" s="1"/>
      <c r="I405" s="1"/>
      <c r="J405" s="1"/>
      <c r="K405" s="1"/>
      <c r="L405" s="1"/>
      <c r="M405" s="1"/>
      <c r="N405" s="1"/>
      <c r="O405" s="1"/>
      <c r="P405" s="1"/>
      <c r="Q405" s="1"/>
      <c r="AR405"/>
      <c r="AS405" s="18"/>
      <c r="AT405" s="18"/>
    </row>
    <row r="406" spans="3:48" x14ac:dyDescent="0.2">
      <c r="C406"/>
      <c r="E406" s="1"/>
      <c r="F406" s="1"/>
      <c r="G406" s="1"/>
      <c r="H406" s="1"/>
      <c r="I406" s="1"/>
      <c r="J406" s="1"/>
      <c r="K406" s="1"/>
      <c r="L406" s="1"/>
      <c r="M406" s="1"/>
      <c r="N406" s="1"/>
      <c r="O406" s="1"/>
      <c r="P406" s="1"/>
      <c r="Q406" s="1"/>
      <c r="AU406" s="18"/>
      <c r="AV406" s="18"/>
    </row>
    <row r="407" spans="3:48" x14ac:dyDescent="0.2">
      <c r="C407"/>
      <c r="E407" s="1"/>
      <c r="F407" s="1"/>
      <c r="G407" s="1"/>
      <c r="H407" s="1"/>
      <c r="I407" s="1"/>
      <c r="J407" s="1"/>
      <c r="K407" s="1"/>
      <c r="L407" s="1"/>
      <c r="M407" s="1"/>
      <c r="N407" s="1"/>
      <c r="O407" s="1"/>
      <c r="P407" s="1"/>
      <c r="Q407" s="1"/>
      <c r="AU407" s="18"/>
      <c r="AV407" s="18"/>
    </row>
    <row r="408" spans="3:48" x14ac:dyDescent="0.2">
      <c r="E408" s="1"/>
      <c r="F408" s="1"/>
      <c r="G408" s="1"/>
      <c r="H408" s="1"/>
      <c r="I408" s="1"/>
      <c r="J408" s="1"/>
      <c r="K408" s="1"/>
      <c r="L408" s="1"/>
      <c r="M408" s="1"/>
      <c r="AU408" s="18"/>
      <c r="AV408" s="18"/>
    </row>
    <row r="409" spans="3:48" x14ac:dyDescent="0.2">
      <c r="E409" s="1"/>
      <c r="F409" s="1"/>
      <c r="G409" s="1"/>
      <c r="H409" s="1"/>
      <c r="I409" s="1"/>
      <c r="J409" s="1"/>
      <c r="K409" s="1"/>
      <c r="L409" s="1"/>
      <c r="M409" s="1"/>
      <c r="AU409" s="18"/>
      <c r="AV409" s="18"/>
    </row>
    <row r="410" spans="3:48" x14ac:dyDescent="0.2">
      <c r="E410" s="1"/>
      <c r="F410" s="1"/>
      <c r="G410" s="1"/>
      <c r="H410" s="1"/>
      <c r="I410" s="1"/>
      <c r="J410" s="1"/>
      <c r="K410" s="1"/>
      <c r="L410" s="1"/>
      <c r="M410" s="1"/>
      <c r="AU410" s="18"/>
      <c r="AV410" s="18"/>
    </row>
    <row r="411" spans="3:48" x14ac:dyDescent="0.2">
      <c r="E411" s="1"/>
      <c r="F411" s="1"/>
      <c r="G411" s="1"/>
      <c r="H411" s="1"/>
      <c r="I411" s="1"/>
      <c r="J411" s="1"/>
      <c r="K411" s="1"/>
      <c r="L411" s="1"/>
      <c r="M411" s="1"/>
      <c r="AU411" s="18"/>
      <c r="AV411" s="18"/>
    </row>
    <row r="412" spans="3:48" x14ac:dyDescent="0.2">
      <c r="E412" s="1"/>
      <c r="F412" s="1"/>
      <c r="G412" s="1"/>
      <c r="H412" s="1"/>
      <c r="I412" s="1"/>
      <c r="J412" s="1"/>
      <c r="K412" s="1"/>
      <c r="L412" s="1"/>
      <c r="M412" s="1"/>
      <c r="AU412" s="18"/>
      <c r="AV412" s="18"/>
    </row>
    <row r="413" spans="3:48" x14ac:dyDescent="0.2">
      <c r="E413" s="1"/>
      <c r="F413" s="1"/>
      <c r="G413" s="1"/>
      <c r="H413" s="1"/>
      <c r="I413" s="1"/>
      <c r="J413" s="1"/>
      <c r="K413" s="1"/>
      <c r="L413" s="1"/>
      <c r="M413" s="1"/>
      <c r="AU413" s="18"/>
      <c r="AV413" s="18"/>
    </row>
    <row r="414" spans="3:48" x14ac:dyDescent="0.2">
      <c r="E414" s="1"/>
      <c r="F414" s="1"/>
      <c r="G414" s="1"/>
      <c r="H414" s="1"/>
      <c r="I414" s="1"/>
      <c r="J414" s="1"/>
      <c r="K414" s="1"/>
      <c r="L414" s="1"/>
      <c r="M414" s="1"/>
      <c r="AU414" s="18"/>
      <c r="AV414" s="18"/>
    </row>
    <row r="415" spans="3:48" x14ac:dyDescent="0.2">
      <c r="E415" s="1"/>
      <c r="F415" s="1"/>
      <c r="G415" s="1"/>
      <c r="H415" s="1"/>
      <c r="I415" s="1"/>
      <c r="J415" s="1"/>
      <c r="K415" s="1"/>
      <c r="L415" s="1"/>
      <c r="M415" s="1"/>
      <c r="AU415" s="18"/>
      <c r="AV415" s="18"/>
    </row>
    <row r="416" spans="3:48" x14ac:dyDescent="0.2">
      <c r="E416" s="1"/>
      <c r="F416" s="1"/>
      <c r="G416" s="1"/>
      <c r="H416" s="1"/>
      <c r="I416" s="1"/>
      <c r="J416" s="1"/>
      <c r="K416" s="1"/>
      <c r="L416" s="1"/>
      <c r="M416" s="1"/>
      <c r="AU416" s="18"/>
      <c r="AV416" s="18"/>
    </row>
    <row r="417" spans="5:48" x14ac:dyDescent="0.2">
      <c r="E417" s="1"/>
      <c r="F417" s="1"/>
      <c r="G417" s="1"/>
      <c r="H417" s="1"/>
      <c r="I417" s="1"/>
      <c r="J417" s="1"/>
      <c r="K417" s="1"/>
      <c r="L417" s="1"/>
      <c r="M417" s="1"/>
      <c r="AA417" s="76"/>
      <c r="AU417" s="18"/>
      <c r="AV417" s="18"/>
    </row>
    <row r="418" spans="5:48" x14ac:dyDescent="0.2">
      <c r="E418" s="1"/>
      <c r="F418" s="1"/>
      <c r="G418" s="1"/>
      <c r="H418" s="1"/>
      <c r="I418" s="1"/>
      <c r="J418" s="1"/>
      <c r="K418" s="1"/>
      <c r="L418" s="1"/>
      <c r="M418" s="1"/>
      <c r="AA418" s="76"/>
      <c r="AU418" s="18"/>
      <c r="AV418" s="18"/>
    </row>
    <row r="419" spans="5:48" x14ac:dyDescent="0.2">
      <c r="E419" s="1"/>
      <c r="F419" s="1"/>
      <c r="G419" s="1"/>
      <c r="H419" s="1"/>
      <c r="I419" s="1"/>
      <c r="J419" s="1"/>
      <c r="K419" s="1"/>
      <c r="L419" s="1"/>
      <c r="M419" s="1"/>
      <c r="AA419" s="76"/>
      <c r="AU419" s="18"/>
      <c r="AV419" s="18"/>
    </row>
    <row r="420" spans="5:48" x14ac:dyDescent="0.2">
      <c r="E420" s="1"/>
      <c r="F420" s="1"/>
      <c r="G420" s="1"/>
      <c r="H420" s="1"/>
      <c r="I420" s="1"/>
      <c r="J420" s="1"/>
      <c r="K420" s="1"/>
      <c r="L420" s="1"/>
      <c r="M420" s="1"/>
      <c r="AA420" s="76"/>
      <c r="AU420" s="18"/>
      <c r="AV420" s="18"/>
    </row>
    <row r="421" spans="5:48" x14ac:dyDescent="0.2">
      <c r="E421" s="1"/>
      <c r="F421" s="1"/>
      <c r="G421" s="1"/>
      <c r="H421" s="1"/>
      <c r="I421" s="1"/>
      <c r="J421" s="1"/>
      <c r="K421" s="1"/>
      <c r="L421" s="1"/>
      <c r="M421" s="1"/>
      <c r="AA421" s="76"/>
      <c r="AU421" s="18"/>
      <c r="AV421" s="18"/>
    </row>
    <row r="422" spans="5:48" x14ac:dyDescent="0.2">
      <c r="E422" s="1"/>
      <c r="F422" s="1"/>
      <c r="G422" s="1"/>
      <c r="H422" s="1"/>
      <c r="I422" s="1"/>
      <c r="J422" s="1"/>
      <c r="K422" s="1"/>
      <c r="L422" s="1"/>
      <c r="M422" s="1"/>
      <c r="AA422" s="76"/>
      <c r="AU422" s="18"/>
      <c r="AV422" s="18"/>
    </row>
    <row r="423" spans="5:48" x14ac:dyDescent="0.2">
      <c r="E423" s="1"/>
      <c r="F423" s="1"/>
      <c r="G423" s="1"/>
      <c r="H423" s="1"/>
      <c r="I423" s="1"/>
      <c r="J423" s="1"/>
      <c r="K423" s="1"/>
      <c r="L423" s="1"/>
      <c r="M423" s="1"/>
      <c r="AA423" s="76"/>
      <c r="AU423" s="18"/>
      <c r="AV423" s="18"/>
    </row>
    <row r="424" spans="5:48" x14ac:dyDescent="0.2">
      <c r="E424" s="1"/>
      <c r="F424" s="1"/>
      <c r="G424" s="1"/>
      <c r="H424" s="1"/>
      <c r="I424" s="1"/>
      <c r="J424" s="1"/>
      <c r="K424" s="1"/>
      <c r="L424" s="1"/>
      <c r="M424" s="1"/>
      <c r="AA424" s="76"/>
      <c r="AU424" s="18"/>
      <c r="AV424" s="18"/>
    </row>
    <row r="425" spans="5:48" x14ac:dyDescent="0.2">
      <c r="E425" s="1"/>
      <c r="F425" s="1"/>
      <c r="G425" s="1"/>
      <c r="H425" s="1"/>
      <c r="I425" s="1"/>
      <c r="J425" s="1"/>
      <c r="K425" s="1"/>
      <c r="L425" s="1"/>
      <c r="M425" s="1"/>
      <c r="AA425" s="76"/>
      <c r="AU425" s="18"/>
      <c r="AV425" s="18"/>
    </row>
    <row r="426" spans="5:48" x14ac:dyDescent="0.2">
      <c r="E426" s="1"/>
      <c r="F426" s="1"/>
      <c r="G426" s="1"/>
      <c r="H426" s="1"/>
      <c r="I426" s="1"/>
      <c r="J426" s="1"/>
      <c r="K426" s="1"/>
      <c r="L426" s="1"/>
      <c r="M426" s="1"/>
      <c r="AA426" s="76"/>
      <c r="AU426" s="18"/>
      <c r="AV426" s="18"/>
    </row>
    <row r="427" spans="5:48" x14ac:dyDescent="0.2">
      <c r="E427" s="1"/>
      <c r="F427" s="1"/>
      <c r="G427" s="1"/>
      <c r="H427" s="1"/>
      <c r="I427" s="1"/>
      <c r="J427" s="1"/>
      <c r="K427" s="1"/>
      <c r="L427" s="1"/>
      <c r="M427" s="1"/>
      <c r="AA427" s="76"/>
      <c r="AU427" s="18"/>
      <c r="AV427" s="18"/>
    </row>
    <row r="428" spans="5:48" x14ac:dyDescent="0.2">
      <c r="E428" s="1"/>
      <c r="F428" s="1"/>
      <c r="G428" s="1"/>
      <c r="H428" s="1"/>
      <c r="I428" s="1"/>
      <c r="J428" s="1"/>
      <c r="K428" s="1"/>
      <c r="L428" s="1"/>
      <c r="M428" s="1"/>
      <c r="AA428" s="76"/>
      <c r="AU428" s="18"/>
      <c r="AV428" s="18"/>
    </row>
    <row r="429" spans="5:48" x14ac:dyDescent="0.2">
      <c r="E429" s="1"/>
      <c r="F429" s="1"/>
      <c r="G429" s="1"/>
      <c r="H429" s="1"/>
      <c r="I429" s="1"/>
      <c r="J429" s="1"/>
      <c r="K429" s="1"/>
      <c r="L429" s="1"/>
      <c r="M429" s="1"/>
      <c r="AA429" s="76"/>
      <c r="AU429" s="18"/>
      <c r="AV429" s="18"/>
    </row>
    <row r="430" spans="5:48" x14ac:dyDescent="0.2">
      <c r="E430" s="1"/>
      <c r="F430" s="1"/>
      <c r="G430" s="1"/>
      <c r="H430" s="1"/>
      <c r="I430" s="1"/>
      <c r="J430" s="1"/>
      <c r="K430" s="1"/>
      <c r="L430" s="1"/>
      <c r="M430" s="1"/>
      <c r="AA430" s="76"/>
      <c r="AU430" s="18"/>
      <c r="AV430" s="18"/>
    </row>
    <row r="431" spans="5:48" x14ac:dyDescent="0.2">
      <c r="E431" s="1"/>
      <c r="F431" s="1"/>
      <c r="G431" s="1"/>
      <c r="H431" s="1"/>
      <c r="I431" s="1"/>
      <c r="J431" s="1"/>
      <c r="K431" s="1"/>
      <c r="L431" s="1"/>
      <c r="M431" s="1"/>
      <c r="AA431" s="76"/>
      <c r="AU431" s="18"/>
      <c r="AV431" s="18"/>
    </row>
    <row r="432" spans="5:48" x14ac:dyDescent="0.2">
      <c r="E432" s="1"/>
      <c r="F432" s="1"/>
      <c r="G432" s="1"/>
      <c r="H432" s="1"/>
      <c r="I432" s="1"/>
      <c r="J432" s="1"/>
      <c r="K432" s="1"/>
      <c r="L432" s="1"/>
      <c r="M432" s="1"/>
      <c r="AA432" s="76"/>
      <c r="AU432" s="18"/>
      <c r="AV432" s="18"/>
    </row>
    <row r="433" spans="5:48" x14ac:dyDescent="0.2">
      <c r="E433" s="1"/>
      <c r="F433" s="1"/>
      <c r="G433" s="1"/>
      <c r="H433" s="1"/>
      <c r="I433" s="1"/>
      <c r="J433" s="1"/>
      <c r="K433" s="1"/>
      <c r="L433" s="1"/>
      <c r="M433" s="1"/>
      <c r="AA433" s="76"/>
      <c r="AU433" s="18"/>
      <c r="AV433" s="18"/>
    </row>
    <row r="434" spans="5:48" x14ac:dyDescent="0.2">
      <c r="E434" s="1"/>
      <c r="F434" s="1"/>
      <c r="G434" s="1"/>
      <c r="H434" s="1"/>
      <c r="I434" s="1"/>
      <c r="J434" s="1"/>
      <c r="K434" s="1"/>
      <c r="L434" s="1"/>
      <c r="M434" s="1"/>
      <c r="AA434" s="76"/>
      <c r="AU434" s="18"/>
      <c r="AV434" s="18"/>
    </row>
    <row r="435" spans="5:48" x14ac:dyDescent="0.2">
      <c r="E435" s="1"/>
      <c r="F435" s="1"/>
      <c r="G435" s="1"/>
      <c r="H435" s="1"/>
      <c r="I435" s="1"/>
      <c r="J435" s="1"/>
      <c r="K435" s="1"/>
      <c r="L435" s="1"/>
      <c r="M435" s="1"/>
      <c r="AA435" s="76"/>
      <c r="AU435" s="18"/>
      <c r="AV435" s="18"/>
    </row>
    <row r="436" spans="5:48" x14ac:dyDescent="0.2">
      <c r="E436" s="1"/>
      <c r="F436" s="1"/>
      <c r="G436" s="1"/>
      <c r="H436" s="1"/>
      <c r="I436" s="1"/>
      <c r="J436" s="1"/>
      <c r="K436" s="1"/>
      <c r="L436" s="1"/>
      <c r="M436" s="1"/>
      <c r="AA436" s="76"/>
      <c r="AU436" s="18"/>
      <c r="AV436" s="18"/>
    </row>
    <row r="437" spans="5:48" x14ac:dyDescent="0.2">
      <c r="E437" s="1"/>
      <c r="F437" s="1"/>
      <c r="G437" s="1"/>
      <c r="H437" s="1"/>
      <c r="I437" s="1"/>
      <c r="J437" s="1"/>
      <c r="K437" s="1"/>
      <c r="L437" s="1"/>
      <c r="M437" s="1"/>
      <c r="AA437" s="76"/>
      <c r="AU437" s="18"/>
      <c r="AV437" s="18"/>
    </row>
    <row r="438" spans="5:48" x14ac:dyDescent="0.2">
      <c r="E438" s="1"/>
      <c r="F438" s="1"/>
      <c r="G438" s="1"/>
      <c r="H438" s="1"/>
      <c r="I438" s="1"/>
      <c r="J438" s="1"/>
      <c r="K438" s="1"/>
      <c r="L438" s="1"/>
      <c r="M438" s="1"/>
      <c r="AA438" s="76"/>
      <c r="AU438" s="18"/>
      <c r="AV438" s="18"/>
    </row>
    <row r="439" spans="5:48" x14ac:dyDescent="0.2">
      <c r="E439" s="1"/>
      <c r="F439" s="1"/>
      <c r="G439" s="1"/>
      <c r="H439" s="1"/>
      <c r="I439" s="1"/>
      <c r="J439" s="1"/>
      <c r="K439" s="1"/>
      <c r="L439" s="1"/>
      <c r="M439" s="1"/>
      <c r="AA439" s="76"/>
      <c r="AU439" s="18"/>
      <c r="AV439" s="18"/>
    </row>
    <row r="440" spans="5:48" x14ac:dyDescent="0.2">
      <c r="E440" s="1"/>
      <c r="F440" s="1"/>
      <c r="G440" s="1"/>
      <c r="H440" s="1"/>
      <c r="I440" s="1"/>
      <c r="J440" s="1"/>
      <c r="K440" s="1"/>
      <c r="L440" s="1"/>
      <c r="M440" s="1"/>
      <c r="AA440" s="76"/>
      <c r="AU440" s="18"/>
      <c r="AV440" s="18"/>
    </row>
    <row r="441" spans="5:48" x14ac:dyDescent="0.2">
      <c r="E441" s="1"/>
      <c r="F441" s="1"/>
      <c r="G441" s="1"/>
      <c r="H441" s="1"/>
      <c r="I441" s="1"/>
      <c r="J441" s="1"/>
      <c r="K441" s="1"/>
      <c r="L441" s="1"/>
      <c r="M441" s="1"/>
      <c r="AA441" s="76"/>
      <c r="AU441" s="18"/>
      <c r="AV441" s="18"/>
    </row>
    <row r="442" spans="5:48" x14ac:dyDescent="0.2">
      <c r="E442" s="1"/>
      <c r="F442" s="1"/>
      <c r="G442" s="1"/>
      <c r="H442" s="1"/>
      <c r="I442" s="1"/>
      <c r="J442" s="1"/>
      <c r="K442" s="1"/>
      <c r="L442" s="1"/>
      <c r="M442" s="1"/>
      <c r="AA442" s="76"/>
      <c r="AU442" s="18"/>
      <c r="AV442" s="18"/>
    </row>
    <row r="443" spans="5:48" x14ac:dyDescent="0.2">
      <c r="E443" s="1"/>
      <c r="F443" s="1"/>
      <c r="G443" s="1"/>
      <c r="H443" s="1"/>
      <c r="I443" s="1"/>
      <c r="J443" s="1"/>
      <c r="K443" s="1"/>
      <c r="L443" s="1"/>
      <c r="M443" s="1"/>
      <c r="AA443" s="76"/>
      <c r="AU443" s="18"/>
      <c r="AV443" s="18"/>
    </row>
    <row r="444" spans="5:48" x14ac:dyDescent="0.2">
      <c r="E444" s="1"/>
      <c r="F444" s="1"/>
      <c r="G444" s="1"/>
      <c r="H444" s="1"/>
      <c r="I444" s="1"/>
      <c r="J444" s="1"/>
      <c r="K444" s="1"/>
      <c r="L444" s="1"/>
      <c r="M444" s="1"/>
      <c r="AA444" s="76"/>
      <c r="AU444" s="18"/>
      <c r="AV444" s="18"/>
    </row>
    <row r="445" spans="5:48" x14ac:dyDescent="0.2">
      <c r="E445" s="1"/>
      <c r="F445" s="1"/>
      <c r="G445" s="1"/>
      <c r="H445" s="1"/>
      <c r="I445" s="1"/>
      <c r="J445" s="1"/>
      <c r="K445" s="1"/>
      <c r="L445" s="1"/>
      <c r="M445" s="1"/>
      <c r="AA445" s="76"/>
      <c r="AU445" s="18"/>
      <c r="AV445" s="18"/>
    </row>
    <row r="446" spans="5:48" x14ac:dyDescent="0.2">
      <c r="E446" s="1"/>
      <c r="F446" s="1"/>
      <c r="G446" s="1"/>
      <c r="H446" s="1"/>
      <c r="I446" s="1"/>
      <c r="J446" s="1"/>
      <c r="K446" s="1"/>
      <c r="L446" s="1"/>
      <c r="M446" s="1"/>
      <c r="AA446" s="76"/>
      <c r="AU446" s="18"/>
      <c r="AV446" s="18"/>
    </row>
    <row r="447" spans="5:48" x14ac:dyDescent="0.2">
      <c r="E447" s="1"/>
      <c r="F447" s="1"/>
      <c r="G447" s="1"/>
      <c r="H447" s="1"/>
      <c r="I447" s="1"/>
      <c r="J447" s="1"/>
      <c r="K447" s="1"/>
      <c r="L447" s="1"/>
      <c r="M447" s="1"/>
      <c r="AA447" s="76"/>
      <c r="AU447" s="18"/>
      <c r="AV447" s="18"/>
    </row>
    <row r="448" spans="5:48" x14ac:dyDescent="0.2">
      <c r="E448" s="1"/>
      <c r="F448" s="1"/>
      <c r="G448" s="1"/>
      <c r="H448" s="1"/>
      <c r="I448" s="1"/>
      <c r="J448" s="1"/>
      <c r="K448" s="1"/>
      <c r="L448" s="1"/>
      <c r="M448" s="1"/>
      <c r="AA448" s="76"/>
      <c r="AU448" s="18"/>
      <c r="AV448" s="18"/>
    </row>
    <row r="449" spans="5:48" x14ac:dyDescent="0.2">
      <c r="E449" s="1"/>
      <c r="F449" s="1"/>
      <c r="G449" s="1"/>
      <c r="H449" s="1"/>
      <c r="I449" s="1"/>
      <c r="J449" s="1"/>
      <c r="K449" s="1"/>
      <c r="L449" s="1"/>
      <c r="M449" s="1"/>
      <c r="AA449" s="76"/>
      <c r="AU449" s="18"/>
      <c r="AV449" s="18"/>
    </row>
    <row r="450" spans="5:48" x14ac:dyDescent="0.2">
      <c r="E450" s="1"/>
      <c r="F450" s="1"/>
      <c r="G450" s="1"/>
      <c r="H450" s="1"/>
      <c r="I450" s="1"/>
      <c r="J450" s="1"/>
      <c r="K450" s="1"/>
      <c r="L450" s="1"/>
      <c r="M450" s="1"/>
      <c r="AA450" s="76"/>
      <c r="AU450" s="18"/>
      <c r="AV450" s="18"/>
    </row>
    <row r="451" spans="5:48" x14ac:dyDescent="0.2">
      <c r="E451" s="1"/>
      <c r="F451" s="1"/>
      <c r="G451" s="1"/>
      <c r="H451" s="1"/>
      <c r="I451" s="1"/>
      <c r="J451" s="1"/>
      <c r="K451" s="1"/>
      <c r="L451" s="1"/>
      <c r="M451" s="1"/>
      <c r="AA451" s="76"/>
      <c r="AU451" s="18"/>
      <c r="AV451" s="18"/>
    </row>
    <row r="452" spans="5:48" x14ac:dyDescent="0.2">
      <c r="E452" s="1"/>
      <c r="F452" s="1"/>
      <c r="G452" s="1"/>
      <c r="H452" s="1"/>
      <c r="I452" s="1"/>
      <c r="J452" s="1"/>
      <c r="K452" s="1"/>
      <c r="L452" s="1"/>
      <c r="M452" s="1"/>
      <c r="AA452" s="76"/>
      <c r="AU452" s="18"/>
      <c r="AV452" s="18"/>
    </row>
    <row r="453" spans="5:48" x14ac:dyDescent="0.2">
      <c r="E453" s="1"/>
      <c r="F453" s="1"/>
      <c r="G453" s="1"/>
      <c r="H453" s="1"/>
      <c r="I453" s="1"/>
      <c r="J453" s="1"/>
      <c r="K453" s="1"/>
      <c r="L453" s="1"/>
      <c r="M453" s="1"/>
      <c r="AA453" s="76"/>
      <c r="AU453" s="18"/>
      <c r="AV453" s="18"/>
    </row>
    <row r="454" spans="5:48" x14ac:dyDescent="0.2">
      <c r="E454" s="1"/>
      <c r="F454" s="1"/>
      <c r="G454" s="1"/>
      <c r="H454" s="1"/>
      <c r="I454" s="1"/>
      <c r="J454" s="1"/>
      <c r="K454" s="1"/>
      <c r="L454" s="1"/>
      <c r="M454" s="1"/>
      <c r="AA454" s="76"/>
      <c r="AU454" s="18"/>
      <c r="AV454" s="18"/>
    </row>
    <row r="455" spans="5:48" x14ac:dyDescent="0.2">
      <c r="E455" s="1"/>
      <c r="F455" s="1"/>
      <c r="G455" s="1"/>
      <c r="H455" s="1"/>
      <c r="I455" s="1"/>
      <c r="J455" s="1"/>
      <c r="K455" s="1"/>
      <c r="L455" s="1"/>
      <c r="M455" s="1"/>
      <c r="AA455" s="76"/>
      <c r="AU455" s="18"/>
      <c r="AV455" s="18"/>
    </row>
    <row r="456" spans="5:48" x14ac:dyDescent="0.2">
      <c r="E456" s="1"/>
      <c r="F456" s="1"/>
      <c r="G456" s="1"/>
      <c r="H456" s="1"/>
      <c r="I456" s="1"/>
      <c r="J456" s="1"/>
      <c r="K456" s="1"/>
      <c r="L456" s="1"/>
      <c r="M456" s="1"/>
      <c r="AA456" s="76"/>
      <c r="AU456" s="18"/>
      <c r="AV456" s="18"/>
    </row>
    <row r="457" spans="5:48" x14ac:dyDescent="0.2">
      <c r="E457" s="1"/>
      <c r="F457" s="1"/>
      <c r="G457" s="1"/>
      <c r="H457" s="1"/>
      <c r="I457" s="1"/>
      <c r="J457" s="1"/>
      <c r="K457" s="1"/>
      <c r="L457" s="1"/>
      <c r="M457" s="1"/>
      <c r="AA457" s="76"/>
      <c r="AU457" s="18"/>
      <c r="AV457" s="18"/>
    </row>
    <row r="458" spans="5:48" x14ac:dyDescent="0.2">
      <c r="E458" s="1"/>
      <c r="F458" s="1"/>
      <c r="G458" s="1"/>
      <c r="H458" s="1"/>
      <c r="I458" s="1"/>
      <c r="J458" s="1"/>
      <c r="K458" s="1"/>
      <c r="L458" s="1"/>
      <c r="M458" s="1"/>
      <c r="AA458" s="76"/>
      <c r="AU458" s="18"/>
      <c r="AV458" s="18"/>
    </row>
    <row r="459" spans="5:48" x14ac:dyDescent="0.2">
      <c r="E459" s="1"/>
      <c r="F459" s="1"/>
      <c r="G459" s="1"/>
      <c r="H459" s="1"/>
      <c r="I459" s="1"/>
      <c r="J459" s="1"/>
      <c r="K459" s="1"/>
      <c r="L459" s="1"/>
      <c r="M459" s="1"/>
      <c r="AA459" s="76"/>
      <c r="AU459" s="18"/>
      <c r="AV459" s="18"/>
    </row>
    <row r="460" spans="5:48" x14ac:dyDescent="0.2">
      <c r="E460" s="1"/>
      <c r="F460" s="1"/>
      <c r="G460" s="1"/>
      <c r="H460" s="1"/>
      <c r="I460" s="1"/>
      <c r="J460" s="1"/>
      <c r="K460" s="1"/>
      <c r="L460" s="1"/>
      <c r="M460" s="1"/>
      <c r="AA460" s="76"/>
      <c r="AU460" s="18"/>
      <c r="AV460" s="18"/>
    </row>
    <row r="461" spans="5:48" x14ac:dyDescent="0.2">
      <c r="E461" s="1"/>
      <c r="F461" s="1"/>
      <c r="G461" s="1"/>
      <c r="H461" s="1"/>
      <c r="I461" s="1"/>
      <c r="J461" s="1"/>
      <c r="K461" s="1"/>
      <c r="L461" s="1"/>
      <c r="M461" s="1"/>
      <c r="AA461" s="76"/>
      <c r="AU461" s="18"/>
      <c r="AV461" s="18"/>
    </row>
    <row r="462" spans="5:48" x14ac:dyDescent="0.2">
      <c r="E462" s="1"/>
      <c r="F462" s="1"/>
      <c r="G462" s="1"/>
      <c r="H462" s="1"/>
      <c r="I462" s="1"/>
      <c r="J462" s="1"/>
      <c r="K462" s="1"/>
      <c r="L462" s="1"/>
      <c r="M462" s="1"/>
      <c r="AA462" s="76"/>
      <c r="AU462" s="18"/>
      <c r="AV462" s="18"/>
    </row>
    <row r="463" spans="5:48" x14ac:dyDescent="0.2">
      <c r="E463" s="1"/>
      <c r="F463" s="1"/>
      <c r="G463" s="1"/>
      <c r="H463" s="1"/>
      <c r="I463" s="1"/>
      <c r="J463" s="1"/>
      <c r="K463" s="1"/>
      <c r="L463" s="1"/>
      <c r="M463" s="1"/>
      <c r="AA463" s="76"/>
      <c r="AU463" s="18"/>
      <c r="AV463" s="18"/>
    </row>
    <row r="464" spans="5:48" x14ac:dyDescent="0.2">
      <c r="E464" s="1"/>
      <c r="F464" s="1"/>
      <c r="G464" s="1"/>
      <c r="H464" s="1"/>
      <c r="I464" s="1"/>
      <c r="J464" s="1"/>
      <c r="K464" s="1"/>
      <c r="L464" s="1"/>
      <c r="M464" s="1"/>
      <c r="AA464" s="76"/>
      <c r="AU464" s="18"/>
      <c r="AV464" s="18"/>
    </row>
    <row r="465" spans="5:48" x14ac:dyDescent="0.2">
      <c r="E465" s="1"/>
      <c r="F465" s="1"/>
      <c r="G465" s="1"/>
      <c r="H465" s="1"/>
      <c r="I465" s="1"/>
      <c r="J465" s="1"/>
      <c r="K465" s="1"/>
      <c r="L465" s="1"/>
      <c r="M465" s="1"/>
      <c r="AA465" s="76"/>
      <c r="AU465" s="18"/>
      <c r="AV465" s="18"/>
    </row>
    <row r="466" spans="5:48" x14ac:dyDescent="0.2">
      <c r="E466" s="1"/>
      <c r="F466" s="1"/>
      <c r="G466" s="1"/>
      <c r="H466" s="1"/>
      <c r="I466" s="1"/>
      <c r="J466" s="1"/>
      <c r="K466" s="1"/>
      <c r="L466" s="1"/>
      <c r="M466" s="1"/>
      <c r="AA466" s="76"/>
      <c r="AU466" s="18"/>
      <c r="AV466" s="18"/>
    </row>
    <row r="467" spans="5:48" x14ac:dyDescent="0.2">
      <c r="E467" s="1"/>
      <c r="F467" s="1"/>
      <c r="G467" s="1"/>
      <c r="H467" s="1"/>
      <c r="I467" s="1"/>
      <c r="J467" s="1"/>
      <c r="K467" s="1"/>
      <c r="L467" s="1"/>
      <c r="M467" s="1"/>
      <c r="AA467" s="76"/>
      <c r="AU467" s="18"/>
      <c r="AV467" s="18"/>
    </row>
    <row r="468" spans="5:48" x14ac:dyDescent="0.2">
      <c r="E468" s="1"/>
      <c r="F468" s="1"/>
      <c r="G468" s="1"/>
      <c r="H468" s="1"/>
      <c r="I468" s="1"/>
      <c r="J468" s="1"/>
      <c r="K468" s="1"/>
      <c r="L468" s="1"/>
      <c r="M468" s="1"/>
      <c r="AA468" s="76"/>
      <c r="AU468" s="18"/>
      <c r="AV468" s="18"/>
    </row>
    <row r="469" spans="5:48" x14ac:dyDescent="0.2">
      <c r="E469" s="1"/>
      <c r="F469" s="1"/>
      <c r="G469" s="1"/>
      <c r="H469" s="1"/>
      <c r="I469" s="1"/>
      <c r="J469" s="1"/>
      <c r="K469" s="1"/>
      <c r="L469" s="1"/>
      <c r="M469" s="1"/>
      <c r="AA469" s="76"/>
      <c r="AU469" s="18"/>
      <c r="AV469" s="18"/>
    </row>
    <row r="470" spans="5:48" x14ac:dyDescent="0.2">
      <c r="E470" s="1"/>
      <c r="F470" s="1"/>
      <c r="G470" s="1"/>
      <c r="H470" s="1"/>
      <c r="I470" s="1"/>
      <c r="J470" s="1"/>
      <c r="K470" s="1"/>
      <c r="L470" s="1"/>
      <c r="M470" s="1"/>
      <c r="AA470" s="76"/>
      <c r="AU470" s="18"/>
      <c r="AV470" s="18"/>
    </row>
    <row r="471" spans="5:48" x14ac:dyDescent="0.2">
      <c r="E471" s="1"/>
      <c r="F471" s="1"/>
      <c r="G471" s="1"/>
      <c r="H471" s="1"/>
      <c r="I471" s="1"/>
      <c r="J471" s="1"/>
      <c r="K471" s="1"/>
      <c r="L471" s="1"/>
      <c r="M471" s="1"/>
      <c r="AA471" s="76"/>
      <c r="AU471" s="18"/>
      <c r="AV471" s="18"/>
    </row>
    <row r="472" spans="5:48" x14ac:dyDescent="0.2">
      <c r="E472" s="1"/>
      <c r="F472" s="1"/>
      <c r="G472" s="1"/>
      <c r="H472" s="1"/>
      <c r="I472" s="1"/>
      <c r="J472" s="1"/>
      <c r="K472" s="1"/>
      <c r="L472" s="1"/>
      <c r="M472" s="1"/>
      <c r="AA472" s="76"/>
      <c r="AU472" s="18"/>
      <c r="AV472" s="18"/>
    </row>
    <row r="473" spans="5:48" x14ac:dyDescent="0.2">
      <c r="E473" s="1"/>
      <c r="F473" s="1"/>
      <c r="G473" s="1"/>
      <c r="H473" s="1"/>
      <c r="I473" s="1"/>
      <c r="J473" s="1"/>
      <c r="K473" s="1"/>
      <c r="L473" s="1"/>
      <c r="M473" s="1"/>
      <c r="AA473" s="76"/>
      <c r="AU473" s="18"/>
      <c r="AV473" s="18"/>
    </row>
    <row r="474" spans="5:48" x14ac:dyDescent="0.2">
      <c r="E474" s="1"/>
      <c r="F474" s="1"/>
      <c r="G474" s="1"/>
      <c r="H474" s="1"/>
      <c r="I474" s="1"/>
      <c r="J474" s="1"/>
      <c r="K474" s="1"/>
      <c r="L474" s="1"/>
      <c r="M474" s="1"/>
      <c r="AA474" s="76"/>
      <c r="AU474" s="18"/>
      <c r="AV474" s="18"/>
    </row>
    <row r="475" spans="5:48" x14ac:dyDescent="0.2">
      <c r="E475" s="1"/>
      <c r="F475" s="1"/>
      <c r="G475" s="1"/>
      <c r="H475" s="1"/>
      <c r="I475" s="1"/>
      <c r="J475" s="1"/>
      <c r="K475" s="1"/>
      <c r="L475" s="1"/>
      <c r="M475" s="1"/>
      <c r="AA475" s="76"/>
      <c r="AU475" s="18"/>
      <c r="AV475" s="18"/>
    </row>
    <row r="476" spans="5:48" x14ac:dyDescent="0.2">
      <c r="E476" s="1"/>
      <c r="F476" s="1"/>
      <c r="G476" s="1"/>
      <c r="H476" s="1"/>
      <c r="I476" s="1"/>
      <c r="J476" s="1"/>
      <c r="K476" s="1"/>
      <c r="L476" s="1"/>
      <c r="M476" s="1"/>
      <c r="AA476" s="76"/>
      <c r="AU476" s="18"/>
      <c r="AV476" s="18"/>
    </row>
    <row r="477" spans="5:48" x14ac:dyDescent="0.2">
      <c r="E477" s="1"/>
      <c r="F477" s="1"/>
      <c r="G477" s="1"/>
      <c r="H477" s="1"/>
      <c r="I477" s="1"/>
      <c r="J477" s="1"/>
      <c r="K477" s="1"/>
      <c r="L477" s="1"/>
      <c r="M477" s="1"/>
      <c r="AA477" s="76"/>
      <c r="AU477" s="18"/>
      <c r="AV477" s="18"/>
    </row>
    <row r="478" spans="5:48" x14ac:dyDescent="0.2">
      <c r="E478" s="1"/>
      <c r="F478" s="1"/>
      <c r="G478" s="1"/>
      <c r="H478" s="1"/>
      <c r="I478" s="1"/>
      <c r="J478" s="1"/>
      <c r="K478" s="1"/>
      <c r="L478" s="1"/>
      <c r="M478" s="1"/>
      <c r="AA478" s="76"/>
      <c r="AU478" s="18"/>
      <c r="AV478" s="18"/>
    </row>
    <row r="479" spans="5:48" x14ac:dyDescent="0.2">
      <c r="E479" s="1"/>
      <c r="F479" s="1"/>
      <c r="G479" s="1"/>
      <c r="H479" s="1"/>
      <c r="I479" s="1"/>
      <c r="J479" s="1"/>
      <c r="K479" s="1"/>
      <c r="L479" s="1"/>
      <c r="M479" s="1"/>
      <c r="AA479" s="76"/>
      <c r="AU479" s="18"/>
      <c r="AV479" s="18"/>
    </row>
    <row r="480" spans="5:48" x14ac:dyDescent="0.2">
      <c r="E480" s="1"/>
      <c r="F480" s="1"/>
      <c r="G480" s="1"/>
      <c r="H480" s="1"/>
      <c r="I480" s="1"/>
      <c r="J480" s="1"/>
      <c r="K480" s="1"/>
      <c r="L480" s="1"/>
      <c r="M480" s="1"/>
      <c r="AA480" s="76"/>
      <c r="AU480" s="18"/>
      <c r="AV480" s="18"/>
    </row>
    <row r="481" spans="5:48" x14ac:dyDescent="0.2">
      <c r="E481" s="1"/>
      <c r="F481" s="1"/>
      <c r="G481" s="1"/>
      <c r="H481" s="1"/>
      <c r="I481" s="1"/>
      <c r="J481" s="1"/>
      <c r="K481" s="1"/>
      <c r="L481" s="1"/>
      <c r="M481" s="1"/>
      <c r="AA481" s="76"/>
      <c r="AU481" s="18"/>
      <c r="AV481" s="18"/>
    </row>
    <row r="482" spans="5:48" x14ac:dyDescent="0.2">
      <c r="E482" s="1"/>
      <c r="F482" s="1"/>
      <c r="G482" s="1"/>
      <c r="H482" s="1"/>
      <c r="I482" s="1"/>
      <c r="J482" s="1"/>
      <c r="K482" s="1"/>
      <c r="L482" s="1"/>
      <c r="M482" s="1"/>
      <c r="AA482" s="76"/>
      <c r="AU482" s="18"/>
      <c r="AV482" s="18"/>
    </row>
    <row r="483" spans="5:48" x14ac:dyDescent="0.2">
      <c r="E483" s="1"/>
      <c r="F483" s="1"/>
      <c r="G483" s="1"/>
      <c r="H483" s="1"/>
      <c r="I483" s="1"/>
      <c r="J483" s="1"/>
      <c r="K483" s="1"/>
      <c r="L483" s="1"/>
      <c r="M483" s="1"/>
      <c r="AA483" s="76"/>
      <c r="AU483" s="18"/>
      <c r="AV483" s="18"/>
    </row>
    <row r="484" spans="5:48" x14ac:dyDescent="0.2">
      <c r="E484" s="1"/>
      <c r="F484" s="1"/>
      <c r="G484" s="1"/>
      <c r="H484" s="1"/>
      <c r="I484" s="1"/>
      <c r="J484" s="1"/>
      <c r="K484" s="1"/>
      <c r="L484" s="1"/>
      <c r="M484" s="1"/>
      <c r="AA484" s="76"/>
      <c r="AU484" s="18"/>
      <c r="AV484" s="18"/>
    </row>
    <row r="485" spans="5:48" x14ac:dyDescent="0.2">
      <c r="E485" s="1"/>
      <c r="F485" s="1"/>
      <c r="G485" s="1"/>
      <c r="H485" s="1"/>
      <c r="I485" s="1"/>
      <c r="J485" s="1"/>
      <c r="K485" s="1"/>
      <c r="L485" s="1"/>
      <c r="M485" s="1"/>
      <c r="AA485" s="76"/>
      <c r="AU485" s="18"/>
      <c r="AV485" s="18"/>
    </row>
    <row r="486" spans="5:48" x14ac:dyDescent="0.2">
      <c r="E486" s="1"/>
      <c r="F486" s="1"/>
      <c r="G486" s="1"/>
      <c r="H486" s="1"/>
      <c r="I486" s="1"/>
      <c r="J486" s="1"/>
      <c r="K486" s="1"/>
      <c r="L486" s="1"/>
      <c r="M486" s="1"/>
      <c r="AA486" s="76"/>
      <c r="AU486" s="18"/>
      <c r="AV486" s="18"/>
    </row>
    <row r="487" spans="5:48" x14ac:dyDescent="0.2">
      <c r="E487" s="1"/>
      <c r="F487" s="1"/>
      <c r="G487" s="1"/>
      <c r="H487" s="1"/>
      <c r="I487" s="1"/>
      <c r="J487" s="1"/>
      <c r="K487" s="1"/>
      <c r="L487" s="1"/>
      <c r="M487" s="1"/>
      <c r="AA487" s="76"/>
      <c r="AU487" s="18"/>
      <c r="AV487" s="18"/>
    </row>
    <row r="488" spans="5:48" x14ac:dyDescent="0.2">
      <c r="E488" s="1"/>
      <c r="F488" s="1"/>
      <c r="G488" s="1"/>
      <c r="H488" s="1"/>
      <c r="I488" s="1"/>
      <c r="J488" s="1"/>
      <c r="K488" s="1"/>
      <c r="L488" s="1"/>
      <c r="M488" s="1"/>
      <c r="AA488" s="76"/>
      <c r="AU488" s="18"/>
      <c r="AV488" s="18"/>
    </row>
    <row r="489" spans="5:48" x14ac:dyDescent="0.2">
      <c r="E489" s="1"/>
      <c r="F489" s="1"/>
      <c r="G489" s="1"/>
      <c r="H489" s="1"/>
      <c r="I489" s="1"/>
      <c r="J489" s="1"/>
      <c r="K489" s="1"/>
      <c r="L489" s="1"/>
      <c r="M489" s="1"/>
      <c r="AA489" s="76"/>
      <c r="AU489" s="18"/>
      <c r="AV489" s="18"/>
    </row>
    <row r="490" spans="5:48" x14ac:dyDescent="0.2">
      <c r="E490" s="1"/>
      <c r="F490" s="1"/>
      <c r="G490" s="1"/>
      <c r="H490" s="1"/>
      <c r="I490" s="1"/>
      <c r="J490" s="1"/>
      <c r="K490" s="1"/>
      <c r="L490" s="1"/>
      <c r="M490" s="1"/>
      <c r="AA490" s="76"/>
      <c r="AU490" s="18"/>
      <c r="AV490" s="18"/>
    </row>
    <row r="491" spans="5:48" x14ac:dyDescent="0.2">
      <c r="E491" s="1"/>
      <c r="F491" s="1"/>
      <c r="G491" s="1"/>
      <c r="H491" s="1"/>
      <c r="I491" s="1"/>
      <c r="J491" s="1"/>
      <c r="K491" s="1"/>
      <c r="L491" s="1"/>
      <c r="M491" s="1"/>
      <c r="AA491" s="76"/>
      <c r="AU491" s="18"/>
      <c r="AV491" s="18"/>
    </row>
    <row r="492" spans="5:48" x14ac:dyDescent="0.2">
      <c r="E492" s="1"/>
      <c r="F492" s="1"/>
      <c r="G492" s="1"/>
      <c r="H492" s="1"/>
      <c r="I492" s="1"/>
      <c r="J492" s="1"/>
      <c r="K492" s="1"/>
      <c r="L492" s="1"/>
      <c r="M492" s="1"/>
      <c r="AA492" s="76"/>
      <c r="AU492" s="18"/>
      <c r="AV492" s="18"/>
    </row>
    <row r="493" spans="5:48" x14ac:dyDescent="0.2">
      <c r="E493" s="1"/>
      <c r="F493" s="1"/>
      <c r="G493" s="1"/>
      <c r="H493" s="1"/>
      <c r="I493" s="1"/>
      <c r="J493" s="1"/>
      <c r="K493" s="1"/>
      <c r="L493" s="1"/>
      <c r="M493" s="1"/>
      <c r="AA493" s="76"/>
      <c r="AU493" s="18"/>
      <c r="AV493" s="18"/>
    </row>
    <row r="494" spans="5:48" x14ac:dyDescent="0.2">
      <c r="E494" s="1"/>
      <c r="F494" s="1"/>
      <c r="G494" s="1"/>
      <c r="H494" s="1"/>
      <c r="I494" s="1"/>
      <c r="J494" s="1"/>
      <c r="K494" s="1"/>
      <c r="L494" s="1"/>
      <c r="M494" s="1"/>
      <c r="AA494" s="76"/>
      <c r="AU494" s="18"/>
      <c r="AV494" s="18"/>
    </row>
    <row r="495" spans="5:48" x14ac:dyDescent="0.2">
      <c r="E495" s="1"/>
      <c r="F495" s="1"/>
      <c r="G495" s="1"/>
      <c r="H495" s="1"/>
      <c r="I495" s="1"/>
      <c r="J495" s="1"/>
      <c r="K495" s="1"/>
      <c r="L495" s="1"/>
      <c r="M495" s="1"/>
      <c r="AA495" s="76"/>
      <c r="AU495" s="18"/>
      <c r="AV495" s="18"/>
    </row>
    <row r="496" spans="5:48" x14ac:dyDescent="0.2">
      <c r="E496" s="1"/>
      <c r="F496" s="1"/>
      <c r="G496" s="1"/>
      <c r="H496" s="1"/>
      <c r="I496" s="1"/>
      <c r="J496" s="1"/>
      <c r="K496" s="1"/>
      <c r="L496" s="1"/>
      <c r="M496" s="1"/>
      <c r="AA496" s="76"/>
      <c r="AU496" s="18"/>
      <c r="AV496" s="18"/>
    </row>
    <row r="497" spans="5:48" x14ac:dyDescent="0.2">
      <c r="E497" s="1"/>
      <c r="F497" s="1"/>
      <c r="G497" s="1"/>
      <c r="H497" s="1"/>
      <c r="I497" s="1"/>
      <c r="J497" s="1"/>
      <c r="K497" s="1"/>
      <c r="L497" s="1"/>
      <c r="M497" s="1"/>
      <c r="AA497" s="76"/>
      <c r="AU497" s="18"/>
      <c r="AV497" s="18"/>
    </row>
    <row r="498" spans="5:48" x14ac:dyDescent="0.2">
      <c r="E498" s="1"/>
      <c r="F498" s="1"/>
      <c r="G498" s="1"/>
      <c r="H498" s="1"/>
      <c r="I498" s="1"/>
      <c r="J498" s="1"/>
      <c r="K498" s="1"/>
      <c r="L498" s="1"/>
      <c r="M498" s="1"/>
      <c r="AA498" s="76"/>
      <c r="AU498" s="18"/>
      <c r="AV498" s="18"/>
    </row>
    <row r="499" spans="5:48" x14ac:dyDescent="0.2">
      <c r="E499" s="1"/>
      <c r="F499" s="1"/>
      <c r="G499" s="1"/>
      <c r="H499" s="1"/>
      <c r="I499" s="1"/>
      <c r="J499" s="1"/>
      <c r="K499" s="1"/>
      <c r="L499" s="1"/>
      <c r="M499" s="1"/>
      <c r="AA499" s="76"/>
      <c r="AU499" s="18"/>
      <c r="AV499" s="18"/>
    </row>
    <row r="500" spans="5:48" x14ac:dyDescent="0.2">
      <c r="E500" s="1"/>
      <c r="F500" s="1"/>
      <c r="G500" s="1"/>
      <c r="H500" s="1"/>
      <c r="I500" s="1"/>
      <c r="J500" s="1"/>
      <c r="K500" s="1"/>
      <c r="L500" s="1"/>
      <c r="M500" s="1"/>
      <c r="AA500" s="76"/>
      <c r="AU500" s="18"/>
      <c r="AV500" s="18"/>
    </row>
    <row r="501" spans="5:48" x14ac:dyDescent="0.2">
      <c r="E501" s="1"/>
      <c r="F501" s="1"/>
      <c r="G501" s="1"/>
      <c r="H501" s="1"/>
      <c r="I501" s="1"/>
      <c r="J501" s="1"/>
      <c r="K501" s="1"/>
      <c r="L501" s="1"/>
      <c r="M501" s="1"/>
      <c r="AA501" s="76"/>
      <c r="AU501" s="18"/>
      <c r="AV501" s="18"/>
    </row>
    <row r="502" spans="5:48" x14ac:dyDescent="0.2">
      <c r="E502" s="1"/>
      <c r="F502" s="1"/>
      <c r="G502" s="1"/>
      <c r="H502" s="1"/>
      <c r="I502" s="1"/>
      <c r="J502" s="1"/>
      <c r="K502" s="1"/>
      <c r="L502" s="1"/>
      <c r="M502" s="1"/>
      <c r="AA502" s="76"/>
      <c r="AU502" s="18"/>
      <c r="AV502" s="18"/>
    </row>
    <row r="503" spans="5:48" x14ac:dyDescent="0.2">
      <c r="E503" s="1"/>
      <c r="F503" s="1"/>
      <c r="G503" s="1"/>
      <c r="H503" s="1"/>
      <c r="I503" s="1"/>
      <c r="J503" s="1"/>
      <c r="K503" s="1"/>
      <c r="L503" s="1"/>
      <c r="M503" s="1"/>
      <c r="AA503" s="76"/>
      <c r="AU503" s="18"/>
      <c r="AV503" s="18"/>
    </row>
    <row r="504" spans="5:48" x14ac:dyDescent="0.2">
      <c r="E504" s="1"/>
      <c r="F504" s="1"/>
      <c r="G504" s="1"/>
      <c r="H504" s="1"/>
      <c r="I504" s="1"/>
      <c r="J504" s="1"/>
      <c r="K504" s="1"/>
      <c r="L504" s="1"/>
      <c r="M504" s="1"/>
      <c r="AA504" s="76"/>
      <c r="AU504" s="18"/>
      <c r="AV504" s="18"/>
    </row>
    <row r="505" spans="5:48" x14ac:dyDescent="0.2">
      <c r="E505" s="1"/>
      <c r="F505" s="1"/>
      <c r="G505" s="1"/>
      <c r="H505" s="1"/>
      <c r="I505" s="1"/>
      <c r="J505" s="1"/>
      <c r="K505" s="1"/>
      <c r="L505" s="1"/>
      <c r="M505" s="1"/>
      <c r="AA505" s="76"/>
      <c r="AU505" s="18"/>
      <c r="AV505" s="18"/>
    </row>
    <row r="506" spans="5:48" x14ac:dyDescent="0.2">
      <c r="E506" s="1"/>
      <c r="F506" s="1"/>
      <c r="G506" s="1"/>
      <c r="H506" s="1"/>
      <c r="I506" s="1"/>
      <c r="J506" s="1"/>
      <c r="K506" s="1"/>
      <c r="L506" s="1"/>
      <c r="M506" s="1"/>
      <c r="AA506" s="76"/>
      <c r="AU506" s="18"/>
      <c r="AV506" s="18"/>
    </row>
    <row r="507" spans="5:48" x14ac:dyDescent="0.2">
      <c r="E507" s="1"/>
      <c r="F507" s="1"/>
      <c r="G507" s="1"/>
      <c r="H507" s="1"/>
      <c r="I507" s="1"/>
      <c r="J507" s="1"/>
      <c r="K507" s="1"/>
      <c r="L507" s="1"/>
      <c r="M507" s="1"/>
      <c r="AA507" s="76"/>
      <c r="AU507" s="18"/>
      <c r="AV507" s="18"/>
    </row>
    <row r="508" spans="5:48" x14ac:dyDescent="0.2">
      <c r="E508" s="1"/>
      <c r="F508" s="1"/>
      <c r="G508" s="1"/>
      <c r="H508" s="1"/>
      <c r="I508" s="1"/>
      <c r="J508" s="1"/>
      <c r="K508" s="1"/>
      <c r="L508" s="1"/>
      <c r="M508" s="1"/>
      <c r="AA508" s="76"/>
      <c r="AU508" s="18"/>
      <c r="AV508" s="18"/>
    </row>
    <row r="509" spans="5:48" x14ac:dyDescent="0.2">
      <c r="E509" s="1"/>
      <c r="F509" s="1"/>
      <c r="G509" s="1"/>
      <c r="H509" s="1"/>
      <c r="I509" s="1"/>
      <c r="J509" s="1"/>
      <c r="K509" s="1"/>
      <c r="L509" s="1"/>
      <c r="M509" s="1"/>
      <c r="AA509" s="76"/>
      <c r="AU509" s="18"/>
      <c r="AV509" s="18"/>
    </row>
    <row r="510" spans="5:48" x14ac:dyDescent="0.2">
      <c r="E510" s="1"/>
      <c r="F510" s="1"/>
      <c r="G510" s="1"/>
      <c r="H510" s="1"/>
      <c r="I510" s="1"/>
      <c r="J510" s="1"/>
      <c r="K510" s="1"/>
      <c r="L510" s="1"/>
      <c r="M510" s="1"/>
      <c r="AA510" s="76"/>
      <c r="AU510" s="18"/>
      <c r="AV510" s="18"/>
    </row>
    <row r="511" spans="5:48" x14ac:dyDescent="0.2">
      <c r="E511" s="1"/>
      <c r="F511" s="1"/>
      <c r="G511" s="1"/>
      <c r="H511" s="1"/>
      <c r="I511" s="1"/>
      <c r="J511" s="1"/>
      <c r="K511" s="1"/>
      <c r="L511" s="1"/>
      <c r="M511" s="1"/>
      <c r="AA511" s="76"/>
      <c r="AU511" s="18"/>
      <c r="AV511" s="18"/>
    </row>
    <row r="512" spans="5:48" x14ac:dyDescent="0.2">
      <c r="E512" s="1"/>
      <c r="F512" s="1"/>
      <c r="G512" s="1"/>
      <c r="H512" s="1"/>
      <c r="I512" s="1"/>
      <c r="J512" s="1"/>
      <c r="K512" s="1"/>
      <c r="L512" s="1"/>
      <c r="M512" s="1"/>
      <c r="AA512" s="76"/>
      <c r="AU512" s="18"/>
      <c r="AV512" s="18"/>
    </row>
    <row r="513" spans="5:48" x14ac:dyDescent="0.2">
      <c r="E513" s="1"/>
      <c r="F513" s="1"/>
      <c r="G513" s="1"/>
      <c r="H513" s="1"/>
      <c r="I513" s="1"/>
      <c r="J513" s="1"/>
      <c r="K513" s="1"/>
      <c r="L513" s="1"/>
      <c r="M513" s="1"/>
      <c r="AA513" s="76"/>
      <c r="AU513" s="18"/>
      <c r="AV513" s="18"/>
    </row>
    <row r="514" spans="5:48" x14ac:dyDescent="0.2">
      <c r="E514" s="1"/>
      <c r="F514" s="1"/>
      <c r="G514" s="1"/>
      <c r="H514" s="1"/>
      <c r="I514" s="1"/>
      <c r="J514" s="1"/>
      <c r="K514" s="1"/>
      <c r="L514" s="1"/>
      <c r="M514" s="1"/>
      <c r="AA514" s="76"/>
      <c r="AU514" s="18"/>
      <c r="AV514" s="18"/>
    </row>
    <row r="515" spans="5:48" x14ac:dyDescent="0.2">
      <c r="E515" s="1"/>
      <c r="F515" s="1"/>
      <c r="G515" s="1"/>
      <c r="H515" s="1"/>
      <c r="I515" s="1"/>
      <c r="J515" s="1"/>
      <c r="K515" s="1"/>
      <c r="L515" s="1"/>
      <c r="M515" s="1"/>
      <c r="AA515" s="76"/>
      <c r="AU515" s="18"/>
      <c r="AV515" s="18"/>
    </row>
    <row r="516" spans="5:48" x14ac:dyDescent="0.2">
      <c r="E516" s="1"/>
      <c r="F516" s="1"/>
      <c r="G516" s="1"/>
      <c r="H516" s="1"/>
      <c r="I516" s="1"/>
      <c r="J516" s="1"/>
      <c r="K516" s="1"/>
      <c r="L516" s="1"/>
      <c r="M516" s="1"/>
      <c r="AA516" s="76"/>
      <c r="AU516" s="18"/>
      <c r="AV516" s="18"/>
    </row>
    <row r="517" spans="5:48" x14ac:dyDescent="0.2">
      <c r="E517" s="1"/>
      <c r="F517" s="1"/>
      <c r="G517" s="1"/>
      <c r="H517" s="1"/>
      <c r="I517" s="1"/>
      <c r="J517" s="1"/>
      <c r="K517" s="1"/>
      <c r="L517" s="1"/>
      <c r="M517" s="1"/>
      <c r="AA517" s="76"/>
      <c r="AU517" s="18"/>
      <c r="AV517" s="18"/>
    </row>
    <row r="518" spans="5:48" x14ac:dyDescent="0.2">
      <c r="E518" s="1"/>
      <c r="F518" s="1"/>
      <c r="G518" s="1"/>
      <c r="H518" s="1"/>
      <c r="I518" s="1"/>
      <c r="J518" s="1"/>
      <c r="K518" s="1"/>
      <c r="L518" s="1"/>
      <c r="M518" s="1"/>
      <c r="AA518" s="76"/>
      <c r="AU518" s="18"/>
      <c r="AV518" s="18"/>
    </row>
    <row r="519" spans="5:48" x14ac:dyDescent="0.2">
      <c r="E519" s="1"/>
      <c r="F519" s="1"/>
      <c r="G519" s="1"/>
      <c r="H519" s="1"/>
      <c r="I519" s="1"/>
      <c r="J519" s="1"/>
      <c r="K519" s="1"/>
      <c r="L519" s="1"/>
      <c r="M519" s="1"/>
      <c r="AA519" s="76"/>
      <c r="AU519" s="18"/>
      <c r="AV519" s="18"/>
    </row>
    <row r="520" spans="5:48" x14ac:dyDescent="0.2">
      <c r="E520" s="1"/>
      <c r="F520" s="1"/>
      <c r="G520" s="1"/>
      <c r="H520" s="1"/>
      <c r="I520" s="1"/>
      <c r="J520" s="1"/>
      <c r="K520" s="1"/>
      <c r="L520" s="1"/>
      <c r="M520" s="1"/>
      <c r="AA520" s="76"/>
      <c r="AU520" s="18"/>
      <c r="AV520" s="18"/>
    </row>
    <row r="521" spans="5:48" x14ac:dyDescent="0.2">
      <c r="E521" s="1"/>
      <c r="F521" s="1"/>
      <c r="G521" s="1"/>
      <c r="H521" s="1"/>
      <c r="I521" s="1"/>
      <c r="J521" s="1"/>
      <c r="K521" s="1"/>
      <c r="L521" s="1"/>
      <c r="M521" s="1"/>
      <c r="AA521" s="76"/>
      <c r="AU521" s="18"/>
      <c r="AV521" s="18"/>
    </row>
    <row r="522" spans="5:48" x14ac:dyDescent="0.2">
      <c r="E522" s="1"/>
      <c r="F522" s="1"/>
      <c r="G522" s="1"/>
      <c r="H522" s="1"/>
      <c r="I522" s="1"/>
      <c r="J522" s="1"/>
      <c r="K522" s="1"/>
      <c r="L522" s="1"/>
      <c r="M522" s="1"/>
      <c r="AA522" s="76"/>
      <c r="AU522" s="18"/>
      <c r="AV522" s="18"/>
    </row>
    <row r="523" spans="5:48" x14ac:dyDescent="0.2">
      <c r="E523" s="1"/>
      <c r="F523" s="1"/>
      <c r="G523" s="1"/>
      <c r="H523" s="1"/>
      <c r="I523" s="1"/>
      <c r="J523" s="1"/>
      <c r="K523" s="1"/>
      <c r="L523" s="1"/>
      <c r="M523" s="1"/>
      <c r="AA523" s="76"/>
      <c r="AU523" s="18"/>
      <c r="AV523" s="18"/>
    </row>
    <row r="524" spans="5:48" x14ac:dyDescent="0.2">
      <c r="E524" s="1"/>
      <c r="F524" s="1"/>
      <c r="G524" s="1"/>
      <c r="H524" s="1"/>
      <c r="I524" s="1"/>
      <c r="J524" s="1"/>
      <c r="K524" s="1"/>
      <c r="L524" s="1"/>
      <c r="M524" s="1"/>
      <c r="AA524" s="76"/>
      <c r="AU524" s="18"/>
      <c r="AV524" s="18"/>
    </row>
    <row r="525" spans="5:48" x14ac:dyDescent="0.2">
      <c r="E525" s="1"/>
      <c r="F525" s="1"/>
      <c r="G525" s="1"/>
      <c r="H525" s="1"/>
      <c r="I525" s="1"/>
      <c r="J525" s="1"/>
      <c r="K525" s="1"/>
      <c r="L525" s="1"/>
      <c r="M525" s="1"/>
      <c r="AA525" s="76"/>
      <c r="AU525" s="18"/>
      <c r="AV525" s="18"/>
    </row>
    <row r="526" spans="5:48" x14ac:dyDescent="0.2">
      <c r="E526" s="1"/>
      <c r="F526" s="1"/>
      <c r="G526" s="1"/>
      <c r="H526" s="1"/>
      <c r="I526" s="1"/>
      <c r="J526" s="1"/>
      <c r="K526" s="1"/>
      <c r="L526" s="1"/>
      <c r="M526" s="1"/>
      <c r="AA526" s="76"/>
      <c r="AU526" s="18"/>
      <c r="AV526" s="18"/>
    </row>
    <row r="527" spans="5:48" x14ac:dyDescent="0.2">
      <c r="E527" s="1"/>
      <c r="F527" s="1"/>
      <c r="G527" s="1"/>
      <c r="H527" s="1"/>
      <c r="I527" s="1"/>
      <c r="J527" s="1"/>
      <c r="K527" s="1"/>
      <c r="L527" s="1"/>
      <c r="M527" s="1"/>
      <c r="AA527" s="76"/>
      <c r="AU527" s="18"/>
      <c r="AV527" s="18"/>
    </row>
    <row r="528" spans="5:48" x14ac:dyDescent="0.2">
      <c r="E528" s="1"/>
      <c r="F528" s="1"/>
      <c r="G528" s="1"/>
      <c r="H528" s="1"/>
      <c r="I528" s="1"/>
      <c r="J528" s="1"/>
      <c r="K528" s="1"/>
      <c r="L528" s="1"/>
      <c r="M528" s="1"/>
      <c r="AA528" s="76"/>
      <c r="AU528" s="18"/>
      <c r="AV528" s="18"/>
    </row>
    <row r="529" spans="5:48" x14ac:dyDescent="0.2">
      <c r="E529" s="1"/>
      <c r="F529" s="1"/>
      <c r="G529" s="1"/>
      <c r="H529" s="1"/>
      <c r="I529" s="1"/>
      <c r="J529" s="1"/>
      <c r="K529" s="1"/>
      <c r="L529" s="1"/>
      <c r="M529" s="1"/>
      <c r="AA529" s="76"/>
      <c r="AU529" s="18"/>
      <c r="AV529" s="18"/>
    </row>
    <row r="530" spans="5:48" x14ac:dyDescent="0.2">
      <c r="E530" s="1"/>
      <c r="F530" s="1"/>
      <c r="G530" s="1"/>
      <c r="H530" s="1"/>
      <c r="I530" s="1"/>
      <c r="J530" s="1"/>
      <c r="K530" s="1"/>
      <c r="L530" s="1"/>
      <c r="M530" s="1"/>
      <c r="AA530" s="76"/>
      <c r="AU530" s="18"/>
      <c r="AV530" s="18"/>
    </row>
    <row r="531" spans="5:48" x14ac:dyDescent="0.2">
      <c r="E531" s="1"/>
      <c r="F531" s="1"/>
      <c r="G531" s="1"/>
      <c r="H531" s="1"/>
      <c r="I531" s="1"/>
      <c r="J531" s="1"/>
      <c r="K531" s="1"/>
      <c r="L531" s="1"/>
      <c r="M531" s="1"/>
      <c r="AA531" s="76"/>
      <c r="AU531" s="18"/>
      <c r="AV531" s="18"/>
    </row>
    <row r="532" spans="5:48" x14ac:dyDescent="0.2">
      <c r="E532" s="1"/>
      <c r="F532" s="1"/>
      <c r="G532" s="1"/>
      <c r="H532" s="1"/>
      <c r="I532" s="1"/>
      <c r="J532" s="1"/>
      <c r="K532" s="1"/>
      <c r="L532" s="1"/>
      <c r="M532" s="1"/>
      <c r="AA532" s="76"/>
      <c r="AU532" s="18"/>
      <c r="AV532" s="18"/>
    </row>
    <row r="533" spans="5:48" x14ac:dyDescent="0.2">
      <c r="E533" s="1"/>
      <c r="F533" s="1"/>
      <c r="G533" s="1"/>
      <c r="H533" s="1"/>
      <c r="I533" s="1"/>
      <c r="J533" s="1"/>
      <c r="K533" s="1"/>
      <c r="L533" s="1"/>
      <c r="M533" s="1"/>
      <c r="AA533" s="76"/>
      <c r="AU533" s="18"/>
      <c r="AV533" s="18"/>
    </row>
    <row r="534" spans="5:48" x14ac:dyDescent="0.2">
      <c r="E534" s="1"/>
      <c r="F534" s="1"/>
      <c r="G534" s="1"/>
      <c r="H534" s="1"/>
      <c r="I534" s="1"/>
      <c r="J534" s="1"/>
      <c r="K534" s="1"/>
      <c r="L534" s="1"/>
      <c r="M534" s="1"/>
      <c r="AA534" s="76"/>
      <c r="AU534" s="18"/>
      <c r="AV534" s="18"/>
    </row>
    <row r="535" spans="5:48" x14ac:dyDescent="0.2">
      <c r="E535" s="1"/>
      <c r="F535" s="1"/>
      <c r="G535" s="1"/>
      <c r="H535" s="1"/>
      <c r="I535" s="1"/>
      <c r="J535" s="1"/>
      <c r="K535" s="1"/>
      <c r="L535" s="1"/>
      <c r="M535" s="1"/>
      <c r="AA535" s="76"/>
      <c r="AU535" s="18"/>
      <c r="AV535" s="18"/>
    </row>
    <row r="536" spans="5:48" x14ac:dyDescent="0.2">
      <c r="E536" s="1"/>
      <c r="F536" s="1"/>
      <c r="G536" s="1"/>
      <c r="H536" s="1"/>
      <c r="I536" s="1"/>
      <c r="J536" s="1"/>
      <c r="K536" s="1"/>
      <c r="L536" s="1"/>
      <c r="M536" s="1"/>
      <c r="AA536" s="76"/>
      <c r="AU536" s="18"/>
      <c r="AV536" s="18"/>
    </row>
    <row r="537" spans="5:48" x14ac:dyDescent="0.2">
      <c r="E537" s="1"/>
      <c r="F537" s="1"/>
      <c r="G537" s="1"/>
      <c r="H537" s="1"/>
      <c r="I537" s="1"/>
      <c r="J537" s="1"/>
      <c r="K537" s="1"/>
      <c r="L537" s="1"/>
      <c r="M537" s="1"/>
      <c r="AA537" s="76"/>
      <c r="AU537" s="18"/>
      <c r="AV537" s="18"/>
    </row>
    <row r="538" spans="5:48" x14ac:dyDescent="0.2">
      <c r="E538" s="1"/>
      <c r="F538" s="1"/>
      <c r="G538" s="1"/>
      <c r="H538" s="1"/>
      <c r="I538" s="1"/>
      <c r="J538" s="1"/>
      <c r="K538" s="1"/>
      <c r="L538" s="1"/>
      <c r="M538" s="1"/>
      <c r="AA538" s="76"/>
      <c r="AU538" s="18"/>
      <c r="AV538" s="18"/>
    </row>
    <row r="539" spans="5:48" x14ac:dyDescent="0.2">
      <c r="E539" s="1"/>
      <c r="F539" s="1"/>
      <c r="G539" s="1"/>
      <c r="H539" s="1"/>
      <c r="I539" s="1"/>
      <c r="J539" s="1"/>
      <c r="K539" s="1"/>
      <c r="L539" s="1"/>
      <c r="M539" s="1"/>
      <c r="AA539" s="76"/>
      <c r="AU539" s="18"/>
      <c r="AV539" s="18"/>
    </row>
    <row r="540" spans="5:48" x14ac:dyDescent="0.2">
      <c r="E540" s="1"/>
      <c r="F540" s="1"/>
      <c r="G540" s="1"/>
      <c r="H540" s="1"/>
      <c r="I540" s="1"/>
      <c r="J540" s="1"/>
      <c r="K540" s="1"/>
      <c r="L540" s="1"/>
      <c r="M540" s="1"/>
      <c r="AA540" s="76"/>
      <c r="AU540" s="18"/>
      <c r="AV540" s="18"/>
    </row>
    <row r="541" spans="5:48" x14ac:dyDescent="0.2">
      <c r="E541" s="1"/>
      <c r="F541" s="1"/>
      <c r="G541" s="1"/>
      <c r="H541" s="1"/>
      <c r="I541" s="1"/>
      <c r="J541" s="1"/>
      <c r="K541" s="1"/>
      <c r="L541" s="1"/>
      <c r="M541" s="1"/>
      <c r="AA541" s="76"/>
      <c r="AU541" s="18"/>
      <c r="AV541" s="18"/>
    </row>
    <row r="542" spans="5:48" x14ac:dyDescent="0.2">
      <c r="E542" s="1"/>
      <c r="F542" s="1"/>
      <c r="G542" s="1"/>
      <c r="H542" s="1"/>
      <c r="I542" s="1"/>
      <c r="J542" s="1"/>
      <c r="K542" s="1"/>
      <c r="L542" s="1"/>
      <c r="M542" s="1"/>
      <c r="AA542" s="76"/>
      <c r="AU542" s="18"/>
      <c r="AV542" s="18"/>
    </row>
    <row r="543" spans="5:48" x14ac:dyDescent="0.2">
      <c r="E543" s="1"/>
      <c r="F543" s="1"/>
      <c r="G543" s="1"/>
      <c r="H543" s="1"/>
      <c r="I543" s="1"/>
      <c r="J543" s="1"/>
      <c r="K543" s="1"/>
      <c r="L543" s="1"/>
      <c r="M543" s="1"/>
      <c r="AA543" s="76"/>
      <c r="AU543" s="18"/>
      <c r="AV543" s="18"/>
    </row>
    <row r="544" spans="5:48" x14ac:dyDescent="0.2">
      <c r="E544" s="1"/>
      <c r="F544" s="1"/>
      <c r="G544" s="1"/>
      <c r="H544" s="1"/>
      <c r="I544" s="1"/>
      <c r="J544" s="1"/>
      <c r="K544" s="1"/>
      <c r="L544" s="1"/>
      <c r="M544" s="1"/>
      <c r="AA544" s="76"/>
      <c r="AU544" s="18"/>
      <c r="AV544" s="18"/>
    </row>
    <row r="545" spans="5:48" x14ac:dyDescent="0.2">
      <c r="E545" s="1"/>
      <c r="F545" s="1"/>
      <c r="G545" s="1"/>
      <c r="H545" s="1"/>
      <c r="I545" s="1"/>
      <c r="J545" s="1"/>
      <c r="K545" s="1"/>
      <c r="L545" s="1"/>
      <c r="M545" s="1"/>
      <c r="AA545" s="76"/>
      <c r="AU545" s="18"/>
      <c r="AV545" s="18"/>
    </row>
    <row r="546" spans="5:48" x14ac:dyDescent="0.2">
      <c r="E546" s="1"/>
      <c r="F546" s="1"/>
      <c r="G546" s="1"/>
      <c r="H546" s="1"/>
      <c r="I546" s="1"/>
      <c r="J546" s="1"/>
      <c r="K546" s="1"/>
      <c r="L546" s="1"/>
      <c r="M546" s="1"/>
      <c r="AA546" s="76"/>
      <c r="AU546" s="18"/>
      <c r="AV546" s="18"/>
    </row>
    <row r="547" spans="5:48" x14ac:dyDescent="0.2">
      <c r="E547" s="1"/>
      <c r="F547" s="1"/>
      <c r="G547" s="1"/>
      <c r="H547" s="1"/>
      <c r="I547" s="1"/>
      <c r="J547" s="1"/>
      <c r="K547" s="1"/>
      <c r="L547" s="1"/>
      <c r="M547" s="1"/>
      <c r="AA547" s="76"/>
      <c r="AU547" s="18"/>
      <c r="AV547" s="18"/>
    </row>
    <row r="548" spans="5:48" x14ac:dyDescent="0.2">
      <c r="E548" s="1"/>
      <c r="F548" s="1"/>
      <c r="G548" s="1"/>
      <c r="H548" s="1"/>
      <c r="I548" s="1"/>
      <c r="J548" s="1"/>
      <c r="K548" s="1"/>
      <c r="L548" s="1"/>
      <c r="M548" s="1"/>
      <c r="AA548" s="76"/>
      <c r="AU548" s="18"/>
      <c r="AV548" s="18"/>
    </row>
    <row r="549" spans="5:48" x14ac:dyDescent="0.2">
      <c r="E549" s="1"/>
      <c r="F549" s="1"/>
      <c r="G549" s="1"/>
      <c r="H549" s="1"/>
      <c r="I549" s="1"/>
      <c r="J549" s="1"/>
      <c r="K549" s="1"/>
      <c r="L549" s="1"/>
      <c r="M549" s="1"/>
      <c r="AA549" s="76"/>
      <c r="AU549" s="18"/>
      <c r="AV549" s="18"/>
    </row>
    <row r="550" spans="5:48" x14ac:dyDescent="0.2">
      <c r="E550" s="1"/>
      <c r="F550" s="1"/>
      <c r="G550" s="1"/>
      <c r="H550" s="1"/>
      <c r="I550" s="1"/>
      <c r="J550" s="1"/>
      <c r="K550" s="1"/>
      <c r="L550" s="1"/>
      <c r="M550" s="1"/>
      <c r="AA550" s="76"/>
      <c r="AU550" s="18"/>
      <c r="AV550" s="18"/>
    </row>
    <row r="551" spans="5:48" x14ac:dyDescent="0.2">
      <c r="E551" s="1"/>
      <c r="F551" s="1"/>
      <c r="G551" s="1"/>
      <c r="H551" s="1"/>
      <c r="I551" s="1"/>
      <c r="J551" s="1"/>
      <c r="K551" s="1"/>
      <c r="L551" s="1"/>
      <c r="M551" s="1"/>
      <c r="AA551" s="76"/>
      <c r="AU551" s="18"/>
      <c r="AV551" s="18"/>
    </row>
    <row r="552" spans="5:48" x14ac:dyDescent="0.2">
      <c r="E552" s="1"/>
      <c r="F552" s="1"/>
      <c r="G552" s="1"/>
      <c r="H552" s="1"/>
      <c r="I552" s="1"/>
      <c r="J552" s="1"/>
      <c r="K552" s="1"/>
      <c r="L552" s="1"/>
      <c r="M552" s="1"/>
      <c r="AA552" s="76"/>
      <c r="AU552" s="18"/>
      <c r="AV552" s="18"/>
    </row>
    <row r="553" spans="5:48" x14ac:dyDescent="0.2">
      <c r="E553" s="1"/>
      <c r="F553" s="1"/>
      <c r="G553" s="1"/>
      <c r="H553" s="1"/>
      <c r="I553" s="1"/>
      <c r="J553" s="1"/>
      <c r="K553" s="1"/>
      <c r="L553" s="1"/>
      <c r="M553" s="1"/>
      <c r="AA553" s="76"/>
      <c r="AU553" s="18"/>
      <c r="AV553" s="18"/>
    </row>
    <row r="554" spans="5:48" x14ac:dyDescent="0.2">
      <c r="E554" s="1"/>
      <c r="F554" s="1"/>
      <c r="G554" s="1"/>
      <c r="H554" s="1"/>
      <c r="I554" s="1"/>
      <c r="J554" s="1"/>
      <c r="K554" s="1"/>
      <c r="L554" s="1"/>
      <c r="M554" s="1"/>
      <c r="AA554" s="76"/>
      <c r="AU554" s="18"/>
      <c r="AV554" s="18"/>
    </row>
    <row r="555" spans="5:48" x14ac:dyDescent="0.2">
      <c r="E555" s="1"/>
      <c r="F555" s="1"/>
      <c r="G555" s="1"/>
      <c r="H555" s="1"/>
      <c r="I555" s="1"/>
      <c r="J555" s="1"/>
      <c r="K555" s="1"/>
      <c r="L555" s="1"/>
      <c r="M555" s="1"/>
      <c r="AA555" s="76"/>
      <c r="AU555" s="18"/>
      <c r="AV555" s="18"/>
    </row>
    <row r="556" spans="5:48" x14ac:dyDescent="0.2">
      <c r="E556" s="1"/>
      <c r="F556" s="1"/>
      <c r="G556" s="1"/>
      <c r="H556" s="1"/>
      <c r="I556" s="1"/>
      <c r="J556" s="1"/>
      <c r="K556" s="1"/>
      <c r="L556" s="1"/>
      <c r="M556" s="1"/>
      <c r="AA556" s="76"/>
      <c r="AU556" s="18"/>
      <c r="AV556" s="18"/>
    </row>
    <row r="557" spans="5:48" x14ac:dyDescent="0.2">
      <c r="E557" s="1"/>
      <c r="F557" s="1"/>
      <c r="G557" s="1"/>
      <c r="H557" s="1"/>
      <c r="I557" s="1"/>
      <c r="J557" s="1"/>
      <c r="K557" s="1"/>
      <c r="L557" s="1"/>
      <c r="M557" s="1"/>
      <c r="AA557" s="76"/>
      <c r="AU557" s="18"/>
      <c r="AV557" s="18"/>
    </row>
    <row r="558" spans="5:48" x14ac:dyDescent="0.2">
      <c r="E558" s="1"/>
      <c r="F558" s="1"/>
      <c r="G558" s="1"/>
      <c r="H558" s="1"/>
      <c r="I558" s="1"/>
      <c r="J558" s="1"/>
      <c r="K558" s="1"/>
      <c r="L558" s="1"/>
      <c r="M558" s="1"/>
      <c r="AA558" s="76"/>
      <c r="AU558" s="18"/>
      <c r="AV558" s="18"/>
    </row>
    <row r="559" spans="5:48" x14ac:dyDescent="0.2">
      <c r="E559" s="1"/>
      <c r="F559" s="1"/>
      <c r="G559" s="1"/>
      <c r="H559" s="1"/>
      <c r="I559" s="1"/>
      <c r="J559" s="1"/>
      <c r="K559" s="1"/>
      <c r="L559" s="1"/>
      <c r="M559" s="1"/>
      <c r="AA559" s="76"/>
      <c r="AU559" s="18"/>
      <c r="AV559" s="18"/>
    </row>
    <row r="560" spans="5:48" x14ac:dyDescent="0.2">
      <c r="E560" s="1"/>
      <c r="F560" s="1"/>
      <c r="G560" s="1"/>
      <c r="H560" s="1"/>
      <c r="I560" s="1"/>
      <c r="J560" s="1"/>
      <c r="K560" s="1"/>
      <c r="L560" s="1"/>
      <c r="M560" s="1"/>
      <c r="AA560" s="76"/>
      <c r="AU560" s="18"/>
      <c r="AV560" s="18"/>
    </row>
    <row r="561" spans="5:48" x14ac:dyDescent="0.2">
      <c r="E561" s="1"/>
      <c r="F561" s="1"/>
      <c r="G561" s="1"/>
      <c r="H561" s="1"/>
      <c r="I561" s="1"/>
      <c r="J561" s="1"/>
      <c r="K561" s="1"/>
      <c r="L561" s="1"/>
      <c r="M561" s="1"/>
      <c r="AA561" s="76"/>
      <c r="AU561" s="18"/>
      <c r="AV561" s="18"/>
    </row>
    <row r="562" spans="5:48" x14ac:dyDescent="0.2">
      <c r="E562" s="1"/>
      <c r="F562" s="1"/>
      <c r="G562" s="1"/>
      <c r="H562" s="1"/>
      <c r="I562" s="1"/>
      <c r="J562" s="1"/>
      <c r="K562" s="1"/>
      <c r="L562" s="1"/>
      <c r="M562" s="1"/>
      <c r="AA562" s="76"/>
      <c r="AU562" s="18"/>
      <c r="AV562" s="18"/>
    </row>
    <row r="563" spans="5:48" x14ac:dyDescent="0.2">
      <c r="E563" s="1"/>
      <c r="F563" s="1"/>
      <c r="G563" s="1"/>
      <c r="H563" s="1"/>
      <c r="I563" s="1"/>
      <c r="J563" s="1"/>
      <c r="K563" s="1"/>
      <c r="L563" s="1"/>
      <c r="M563" s="1"/>
      <c r="AA563" s="76"/>
      <c r="AU563" s="18"/>
      <c r="AV563" s="18"/>
    </row>
    <row r="564" spans="5:48" x14ac:dyDescent="0.2">
      <c r="E564" s="1"/>
      <c r="F564" s="1"/>
      <c r="G564" s="1"/>
      <c r="H564" s="1"/>
      <c r="I564" s="1"/>
      <c r="J564" s="1"/>
      <c r="K564" s="1"/>
      <c r="L564" s="1"/>
      <c r="M564" s="1"/>
      <c r="AA564" s="76"/>
      <c r="AU564" s="18"/>
      <c r="AV564" s="18"/>
    </row>
    <row r="565" spans="5:48" x14ac:dyDescent="0.2">
      <c r="E565" s="1"/>
      <c r="F565" s="1"/>
      <c r="G565" s="1"/>
      <c r="H565" s="1"/>
      <c r="I565" s="1"/>
      <c r="J565" s="1"/>
      <c r="K565" s="1"/>
      <c r="L565" s="1"/>
      <c r="M565" s="1"/>
      <c r="AA565" s="76"/>
      <c r="AU565" s="18"/>
      <c r="AV565" s="18"/>
    </row>
    <row r="566" spans="5:48" x14ac:dyDescent="0.2">
      <c r="E566" s="1"/>
      <c r="F566" s="1"/>
      <c r="G566" s="1"/>
      <c r="H566" s="1"/>
      <c r="I566" s="1"/>
      <c r="J566" s="1"/>
      <c r="K566" s="1"/>
      <c r="L566" s="1"/>
      <c r="M566" s="1"/>
      <c r="AA566" s="76"/>
      <c r="AU566" s="18"/>
      <c r="AV566" s="18"/>
    </row>
    <row r="567" spans="5:48" x14ac:dyDescent="0.2">
      <c r="E567" s="1"/>
      <c r="F567" s="1"/>
      <c r="G567" s="1"/>
      <c r="H567" s="1"/>
      <c r="I567" s="1"/>
      <c r="J567" s="1"/>
      <c r="K567" s="1"/>
      <c r="L567" s="1"/>
      <c r="M567" s="1"/>
      <c r="AA567" s="76"/>
      <c r="AU567" s="18"/>
      <c r="AV567" s="18"/>
    </row>
    <row r="568" spans="5:48" x14ac:dyDescent="0.2">
      <c r="E568" s="1"/>
      <c r="F568" s="1"/>
      <c r="G568" s="1"/>
      <c r="H568" s="1"/>
      <c r="I568" s="1"/>
      <c r="J568" s="1"/>
      <c r="K568" s="1"/>
      <c r="L568" s="1"/>
      <c r="M568" s="1"/>
      <c r="AA568" s="76"/>
      <c r="AU568" s="18"/>
      <c r="AV568" s="18"/>
    </row>
    <row r="569" spans="5:48" x14ac:dyDescent="0.2">
      <c r="E569" s="1"/>
      <c r="F569" s="1"/>
      <c r="G569" s="1"/>
      <c r="H569" s="1"/>
      <c r="I569" s="1"/>
      <c r="J569" s="1"/>
      <c r="K569" s="1"/>
      <c r="L569" s="1"/>
      <c r="M569" s="1"/>
      <c r="AA569" s="76"/>
      <c r="AU569" s="18"/>
      <c r="AV569" s="18"/>
    </row>
    <row r="570" spans="5:48" x14ac:dyDescent="0.2">
      <c r="E570" s="1"/>
      <c r="F570" s="1"/>
      <c r="G570" s="1"/>
      <c r="H570" s="1"/>
      <c r="I570" s="1"/>
      <c r="J570" s="1"/>
      <c r="K570" s="1"/>
      <c r="L570" s="1"/>
      <c r="M570" s="1"/>
      <c r="AA570" s="76"/>
      <c r="AU570" s="18"/>
      <c r="AV570" s="18"/>
    </row>
    <row r="571" spans="5:48" x14ac:dyDescent="0.2">
      <c r="E571" s="1"/>
      <c r="F571" s="1"/>
      <c r="G571" s="1"/>
      <c r="H571" s="1"/>
      <c r="I571" s="1"/>
      <c r="J571" s="1"/>
      <c r="K571" s="1"/>
      <c r="L571" s="1"/>
      <c r="M571" s="1"/>
      <c r="AA571" s="76"/>
      <c r="AU571" s="18"/>
      <c r="AV571" s="18"/>
    </row>
    <row r="572" spans="5:48" x14ac:dyDescent="0.2">
      <c r="E572" s="1"/>
      <c r="F572" s="1"/>
      <c r="G572" s="1"/>
      <c r="H572" s="1"/>
      <c r="I572" s="1"/>
      <c r="J572" s="1"/>
      <c r="K572" s="1"/>
      <c r="L572" s="1"/>
      <c r="M572" s="1"/>
      <c r="AA572" s="76"/>
      <c r="AU572" s="18"/>
      <c r="AV572" s="18"/>
    </row>
    <row r="573" spans="5:48" x14ac:dyDescent="0.2">
      <c r="E573" s="1"/>
      <c r="F573" s="1"/>
      <c r="G573" s="1"/>
      <c r="H573" s="1"/>
      <c r="I573" s="1"/>
      <c r="J573" s="1"/>
      <c r="K573" s="1"/>
      <c r="L573" s="1"/>
      <c r="M573" s="1"/>
      <c r="AA573" s="76"/>
      <c r="AU573" s="18"/>
      <c r="AV573" s="18"/>
    </row>
    <row r="574" spans="5:48" x14ac:dyDescent="0.2">
      <c r="E574" s="1"/>
      <c r="F574" s="1"/>
      <c r="G574" s="1"/>
      <c r="H574" s="1"/>
      <c r="I574" s="1"/>
      <c r="J574" s="1"/>
      <c r="K574" s="1"/>
      <c r="L574" s="1"/>
      <c r="M574" s="1"/>
      <c r="AA574" s="76"/>
      <c r="AU574" s="18"/>
      <c r="AV574" s="18"/>
    </row>
    <row r="575" spans="5:48" x14ac:dyDescent="0.2">
      <c r="E575" s="1"/>
      <c r="F575" s="1"/>
      <c r="G575" s="1"/>
      <c r="H575" s="1"/>
      <c r="I575" s="1"/>
      <c r="J575" s="1"/>
      <c r="K575" s="1"/>
      <c r="L575" s="1"/>
      <c r="M575" s="1"/>
      <c r="AA575" s="76"/>
      <c r="AU575" s="18"/>
      <c r="AV575" s="18"/>
    </row>
    <row r="576" spans="5:48" x14ac:dyDescent="0.2">
      <c r="E576" s="1"/>
      <c r="F576" s="1"/>
      <c r="G576" s="1"/>
      <c r="H576" s="1"/>
      <c r="I576" s="1"/>
      <c r="J576" s="1"/>
      <c r="K576" s="1"/>
      <c r="L576" s="1"/>
      <c r="M576" s="1"/>
      <c r="AA576" s="76"/>
      <c r="AU576" s="18"/>
      <c r="AV576" s="18"/>
    </row>
    <row r="577" spans="5:48" x14ac:dyDescent="0.2">
      <c r="E577" s="1"/>
      <c r="F577" s="1"/>
      <c r="G577" s="1"/>
      <c r="H577" s="1"/>
      <c r="I577" s="1"/>
      <c r="J577" s="1"/>
      <c r="K577" s="1"/>
      <c r="L577" s="1"/>
      <c r="M577" s="1"/>
      <c r="AA577" s="76"/>
      <c r="AU577" s="18"/>
      <c r="AV577" s="18"/>
    </row>
    <row r="578" spans="5:48" x14ac:dyDescent="0.2">
      <c r="E578" s="1"/>
      <c r="F578" s="1"/>
      <c r="G578" s="1"/>
      <c r="H578" s="1"/>
      <c r="I578" s="1"/>
      <c r="J578" s="1"/>
      <c r="K578" s="1"/>
      <c r="L578" s="1"/>
      <c r="M578" s="1"/>
      <c r="AA578" s="76"/>
      <c r="AU578" s="18"/>
      <c r="AV578" s="18"/>
    </row>
    <row r="579" spans="5:48" x14ac:dyDescent="0.2">
      <c r="E579" s="1"/>
      <c r="F579" s="1"/>
      <c r="G579" s="1"/>
      <c r="H579" s="1"/>
      <c r="I579" s="1"/>
      <c r="J579" s="1"/>
      <c r="K579" s="1"/>
      <c r="L579" s="1"/>
      <c r="M579" s="1"/>
      <c r="AA579" s="76"/>
      <c r="AU579" s="18"/>
      <c r="AV579" s="18"/>
    </row>
    <row r="580" spans="5:48" x14ac:dyDescent="0.2">
      <c r="E580" s="1"/>
      <c r="F580" s="1"/>
      <c r="G580" s="1"/>
      <c r="H580" s="1"/>
      <c r="I580" s="1"/>
      <c r="J580" s="1"/>
      <c r="K580" s="1"/>
      <c r="L580" s="1"/>
      <c r="M580" s="1"/>
      <c r="AA580" s="76"/>
      <c r="AU580" s="18"/>
      <c r="AV580" s="18"/>
    </row>
    <row r="581" spans="5:48" x14ac:dyDescent="0.2">
      <c r="E581" s="1"/>
      <c r="F581" s="1"/>
      <c r="G581" s="1"/>
      <c r="H581" s="1"/>
      <c r="I581" s="1"/>
      <c r="J581" s="1"/>
      <c r="K581" s="1"/>
      <c r="L581" s="1"/>
      <c r="M581" s="1"/>
      <c r="AA581" s="76"/>
      <c r="AU581" s="18"/>
      <c r="AV581" s="18"/>
    </row>
    <row r="582" spans="5:48" x14ac:dyDescent="0.2">
      <c r="E582" s="1"/>
      <c r="F582" s="1"/>
      <c r="G582" s="1"/>
      <c r="H582" s="1"/>
      <c r="I582" s="1"/>
      <c r="J582" s="1"/>
      <c r="K582" s="1"/>
      <c r="L582" s="1"/>
      <c r="M582" s="1"/>
      <c r="AA582" s="76"/>
      <c r="AU582" s="18"/>
      <c r="AV582" s="18"/>
    </row>
    <row r="583" spans="5:48" x14ac:dyDescent="0.2">
      <c r="E583" s="1"/>
      <c r="F583" s="1"/>
      <c r="G583" s="1"/>
      <c r="H583" s="1"/>
      <c r="I583" s="1"/>
      <c r="J583" s="1"/>
      <c r="K583" s="1"/>
      <c r="L583" s="1"/>
      <c r="M583" s="1"/>
      <c r="AA583" s="76"/>
      <c r="AU583" s="18"/>
      <c r="AV583" s="18"/>
    </row>
    <row r="584" spans="5:48" x14ac:dyDescent="0.2">
      <c r="E584" s="1"/>
      <c r="F584" s="1"/>
      <c r="G584" s="1"/>
      <c r="H584" s="1"/>
      <c r="I584" s="1"/>
      <c r="J584" s="1"/>
      <c r="K584" s="1"/>
      <c r="L584" s="1"/>
      <c r="M584" s="1"/>
      <c r="AA584" s="76"/>
      <c r="AU584" s="18"/>
      <c r="AV584" s="18"/>
    </row>
    <row r="585" spans="5:48" x14ac:dyDescent="0.2">
      <c r="E585" s="1"/>
      <c r="F585" s="1"/>
      <c r="G585" s="1"/>
      <c r="H585" s="1"/>
      <c r="I585" s="1"/>
      <c r="J585" s="1"/>
      <c r="K585" s="1"/>
      <c r="L585" s="1"/>
      <c r="M585" s="1"/>
      <c r="AA585" s="76"/>
      <c r="AU585" s="18"/>
      <c r="AV585" s="18"/>
    </row>
    <row r="586" spans="5:48" x14ac:dyDescent="0.2">
      <c r="E586" s="1"/>
      <c r="F586" s="1"/>
      <c r="G586" s="1"/>
      <c r="H586" s="1"/>
      <c r="I586" s="1"/>
      <c r="J586" s="1"/>
      <c r="K586" s="1"/>
      <c r="L586" s="1"/>
      <c r="M586" s="1"/>
      <c r="AA586" s="76"/>
      <c r="AU586" s="18"/>
      <c r="AV586" s="18"/>
    </row>
    <row r="587" spans="5:48" x14ac:dyDescent="0.2">
      <c r="E587" s="1"/>
      <c r="F587" s="1"/>
      <c r="G587" s="1"/>
      <c r="H587" s="1"/>
      <c r="I587" s="1"/>
      <c r="J587" s="1"/>
      <c r="K587" s="1"/>
      <c r="L587" s="1"/>
      <c r="M587" s="1"/>
      <c r="AA587" s="76"/>
      <c r="AU587" s="18"/>
      <c r="AV587" s="18"/>
    </row>
    <row r="588" spans="5:48" x14ac:dyDescent="0.2">
      <c r="E588" s="1"/>
      <c r="F588" s="1"/>
      <c r="G588" s="1"/>
      <c r="H588" s="1"/>
      <c r="I588" s="1"/>
      <c r="J588" s="1"/>
      <c r="K588" s="1"/>
      <c r="L588" s="1"/>
      <c r="M588" s="1"/>
      <c r="AA588" s="76"/>
      <c r="AU588" s="18"/>
      <c r="AV588" s="18"/>
    </row>
    <row r="589" spans="5:48" x14ac:dyDescent="0.2">
      <c r="E589" s="1"/>
      <c r="F589" s="1"/>
      <c r="G589" s="1"/>
      <c r="H589" s="1"/>
      <c r="I589" s="1"/>
      <c r="J589" s="1"/>
      <c r="K589" s="1"/>
      <c r="L589" s="1"/>
      <c r="M589" s="1"/>
      <c r="AA589" s="76"/>
      <c r="AU589" s="18"/>
      <c r="AV589" s="18"/>
    </row>
    <row r="590" spans="5:48" x14ac:dyDescent="0.2">
      <c r="E590" s="1"/>
      <c r="F590" s="1"/>
      <c r="G590" s="1"/>
      <c r="H590" s="1"/>
      <c r="I590" s="1"/>
      <c r="J590" s="1"/>
      <c r="K590" s="1"/>
      <c r="L590" s="1"/>
      <c r="M590" s="1"/>
      <c r="AA590" s="76"/>
      <c r="AU590" s="18"/>
      <c r="AV590" s="18"/>
    </row>
    <row r="591" spans="5:48" x14ac:dyDescent="0.2">
      <c r="E591" s="1"/>
      <c r="F591" s="1"/>
      <c r="G591" s="1"/>
      <c r="H591" s="1"/>
      <c r="I591" s="1"/>
      <c r="J591" s="1"/>
      <c r="K591" s="1"/>
      <c r="L591" s="1"/>
      <c r="M591" s="1"/>
      <c r="AU591" s="18"/>
      <c r="AV591" s="18"/>
    </row>
    <row r="592" spans="5:48" x14ac:dyDescent="0.2">
      <c r="E592" s="1"/>
      <c r="F592" s="1"/>
      <c r="G592" s="1"/>
      <c r="H592" s="1"/>
      <c r="I592" s="1"/>
      <c r="J592" s="1"/>
      <c r="K592" s="1"/>
      <c r="L592" s="1"/>
      <c r="M592" s="1"/>
      <c r="AU592" s="18"/>
      <c r="AV592" s="18"/>
    </row>
    <row r="593" spans="5:48" x14ac:dyDescent="0.2">
      <c r="E593" s="1"/>
      <c r="F593" s="1"/>
      <c r="G593" s="1"/>
      <c r="H593" s="1"/>
      <c r="I593" s="1"/>
      <c r="J593" s="1"/>
      <c r="K593" s="1"/>
      <c r="L593" s="1"/>
      <c r="M593" s="1"/>
      <c r="AU593" s="18"/>
      <c r="AV593" s="18"/>
    </row>
    <row r="594" spans="5:48" x14ac:dyDescent="0.2">
      <c r="E594" s="1"/>
      <c r="F594" s="1"/>
      <c r="G594" s="1"/>
      <c r="H594" s="1"/>
      <c r="I594" s="1"/>
      <c r="J594" s="1"/>
      <c r="K594" s="1"/>
      <c r="L594" s="1"/>
      <c r="M594" s="1"/>
      <c r="AU594" s="18"/>
      <c r="AV594" s="18"/>
    </row>
    <row r="595" spans="5:48" x14ac:dyDescent="0.2">
      <c r="E595" s="1"/>
      <c r="F595" s="1"/>
      <c r="G595" s="1"/>
      <c r="H595" s="1"/>
      <c r="I595" s="1"/>
      <c r="J595" s="1"/>
      <c r="K595" s="1"/>
      <c r="L595" s="1"/>
      <c r="M595" s="1"/>
      <c r="AU595" s="18"/>
      <c r="AV595" s="18"/>
    </row>
    <row r="596" spans="5:48" x14ac:dyDescent="0.2">
      <c r="E596" s="1"/>
      <c r="F596" s="1"/>
      <c r="G596" s="1"/>
      <c r="H596" s="1"/>
      <c r="I596" s="1"/>
      <c r="J596" s="1"/>
      <c r="K596" s="1"/>
      <c r="L596" s="1"/>
      <c r="M596" s="1"/>
      <c r="AU596" s="18"/>
      <c r="AV596" s="18"/>
    </row>
    <row r="597" spans="5:48" x14ac:dyDescent="0.2">
      <c r="E597" s="1"/>
      <c r="F597" s="1"/>
      <c r="G597" s="1"/>
      <c r="H597" s="1"/>
      <c r="I597" s="1"/>
      <c r="J597" s="1"/>
      <c r="K597" s="1"/>
      <c r="L597" s="1"/>
      <c r="M597" s="1"/>
      <c r="AU597" s="18"/>
      <c r="AV597" s="18"/>
    </row>
    <row r="598" spans="5:48" x14ac:dyDescent="0.2">
      <c r="E598" s="1"/>
      <c r="F598" s="1"/>
      <c r="G598" s="1"/>
      <c r="H598" s="1"/>
      <c r="I598" s="1"/>
      <c r="J598" s="1"/>
      <c r="K598" s="1"/>
      <c r="L598" s="1"/>
      <c r="M598" s="1"/>
      <c r="AU598" s="18"/>
      <c r="AV598" s="18"/>
    </row>
    <row r="599" spans="5:48" x14ac:dyDescent="0.2">
      <c r="E599" s="1"/>
      <c r="F599" s="1"/>
      <c r="G599" s="1"/>
      <c r="H599" s="1"/>
      <c r="I599" s="1"/>
      <c r="J599" s="1"/>
      <c r="K599" s="1"/>
      <c r="L599" s="1"/>
      <c r="M599" s="1"/>
      <c r="AU599" s="18"/>
      <c r="AV599" s="18"/>
    </row>
    <row r="600" spans="5:48" x14ac:dyDescent="0.2">
      <c r="E600" s="1"/>
      <c r="F600" s="1"/>
      <c r="G600" s="1"/>
      <c r="H600" s="1"/>
      <c r="I600" s="1"/>
      <c r="J600" s="1"/>
      <c r="K600" s="1"/>
      <c r="L600" s="1"/>
      <c r="M600" s="1"/>
      <c r="AU600" s="18"/>
      <c r="AV600" s="18"/>
    </row>
    <row r="601" spans="5:48" x14ac:dyDescent="0.2">
      <c r="E601" s="1"/>
      <c r="F601" s="1"/>
      <c r="G601" s="1"/>
      <c r="H601" s="1"/>
      <c r="I601" s="1"/>
      <c r="J601" s="1"/>
      <c r="K601" s="1"/>
      <c r="L601" s="1"/>
      <c r="M601" s="1"/>
      <c r="AU601" s="18"/>
      <c r="AV601" s="18"/>
    </row>
    <row r="602" spans="5:48" x14ac:dyDescent="0.2">
      <c r="E602" s="1"/>
      <c r="F602" s="1"/>
      <c r="G602" s="1"/>
      <c r="H602" s="1"/>
      <c r="I602" s="1"/>
      <c r="J602" s="1"/>
      <c r="K602" s="1"/>
      <c r="L602" s="1"/>
      <c r="M602" s="1"/>
      <c r="AU602" s="18"/>
      <c r="AV602" s="18"/>
    </row>
    <row r="603" spans="5:48" x14ac:dyDescent="0.2">
      <c r="E603" s="1"/>
      <c r="F603" s="1"/>
      <c r="G603" s="1"/>
      <c r="H603" s="1"/>
      <c r="I603" s="1"/>
      <c r="J603" s="1"/>
      <c r="K603" s="1"/>
      <c r="L603" s="1"/>
      <c r="M603" s="1"/>
      <c r="AU603" s="18"/>
      <c r="AV603" s="18"/>
    </row>
    <row r="604" spans="5:48" x14ac:dyDescent="0.2">
      <c r="E604" s="1"/>
      <c r="F604" s="1"/>
      <c r="G604" s="1"/>
      <c r="H604" s="1"/>
      <c r="I604" s="1"/>
      <c r="J604" s="1"/>
      <c r="K604" s="1"/>
      <c r="L604" s="1"/>
      <c r="M604" s="1"/>
      <c r="AU604" s="18"/>
      <c r="AV604" s="18"/>
    </row>
    <row r="605" spans="5:48" x14ac:dyDescent="0.2">
      <c r="E605" s="1"/>
      <c r="F605" s="1"/>
      <c r="G605" s="1"/>
      <c r="H605" s="1"/>
      <c r="I605" s="1"/>
      <c r="J605" s="1"/>
      <c r="K605" s="1"/>
      <c r="L605" s="1"/>
      <c r="M605" s="1"/>
      <c r="AU605" s="18"/>
      <c r="AV605" s="18"/>
    </row>
    <row r="606" spans="5:48" x14ac:dyDescent="0.2">
      <c r="E606" s="1"/>
      <c r="F606" s="1"/>
      <c r="G606" s="1"/>
      <c r="H606" s="1"/>
      <c r="I606" s="1"/>
      <c r="J606" s="1"/>
      <c r="K606" s="1"/>
      <c r="L606" s="1"/>
      <c r="M606" s="1"/>
      <c r="AU606" s="18"/>
      <c r="AV606" s="18"/>
    </row>
    <row r="607" spans="5:48" x14ac:dyDescent="0.2">
      <c r="E607" s="1"/>
      <c r="F607" s="1"/>
      <c r="G607" s="1"/>
      <c r="H607" s="1"/>
      <c r="I607" s="1"/>
      <c r="J607" s="1"/>
      <c r="K607" s="1"/>
      <c r="L607" s="1"/>
      <c r="M607" s="1"/>
      <c r="AU607" s="18"/>
      <c r="AV607" s="18"/>
    </row>
    <row r="608" spans="5:48" x14ac:dyDescent="0.2">
      <c r="E608" s="1"/>
      <c r="F608" s="1"/>
      <c r="G608" s="1"/>
      <c r="H608" s="1"/>
      <c r="I608" s="1"/>
      <c r="J608" s="1"/>
      <c r="K608" s="1"/>
      <c r="L608" s="1"/>
      <c r="M608" s="1"/>
      <c r="AU608" s="18"/>
      <c r="AV608" s="18"/>
    </row>
    <row r="609" spans="5:48" x14ac:dyDescent="0.2">
      <c r="E609" s="1"/>
      <c r="F609" s="1"/>
      <c r="G609" s="1"/>
      <c r="H609" s="1"/>
      <c r="I609" s="1"/>
      <c r="J609" s="1"/>
      <c r="K609" s="1"/>
      <c r="L609" s="1"/>
      <c r="M609" s="1"/>
      <c r="AU609" s="18"/>
      <c r="AV609" s="18"/>
    </row>
    <row r="610" spans="5:48" x14ac:dyDescent="0.2">
      <c r="E610" s="1"/>
      <c r="F610" s="1"/>
      <c r="G610" s="1"/>
      <c r="H610" s="1"/>
      <c r="I610" s="1"/>
      <c r="J610" s="1"/>
      <c r="K610" s="1"/>
      <c r="L610" s="1"/>
      <c r="M610" s="1"/>
      <c r="AU610" s="18"/>
      <c r="AV610" s="18"/>
    </row>
    <row r="611" spans="5:48" x14ac:dyDescent="0.2">
      <c r="E611" s="1"/>
      <c r="F611" s="1"/>
      <c r="G611" s="1"/>
      <c r="H611" s="1"/>
      <c r="I611" s="1"/>
      <c r="J611" s="1"/>
      <c r="K611" s="1"/>
      <c r="L611" s="1"/>
      <c r="M611" s="1"/>
      <c r="AU611" s="18"/>
      <c r="AV611" s="18"/>
    </row>
    <row r="612" spans="5:48" x14ac:dyDescent="0.2">
      <c r="E612" s="1"/>
      <c r="F612" s="1"/>
      <c r="G612" s="1"/>
      <c r="H612" s="1"/>
      <c r="I612" s="1"/>
      <c r="J612" s="1"/>
      <c r="K612" s="1"/>
      <c r="L612" s="1"/>
      <c r="M612" s="1"/>
      <c r="AU612" s="18"/>
      <c r="AV612" s="18"/>
    </row>
    <row r="613" spans="5:48" x14ac:dyDescent="0.2">
      <c r="E613" s="1"/>
      <c r="F613" s="1"/>
      <c r="G613" s="1"/>
      <c r="H613" s="1"/>
      <c r="I613" s="1"/>
      <c r="J613" s="1"/>
      <c r="K613" s="1"/>
      <c r="L613" s="1"/>
      <c r="M613" s="1"/>
      <c r="AU613" s="18"/>
      <c r="AV613" s="18"/>
    </row>
    <row r="614" spans="5:48" x14ac:dyDescent="0.2">
      <c r="E614" s="1"/>
      <c r="F614" s="1"/>
      <c r="G614" s="1"/>
      <c r="H614" s="1"/>
      <c r="I614" s="1"/>
      <c r="J614" s="1"/>
      <c r="K614" s="1"/>
      <c r="L614" s="1"/>
      <c r="M614" s="1"/>
      <c r="AU614" s="18"/>
      <c r="AV614" s="18"/>
    </row>
    <row r="615" spans="5:48" x14ac:dyDescent="0.2">
      <c r="E615" s="1"/>
      <c r="F615" s="1"/>
      <c r="G615" s="1"/>
      <c r="H615" s="1"/>
      <c r="I615" s="1"/>
      <c r="J615" s="1"/>
      <c r="K615" s="1"/>
      <c r="L615" s="1"/>
      <c r="M615" s="1"/>
      <c r="AU615" s="18"/>
      <c r="AV615" s="18"/>
    </row>
    <row r="616" spans="5:48" x14ac:dyDescent="0.2">
      <c r="E616" s="1"/>
      <c r="F616" s="1"/>
      <c r="G616" s="1"/>
      <c r="H616" s="1"/>
      <c r="I616" s="1"/>
      <c r="J616" s="1"/>
      <c r="K616" s="1"/>
      <c r="L616" s="1"/>
      <c r="M616" s="1"/>
      <c r="AU616" s="18"/>
      <c r="AV616" s="18"/>
    </row>
    <row r="617" spans="5:48" x14ac:dyDescent="0.2">
      <c r="E617" s="1"/>
      <c r="F617" s="1"/>
      <c r="G617" s="1"/>
      <c r="H617" s="1"/>
      <c r="I617" s="1"/>
      <c r="J617" s="1"/>
      <c r="K617" s="1"/>
      <c r="L617" s="1"/>
      <c r="M617" s="1"/>
      <c r="AU617" s="18"/>
      <c r="AV617" s="18"/>
    </row>
    <row r="618" spans="5:48" x14ac:dyDescent="0.2">
      <c r="E618" s="1"/>
      <c r="F618" s="1"/>
      <c r="G618" s="1"/>
      <c r="H618" s="1"/>
      <c r="I618" s="1"/>
      <c r="J618" s="1"/>
      <c r="K618" s="1"/>
      <c r="L618" s="1"/>
      <c r="M618" s="1"/>
      <c r="AU618" s="18"/>
      <c r="AV618" s="18"/>
    </row>
    <row r="619" spans="5:48" x14ac:dyDescent="0.2">
      <c r="E619" s="1"/>
      <c r="F619" s="1"/>
      <c r="G619" s="1"/>
      <c r="H619" s="1"/>
      <c r="I619" s="1"/>
      <c r="J619" s="1"/>
      <c r="K619" s="1"/>
      <c r="L619" s="1"/>
      <c r="M619" s="1"/>
      <c r="AU619" s="18"/>
      <c r="AV619" s="18"/>
    </row>
    <row r="620" spans="5:48" x14ac:dyDescent="0.2">
      <c r="E620" s="1"/>
      <c r="F620" s="1"/>
      <c r="G620" s="1"/>
      <c r="H620" s="1"/>
      <c r="I620" s="1"/>
      <c r="J620" s="1"/>
      <c r="K620" s="1"/>
      <c r="L620" s="1"/>
      <c r="M620" s="1"/>
      <c r="AU620" s="18"/>
      <c r="AV620" s="18"/>
    </row>
    <row r="621" spans="5:48" x14ac:dyDescent="0.2">
      <c r="E621" s="1"/>
      <c r="F621" s="1"/>
      <c r="G621" s="1"/>
      <c r="H621" s="1"/>
      <c r="I621" s="1"/>
      <c r="J621" s="1"/>
      <c r="K621" s="1"/>
      <c r="L621" s="1"/>
      <c r="M621" s="1"/>
      <c r="AU621" s="18"/>
      <c r="AV621" s="18"/>
    </row>
    <row r="622" spans="5:48" x14ac:dyDescent="0.2">
      <c r="E622" s="1"/>
      <c r="F622" s="1"/>
      <c r="G622" s="1"/>
      <c r="H622" s="1"/>
      <c r="I622" s="1"/>
      <c r="J622" s="1"/>
      <c r="K622" s="1"/>
      <c r="L622" s="1"/>
      <c r="M622" s="1"/>
      <c r="AU622" s="18"/>
      <c r="AV622" s="18"/>
    </row>
    <row r="623" spans="5:48" x14ac:dyDescent="0.2">
      <c r="E623" s="1"/>
      <c r="F623" s="1"/>
      <c r="G623" s="1"/>
      <c r="H623" s="1"/>
      <c r="I623" s="1"/>
      <c r="J623" s="1"/>
      <c r="K623" s="1"/>
      <c r="L623" s="1"/>
      <c r="M623" s="1"/>
      <c r="AU623" s="18"/>
      <c r="AV623" s="18"/>
    </row>
    <row r="624" spans="5:48" x14ac:dyDescent="0.2">
      <c r="E624" s="1"/>
      <c r="F624" s="1"/>
      <c r="G624" s="1"/>
      <c r="H624" s="1"/>
      <c r="I624" s="1"/>
      <c r="J624" s="1"/>
      <c r="K624" s="1"/>
      <c r="L624" s="1"/>
      <c r="M624" s="1"/>
      <c r="AU624" s="18"/>
      <c r="AV624" s="18"/>
    </row>
    <row r="625" spans="5:48" x14ac:dyDescent="0.2">
      <c r="E625" s="1"/>
      <c r="F625" s="1"/>
      <c r="G625" s="1"/>
      <c r="H625" s="1"/>
      <c r="I625" s="1"/>
      <c r="J625" s="1"/>
      <c r="K625" s="1"/>
      <c r="L625" s="1"/>
      <c r="M625" s="1"/>
      <c r="AU625" s="18"/>
      <c r="AV625" s="18"/>
    </row>
    <row r="626" spans="5:48" x14ac:dyDescent="0.2">
      <c r="E626" s="1"/>
      <c r="F626" s="1"/>
      <c r="G626" s="1"/>
      <c r="H626" s="1"/>
      <c r="I626" s="1"/>
      <c r="J626" s="1"/>
      <c r="K626" s="1"/>
      <c r="L626" s="1"/>
      <c r="M626" s="1"/>
      <c r="AU626" s="18"/>
      <c r="AV626" s="18"/>
    </row>
    <row r="627" spans="5:48" x14ac:dyDescent="0.2">
      <c r="E627" s="1"/>
      <c r="F627" s="1"/>
      <c r="G627" s="1"/>
      <c r="H627" s="1"/>
      <c r="I627" s="1"/>
      <c r="J627" s="1"/>
      <c r="K627" s="1"/>
      <c r="L627" s="1"/>
      <c r="M627" s="1"/>
      <c r="AU627" s="18"/>
      <c r="AV627" s="18"/>
    </row>
    <row r="628" spans="5:48" x14ac:dyDescent="0.2">
      <c r="E628" s="1"/>
      <c r="F628" s="1"/>
      <c r="G628" s="1"/>
      <c r="H628" s="1"/>
      <c r="I628" s="1"/>
      <c r="J628" s="1"/>
      <c r="K628" s="1"/>
      <c r="L628" s="1"/>
      <c r="M628" s="1"/>
      <c r="AU628" s="18"/>
      <c r="AV628" s="18"/>
    </row>
    <row r="629" spans="5:48" x14ac:dyDescent="0.2">
      <c r="E629" s="1"/>
      <c r="F629" s="1"/>
      <c r="G629" s="1"/>
      <c r="H629" s="1"/>
      <c r="I629" s="1"/>
      <c r="J629" s="1"/>
      <c r="K629" s="1"/>
      <c r="L629" s="1"/>
      <c r="M629" s="1"/>
      <c r="AU629" s="18"/>
      <c r="AV629" s="18"/>
    </row>
    <row r="630" spans="5:48" x14ac:dyDescent="0.2">
      <c r="E630" s="1"/>
      <c r="F630" s="1"/>
      <c r="G630" s="1"/>
      <c r="H630" s="1"/>
      <c r="I630" s="1"/>
      <c r="J630" s="1"/>
      <c r="K630" s="1"/>
      <c r="L630" s="1"/>
      <c r="M630" s="1"/>
      <c r="AU630" s="18"/>
      <c r="AV630" s="18"/>
    </row>
    <row r="631" spans="5:48" x14ac:dyDescent="0.2">
      <c r="E631" s="1"/>
      <c r="F631" s="1"/>
      <c r="G631" s="1"/>
      <c r="H631" s="1"/>
      <c r="I631" s="1"/>
      <c r="J631" s="1"/>
      <c r="K631" s="1"/>
      <c r="L631" s="1"/>
      <c r="M631" s="1"/>
      <c r="AU631" s="18"/>
      <c r="AV631" s="18"/>
    </row>
    <row r="632" spans="5:48" x14ac:dyDescent="0.2">
      <c r="E632" s="1"/>
      <c r="F632" s="1"/>
      <c r="G632" s="1"/>
      <c r="H632" s="1"/>
      <c r="I632" s="1"/>
      <c r="J632" s="1"/>
      <c r="K632" s="1"/>
      <c r="L632" s="1"/>
      <c r="M632" s="1"/>
      <c r="AU632" s="18"/>
      <c r="AV632" s="18"/>
    </row>
    <row r="633" spans="5:48" x14ac:dyDescent="0.2">
      <c r="E633" s="1"/>
      <c r="F633" s="1"/>
      <c r="G633" s="1"/>
      <c r="H633" s="1"/>
      <c r="I633" s="1"/>
      <c r="J633" s="1"/>
      <c r="K633" s="1"/>
      <c r="L633" s="1"/>
      <c r="M633" s="1"/>
      <c r="AU633" s="18"/>
      <c r="AV633" s="18"/>
    </row>
    <row r="634" spans="5:48" x14ac:dyDescent="0.2">
      <c r="E634" s="1"/>
      <c r="F634" s="1"/>
      <c r="G634" s="1"/>
      <c r="H634" s="1"/>
      <c r="I634" s="1"/>
      <c r="J634" s="1"/>
      <c r="K634" s="1"/>
      <c r="L634" s="1"/>
      <c r="M634" s="1"/>
      <c r="AU634" s="18"/>
      <c r="AV634" s="18"/>
    </row>
    <row r="635" spans="5:48" x14ac:dyDescent="0.2">
      <c r="E635" s="1"/>
      <c r="F635" s="1"/>
      <c r="G635" s="1"/>
      <c r="H635" s="1"/>
      <c r="I635" s="1"/>
      <c r="J635" s="1"/>
      <c r="K635" s="1"/>
      <c r="L635" s="1"/>
      <c r="M635" s="1"/>
      <c r="AU635" s="18"/>
      <c r="AV635" s="18"/>
    </row>
    <row r="636" spans="5:48" x14ac:dyDescent="0.2">
      <c r="E636" s="1"/>
      <c r="F636" s="1"/>
      <c r="G636" s="1"/>
      <c r="H636" s="1"/>
      <c r="I636" s="1"/>
      <c r="J636" s="1"/>
      <c r="K636" s="1"/>
      <c r="L636" s="1"/>
      <c r="M636" s="1"/>
      <c r="AU636" s="18"/>
      <c r="AV636" s="18"/>
    </row>
    <row r="637" spans="5:48" x14ac:dyDescent="0.2">
      <c r="E637" s="1"/>
      <c r="F637" s="1"/>
      <c r="G637" s="1"/>
      <c r="H637" s="1"/>
      <c r="I637" s="1"/>
      <c r="J637" s="1"/>
      <c r="K637" s="1"/>
      <c r="L637" s="1"/>
      <c r="M637" s="1"/>
      <c r="AU637" s="18"/>
      <c r="AV637" s="18"/>
    </row>
    <row r="638" spans="5:48" x14ac:dyDescent="0.2">
      <c r="E638" s="1"/>
      <c r="F638" s="1"/>
      <c r="G638" s="1"/>
      <c r="H638" s="1"/>
      <c r="I638" s="1"/>
      <c r="J638" s="1"/>
      <c r="K638" s="1"/>
      <c r="L638" s="1"/>
      <c r="M638" s="1"/>
      <c r="AU638" s="18"/>
      <c r="AV638" s="18"/>
    </row>
    <row r="639" spans="5:48" x14ac:dyDescent="0.2">
      <c r="E639" s="1"/>
      <c r="F639" s="1"/>
      <c r="G639" s="1"/>
      <c r="H639" s="1"/>
      <c r="I639" s="1"/>
      <c r="J639" s="1"/>
      <c r="K639" s="1"/>
      <c r="L639" s="1"/>
      <c r="M639" s="1"/>
      <c r="AU639" s="18"/>
      <c r="AV639" s="18"/>
    </row>
    <row r="640" spans="5:48" x14ac:dyDescent="0.2">
      <c r="E640" s="1"/>
      <c r="F640" s="1"/>
      <c r="G640" s="1"/>
      <c r="H640" s="1"/>
      <c r="I640" s="1"/>
      <c r="J640" s="1"/>
      <c r="K640" s="1"/>
      <c r="L640" s="1"/>
      <c r="M640" s="1"/>
      <c r="AU640" s="18"/>
      <c r="AV640" s="18"/>
    </row>
    <row r="641" spans="5:48" x14ac:dyDescent="0.2">
      <c r="E641" s="1"/>
      <c r="F641" s="1"/>
      <c r="G641" s="1"/>
      <c r="H641" s="1"/>
      <c r="I641" s="1"/>
      <c r="J641" s="1"/>
      <c r="K641" s="1"/>
      <c r="L641" s="1"/>
      <c r="M641" s="1"/>
      <c r="AU641" s="18"/>
      <c r="AV641" s="18"/>
    </row>
    <row r="642" spans="5:48" x14ac:dyDescent="0.2">
      <c r="E642" s="1"/>
      <c r="F642" s="1"/>
      <c r="G642" s="1"/>
      <c r="H642" s="1"/>
      <c r="I642" s="1"/>
      <c r="J642" s="1"/>
      <c r="K642" s="1"/>
      <c r="L642" s="1"/>
      <c r="M642" s="1"/>
      <c r="AU642" s="18"/>
      <c r="AV642" s="18"/>
    </row>
    <row r="643" spans="5:48" x14ac:dyDescent="0.2">
      <c r="E643" s="1"/>
      <c r="F643" s="1"/>
      <c r="G643" s="1"/>
      <c r="H643" s="1"/>
      <c r="I643" s="1"/>
      <c r="J643" s="1"/>
      <c r="K643" s="1"/>
      <c r="L643" s="1"/>
      <c r="M643" s="1"/>
      <c r="AU643" s="18"/>
      <c r="AV643" s="18"/>
    </row>
    <row r="644" spans="5:48" x14ac:dyDescent="0.2">
      <c r="E644" s="1"/>
      <c r="F644" s="1"/>
      <c r="G644" s="1"/>
      <c r="H644" s="1"/>
      <c r="I644" s="1"/>
      <c r="J644" s="1"/>
      <c r="K644" s="1"/>
      <c r="L644" s="1"/>
      <c r="M644" s="1"/>
      <c r="AU644" s="18"/>
      <c r="AV644" s="18"/>
    </row>
    <row r="645" spans="5:48" x14ac:dyDescent="0.2">
      <c r="E645" s="1"/>
      <c r="F645" s="1"/>
      <c r="G645" s="1"/>
      <c r="H645" s="1"/>
      <c r="I645" s="1"/>
      <c r="J645" s="1"/>
      <c r="K645" s="1"/>
      <c r="L645" s="1"/>
      <c r="M645" s="1"/>
      <c r="AU645" s="18"/>
      <c r="AV645" s="18"/>
    </row>
    <row r="646" spans="5:48" x14ac:dyDescent="0.2">
      <c r="E646" s="1"/>
      <c r="F646" s="1"/>
      <c r="G646" s="1"/>
      <c r="H646" s="1"/>
      <c r="I646" s="1"/>
      <c r="J646" s="1"/>
      <c r="K646" s="1"/>
      <c r="L646" s="1"/>
      <c r="M646" s="1"/>
      <c r="AU646" s="18"/>
      <c r="AV646" s="18"/>
    </row>
    <row r="647" spans="5:48" x14ac:dyDescent="0.2">
      <c r="E647" s="1"/>
      <c r="F647" s="1"/>
      <c r="G647" s="1"/>
      <c r="H647" s="1"/>
      <c r="I647" s="1"/>
      <c r="J647" s="1"/>
      <c r="K647" s="1"/>
      <c r="L647" s="1"/>
      <c r="M647" s="1"/>
      <c r="AU647" s="18"/>
      <c r="AV647" s="18"/>
    </row>
    <row r="648" spans="5:48" x14ac:dyDescent="0.2">
      <c r="E648" s="1"/>
      <c r="F648" s="1"/>
      <c r="G648" s="1"/>
      <c r="H648" s="1"/>
      <c r="I648" s="1"/>
      <c r="J648" s="1"/>
      <c r="K648" s="1"/>
      <c r="L648" s="1"/>
      <c r="M648" s="1"/>
      <c r="AU648" s="18"/>
      <c r="AV648" s="18"/>
    </row>
    <row r="649" spans="5:48" x14ac:dyDescent="0.2">
      <c r="E649" s="1"/>
      <c r="F649" s="1"/>
      <c r="G649" s="1"/>
      <c r="H649" s="1"/>
      <c r="I649" s="1"/>
      <c r="J649" s="1"/>
      <c r="K649" s="1"/>
      <c r="L649" s="1"/>
      <c r="M649" s="1"/>
      <c r="AU649" s="18"/>
      <c r="AV649" s="18"/>
    </row>
    <row r="650" spans="5:48" x14ac:dyDescent="0.2">
      <c r="E650" s="1"/>
      <c r="F650" s="1"/>
      <c r="G650" s="1"/>
      <c r="H650" s="1"/>
      <c r="I650" s="1"/>
      <c r="J650" s="1"/>
      <c r="K650" s="1"/>
      <c r="L650" s="1"/>
      <c r="M650" s="1"/>
      <c r="AU650" s="18"/>
      <c r="AV650" s="18"/>
    </row>
    <row r="651" spans="5:48" x14ac:dyDescent="0.2">
      <c r="E651" s="1"/>
      <c r="F651" s="1"/>
      <c r="G651" s="1"/>
      <c r="H651" s="1"/>
      <c r="I651" s="1"/>
      <c r="J651" s="1"/>
      <c r="K651" s="1"/>
      <c r="L651" s="1"/>
      <c r="M651" s="1"/>
      <c r="AU651" s="18"/>
      <c r="AV651" s="18"/>
    </row>
    <row r="652" spans="5:48" x14ac:dyDescent="0.2">
      <c r="E652" s="1"/>
      <c r="F652" s="1"/>
      <c r="G652" s="1"/>
      <c r="H652" s="1"/>
      <c r="I652" s="1"/>
      <c r="J652" s="1"/>
      <c r="K652" s="1"/>
      <c r="L652" s="1"/>
      <c r="M652" s="1"/>
      <c r="AU652" s="18"/>
      <c r="AV652" s="18"/>
    </row>
    <row r="653" spans="5:48" x14ac:dyDescent="0.2">
      <c r="E653" s="1"/>
      <c r="F653" s="1"/>
      <c r="G653" s="1"/>
      <c r="H653" s="1"/>
      <c r="I653" s="1"/>
      <c r="J653" s="1"/>
      <c r="K653" s="1"/>
      <c r="L653" s="1"/>
      <c r="M653" s="1"/>
      <c r="AU653" s="18"/>
      <c r="AV653" s="18"/>
    </row>
    <row r="654" spans="5:48" x14ac:dyDescent="0.2">
      <c r="E654" s="1"/>
      <c r="F654" s="1"/>
      <c r="G654" s="1"/>
      <c r="H654" s="1"/>
      <c r="I654" s="1"/>
      <c r="J654" s="1"/>
      <c r="K654" s="1"/>
      <c r="L654" s="1"/>
      <c r="M654" s="1"/>
      <c r="AU654" s="18"/>
      <c r="AV654" s="18"/>
    </row>
    <row r="655" spans="5:48" x14ac:dyDescent="0.2">
      <c r="E655" s="1"/>
      <c r="F655" s="1"/>
      <c r="G655" s="1"/>
      <c r="H655" s="1"/>
      <c r="I655" s="1"/>
      <c r="J655" s="1"/>
      <c r="K655" s="1"/>
      <c r="L655" s="1"/>
      <c r="M655" s="1"/>
      <c r="AU655" s="18"/>
      <c r="AV655" s="18"/>
    </row>
    <row r="656" spans="5:48" x14ac:dyDescent="0.2">
      <c r="E656" s="1"/>
      <c r="F656" s="1"/>
      <c r="G656" s="1"/>
      <c r="H656" s="1"/>
      <c r="I656" s="1"/>
      <c r="J656" s="1"/>
      <c r="K656" s="1"/>
      <c r="L656" s="1"/>
      <c r="M656" s="1"/>
      <c r="AU656" s="18"/>
      <c r="AV656" s="18"/>
    </row>
    <row r="657" spans="5:48" x14ac:dyDescent="0.2">
      <c r="E657" s="1"/>
      <c r="F657" s="1"/>
      <c r="G657" s="1"/>
      <c r="H657" s="1"/>
      <c r="I657" s="1"/>
      <c r="J657" s="1"/>
      <c r="K657" s="1"/>
      <c r="L657" s="1"/>
      <c r="M657" s="1"/>
      <c r="AU657" s="18"/>
      <c r="AV657" s="18"/>
    </row>
    <row r="658" spans="5:48" x14ac:dyDescent="0.2">
      <c r="E658" s="1"/>
      <c r="F658" s="1"/>
      <c r="G658" s="1"/>
      <c r="H658" s="1"/>
      <c r="I658" s="1"/>
      <c r="J658" s="1"/>
      <c r="K658" s="1"/>
      <c r="L658" s="1"/>
      <c r="M658" s="1"/>
      <c r="AU658" s="18"/>
      <c r="AV658" s="18"/>
    </row>
    <row r="659" spans="5:48" x14ac:dyDescent="0.2">
      <c r="E659" s="1"/>
      <c r="F659" s="1"/>
      <c r="G659" s="1"/>
      <c r="H659" s="1"/>
      <c r="I659" s="1"/>
      <c r="J659" s="1"/>
      <c r="K659" s="1"/>
      <c r="L659" s="1"/>
      <c r="M659" s="1"/>
      <c r="AU659" s="18"/>
      <c r="AV659" s="18"/>
    </row>
    <row r="660" spans="5:48" x14ac:dyDescent="0.2">
      <c r="E660" s="1"/>
      <c r="F660" s="1"/>
      <c r="G660" s="1"/>
      <c r="H660" s="1"/>
      <c r="I660" s="1"/>
      <c r="J660" s="1"/>
      <c r="K660" s="1"/>
      <c r="L660" s="1"/>
      <c r="M660" s="1"/>
      <c r="AU660" s="18"/>
      <c r="AV660" s="18"/>
    </row>
    <row r="661" spans="5:48" x14ac:dyDescent="0.2">
      <c r="E661" s="1"/>
      <c r="F661" s="1"/>
      <c r="G661" s="1"/>
      <c r="H661" s="1"/>
      <c r="I661" s="1"/>
      <c r="J661" s="1"/>
      <c r="K661" s="1"/>
      <c r="L661" s="1"/>
      <c r="M661" s="1"/>
      <c r="AU661" s="18"/>
      <c r="AV661" s="18"/>
    </row>
    <row r="662" spans="5:48" x14ac:dyDescent="0.2">
      <c r="E662" s="1"/>
      <c r="F662" s="1"/>
      <c r="G662" s="1"/>
      <c r="H662" s="1"/>
      <c r="I662" s="1"/>
      <c r="J662" s="1"/>
      <c r="K662" s="1"/>
      <c r="L662" s="1"/>
      <c r="M662" s="1"/>
      <c r="AU662" s="18"/>
      <c r="AV662" s="18"/>
    </row>
    <row r="663" spans="5:48" x14ac:dyDescent="0.2">
      <c r="E663" s="1"/>
      <c r="F663" s="1"/>
      <c r="G663" s="1"/>
      <c r="H663" s="1"/>
      <c r="I663" s="1"/>
      <c r="J663" s="1"/>
      <c r="K663" s="1"/>
      <c r="L663" s="1"/>
      <c r="M663" s="1"/>
      <c r="AU663" s="18"/>
      <c r="AV663" s="18"/>
    </row>
    <row r="664" spans="5:48" x14ac:dyDescent="0.2">
      <c r="E664" s="1"/>
      <c r="F664" s="1"/>
      <c r="G664" s="1"/>
      <c r="H664" s="1"/>
      <c r="I664" s="1"/>
      <c r="J664" s="1"/>
      <c r="K664" s="1"/>
      <c r="L664" s="1"/>
      <c r="M664" s="1"/>
      <c r="AU664" s="18"/>
      <c r="AV664" s="18"/>
    </row>
    <row r="665" spans="5:48" x14ac:dyDescent="0.2">
      <c r="E665" s="1"/>
      <c r="F665" s="1"/>
      <c r="G665" s="1"/>
      <c r="H665" s="1"/>
      <c r="I665" s="1"/>
      <c r="J665" s="1"/>
      <c r="K665" s="1"/>
      <c r="L665" s="1"/>
      <c r="M665" s="1"/>
      <c r="AU665" s="18"/>
      <c r="AV665" s="18"/>
    </row>
    <row r="666" spans="5:48" x14ac:dyDescent="0.2">
      <c r="E666" s="1"/>
      <c r="F666" s="1"/>
      <c r="G666" s="1"/>
      <c r="H666" s="1"/>
      <c r="I666" s="1"/>
      <c r="J666" s="1"/>
      <c r="K666" s="1"/>
      <c r="L666" s="1"/>
      <c r="M666" s="1"/>
      <c r="AU666" s="18"/>
      <c r="AV666" s="18"/>
    </row>
    <row r="667" spans="5:48" x14ac:dyDescent="0.2">
      <c r="E667" s="1"/>
      <c r="F667" s="1"/>
      <c r="G667" s="1"/>
      <c r="H667" s="1"/>
      <c r="I667" s="1"/>
      <c r="J667" s="1"/>
      <c r="K667" s="1"/>
      <c r="L667" s="1"/>
      <c r="M667" s="1"/>
      <c r="AU667" s="18"/>
      <c r="AV667" s="18"/>
    </row>
    <row r="668" spans="5:48" x14ac:dyDescent="0.2">
      <c r="E668" s="1"/>
      <c r="F668" s="1"/>
      <c r="G668" s="1"/>
      <c r="H668" s="1"/>
      <c r="I668" s="1"/>
      <c r="J668" s="1"/>
      <c r="K668" s="1"/>
      <c r="L668" s="1"/>
      <c r="M668" s="1"/>
      <c r="AU668" s="18"/>
      <c r="AV668" s="18"/>
    </row>
    <row r="669" spans="5:48" x14ac:dyDescent="0.2">
      <c r="E669" s="1"/>
      <c r="F669" s="1"/>
      <c r="G669" s="1"/>
      <c r="H669" s="1"/>
      <c r="I669" s="1"/>
      <c r="J669" s="1"/>
      <c r="K669" s="1"/>
      <c r="L669" s="1"/>
      <c r="M669" s="1"/>
      <c r="AU669" s="18"/>
      <c r="AV669" s="18"/>
    </row>
    <row r="670" spans="5:48" x14ac:dyDescent="0.2">
      <c r="E670" s="1"/>
      <c r="F670" s="1"/>
      <c r="G670" s="1"/>
      <c r="H670" s="1"/>
      <c r="I670" s="1"/>
      <c r="J670" s="1"/>
      <c r="K670" s="1"/>
      <c r="L670" s="1"/>
      <c r="M670" s="1"/>
      <c r="AU670" s="18"/>
      <c r="AV670" s="18"/>
    </row>
    <row r="671" spans="5:48" x14ac:dyDescent="0.2">
      <c r="E671" s="1"/>
      <c r="F671" s="1"/>
      <c r="G671" s="1"/>
      <c r="H671" s="1"/>
      <c r="I671" s="1"/>
      <c r="J671" s="1"/>
      <c r="K671" s="1"/>
      <c r="L671" s="1"/>
      <c r="M671" s="1"/>
      <c r="AU671" s="18"/>
      <c r="AV671" s="18"/>
    </row>
    <row r="672" spans="5:48" x14ac:dyDescent="0.2">
      <c r="E672" s="1"/>
      <c r="F672" s="1"/>
      <c r="G672" s="1"/>
      <c r="H672" s="1"/>
      <c r="I672" s="1"/>
      <c r="J672" s="1"/>
      <c r="K672" s="1"/>
      <c r="L672" s="1"/>
      <c r="M672" s="1"/>
      <c r="AU672" s="18"/>
      <c r="AV672" s="18"/>
    </row>
    <row r="673" spans="5:48" x14ac:dyDescent="0.2">
      <c r="E673" s="1"/>
      <c r="F673" s="1"/>
      <c r="G673" s="1"/>
      <c r="H673" s="1"/>
      <c r="I673" s="1"/>
      <c r="J673" s="1"/>
      <c r="K673" s="1"/>
      <c r="L673" s="1"/>
      <c r="M673" s="1"/>
      <c r="AU673" s="18"/>
      <c r="AV673" s="18"/>
    </row>
    <row r="674" spans="5:48" x14ac:dyDescent="0.2">
      <c r="E674" s="1"/>
      <c r="F674" s="1"/>
      <c r="G674" s="1"/>
      <c r="H674" s="1"/>
      <c r="I674" s="1"/>
      <c r="J674" s="1"/>
      <c r="K674" s="1"/>
      <c r="L674" s="1"/>
      <c r="M674" s="1"/>
      <c r="AU674" s="18"/>
      <c r="AV674" s="18"/>
    </row>
    <row r="675" spans="5:48" x14ac:dyDescent="0.2">
      <c r="E675" s="1"/>
      <c r="F675" s="1"/>
      <c r="G675" s="1"/>
      <c r="H675" s="1"/>
      <c r="I675" s="1"/>
      <c r="J675" s="1"/>
      <c r="K675" s="1"/>
      <c r="L675" s="1"/>
      <c r="M675" s="1"/>
      <c r="AU675" s="18"/>
      <c r="AV675" s="18"/>
    </row>
    <row r="676" spans="5:48" x14ac:dyDescent="0.2">
      <c r="E676" s="1"/>
      <c r="F676" s="1"/>
      <c r="G676" s="1"/>
      <c r="H676" s="1"/>
      <c r="I676" s="1"/>
      <c r="J676" s="1"/>
      <c r="K676" s="1"/>
      <c r="L676" s="1"/>
      <c r="M676" s="1"/>
      <c r="AU676" s="18"/>
      <c r="AV676" s="18"/>
    </row>
    <row r="677" spans="5:48" x14ac:dyDescent="0.2">
      <c r="E677" s="1"/>
      <c r="F677" s="1"/>
      <c r="G677" s="1"/>
      <c r="H677" s="1"/>
      <c r="I677" s="1"/>
      <c r="J677" s="1"/>
      <c r="K677" s="1"/>
      <c r="L677" s="1"/>
      <c r="M677" s="1"/>
      <c r="AU677" s="18"/>
      <c r="AV677" s="18"/>
    </row>
    <row r="678" spans="5:48" x14ac:dyDescent="0.2">
      <c r="E678" s="1"/>
      <c r="F678" s="1"/>
      <c r="G678" s="1"/>
      <c r="H678" s="1"/>
      <c r="I678" s="1"/>
      <c r="J678" s="1"/>
      <c r="K678" s="1"/>
      <c r="L678" s="1"/>
      <c r="M678" s="1"/>
      <c r="AU678" s="18"/>
      <c r="AV678" s="18"/>
    </row>
    <row r="679" spans="5:48" x14ac:dyDescent="0.2">
      <c r="E679" s="1"/>
      <c r="F679" s="1"/>
      <c r="G679" s="1"/>
      <c r="H679" s="1"/>
      <c r="I679" s="1"/>
      <c r="J679" s="1"/>
      <c r="K679" s="1"/>
      <c r="L679" s="1"/>
      <c r="M679" s="1"/>
      <c r="AU679" s="18"/>
      <c r="AV679" s="18"/>
    </row>
    <row r="680" spans="5:48" x14ac:dyDescent="0.2">
      <c r="E680" s="1"/>
      <c r="F680" s="1"/>
      <c r="G680" s="1"/>
      <c r="H680" s="1"/>
      <c r="I680" s="1"/>
      <c r="J680" s="1"/>
      <c r="K680" s="1"/>
      <c r="L680" s="1"/>
      <c r="M680" s="1"/>
      <c r="AU680" s="18"/>
      <c r="AV680" s="18"/>
    </row>
    <row r="681" spans="5:48" x14ac:dyDescent="0.2">
      <c r="E681" s="1"/>
      <c r="F681" s="1"/>
      <c r="G681" s="1"/>
      <c r="H681" s="1"/>
      <c r="I681" s="1"/>
      <c r="J681" s="1"/>
      <c r="K681" s="1"/>
      <c r="L681" s="1"/>
      <c r="M681" s="1"/>
      <c r="AU681" s="18"/>
      <c r="AV681" s="18"/>
    </row>
    <row r="682" spans="5:48" x14ac:dyDescent="0.2">
      <c r="E682" s="1"/>
      <c r="F682" s="1"/>
      <c r="G682" s="1"/>
      <c r="H682" s="1"/>
      <c r="I682" s="1"/>
      <c r="J682" s="1"/>
      <c r="K682" s="1"/>
      <c r="L682" s="1"/>
      <c r="M682" s="1"/>
      <c r="AU682" s="18"/>
      <c r="AV682" s="18"/>
    </row>
    <row r="683" spans="5:48" x14ac:dyDescent="0.2">
      <c r="E683" s="1"/>
      <c r="F683" s="1"/>
      <c r="G683" s="1"/>
      <c r="H683" s="1"/>
      <c r="I683" s="1"/>
      <c r="J683" s="1"/>
      <c r="K683" s="1"/>
      <c r="L683" s="1"/>
      <c r="M683" s="1"/>
      <c r="AU683" s="18"/>
      <c r="AV683" s="18"/>
    </row>
    <row r="684" spans="5:48" x14ac:dyDescent="0.2">
      <c r="E684" s="1"/>
      <c r="F684" s="1"/>
      <c r="G684" s="1"/>
      <c r="H684" s="1"/>
      <c r="I684" s="1"/>
      <c r="J684" s="1"/>
      <c r="K684" s="1"/>
      <c r="L684" s="1"/>
      <c r="M684" s="1"/>
      <c r="AU684" s="18"/>
      <c r="AV684" s="18"/>
    </row>
    <row r="685" spans="5:48" x14ac:dyDescent="0.2">
      <c r="E685" s="1"/>
      <c r="F685" s="1"/>
      <c r="G685" s="1"/>
      <c r="H685" s="1"/>
      <c r="I685" s="1"/>
      <c r="J685" s="1"/>
      <c r="K685" s="1"/>
      <c r="L685" s="1"/>
      <c r="M685" s="1"/>
      <c r="AU685" s="18"/>
      <c r="AV685" s="18"/>
    </row>
    <row r="686" spans="5:48" x14ac:dyDescent="0.2">
      <c r="E686" s="1"/>
      <c r="F686" s="1"/>
      <c r="G686" s="1"/>
      <c r="H686" s="1"/>
      <c r="I686" s="1"/>
      <c r="J686" s="1"/>
      <c r="K686" s="1"/>
      <c r="L686" s="1"/>
      <c r="M686" s="1"/>
      <c r="AU686" s="18"/>
      <c r="AV686" s="18"/>
    </row>
    <row r="687" spans="5:48" x14ac:dyDescent="0.2">
      <c r="E687" s="1"/>
      <c r="F687" s="1"/>
      <c r="G687" s="1"/>
      <c r="H687" s="1"/>
      <c r="I687" s="1"/>
      <c r="J687" s="1"/>
      <c r="K687" s="1"/>
      <c r="L687" s="1"/>
      <c r="M687" s="1"/>
      <c r="AU687" s="18"/>
      <c r="AV687" s="18"/>
    </row>
    <row r="688" spans="5:48" x14ac:dyDescent="0.2">
      <c r="E688" s="1"/>
      <c r="F688" s="1"/>
      <c r="G688" s="1"/>
      <c r="H688" s="1"/>
      <c r="I688" s="1"/>
      <c r="J688" s="1"/>
      <c r="K688" s="1"/>
      <c r="L688" s="1"/>
      <c r="M688" s="1"/>
      <c r="AU688" s="18"/>
      <c r="AV688" s="18"/>
    </row>
    <row r="689" spans="5:48" x14ac:dyDescent="0.2">
      <c r="E689" s="1"/>
      <c r="F689" s="1"/>
      <c r="G689" s="1"/>
      <c r="H689" s="1"/>
      <c r="I689" s="1"/>
      <c r="J689" s="1"/>
      <c r="K689" s="1"/>
      <c r="L689" s="1"/>
      <c r="M689" s="1"/>
      <c r="AU689" s="18"/>
      <c r="AV689" s="18"/>
    </row>
    <row r="690" spans="5:48" x14ac:dyDescent="0.2">
      <c r="E690" s="1"/>
      <c r="F690" s="1"/>
      <c r="G690" s="1"/>
      <c r="H690" s="1"/>
      <c r="I690" s="1"/>
      <c r="J690" s="1"/>
      <c r="K690" s="1"/>
      <c r="L690" s="1"/>
      <c r="M690" s="1"/>
      <c r="AU690" s="18"/>
      <c r="AV690" s="18"/>
    </row>
    <row r="691" spans="5:48" x14ac:dyDescent="0.2">
      <c r="E691" s="1"/>
      <c r="F691" s="1"/>
      <c r="G691" s="1"/>
      <c r="H691" s="1"/>
      <c r="I691" s="1"/>
      <c r="J691" s="1"/>
      <c r="K691" s="1"/>
      <c r="L691" s="1"/>
      <c r="M691" s="1"/>
      <c r="AU691" s="18"/>
      <c r="AV691" s="18"/>
    </row>
    <row r="692" spans="5:48" x14ac:dyDescent="0.2">
      <c r="E692" s="1"/>
      <c r="F692" s="1"/>
      <c r="G692" s="1"/>
      <c r="H692" s="1"/>
      <c r="I692" s="1"/>
      <c r="J692" s="1"/>
      <c r="K692" s="1"/>
      <c r="L692" s="1"/>
      <c r="M692" s="1"/>
      <c r="AU692" s="18"/>
      <c r="AV692" s="18"/>
    </row>
    <row r="693" spans="5:48" x14ac:dyDescent="0.2">
      <c r="E693" s="1"/>
      <c r="F693" s="1"/>
      <c r="G693" s="1"/>
      <c r="H693" s="1"/>
      <c r="I693" s="1"/>
      <c r="J693" s="1"/>
      <c r="K693" s="1"/>
      <c r="L693" s="1"/>
      <c r="M693" s="1"/>
      <c r="AU693" s="18"/>
      <c r="AV693" s="18"/>
    </row>
    <row r="694" spans="5:48" x14ac:dyDescent="0.2">
      <c r="E694" s="1"/>
      <c r="F694" s="1"/>
      <c r="G694" s="1"/>
      <c r="H694" s="1"/>
      <c r="I694" s="1"/>
      <c r="J694" s="1"/>
      <c r="K694" s="1"/>
      <c r="L694" s="1"/>
      <c r="M694" s="1"/>
      <c r="AU694" s="18"/>
      <c r="AV694" s="18"/>
    </row>
    <row r="695" spans="5:48" x14ac:dyDescent="0.2">
      <c r="E695" s="1"/>
      <c r="F695" s="1"/>
      <c r="G695" s="1"/>
      <c r="H695" s="1"/>
      <c r="I695" s="1"/>
      <c r="J695" s="1"/>
      <c r="K695" s="1"/>
      <c r="L695" s="1"/>
      <c r="M695" s="1"/>
      <c r="AU695" s="18"/>
      <c r="AV695" s="18"/>
    </row>
    <row r="696" spans="5:48" x14ac:dyDescent="0.2">
      <c r="E696" s="1"/>
      <c r="F696" s="1"/>
      <c r="G696" s="1"/>
      <c r="H696" s="1"/>
      <c r="I696" s="1"/>
      <c r="J696" s="1"/>
      <c r="K696" s="1"/>
      <c r="L696" s="1"/>
      <c r="M696" s="1"/>
      <c r="AU696" s="18"/>
      <c r="AV696" s="18"/>
    </row>
    <row r="697" spans="5:48" x14ac:dyDescent="0.2">
      <c r="E697" s="1"/>
      <c r="F697" s="1"/>
      <c r="G697" s="1"/>
      <c r="H697" s="1"/>
      <c r="I697" s="1"/>
      <c r="J697" s="1"/>
      <c r="K697" s="1"/>
      <c r="L697" s="1"/>
      <c r="M697" s="1"/>
      <c r="AU697" s="18"/>
      <c r="AV697" s="18"/>
    </row>
    <row r="698" spans="5:48" x14ac:dyDescent="0.2">
      <c r="E698" s="1"/>
      <c r="F698" s="1"/>
      <c r="G698" s="1"/>
      <c r="H698" s="1"/>
      <c r="I698" s="1"/>
      <c r="J698" s="1"/>
      <c r="K698" s="1"/>
      <c r="L698" s="1"/>
      <c r="M698" s="1"/>
      <c r="AU698" s="18"/>
      <c r="AV698" s="18"/>
    </row>
    <row r="699" spans="5:48" x14ac:dyDescent="0.2">
      <c r="E699" s="1"/>
      <c r="F699" s="1"/>
      <c r="G699" s="1"/>
      <c r="H699" s="1"/>
      <c r="I699" s="1"/>
      <c r="J699" s="1"/>
      <c r="K699" s="1"/>
      <c r="L699" s="1"/>
      <c r="M699" s="1"/>
      <c r="AU699" s="18"/>
      <c r="AV699" s="18"/>
    </row>
    <row r="700" spans="5:48" x14ac:dyDescent="0.2">
      <c r="E700" s="1"/>
      <c r="F700" s="1"/>
      <c r="G700" s="1"/>
      <c r="H700" s="1"/>
      <c r="I700" s="1"/>
      <c r="J700" s="1"/>
      <c r="K700" s="1"/>
      <c r="L700" s="1"/>
      <c r="M700" s="1"/>
      <c r="AU700" s="18"/>
      <c r="AV700" s="18"/>
    </row>
    <row r="701" spans="5:48" x14ac:dyDescent="0.2">
      <c r="E701" s="1"/>
      <c r="F701" s="1"/>
      <c r="G701" s="1"/>
      <c r="H701" s="1"/>
      <c r="I701" s="1"/>
      <c r="J701" s="1"/>
      <c r="K701" s="1"/>
      <c r="L701" s="1"/>
      <c r="M701" s="1"/>
      <c r="AU701" s="18"/>
      <c r="AV701" s="18"/>
    </row>
    <row r="702" spans="5:48" x14ac:dyDescent="0.2">
      <c r="E702" s="1"/>
      <c r="F702" s="1"/>
      <c r="G702" s="1"/>
      <c r="H702" s="1"/>
      <c r="I702" s="1"/>
      <c r="J702" s="1"/>
      <c r="K702" s="1"/>
      <c r="L702" s="1"/>
      <c r="M702" s="1"/>
      <c r="AU702" s="18"/>
      <c r="AV702" s="18"/>
    </row>
    <row r="703" spans="5:48" x14ac:dyDescent="0.2">
      <c r="E703" s="1"/>
      <c r="F703" s="1"/>
      <c r="G703" s="1"/>
      <c r="H703" s="1"/>
      <c r="I703" s="1"/>
      <c r="J703" s="1"/>
      <c r="K703" s="1"/>
      <c r="L703" s="1"/>
      <c r="M703" s="1"/>
      <c r="AU703" s="18"/>
      <c r="AV703" s="18"/>
    </row>
    <row r="704" spans="5:48" x14ac:dyDescent="0.2">
      <c r="E704" s="1"/>
      <c r="F704" s="1"/>
      <c r="G704" s="1"/>
      <c r="H704" s="1"/>
      <c r="I704" s="1"/>
      <c r="J704" s="1"/>
      <c r="K704" s="1"/>
      <c r="L704" s="1"/>
      <c r="M704" s="1"/>
      <c r="AU704" s="18"/>
      <c r="AV704" s="18"/>
    </row>
    <row r="705" spans="5:48" x14ac:dyDescent="0.2">
      <c r="E705" s="1"/>
      <c r="F705" s="1"/>
      <c r="G705" s="1"/>
      <c r="H705" s="1"/>
      <c r="I705" s="1"/>
      <c r="J705" s="1"/>
      <c r="K705" s="1"/>
      <c r="L705" s="1"/>
      <c r="M705" s="1"/>
      <c r="AU705" s="18"/>
      <c r="AV705" s="18"/>
    </row>
    <row r="706" spans="5:48" x14ac:dyDescent="0.2">
      <c r="E706" s="1"/>
      <c r="F706" s="1"/>
      <c r="G706" s="1"/>
      <c r="H706" s="1"/>
      <c r="I706" s="1"/>
      <c r="J706" s="1"/>
      <c r="K706" s="1"/>
      <c r="L706" s="1"/>
      <c r="M706" s="1"/>
      <c r="AU706" s="18"/>
      <c r="AV706" s="18"/>
    </row>
    <row r="707" spans="5:48" x14ac:dyDescent="0.2">
      <c r="E707" s="1"/>
      <c r="F707" s="1"/>
      <c r="G707" s="1"/>
      <c r="H707" s="1"/>
      <c r="I707" s="1"/>
      <c r="J707" s="1"/>
      <c r="K707" s="1"/>
      <c r="L707" s="1"/>
      <c r="M707" s="1"/>
      <c r="AU707" s="18"/>
      <c r="AV707" s="18"/>
    </row>
    <row r="708" spans="5:48" x14ac:dyDescent="0.2">
      <c r="E708" s="1"/>
      <c r="F708" s="1"/>
      <c r="G708" s="1"/>
      <c r="H708" s="1"/>
      <c r="I708" s="1"/>
      <c r="J708" s="1"/>
      <c r="K708" s="1"/>
      <c r="L708" s="1"/>
      <c r="M708" s="1"/>
      <c r="AU708" s="18"/>
      <c r="AV708" s="18"/>
    </row>
    <row r="709" spans="5:48" x14ac:dyDescent="0.2">
      <c r="E709" s="1"/>
      <c r="F709" s="1"/>
      <c r="G709" s="1"/>
      <c r="H709" s="1"/>
      <c r="I709" s="1"/>
      <c r="J709" s="1"/>
      <c r="K709" s="1"/>
      <c r="L709" s="1"/>
      <c r="M709" s="1"/>
      <c r="AU709" s="18"/>
      <c r="AV709" s="18"/>
    </row>
    <row r="710" spans="5:48" x14ac:dyDescent="0.2">
      <c r="E710" s="1"/>
      <c r="F710" s="1"/>
      <c r="G710" s="1"/>
      <c r="H710" s="1"/>
      <c r="I710" s="1"/>
      <c r="J710" s="1"/>
      <c r="K710" s="1"/>
      <c r="L710" s="1"/>
      <c r="M710" s="1"/>
      <c r="AU710" s="18"/>
      <c r="AV710" s="18"/>
    </row>
    <row r="711" spans="5:48" x14ac:dyDescent="0.2">
      <c r="E711" s="1"/>
      <c r="F711" s="1"/>
      <c r="G711" s="1"/>
      <c r="H711" s="1"/>
      <c r="I711" s="1"/>
      <c r="J711" s="1"/>
      <c r="K711" s="1"/>
      <c r="L711" s="1"/>
      <c r="M711" s="1"/>
      <c r="AU711" s="18"/>
      <c r="AV711" s="18"/>
    </row>
    <row r="712" spans="5:48" x14ac:dyDescent="0.2">
      <c r="E712" s="1"/>
      <c r="F712" s="1"/>
      <c r="G712" s="1"/>
      <c r="H712" s="1"/>
      <c r="I712" s="1"/>
      <c r="J712" s="1"/>
      <c r="K712" s="1"/>
      <c r="L712" s="1"/>
      <c r="M712" s="1"/>
      <c r="AU712" s="18"/>
      <c r="AV712" s="18"/>
    </row>
    <row r="713" spans="5:48" x14ac:dyDescent="0.2">
      <c r="E713" s="1"/>
      <c r="F713" s="1"/>
      <c r="G713" s="1"/>
      <c r="H713" s="1"/>
      <c r="I713" s="1"/>
      <c r="J713" s="1"/>
      <c r="K713" s="1"/>
      <c r="L713" s="1"/>
      <c r="M713" s="1"/>
      <c r="AU713" s="18"/>
      <c r="AV713" s="18"/>
    </row>
    <row r="714" spans="5:48" x14ac:dyDescent="0.2">
      <c r="E714" s="1"/>
      <c r="F714" s="1"/>
      <c r="G714" s="1"/>
      <c r="H714" s="1"/>
      <c r="I714" s="1"/>
      <c r="J714" s="1"/>
      <c r="K714" s="1"/>
      <c r="L714" s="1"/>
      <c r="M714" s="1"/>
      <c r="AU714" s="18"/>
      <c r="AV714" s="18"/>
    </row>
    <row r="715" spans="5:48" x14ac:dyDescent="0.2">
      <c r="E715" s="1"/>
      <c r="F715" s="1"/>
      <c r="G715" s="1"/>
      <c r="H715" s="1"/>
      <c r="I715" s="1"/>
      <c r="J715" s="1"/>
      <c r="K715" s="1"/>
      <c r="L715" s="1"/>
      <c r="M715" s="1"/>
      <c r="AU715" s="18"/>
      <c r="AV715" s="18"/>
    </row>
    <row r="716" spans="5:48" x14ac:dyDescent="0.2">
      <c r="E716" s="1"/>
      <c r="F716" s="1"/>
      <c r="G716" s="1"/>
      <c r="H716" s="1"/>
      <c r="I716" s="1"/>
      <c r="J716" s="1"/>
      <c r="K716" s="1"/>
      <c r="L716" s="1"/>
      <c r="M716" s="1"/>
      <c r="AU716" s="18"/>
      <c r="AV716" s="18"/>
    </row>
    <row r="717" spans="5:48" x14ac:dyDescent="0.2">
      <c r="E717" s="1"/>
      <c r="F717" s="1"/>
      <c r="G717" s="1"/>
      <c r="H717" s="1"/>
      <c r="I717" s="1"/>
      <c r="J717" s="1"/>
      <c r="K717" s="1"/>
      <c r="L717" s="1"/>
      <c r="M717" s="1"/>
      <c r="AU717" s="18"/>
      <c r="AV717" s="18"/>
    </row>
    <row r="718" spans="5:48" x14ac:dyDescent="0.2">
      <c r="E718" s="1"/>
      <c r="F718" s="1"/>
      <c r="G718" s="1"/>
      <c r="H718" s="1"/>
      <c r="I718" s="1"/>
      <c r="J718" s="1"/>
      <c r="K718" s="1"/>
      <c r="L718" s="1"/>
      <c r="M718" s="1"/>
      <c r="AU718" s="18"/>
      <c r="AV718" s="18"/>
    </row>
    <row r="719" spans="5:48" x14ac:dyDescent="0.2">
      <c r="E719" s="1"/>
      <c r="F719" s="1"/>
      <c r="G719" s="1"/>
      <c r="H719" s="1"/>
      <c r="I719" s="1"/>
      <c r="J719" s="1"/>
      <c r="K719" s="1"/>
      <c r="L719" s="1"/>
      <c r="M719" s="1"/>
      <c r="AU719" s="18"/>
      <c r="AV719" s="18"/>
    </row>
    <row r="720" spans="5:48" x14ac:dyDescent="0.2">
      <c r="E720" s="1"/>
      <c r="F720" s="1"/>
      <c r="G720" s="1"/>
      <c r="H720" s="1"/>
      <c r="I720" s="1"/>
      <c r="J720" s="1"/>
      <c r="K720" s="1"/>
      <c r="L720" s="1"/>
      <c r="M720" s="1"/>
      <c r="AU720" s="18"/>
      <c r="AV720" s="18"/>
    </row>
    <row r="721" spans="5:48" x14ac:dyDescent="0.2">
      <c r="E721" s="1"/>
      <c r="F721" s="1"/>
      <c r="G721" s="1"/>
      <c r="H721" s="1"/>
      <c r="I721" s="1"/>
      <c r="J721" s="1"/>
      <c r="K721" s="1"/>
      <c r="L721" s="1"/>
      <c r="M721" s="1"/>
      <c r="AU721" s="18"/>
      <c r="AV721" s="18"/>
    </row>
    <row r="722" spans="5:48" x14ac:dyDescent="0.2">
      <c r="E722" s="1"/>
      <c r="F722" s="1"/>
      <c r="G722" s="1"/>
      <c r="H722" s="1"/>
      <c r="I722" s="1"/>
      <c r="J722" s="1"/>
      <c r="K722" s="1"/>
      <c r="L722" s="1"/>
      <c r="M722" s="1"/>
      <c r="AU722" s="18"/>
      <c r="AV722" s="18"/>
    </row>
    <row r="723" spans="5:48" x14ac:dyDescent="0.2">
      <c r="E723" s="1"/>
      <c r="F723" s="1"/>
      <c r="G723" s="1"/>
      <c r="H723" s="1"/>
      <c r="I723" s="1"/>
      <c r="J723" s="1"/>
      <c r="K723" s="1"/>
      <c r="L723" s="1"/>
      <c r="M723" s="1"/>
      <c r="AU723" s="18"/>
      <c r="AV723" s="18"/>
    </row>
    <row r="724" spans="5:48" x14ac:dyDescent="0.2">
      <c r="E724" s="1"/>
      <c r="F724" s="1"/>
      <c r="G724" s="1"/>
      <c r="H724" s="1"/>
      <c r="I724" s="1"/>
      <c r="J724" s="1"/>
      <c r="K724" s="1"/>
      <c r="L724" s="1"/>
      <c r="M724" s="1"/>
      <c r="AU724" s="18"/>
      <c r="AV724" s="18"/>
    </row>
    <row r="725" spans="5:48" x14ac:dyDescent="0.2">
      <c r="E725" s="1"/>
      <c r="F725" s="1"/>
      <c r="G725" s="1"/>
      <c r="H725" s="1"/>
      <c r="I725" s="1"/>
      <c r="J725" s="1"/>
      <c r="K725" s="1"/>
      <c r="L725" s="1"/>
      <c r="M725" s="1"/>
      <c r="AU725" s="18"/>
      <c r="AV725" s="18"/>
    </row>
    <row r="726" spans="5:48" x14ac:dyDescent="0.2">
      <c r="E726" s="1"/>
      <c r="F726" s="1"/>
      <c r="G726" s="1"/>
      <c r="H726" s="1"/>
      <c r="I726" s="1"/>
      <c r="J726" s="1"/>
      <c r="K726" s="1"/>
      <c r="L726" s="1"/>
      <c r="M726" s="1"/>
      <c r="AU726" s="18"/>
      <c r="AV726" s="18"/>
    </row>
    <row r="727" spans="5:48" x14ac:dyDescent="0.2">
      <c r="E727" s="1"/>
      <c r="F727" s="1"/>
      <c r="G727" s="1"/>
      <c r="H727" s="1"/>
      <c r="I727" s="1"/>
      <c r="J727" s="1"/>
      <c r="K727" s="1"/>
      <c r="L727" s="1"/>
      <c r="M727" s="1"/>
      <c r="AU727" s="18"/>
      <c r="AV727" s="18"/>
    </row>
    <row r="728" spans="5:48" x14ac:dyDescent="0.2">
      <c r="E728" s="1"/>
      <c r="F728" s="1"/>
      <c r="G728" s="1"/>
      <c r="H728" s="1"/>
      <c r="I728" s="1"/>
      <c r="J728" s="1"/>
      <c r="K728" s="1"/>
      <c r="L728" s="1"/>
      <c r="M728" s="1"/>
      <c r="AU728" s="18"/>
      <c r="AV728" s="18"/>
    </row>
    <row r="729" spans="5:48" x14ac:dyDescent="0.2">
      <c r="E729" s="1"/>
      <c r="F729" s="1"/>
      <c r="G729" s="1"/>
      <c r="H729" s="1"/>
      <c r="I729" s="1"/>
      <c r="J729" s="1"/>
      <c r="K729" s="1"/>
      <c r="L729" s="1"/>
      <c r="M729" s="1"/>
      <c r="AU729" s="18"/>
      <c r="AV729" s="18"/>
    </row>
    <row r="730" spans="5:48" x14ac:dyDescent="0.2">
      <c r="E730" s="1"/>
      <c r="F730" s="1"/>
      <c r="G730" s="1"/>
      <c r="H730" s="1"/>
      <c r="I730" s="1"/>
      <c r="J730" s="1"/>
      <c r="K730" s="1"/>
      <c r="L730" s="1"/>
      <c r="M730" s="1"/>
      <c r="AU730" s="18"/>
      <c r="AV730" s="18"/>
    </row>
    <row r="731" spans="5:48" x14ac:dyDescent="0.2">
      <c r="E731" s="1"/>
      <c r="F731" s="1"/>
      <c r="G731" s="1"/>
      <c r="H731" s="1"/>
      <c r="I731" s="1"/>
      <c r="J731" s="1"/>
      <c r="K731" s="1"/>
      <c r="L731" s="1"/>
      <c r="M731" s="1"/>
      <c r="AU731" s="18"/>
      <c r="AV731" s="18"/>
    </row>
    <row r="732" spans="5:48" x14ac:dyDescent="0.2">
      <c r="E732" s="1"/>
      <c r="F732" s="1"/>
      <c r="G732" s="1"/>
      <c r="H732" s="1"/>
      <c r="I732" s="1"/>
      <c r="J732" s="1"/>
      <c r="K732" s="1"/>
      <c r="L732" s="1"/>
      <c r="M732" s="1"/>
      <c r="AU732" s="18"/>
      <c r="AV732" s="18"/>
    </row>
    <row r="733" spans="5:48" x14ac:dyDescent="0.2">
      <c r="E733" s="1"/>
      <c r="F733" s="1"/>
      <c r="G733" s="1"/>
      <c r="H733" s="1"/>
      <c r="I733" s="1"/>
      <c r="J733" s="1"/>
      <c r="K733" s="1"/>
      <c r="L733" s="1"/>
      <c r="M733" s="1"/>
      <c r="AU733" s="18"/>
      <c r="AV733" s="18"/>
    </row>
    <row r="734" spans="5:48" x14ac:dyDescent="0.2">
      <c r="E734" s="1"/>
      <c r="F734" s="1"/>
      <c r="G734" s="1"/>
      <c r="H734" s="1"/>
      <c r="I734" s="1"/>
      <c r="J734" s="1"/>
      <c r="K734" s="1"/>
      <c r="L734" s="1"/>
      <c r="M734" s="1"/>
      <c r="AU734" s="18"/>
      <c r="AV734" s="18"/>
    </row>
    <row r="735" spans="5:48" x14ac:dyDescent="0.2">
      <c r="E735" s="1"/>
      <c r="F735" s="1"/>
      <c r="G735" s="1"/>
      <c r="H735" s="1"/>
      <c r="I735" s="1"/>
      <c r="J735" s="1"/>
      <c r="K735" s="1"/>
      <c r="L735" s="1"/>
      <c r="M735" s="1"/>
      <c r="AU735" s="18"/>
      <c r="AV735" s="18"/>
    </row>
    <row r="736" spans="5:48" x14ac:dyDescent="0.2">
      <c r="E736" s="1"/>
      <c r="F736" s="1"/>
      <c r="G736" s="1"/>
      <c r="H736" s="1"/>
      <c r="I736" s="1"/>
      <c r="J736" s="1"/>
      <c r="K736" s="1"/>
      <c r="L736" s="1"/>
      <c r="M736" s="1"/>
      <c r="AU736" s="18"/>
      <c r="AV736" s="18"/>
    </row>
    <row r="737" spans="5:48" x14ac:dyDescent="0.2">
      <c r="E737" s="1"/>
      <c r="F737" s="1"/>
      <c r="G737" s="1"/>
      <c r="H737" s="1"/>
      <c r="I737" s="1"/>
      <c r="J737" s="1"/>
      <c r="K737" s="1"/>
      <c r="L737" s="1"/>
      <c r="M737" s="1"/>
      <c r="AU737" s="18"/>
      <c r="AV737" s="18"/>
    </row>
    <row r="738" spans="5:48" x14ac:dyDescent="0.2">
      <c r="E738" s="1"/>
      <c r="F738" s="1"/>
      <c r="G738" s="1"/>
      <c r="H738" s="1"/>
      <c r="I738" s="1"/>
      <c r="J738" s="1"/>
      <c r="K738" s="1"/>
      <c r="L738" s="1"/>
      <c r="M738" s="1"/>
      <c r="AU738" s="18"/>
      <c r="AV738" s="18"/>
    </row>
    <row r="739" spans="5:48" x14ac:dyDescent="0.2">
      <c r="E739" s="1"/>
      <c r="F739" s="1"/>
      <c r="G739" s="1"/>
      <c r="H739" s="1"/>
      <c r="I739" s="1"/>
      <c r="J739" s="1"/>
      <c r="K739" s="1"/>
      <c r="L739" s="1"/>
      <c r="M739" s="1"/>
      <c r="AU739" s="18"/>
      <c r="AV739" s="18"/>
    </row>
    <row r="740" spans="5:48" x14ac:dyDescent="0.2">
      <c r="E740" s="1"/>
      <c r="F740" s="1"/>
      <c r="G740" s="1"/>
      <c r="H740" s="1"/>
      <c r="I740" s="1"/>
      <c r="J740" s="1"/>
      <c r="K740" s="1"/>
      <c r="L740" s="1"/>
      <c r="M740" s="1"/>
      <c r="AU740" s="18"/>
      <c r="AV740" s="18"/>
    </row>
    <row r="741" spans="5:48" x14ac:dyDescent="0.2">
      <c r="E741" s="1"/>
      <c r="F741" s="1"/>
      <c r="G741" s="1"/>
      <c r="H741" s="1"/>
      <c r="I741" s="1"/>
      <c r="J741" s="1"/>
      <c r="K741" s="1"/>
      <c r="L741" s="1"/>
      <c r="M741" s="1"/>
      <c r="AU741" s="18"/>
      <c r="AV741" s="18"/>
    </row>
    <row r="742" spans="5:48" x14ac:dyDescent="0.2">
      <c r="E742" s="1"/>
      <c r="F742" s="1"/>
      <c r="G742" s="1"/>
      <c r="H742" s="1"/>
      <c r="I742" s="1"/>
      <c r="J742" s="1"/>
      <c r="K742" s="1"/>
      <c r="L742" s="1"/>
      <c r="M742" s="1"/>
      <c r="AU742" s="18"/>
      <c r="AV742" s="18"/>
    </row>
    <row r="743" spans="5:48" x14ac:dyDescent="0.2">
      <c r="E743" s="1"/>
      <c r="F743" s="1"/>
      <c r="G743" s="1"/>
      <c r="H743" s="1"/>
      <c r="I743" s="1"/>
      <c r="J743" s="1"/>
      <c r="K743" s="1"/>
      <c r="L743" s="1"/>
      <c r="M743" s="1"/>
      <c r="AU743" s="18"/>
      <c r="AV743" s="18"/>
    </row>
    <row r="744" spans="5:48" x14ac:dyDescent="0.2">
      <c r="E744" s="1"/>
      <c r="F744" s="1"/>
      <c r="G744" s="1"/>
      <c r="H744" s="1"/>
      <c r="I744" s="1"/>
      <c r="J744" s="1"/>
      <c r="K744" s="1"/>
      <c r="L744" s="1"/>
      <c r="M744" s="1"/>
      <c r="AU744" s="18"/>
      <c r="AV744" s="18"/>
    </row>
    <row r="745" spans="5:48" x14ac:dyDescent="0.2">
      <c r="E745" s="1"/>
      <c r="F745" s="1"/>
      <c r="G745" s="1"/>
      <c r="H745" s="1"/>
      <c r="I745" s="1"/>
      <c r="J745" s="1"/>
      <c r="K745" s="1"/>
      <c r="L745" s="1"/>
      <c r="M745" s="1"/>
      <c r="AU745" s="18"/>
      <c r="AV745" s="18"/>
    </row>
    <row r="746" spans="5:48" x14ac:dyDescent="0.2">
      <c r="E746" s="1"/>
      <c r="F746" s="1"/>
      <c r="G746" s="1"/>
      <c r="H746" s="1"/>
      <c r="I746" s="1"/>
      <c r="J746" s="1"/>
      <c r="K746" s="1"/>
      <c r="L746" s="1"/>
      <c r="M746" s="1"/>
      <c r="AU746" s="18"/>
      <c r="AV746" s="18"/>
    </row>
    <row r="747" spans="5:48" x14ac:dyDescent="0.2">
      <c r="E747" s="1"/>
      <c r="F747" s="1"/>
      <c r="G747" s="1"/>
      <c r="H747" s="1"/>
      <c r="I747" s="1"/>
      <c r="J747" s="1"/>
      <c r="K747" s="1"/>
      <c r="L747" s="1"/>
      <c r="M747" s="1"/>
      <c r="AU747" s="18"/>
      <c r="AV747" s="18"/>
    </row>
    <row r="748" spans="5:48" x14ac:dyDescent="0.2">
      <c r="E748" s="1"/>
      <c r="F748" s="1"/>
      <c r="G748" s="1"/>
      <c r="H748" s="1"/>
      <c r="I748" s="1"/>
      <c r="J748" s="1"/>
      <c r="K748" s="1"/>
      <c r="L748" s="1"/>
      <c r="M748" s="1"/>
      <c r="AU748" s="18"/>
      <c r="AV748" s="18"/>
    </row>
    <row r="749" spans="5:48" x14ac:dyDescent="0.2">
      <c r="E749" s="1"/>
      <c r="F749" s="1"/>
      <c r="G749" s="1"/>
      <c r="H749" s="1"/>
      <c r="I749" s="1"/>
      <c r="J749" s="1"/>
      <c r="K749" s="1"/>
      <c r="L749" s="1"/>
      <c r="M749" s="1"/>
      <c r="AU749" s="18"/>
      <c r="AV749" s="18"/>
    </row>
    <row r="750" spans="5:48" x14ac:dyDescent="0.2">
      <c r="E750" s="1"/>
      <c r="F750" s="1"/>
      <c r="G750" s="1"/>
      <c r="H750" s="1"/>
      <c r="I750" s="1"/>
      <c r="J750" s="1"/>
      <c r="K750" s="1"/>
      <c r="L750" s="1"/>
      <c r="M750" s="1"/>
      <c r="AU750" s="18"/>
      <c r="AV750" s="18"/>
    </row>
    <row r="751" spans="5:48" x14ac:dyDescent="0.2">
      <c r="E751" s="1"/>
      <c r="F751" s="1"/>
      <c r="G751" s="1"/>
      <c r="H751" s="1"/>
      <c r="I751" s="1"/>
      <c r="J751" s="1"/>
      <c r="K751" s="1"/>
      <c r="L751" s="1"/>
      <c r="M751" s="1"/>
      <c r="AU751" s="18"/>
      <c r="AV751" s="18"/>
    </row>
    <row r="752" spans="5:48" x14ac:dyDescent="0.2">
      <c r="E752" s="1"/>
      <c r="F752" s="1"/>
      <c r="G752" s="1"/>
      <c r="H752" s="1"/>
      <c r="I752" s="1"/>
      <c r="J752" s="1"/>
      <c r="K752" s="1"/>
      <c r="L752" s="1"/>
      <c r="M752" s="1"/>
      <c r="AU752" s="18"/>
      <c r="AV752" s="18"/>
    </row>
    <row r="753" spans="5:48" x14ac:dyDescent="0.2">
      <c r="E753" s="1"/>
      <c r="F753" s="1"/>
      <c r="G753" s="1"/>
      <c r="H753" s="1"/>
      <c r="I753" s="1"/>
      <c r="J753" s="1"/>
      <c r="K753" s="1"/>
      <c r="L753" s="1"/>
      <c r="M753" s="1"/>
      <c r="AU753" s="18"/>
      <c r="AV753" s="18"/>
    </row>
    <row r="754" spans="5:48" x14ac:dyDescent="0.2">
      <c r="E754" s="1"/>
      <c r="F754" s="1"/>
      <c r="G754" s="1"/>
      <c r="H754" s="1"/>
      <c r="I754" s="1"/>
      <c r="J754" s="1"/>
      <c r="K754" s="1"/>
      <c r="L754" s="1"/>
      <c r="M754" s="1"/>
      <c r="AU754" s="18"/>
      <c r="AV754" s="18"/>
    </row>
    <row r="755" spans="5:48" x14ac:dyDescent="0.2">
      <c r="E755" s="1"/>
      <c r="F755" s="1"/>
      <c r="G755" s="1"/>
      <c r="H755" s="1"/>
      <c r="I755" s="1"/>
      <c r="J755" s="1"/>
      <c r="K755" s="1"/>
      <c r="L755" s="1"/>
      <c r="M755" s="1"/>
      <c r="AU755" s="18"/>
      <c r="AV755" s="18"/>
    </row>
    <row r="756" spans="5:48" x14ac:dyDescent="0.2">
      <c r="E756" s="1"/>
      <c r="F756" s="1"/>
      <c r="G756" s="1"/>
      <c r="H756" s="1"/>
      <c r="I756" s="1"/>
      <c r="J756" s="1"/>
      <c r="K756" s="1"/>
      <c r="L756" s="1"/>
      <c r="M756" s="1"/>
      <c r="AU756" s="18"/>
      <c r="AV756" s="18"/>
    </row>
    <row r="757" spans="5:48" x14ac:dyDescent="0.2">
      <c r="E757" s="1"/>
      <c r="F757" s="1"/>
      <c r="G757" s="1"/>
      <c r="H757" s="1"/>
      <c r="I757" s="1"/>
      <c r="J757" s="1"/>
      <c r="K757" s="1"/>
      <c r="L757" s="1"/>
      <c r="M757" s="1"/>
      <c r="AU757" s="18"/>
      <c r="AV757" s="18"/>
    </row>
    <row r="758" spans="5:48" x14ac:dyDescent="0.2">
      <c r="E758" s="1"/>
      <c r="F758" s="1"/>
      <c r="G758" s="1"/>
      <c r="H758" s="1"/>
      <c r="I758" s="1"/>
      <c r="J758" s="1"/>
      <c r="K758" s="1"/>
      <c r="L758" s="1"/>
      <c r="M758" s="1"/>
      <c r="AU758" s="18"/>
      <c r="AV758" s="18"/>
    </row>
    <row r="759" spans="5:48" x14ac:dyDescent="0.2">
      <c r="E759" s="1"/>
      <c r="F759" s="1"/>
      <c r="G759" s="1"/>
      <c r="H759" s="1"/>
      <c r="I759" s="1"/>
      <c r="J759" s="1"/>
      <c r="K759" s="1"/>
      <c r="L759" s="1"/>
      <c r="M759" s="1"/>
      <c r="AU759" s="18"/>
      <c r="AV759" s="18"/>
    </row>
    <row r="760" spans="5:48" x14ac:dyDescent="0.2">
      <c r="E760" s="1"/>
      <c r="F760" s="1"/>
      <c r="G760" s="1"/>
      <c r="H760" s="1"/>
      <c r="I760" s="1"/>
      <c r="J760" s="1"/>
      <c r="K760" s="1"/>
      <c r="L760" s="1"/>
      <c r="M760" s="1"/>
      <c r="AU760" s="18"/>
      <c r="AV760" s="18"/>
    </row>
    <row r="761" spans="5:48" x14ac:dyDescent="0.2">
      <c r="E761" s="1"/>
      <c r="F761" s="1"/>
      <c r="G761" s="1"/>
      <c r="H761" s="1"/>
      <c r="I761" s="1"/>
      <c r="J761" s="1"/>
      <c r="K761" s="1"/>
      <c r="L761" s="1"/>
      <c r="M761" s="1"/>
      <c r="AU761" s="18"/>
      <c r="AV761" s="18"/>
    </row>
    <row r="762" spans="5:48" x14ac:dyDescent="0.2">
      <c r="E762" s="1"/>
      <c r="F762" s="1"/>
      <c r="G762" s="1"/>
      <c r="H762" s="1"/>
      <c r="I762" s="1"/>
      <c r="J762" s="1"/>
      <c r="K762" s="1"/>
      <c r="L762" s="1"/>
      <c r="M762" s="1"/>
      <c r="AU762" s="18"/>
      <c r="AV762" s="18"/>
    </row>
    <row r="763" spans="5:48" x14ac:dyDescent="0.2">
      <c r="E763" s="1"/>
      <c r="F763" s="1"/>
      <c r="G763" s="1"/>
      <c r="H763" s="1"/>
      <c r="I763" s="1"/>
      <c r="J763" s="1"/>
      <c r="K763" s="1"/>
      <c r="L763" s="1"/>
      <c r="M763" s="1"/>
      <c r="AU763" s="18"/>
      <c r="AV763" s="18"/>
    </row>
    <row r="764" spans="5:48" x14ac:dyDescent="0.2">
      <c r="E764" s="1"/>
      <c r="F764" s="1"/>
      <c r="G764" s="1"/>
      <c r="H764" s="1"/>
      <c r="I764" s="1"/>
      <c r="J764" s="1"/>
      <c r="K764" s="1"/>
      <c r="L764" s="1"/>
      <c r="M764" s="1"/>
      <c r="AU764" s="18"/>
      <c r="AV764" s="18"/>
    </row>
    <row r="765" spans="5:48" x14ac:dyDescent="0.2">
      <c r="E765" s="1"/>
      <c r="F765" s="1"/>
      <c r="G765" s="1"/>
      <c r="H765" s="1"/>
      <c r="I765" s="1"/>
      <c r="J765" s="1"/>
      <c r="K765" s="1"/>
      <c r="L765" s="1"/>
      <c r="M765" s="1"/>
      <c r="AU765" s="18"/>
      <c r="AV765" s="18"/>
    </row>
    <row r="766" spans="5:48" x14ac:dyDescent="0.2">
      <c r="E766" s="1"/>
      <c r="F766" s="1"/>
      <c r="G766" s="1"/>
      <c r="H766" s="1"/>
      <c r="I766" s="1"/>
      <c r="J766" s="1"/>
      <c r="K766" s="1"/>
      <c r="L766" s="1"/>
      <c r="M766" s="1"/>
      <c r="AU766" s="18"/>
      <c r="AV766" s="18"/>
    </row>
    <row r="767" spans="5:48" x14ac:dyDescent="0.2">
      <c r="E767" s="1"/>
      <c r="F767" s="1"/>
      <c r="G767" s="1"/>
      <c r="H767" s="1"/>
      <c r="I767" s="1"/>
      <c r="J767" s="1"/>
      <c r="K767" s="1"/>
      <c r="L767" s="1"/>
      <c r="M767" s="1"/>
      <c r="AU767" s="18"/>
      <c r="AV767" s="18"/>
    </row>
    <row r="768" spans="5:48" x14ac:dyDescent="0.2">
      <c r="E768" s="1"/>
      <c r="F768" s="1"/>
      <c r="G768" s="1"/>
      <c r="H768" s="1"/>
      <c r="I768" s="1"/>
      <c r="J768" s="1"/>
      <c r="K768" s="1"/>
      <c r="L768" s="1"/>
      <c r="M768" s="1"/>
      <c r="AU768" s="18"/>
      <c r="AV768" s="18"/>
    </row>
    <row r="769" spans="5:48" x14ac:dyDescent="0.2">
      <c r="E769" s="1"/>
      <c r="F769" s="1"/>
      <c r="G769" s="1"/>
      <c r="H769" s="1"/>
      <c r="I769" s="1"/>
      <c r="J769" s="1"/>
      <c r="K769" s="1"/>
      <c r="L769" s="1"/>
      <c r="M769" s="1"/>
      <c r="AU769" s="18"/>
      <c r="AV769" s="18"/>
    </row>
    <row r="770" spans="5:48" x14ac:dyDescent="0.2">
      <c r="E770" s="1"/>
      <c r="F770" s="1"/>
      <c r="G770" s="1"/>
      <c r="H770" s="1"/>
      <c r="I770" s="1"/>
      <c r="J770" s="1"/>
      <c r="K770" s="1"/>
      <c r="L770" s="1"/>
      <c r="M770" s="1"/>
      <c r="AU770" s="18"/>
      <c r="AV770" s="18"/>
    </row>
    <row r="771" spans="5:48" x14ac:dyDescent="0.2">
      <c r="E771" s="1"/>
      <c r="F771" s="1"/>
      <c r="G771" s="1"/>
      <c r="H771" s="1"/>
      <c r="I771" s="1"/>
      <c r="J771" s="1"/>
      <c r="K771" s="1"/>
      <c r="L771" s="1"/>
      <c r="M771" s="1"/>
      <c r="AU771" s="18"/>
      <c r="AV771" s="18"/>
    </row>
    <row r="772" spans="5:48" x14ac:dyDescent="0.2">
      <c r="E772" s="1"/>
      <c r="F772" s="1"/>
      <c r="G772" s="1"/>
      <c r="H772" s="1"/>
      <c r="I772" s="1"/>
      <c r="J772" s="1"/>
      <c r="K772" s="1"/>
      <c r="L772" s="1"/>
      <c r="M772" s="1"/>
      <c r="AU772" s="18"/>
      <c r="AV772" s="18"/>
    </row>
    <row r="773" spans="5:48" x14ac:dyDescent="0.2">
      <c r="E773" s="1"/>
      <c r="F773" s="1"/>
      <c r="G773" s="1"/>
      <c r="H773" s="1"/>
      <c r="I773" s="1"/>
      <c r="J773" s="1"/>
      <c r="K773" s="1"/>
      <c r="L773" s="1"/>
      <c r="M773" s="1"/>
      <c r="AU773" s="18"/>
      <c r="AV773" s="18"/>
    </row>
    <row r="774" spans="5:48" x14ac:dyDescent="0.2">
      <c r="E774" s="1"/>
      <c r="F774" s="1"/>
      <c r="G774" s="1"/>
      <c r="H774" s="1"/>
      <c r="I774" s="1"/>
      <c r="J774" s="1"/>
      <c r="K774" s="1"/>
      <c r="L774" s="1"/>
      <c r="M774" s="1"/>
      <c r="AU774" s="18"/>
      <c r="AV774" s="18"/>
    </row>
    <row r="775" spans="5:48" x14ac:dyDescent="0.2">
      <c r="E775" s="1"/>
      <c r="F775" s="1"/>
      <c r="G775" s="1"/>
      <c r="H775" s="1"/>
      <c r="I775" s="1"/>
      <c r="J775" s="1"/>
      <c r="K775" s="1"/>
      <c r="L775" s="1"/>
      <c r="M775" s="1"/>
      <c r="AU775" s="18"/>
      <c r="AV775" s="18"/>
    </row>
    <row r="776" spans="5:48" x14ac:dyDescent="0.2">
      <c r="E776" s="1"/>
      <c r="F776" s="1"/>
      <c r="G776" s="1"/>
      <c r="H776" s="1"/>
      <c r="I776" s="1"/>
      <c r="J776" s="1"/>
      <c r="K776" s="1"/>
      <c r="L776" s="1"/>
      <c r="M776" s="1"/>
      <c r="AU776" s="18"/>
      <c r="AV776" s="18"/>
    </row>
    <row r="777" spans="5:48" x14ac:dyDescent="0.2">
      <c r="E777" s="1"/>
      <c r="F777" s="1"/>
      <c r="G777" s="1"/>
      <c r="H777" s="1"/>
      <c r="I777" s="1"/>
      <c r="J777" s="1"/>
      <c r="K777" s="1"/>
      <c r="L777" s="1"/>
      <c r="M777" s="1"/>
      <c r="AU777" s="18"/>
      <c r="AV777" s="18"/>
    </row>
    <row r="778" spans="5:48" x14ac:dyDescent="0.2">
      <c r="E778" s="1"/>
      <c r="F778" s="1"/>
      <c r="G778" s="1"/>
      <c r="H778" s="1"/>
      <c r="I778" s="1"/>
      <c r="J778" s="1"/>
      <c r="K778" s="1"/>
      <c r="L778" s="1"/>
      <c r="M778" s="1"/>
      <c r="AU778" s="18"/>
      <c r="AV778" s="18"/>
    </row>
    <row r="779" spans="5:48" x14ac:dyDescent="0.2">
      <c r="E779" s="1"/>
      <c r="F779" s="1"/>
      <c r="G779" s="1"/>
      <c r="H779" s="1"/>
      <c r="I779" s="1"/>
      <c r="J779" s="1"/>
      <c r="K779" s="1"/>
      <c r="L779" s="1"/>
      <c r="M779" s="1"/>
      <c r="AU779" s="18"/>
      <c r="AV779" s="18"/>
    </row>
    <row r="780" spans="5:48" x14ac:dyDescent="0.2">
      <c r="E780" s="1"/>
      <c r="F780" s="1"/>
      <c r="G780" s="1"/>
      <c r="H780" s="1"/>
      <c r="I780" s="1"/>
      <c r="J780" s="1"/>
      <c r="K780" s="1"/>
      <c r="L780" s="1"/>
      <c r="M780" s="1"/>
      <c r="AU780" s="18"/>
      <c r="AV780" s="18"/>
    </row>
    <row r="781" spans="5:48" x14ac:dyDescent="0.2">
      <c r="E781" s="1"/>
      <c r="F781" s="1"/>
      <c r="G781" s="1"/>
      <c r="H781" s="1"/>
      <c r="I781" s="1"/>
      <c r="J781" s="1"/>
      <c r="K781" s="1"/>
      <c r="L781" s="1"/>
      <c r="M781" s="1"/>
      <c r="AU781" s="18"/>
      <c r="AV781" s="18"/>
    </row>
    <row r="782" spans="5:48" x14ac:dyDescent="0.2">
      <c r="E782" s="1"/>
      <c r="F782" s="1"/>
      <c r="G782" s="1"/>
      <c r="H782" s="1"/>
      <c r="I782" s="1"/>
      <c r="J782" s="1"/>
      <c r="K782" s="1"/>
      <c r="L782" s="1"/>
      <c r="M782" s="1"/>
      <c r="AU782" s="18"/>
      <c r="AV782" s="18"/>
    </row>
    <row r="783" spans="5:48" x14ac:dyDescent="0.2">
      <c r="E783" s="1"/>
      <c r="F783" s="1"/>
      <c r="G783" s="1"/>
      <c r="H783" s="1"/>
      <c r="I783" s="1"/>
      <c r="J783" s="1"/>
      <c r="K783" s="1"/>
      <c r="L783" s="1"/>
      <c r="M783" s="1"/>
      <c r="AU783" s="18"/>
      <c r="AV783" s="18"/>
    </row>
    <row r="784" spans="5:48" x14ac:dyDescent="0.2">
      <c r="E784" s="1"/>
      <c r="F784" s="1"/>
      <c r="G784" s="1"/>
      <c r="H784" s="1"/>
      <c r="I784" s="1"/>
      <c r="J784" s="1"/>
      <c r="K784" s="1"/>
      <c r="L784" s="1"/>
      <c r="M784" s="1"/>
      <c r="AU784" s="18"/>
      <c r="AV784" s="18"/>
    </row>
    <row r="785" spans="5:48" x14ac:dyDescent="0.2">
      <c r="E785" s="1"/>
      <c r="F785" s="1"/>
      <c r="G785" s="1"/>
      <c r="H785" s="1"/>
      <c r="I785" s="1"/>
      <c r="J785" s="1"/>
      <c r="K785" s="1"/>
      <c r="L785" s="1"/>
      <c r="M785" s="1"/>
      <c r="AU785" s="18"/>
      <c r="AV785" s="18"/>
    </row>
    <row r="786" spans="5:48" x14ac:dyDescent="0.2">
      <c r="E786" s="1"/>
      <c r="F786" s="1"/>
      <c r="G786" s="1"/>
      <c r="H786" s="1"/>
      <c r="I786" s="1"/>
      <c r="J786" s="1"/>
      <c r="K786" s="1"/>
      <c r="L786" s="1"/>
      <c r="M786" s="1"/>
      <c r="AU786" s="18"/>
      <c r="AV786" s="18"/>
    </row>
    <row r="787" spans="5:48" x14ac:dyDescent="0.2">
      <c r="E787" s="1"/>
      <c r="F787" s="1"/>
      <c r="G787" s="1"/>
      <c r="H787" s="1"/>
      <c r="I787" s="1"/>
      <c r="J787" s="1"/>
      <c r="K787" s="1"/>
      <c r="L787" s="1"/>
      <c r="M787" s="1"/>
      <c r="AU787" s="18"/>
      <c r="AV787" s="18"/>
    </row>
    <row r="788" spans="5:48" x14ac:dyDescent="0.2">
      <c r="E788" s="1"/>
      <c r="F788" s="1"/>
      <c r="G788" s="1"/>
      <c r="H788" s="1"/>
      <c r="I788" s="1"/>
      <c r="J788" s="1"/>
      <c r="K788" s="1"/>
      <c r="L788" s="1"/>
      <c r="M788" s="1"/>
      <c r="AU788" s="18"/>
      <c r="AV788" s="18"/>
    </row>
    <row r="789" spans="5:48" x14ac:dyDescent="0.2">
      <c r="E789" s="1"/>
      <c r="F789" s="1"/>
      <c r="G789" s="1"/>
      <c r="H789" s="1"/>
      <c r="I789" s="1"/>
      <c r="J789" s="1"/>
      <c r="K789" s="1"/>
      <c r="L789" s="1"/>
      <c r="M789" s="1"/>
      <c r="AU789" s="18"/>
      <c r="AV789" s="18"/>
    </row>
    <row r="790" spans="5:48" x14ac:dyDescent="0.2">
      <c r="E790" s="1"/>
      <c r="F790" s="1"/>
      <c r="G790" s="1"/>
      <c r="H790" s="1"/>
      <c r="I790" s="1"/>
      <c r="J790" s="1"/>
      <c r="K790" s="1"/>
      <c r="L790" s="1"/>
      <c r="M790" s="1"/>
      <c r="AU790" s="18"/>
      <c r="AV790" s="18"/>
    </row>
    <row r="791" spans="5:48" x14ac:dyDescent="0.2">
      <c r="E791" s="1"/>
      <c r="F791" s="1"/>
      <c r="G791" s="1"/>
      <c r="H791" s="1"/>
      <c r="I791" s="1"/>
      <c r="J791" s="1"/>
      <c r="K791" s="1"/>
      <c r="L791" s="1"/>
      <c r="M791" s="1"/>
      <c r="AU791" s="18"/>
      <c r="AV791" s="18"/>
    </row>
    <row r="792" spans="5:48" x14ac:dyDescent="0.2">
      <c r="E792" s="1"/>
      <c r="F792" s="1"/>
      <c r="G792" s="1"/>
      <c r="H792" s="1"/>
      <c r="I792" s="1"/>
      <c r="J792" s="1"/>
      <c r="K792" s="1"/>
      <c r="L792" s="1"/>
      <c r="M792" s="1"/>
      <c r="AU792" s="18"/>
      <c r="AV792" s="18"/>
    </row>
    <row r="793" spans="5:48" x14ac:dyDescent="0.2">
      <c r="E793" s="1"/>
      <c r="F793" s="1"/>
      <c r="G793" s="1"/>
      <c r="H793" s="1"/>
      <c r="I793" s="1"/>
      <c r="J793" s="1"/>
      <c r="K793" s="1"/>
      <c r="L793" s="1"/>
      <c r="M793" s="1"/>
      <c r="AU793" s="18"/>
      <c r="AV793" s="18"/>
    </row>
    <row r="794" spans="5:48" x14ac:dyDescent="0.2">
      <c r="E794" s="1"/>
      <c r="F794" s="1"/>
      <c r="G794" s="1"/>
      <c r="H794" s="1"/>
      <c r="I794" s="1"/>
      <c r="J794" s="1"/>
      <c r="K794" s="1"/>
      <c r="L794" s="1"/>
      <c r="M794" s="1"/>
      <c r="AU794" s="18"/>
      <c r="AV794" s="18"/>
    </row>
    <row r="795" spans="5:48" x14ac:dyDescent="0.2">
      <c r="E795" s="1"/>
      <c r="F795" s="1"/>
      <c r="G795" s="1"/>
      <c r="H795" s="1"/>
      <c r="I795" s="1"/>
      <c r="J795" s="1"/>
      <c r="K795" s="1"/>
      <c r="L795" s="1"/>
      <c r="M795" s="1"/>
      <c r="AU795" s="18"/>
      <c r="AV795" s="18"/>
    </row>
    <row r="796" spans="5:48" x14ac:dyDescent="0.2">
      <c r="E796" s="1"/>
      <c r="F796" s="1"/>
      <c r="G796" s="1"/>
      <c r="H796" s="1"/>
      <c r="I796" s="1"/>
      <c r="J796" s="1"/>
      <c r="K796" s="1"/>
      <c r="L796" s="1"/>
      <c r="M796" s="1"/>
      <c r="AU796" s="18"/>
      <c r="AV796" s="18"/>
    </row>
    <row r="797" spans="5:48" x14ac:dyDescent="0.2">
      <c r="E797" s="1"/>
      <c r="F797" s="1"/>
      <c r="G797" s="1"/>
      <c r="H797" s="1"/>
      <c r="I797" s="1"/>
      <c r="J797" s="1"/>
      <c r="K797" s="1"/>
      <c r="L797" s="1"/>
      <c r="M797" s="1"/>
      <c r="AU797" s="18"/>
      <c r="AV797" s="18"/>
    </row>
    <row r="798" spans="5:48" x14ac:dyDescent="0.2">
      <c r="E798" s="1"/>
      <c r="F798" s="1"/>
      <c r="G798" s="1"/>
      <c r="H798" s="1"/>
      <c r="I798" s="1"/>
      <c r="J798" s="1"/>
      <c r="K798" s="1"/>
      <c r="L798" s="1"/>
      <c r="M798" s="1"/>
      <c r="AU798" s="18"/>
      <c r="AV798" s="18"/>
    </row>
    <row r="799" spans="5:48" x14ac:dyDescent="0.2">
      <c r="E799" s="1"/>
      <c r="F799" s="1"/>
      <c r="G799" s="1"/>
      <c r="H799" s="1"/>
      <c r="I799" s="1"/>
      <c r="J799" s="1"/>
      <c r="K799" s="1"/>
      <c r="L799" s="1"/>
      <c r="M799" s="1"/>
      <c r="AU799" s="18"/>
      <c r="AV799" s="18"/>
    </row>
    <row r="800" spans="5:48" x14ac:dyDescent="0.2">
      <c r="E800" s="1"/>
      <c r="F800" s="1"/>
      <c r="G800" s="1"/>
      <c r="H800" s="1"/>
      <c r="I800" s="1"/>
      <c r="J800" s="1"/>
      <c r="K800" s="1"/>
      <c r="L800" s="1"/>
      <c r="M800" s="1"/>
      <c r="AU800" s="18"/>
      <c r="AV800" s="18"/>
    </row>
    <row r="801" spans="5:48" x14ac:dyDescent="0.2">
      <c r="E801" s="1"/>
      <c r="F801" s="1"/>
      <c r="G801" s="1"/>
      <c r="H801" s="1"/>
      <c r="I801" s="1"/>
      <c r="J801" s="1"/>
      <c r="K801" s="1"/>
      <c r="L801" s="1"/>
      <c r="M801" s="1"/>
      <c r="AU801" s="18"/>
      <c r="AV801" s="18"/>
    </row>
    <row r="802" spans="5:48" x14ac:dyDescent="0.2">
      <c r="E802" s="1"/>
      <c r="F802" s="1"/>
      <c r="G802" s="1"/>
      <c r="H802" s="1"/>
      <c r="I802" s="1"/>
      <c r="J802" s="1"/>
      <c r="K802" s="1"/>
      <c r="L802" s="1"/>
      <c r="M802" s="1"/>
      <c r="AU802" s="18"/>
      <c r="AV802" s="18"/>
    </row>
    <row r="803" spans="5:48" x14ac:dyDescent="0.2">
      <c r="E803" s="1"/>
      <c r="F803" s="1"/>
      <c r="G803" s="1"/>
      <c r="H803" s="1"/>
      <c r="I803" s="1"/>
      <c r="J803" s="1"/>
      <c r="K803" s="1"/>
      <c r="L803" s="1"/>
      <c r="M803" s="1"/>
      <c r="AU803" s="18"/>
      <c r="AV803" s="18"/>
    </row>
    <row r="804" spans="5:48" x14ac:dyDescent="0.2">
      <c r="E804" s="1"/>
      <c r="F804" s="1"/>
      <c r="G804" s="1"/>
      <c r="H804" s="1"/>
      <c r="I804" s="1"/>
      <c r="J804" s="1"/>
      <c r="K804" s="1"/>
      <c r="L804" s="1"/>
      <c r="M804" s="1"/>
      <c r="AU804" s="18"/>
      <c r="AV804" s="18"/>
    </row>
    <row r="805" spans="5:48" x14ac:dyDescent="0.2">
      <c r="E805" s="1"/>
      <c r="F805" s="1"/>
      <c r="G805" s="1"/>
      <c r="H805" s="1"/>
      <c r="I805" s="1"/>
      <c r="J805" s="1"/>
      <c r="K805" s="1"/>
      <c r="L805" s="1"/>
      <c r="M805" s="1"/>
      <c r="AU805" s="18"/>
      <c r="AV805" s="18"/>
    </row>
    <row r="806" spans="5:48" x14ac:dyDescent="0.2">
      <c r="E806" s="1"/>
      <c r="F806" s="1"/>
      <c r="G806" s="1"/>
      <c r="H806" s="1"/>
      <c r="I806" s="1"/>
      <c r="J806" s="1"/>
      <c r="K806" s="1"/>
      <c r="L806" s="1"/>
      <c r="M806" s="1"/>
      <c r="AU806" s="18"/>
      <c r="AV806" s="18"/>
    </row>
    <row r="807" spans="5:48" x14ac:dyDescent="0.2">
      <c r="E807" s="1"/>
      <c r="F807" s="1"/>
      <c r="G807" s="1"/>
      <c r="H807" s="1"/>
      <c r="I807" s="1"/>
      <c r="J807" s="1"/>
      <c r="K807" s="1"/>
      <c r="L807" s="1"/>
      <c r="M807" s="1"/>
      <c r="AU807" s="18"/>
      <c r="AV807" s="18"/>
    </row>
    <row r="808" spans="5:48" x14ac:dyDescent="0.2">
      <c r="E808" s="1"/>
      <c r="F808" s="1"/>
      <c r="G808" s="1"/>
      <c r="H808" s="1"/>
      <c r="I808" s="1"/>
      <c r="J808" s="1"/>
      <c r="K808" s="1"/>
      <c r="L808" s="1"/>
      <c r="M808" s="1"/>
      <c r="AU808" s="18"/>
      <c r="AV808" s="18"/>
    </row>
    <row r="809" spans="5:48" x14ac:dyDescent="0.2">
      <c r="E809" s="1"/>
      <c r="F809" s="1"/>
      <c r="G809" s="1"/>
      <c r="H809" s="1"/>
      <c r="I809" s="1"/>
      <c r="J809" s="1"/>
      <c r="K809" s="1"/>
      <c r="L809" s="1"/>
      <c r="M809" s="1"/>
      <c r="AU809" s="18"/>
      <c r="AV809" s="18"/>
    </row>
    <row r="810" spans="5:48" x14ac:dyDescent="0.2">
      <c r="E810" s="1"/>
      <c r="F810" s="1"/>
      <c r="G810" s="1"/>
      <c r="H810" s="1"/>
      <c r="I810" s="1"/>
      <c r="J810" s="1"/>
      <c r="K810" s="1"/>
      <c r="L810" s="1"/>
      <c r="M810" s="1"/>
      <c r="AU810" s="18"/>
      <c r="AV810" s="18"/>
    </row>
    <row r="811" spans="5:48" x14ac:dyDescent="0.2">
      <c r="E811" s="1"/>
      <c r="F811" s="1"/>
      <c r="G811" s="1"/>
      <c r="H811" s="1"/>
      <c r="I811" s="1"/>
      <c r="J811" s="1"/>
      <c r="K811" s="1"/>
      <c r="L811" s="1"/>
      <c r="M811" s="1"/>
      <c r="AU811" s="18"/>
      <c r="AV811" s="18"/>
    </row>
    <row r="812" spans="5:48" x14ac:dyDescent="0.2">
      <c r="E812" s="1"/>
      <c r="F812" s="1"/>
      <c r="G812" s="1"/>
      <c r="H812" s="1"/>
      <c r="I812" s="1"/>
      <c r="J812" s="1"/>
      <c r="K812" s="1"/>
      <c r="L812" s="1"/>
      <c r="M812" s="1"/>
      <c r="AU812" s="18"/>
      <c r="AV812" s="18"/>
    </row>
    <row r="813" spans="5:48" x14ac:dyDescent="0.2">
      <c r="E813" s="1"/>
      <c r="F813" s="1"/>
      <c r="G813" s="1"/>
      <c r="H813" s="1"/>
      <c r="I813" s="1"/>
      <c r="J813" s="1"/>
      <c r="K813" s="1"/>
      <c r="L813" s="1"/>
      <c r="M813" s="1"/>
      <c r="AU813" s="18"/>
      <c r="AV813" s="18"/>
    </row>
    <row r="814" spans="5:48" x14ac:dyDescent="0.2">
      <c r="E814" s="1"/>
      <c r="F814" s="1"/>
      <c r="G814" s="1"/>
      <c r="H814" s="1"/>
      <c r="I814" s="1"/>
      <c r="J814" s="1"/>
      <c r="K814" s="1"/>
      <c r="L814" s="1"/>
      <c r="M814" s="1"/>
      <c r="AU814" s="18"/>
      <c r="AV814" s="18"/>
    </row>
    <row r="815" spans="5:48" x14ac:dyDescent="0.2">
      <c r="E815" s="1"/>
      <c r="F815" s="1"/>
      <c r="G815" s="1"/>
      <c r="H815" s="1"/>
      <c r="I815" s="1"/>
      <c r="J815" s="1"/>
      <c r="K815" s="1"/>
      <c r="L815" s="1"/>
      <c r="M815" s="1"/>
      <c r="AU815" s="18"/>
      <c r="AV815" s="18"/>
    </row>
    <row r="816" spans="5:48" x14ac:dyDescent="0.2">
      <c r="E816" s="1"/>
      <c r="F816" s="1"/>
      <c r="G816" s="1"/>
      <c r="H816" s="1"/>
      <c r="I816" s="1"/>
      <c r="J816" s="1"/>
      <c r="K816" s="1"/>
      <c r="L816" s="1"/>
      <c r="M816" s="1"/>
      <c r="AU816" s="18"/>
      <c r="AV816" s="18"/>
    </row>
    <row r="817" spans="5:48" x14ac:dyDescent="0.2">
      <c r="E817" s="1"/>
      <c r="F817" s="1"/>
      <c r="G817" s="1"/>
      <c r="H817" s="1"/>
      <c r="I817" s="1"/>
      <c r="J817" s="1"/>
      <c r="K817" s="1"/>
      <c r="L817" s="1"/>
      <c r="M817" s="1"/>
      <c r="AU817" s="18"/>
      <c r="AV817" s="18"/>
    </row>
    <row r="818" spans="5:48" x14ac:dyDescent="0.2">
      <c r="E818" s="1"/>
      <c r="F818" s="1"/>
      <c r="G818" s="1"/>
      <c r="H818" s="1"/>
      <c r="I818" s="1"/>
      <c r="J818" s="1"/>
      <c r="K818" s="1"/>
      <c r="L818" s="1"/>
      <c r="M818" s="1"/>
      <c r="AU818" s="18"/>
      <c r="AV818" s="18"/>
    </row>
    <row r="819" spans="5:48" x14ac:dyDescent="0.2">
      <c r="E819" s="1"/>
      <c r="F819" s="1"/>
      <c r="G819" s="1"/>
      <c r="H819" s="1"/>
      <c r="I819" s="1"/>
      <c r="J819" s="1"/>
      <c r="K819" s="1"/>
      <c r="L819" s="1"/>
      <c r="M819" s="1"/>
      <c r="AU819" s="18"/>
      <c r="AV819" s="18"/>
    </row>
    <row r="820" spans="5:48" x14ac:dyDescent="0.2">
      <c r="E820" s="1"/>
      <c r="F820" s="1"/>
      <c r="G820" s="1"/>
      <c r="H820" s="1"/>
      <c r="I820" s="1"/>
      <c r="J820" s="1"/>
      <c r="K820" s="1"/>
      <c r="L820" s="1"/>
      <c r="M820" s="1"/>
      <c r="AU820" s="18"/>
      <c r="AV820" s="18"/>
    </row>
    <row r="821" spans="5:48" x14ac:dyDescent="0.2">
      <c r="E821" s="1"/>
      <c r="F821" s="1"/>
      <c r="G821" s="1"/>
      <c r="H821" s="1"/>
      <c r="I821" s="1"/>
      <c r="J821" s="1"/>
      <c r="K821" s="1"/>
      <c r="L821" s="1"/>
      <c r="M821" s="1"/>
      <c r="AU821" s="18"/>
      <c r="AV821" s="18"/>
    </row>
    <row r="822" spans="5:48" x14ac:dyDescent="0.2">
      <c r="E822" s="1"/>
      <c r="F822" s="1"/>
      <c r="G822" s="1"/>
      <c r="H822" s="1"/>
      <c r="I822" s="1"/>
      <c r="J822" s="1"/>
      <c r="K822" s="1"/>
      <c r="L822" s="1"/>
      <c r="M822" s="1"/>
      <c r="AU822" s="18"/>
      <c r="AV822" s="18"/>
    </row>
    <row r="823" spans="5:48" x14ac:dyDescent="0.2">
      <c r="E823" s="1"/>
      <c r="F823" s="1"/>
      <c r="G823" s="1"/>
      <c r="H823" s="1"/>
      <c r="I823" s="1"/>
      <c r="J823" s="1"/>
      <c r="K823" s="1"/>
      <c r="L823" s="1"/>
      <c r="M823" s="1"/>
      <c r="AU823" s="18"/>
      <c r="AV823" s="18"/>
    </row>
    <row r="824" spans="5:48" x14ac:dyDescent="0.2">
      <c r="E824" s="1"/>
      <c r="F824" s="1"/>
      <c r="G824" s="1"/>
      <c r="H824" s="1"/>
      <c r="I824" s="1"/>
      <c r="J824" s="1"/>
      <c r="K824" s="1"/>
      <c r="L824" s="1"/>
      <c r="M824" s="1"/>
      <c r="AU824" s="18"/>
      <c r="AV824" s="18"/>
    </row>
    <row r="825" spans="5:48" x14ac:dyDescent="0.2">
      <c r="E825" s="1"/>
      <c r="F825" s="1"/>
      <c r="G825" s="1"/>
      <c r="H825" s="1"/>
      <c r="I825" s="1"/>
      <c r="J825" s="1"/>
      <c r="K825" s="1"/>
      <c r="L825" s="1"/>
      <c r="M825" s="1"/>
      <c r="AU825" s="18"/>
      <c r="AV825" s="18"/>
    </row>
    <row r="826" spans="5:48" x14ac:dyDescent="0.2">
      <c r="E826" s="1"/>
      <c r="F826" s="1"/>
      <c r="G826" s="1"/>
      <c r="H826" s="1"/>
      <c r="I826" s="1"/>
      <c r="J826" s="1"/>
      <c r="K826" s="1"/>
      <c r="L826" s="1"/>
      <c r="M826" s="1"/>
      <c r="AU826" s="18"/>
      <c r="AV826" s="18"/>
    </row>
    <row r="827" spans="5:48" x14ac:dyDescent="0.2">
      <c r="E827" s="1"/>
      <c r="F827" s="1"/>
      <c r="G827" s="1"/>
      <c r="H827" s="1"/>
      <c r="I827" s="1"/>
      <c r="J827" s="1"/>
      <c r="K827" s="1"/>
      <c r="L827" s="1"/>
      <c r="M827" s="1"/>
      <c r="AU827" s="18"/>
      <c r="AV827" s="18"/>
    </row>
    <row r="828" spans="5:48" x14ac:dyDescent="0.2">
      <c r="E828" s="1"/>
      <c r="F828" s="1"/>
      <c r="G828" s="1"/>
      <c r="H828" s="1"/>
      <c r="I828" s="1"/>
      <c r="J828" s="1"/>
      <c r="K828" s="1"/>
      <c r="L828" s="1"/>
      <c r="M828" s="1"/>
      <c r="AU828" s="18"/>
      <c r="AV828" s="18"/>
    </row>
    <row r="829" spans="5:48" x14ac:dyDescent="0.2">
      <c r="E829" s="1"/>
      <c r="F829" s="1"/>
      <c r="G829" s="1"/>
      <c r="H829" s="1"/>
      <c r="I829" s="1"/>
      <c r="J829" s="1"/>
      <c r="K829" s="1"/>
      <c r="L829" s="1"/>
      <c r="M829" s="1"/>
      <c r="AU829" s="18"/>
      <c r="AV829" s="18"/>
    </row>
    <row r="830" spans="5:48" x14ac:dyDescent="0.2">
      <c r="E830" s="1"/>
      <c r="F830" s="1"/>
      <c r="G830" s="1"/>
      <c r="H830" s="1"/>
      <c r="I830" s="1"/>
      <c r="J830" s="1"/>
      <c r="K830" s="1"/>
      <c r="L830" s="1"/>
      <c r="M830" s="1"/>
      <c r="AU830" s="18"/>
      <c r="AV830" s="18"/>
    </row>
    <row r="831" spans="5:48" x14ac:dyDescent="0.2">
      <c r="E831" s="1"/>
      <c r="F831" s="1"/>
      <c r="G831" s="1"/>
      <c r="H831" s="1"/>
      <c r="I831" s="1"/>
      <c r="J831" s="1"/>
      <c r="K831" s="1"/>
      <c r="L831" s="1"/>
      <c r="M831" s="1"/>
      <c r="AU831" s="18"/>
      <c r="AV831" s="18"/>
    </row>
    <row r="832" spans="5:48" x14ac:dyDescent="0.2">
      <c r="E832" s="1"/>
      <c r="F832" s="1"/>
      <c r="G832" s="1"/>
      <c r="H832" s="1"/>
      <c r="I832" s="1"/>
      <c r="J832" s="1"/>
      <c r="K832" s="1"/>
      <c r="L832" s="1"/>
      <c r="M832" s="1"/>
      <c r="AU832" s="18"/>
      <c r="AV832" s="18"/>
    </row>
    <row r="833" spans="5:48" x14ac:dyDescent="0.2">
      <c r="E833" s="1"/>
      <c r="F833" s="1"/>
      <c r="G833" s="1"/>
      <c r="H833" s="1"/>
      <c r="I833" s="1"/>
      <c r="J833" s="1"/>
      <c r="K833" s="1"/>
      <c r="L833" s="1"/>
      <c r="M833" s="1"/>
      <c r="AU833" s="18"/>
      <c r="AV833" s="18"/>
    </row>
    <row r="834" spans="5:48" x14ac:dyDescent="0.2">
      <c r="E834" s="1"/>
      <c r="F834" s="1"/>
      <c r="G834" s="1"/>
      <c r="H834" s="1"/>
      <c r="I834" s="1"/>
      <c r="J834" s="1"/>
      <c r="K834" s="1"/>
      <c r="L834" s="1"/>
      <c r="M834" s="1"/>
      <c r="AU834" s="18"/>
      <c r="AV834" s="18"/>
    </row>
    <row r="835" spans="5:48" x14ac:dyDescent="0.2">
      <c r="E835" s="1"/>
      <c r="F835" s="1"/>
      <c r="G835" s="1"/>
      <c r="H835" s="1"/>
      <c r="I835" s="1"/>
      <c r="J835" s="1"/>
      <c r="K835" s="1"/>
      <c r="L835" s="1"/>
      <c r="M835" s="1"/>
      <c r="AU835" s="18"/>
      <c r="AV835" s="18"/>
    </row>
    <row r="836" spans="5:48" x14ac:dyDescent="0.2">
      <c r="E836" s="1"/>
      <c r="F836" s="1"/>
      <c r="G836" s="1"/>
      <c r="H836" s="1"/>
      <c r="I836" s="1"/>
      <c r="J836" s="1"/>
      <c r="K836" s="1"/>
      <c r="L836" s="1"/>
      <c r="M836" s="1"/>
      <c r="AU836" s="18"/>
      <c r="AV836" s="18"/>
    </row>
    <row r="837" spans="5:48" x14ac:dyDescent="0.2">
      <c r="E837" s="1"/>
      <c r="F837" s="1"/>
      <c r="G837" s="1"/>
      <c r="H837" s="1"/>
      <c r="I837" s="1"/>
      <c r="J837" s="1"/>
      <c r="K837" s="1"/>
      <c r="L837" s="1"/>
      <c r="M837" s="1"/>
      <c r="AU837" s="18"/>
      <c r="AV837" s="18"/>
    </row>
    <row r="838" spans="5:48" x14ac:dyDescent="0.2">
      <c r="E838" s="1"/>
      <c r="F838" s="1"/>
      <c r="G838" s="1"/>
      <c r="H838" s="1"/>
      <c r="I838" s="1"/>
      <c r="J838" s="1"/>
      <c r="K838" s="1"/>
      <c r="L838" s="1"/>
      <c r="M838" s="1"/>
      <c r="AU838" s="18"/>
      <c r="AV838" s="18"/>
    </row>
    <row r="839" spans="5:48" x14ac:dyDescent="0.2">
      <c r="E839" s="1"/>
      <c r="F839" s="1"/>
      <c r="G839" s="1"/>
      <c r="H839" s="1"/>
      <c r="I839" s="1"/>
      <c r="J839" s="1"/>
      <c r="K839" s="1"/>
      <c r="L839" s="1"/>
      <c r="M839" s="1"/>
      <c r="AU839" s="18"/>
      <c r="AV839" s="18"/>
    </row>
    <row r="840" spans="5:48" x14ac:dyDescent="0.2">
      <c r="E840" s="1"/>
      <c r="F840" s="1"/>
      <c r="G840" s="1"/>
      <c r="H840" s="1"/>
      <c r="I840" s="1"/>
      <c r="J840" s="1"/>
      <c r="K840" s="1"/>
      <c r="L840" s="1"/>
      <c r="M840" s="1"/>
      <c r="AU840" s="18"/>
      <c r="AV840" s="18"/>
    </row>
    <row r="841" spans="5:48" x14ac:dyDescent="0.2">
      <c r="E841" s="1"/>
      <c r="F841" s="1"/>
      <c r="G841" s="1"/>
      <c r="H841" s="1"/>
      <c r="I841" s="1"/>
      <c r="J841" s="1"/>
      <c r="K841" s="1"/>
      <c r="L841" s="1"/>
      <c r="M841" s="1"/>
      <c r="AU841" s="18"/>
      <c r="AV841" s="18"/>
    </row>
    <row r="842" spans="5:48" x14ac:dyDescent="0.2">
      <c r="E842" s="1"/>
      <c r="F842" s="1"/>
      <c r="G842" s="1"/>
      <c r="H842" s="1"/>
      <c r="I842" s="1"/>
      <c r="J842" s="1"/>
      <c r="K842" s="1"/>
      <c r="L842" s="1"/>
      <c r="M842" s="1"/>
      <c r="AU842" s="18"/>
      <c r="AV842" s="18"/>
    </row>
    <row r="843" spans="5:48" x14ac:dyDescent="0.2">
      <c r="E843" s="1"/>
      <c r="F843" s="1"/>
      <c r="G843" s="1"/>
      <c r="H843" s="1"/>
      <c r="I843" s="1"/>
      <c r="J843" s="1"/>
      <c r="K843" s="1"/>
      <c r="L843" s="1"/>
      <c r="M843" s="1"/>
      <c r="AU843" s="18"/>
      <c r="AV843" s="18"/>
    </row>
    <row r="844" spans="5:48" x14ac:dyDescent="0.2">
      <c r="E844" s="1"/>
      <c r="F844" s="1"/>
      <c r="G844" s="1"/>
      <c r="H844" s="1"/>
      <c r="I844" s="1"/>
      <c r="J844" s="1"/>
      <c r="K844" s="1"/>
      <c r="L844" s="1"/>
      <c r="M844" s="1"/>
      <c r="AU844" s="18"/>
      <c r="AV844" s="18"/>
    </row>
    <row r="845" spans="5:48" x14ac:dyDescent="0.2">
      <c r="E845" s="1"/>
      <c r="F845" s="1"/>
      <c r="G845" s="1"/>
      <c r="H845" s="1"/>
      <c r="I845" s="1"/>
      <c r="J845" s="1"/>
      <c r="K845" s="1"/>
      <c r="L845" s="1"/>
      <c r="M845" s="1"/>
      <c r="AU845" s="18"/>
      <c r="AV845" s="18"/>
    </row>
    <row r="846" spans="5:48" x14ac:dyDescent="0.2">
      <c r="E846" s="1"/>
      <c r="F846" s="1"/>
      <c r="G846" s="1"/>
      <c r="H846" s="1"/>
      <c r="I846" s="1"/>
      <c r="J846" s="1"/>
      <c r="K846" s="1"/>
      <c r="L846" s="1"/>
      <c r="M846" s="1"/>
      <c r="AU846" s="18"/>
      <c r="AV846" s="18"/>
    </row>
    <row r="847" spans="5:48" x14ac:dyDescent="0.2">
      <c r="E847" s="1"/>
      <c r="F847" s="1"/>
      <c r="G847" s="1"/>
      <c r="H847" s="1"/>
      <c r="I847" s="1"/>
      <c r="J847" s="1"/>
      <c r="K847" s="1"/>
      <c r="L847" s="1"/>
      <c r="M847" s="1"/>
      <c r="AU847" s="18"/>
      <c r="AV847" s="18"/>
    </row>
    <row r="848" spans="5:48" x14ac:dyDescent="0.2">
      <c r="E848" s="1"/>
      <c r="F848" s="1"/>
      <c r="G848" s="1"/>
      <c r="H848" s="1"/>
      <c r="I848" s="1"/>
      <c r="J848" s="1"/>
      <c r="K848" s="1"/>
      <c r="L848" s="1"/>
      <c r="M848" s="1"/>
      <c r="AU848" s="18"/>
      <c r="AV848" s="18"/>
    </row>
    <row r="849" spans="5:48" x14ac:dyDescent="0.2">
      <c r="E849" s="1"/>
      <c r="F849" s="1"/>
      <c r="G849" s="1"/>
      <c r="H849" s="1"/>
      <c r="I849" s="1"/>
      <c r="J849" s="1"/>
      <c r="K849" s="1"/>
      <c r="L849" s="1"/>
      <c r="M849" s="1"/>
      <c r="AU849" s="18"/>
      <c r="AV849" s="18"/>
    </row>
    <row r="850" spans="5:48" x14ac:dyDescent="0.2">
      <c r="E850" s="1"/>
      <c r="F850" s="1"/>
      <c r="G850" s="1"/>
      <c r="H850" s="1"/>
      <c r="I850" s="1"/>
      <c r="J850" s="1"/>
      <c r="K850" s="1"/>
      <c r="L850" s="1"/>
      <c r="M850" s="1"/>
      <c r="AU850" s="18"/>
      <c r="AV850" s="18"/>
    </row>
    <row r="851" spans="5:48" x14ac:dyDescent="0.2">
      <c r="E851" s="1"/>
      <c r="F851" s="1"/>
      <c r="G851" s="1"/>
      <c r="H851" s="1"/>
      <c r="I851" s="1"/>
      <c r="J851" s="1"/>
      <c r="K851" s="1"/>
      <c r="L851" s="1"/>
      <c r="M851" s="1"/>
      <c r="AU851" s="18"/>
      <c r="AV851" s="18"/>
    </row>
    <row r="852" spans="5:48" x14ac:dyDescent="0.2">
      <c r="E852" s="1"/>
      <c r="F852" s="1"/>
      <c r="G852" s="1"/>
      <c r="H852" s="1"/>
      <c r="I852" s="1"/>
      <c r="J852" s="1"/>
      <c r="K852" s="1"/>
      <c r="L852" s="1"/>
      <c r="M852" s="1"/>
      <c r="AU852" s="18"/>
      <c r="AV852" s="18"/>
    </row>
    <row r="853" spans="5:48" x14ac:dyDescent="0.2">
      <c r="E853" s="1"/>
      <c r="F853" s="1"/>
      <c r="G853" s="1"/>
      <c r="H853" s="1"/>
      <c r="I853" s="1"/>
      <c r="J853" s="1"/>
      <c r="K853" s="1"/>
      <c r="L853" s="1"/>
      <c r="M853" s="1"/>
      <c r="AU853" s="18"/>
      <c r="AV853" s="18"/>
    </row>
    <row r="854" spans="5:48" x14ac:dyDescent="0.2">
      <c r="E854" s="1"/>
      <c r="F854" s="1"/>
      <c r="G854" s="1"/>
      <c r="H854" s="1"/>
      <c r="I854" s="1"/>
      <c r="J854" s="1"/>
      <c r="K854" s="1"/>
      <c r="L854" s="1"/>
      <c r="M854" s="1"/>
      <c r="AU854" s="18"/>
      <c r="AV854" s="18"/>
    </row>
    <row r="855" spans="5:48" x14ac:dyDescent="0.2">
      <c r="E855" s="1"/>
      <c r="F855" s="1"/>
      <c r="G855" s="1"/>
      <c r="H855" s="1"/>
      <c r="I855" s="1"/>
      <c r="J855" s="1"/>
      <c r="K855" s="1"/>
      <c r="L855" s="1"/>
      <c r="M855" s="1"/>
      <c r="AU855" s="18"/>
      <c r="AV855" s="18"/>
    </row>
    <row r="856" spans="5:48" x14ac:dyDescent="0.2">
      <c r="E856" s="1"/>
      <c r="F856" s="1"/>
      <c r="G856" s="1"/>
      <c r="H856" s="1"/>
      <c r="I856" s="1"/>
      <c r="J856" s="1"/>
      <c r="K856" s="1"/>
      <c r="L856" s="1"/>
      <c r="M856" s="1"/>
      <c r="AU856" s="18"/>
      <c r="AV856" s="18"/>
    </row>
    <row r="857" spans="5:48" x14ac:dyDescent="0.2">
      <c r="E857" s="1"/>
      <c r="F857" s="1"/>
      <c r="G857" s="1"/>
      <c r="H857" s="1"/>
      <c r="I857" s="1"/>
      <c r="J857" s="1"/>
      <c r="K857" s="1"/>
      <c r="L857" s="1"/>
      <c r="M857" s="1"/>
      <c r="AU857" s="18"/>
      <c r="AV857" s="18"/>
    </row>
    <row r="858" spans="5:48" x14ac:dyDescent="0.2">
      <c r="E858" s="1"/>
      <c r="F858" s="1"/>
      <c r="G858" s="1"/>
      <c r="H858" s="1"/>
      <c r="I858" s="1"/>
      <c r="J858" s="1"/>
      <c r="K858" s="1"/>
      <c r="L858" s="1"/>
      <c r="M858" s="1"/>
      <c r="AU858" s="18"/>
      <c r="AV858" s="18"/>
    </row>
    <row r="859" spans="5:48" x14ac:dyDescent="0.2">
      <c r="E859" s="1"/>
      <c r="F859" s="1"/>
      <c r="G859" s="1"/>
      <c r="H859" s="1"/>
      <c r="I859" s="1"/>
      <c r="J859" s="1"/>
      <c r="K859" s="1"/>
      <c r="L859" s="1"/>
      <c r="M859" s="1"/>
      <c r="AU859" s="18"/>
      <c r="AV859" s="18"/>
    </row>
    <row r="860" spans="5:48" x14ac:dyDescent="0.2">
      <c r="E860" s="1"/>
      <c r="F860" s="1"/>
      <c r="G860" s="1"/>
      <c r="H860" s="1"/>
      <c r="I860" s="1"/>
      <c r="J860" s="1"/>
      <c r="K860" s="1"/>
      <c r="L860" s="1"/>
      <c r="M860" s="1"/>
      <c r="AU860" s="18"/>
      <c r="AV860" s="18"/>
    </row>
    <row r="861" spans="5:48" x14ac:dyDescent="0.2">
      <c r="E861" s="1"/>
      <c r="F861" s="1"/>
      <c r="G861" s="1"/>
      <c r="H861" s="1"/>
      <c r="I861" s="1"/>
      <c r="J861" s="1"/>
      <c r="K861" s="1"/>
      <c r="L861" s="1"/>
      <c r="M861" s="1"/>
      <c r="AU861" s="18"/>
      <c r="AV861" s="18"/>
    </row>
    <row r="862" spans="5:48" x14ac:dyDescent="0.2">
      <c r="E862" s="1"/>
      <c r="F862" s="1"/>
      <c r="G862" s="1"/>
      <c r="H862" s="1"/>
      <c r="I862" s="1"/>
      <c r="J862" s="1"/>
      <c r="K862" s="1"/>
      <c r="L862" s="1"/>
      <c r="M862" s="1"/>
      <c r="AU862" s="18"/>
      <c r="AV862" s="18"/>
    </row>
    <row r="863" spans="5:48" x14ac:dyDescent="0.2">
      <c r="E863" s="1"/>
      <c r="F863" s="1"/>
      <c r="G863" s="1"/>
      <c r="H863" s="1"/>
      <c r="I863" s="1"/>
      <c r="J863" s="1"/>
      <c r="K863" s="1"/>
      <c r="L863" s="1"/>
      <c r="M863" s="1"/>
      <c r="AU863" s="18"/>
      <c r="AV863" s="18"/>
    </row>
    <row r="864" spans="5:48" x14ac:dyDescent="0.2">
      <c r="E864" s="1"/>
      <c r="F864" s="1"/>
      <c r="G864" s="1"/>
      <c r="H864" s="1"/>
      <c r="I864" s="1"/>
      <c r="J864" s="1"/>
      <c r="K864" s="1"/>
      <c r="L864" s="1"/>
      <c r="M864" s="1"/>
      <c r="AU864" s="18"/>
      <c r="AV864" s="18"/>
    </row>
    <row r="865" spans="5:48" x14ac:dyDescent="0.2">
      <c r="E865" s="1"/>
      <c r="F865" s="1"/>
      <c r="G865" s="1"/>
      <c r="H865" s="1"/>
      <c r="I865" s="1"/>
      <c r="J865" s="1"/>
      <c r="K865" s="1"/>
      <c r="L865" s="1"/>
      <c r="M865" s="1"/>
      <c r="AU865" s="18"/>
      <c r="AV865" s="18"/>
    </row>
    <row r="866" spans="5:48" x14ac:dyDescent="0.2">
      <c r="E866" s="1"/>
      <c r="F866" s="1"/>
      <c r="G866" s="1"/>
      <c r="H866" s="1"/>
      <c r="I866" s="1"/>
      <c r="J866" s="1"/>
      <c r="K866" s="1"/>
      <c r="L866" s="1"/>
      <c r="M866" s="1"/>
      <c r="AU866" s="18"/>
      <c r="AV866" s="18"/>
    </row>
    <row r="867" spans="5:48" x14ac:dyDescent="0.2">
      <c r="E867" s="1"/>
      <c r="F867" s="1"/>
      <c r="G867" s="1"/>
      <c r="H867" s="1"/>
      <c r="I867" s="1"/>
      <c r="J867" s="1"/>
      <c r="K867" s="1"/>
      <c r="L867" s="1"/>
      <c r="M867" s="1"/>
      <c r="AU867" s="18"/>
      <c r="AV867" s="18"/>
    </row>
    <row r="868" spans="5:48" x14ac:dyDescent="0.2">
      <c r="E868" s="1"/>
      <c r="F868" s="1"/>
      <c r="G868" s="1"/>
      <c r="H868" s="1"/>
      <c r="I868" s="1"/>
      <c r="J868" s="1"/>
      <c r="K868" s="1"/>
      <c r="L868" s="1"/>
      <c r="M868" s="1"/>
      <c r="AU868" s="18"/>
      <c r="AV868" s="18"/>
    </row>
    <row r="869" spans="5:48" x14ac:dyDescent="0.2">
      <c r="E869" s="1"/>
      <c r="F869" s="1"/>
      <c r="G869" s="1"/>
      <c r="H869" s="1"/>
      <c r="I869" s="1"/>
      <c r="J869" s="1"/>
      <c r="K869" s="1"/>
      <c r="L869" s="1"/>
      <c r="M869" s="1"/>
      <c r="AU869" s="18"/>
      <c r="AV869" s="18"/>
    </row>
    <row r="870" spans="5:48" x14ac:dyDescent="0.2">
      <c r="E870" s="1"/>
      <c r="F870" s="1"/>
      <c r="G870" s="1"/>
      <c r="H870" s="1"/>
      <c r="I870" s="1"/>
      <c r="J870" s="1"/>
      <c r="K870" s="1"/>
      <c r="L870" s="1"/>
      <c r="M870" s="1"/>
      <c r="AU870" s="18"/>
      <c r="AV870" s="18"/>
    </row>
    <row r="871" spans="5:48" x14ac:dyDescent="0.2">
      <c r="E871" s="1"/>
      <c r="F871" s="1"/>
      <c r="G871" s="1"/>
      <c r="H871" s="1"/>
      <c r="I871" s="1"/>
      <c r="J871" s="1"/>
      <c r="K871" s="1"/>
      <c r="L871" s="1"/>
      <c r="M871" s="1"/>
      <c r="AU871" s="18"/>
      <c r="AV871" s="18"/>
    </row>
    <row r="872" spans="5:48" x14ac:dyDescent="0.2">
      <c r="E872" s="1"/>
      <c r="F872" s="1"/>
      <c r="G872" s="1"/>
      <c r="H872" s="1"/>
      <c r="I872" s="1"/>
      <c r="J872" s="1"/>
      <c r="K872" s="1"/>
      <c r="L872" s="1"/>
      <c r="M872" s="1"/>
      <c r="AU872" s="18"/>
      <c r="AV872" s="18"/>
    </row>
    <row r="873" spans="5:48" x14ac:dyDescent="0.2">
      <c r="E873" s="1"/>
      <c r="F873" s="1"/>
      <c r="G873" s="1"/>
      <c r="H873" s="1"/>
      <c r="I873" s="1"/>
      <c r="J873" s="1"/>
      <c r="K873" s="1"/>
      <c r="L873" s="1"/>
      <c r="M873" s="1"/>
      <c r="AU873" s="18"/>
      <c r="AV873" s="18"/>
    </row>
    <row r="874" spans="5:48" x14ac:dyDescent="0.2">
      <c r="E874" s="1"/>
      <c r="F874" s="1"/>
      <c r="G874" s="1"/>
      <c r="H874" s="1"/>
      <c r="I874" s="1"/>
      <c r="J874" s="1"/>
      <c r="K874" s="1"/>
      <c r="L874" s="1"/>
      <c r="M874" s="1"/>
      <c r="AU874" s="18"/>
      <c r="AV874" s="18"/>
    </row>
    <row r="875" spans="5:48" x14ac:dyDescent="0.2">
      <c r="E875" s="1"/>
      <c r="F875" s="1"/>
      <c r="G875" s="1"/>
      <c r="H875" s="1"/>
      <c r="I875" s="1"/>
      <c r="J875" s="1"/>
      <c r="K875" s="1"/>
      <c r="L875" s="1"/>
      <c r="M875" s="1"/>
      <c r="AU875" s="18"/>
      <c r="AV875" s="18"/>
    </row>
    <row r="876" spans="5:48" x14ac:dyDescent="0.2">
      <c r="E876" s="1"/>
      <c r="F876" s="1"/>
      <c r="G876" s="1"/>
      <c r="H876" s="1"/>
      <c r="I876" s="1"/>
      <c r="J876" s="1"/>
      <c r="K876" s="1"/>
      <c r="L876" s="1"/>
      <c r="M876" s="1"/>
      <c r="AU876" s="18"/>
      <c r="AV876" s="18"/>
    </row>
    <row r="877" spans="5:48" x14ac:dyDescent="0.2">
      <c r="E877" s="1"/>
      <c r="F877" s="1"/>
      <c r="G877" s="1"/>
      <c r="H877" s="1"/>
      <c r="I877" s="1"/>
      <c r="J877" s="1"/>
      <c r="K877" s="1"/>
      <c r="L877" s="1"/>
      <c r="M877" s="1"/>
      <c r="AU877" s="18"/>
      <c r="AV877" s="18"/>
    </row>
    <row r="878" spans="5:48" x14ac:dyDescent="0.2">
      <c r="E878" s="1"/>
      <c r="F878" s="1"/>
      <c r="G878" s="1"/>
      <c r="H878" s="1"/>
      <c r="I878" s="1"/>
      <c r="J878" s="1"/>
      <c r="K878" s="1"/>
      <c r="L878" s="1"/>
      <c r="M878" s="1"/>
      <c r="AU878" s="18"/>
      <c r="AV878" s="18"/>
    </row>
    <row r="879" spans="5:48" x14ac:dyDescent="0.2">
      <c r="E879" s="1"/>
      <c r="F879" s="1"/>
      <c r="G879" s="1"/>
      <c r="H879" s="1"/>
      <c r="I879" s="1"/>
      <c r="J879" s="1"/>
      <c r="K879" s="1"/>
      <c r="L879" s="1"/>
      <c r="M879" s="1"/>
      <c r="AU879" s="18"/>
      <c r="AV879" s="18"/>
    </row>
    <row r="880" spans="5:48" x14ac:dyDescent="0.2">
      <c r="E880" s="1"/>
      <c r="F880" s="1"/>
      <c r="G880" s="1"/>
      <c r="H880" s="1"/>
      <c r="I880" s="1"/>
      <c r="J880" s="1"/>
      <c r="K880" s="1"/>
      <c r="L880" s="1"/>
      <c r="M880" s="1"/>
      <c r="AU880" s="18"/>
      <c r="AV880" s="18"/>
    </row>
    <row r="881" spans="5:48" x14ac:dyDescent="0.2">
      <c r="E881" s="1"/>
      <c r="F881" s="1"/>
      <c r="G881" s="1"/>
      <c r="H881" s="1"/>
      <c r="I881" s="1"/>
      <c r="J881" s="1"/>
      <c r="K881" s="1"/>
      <c r="L881" s="1"/>
      <c r="M881" s="1"/>
      <c r="AU881" s="18"/>
      <c r="AV881" s="18"/>
    </row>
    <row r="882" spans="5:48" x14ac:dyDescent="0.2">
      <c r="E882" s="1"/>
      <c r="F882" s="1"/>
      <c r="G882" s="1"/>
      <c r="H882" s="1"/>
      <c r="I882" s="1"/>
      <c r="J882" s="1"/>
      <c r="K882" s="1"/>
      <c r="L882" s="1"/>
      <c r="M882" s="1"/>
      <c r="AU882" s="18"/>
      <c r="AV882" s="18"/>
    </row>
    <row r="883" spans="5:48" x14ac:dyDescent="0.2">
      <c r="E883" s="1"/>
      <c r="F883" s="1"/>
      <c r="G883" s="1"/>
      <c r="H883" s="1"/>
      <c r="I883" s="1"/>
      <c r="J883" s="1"/>
      <c r="K883" s="1"/>
      <c r="L883" s="1"/>
      <c r="M883" s="1"/>
      <c r="AU883" s="18"/>
      <c r="AV883" s="18"/>
    </row>
    <row r="884" spans="5:48" x14ac:dyDescent="0.2">
      <c r="E884" s="1"/>
      <c r="F884" s="1"/>
      <c r="G884" s="1"/>
      <c r="H884" s="1"/>
      <c r="I884" s="1"/>
      <c r="J884" s="1"/>
      <c r="K884" s="1"/>
      <c r="L884" s="1"/>
      <c r="M884" s="1"/>
      <c r="AU884" s="18"/>
      <c r="AV884" s="18"/>
    </row>
    <row r="885" spans="5:48" x14ac:dyDescent="0.2">
      <c r="E885" s="1"/>
      <c r="F885" s="1"/>
      <c r="G885" s="1"/>
      <c r="H885" s="1"/>
      <c r="I885" s="1"/>
      <c r="J885" s="1"/>
      <c r="K885" s="1"/>
      <c r="L885" s="1"/>
      <c r="M885" s="1"/>
      <c r="AU885" s="18"/>
      <c r="AV885" s="18"/>
    </row>
    <row r="886" spans="5:48" x14ac:dyDescent="0.2">
      <c r="E886" s="1"/>
      <c r="F886" s="1"/>
      <c r="G886" s="1"/>
      <c r="H886" s="1"/>
      <c r="I886" s="1"/>
      <c r="J886" s="1"/>
      <c r="K886" s="1"/>
      <c r="L886" s="1"/>
      <c r="M886" s="1"/>
      <c r="AU886" s="18"/>
      <c r="AV886" s="18"/>
    </row>
    <row r="887" spans="5:48" x14ac:dyDescent="0.2">
      <c r="E887" s="1"/>
      <c r="F887" s="1"/>
      <c r="G887" s="1"/>
      <c r="H887" s="1"/>
      <c r="I887" s="1"/>
      <c r="J887" s="1"/>
      <c r="K887" s="1"/>
      <c r="L887" s="1"/>
      <c r="M887" s="1"/>
      <c r="AU887" s="18"/>
      <c r="AV887" s="18"/>
    </row>
    <row r="888" spans="5:48" x14ac:dyDescent="0.2">
      <c r="E888" s="1"/>
      <c r="F888" s="1"/>
      <c r="G888" s="1"/>
      <c r="H888" s="1"/>
      <c r="I888" s="1"/>
      <c r="J888" s="1"/>
      <c r="K888" s="1"/>
      <c r="L888" s="1"/>
      <c r="M888" s="1"/>
      <c r="AU888" s="18"/>
      <c r="AV888" s="18"/>
    </row>
    <row r="889" spans="5:48" x14ac:dyDescent="0.2">
      <c r="E889" s="1"/>
      <c r="F889" s="1"/>
      <c r="G889" s="1"/>
      <c r="H889" s="1"/>
      <c r="I889" s="1"/>
      <c r="J889" s="1"/>
      <c r="K889" s="1"/>
      <c r="L889" s="1"/>
      <c r="M889" s="1"/>
      <c r="AU889" s="18"/>
      <c r="AV889" s="18"/>
    </row>
    <row r="890" spans="5:48" x14ac:dyDescent="0.2">
      <c r="E890" s="1"/>
      <c r="F890" s="1"/>
      <c r="G890" s="1"/>
      <c r="H890" s="1"/>
      <c r="I890" s="1"/>
      <c r="J890" s="1"/>
      <c r="K890" s="1"/>
      <c r="L890" s="1"/>
      <c r="M890" s="1"/>
      <c r="AU890" s="18"/>
      <c r="AV890" s="18"/>
    </row>
    <row r="891" spans="5:48" x14ac:dyDescent="0.2">
      <c r="E891" s="1"/>
      <c r="F891" s="1"/>
      <c r="G891" s="1"/>
      <c r="H891" s="1"/>
      <c r="I891" s="1"/>
      <c r="J891" s="1"/>
      <c r="K891" s="1"/>
      <c r="L891" s="1"/>
      <c r="M891" s="1"/>
      <c r="AU891" s="18"/>
      <c r="AV891" s="18"/>
    </row>
    <row r="892" spans="5:48" x14ac:dyDescent="0.2">
      <c r="E892" s="1"/>
      <c r="F892" s="1"/>
      <c r="G892" s="1"/>
      <c r="H892" s="1"/>
      <c r="I892" s="1"/>
      <c r="J892" s="1"/>
      <c r="K892" s="1"/>
      <c r="L892" s="1"/>
      <c r="M892" s="1"/>
      <c r="AU892" s="18"/>
      <c r="AV892" s="18"/>
    </row>
    <row r="893" spans="5:48" x14ac:dyDescent="0.2">
      <c r="E893" s="1"/>
      <c r="F893" s="1"/>
      <c r="G893" s="1"/>
      <c r="H893" s="1"/>
      <c r="I893" s="1"/>
      <c r="J893" s="1"/>
      <c r="K893" s="1"/>
      <c r="L893" s="1"/>
      <c r="M893" s="1"/>
      <c r="AU893" s="18"/>
      <c r="AV893" s="18"/>
    </row>
    <row r="894" spans="5:48" x14ac:dyDescent="0.2">
      <c r="E894" s="1"/>
      <c r="F894" s="1"/>
      <c r="G894" s="1"/>
      <c r="H894" s="1"/>
      <c r="I894" s="1"/>
      <c r="J894" s="1"/>
      <c r="K894" s="1"/>
      <c r="L894" s="1"/>
      <c r="M894" s="1"/>
      <c r="AU894" s="18"/>
      <c r="AV894" s="18"/>
    </row>
    <row r="895" spans="5:48" x14ac:dyDescent="0.2">
      <c r="E895" s="1"/>
      <c r="F895" s="1"/>
      <c r="G895" s="1"/>
      <c r="H895" s="1"/>
      <c r="I895" s="1"/>
      <c r="J895" s="1"/>
      <c r="K895" s="1"/>
      <c r="L895" s="1"/>
      <c r="M895" s="1"/>
      <c r="AU895" s="18"/>
      <c r="AV895" s="18"/>
    </row>
    <row r="896" spans="5:48" x14ac:dyDescent="0.2">
      <c r="E896" s="1"/>
      <c r="F896" s="1"/>
      <c r="G896" s="1"/>
      <c r="H896" s="1"/>
      <c r="I896" s="1"/>
      <c r="J896" s="1"/>
      <c r="K896" s="1"/>
      <c r="L896" s="1"/>
      <c r="M896" s="1"/>
      <c r="AU896" s="18"/>
      <c r="AV896" s="18"/>
    </row>
    <row r="897" spans="5:48" x14ac:dyDescent="0.2">
      <c r="E897" s="1"/>
      <c r="F897" s="1"/>
      <c r="G897" s="1"/>
      <c r="H897" s="1"/>
      <c r="I897" s="1"/>
      <c r="J897" s="1"/>
      <c r="K897" s="1"/>
      <c r="L897" s="1"/>
      <c r="M897" s="1"/>
      <c r="AU897" s="18"/>
      <c r="AV897" s="18"/>
    </row>
    <row r="898" spans="5:48" x14ac:dyDescent="0.2">
      <c r="E898" s="1"/>
      <c r="F898" s="1"/>
      <c r="G898" s="1"/>
      <c r="H898" s="1"/>
      <c r="I898" s="1"/>
      <c r="J898" s="1"/>
      <c r="K898" s="1"/>
      <c r="L898" s="1"/>
      <c r="M898" s="1"/>
      <c r="AU898" s="18"/>
      <c r="AV898" s="18"/>
    </row>
    <row r="899" spans="5:48" x14ac:dyDescent="0.2">
      <c r="E899" s="1"/>
      <c r="F899" s="1"/>
      <c r="G899" s="1"/>
      <c r="H899" s="1"/>
      <c r="I899" s="1"/>
      <c r="J899" s="1"/>
      <c r="K899" s="1"/>
      <c r="L899" s="1"/>
      <c r="M899" s="1"/>
      <c r="AU899" s="18"/>
      <c r="AV899" s="18"/>
    </row>
    <row r="900" spans="5:48" x14ac:dyDescent="0.2">
      <c r="E900" s="1"/>
      <c r="F900" s="1"/>
      <c r="G900" s="1"/>
      <c r="H900" s="1"/>
      <c r="I900" s="1"/>
      <c r="J900" s="1"/>
      <c r="K900" s="1"/>
      <c r="L900" s="1"/>
      <c r="M900" s="1"/>
      <c r="AU900" s="18"/>
      <c r="AV900" s="18"/>
    </row>
    <row r="901" spans="5:48" x14ac:dyDescent="0.2">
      <c r="E901" s="1"/>
      <c r="F901" s="1"/>
      <c r="G901" s="1"/>
      <c r="H901" s="1"/>
      <c r="I901" s="1"/>
      <c r="J901" s="1"/>
      <c r="K901" s="1"/>
      <c r="L901" s="1"/>
      <c r="M901" s="1"/>
      <c r="AU901" s="18"/>
      <c r="AV901" s="18"/>
    </row>
    <row r="902" spans="5:48" x14ac:dyDescent="0.2">
      <c r="E902" s="1"/>
      <c r="F902" s="1"/>
      <c r="G902" s="1"/>
      <c r="H902" s="1"/>
      <c r="I902" s="1"/>
      <c r="J902" s="1"/>
      <c r="K902" s="1"/>
      <c r="L902" s="1"/>
      <c r="M902" s="1"/>
      <c r="AU902" s="18"/>
      <c r="AV902" s="18"/>
    </row>
    <row r="903" spans="5:48" x14ac:dyDescent="0.2">
      <c r="E903" s="1"/>
      <c r="F903" s="1"/>
      <c r="G903" s="1"/>
      <c r="H903" s="1"/>
      <c r="I903" s="1"/>
      <c r="J903" s="1"/>
      <c r="K903" s="1"/>
      <c r="L903" s="1"/>
      <c r="M903" s="1"/>
      <c r="AU903" s="18"/>
      <c r="AV903" s="18"/>
    </row>
    <row r="904" spans="5:48" x14ac:dyDescent="0.2">
      <c r="E904" s="1"/>
      <c r="F904" s="1"/>
      <c r="G904" s="1"/>
      <c r="H904" s="1"/>
      <c r="I904" s="1"/>
      <c r="J904" s="1"/>
      <c r="K904" s="1"/>
      <c r="L904" s="1"/>
      <c r="M904" s="1"/>
      <c r="AU904" s="18"/>
      <c r="AV904" s="18"/>
    </row>
    <row r="905" spans="5:48" x14ac:dyDescent="0.2">
      <c r="E905" s="1"/>
      <c r="F905" s="1"/>
      <c r="G905" s="1"/>
      <c r="H905" s="1"/>
      <c r="I905" s="1"/>
      <c r="J905" s="1"/>
      <c r="K905" s="1"/>
      <c r="L905" s="1"/>
      <c r="M905" s="1"/>
      <c r="AU905" s="18"/>
      <c r="AV905" s="18"/>
    </row>
    <row r="906" spans="5:48" x14ac:dyDescent="0.2">
      <c r="E906" s="1"/>
      <c r="F906" s="1"/>
      <c r="G906" s="1"/>
      <c r="H906" s="1"/>
      <c r="I906" s="1"/>
      <c r="J906" s="1"/>
      <c r="K906" s="1"/>
      <c r="L906" s="1"/>
      <c r="M906" s="1"/>
      <c r="AU906" s="18"/>
      <c r="AV906" s="18"/>
    </row>
    <row r="907" spans="5:48" x14ac:dyDescent="0.2">
      <c r="E907" s="1"/>
      <c r="F907" s="1"/>
      <c r="G907" s="1"/>
      <c r="H907" s="1"/>
      <c r="I907" s="1"/>
      <c r="J907" s="1"/>
      <c r="K907" s="1"/>
      <c r="L907" s="1"/>
      <c r="M907" s="1"/>
      <c r="AU907" s="18"/>
      <c r="AV907" s="18"/>
    </row>
    <row r="908" spans="5:48" x14ac:dyDescent="0.2">
      <c r="E908" s="1"/>
      <c r="F908" s="1"/>
      <c r="G908" s="1"/>
      <c r="H908" s="1"/>
      <c r="I908" s="1"/>
      <c r="J908" s="1"/>
      <c r="K908" s="1"/>
      <c r="L908" s="1"/>
      <c r="M908" s="1"/>
      <c r="AU908" s="18"/>
      <c r="AV908" s="18"/>
    </row>
    <row r="909" spans="5:48" x14ac:dyDescent="0.2">
      <c r="E909" s="1"/>
      <c r="F909" s="1"/>
      <c r="G909" s="1"/>
      <c r="H909" s="1"/>
      <c r="I909" s="1"/>
      <c r="J909" s="1"/>
      <c r="K909" s="1"/>
      <c r="L909" s="1"/>
      <c r="M909" s="1"/>
      <c r="AU909" s="18"/>
      <c r="AV909" s="18"/>
    </row>
    <row r="910" spans="5:48" x14ac:dyDescent="0.2">
      <c r="E910" s="1"/>
      <c r="F910" s="1"/>
      <c r="G910" s="1"/>
      <c r="H910" s="1"/>
      <c r="I910" s="1"/>
      <c r="J910" s="1"/>
      <c r="K910" s="1"/>
      <c r="L910" s="1"/>
      <c r="M910" s="1"/>
      <c r="AU910" s="18"/>
      <c r="AV910" s="18"/>
    </row>
    <row r="911" spans="5:48" x14ac:dyDescent="0.2">
      <c r="E911" s="1"/>
      <c r="F911" s="1"/>
      <c r="G911" s="1"/>
      <c r="H911" s="1"/>
      <c r="I911" s="1"/>
      <c r="J911" s="1"/>
      <c r="K911" s="1"/>
      <c r="L911" s="1"/>
      <c r="M911" s="1"/>
      <c r="AU911" s="18"/>
      <c r="AV911" s="18"/>
    </row>
    <row r="912" spans="5:48" x14ac:dyDescent="0.2">
      <c r="E912" s="1"/>
      <c r="F912" s="1"/>
      <c r="G912" s="1"/>
      <c r="H912" s="1"/>
      <c r="I912" s="1"/>
      <c r="J912" s="1"/>
      <c r="K912" s="1"/>
      <c r="L912" s="1"/>
      <c r="M912" s="1"/>
      <c r="AU912" s="18"/>
      <c r="AV912" s="18"/>
    </row>
    <row r="913" spans="5:48" x14ac:dyDescent="0.2">
      <c r="E913" s="1"/>
      <c r="F913" s="1"/>
      <c r="G913" s="1"/>
      <c r="H913" s="1"/>
      <c r="I913" s="1"/>
      <c r="J913" s="1"/>
      <c r="K913" s="1"/>
      <c r="L913" s="1"/>
      <c r="M913" s="1"/>
      <c r="AU913" s="18"/>
      <c r="AV913" s="18"/>
    </row>
    <row r="914" spans="5:48" x14ac:dyDescent="0.2">
      <c r="E914" s="1"/>
      <c r="F914" s="1"/>
      <c r="G914" s="1"/>
      <c r="H914" s="1"/>
      <c r="I914" s="1"/>
      <c r="J914" s="1"/>
      <c r="K914" s="1"/>
      <c r="L914" s="1"/>
      <c r="M914" s="1"/>
      <c r="AU914" s="18"/>
      <c r="AV914" s="18"/>
    </row>
    <row r="915" spans="5:48" x14ac:dyDescent="0.2">
      <c r="E915" s="1"/>
      <c r="F915" s="1"/>
      <c r="G915" s="1"/>
      <c r="H915" s="1"/>
      <c r="I915" s="1"/>
      <c r="J915" s="1"/>
      <c r="K915" s="1"/>
      <c r="L915" s="1"/>
      <c r="M915" s="1"/>
      <c r="AU915" s="18"/>
      <c r="AV915" s="18"/>
    </row>
    <row r="916" spans="5:48" x14ac:dyDescent="0.2">
      <c r="E916" s="1"/>
      <c r="F916" s="1"/>
      <c r="G916" s="1"/>
      <c r="H916" s="1"/>
      <c r="I916" s="1"/>
      <c r="J916" s="1"/>
      <c r="K916" s="1"/>
      <c r="L916" s="1"/>
      <c r="M916" s="1"/>
      <c r="AU916" s="18"/>
      <c r="AV916" s="18"/>
    </row>
    <row r="917" spans="5:48" x14ac:dyDescent="0.2">
      <c r="E917" s="1"/>
      <c r="F917" s="1"/>
      <c r="G917" s="1"/>
      <c r="H917" s="1"/>
      <c r="I917" s="1"/>
      <c r="J917" s="1"/>
      <c r="K917" s="1"/>
      <c r="L917" s="1"/>
      <c r="M917" s="1"/>
      <c r="AU917" s="18"/>
      <c r="AV917" s="18"/>
    </row>
    <row r="918" spans="5:48" x14ac:dyDescent="0.2">
      <c r="E918" s="1"/>
      <c r="F918" s="1"/>
      <c r="G918" s="1"/>
      <c r="H918" s="1"/>
      <c r="I918" s="1"/>
      <c r="J918" s="1"/>
      <c r="K918" s="1"/>
      <c r="L918" s="1"/>
      <c r="M918" s="1"/>
      <c r="AU918" s="18"/>
      <c r="AV918" s="18"/>
    </row>
    <row r="919" spans="5:48" x14ac:dyDescent="0.2">
      <c r="E919" s="1"/>
      <c r="F919" s="1"/>
      <c r="G919" s="1"/>
      <c r="H919" s="1"/>
      <c r="I919" s="1"/>
      <c r="J919" s="1"/>
      <c r="K919" s="1"/>
      <c r="L919" s="1"/>
      <c r="M919" s="1"/>
      <c r="AU919" s="18"/>
      <c r="AV919" s="18"/>
    </row>
    <row r="920" spans="5:48" x14ac:dyDescent="0.2">
      <c r="E920" s="1"/>
      <c r="F920" s="1"/>
      <c r="G920" s="1"/>
      <c r="H920" s="1"/>
      <c r="I920" s="1"/>
      <c r="J920" s="1"/>
      <c r="K920" s="1"/>
      <c r="L920" s="1"/>
      <c r="M920" s="1"/>
      <c r="AU920" s="18"/>
      <c r="AV920" s="18"/>
    </row>
    <row r="921" spans="5:48" x14ac:dyDescent="0.2">
      <c r="E921" s="1"/>
      <c r="F921" s="1"/>
      <c r="G921" s="1"/>
      <c r="H921" s="1"/>
      <c r="I921" s="1"/>
      <c r="J921" s="1"/>
      <c r="K921" s="1"/>
      <c r="L921" s="1"/>
      <c r="M921" s="1"/>
      <c r="AU921" s="18"/>
      <c r="AV921" s="18"/>
    </row>
    <row r="922" spans="5:48" x14ac:dyDescent="0.2">
      <c r="E922" s="1"/>
      <c r="F922" s="1"/>
      <c r="G922" s="1"/>
      <c r="H922" s="1"/>
      <c r="I922" s="1"/>
      <c r="J922" s="1"/>
      <c r="K922" s="1"/>
      <c r="L922" s="1"/>
      <c r="M922" s="1"/>
      <c r="AU922" s="18"/>
      <c r="AV922" s="18"/>
    </row>
    <row r="923" spans="5:48" x14ac:dyDescent="0.2">
      <c r="E923" s="1"/>
      <c r="F923" s="1"/>
      <c r="G923" s="1"/>
      <c r="H923" s="1"/>
      <c r="I923" s="1"/>
      <c r="J923" s="1"/>
      <c r="K923" s="1"/>
      <c r="L923" s="1"/>
      <c r="M923" s="1"/>
      <c r="AU923" s="18"/>
      <c r="AV923" s="18"/>
    </row>
    <row r="924" spans="5:48" x14ac:dyDescent="0.2">
      <c r="E924" s="1"/>
      <c r="F924" s="1"/>
      <c r="G924" s="1"/>
      <c r="H924" s="1"/>
      <c r="I924" s="1"/>
      <c r="J924" s="1"/>
      <c r="K924" s="1"/>
      <c r="L924" s="1"/>
      <c r="M924" s="1"/>
      <c r="AU924" s="18"/>
      <c r="AV924" s="18"/>
    </row>
    <row r="925" spans="5:48" x14ac:dyDescent="0.2">
      <c r="E925" s="1"/>
      <c r="F925" s="1"/>
      <c r="G925" s="1"/>
      <c r="H925" s="1"/>
      <c r="I925" s="1"/>
      <c r="J925" s="1"/>
      <c r="K925" s="1"/>
      <c r="L925" s="1"/>
      <c r="M925" s="1"/>
      <c r="AU925" s="18"/>
      <c r="AV925" s="18"/>
    </row>
    <row r="926" spans="5:48" x14ac:dyDescent="0.2">
      <c r="E926" s="1"/>
      <c r="F926" s="1"/>
      <c r="G926" s="1"/>
      <c r="H926" s="1"/>
      <c r="I926" s="1"/>
      <c r="J926" s="1"/>
      <c r="K926" s="1"/>
      <c r="L926" s="1"/>
      <c r="M926" s="1"/>
      <c r="AU926" s="18"/>
      <c r="AV926" s="18"/>
    </row>
    <row r="927" spans="5:48" x14ac:dyDescent="0.2">
      <c r="E927" s="1"/>
      <c r="F927" s="1"/>
      <c r="G927" s="1"/>
      <c r="H927" s="1"/>
      <c r="I927" s="1"/>
      <c r="J927" s="1"/>
      <c r="K927" s="1"/>
      <c r="L927" s="1"/>
      <c r="M927" s="1"/>
      <c r="AU927" s="18"/>
      <c r="AV927" s="18"/>
    </row>
    <row r="928" spans="5:48" x14ac:dyDescent="0.2">
      <c r="E928" s="1"/>
      <c r="F928" s="1"/>
      <c r="G928" s="1"/>
      <c r="H928" s="1"/>
      <c r="I928" s="1"/>
      <c r="J928" s="1"/>
      <c r="K928" s="1"/>
      <c r="L928" s="1"/>
      <c r="M928" s="1"/>
      <c r="AU928" s="18"/>
      <c r="AV928" s="18"/>
    </row>
    <row r="929" spans="5:48" x14ac:dyDescent="0.2">
      <c r="E929" s="1"/>
      <c r="F929" s="1"/>
      <c r="G929" s="1"/>
      <c r="H929" s="1"/>
      <c r="I929" s="1"/>
      <c r="J929" s="1"/>
      <c r="K929" s="1"/>
      <c r="L929" s="1"/>
      <c r="M929" s="1"/>
      <c r="AU929" s="18"/>
      <c r="AV929" s="18"/>
    </row>
    <row r="930" spans="5:48" x14ac:dyDescent="0.2">
      <c r="E930" s="1"/>
      <c r="F930" s="1"/>
      <c r="G930" s="1"/>
      <c r="H930" s="1"/>
      <c r="I930" s="1"/>
      <c r="J930" s="1"/>
      <c r="K930" s="1"/>
      <c r="L930" s="1"/>
      <c r="M930" s="1"/>
      <c r="AU930" s="18"/>
      <c r="AV930" s="18"/>
    </row>
    <row r="931" spans="5:48" x14ac:dyDescent="0.2">
      <c r="E931" s="1"/>
      <c r="F931" s="1"/>
      <c r="G931" s="1"/>
      <c r="H931" s="1"/>
      <c r="I931" s="1"/>
      <c r="J931" s="1"/>
      <c r="K931" s="1"/>
      <c r="L931" s="1"/>
      <c r="M931" s="1"/>
      <c r="AU931" s="18"/>
      <c r="AV931" s="18"/>
    </row>
    <row r="932" spans="5:48" x14ac:dyDescent="0.2">
      <c r="E932" s="1"/>
      <c r="F932" s="1"/>
      <c r="G932" s="1"/>
      <c r="H932" s="1"/>
      <c r="I932" s="1"/>
      <c r="J932" s="1"/>
      <c r="K932" s="1"/>
      <c r="L932" s="1"/>
      <c r="M932" s="1"/>
      <c r="AU932" s="18"/>
      <c r="AV932" s="18"/>
    </row>
    <row r="933" spans="5:48" x14ac:dyDescent="0.2">
      <c r="E933" s="1"/>
      <c r="F933" s="1"/>
      <c r="G933" s="1"/>
      <c r="H933" s="1"/>
      <c r="I933" s="1"/>
      <c r="J933" s="1"/>
      <c r="K933" s="1"/>
      <c r="L933" s="1"/>
      <c r="M933" s="1"/>
      <c r="AU933" s="18"/>
      <c r="AV933" s="18"/>
    </row>
    <row r="934" spans="5:48" x14ac:dyDescent="0.2">
      <c r="E934" s="1"/>
      <c r="F934" s="1"/>
      <c r="G934" s="1"/>
      <c r="H934" s="1"/>
      <c r="I934" s="1"/>
      <c r="J934" s="1"/>
      <c r="K934" s="1"/>
      <c r="L934" s="1"/>
      <c r="M934" s="1"/>
      <c r="AU934" s="18"/>
      <c r="AV934" s="18"/>
    </row>
    <row r="935" spans="5:48" x14ac:dyDescent="0.2">
      <c r="E935" s="1"/>
      <c r="F935" s="1"/>
      <c r="G935" s="1"/>
      <c r="H935" s="1"/>
      <c r="I935" s="1"/>
      <c r="J935" s="1"/>
      <c r="K935" s="1"/>
      <c r="L935" s="1"/>
      <c r="M935" s="1"/>
      <c r="AU935" s="18"/>
      <c r="AV935" s="18"/>
    </row>
    <row r="936" spans="5:48" x14ac:dyDescent="0.2">
      <c r="E936" s="1"/>
      <c r="F936" s="1"/>
      <c r="G936" s="1"/>
      <c r="H936" s="1"/>
      <c r="I936" s="1"/>
      <c r="J936" s="1"/>
      <c r="K936" s="1"/>
      <c r="L936" s="1"/>
      <c r="M936" s="1"/>
      <c r="AU936" s="18"/>
      <c r="AV936" s="18"/>
    </row>
    <row r="937" spans="5:48" x14ac:dyDescent="0.2">
      <c r="E937" s="1"/>
      <c r="F937" s="1"/>
      <c r="G937" s="1"/>
      <c r="H937" s="1"/>
      <c r="I937" s="1"/>
      <c r="J937" s="1"/>
      <c r="K937" s="1"/>
      <c r="L937" s="1"/>
      <c r="M937" s="1"/>
      <c r="AU937" s="18"/>
      <c r="AV937" s="18"/>
    </row>
    <row r="938" spans="5:48" x14ac:dyDescent="0.2">
      <c r="E938" s="1"/>
      <c r="F938" s="1"/>
      <c r="G938" s="1"/>
      <c r="H938" s="1"/>
      <c r="I938" s="1"/>
      <c r="J938" s="1"/>
      <c r="K938" s="1"/>
      <c r="L938" s="1"/>
      <c r="M938" s="1"/>
      <c r="AU938" s="18"/>
      <c r="AV938" s="18"/>
    </row>
    <row r="939" spans="5:48" x14ac:dyDescent="0.2">
      <c r="E939" s="1"/>
      <c r="F939" s="1"/>
      <c r="G939" s="1"/>
      <c r="H939" s="1"/>
      <c r="I939" s="1"/>
      <c r="J939" s="1"/>
      <c r="K939" s="1"/>
      <c r="L939" s="1"/>
      <c r="M939" s="1"/>
      <c r="AU939" s="18"/>
      <c r="AV939" s="18"/>
    </row>
    <row r="940" spans="5:48" x14ac:dyDescent="0.2">
      <c r="E940" s="1"/>
      <c r="F940" s="1"/>
      <c r="G940" s="1"/>
      <c r="H940" s="1"/>
      <c r="I940" s="1"/>
      <c r="J940" s="1"/>
      <c r="K940" s="1"/>
      <c r="L940" s="1"/>
      <c r="M940" s="1"/>
      <c r="AU940" s="18"/>
      <c r="AV940" s="18"/>
    </row>
    <row r="941" spans="5:48" x14ac:dyDescent="0.2">
      <c r="E941" s="1"/>
      <c r="F941" s="1"/>
      <c r="G941" s="1"/>
      <c r="H941" s="1"/>
      <c r="I941" s="1"/>
      <c r="J941" s="1"/>
      <c r="K941" s="1"/>
      <c r="L941" s="1"/>
      <c r="M941" s="1"/>
      <c r="AU941" s="18"/>
      <c r="AV941" s="18"/>
    </row>
    <row r="942" spans="5:48" x14ac:dyDescent="0.2">
      <c r="E942" s="1"/>
      <c r="F942" s="1"/>
      <c r="G942" s="1"/>
      <c r="H942" s="1"/>
      <c r="I942" s="1"/>
      <c r="J942" s="1"/>
      <c r="K942" s="1"/>
      <c r="L942" s="1"/>
      <c r="M942" s="1"/>
      <c r="AU942" s="18"/>
      <c r="AV942" s="18"/>
    </row>
    <row r="943" spans="5:48" x14ac:dyDescent="0.2">
      <c r="E943" s="1"/>
      <c r="F943" s="1"/>
      <c r="G943" s="1"/>
      <c r="H943" s="1"/>
      <c r="I943" s="1"/>
      <c r="J943" s="1"/>
      <c r="K943" s="1"/>
      <c r="L943" s="1"/>
      <c r="M943" s="1"/>
      <c r="AU943" s="18"/>
      <c r="AV943" s="18"/>
    </row>
    <row r="944" spans="5:48" x14ac:dyDescent="0.2">
      <c r="E944" s="1"/>
      <c r="F944" s="1"/>
      <c r="G944" s="1"/>
      <c r="H944" s="1"/>
      <c r="I944" s="1"/>
      <c r="J944" s="1"/>
      <c r="K944" s="1"/>
      <c r="L944" s="1"/>
      <c r="M944" s="1"/>
      <c r="AU944" s="18"/>
      <c r="AV944" s="18"/>
    </row>
    <row r="945" spans="5:48" x14ac:dyDescent="0.2">
      <c r="E945" s="1"/>
      <c r="F945" s="1"/>
      <c r="G945" s="1"/>
      <c r="H945" s="1"/>
      <c r="I945" s="1"/>
      <c r="J945" s="1"/>
      <c r="K945" s="1"/>
      <c r="L945" s="1"/>
      <c r="M945" s="1"/>
      <c r="AU945" s="18"/>
      <c r="AV945" s="18"/>
    </row>
    <row r="946" spans="5:48" x14ac:dyDescent="0.2">
      <c r="E946" s="1"/>
      <c r="F946" s="1"/>
      <c r="G946" s="1"/>
      <c r="H946" s="1"/>
      <c r="I946" s="1"/>
      <c r="J946" s="1"/>
      <c r="K946" s="1"/>
      <c r="L946" s="1"/>
      <c r="M946" s="1"/>
      <c r="AU946" s="18"/>
      <c r="AV946" s="18"/>
    </row>
    <row r="947" spans="5:48" x14ac:dyDescent="0.2">
      <c r="E947" s="1"/>
      <c r="F947" s="1"/>
      <c r="G947" s="1"/>
      <c r="H947" s="1"/>
      <c r="I947" s="1"/>
      <c r="J947" s="1"/>
      <c r="K947" s="1"/>
      <c r="L947" s="1"/>
      <c r="M947" s="1"/>
      <c r="AU947" s="18"/>
      <c r="AV947" s="18"/>
    </row>
    <row r="948" spans="5:48" x14ac:dyDescent="0.2">
      <c r="E948" s="1"/>
      <c r="F948" s="1"/>
      <c r="G948" s="1"/>
      <c r="H948" s="1"/>
      <c r="I948" s="1"/>
      <c r="J948" s="1"/>
      <c r="K948" s="1"/>
      <c r="L948" s="1"/>
      <c r="M948" s="1"/>
      <c r="AU948" s="18"/>
      <c r="AV948" s="18"/>
    </row>
    <row r="949" spans="5:48" x14ac:dyDescent="0.2">
      <c r="E949" s="1"/>
      <c r="F949" s="1"/>
      <c r="G949" s="1"/>
      <c r="H949" s="1"/>
      <c r="I949" s="1"/>
      <c r="J949" s="1"/>
      <c r="K949" s="1"/>
      <c r="L949" s="1"/>
      <c r="M949" s="1"/>
      <c r="AU949" s="18"/>
      <c r="AV949" s="18"/>
    </row>
    <row r="950" spans="5:48" x14ac:dyDescent="0.2">
      <c r="E950" s="1"/>
      <c r="F950" s="1"/>
      <c r="G950" s="1"/>
      <c r="H950" s="1"/>
      <c r="I950" s="1"/>
      <c r="J950" s="1"/>
      <c r="K950" s="1"/>
      <c r="L950" s="1"/>
      <c r="M950" s="1"/>
      <c r="AU950" s="18"/>
      <c r="AV950" s="18"/>
    </row>
    <row r="951" spans="5:48" x14ac:dyDescent="0.2">
      <c r="E951" s="1"/>
      <c r="F951" s="1"/>
      <c r="G951" s="1"/>
      <c r="H951" s="1"/>
      <c r="I951" s="1"/>
      <c r="J951" s="1"/>
      <c r="K951" s="1"/>
      <c r="L951" s="1"/>
      <c r="M951" s="1"/>
      <c r="AU951" s="18"/>
      <c r="AV951" s="18"/>
    </row>
    <row r="952" spans="5:48" x14ac:dyDescent="0.2">
      <c r="E952" s="1"/>
      <c r="F952" s="1"/>
      <c r="G952" s="1"/>
      <c r="H952" s="1"/>
      <c r="I952" s="1"/>
      <c r="J952" s="1"/>
      <c r="K952" s="1"/>
      <c r="L952" s="1"/>
      <c r="M952" s="1"/>
      <c r="AU952" s="18"/>
      <c r="AV952" s="18"/>
    </row>
    <row r="953" spans="5:48" x14ac:dyDescent="0.2">
      <c r="E953" s="1"/>
      <c r="F953" s="1"/>
      <c r="G953" s="1"/>
      <c r="H953" s="1"/>
      <c r="I953" s="1"/>
      <c r="J953" s="1"/>
      <c r="K953" s="1"/>
      <c r="L953" s="1"/>
      <c r="M953" s="1"/>
      <c r="AU953" s="18"/>
      <c r="AV953" s="18"/>
    </row>
    <row r="954" spans="5:48" x14ac:dyDescent="0.2">
      <c r="E954" s="1"/>
      <c r="F954" s="1"/>
      <c r="G954" s="1"/>
      <c r="H954" s="1"/>
      <c r="I954" s="1"/>
      <c r="J954" s="1"/>
      <c r="K954" s="1"/>
      <c r="L954" s="1"/>
      <c r="M954" s="1"/>
      <c r="AU954" s="18"/>
      <c r="AV954" s="18"/>
    </row>
    <row r="955" spans="5:48" x14ac:dyDescent="0.2">
      <c r="E955" s="1"/>
      <c r="F955" s="1"/>
      <c r="G955" s="1"/>
      <c r="H955" s="1"/>
      <c r="I955" s="1"/>
      <c r="J955" s="1"/>
      <c r="K955" s="1"/>
      <c r="L955" s="1"/>
      <c r="M955" s="1"/>
      <c r="AU955" s="18"/>
      <c r="AV955" s="18"/>
    </row>
    <row r="956" spans="5:48" x14ac:dyDescent="0.2">
      <c r="E956" s="1"/>
      <c r="F956" s="1"/>
      <c r="G956" s="1"/>
      <c r="H956" s="1"/>
      <c r="I956" s="1"/>
      <c r="J956" s="1"/>
      <c r="K956" s="1"/>
      <c r="L956" s="1"/>
      <c r="M956" s="1"/>
      <c r="AU956" s="18"/>
      <c r="AV956" s="18"/>
    </row>
    <row r="957" spans="5:48" x14ac:dyDescent="0.2">
      <c r="E957" s="1"/>
      <c r="F957" s="1"/>
      <c r="G957" s="1"/>
      <c r="H957" s="1"/>
      <c r="I957" s="1"/>
      <c r="J957" s="1"/>
      <c r="K957" s="1"/>
      <c r="L957" s="1"/>
      <c r="M957" s="1"/>
      <c r="AU957" s="18"/>
      <c r="AV957" s="18"/>
    </row>
    <row r="958" spans="5:48" x14ac:dyDescent="0.2">
      <c r="E958" s="1"/>
      <c r="F958" s="1"/>
      <c r="G958" s="1"/>
      <c r="H958" s="1"/>
      <c r="I958" s="1"/>
      <c r="J958" s="1"/>
      <c r="K958" s="1"/>
      <c r="L958" s="1"/>
      <c r="M958" s="1"/>
      <c r="AU958" s="18"/>
      <c r="AV958" s="18"/>
    </row>
    <row r="959" spans="5:48" x14ac:dyDescent="0.2">
      <c r="E959" s="1"/>
      <c r="F959" s="1"/>
      <c r="G959" s="1"/>
      <c r="H959" s="1"/>
      <c r="I959" s="1"/>
      <c r="J959" s="1"/>
      <c r="K959" s="1"/>
      <c r="L959" s="1"/>
      <c r="M959" s="1"/>
      <c r="AU959" s="18"/>
      <c r="AV959" s="18"/>
    </row>
    <row r="960" spans="5:48" x14ac:dyDescent="0.2">
      <c r="E960" s="1"/>
      <c r="F960" s="1"/>
      <c r="G960" s="1"/>
      <c r="H960" s="1"/>
      <c r="I960" s="1"/>
      <c r="J960" s="1"/>
      <c r="K960" s="1"/>
      <c r="L960" s="1"/>
      <c r="M960" s="1"/>
      <c r="AU960" s="18"/>
      <c r="AV960" s="18"/>
    </row>
    <row r="961" spans="5:48" x14ac:dyDescent="0.2">
      <c r="E961" s="1"/>
      <c r="F961" s="1"/>
      <c r="G961" s="1"/>
      <c r="H961" s="1"/>
      <c r="I961" s="1"/>
      <c r="J961" s="1"/>
      <c r="K961" s="1"/>
      <c r="L961" s="1"/>
      <c r="M961" s="1"/>
      <c r="AU961" s="18"/>
      <c r="AV961" s="18"/>
    </row>
    <row r="962" spans="5:48" x14ac:dyDescent="0.2">
      <c r="E962" s="1"/>
      <c r="F962" s="1"/>
      <c r="G962" s="1"/>
      <c r="H962" s="1"/>
      <c r="I962" s="1"/>
      <c r="J962" s="1"/>
      <c r="K962" s="1"/>
      <c r="L962" s="1"/>
      <c r="M962" s="1"/>
      <c r="AU962" s="18"/>
      <c r="AV962" s="18"/>
    </row>
    <row r="963" spans="5:48" x14ac:dyDescent="0.2">
      <c r="E963" s="1"/>
      <c r="F963" s="1"/>
      <c r="G963" s="1"/>
      <c r="H963" s="1"/>
      <c r="I963" s="1"/>
      <c r="J963" s="1"/>
      <c r="K963" s="1"/>
      <c r="L963" s="1"/>
      <c r="M963" s="1"/>
      <c r="AU963" s="18"/>
      <c r="AV963" s="18"/>
    </row>
    <row r="964" spans="5:48" x14ac:dyDescent="0.2">
      <c r="E964" s="1"/>
      <c r="F964" s="1"/>
      <c r="G964" s="1"/>
      <c r="H964" s="1"/>
      <c r="I964" s="1"/>
      <c r="J964" s="1"/>
      <c r="K964" s="1"/>
      <c r="L964" s="1"/>
      <c r="M964" s="1"/>
      <c r="AU964" s="18"/>
      <c r="AV964" s="18"/>
    </row>
    <row r="965" spans="5:48" x14ac:dyDescent="0.2">
      <c r="E965" s="1"/>
      <c r="F965" s="1"/>
      <c r="G965" s="1"/>
      <c r="H965" s="1"/>
      <c r="I965" s="1"/>
      <c r="J965" s="1"/>
      <c r="K965" s="1"/>
      <c r="L965" s="1"/>
      <c r="M965" s="1"/>
      <c r="AU965" s="18"/>
      <c r="AV965" s="18"/>
    </row>
    <row r="966" spans="5:48" x14ac:dyDescent="0.2">
      <c r="E966" s="1"/>
      <c r="F966" s="1"/>
      <c r="G966" s="1"/>
      <c r="H966" s="1"/>
      <c r="I966" s="1"/>
      <c r="J966" s="1"/>
      <c r="K966" s="1"/>
      <c r="L966" s="1"/>
      <c r="M966" s="1"/>
      <c r="AU966" s="18"/>
      <c r="AV966" s="18"/>
    </row>
    <row r="967" spans="5:48" x14ac:dyDescent="0.2">
      <c r="E967" s="1"/>
      <c r="F967" s="1"/>
      <c r="G967" s="1"/>
      <c r="H967" s="1"/>
      <c r="I967" s="1"/>
      <c r="J967" s="1"/>
      <c r="K967" s="1"/>
      <c r="L967" s="1"/>
      <c r="M967" s="1"/>
      <c r="AU967" s="18"/>
      <c r="AV967" s="18"/>
    </row>
    <row r="968" spans="5:48" x14ac:dyDescent="0.2">
      <c r="E968" s="1"/>
      <c r="F968" s="1"/>
      <c r="G968" s="1"/>
      <c r="H968" s="1"/>
      <c r="I968" s="1"/>
      <c r="J968" s="1"/>
      <c r="K968" s="1"/>
      <c r="L968" s="1"/>
      <c r="M968" s="1"/>
      <c r="AU968" s="18"/>
      <c r="AV968" s="18"/>
    </row>
    <row r="969" spans="5:48" x14ac:dyDescent="0.2">
      <c r="E969" s="1"/>
      <c r="F969" s="1"/>
      <c r="G969" s="1"/>
      <c r="H969" s="1"/>
      <c r="I969" s="1"/>
      <c r="J969" s="1"/>
      <c r="K969" s="1"/>
      <c r="L969" s="1"/>
      <c r="M969" s="1"/>
      <c r="AU969" s="18"/>
      <c r="AV969" s="18"/>
    </row>
    <row r="970" spans="5:48" x14ac:dyDescent="0.2">
      <c r="E970" s="1"/>
      <c r="F970" s="1"/>
      <c r="G970" s="1"/>
      <c r="H970" s="1"/>
      <c r="I970" s="1"/>
      <c r="J970" s="1"/>
      <c r="K970" s="1"/>
      <c r="L970" s="1"/>
      <c r="M970" s="1"/>
      <c r="AU970" s="18"/>
      <c r="AV970" s="18"/>
    </row>
    <row r="971" spans="5:48" x14ac:dyDescent="0.2">
      <c r="E971" s="1"/>
      <c r="F971" s="1"/>
      <c r="G971" s="1"/>
      <c r="H971" s="1"/>
      <c r="I971" s="1"/>
      <c r="J971" s="1"/>
      <c r="K971" s="1"/>
      <c r="L971" s="1"/>
      <c r="M971" s="1"/>
      <c r="AU971" s="18"/>
      <c r="AV971" s="18"/>
    </row>
    <row r="972" spans="5:48" x14ac:dyDescent="0.2">
      <c r="E972" s="1"/>
      <c r="F972" s="1"/>
      <c r="G972" s="1"/>
      <c r="H972" s="1"/>
      <c r="I972" s="1"/>
      <c r="J972" s="1"/>
      <c r="K972" s="1"/>
      <c r="L972" s="1"/>
      <c r="M972" s="1"/>
      <c r="AU972" s="18"/>
      <c r="AV972" s="18"/>
    </row>
    <row r="973" spans="5:48" x14ac:dyDescent="0.2">
      <c r="E973" s="1"/>
      <c r="F973" s="1"/>
      <c r="G973" s="1"/>
      <c r="H973" s="1"/>
      <c r="I973" s="1"/>
      <c r="J973" s="1"/>
      <c r="K973" s="1"/>
      <c r="L973" s="1"/>
      <c r="M973" s="1"/>
      <c r="AU973" s="18"/>
      <c r="AV973" s="18"/>
    </row>
    <row r="974" spans="5:48" x14ac:dyDescent="0.2">
      <c r="E974" s="1"/>
      <c r="F974" s="1"/>
      <c r="G974" s="1"/>
      <c r="H974" s="1"/>
      <c r="I974" s="1"/>
      <c r="J974" s="1"/>
      <c r="K974" s="1"/>
      <c r="L974" s="1"/>
      <c r="M974" s="1"/>
      <c r="AU974" s="18"/>
      <c r="AV974" s="18"/>
    </row>
    <row r="975" spans="5:48" x14ac:dyDescent="0.2">
      <c r="E975" s="1"/>
      <c r="F975" s="1"/>
      <c r="G975" s="1"/>
      <c r="H975" s="1"/>
      <c r="I975" s="1"/>
      <c r="J975" s="1"/>
      <c r="K975" s="1"/>
      <c r="L975" s="1"/>
      <c r="M975" s="1"/>
      <c r="AU975" s="18"/>
      <c r="AV975" s="18"/>
    </row>
    <row r="976" spans="5:48" x14ac:dyDescent="0.2">
      <c r="E976" s="1"/>
      <c r="F976" s="1"/>
      <c r="G976" s="1"/>
      <c r="H976" s="1"/>
      <c r="I976" s="1"/>
      <c r="J976" s="1"/>
      <c r="K976" s="1"/>
      <c r="L976" s="1"/>
      <c r="M976" s="1"/>
      <c r="AU976" s="18"/>
      <c r="AV976" s="18"/>
    </row>
    <row r="977" spans="5:48" x14ac:dyDescent="0.2">
      <c r="E977" s="1"/>
      <c r="F977" s="1"/>
      <c r="G977" s="1"/>
      <c r="H977" s="1"/>
      <c r="I977" s="1"/>
      <c r="J977" s="1"/>
      <c r="K977" s="1"/>
      <c r="L977" s="1"/>
      <c r="M977" s="1"/>
      <c r="AU977" s="18"/>
      <c r="AV977" s="18"/>
    </row>
    <row r="978" spans="5:48" x14ac:dyDescent="0.2">
      <c r="E978" s="1"/>
      <c r="F978" s="1"/>
      <c r="G978" s="1"/>
      <c r="H978" s="1"/>
      <c r="I978" s="1"/>
      <c r="J978" s="1"/>
      <c r="K978" s="1"/>
      <c r="L978" s="1"/>
      <c r="M978" s="1"/>
      <c r="AU978" s="18"/>
      <c r="AV978" s="18"/>
    </row>
    <row r="979" spans="5:48" x14ac:dyDescent="0.2">
      <c r="E979" s="1"/>
      <c r="F979" s="1"/>
      <c r="G979" s="1"/>
      <c r="H979" s="1"/>
      <c r="I979" s="1"/>
      <c r="J979" s="1"/>
      <c r="K979" s="1"/>
      <c r="L979" s="1"/>
      <c r="M979" s="1"/>
      <c r="AU979" s="18"/>
      <c r="AV979" s="18"/>
    </row>
    <row r="980" spans="5:48" x14ac:dyDescent="0.2">
      <c r="E980" s="1"/>
      <c r="F980" s="1"/>
      <c r="G980" s="1"/>
      <c r="H980" s="1"/>
      <c r="I980" s="1"/>
      <c r="J980" s="1"/>
      <c r="K980" s="1"/>
      <c r="L980" s="1"/>
      <c r="M980" s="1"/>
      <c r="AU980" s="18"/>
      <c r="AV980" s="18"/>
    </row>
    <row r="981" spans="5:48" x14ac:dyDescent="0.2">
      <c r="E981" s="1"/>
      <c r="F981" s="1"/>
      <c r="G981" s="1"/>
      <c r="H981" s="1"/>
      <c r="I981" s="1"/>
      <c r="J981" s="1"/>
      <c r="K981" s="1"/>
      <c r="L981" s="1"/>
      <c r="M981" s="1"/>
      <c r="AU981" s="18"/>
      <c r="AV981" s="18"/>
    </row>
    <row r="982" spans="5:48" x14ac:dyDescent="0.2">
      <c r="E982" s="1"/>
      <c r="F982" s="1"/>
      <c r="G982" s="1"/>
      <c r="H982" s="1"/>
      <c r="I982" s="1"/>
      <c r="J982" s="1"/>
      <c r="K982" s="1"/>
      <c r="L982" s="1"/>
      <c r="M982" s="1"/>
      <c r="AU982" s="18"/>
      <c r="AV982" s="18"/>
    </row>
    <row r="983" spans="5:48" x14ac:dyDescent="0.2">
      <c r="E983" s="1"/>
      <c r="F983" s="1"/>
      <c r="G983" s="1"/>
      <c r="H983" s="1"/>
      <c r="I983" s="1"/>
      <c r="J983" s="1"/>
      <c r="K983" s="1"/>
      <c r="L983" s="1"/>
      <c r="M983" s="1"/>
      <c r="AU983" s="18"/>
      <c r="AV983" s="18"/>
    </row>
    <row r="984" spans="5:48" x14ac:dyDescent="0.2">
      <c r="E984" s="1"/>
      <c r="F984" s="1"/>
      <c r="G984" s="1"/>
      <c r="H984" s="1"/>
      <c r="I984" s="1"/>
      <c r="J984" s="1"/>
      <c r="K984" s="1"/>
      <c r="L984" s="1"/>
      <c r="M984" s="1"/>
      <c r="AU984" s="18"/>
      <c r="AV984" s="18"/>
    </row>
    <row r="985" spans="5:48" x14ac:dyDescent="0.2">
      <c r="E985" s="1"/>
      <c r="F985" s="1"/>
      <c r="G985" s="1"/>
      <c r="H985" s="1"/>
      <c r="I985" s="1"/>
      <c r="J985" s="1"/>
      <c r="K985" s="1"/>
      <c r="L985" s="1"/>
      <c r="M985" s="1"/>
      <c r="AU985" s="18"/>
      <c r="AV985" s="18"/>
    </row>
    <row r="986" spans="5:48" x14ac:dyDescent="0.2">
      <c r="E986" s="1"/>
      <c r="F986" s="1"/>
      <c r="G986" s="1"/>
      <c r="H986" s="1"/>
      <c r="I986" s="1"/>
      <c r="J986" s="1"/>
      <c r="K986" s="1"/>
      <c r="L986" s="1"/>
      <c r="M986" s="1"/>
      <c r="AU986" s="18"/>
      <c r="AV986" s="18"/>
    </row>
    <row r="987" spans="5:48" x14ac:dyDescent="0.2">
      <c r="E987" s="1"/>
      <c r="F987" s="1"/>
      <c r="G987" s="1"/>
      <c r="H987" s="1"/>
      <c r="I987" s="1"/>
      <c r="J987" s="1"/>
      <c r="K987" s="1"/>
      <c r="L987" s="1"/>
      <c r="M987" s="1"/>
      <c r="AU987" s="18"/>
      <c r="AV987" s="18"/>
    </row>
    <row r="988" spans="5:48" x14ac:dyDescent="0.2">
      <c r="E988" s="1"/>
      <c r="F988" s="1"/>
      <c r="G988" s="1"/>
      <c r="H988" s="1"/>
      <c r="I988" s="1"/>
      <c r="J988" s="1"/>
      <c r="K988" s="1"/>
      <c r="L988" s="1"/>
      <c r="M988" s="1"/>
      <c r="AU988" s="18"/>
      <c r="AV988" s="18"/>
    </row>
    <row r="989" spans="5:48" x14ac:dyDescent="0.2">
      <c r="E989" s="1"/>
      <c r="F989" s="1"/>
      <c r="G989" s="1"/>
      <c r="H989" s="1"/>
      <c r="I989" s="1"/>
      <c r="J989" s="1"/>
      <c r="K989" s="1"/>
      <c r="L989" s="1"/>
      <c r="M989" s="1"/>
      <c r="AU989" s="18"/>
      <c r="AV989" s="18"/>
    </row>
    <row r="990" spans="5:48" x14ac:dyDescent="0.2">
      <c r="E990" s="1"/>
      <c r="F990" s="1"/>
      <c r="G990" s="1"/>
      <c r="H990" s="1"/>
      <c r="I990" s="1"/>
      <c r="J990" s="1"/>
      <c r="K990" s="1"/>
      <c r="L990" s="1"/>
      <c r="M990" s="1"/>
      <c r="AU990" s="18"/>
      <c r="AV990" s="18"/>
    </row>
    <row r="991" spans="5:48" x14ac:dyDescent="0.2">
      <c r="E991" s="1"/>
      <c r="F991" s="1"/>
      <c r="G991" s="1"/>
      <c r="H991" s="1"/>
      <c r="I991" s="1"/>
      <c r="J991" s="1"/>
      <c r="K991" s="1"/>
      <c r="L991" s="1"/>
      <c r="M991" s="1"/>
      <c r="AU991" s="18"/>
      <c r="AV991" s="18"/>
    </row>
    <row r="992" spans="5:48" x14ac:dyDescent="0.2">
      <c r="E992" s="1"/>
      <c r="F992" s="1"/>
      <c r="G992" s="1"/>
      <c r="H992" s="1"/>
      <c r="I992" s="1"/>
      <c r="J992" s="1"/>
      <c r="K992" s="1"/>
      <c r="L992" s="1"/>
      <c r="M992" s="1"/>
      <c r="AU992" s="18"/>
      <c r="AV992" s="18"/>
    </row>
    <row r="993" spans="5:48" x14ac:dyDescent="0.2">
      <c r="E993" s="1"/>
      <c r="F993" s="1"/>
      <c r="G993" s="1"/>
      <c r="H993" s="1"/>
      <c r="I993" s="1"/>
      <c r="J993" s="1"/>
      <c r="K993" s="1"/>
      <c r="L993" s="1"/>
      <c r="M993" s="1"/>
      <c r="AU993" s="18"/>
      <c r="AV993" s="18"/>
    </row>
    <row r="994" spans="5:48" x14ac:dyDescent="0.2">
      <c r="E994" s="1"/>
      <c r="F994" s="1"/>
      <c r="G994" s="1"/>
      <c r="H994" s="1"/>
      <c r="I994" s="1"/>
      <c r="J994" s="1"/>
      <c r="K994" s="1"/>
      <c r="L994" s="1"/>
      <c r="M994" s="1"/>
      <c r="AU994" s="18"/>
      <c r="AV994" s="18"/>
    </row>
    <row r="995" spans="5:48" x14ac:dyDescent="0.2">
      <c r="E995" s="1"/>
      <c r="F995" s="1"/>
      <c r="G995" s="1"/>
      <c r="H995" s="1"/>
      <c r="I995" s="1"/>
      <c r="J995" s="1"/>
      <c r="K995" s="1"/>
      <c r="L995" s="1"/>
      <c r="M995" s="1"/>
      <c r="AU995" s="18"/>
      <c r="AV995" s="18"/>
    </row>
    <row r="996" spans="5:48" x14ac:dyDescent="0.2">
      <c r="E996" s="1"/>
      <c r="F996" s="1"/>
      <c r="G996" s="1"/>
      <c r="H996" s="1"/>
      <c r="I996" s="1"/>
      <c r="J996" s="1"/>
      <c r="K996" s="1"/>
      <c r="L996" s="1"/>
      <c r="M996" s="1"/>
      <c r="AU996" s="18"/>
      <c r="AV996" s="18"/>
    </row>
    <row r="997" spans="5:48" x14ac:dyDescent="0.2">
      <c r="E997" s="1"/>
      <c r="F997" s="1"/>
      <c r="G997" s="1"/>
      <c r="H997" s="1"/>
      <c r="I997" s="1"/>
      <c r="J997" s="1"/>
      <c r="K997" s="1"/>
      <c r="L997" s="1"/>
      <c r="M997" s="1"/>
      <c r="AU997" s="18"/>
      <c r="AV997" s="18"/>
    </row>
    <row r="998" spans="5:48" x14ac:dyDescent="0.2">
      <c r="E998" s="1"/>
      <c r="F998" s="1"/>
      <c r="G998" s="1"/>
      <c r="H998" s="1"/>
      <c r="I998" s="1"/>
      <c r="J998" s="1"/>
      <c r="K998" s="1"/>
      <c r="L998" s="1"/>
      <c r="M998" s="1"/>
      <c r="AU998" s="18"/>
      <c r="AV998" s="18"/>
    </row>
    <row r="999" spans="5:48" x14ac:dyDescent="0.2">
      <c r="E999" s="1"/>
      <c r="F999" s="1"/>
      <c r="G999" s="1"/>
      <c r="H999" s="1"/>
      <c r="I999" s="1"/>
      <c r="J999" s="1"/>
      <c r="K999" s="1"/>
      <c r="L999" s="1"/>
      <c r="M999" s="1"/>
      <c r="AU999" s="18"/>
      <c r="AV999" s="18"/>
    </row>
    <row r="1000" spans="5:48" x14ac:dyDescent="0.2">
      <c r="E1000" s="1"/>
      <c r="F1000" s="1"/>
      <c r="G1000" s="1"/>
      <c r="H1000" s="1"/>
      <c r="I1000" s="1"/>
      <c r="J1000" s="1"/>
      <c r="K1000" s="1"/>
      <c r="L1000" s="1"/>
      <c r="M1000" s="1"/>
      <c r="AU1000" s="18"/>
      <c r="AV1000" s="18"/>
    </row>
    <row r="1001" spans="5:48" x14ac:dyDescent="0.2">
      <c r="E1001" s="1"/>
      <c r="F1001" s="1"/>
      <c r="G1001" s="1"/>
      <c r="H1001" s="1"/>
      <c r="I1001" s="1"/>
      <c r="J1001" s="1"/>
      <c r="K1001" s="1"/>
      <c r="L1001" s="1"/>
      <c r="M1001" s="1"/>
      <c r="AU1001" s="18"/>
      <c r="AV1001" s="18"/>
    </row>
    <row r="1002" spans="5:48" x14ac:dyDescent="0.2">
      <c r="E1002" s="1"/>
      <c r="F1002" s="1"/>
      <c r="G1002" s="1"/>
      <c r="H1002" s="1"/>
      <c r="I1002" s="1"/>
      <c r="J1002" s="1"/>
      <c r="K1002" s="1"/>
      <c r="L1002" s="1"/>
      <c r="M1002" s="1"/>
      <c r="AU1002" s="18"/>
      <c r="AV1002" s="18"/>
    </row>
    <row r="1003" spans="5:48" x14ac:dyDescent="0.2">
      <c r="E1003" s="1"/>
      <c r="F1003" s="1"/>
      <c r="G1003" s="1"/>
      <c r="H1003" s="1"/>
      <c r="I1003" s="1"/>
      <c r="J1003" s="1"/>
      <c r="K1003" s="1"/>
      <c r="L1003" s="1"/>
      <c r="M1003" s="1"/>
      <c r="AU1003" s="18"/>
      <c r="AV1003" s="18"/>
    </row>
    <row r="1004" spans="5:48" x14ac:dyDescent="0.2">
      <c r="E1004" s="1"/>
      <c r="F1004" s="1"/>
      <c r="G1004" s="1"/>
      <c r="H1004" s="1"/>
      <c r="I1004" s="1"/>
      <c r="J1004" s="1"/>
      <c r="K1004" s="1"/>
      <c r="L1004" s="1"/>
      <c r="M1004" s="1"/>
      <c r="AU1004" s="18"/>
      <c r="AV1004" s="18"/>
    </row>
    <row r="1005" spans="5:48" x14ac:dyDescent="0.2">
      <c r="E1005" s="1"/>
      <c r="F1005" s="1"/>
      <c r="G1005" s="1"/>
      <c r="H1005" s="1"/>
      <c r="I1005" s="1"/>
      <c r="J1005" s="1"/>
      <c r="K1005" s="1"/>
      <c r="L1005" s="1"/>
      <c r="M1005" s="1"/>
      <c r="AU1005" s="18"/>
      <c r="AV1005" s="18"/>
    </row>
    <row r="1006" spans="5:48" x14ac:dyDescent="0.2">
      <c r="E1006" s="1"/>
      <c r="F1006" s="1"/>
      <c r="G1006" s="1"/>
      <c r="H1006" s="1"/>
      <c r="I1006" s="1"/>
      <c r="J1006" s="1"/>
      <c r="K1006" s="1"/>
      <c r="L1006" s="1"/>
      <c r="M1006" s="1"/>
      <c r="AU1006" s="18"/>
      <c r="AV1006" s="18"/>
    </row>
    <row r="1007" spans="5:48" x14ac:dyDescent="0.2">
      <c r="E1007" s="1"/>
      <c r="F1007" s="1"/>
      <c r="G1007" s="1"/>
      <c r="H1007" s="1"/>
      <c r="I1007" s="1"/>
      <c r="J1007" s="1"/>
      <c r="K1007" s="1"/>
      <c r="L1007" s="1"/>
      <c r="M1007" s="1"/>
      <c r="AU1007" s="18"/>
      <c r="AV1007" s="18"/>
    </row>
    <row r="1008" spans="5:48" x14ac:dyDescent="0.2">
      <c r="E1008" s="1"/>
      <c r="F1008" s="1"/>
      <c r="G1008" s="1"/>
      <c r="H1008" s="1"/>
      <c r="I1008" s="1"/>
      <c r="J1008" s="1"/>
      <c r="K1008" s="1"/>
      <c r="L1008" s="1"/>
      <c r="M1008" s="1"/>
      <c r="AU1008" s="18"/>
      <c r="AV1008" s="18"/>
    </row>
    <row r="1009" spans="5:48" x14ac:dyDescent="0.2">
      <c r="E1009" s="1"/>
      <c r="F1009" s="1"/>
      <c r="G1009" s="1"/>
      <c r="H1009" s="1"/>
      <c r="I1009" s="1"/>
      <c r="J1009" s="1"/>
      <c r="K1009" s="1"/>
      <c r="L1009" s="1"/>
      <c r="M1009" s="1"/>
      <c r="AU1009" s="18"/>
      <c r="AV1009" s="18"/>
    </row>
    <row r="1010" spans="5:48" x14ac:dyDescent="0.2">
      <c r="E1010" s="1"/>
      <c r="F1010" s="1"/>
      <c r="G1010" s="1"/>
      <c r="H1010" s="1"/>
      <c r="I1010" s="1"/>
      <c r="J1010" s="1"/>
      <c r="K1010" s="1"/>
      <c r="L1010" s="1"/>
      <c r="M1010" s="1"/>
      <c r="AU1010" s="18"/>
      <c r="AV1010" s="18"/>
    </row>
    <row r="1011" spans="5:48" x14ac:dyDescent="0.2">
      <c r="E1011" s="1"/>
      <c r="F1011" s="1"/>
      <c r="G1011" s="1"/>
      <c r="H1011" s="1"/>
      <c r="I1011" s="1"/>
      <c r="J1011" s="1"/>
      <c r="K1011" s="1"/>
      <c r="L1011" s="1"/>
      <c r="M1011" s="1"/>
      <c r="AU1011" s="18"/>
      <c r="AV1011" s="18"/>
    </row>
    <row r="1012" spans="5:48" x14ac:dyDescent="0.2">
      <c r="E1012" s="1"/>
      <c r="F1012" s="1"/>
      <c r="G1012" s="1"/>
      <c r="H1012" s="1"/>
      <c r="I1012" s="1"/>
      <c r="J1012" s="1"/>
      <c r="K1012" s="1"/>
      <c r="L1012" s="1"/>
      <c r="M1012" s="1"/>
      <c r="AU1012" s="18"/>
      <c r="AV1012" s="18"/>
    </row>
    <row r="1013" spans="5:48" x14ac:dyDescent="0.2">
      <c r="E1013" s="1"/>
      <c r="F1013" s="1"/>
      <c r="G1013" s="1"/>
      <c r="H1013" s="1"/>
      <c r="I1013" s="1"/>
      <c r="J1013" s="1"/>
      <c r="K1013" s="1"/>
      <c r="L1013" s="1"/>
      <c r="M1013" s="1"/>
      <c r="AU1013" s="18"/>
      <c r="AV1013" s="18"/>
    </row>
    <row r="1014" spans="5:48" x14ac:dyDescent="0.2">
      <c r="E1014" s="1"/>
      <c r="F1014" s="1"/>
      <c r="G1014" s="1"/>
      <c r="H1014" s="1"/>
      <c r="I1014" s="1"/>
      <c r="J1014" s="1"/>
      <c r="K1014" s="1"/>
      <c r="L1014" s="1"/>
      <c r="M1014" s="1"/>
      <c r="AU1014" s="18"/>
      <c r="AV1014" s="18"/>
    </row>
    <row r="1015" spans="5:48" x14ac:dyDescent="0.2">
      <c r="E1015" s="1"/>
      <c r="F1015" s="1"/>
      <c r="G1015" s="1"/>
      <c r="H1015" s="1"/>
      <c r="I1015" s="1"/>
      <c r="J1015" s="1"/>
      <c r="K1015" s="1"/>
      <c r="L1015" s="1"/>
      <c r="M1015" s="1"/>
      <c r="AU1015" s="18"/>
      <c r="AV1015" s="18"/>
    </row>
    <row r="1016" spans="5:48" x14ac:dyDescent="0.2">
      <c r="E1016" s="1"/>
      <c r="F1016" s="1"/>
      <c r="G1016" s="1"/>
      <c r="H1016" s="1"/>
      <c r="I1016" s="1"/>
      <c r="J1016" s="1"/>
      <c r="K1016" s="1"/>
      <c r="L1016" s="1"/>
      <c r="M1016" s="1"/>
      <c r="AU1016" s="18"/>
      <c r="AV1016" s="18"/>
    </row>
    <row r="1017" spans="5:48" x14ac:dyDescent="0.2">
      <c r="E1017" s="1"/>
      <c r="F1017" s="1"/>
      <c r="G1017" s="1"/>
      <c r="H1017" s="1"/>
      <c r="I1017" s="1"/>
      <c r="J1017" s="1"/>
      <c r="K1017" s="1"/>
      <c r="L1017" s="1"/>
      <c r="M1017" s="1"/>
      <c r="AU1017" s="18"/>
      <c r="AV1017" s="18"/>
    </row>
    <row r="1018" spans="5:48" x14ac:dyDescent="0.2">
      <c r="E1018" s="1"/>
      <c r="F1018" s="1"/>
      <c r="G1018" s="1"/>
      <c r="H1018" s="1"/>
      <c r="I1018" s="1"/>
      <c r="J1018" s="1"/>
      <c r="K1018" s="1"/>
      <c r="L1018" s="1"/>
      <c r="M1018" s="1"/>
      <c r="AU1018" s="18"/>
      <c r="AV1018" s="18"/>
    </row>
    <row r="1019" spans="5:48" x14ac:dyDescent="0.2">
      <c r="E1019" s="1"/>
      <c r="F1019" s="1"/>
      <c r="G1019" s="1"/>
      <c r="H1019" s="1"/>
      <c r="I1019" s="1"/>
      <c r="J1019" s="1"/>
      <c r="K1019" s="1"/>
      <c r="L1019" s="1"/>
      <c r="M1019" s="1"/>
      <c r="AU1019" s="18"/>
      <c r="AV1019" s="18"/>
    </row>
    <row r="1020" spans="5:48" x14ac:dyDescent="0.2">
      <c r="E1020" s="1"/>
      <c r="F1020" s="1"/>
      <c r="G1020" s="1"/>
      <c r="H1020" s="1"/>
      <c r="I1020" s="1"/>
      <c r="J1020" s="1"/>
      <c r="K1020" s="1"/>
      <c r="L1020" s="1"/>
      <c r="M1020" s="1"/>
      <c r="AU1020" s="18"/>
      <c r="AV1020" s="18"/>
    </row>
    <row r="1021" spans="5:48" x14ac:dyDescent="0.2">
      <c r="E1021" s="1"/>
      <c r="F1021" s="1"/>
      <c r="G1021" s="1"/>
      <c r="H1021" s="1"/>
      <c r="I1021" s="1"/>
      <c r="J1021" s="1"/>
      <c r="K1021" s="1"/>
      <c r="L1021" s="1"/>
      <c r="M1021" s="1"/>
      <c r="AU1021" s="18"/>
      <c r="AV1021" s="18"/>
    </row>
    <row r="1022" spans="5:48" x14ac:dyDescent="0.2">
      <c r="E1022" s="1"/>
      <c r="F1022" s="1"/>
      <c r="G1022" s="1"/>
      <c r="H1022" s="1"/>
      <c r="I1022" s="1"/>
      <c r="J1022" s="1"/>
      <c r="K1022" s="1"/>
      <c r="L1022" s="1"/>
      <c r="M1022" s="1"/>
      <c r="AU1022" s="18"/>
      <c r="AV1022" s="18"/>
    </row>
    <row r="1023" spans="5:48" x14ac:dyDescent="0.2">
      <c r="E1023" s="1"/>
      <c r="F1023" s="1"/>
      <c r="G1023" s="1"/>
      <c r="H1023" s="1"/>
      <c r="I1023" s="1"/>
      <c r="J1023" s="1"/>
      <c r="K1023" s="1"/>
      <c r="L1023" s="1"/>
      <c r="M1023" s="1"/>
      <c r="AU1023" s="18"/>
      <c r="AV1023" s="18"/>
    </row>
    <row r="1024" spans="5:48" x14ac:dyDescent="0.2">
      <c r="E1024" s="1"/>
      <c r="F1024" s="1"/>
      <c r="G1024" s="1"/>
      <c r="H1024" s="1"/>
      <c r="I1024" s="1"/>
      <c r="J1024" s="1"/>
      <c r="K1024" s="1"/>
      <c r="L1024" s="1"/>
      <c r="M1024" s="1"/>
      <c r="AU1024" s="18"/>
      <c r="AV1024" s="18"/>
    </row>
    <row r="1025" spans="5:48" x14ac:dyDescent="0.2">
      <c r="E1025" s="1"/>
      <c r="F1025" s="1"/>
      <c r="G1025" s="1"/>
      <c r="H1025" s="1"/>
      <c r="I1025" s="1"/>
      <c r="J1025" s="1"/>
      <c r="K1025" s="1"/>
      <c r="L1025" s="1"/>
      <c r="M1025" s="1"/>
      <c r="AU1025" s="18"/>
      <c r="AV1025" s="18"/>
    </row>
    <row r="1026" spans="5:48" x14ac:dyDescent="0.2">
      <c r="E1026" s="1"/>
      <c r="F1026" s="1"/>
      <c r="G1026" s="1"/>
      <c r="H1026" s="1"/>
      <c r="I1026" s="1"/>
      <c r="J1026" s="1"/>
      <c r="K1026" s="1"/>
      <c r="L1026" s="1"/>
      <c r="M1026" s="1"/>
      <c r="AU1026" s="18"/>
      <c r="AV1026" s="18"/>
    </row>
    <row r="1027" spans="5:48" x14ac:dyDescent="0.2">
      <c r="E1027" s="1"/>
      <c r="F1027" s="1"/>
      <c r="G1027" s="1"/>
      <c r="H1027" s="1"/>
      <c r="I1027" s="1"/>
      <c r="J1027" s="1"/>
      <c r="K1027" s="1"/>
      <c r="L1027" s="1"/>
      <c r="M1027" s="1"/>
      <c r="AU1027" s="18"/>
      <c r="AV1027" s="18"/>
    </row>
    <row r="1028" spans="5:48" x14ac:dyDescent="0.2">
      <c r="E1028" s="1"/>
      <c r="F1028" s="1"/>
      <c r="G1028" s="1"/>
      <c r="H1028" s="1"/>
      <c r="I1028" s="1"/>
      <c r="J1028" s="1"/>
      <c r="K1028" s="1"/>
      <c r="L1028" s="1"/>
      <c r="M1028" s="1"/>
      <c r="AU1028" s="18"/>
      <c r="AV1028" s="18"/>
    </row>
    <row r="1029" spans="5:48" x14ac:dyDescent="0.2">
      <c r="E1029" s="1"/>
      <c r="F1029" s="1"/>
      <c r="G1029" s="1"/>
      <c r="H1029" s="1"/>
      <c r="I1029" s="1"/>
      <c r="J1029" s="1"/>
      <c r="K1029" s="1"/>
      <c r="L1029" s="1"/>
      <c r="M1029" s="1"/>
      <c r="AU1029" s="18"/>
      <c r="AV1029" s="18"/>
    </row>
    <row r="1030" spans="5:48" x14ac:dyDescent="0.2">
      <c r="E1030" s="1"/>
      <c r="F1030" s="1"/>
      <c r="G1030" s="1"/>
      <c r="H1030" s="1"/>
      <c r="I1030" s="1"/>
      <c r="J1030" s="1"/>
      <c r="K1030" s="1"/>
      <c r="L1030" s="1"/>
      <c r="M1030" s="1"/>
      <c r="AU1030" s="18"/>
      <c r="AV1030" s="18"/>
    </row>
    <row r="1031" spans="5:48" x14ac:dyDescent="0.2">
      <c r="E1031" s="1"/>
      <c r="F1031" s="1"/>
      <c r="G1031" s="1"/>
      <c r="H1031" s="1"/>
      <c r="I1031" s="1"/>
      <c r="J1031" s="1"/>
      <c r="K1031" s="1"/>
      <c r="L1031" s="1"/>
      <c r="M1031" s="1"/>
      <c r="AU1031" s="18"/>
      <c r="AV1031" s="18"/>
    </row>
    <row r="1032" spans="5:48" x14ac:dyDescent="0.2">
      <c r="E1032" s="1"/>
      <c r="F1032" s="1"/>
      <c r="G1032" s="1"/>
      <c r="H1032" s="1"/>
      <c r="I1032" s="1"/>
      <c r="J1032" s="1"/>
      <c r="K1032" s="1"/>
      <c r="L1032" s="1"/>
      <c r="M1032" s="1"/>
      <c r="AU1032" s="18"/>
      <c r="AV1032" s="18"/>
    </row>
    <row r="1033" spans="5:48" x14ac:dyDescent="0.2">
      <c r="E1033" s="1"/>
      <c r="F1033" s="1"/>
      <c r="G1033" s="1"/>
      <c r="H1033" s="1"/>
      <c r="I1033" s="1"/>
      <c r="J1033" s="1"/>
      <c r="K1033" s="1"/>
      <c r="L1033" s="1"/>
      <c r="M1033" s="1"/>
      <c r="AU1033" s="18"/>
      <c r="AV1033" s="18"/>
    </row>
    <row r="1034" spans="5:48" x14ac:dyDescent="0.2">
      <c r="E1034" s="1"/>
      <c r="F1034" s="1"/>
      <c r="G1034" s="1"/>
      <c r="H1034" s="1"/>
      <c r="I1034" s="1"/>
      <c r="J1034" s="1"/>
      <c r="K1034" s="1"/>
      <c r="L1034" s="1"/>
      <c r="M1034" s="1"/>
      <c r="AU1034" s="18"/>
      <c r="AV1034" s="18"/>
    </row>
    <row r="1035" spans="5:48" x14ac:dyDescent="0.2">
      <c r="E1035" s="1"/>
      <c r="F1035" s="1"/>
      <c r="G1035" s="1"/>
      <c r="H1035" s="1"/>
      <c r="I1035" s="1"/>
      <c r="J1035" s="1"/>
      <c r="K1035" s="1"/>
      <c r="L1035" s="1"/>
      <c r="M1035" s="1"/>
      <c r="AU1035" s="18"/>
      <c r="AV1035" s="18"/>
    </row>
    <row r="1036" spans="5:48" x14ac:dyDescent="0.2">
      <c r="E1036" s="1"/>
      <c r="F1036" s="1"/>
      <c r="G1036" s="1"/>
      <c r="H1036" s="1"/>
      <c r="I1036" s="1"/>
      <c r="J1036" s="1"/>
      <c r="K1036" s="1"/>
      <c r="L1036" s="1"/>
      <c r="M1036" s="1"/>
      <c r="AU1036" s="18"/>
      <c r="AV1036" s="18"/>
    </row>
    <row r="1037" spans="5:48" x14ac:dyDescent="0.2">
      <c r="E1037" s="1"/>
      <c r="F1037" s="1"/>
      <c r="G1037" s="1"/>
      <c r="H1037" s="1"/>
      <c r="I1037" s="1"/>
      <c r="J1037" s="1"/>
      <c r="K1037" s="1"/>
      <c r="L1037" s="1"/>
      <c r="M1037" s="1"/>
      <c r="AU1037" s="18"/>
      <c r="AV1037" s="18"/>
    </row>
    <row r="1038" spans="5:48" x14ac:dyDescent="0.2">
      <c r="E1038" s="1"/>
      <c r="F1038" s="1"/>
      <c r="G1038" s="1"/>
      <c r="H1038" s="1"/>
      <c r="I1038" s="1"/>
      <c r="J1038" s="1"/>
      <c r="K1038" s="1"/>
      <c r="L1038" s="1"/>
      <c r="M1038" s="1"/>
      <c r="AU1038" s="18"/>
      <c r="AV1038" s="18"/>
    </row>
    <row r="1039" spans="5:48" x14ac:dyDescent="0.2">
      <c r="E1039" s="1"/>
      <c r="F1039" s="1"/>
      <c r="G1039" s="1"/>
      <c r="H1039" s="1"/>
      <c r="I1039" s="1"/>
      <c r="J1039" s="1"/>
      <c r="K1039" s="1"/>
      <c r="L1039" s="1"/>
      <c r="M1039" s="1"/>
      <c r="AU1039" s="18"/>
      <c r="AV1039" s="18"/>
    </row>
    <row r="1040" spans="5:48" x14ac:dyDescent="0.2">
      <c r="E1040" s="1"/>
      <c r="F1040" s="1"/>
      <c r="G1040" s="1"/>
      <c r="H1040" s="1"/>
      <c r="I1040" s="1"/>
      <c r="J1040" s="1"/>
      <c r="K1040" s="1"/>
      <c r="L1040" s="1"/>
      <c r="M1040" s="1"/>
      <c r="AU1040" s="18"/>
      <c r="AV1040" s="18"/>
    </row>
    <row r="1041" spans="5:48" x14ac:dyDescent="0.2">
      <c r="E1041" s="1"/>
      <c r="F1041" s="1"/>
      <c r="G1041" s="1"/>
      <c r="H1041" s="1"/>
      <c r="I1041" s="1"/>
      <c r="J1041" s="1"/>
      <c r="K1041" s="1"/>
      <c r="L1041" s="1"/>
      <c r="M1041" s="1"/>
      <c r="AU1041" s="18"/>
      <c r="AV1041" s="18"/>
    </row>
    <row r="1042" spans="5:48" x14ac:dyDescent="0.2">
      <c r="E1042" s="1"/>
      <c r="F1042" s="1"/>
      <c r="G1042" s="1"/>
      <c r="H1042" s="1"/>
      <c r="I1042" s="1"/>
      <c r="J1042" s="1"/>
      <c r="K1042" s="1"/>
      <c r="L1042" s="1"/>
      <c r="M1042" s="1"/>
      <c r="AU1042" s="18"/>
      <c r="AV1042" s="18"/>
    </row>
    <row r="1043" spans="5:48" x14ac:dyDescent="0.2">
      <c r="E1043" s="1"/>
      <c r="F1043" s="1"/>
      <c r="G1043" s="1"/>
      <c r="H1043" s="1"/>
      <c r="I1043" s="1"/>
      <c r="J1043" s="1"/>
      <c r="K1043" s="1"/>
      <c r="L1043" s="1"/>
      <c r="M1043" s="1"/>
      <c r="AU1043" s="18"/>
      <c r="AV1043" s="18"/>
    </row>
    <row r="1044" spans="5:48" x14ac:dyDescent="0.2">
      <c r="E1044" s="1"/>
      <c r="F1044" s="1"/>
      <c r="G1044" s="1"/>
      <c r="H1044" s="1"/>
      <c r="I1044" s="1"/>
      <c r="J1044" s="1"/>
      <c r="K1044" s="1"/>
      <c r="L1044" s="1"/>
      <c r="M1044" s="1"/>
      <c r="AU1044" s="18"/>
      <c r="AV1044" s="18"/>
    </row>
    <row r="1045" spans="5:48" x14ac:dyDescent="0.2">
      <c r="E1045" s="1"/>
      <c r="F1045" s="1"/>
      <c r="G1045" s="1"/>
      <c r="H1045" s="1"/>
      <c r="I1045" s="1"/>
      <c r="J1045" s="1"/>
      <c r="K1045" s="1"/>
      <c r="L1045" s="1"/>
      <c r="M1045" s="1"/>
      <c r="AU1045" s="18"/>
      <c r="AV1045" s="18"/>
    </row>
    <row r="1046" spans="5:48" x14ac:dyDescent="0.2">
      <c r="E1046" s="1"/>
      <c r="F1046" s="1"/>
      <c r="G1046" s="1"/>
      <c r="H1046" s="1"/>
      <c r="I1046" s="1"/>
      <c r="J1046" s="1"/>
      <c r="K1046" s="1"/>
      <c r="L1046" s="1"/>
      <c r="M1046" s="1"/>
      <c r="AU1046" s="18"/>
      <c r="AV1046" s="18"/>
    </row>
    <row r="1047" spans="5:48" x14ac:dyDescent="0.2">
      <c r="E1047" s="1"/>
      <c r="F1047" s="1"/>
      <c r="G1047" s="1"/>
      <c r="H1047" s="1"/>
      <c r="I1047" s="1"/>
      <c r="J1047" s="1"/>
      <c r="K1047" s="1"/>
      <c r="L1047" s="1"/>
      <c r="M1047" s="1"/>
      <c r="AU1047" s="18"/>
      <c r="AV1047" s="18"/>
    </row>
    <row r="1048" spans="5:48" x14ac:dyDescent="0.2">
      <c r="E1048" s="1"/>
      <c r="F1048" s="1"/>
      <c r="G1048" s="1"/>
      <c r="H1048" s="1"/>
      <c r="I1048" s="1"/>
      <c r="J1048" s="1"/>
      <c r="K1048" s="1"/>
      <c r="L1048" s="1"/>
      <c r="M1048" s="1"/>
      <c r="AU1048" s="18"/>
      <c r="AV1048" s="18"/>
    </row>
    <row r="1049" spans="5:48" x14ac:dyDescent="0.2">
      <c r="E1049" s="1"/>
      <c r="F1049" s="1"/>
      <c r="G1049" s="1"/>
      <c r="H1049" s="1"/>
      <c r="I1049" s="1"/>
      <c r="J1049" s="1"/>
      <c r="K1049" s="1"/>
      <c r="L1049" s="1"/>
      <c r="M1049" s="1"/>
      <c r="AU1049" s="18"/>
      <c r="AV1049" s="18"/>
    </row>
    <row r="1050" spans="5:48" x14ac:dyDescent="0.2">
      <c r="E1050" s="1"/>
      <c r="F1050" s="1"/>
      <c r="G1050" s="1"/>
      <c r="H1050" s="1"/>
      <c r="I1050" s="1"/>
      <c r="J1050" s="1"/>
      <c r="K1050" s="1"/>
      <c r="L1050" s="1"/>
      <c r="M1050" s="1"/>
      <c r="AU1050" s="18"/>
      <c r="AV1050" s="18"/>
    </row>
    <row r="1051" spans="5:48" x14ac:dyDescent="0.2">
      <c r="E1051" s="1"/>
      <c r="F1051" s="1"/>
      <c r="G1051" s="1"/>
      <c r="H1051" s="1"/>
      <c r="I1051" s="1"/>
      <c r="J1051" s="1"/>
      <c r="K1051" s="1"/>
      <c r="L1051" s="1"/>
      <c r="M1051" s="1"/>
      <c r="AU1051" s="18"/>
      <c r="AV1051" s="18"/>
    </row>
    <row r="1052" spans="5:48" x14ac:dyDescent="0.2">
      <c r="E1052" s="1"/>
      <c r="F1052" s="1"/>
      <c r="G1052" s="1"/>
      <c r="H1052" s="1"/>
      <c r="I1052" s="1"/>
      <c r="J1052" s="1"/>
      <c r="K1052" s="1"/>
      <c r="L1052" s="1"/>
      <c r="M1052" s="1"/>
      <c r="AU1052" s="18"/>
      <c r="AV1052" s="18"/>
    </row>
    <row r="1053" spans="5:48" x14ac:dyDescent="0.2">
      <c r="E1053" s="1"/>
      <c r="F1053" s="1"/>
      <c r="G1053" s="1"/>
      <c r="H1053" s="1"/>
      <c r="I1053" s="1"/>
      <c r="J1053" s="1"/>
      <c r="K1053" s="1"/>
      <c r="L1053" s="1"/>
      <c r="M1053" s="1"/>
      <c r="AU1053" s="18"/>
      <c r="AV1053" s="18"/>
    </row>
    <row r="1054" spans="5:48" x14ac:dyDescent="0.2">
      <c r="E1054" s="1"/>
      <c r="F1054" s="1"/>
      <c r="G1054" s="1"/>
      <c r="H1054" s="1"/>
      <c r="I1054" s="1"/>
      <c r="J1054" s="1"/>
      <c r="K1054" s="1"/>
      <c r="L1054" s="1"/>
      <c r="M1054" s="1"/>
      <c r="AU1054" s="18"/>
      <c r="AV1054" s="18"/>
    </row>
    <row r="1055" spans="5:48" x14ac:dyDescent="0.2">
      <c r="E1055" s="1"/>
      <c r="F1055" s="1"/>
      <c r="G1055" s="1"/>
      <c r="H1055" s="1"/>
      <c r="I1055" s="1"/>
      <c r="J1055" s="1"/>
      <c r="K1055" s="1"/>
      <c r="L1055" s="1"/>
      <c r="M1055" s="1"/>
      <c r="AU1055" s="18"/>
      <c r="AV1055" s="18"/>
    </row>
    <row r="1056" spans="5:48" x14ac:dyDescent="0.2">
      <c r="E1056" s="1"/>
      <c r="F1056" s="1"/>
      <c r="G1056" s="1"/>
      <c r="H1056" s="1"/>
      <c r="I1056" s="1"/>
      <c r="J1056" s="1"/>
      <c r="K1056" s="1"/>
      <c r="L1056" s="1"/>
      <c r="M1056" s="1"/>
      <c r="AU1056" s="18"/>
      <c r="AV1056" s="18"/>
    </row>
    <row r="1057" spans="5:48" x14ac:dyDescent="0.2">
      <c r="E1057" s="1"/>
      <c r="F1057" s="1"/>
      <c r="G1057" s="1"/>
      <c r="H1057" s="1"/>
      <c r="I1057" s="1"/>
      <c r="J1057" s="1"/>
      <c r="K1057" s="1"/>
      <c r="L1057" s="1"/>
      <c r="M1057" s="1"/>
      <c r="AU1057" s="18"/>
      <c r="AV1057" s="18"/>
    </row>
    <row r="1058" spans="5:48" x14ac:dyDescent="0.2">
      <c r="E1058" s="1"/>
      <c r="F1058" s="1"/>
      <c r="G1058" s="1"/>
      <c r="H1058" s="1"/>
      <c r="I1058" s="1"/>
      <c r="J1058" s="1"/>
      <c r="K1058" s="1"/>
      <c r="L1058" s="1"/>
      <c r="M1058" s="1"/>
      <c r="AU1058" s="18"/>
      <c r="AV1058" s="18"/>
    </row>
    <row r="1059" spans="5:48" x14ac:dyDescent="0.2">
      <c r="E1059" s="1"/>
      <c r="F1059" s="1"/>
      <c r="G1059" s="1"/>
      <c r="H1059" s="1"/>
      <c r="I1059" s="1"/>
      <c r="J1059" s="1"/>
      <c r="K1059" s="1"/>
      <c r="L1059" s="1"/>
      <c r="M1059" s="1"/>
      <c r="AU1059" s="18"/>
      <c r="AV1059" s="18"/>
    </row>
    <row r="1060" spans="5:48" x14ac:dyDescent="0.2">
      <c r="E1060" s="1"/>
      <c r="F1060" s="1"/>
      <c r="G1060" s="1"/>
      <c r="H1060" s="1"/>
      <c r="I1060" s="1"/>
      <c r="J1060" s="1"/>
      <c r="K1060" s="1"/>
      <c r="L1060" s="1"/>
      <c r="M1060" s="1"/>
      <c r="AU1060" s="18"/>
      <c r="AV1060" s="18"/>
    </row>
    <row r="1061" spans="5:48" x14ac:dyDescent="0.2">
      <c r="E1061" s="1"/>
      <c r="F1061" s="1"/>
      <c r="G1061" s="1"/>
      <c r="H1061" s="1"/>
      <c r="I1061" s="1"/>
      <c r="J1061" s="1"/>
      <c r="K1061" s="1"/>
      <c r="L1061" s="1"/>
      <c r="M1061" s="1"/>
      <c r="AU1061" s="18"/>
      <c r="AV1061" s="18"/>
    </row>
    <row r="1062" spans="5:48" x14ac:dyDescent="0.2">
      <c r="E1062" s="1"/>
      <c r="F1062" s="1"/>
      <c r="G1062" s="1"/>
      <c r="H1062" s="1"/>
      <c r="I1062" s="1"/>
      <c r="J1062" s="1"/>
      <c r="K1062" s="1"/>
      <c r="L1062" s="1"/>
      <c r="M1062" s="1"/>
      <c r="AU1062" s="18"/>
      <c r="AV1062" s="18"/>
    </row>
    <row r="1063" spans="5:48" x14ac:dyDescent="0.2">
      <c r="E1063" s="1"/>
      <c r="F1063" s="1"/>
      <c r="G1063" s="1"/>
      <c r="H1063" s="1"/>
      <c r="I1063" s="1"/>
      <c r="J1063" s="1"/>
      <c r="K1063" s="1"/>
      <c r="L1063" s="1"/>
      <c r="M1063" s="1"/>
      <c r="AU1063" s="18"/>
      <c r="AV1063" s="18"/>
    </row>
    <row r="1064" spans="5:48" x14ac:dyDescent="0.2">
      <c r="E1064" s="1"/>
      <c r="F1064" s="1"/>
      <c r="G1064" s="1"/>
      <c r="H1064" s="1"/>
      <c r="I1064" s="1"/>
      <c r="J1064" s="1"/>
      <c r="K1064" s="1"/>
      <c r="L1064" s="1"/>
      <c r="M1064" s="1"/>
      <c r="AU1064" s="18"/>
      <c r="AV1064" s="18"/>
    </row>
    <row r="1065" spans="5:48" x14ac:dyDescent="0.2">
      <c r="E1065" s="1"/>
      <c r="F1065" s="1"/>
      <c r="G1065" s="1"/>
      <c r="H1065" s="1"/>
      <c r="I1065" s="1"/>
      <c r="J1065" s="1"/>
      <c r="K1065" s="1"/>
      <c r="L1065" s="1"/>
      <c r="M1065" s="1"/>
      <c r="AU1065" s="18"/>
      <c r="AV1065" s="18"/>
    </row>
    <row r="1066" spans="5:48" x14ac:dyDescent="0.2">
      <c r="E1066" s="1"/>
      <c r="F1066" s="1"/>
      <c r="G1066" s="1"/>
      <c r="H1066" s="1"/>
      <c r="I1066" s="1"/>
      <c r="J1066" s="1"/>
      <c r="K1066" s="1"/>
      <c r="L1066" s="1"/>
      <c r="M1066" s="1"/>
      <c r="AU1066" s="18"/>
      <c r="AV1066" s="18"/>
    </row>
    <row r="1067" spans="5:48" x14ac:dyDescent="0.2">
      <c r="E1067" s="1"/>
      <c r="F1067" s="1"/>
      <c r="G1067" s="1"/>
      <c r="H1067" s="1"/>
      <c r="I1067" s="1"/>
      <c r="J1067" s="1"/>
      <c r="K1067" s="1"/>
      <c r="L1067" s="1"/>
      <c r="M1067" s="1"/>
      <c r="AU1067" s="18"/>
      <c r="AV1067" s="18"/>
    </row>
    <row r="1068" spans="5:48" x14ac:dyDescent="0.2">
      <c r="E1068" s="1"/>
      <c r="F1068" s="1"/>
      <c r="G1068" s="1"/>
      <c r="H1068" s="1"/>
      <c r="I1068" s="1"/>
      <c r="J1068" s="1"/>
      <c r="K1068" s="1"/>
      <c r="L1068" s="1"/>
      <c r="M1068" s="1"/>
      <c r="AU1068" s="18"/>
      <c r="AV1068" s="18"/>
    </row>
    <row r="1069" spans="5:48" x14ac:dyDescent="0.2">
      <c r="E1069" s="1"/>
      <c r="F1069" s="1"/>
      <c r="G1069" s="1"/>
      <c r="H1069" s="1"/>
      <c r="I1069" s="1"/>
      <c r="J1069" s="1"/>
      <c r="K1069" s="1"/>
      <c r="L1069" s="1"/>
      <c r="M1069" s="1"/>
      <c r="AU1069" s="18"/>
      <c r="AV1069" s="18"/>
    </row>
    <row r="1070" spans="5:48" x14ac:dyDescent="0.2">
      <c r="E1070" s="1"/>
      <c r="F1070" s="1"/>
      <c r="G1070" s="1"/>
      <c r="H1070" s="1"/>
      <c r="I1070" s="1"/>
      <c r="J1070" s="1"/>
      <c r="K1070" s="1"/>
      <c r="L1070" s="1"/>
      <c r="M1070" s="1"/>
      <c r="AU1070" s="18"/>
      <c r="AV1070" s="18"/>
    </row>
    <row r="1071" spans="5:48" x14ac:dyDescent="0.2">
      <c r="E1071" s="1"/>
      <c r="F1071" s="1"/>
      <c r="G1071" s="1"/>
      <c r="H1071" s="1"/>
      <c r="I1071" s="1"/>
      <c r="J1071" s="1"/>
      <c r="K1071" s="1"/>
      <c r="L1071" s="1"/>
      <c r="M1071" s="1"/>
      <c r="AU1071" s="18"/>
      <c r="AV1071" s="18"/>
    </row>
    <row r="1072" spans="5:48" x14ac:dyDescent="0.2">
      <c r="E1072" s="1"/>
      <c r="F1072" s="1"/>
      <c r="G1072" s="1"/>
      <c r="H1072" s="1"/>
      <c r="I1072" s="1"/>
      <c r="J1072" s="1"/>
      <c r="K1072" s="1"/>
      <c r="L1072" s="1"/>
      <c r="M1072" s="1"/>
      <c r="AU1072" s="18"/>
      <c r="AV1072" s="18"/>
    </row>
    <row r="1073" spans="5:48" x14ac:dyDescent="0.2">
      <c r="E1073" s="1"/>
      <c r="F1073" s="1"/>
      <c r="G1073" s="1"/>
      <c r="H1073" s="1"/>
      <c r="I1073" s="1"/>
      <c r="J1073" s="1"/>
      <c r="K1073" s="1"/>
      <c r="L1073" s="1"/>
      <c r="M1073" s="1"/>
      <c r="AU1073" s="18"/>
      <c r="AV1073" s="18"/>
    </row>
    <row r="1074" spans="5:48" x14ac:dyDescent="0.2">
      <c r="E1074" s="1"/>
      <c r="F1074" s="1"/>
      <c r="G1074" s="1"/>
      <c r="H1074" s="1"/>
      <c r="I1074" s="1"/>
      <c r="J1074" s="1"/>
      <c r="K1074" s="1"/>
      <c r="L1074" s="1"/>
      <c r="M1074" s="1"/>
      <c r="AU1074" s="18"/>
      <c r="AV1074" s="18"/>
    </row>
    <row r="1075" spans="5:48" x14ac:dyDescent="0.2">
      <c r="E1075" s="1"/>
      <c r="F1075" s="1"/>
      <c r="G1075" s="1"/>
      <c r="H1075" s="1"/>
      <c r="I1075" s="1"/>
      <c r="J1075" s="1"/>
      <c r="K1075" s="1"/>
      <c r="L1075" s="1"/>
      <c r="M1075" s="1"/>
      <c r="AU1075" s="18"/>
      <c r="AV1075" s="18"/>
    </row>
    <row r="1076" spans="5:48" x14ac:dyDescent="0.2">
      <c r="E1076" s="1"/>
      <c r="F1076" s="1"/>
      <c r="G1076" s="1"/>
      <c r="H1076" s="1"/>
      <c r="I1076" s="1"/>
      <c r="J1076" s="1"/>
      <c r="K1076" s="1"/>
      <c r="L1076" s="1"/>
      <c r="M1076" s="1"/>
      <c r="AU1076" s="18"/>
      <c r="AV1076" s="18"/>
    </row>
    <row r="1077" spans="5:48" x14ac:dyDescent="0.2">
      <c r="E1077" s="1"/>
      <c r="F1077" s="1"/>
      <c r="G1077" s="1"/>
      <c r="H1077" s="1"/>
      <c r="I1077" s="1"/>
      <c r="J1077" s="1"/>
      <c r="K1077" s="1"/>
      <c r="L1077" s="1"/>
      <c r="M1077" s="1"/>
      <c r="AU1077" s="18"/>
      <c r="AV1077" s="18"/>
    </row>
    <row r="1078" spans="5:48" x14ac:dyDescent="0.2">
      <c r="E1078" s="1"/>
      <c r="F1078" s="1"/>
      <c r="G1078" s="1"/>
      <c r="H1078" s="1"/>
      <c r="I1078" s="1"/>
      <c r="J1078" s="1"/>
      <c r="K1078" s="1"/>
      <c r="L1078" s="1"/>
      <c r="M1078" s="1"/>
      <c r="AU1078" s="18"/>
      <c r="AV1078" s="18"/>
    </row>
    <row r="1079" spans="5:48" x14ac:dyDescent="0.2">
      <c r="E1079" s="1"/>
      <c r="F1079" s="1"/>
      <c r="G1079" s="1"/>
      <c r="H1079" s="1"/>
      <c r="I1079" s="1"/>
      <c r="J1079" s="1"/>
      <c r="K1079" s="1"/>
      <c r="L1079" s="1"/>
      <c r="M1079" s="1"/>
      <c r="AU1079" s="18"/>
      <c r="AV1079" s="18"/>
    </row>
    <row r="1080" spans="5:48" x14ac:dyDescent="0.2">
      <c r="E1080" s="1"/>
      <c r="F1080" s="1"/>
      <c r="G1080" s="1"/>
      <c r="H1080" s="1"/>
      <c r="I1080" s="1"/>
      <c r="J1080" s="1"/>
      <c r="K1080" s="1"/>
      <c r="L1080" s="1"/>
      <c r="M1080" s="1"/>
      <c r="AU1080" s="18"/>
      <c r="AV1080" s="18"/>
    </row>
    <row r="1081" spans="5:48" x14ac:dyDescent="0.2">
      <c r="E1081" s="1"/>
      <c r="F1081" s="1"/>
      <c r="G1081" s="1"/>
      <c r="H1081" s="1"/>
      <c r="I1081" s="1"/>
      <c r="J1081" s="1"/>
      <c r="K1081" s="1"/>
      <c r="L1081" s="1"/>
      <c r="M1081" s="1"/>
      <c r="AU1081" s="18"/>
      <c r="AV1081" s="18"/>
    </row>
    <row r="1082" spans="5:48" x14ac:dyDescent="0.2">
      <c r="E1082" s="1"/>
      <c r="F1082" s="1"/>
      <c r="G1082" s="1"/>
      <c r="H1082" s="1"/>
      <c r="I1082" s="1"/>
      <c r="J1082" s="1"/>
      <c r="K1082" s="1"/>
      <c r="L1082" s="1"/>
      <c r="M1082" s="1"/>
      <c r="AU1082" s="18"/>
      <c r="AV1082" s="18"/>
    </row>
    <row r="1083" spans="5:48" x14ac:dyDescent="0.2">
      <c r="E1083" s="1"/>
      <c r="F1083" s="1"/>
      <c r="G1083" s="1"/>
      <c r="H1083" s="1"/>
      <c r="I1083" s="1"/>
      <c r="J1083" s="1"/>
      <c r="K1083" s="1"/>
      <c r="L1083" s="1"/>
      <c r="M1083" s="1"/>
      <c r="AU1083" s="18"/>
      <c r="AV1083" s="18"/>
    </row>
    <row r="1084" spans="5:48" x14ac:dyDescent="0.2">
      <c r="E1084" s="1"/>
      <c r="F1084" s="1"/>
      <c r="G1084" s="1"/>
      <c r="H1084" s="1"/>
      <c r="I1084" s="1"/>
      <c r="J1084" s="1"/>
      <c r="K1084" s="1"/>
      <c r="L1084" s="1"/>
      <c r="M1084" s="1"/>
      <c r="AU1084" s="18"/>
      <c r="AV1084" s="18"/>
    </row>
    <row r="1085" spans="5:48" x14ac:dyDescent="0.2">
      <c r="E1085" s="1"/>
      <c r="F1085" s="1"/>
      <c r="G1085" s="1"/>
      <c r="H1085" s="1"/>
      <c r="I1085" s="1"/>
      <c r="J1085" s="1"/>
      <c r="K1085" s="1"/>
      <c r="L1085" s="1"/>
      <c r="M1085" s="1"/>
      <c r="AU1085" s="18"/>
      <c r="AV1085" s="18"/>
    </row>
    <row r="1086" spans="5:48" x14ac:dyDescent="0.2">
      <c r="E1086" s="1"/>
      <c r="F1086" s="1"/>
      <c r="G1086" s="1"/>
      <c r="H1086" s="1"/>
      <c r="I1086" s="1"/>
      <c r="J1086" s="1"/>
      <c r="K1086" s="1"/>
      <c r="L1086" s="1"/>
      <c r="M1086" s="1"/>
      <c r="AU1086" s="18"/>
      <c r="AV1086" s="18"/>
    </row>
    <row r="1087" spans="5:48" x14ac:dyDescent="0.2">
      <c r="E1087" s="1"/>
      <c r="F1087" s="1"/>
      <c r="G1087" s="1"/>
      <c r="H1087" s="1"/>
      <c r="I1087" s="1"/>
      <c r="J1087" s="1"/>
      <c r="K1087" s="1"/>
      <c r="L1087" s="1"/>
      <c r="M1087" s="1"/>
      <c r="AU1087" s="18"/>
      <c r="AV1087" s="18"/>
    </row>
    <row r="1088" spans="5:48" x14ac:dyDescent="0.2">
      <c r="E1088" s="1"/>
      <c r="F1088" s="1"/>
      <c r="G1088" s="1"/>
      <c r="H1088" s="1"/>
      <c r="I1088" s="1"/>
      <c r="J1088" s="1"/>
      <c r="K1088" s="1"/>
      <c r="L1088" s="1"/>
      <c r="M1088" s="1"/>
      <c r="AU1088" s="18"/>
      <c r="AV1088" s="18"/>
    </row>
    <row r="1089" spans="5:48" x14ac:dyDescent="0.2">
      <c r="E1089" s="1"/>
      <c r="F1089" s="1"/>
      <c r="G1089" s="1"/>
      <c r="H1089" s="1"/>
      <c r="I1089" s="1"/>
      <c r="J1089" s="1"/>
      <c r="K1089" s="1"/>
      <c r="L1089" s="1"/>
      <c r="M1089" s="1"/>
      <c r="AU1089" s="18"/>
      <c r="AV1089" s="18"/>
    </row>
    <row r="1090" spans="5:48" x14ac:dyDescent="0.2">
      <c r="E1090" s="1"/>
      <c r="F1090" s="1"/>
      <c r="G1090" s="1"/>
      <c r="H1090" s="1"/>
      <c r="I1090" s="1"/>
      <c r="J1090" s="1"/>
      <c r="K1090" s="1"/>
      <c r="L1090" s="1"/>
      <c r="M1090" s="1"/>
      <c r="AU1090" s="18"/>
      <c r="AV1090" s="18"/>
    </row>
    <row r="1091" spans="5:48" x14ac:dyDescent="0.2">
      <c r="E1091" s="1"/>
      <c r="F1091" s="1"/>
      <c r="G1091" s="1"/>
      <c r="H1091" s="1"/>
      <c r="I1091" s="1"/>
      <c r="J1091" s="1"/>
      <c r="K1091" s="1"/>
      <c r="L1091" s="1"/>
      <c r="M1091" s="1"/>
      <c r="AU1091" s="18"/>
      <c r="AV1091" s="18"/>
    </row>
    <row r="1092" spans="5:48" x14ac:dyDescent="0.2">
      <c r="E1092" s="1"/>
      <c r="F1092" s="1"/>
      <c r="G1092" s="1"/>
      <c r="H1092" s="1"/>
      <c r="I1092" s="1"/>
      <c r="J1092" s="1"/>
      <c r="K1092" s="1"/>
      <c r="L1092" s="1"/>
      <c r="M1092" s="1"/>
      <c r="AU1092" s="18"/>
      <c r="AV1092" s="18"/>
    </row>
    <row r="1093" spans="5:48" x14ac:dyDescent="0.2">
      <c r="E1093" s="1"/>
      <c r="F1093" s="1"/>
      <c r="G1093" s="1"/>
      <c r="H1093" s="1"/>
      <c r="I1093" s="1"/>
      <c r="J1093" s="1"/>
      <c r="K1093" s="1"/>
      <c r="L1093" s="1"/>
      <c r="M1093" s="1"/>
      <c r="AU1093" s="18"/>
      <c r="AV1093" s="18"/>
    </row>
    <row r="1094" spans="5:48" x14ac:dyDescent="0.2">
      <c r="E1094" s="1"/>
      <c r="F1094" s="1"/>
      <c r="G1094" s="1"/>
      <c r="H1094" s="1"/>
      <c r="I1094" s="1"/>
      <c r="J1094" s="1"/>
      <c r="K1094" s="1"/>
      <c r="L1094" s="1"/>
      <c r="M1094" s="1"/>
      <c r="AU1094" s="18"/>
      <c r="AV1094" s="18"/>
    </row>
    <row r="1095" spans="5:48" x14ac:dyDescent="0.2">
      <c r="E1095" s="1"/>
      <c r="F1095" s="1"/>
      <c r="G1095" s="1"/>
      <c r="H1095" s="1"/>
      <c r="I1095" s="1"/>
      <c r="J1095" s="1"/>
      <c r="K1095" s="1"/>
      <c r="L1095" s="1"/>
      <c r="M1095" s="1"/>
      <c r="AU1095" s="18"/>
      <c r="AV1095" s="18"/>
    </row>
    <row r="1096" spans="5:48" x14ac:dyDescent="0.2">
      <c r="E1096" s="1"/>
      <c r="F1096" s="1"/>
      <c r="G1096" s="1"/>
      <c r="H1096" s="1"/>
      <c r="I1096" s="1"/>
      <c r="J1096" s="1"/>
      <c r="K1096" s="1"/>
      <c r="L1096" s="1"/>
      <c r="M1096" s="1"/>
      <c r="AU1096" s="18"/>
      <c r="AV1096" s="18"/>
    </row>
    <row r="1097" spans="5:48" x14ac:dyDescent="0.2">
      <c r="E1097" s="1"/>
      <c r="F1097" s="1"/>
      <c r="G1097" s="1"/>
      <c r="H1097" s="1"/>
      <c r="I1097" s="1"/>
      <c r="J1097" s="1"/>
      <c r="K1097" s="1"/>
      <c r="L1097" s="1"/>
      <c r="M1097" s="1"/>
      <c r="AU1097" s="18"/>
      <c r="AV1097" s="18"/>
    </row>
    <row r="1098" spans="5:48" x14ac:dyDescent="0.2">
      <c r="E1098" s="1"/>
      <c r="F1098" s="1"/>
      <c r="G1098" s="1"/>
      <c r="H1098" s="1"/>
      <c r="I1098" s="1"/>
      <c r="J1098" s="1"/>
      <c r="K1098" s="1"/>
      <c r="L1098" s="1"/>
      <c r="M1098" s="1"/>
      <c r="AU1098" s="18"/>
      <c r="AV1098" s="18"/>
    </row>
    <row r="1099" spans="5:48" x14ac:dyDescent="0.2">
      <c r="E1099" s="1"/>
      <c r="F1099" s="1"/>
      <c r="G1099" s="1"/>
      <c r="H1099" s="1"/>
      <c r="I1099" s="1"/>
      <c r="J1099" s="1"/>
      <c r="K1099" s="1"/>
      <c r="L1099" s="1"/>
      <c r="M1099" s="1"/>
      <c r="AU1099" s="18"/>
      <c r="AV1099" s="18"/>
    </row>
    <row r="1100" spans="5:48" x14ac:dyDescent="0.2">
      <c r="E1100" s="1"/>
      <c r="F1100" s="1"/>
      <c r="G1100" s="1"/>
      <c r="H1100" s="1"/>
      <c r="I1100" s="1"/>
      <c r="J1100" s="1"/>
      <c r="K1100" s="1"/>
      <c r="L1100" s="1"/>
      <c r="M1100" s="1"/>
      <c r="AU1100" s="18"/>
      <c r="AV1100" s="18"/>
    </row>
    <row r="1101" spans="5:48" x14ac:dyDescent="0.2">
      <c r="E1101" s="1"/>
      <c r="F1101" s="1"/>
      <c r="G1101" s="1"/>
      <c r="H1101" s="1"/>
      <c r="I1101" s="1"/>
      <c r="J1101" s="1"/>
      <c r="K1101" s="1"/>
      <c r="L1101" s="1"/>
      <c r="M1101" s="1"/>
      <c r="AU1101" s="18"/>
      <c r="AV1101" s="18"/>
    </row>
    <row r="1102" spans="5:48" x14ac:dyDescent="0.2">
      <c r="E1102" s="1"/>
      <c r="F1102" s="1"/>
      <c r="G1102" s="1"/>
      <c r="H1102" s="1"/>
      <c r="I1102" s="1"/>
      <c r="J1102" s="1"/>
      <c r="K1102" s="1"/>
      <c r="L1102" s="1"/>
      <c r="M1102" s="1"/>
      <c r="AU1102" s="18"/>
      <c r="AV1102" s="18"/>
    </row>
    <row r="1103" spans="5:48" x14ac:dyDescent="0.2">
      <c r="E1103" s="1"/>
      <c r="F1103" s="1"/>
      <c r="G1103" s="1"/>
      <c r="H1103" s="1"/>
      <c r="I1103" s="1"/>
      <c r="J1103" s="1"/>
      <c r="K1103" s="1"/>
      <c r="L1103" s="1"/>
      <c r="M1103" s="1"/>
      <c r="AU1103" s="18"/>
      <c r="AV1103" s="18"/>
    </row>
    <row r="1104" spans="5:48" x14ac:dyDescent="0.2">
      <c r="E1104" s="1"/>
      <c r="F1104" s="1"/>
      <c r="G1104" s="1"/>
      <c r="H1104" s="1"/>
      <c r="I1104" s="1"/>
      <c r="J1104" s="1"/>
      <c r="K1104" s="1"/>
      <c r="L1104" s="1"/>
      <c r="M1104" s="1"/>
      <c r="AU1104" s="18"/>
      <c r="AV1104" s="18"/>
    </row>
    <row r="1105" spans="5:48" x14ac:dyDescent="0.2">
      <c r="E1105" s="1"/>
      <c r="F1105" s="1"/>
      <c r="G1105" s="1"/>
      <c r="H1105" s="1"/>
      <c r="I1105" s="1"/>
      <c r="J1105" s="1"/>
      <c r="K1105" s="1"/>
      <c r="L1105" s="1"/>
      <c r="M1105" s="1"/>
      <c r="AU1105" s="18"/>
      <c r="AV1105" s="18"/>
    </row>
    <row r="1106" spans="5:48" x14ac:dyDescent="0.2">
      <c r="E1106" s="1"/>
      <c r="F1106" s="1"/>
      <c r="G1106" s="1"/>
      <c r="H1106" s="1"/>
      <c r="I1106" s="1"/>
      <c r="J1106" s="1"/>
      <c r="K1106" s="1"/>
      <c r="L1106" s="1"/>
      <c r="M1106" s="1"/>
      <c r="AU1106" s="18"/>
      <c r="AV1106" s="18"/>
    </row>
    <row r="1107" spans="5:48" x14ac:dyDescent="0.2">
      <c r="E1107" s="1"/>
      <c r="F1107" s="1"/>
      <c r="G1107" s="1"/>
      <c r="H1107" s="1"/>
      <c r="I1107" s="1"/>
      <c r="J1107" s="1"/>
      <c r="K1107" s="1"/>
      <c r="L1107" s="1"/>
      <c r="M1107" s="1"/>
      <c r="AU1107" s="18"/>
      <c r="AV1107" s="18"/>
    </row>
    <row r="1108" spans="5:48" x14ac:dyDescent="0.2">
      <c r="E1108" s="1"/>
      <c r="F1108" s="1"/>
      <c r="G1108" s="1"/>
      <c r="H1108" s="1"/>
      <c r="I1108" s="1"/>
      <c r="J1108" s="1"/>
      <c r="K1108" s="1"/>
      <c r="L1108" s="1"/>
      <c r="M1108" s="1"/>
      <c r="AU1108" s="18"/>
      <c r="AV1108" s="18"/>
    </row>
    <row r="1109" spans="5:48" x14ac:dyDescent="0.2">
      <c r="E1109" s="1"/>
      <c r="F1109" s="1"/>
      <c r="G1109" s="1"/>
      <c r="H1109" s="1"/>
      <c r="I1109" s="1"/>
      <c r="J1109" s="1"/>
      <c r="K1109" s="1"/>
      <c r="L1109" s="1"/>
      <c r="M1109" s="1"/>
      <c r="AU1109" s="18"/>
      <c r="AV1109" s="18"/>
    </row>
    <row r="1110" spans="5:48" x14ac:dyDescent="0.2">
      <c r="E1110" s="1"/>
      <c r="F1110" s="1"/>
      <c r="G1110" s="1"/>
      <c r="H1110" s="1"/>
      <c r="I1110" s="1"/>
      <c r="J1110" s="1"/>
      <c r="K1110" s="1"/>
      <c r="L1110" s="1"/>
      <c r="M1110" s="1"/>
      <c r="AU1110" s="18"/>
      <c r="AV1110" s="18"/>
    </row>
    <row r="1111" spans="5:48" x14ac:dyDescent="0.2">
      <c r="E1111" s="1"/>
      <c r="F1111" s="1"/>
      <c r="G1111" s="1"/>
      <c r="H1111" s="1"/>
      <c r="I1111" s="1"/>
      <c r="J1111" s="1"/>
      <c r="K1111" s="1"/>
      <c r="L1111" s="1"/>
      <c r="M1111" s="1"/>
      <c r="AU1111" s="18"/>
      <c r="AV1111" s="18"/>
    </row>
    <row r="1112" spans="5:48" x14ac:dyDescent="0.2">
      <c r="E1112" s="1"/>
      <c r="F1112" s="1"/>
      <c r="G1112" s="1"/>
      <c r="H1112" s="1"/>
      <c r="I1112" s="1"/>
      <c r="J1112" s="1"/>
      <c r="K1112" s="1"/>
      <c r="L1112" s="1"/>
      <c r="M1112" s="1"/>
      <c r="AU1112" s="18"/>
      <c r="AV1112" s="18"/>
    </row>
    <row r="1113" spans="5:48" x14ac:dyDescent="0.2">
      <c r="E1113" s="1"/>
      <c r="F1113" s="1"/>
      <c r="G1113" s="1"/>
      <c r="H1113" s="1"/>
      <c r="I1113" s="1"/>
      <c r="J1113" s="1"/>
      <c r="K1113" s="1"/>
      <c r="L1113" s="1"/>
      <c r="M1113" s="1"/>
      <c r="AU1113" s="18"/>
      <c r="AV1113" s="18"/>
    </row>
    <row r="1114" spans="5:48" x14ac:dyDescent="0.2">
      <c r="E1114" s="1"/>
      <c r="F1114" s="1"/>
      <c r="G1114" s="1"/>
      <c r="H1114" s="1"/>
      <c r="I1114" s="1"/>
      <c r="J1114" s="1"/>
      <c r="K1114" s="1"/>
      <c r="L1114" s="1"/>
      <c r="M1114" s="1"/>
      <c r="AU1114" s="18"/>
      <c r="AV1114" s="18"/>
    </row>
    <row r="1115" spans="5:48" x14ac:dyDescent="0.2">
      <c r="E1115" s="1"/>
      <c r="F1115" s="1"/>
      <c r="G1115" s="1"/>
      <c r="H1115" s="1"/>
      <c r="I1115" s="1"/>
      <c r="J1115" s="1"/>
      <c r="K1115" s="1"/>
      <c r="L1115" s="1"/>
      <c r="M1115" s="1"/>
      <c r="AU1115" s="18"/>
      <c r="AV1115" s="18"/>
    </row>
    <row r="1116" spans="5:48" x14ac:dyDescent="0.2">
      <c r="E1116" s="1"/>
      <c r="F1116" s="1"/>
      <c r="G1116" s="1"/>
      <c r="H1116" s="1"/>
      <c r="I1116" s="1"/>
      <c r="J1116" s="1"/>
      <c r="K1116" s="1"/>
      <c r="L1116" s="1"/>
      <c r="M1116" s="1"/>
      <c r="AU1116" s="18"/>
      <c r="AV1116" s="18"/>
    </row>
    <row r="1117" spans="5:48" x14ac:dyDescent="0.2">
      <c r="E1117" s="1"/>
      <c r="F1117" s="1"/>
      <c r="G1117" s="1"/>
      <c r="H1117" s="1"/>
      <c r="I1117" s="1"/>
      <c r="J1117" s="1"/>
      <c r="K1117" s="1"/>
      <c r="L1117" s="1"/>
      <c r="M1117" s="1"/>
      <c r="AU1117" s="18"/>
      <c r="AV1117" s="18"/>
    </row>
    <row r="1118" spans="5:48" x14ac:dyDescent="0.2">
      <c r="E1118" s="1"/>
      <c r="F1118" s="1"/>
      <c r="G1118" s="1"/>
      <c r="H1118" s="1"/>
      <c r="I1118" s="1"/>
      <c r="J1118" s="1"/>
      <c r="K1118" s="1"/>
      <c r="L1118" s="1"/>
      <c r="M1118" s="1"/>
      <c r="AU1118" s="18"/>
      <c r="AV1118" s="18"/>
    </row>
    <row r="1119" spans="5:48" x14ac:dyDescent="0.2">
      <c r="E1119" s="1"/>
      <c r="F1119" s="1"/>
      <c r="G1119" s="1"/>
      <c r="H1119" s="1"/>
      <c r="I1119" s="1"/>
      <c r="J1119" s="1"/>
      <c r="K1119" s="1"/>
      <c r="L1119" s="1"/>
      <c r="M1119" s="1"/>
      <c r="AU1119" s="18"/>
      <c r="AV1119" s="18"/>
    </row>
    <row r="1120" spans="5:48" x14ac:dyDescent="0.2">
      <c r="E1120" s="1"/>
      <c r="F1120" s="1"/>
      <c r="G1120" s="1"/>
      <c r="H1120" s="1"/>
      <c r="I1120" s="1"/>
      <c r="J1120" s="1"/>
      <c r="K1120" s="1"/>
      <c r="L1120" s="1"/>
      <c r="M1120" s="1"/>
      <c r="AU1120" s="18"/>
      <c r="AV1120" s="18"/>
    </row>
    <row r="1121" spans="5:48" x14ac:dyDescent="0.2">
      <c r="E1121" s="1"/>
      <c r="F1121" s="1"/>
      <c r="G1121" s="1"/>
      <c r="H1121" s="1"/>
      <c r="I1121" s="1"/>
      <c r="J1121" s="1"/>
      <c r="K1121" s="1"/>
      <c r="L1121" s="1"/>
      <c r="M1121" s="1"/>
      <c r="AU1121" s="18"/>
      <c r="AV1121" s="18"/>
    </row>
    <row r="1122" spans="5:48" x14ac:dyDescent="0.2">
      <c r="E1122" s="1"/>
      <c r="F1122" s="1"/>
      <c r="G1122" s="1"/>
      <c r="H1122" s="1"/>
      <c r="I1122" s="1"/>
      <c r="J1122" s="1"/>
      <c r="K1122" s="1"/>
      <c r="L1122" s="1"/>
      <c r="M1122" s="1"/>
      <c r="AU1122" s="18"/>
      <c r="AV1122" s="18"/>
    </row>
    <row r="1123" spans="5:48" x14ac:dyDescent="0.2">
      <c r="E1123" s="1"/>
      <c r="F1123" s="1"/>
      <c r="G1123" s="1"/>
      <c r="H1123" s="1"/>
      <c r="I1123" s="1"/>
      <c r="J1123" s="1"/>
      <c r="K1123" s="1"/>
      <c r="L1123" s="1"/>
      <c r="M1123" s="1"/>
      <c r="AU1123" s="18"/>
      <c r="AV1123" s="18"/>
    </row>
    <row r="1124" spans="5:48" x14ac:dyDescent="0.2">
      <c r="E1124" s="1"/>
      <c r="F1124" s="1"/>
      <c r="G1124" s="1"/>
      <c r="H1124" s="1"/>
      <c r="I1124" s="1"/>
      <c r="J1124" s="1"/>
      <c r="K1124" s="1"/>
      <c r="L1124" s="1"/>
      <c r="M1124" s="1"/>
      <c r="AU1124" s="18"/>
      <c r="AV1124" s="18"/>
    </row>
    <row r="1125" spans="5:48" x14ac:dyDescent="0.2">
      <c r="E1125" s="1"/>
      <c r="F1125" s="1"/>
      <c r="G1125" s="1"/>
      <c r="H1125" s="1"/>
      <c r="I1125" s="1"/>
      <c r="J1125" s="1"/>
      <c r="K1125" s="1"/>
      <c r="L1125" s="1"/>
      <c r="M1125" s="1"/>
      <c r="AU1125" s="18"/>
      <c r="AV1125" s="18"/>
    </row>
    <row r="1126" spans="5:48" x14ac:dyDescent="0.2">
      <c r="E1126" s="1"/>
      <c r="F1126" s="1"/>
      <c r="G1126" s="1"/>
      <c r="H1126" s="1"/>
      <c r="I1126" s="1"/>
      <c r="J1126" s="1"/>
      <c r="K1126" s="1"/>
      <c r="L1126" s="1"/>
      <c r="M1126" s="1"/>
      <c r="AU1126" s="18"/>
      <c r="AV1126" s="18"/>
    </row>
    <row r="1127" spans="5:48" x14ac:dyDescent="0.2">
      <c r="E1127" s="1"/>
      <c r="F1127" s="1"/>
      <c r="G1127" s="1"/>
      <c r="H1127" s="1"/>
      <c r="I1127" s="1"/>
      <c r="J1127" s="1"/>
      <c r="K1127" s="1"/>
      <c r="L1127" s="1"/>
      <c r="M1127" s="1"/>
      <c r="AU1127" s="18"/>
      <c r="AV1127" s="18"/>
    </row>
    <row r="1128" spans="5:48" x14ac:dyDescent="0.2">
      <c r="E1128" s="1"/>
      <c r="F1128" s="1"/>
      <c r="G1128" s="1"/>
      <c r="H1128" s="1"/>
      <c r="I1128" s="1"/>
      <c r="J1128" s="1"/>
      <c r="K1128" s="1"/>
      <c r="L1128" s="1"/>
      <c r="M1128" s="1"/>
      <c r="AU1128" s="18"/>
      <c r="AV1128" s="18"/>
    </row>
    <row r="1129" spans="5:48" x14ac:dyDescent="0.2">
      <c r="E1129" s="1"/>
      <c r="F1129" s="1"/>
      <c r="G1129" s="1"/>
      <c r="H1129" s="1"/>
      <c r="I1129" s="1"/>
      <c r="J1129" s="1"/>
      <c r="K1129" s="1"/>
      <c r="L1129" s="1"/>
      <c r="M1129" s="1"/>
      <c r="AU1129" s="18"/>
      <c r="AV1129" s="18"/>
    </row>
    <row r="1130" spans="5:48" x14ac:dyDescent="0.2">
      <c r="E1130" s="1"/>
      <c r="F1130" s="1"/>
      <c r="G1130" s="1"/>
      <c r="H1130" s="1"/>
      <c r="I1130" s="1"/>
      <c r="J1130" s="1"/>
      <c r="K1130" s="1"/>
      <c r="L1130" s="1"/>
      <c r="M1130" s="1"/>
      <c r="AU1130" s="18"/>
      <c r="AV1130" s="18"/>
    </row>
    <row r="1131" spans="5:48" x14ac:dyDescent="0.2">
      <c r="E1131" s="1"/>
      <c r="F1131" s="1"/>
      <c r="G1131" s="1"/>
      <c r="H1131" s="1"/>
      <c r="I1131" s="1"/>
      <c r="J1131" s="1"/>
      <c r="K1131" s="1"/>
      <c r="L1131" s="1"/>
      <c r="M1131" s="1"/>
      <c r="AU1131" s="18"/>
      <c r="AV1131" s="18"/>
    </row>
    <row r="1132" spans="5:48" x14ac:dyDescent="0.2">
      <c r="E1132" s="1"/>
      <c r="F1132" s="1"/>
      <c r="G1132" s="1"/>
      <c r="H1132" s="1"/>
      <c r="I1132" s="1"/>
      <c r="J1132" s="1"/>
      <c r="K1132" s="1"/>
      <c r="L1132" s="1"/>
      <c r="M1132" s="1"/>
      <c r="AU1132" s="18"/>
      <c r="AV1132" s="18"/>
    </row>
    <row r="1133" spans="5:48" x14ac:dyDescent="0.2">
      <c r="E1133" s="1"/>
      <c r="F1133" s="1"/>
      <c r="G1133" s="1"/>
      <c r="H1133" s="1"/>
      <c r="I1133" s="1"/>
      <c r="J1133" s="1"/>
      <c r="K1133" s="1"/>
      <c r="L1133" s="1"/>
      <c r="M1133" s="1"/>
      <c r="AU1133" s="18"/>
      <c r="AV1133" s="18"/>
    </row>
    <row r="1134" spans="5:48" x14ac:dyDescent="0.2">
      <c r="E1134" s="1"/>
      <c r="F1134" s="1"/>
      <c r="G1134" s="1"/>
      <c r="H1134" s="1"/>
      <c r="I1134" s="1"/>
      <c r="J1134" s="1"/>
      <c r="K1134" s="1"/>
      <c r="L1134" s="1"/>
      <c r="M1134" s="1"/>
      <c r="AU1134" s="18"/>
      <c r="AV1134" s="18"/>
    </row>
    <row r="1135" spans="5:48" x14ac:dyDescent="0.2">
      <c r="E1135" s="1"/>
      <c r="F1135" s="1"/>
      <c r="G1135" s="1"/>
      <c r="H1135" s="1"/>
      <c r="I1135" s="1"/>
      <c r="J1135" s="1"/>
      <c r="K1135" s="1"/>
      <c r="L1135" s="1"/>
      <c r="M1135" s="1"/>
      <c r="AU1135" s="18"/>
      <c r="AV1135" s="18"/>
    </row>
    <row r="1136" spans="5:48" x14ac:dyDescent="0.2">
      <c r="E1136" s="1"/>
      <c r="F1136" s="1"/>
      <c r="G1136" s="1"/>
      <c r="H1136" s="1"/>
      <c r="I1136" s="1"/>
      <c r="J1136" s="1"/>
      <c r="K1136" s="1"/>
      <c r="L1136" s="1"/>
      <c r="M1136" s="1"/>
      <c r="AU1136" s="18"/>
      <c r="AV1136" s="18"/>
    </row>
    <row r="1137" spans="5:48" x14ac:dyDescent="0.2">
      <c r="E1137" s="1"/>
      <c r="F1137" s="1"/>
      <c r="G1137" s="1"/>
      <c r="H1137" s="1"/>
      <c r="I1137" s="1"/>
      <c r="J1137" s="1"/>
      <c r="K1137" s="1"/>
      <c r="L1137" s="1"/>
      <c r="M1137" s="1"/>
      <c r="AU1137" s="18"/>
      <c r="AV1137" s="18"/>
    </row>
    <row r="1138" spans="5:48" x14ac:dyDescent="0.2">
      <c r="E1138" s="1"/>
      <c r="F1138" s="1"/>
      <c r="G1138" s="1"/>
      <c r="H1138" s="1"/>
      <c r="I1138" s="1"/>
      <c r="J1138" s="1"/>
      <c r="K1138" s="1"/>
      <c r="L1138" s="1"/>
      <c r="M1138" s="1"/>
      <c r="AU1138" s="18"/>
      <c r="AV1138" s="18"/>
    </row>
    <row r="1139" spans="5:48" x14ac:dyDescent="0.2">
      <c r="E1139" s="1"/>
      <c r="F1139" s="1"/>
      <c r="G1139" s="1"/>
      <c r="H1139" s="1"/>
      <c r="I1139" s="1"/>
      <c r="J1139" s="1"/>
      <c r="K1139" s="1"/>
      <c r="L1139" s="1"/>
      <c r="M1139" s="1"/>
      <c r="AU1139" s="18"/>
      <c r="AV1139" s="18"/>
    </row>
    <row r="1140" spans="5:48" x14ac:dyDescent="0.2">
      <c r="E1140" s="1"/>
      <c r="F1140" s="1"/>
      <c r="G1140" s="1"/>
      <c r="H1140" s="1"/>
      <c r="I1140" s="1"/>
      <c r="J1140" s="1"/>
      <c r="K1140" s="1"/>
      <c r="L1140" s="1"/>
      <c r="M1140" s="1"/>
      <c r="AU1140" s="18"/>
      <c r="AV1140" s="18"/>
    </row>
    <row r="1141" spans="5:48" x14ac:dyDescent="0.2">
      <c r="E1141" s="1"/>
      <c r="F1141" s="1"/>
      <c r="G1141" s="1"/>
      <c r="H1141" s="1"/>
      <c r="I1141" s="1"/>
      <c r="J1141" s="1"/>
      <c r="K1141" s="1"/>
      <c r="L1141" s="1"/>
      <c r="M1141" s="1"/>
      <c r="AU1141" s="18"/>
      <c r="AV1141" s="18"/>
    </row>
    <row r="1142" spans="5:48" x14ac:dyDescent="0.2">
      <c r="E1142" s="1"/>
      <c r="F1142" s="1"/>
      <c r="G1142" s="1"/>
      <c r="H1142" s="1"/>
      <c r="I1142" s="1"/>
      <c r="J1142" s="1"/>
      <c r="K1142" s="1"/>
      <c r="L1142" s="1"/>
      <c r="M1142" s="1"/>
      <c r="AU1142" s="18"/>
      <c r="AV1142" s="18"/>
    </row>
    <row r="1143" spans="5:48" x14ac:dyDescent="0.2">
      <c r="E1143" s="1"/>
      <c r="F1143" s="1"/>
      <c r="G1143" s="1"/>
      <c r="H1143" s="1"/>
      <c r="I1143" s="1"/>
      <c r="J1143" s="1"/>
      <c r="K1143" s="1"/>
      <c r="L1143" s="1"/>
      <c r="M1143" s="1"/>
      <c r="AU1143" s="18"/>
      <c r="AV1143" s="18"/>
    </row>
    <row r="1144" spans="5:48" x14ac:dyDescent="0.2">
      <c r="E1144" s="1"/>
      <c r="F1144" s="1"/>
      <c r="G1144" s="1"/>
      <c r="H1144" s="1"/>
      <c r="I1144" s="1"/>
      <c r="J1144" s="1"/>
      <c r="K1144" s="1"/>
      <c r="L1144" s="1"/>
      <c r="M1144" s="1"/>
      <c r="AU1144" s="18"/>
      <c r="AV1144" s="18"/>
    </row>
    <row r="1145" spans="5:48" x14ac:dyDescent="0.2">
      <c r="E1145" s="1"/>
      <c r="F1145" s="1"/>
      <c r="G1145" s="1"/>
      <c r="H1145" s="1"/>
      <c r="I1145" s="1"/>
      <c r="J1145" s="1"/>
      <c r="K1145" s="1"/>
      <c r="L1145" s="1"/>
      <c r="M1145" s="1"/>
      <c r="AU1145" s="18"/>
      <c r="AV1145" s="18"/>
    </row>
    <row r="1146" spans="5:48" x14ac:dyDescent="0.2">
      <c r="E1146" s="1"/>
      <c r="F1146" s="1"/>
      <c r="G1146" s="1"/>
      <c r="H1146" s="1"/>
      <c r="I1146" s="1"/>
      <c r="J1146" s="1"/>
      <c r="K1146" s="1"/>
      <c r="L1146" s="1"/>
      <c r="M1146" s="1"/>
      <c r="AU1146" s="18"/>
      <c r="AV1146" s="18"/>
    </row>
    <row r="1147" spans="5:48" x14ac:dyDescent="0.2">
      <c r="E1147" s="1"/>
      <c r="F1147" s="1"/>
      <c r="G1147" s="1"/>
      <c r="H1147" s="1"/>
      <c r="I1147" s="1"/>
      <c r="J1147" s="1"/>
      <c r="K1147" s="1"/>
      <c r="L1147" s="1"/>
      <c r="M1147" s="1"/>
      <c r="AU1147" s="18"/>
      <c r="AV1147" s="18"/>
    </row>
    <row r="1148" spans="5:48" x14ac:dyDescent="0.2">
      <c r="E1148" s="1"/>
      <c r="F1148" s="1"/>
      <c r="G1148" s="1"/>
      <c r="H1148" s="1"/>
      <c r="I1148" s="1"/>
      <c r="J1148" s="1"/>
      <c r="K1148" s="1"/>
      <c r="L1148" s="1"/>
      <c r="M1148" s="1"/>
      <c r="AU1148" s="18"/>
      <c r="AV1148" s="18"/>
    </row>
    <row r="1149" spans="5:48" x14ac:dyDescent="0.2">
      <c r="E1149" s="1"/>
      <c r="F1149" s="1"/>
      <c r="G1149" s="1"/>
      <c r="H1149" s="1"/>
      <c r="I1149" s="1"/>
      <c r="J1149" s="1"/>
      <c r="K1149" s="1"/>
      <c r="L1149" s="1"/>
      <c r="M1149" s="1"/>
      <c r="AU1149" s="18"/>
      <c r="AV1149" s="18"/>
    </row>
    <row r="1150" spans="5:48" x14ac:dyDescent="0.2">
      <c r="E1150" s="1"/>
      <c r="F1150" s="1"/>
      <c r="G1150" s="1"/>
      <c r="H1150" s="1"/>
      <c r="I1150" s="1"/>
      <c r="J1150" s="1"/>
      <c r="K1150" s="1"/>
      <c r="L1150" s="1"/>
      <c r="M1150" s="1"/>
      <c r="AU1150" s="18"/>
      <c r="AV1150" s="18"/>
    </row>
    <row r="1151" spans="5:48" x14ac:dyDescent="0.2">
      <c r="E1151" s="1"/>
      <c r="F1151" s="1"/>
      <c r="G1151" s="1"/>
      <c r="H1151" s="1"/>
      <c r="I1151" s="1"/>
      <c r="J1151" s="1"/>
      <c r="K1151" s="1"/>
      <c r="L1151" s="1"/>
      <c r="M1151" s="1"/>
      <c r="AU1151" s="18"/>
      <c r="AV1151" s="18"/>
    </row>
    <row r="1152" spans="5:48" x14ac:dyDescent="0.2">
      <c r="E1152" s="1"/>
      <c r="F1152" s="1"/>
      <c r="G1152" s="1"/>
      <c r="H1152" s="1"/>
      <c r="I1152" s="1"/>
      <c r="J1152" s="1"/>
      <c r="K1152" s="1"/>
      <c r="L1152" s="1"/>
      <c r="M1152" s="1"/>
      <c r="AU1152" s="18"/>
      <c r="AV1152" s="18"/>
    </row>
    <row r="1153" spans="5:48" x14ac:dyDescent="0.2">
      <c r="E1153" s="1"/>
      <c r="F1153" s="1"/>
      <c r="G1153" s="1"/>
      <c r="H1153" s="1"/>
      <c r="I1153" s="1"/>
      <c r="J1153" s="1"/>
      <c r="K1153" s="1"/>
      <c r="L1153" s="1"/>
      <c r="M1153" s="1"/>
      <c r="AU1153" s="18"/>
      <c r="AV1153" s="18"/>
    </row>
    <row r="1154" spans="5:48" x14ac:dyDescent="0.2">
      <c r="E1154" s="1"/>
      <c r="F1154" s="1"/>
      <c r="G1154" s="1"/>
      <c r="H1154" s="1"/>
      <c r="I1154" s="1"/>
      <c r="J1154" s="1"/>
      <c r="K1154" s="1"/>
      <c r="L1154" s="1"/>
      <c r="M1154" s="1"/>
      <c r="AU1154" s="18"/>
      <c r="AV1154" s="18"/>
    </row>
    <row r="1155" spans="5:48" x14ac:dyDescent="0.2">
      <c r="E1155" s="1"/>
      <c r="F1155" s="1"/>
      <c r="G1155" s="1"/>
      <c r="H1155" s="1"/>
      <c r="I1155" s="1"/>
      <c r="J1155" s="1"/>
      <c r="K1155" s="1"/>
      <c r="L1155" s="1"/>
      <c r="M1155" s="1"/>
      <c r="AU1155" s="18"/>
      <c r="AV1155" s="18"/>
    </row>
    <row r="1156" spans="5:48" x14ac:dyDescent="0.2">
      <c r="E1156" s="1"/>
      <c r="F1156" s="1"/>
      <c r="G1156" s="1"/>
      <c r="H1156" s="1"/>
      <c r="I1156" s="1"/>
      <c r="J1156" s="1"/>
      <c r="K1156" s="1"/>
      <c r="L1156" s="1"/>
      <c r="M1156" s="1"/>
      <c r="AU1156" s="18"/>
      <c r="AV1156" s="18"/>
    </row>
    <row r="1157" spans="5:48" x14ac:dyDescent="0.2">
      <c r="E1157" s="1"/>
      <c r="F1157" s="1"/>
      <c r="G1157" s="1"/>
      <c r="H1157" s="1"/>
      <c r="I1157" s="1"/>
      <c r="J1157" s="1"/>
      <c r="K1157" s="1"/>
      <c r="L1157" s="1"/>
      <c r="M1157" s="1"/>
      <c r="AU1157" s="18"/>
      <c r="AV1157" s="18"/>
    </row>
    <row r="1158" spans="5:48" x14ac:dyDescent="0.2">
      <c r="E1158" s="1"/>
      <c r="F1158" s="1"/>
      <c r="G1158" s="1"/>
      <c r="H1158" s="1"/>
      <c r="I1158" s="1"/>
      <c r="J1158" s="1"/>
      <c r="K1158" s="1"/>
      <c r="L1158" s="1"/>
      <c r="M1158" s="1"/>
      <c r="AU1158" s="18"/>
      <c r="AV1158" s="18"/>
    </row>
    <row r="1159" spans="5:48" x14ac:dyDescent="0.2">
      <c r="E1159" s="1"/>
      <c r="F1159" s="1"/>
      <c r="G1159" s="1"/>
      <c r="H1159" s="1"/>
      <c r="I1159" s="1"/>
      <c r="J1159" s="1"/>
      <c r="K1159" s="1"/>
      <c r="L1159" s="1"/>
      <c r="M1159" s="1"/>
      <c r="AU1159" s="18"/>
      <c r="AV1159" s="18"/>
    </row>
    <row r="1160" spans="5:48" x14ac:dyDescent="0.2">
      <c r="E1160" s="1"/>
      <c r="F1160" s="1"/>
      <c r="G1160" s="1"/>
      <c r="H1160" s="1"/>
      <c r="I1160" s="1"/>
      <c r="J1160" s="1"/>
      <c r="K1160" s="1"/>
      <c r="L1160" s="1"/>
      <c r="M1160" s="1"/>
      <c r="AU1160" s="18"/>
      <c r="AV1160" s="18"/>
    </row>
    <row r="1161" spans="5:48" x14ac:dyDescent="0.2">
      <c r="E1161" s="1"/>
      <c r="F1161" s="1"/>
      <c r="G1161" s="1"/>
      <c r="H1161" s="1"/>
      <c r="I1161" s="1"/>
      <c r="J1161" s="1"/>
      <c r="K1161" s="1"/>
      <c r="L1161" s="1"/>
      <c r="M1161" s="1"/>
      <c r="AU1161" s="18"/>
      <c r="AV1161" s="18"/>
    </row>
    <row r="1162" spans="5:48" x14ac:dyDescent="0.2">
      <c r="E1162" s="1"/>
      <c r="F1162" s="1"/>
      <c r="G1162" s="1"/>
      <c r="H1162" s="1"/>
      <c r="I1162" s="1"/>
      <c r="J1162" s="1"/>
      <c r="K1162" s="1"/>
      <c r="L1162" s="1"/>
      <c r="M1162" s="1"/>
      <c r="AU1162" s="18"/>
      <c r="AV1162" s="18"/>
    </row>
    <row r="1163" spans="5:48" x14ac:dyDescent="0.2">
      <c r="E1163" s="1"/>
      <c r="F1163" s="1"/>
      <c r="G1163" s="1"/>
      <c r="H1163" s="1"/>
      <c r="I1163" s="1"/>
      <c r="J1163" s="1"/>
      <c r="K1163" s="1"/>
      <c r="L1163" s="1"/>
      <c r="M1163" s="1"/>
      <c r="AU1163" s="18"/>
      <c r="AV1163" s="18"/>
    </row>
    <row r="1164" spans="5:48" x14ac:dyDescent="0.2">
      <c r="E1164" s="1"/>
      <c r="F1164" s="1"/>
      <c r="G1164" s="1"/>
      <c r="H1164" s="1"/>
      <c r="I1164" s="1"/>
      <c r="J1164" s="1"/>
      <c r="K1164" s="1"/>
      <c r="L1164" s="1"/>
      <c r="M1164" s="1"/>
      <c r="AU1164" s="18"/>
      <c r="AV1164" s="18"/>
    </row>
    <row r="1165" spans="5:48" x14ac:dyDescent="0.2">
      <c r="E1165" s="1"/>
      <c r="F1165" s="1"/>
      <c r="G1165" s="1"/>
      <c r="H1165" s="1"/>
      <c r="I1165" s="1"/>
      <c r="J1165" s="1"/>
      <c r="K1165" s="1"/>
      <c r="L1165" s="1"/>
      <c r="M1165" s="1"/>
      <c r="AU1165" s="18"/>
      <c r="AV1165" s="18"/>
    </row>
    <row r="1166" spans="5:48" x14ac:dyDescent="0.2">
      <c r="E1166" s="1"/>
      <c r="F1166" s="1"/>
      <c r="G1166" s="1"/>
      <c r="H1166" s="1"/>
      <c r="I1166" s="1"/>
      <c r="J1166" s="1"/>
      <c r="K1166" s="1"/>
      <c r="L1166" s="1"/>
      <c r="M1166" s="1"/>
      <c r="AU1166" s="18"/>
      <c r="AV1166" s="18"/>
    </row>
    <row r="1167" spans="5:48" x14ac:dyDescent="0.2">
      <c r="E1167" s="1"/>
      <c r="F1167" s="1"/>
      <c r="G1167" s="1"/>
      <c r="H1167" s="1"/>
      <c r="I1167" s="1"/>
      <c r="J1167" s="1"/>
      <c r="K1167" s="1"/>
      <c r="L1167" s="1"/>
      <c r="M1167" s="1"/>
      <c r="AU1167" s="18"/>
      <c r="AV1167" s="18"/>
    </row>
    <row r="1168" spans="5:48" x14ac:dyDescent="0.2">
      <c r="E1168" s="1"/>
      <c r="F1168" s="1"/>
      <c r="G1168" s="1"/>
      <c r="H1168" s="1"/>
      <c r="I1168" s="1"/>
      <c r="J1168" s="1"/>
      <c r="K1168" s="1"/>
      <c r="L1168" s="1"/>
      <c r="M1168" s="1"/>
      <c r="AU1168" s="18"/>
      <c r="AV1168" s="18"/>
    </row>
    <row r="1169" spans="5:48" x14ac:dyDescent="0.2">
      <c r="E1169" s="1"/>
      <c r="F1169" s="1"/>
      <c r="G1169" s="1"/>
      <c r="H1169" s="1"/>
      <c r="I1169" s="1"/>
      <c r="J1169" s="1"/>
      <c r="K1169" s="1"/>
      <c r="L1169" s="1"/>
      <c r="M1169" s="1"/>
      <c r="AU1169" s="18"/>
      <c r="AV1169" s="18"/>
    </row>
    <row r="1170" spans="5:48" x14ac:dyDescent="0.2">
      <c r="E1170" s="1"/>
      <c r="F1170" s="1"/>
      <c r="G1170" s="1"/>
      <c r="H1170" s="1"/>
      <c r="I1170" s="1"/>
      <c r="J1170" s="1"/>
      <c r="K1170" s="1"/>
      <c r="L1170" s="1"/>
      <c r="M1170" s="1"/>
      <c r="AU1170" s="18"/>
      <c r="AV1170" s="18"/>
    </row>
    <row r="1171" spans="5:48" x14ac:dyDescent="0.2">
      <c r="E1171" s="1"/>
      <c r="F1171" s="1"/>
      <c r="G1171" s="1"/>
      <c r="H1171" s="1"/>
      <c r="I1171" s="1"/>
      <c r="J1171" s="1"/>
      <c r="K1171" s="1"/>
      <c r="L1171" s="1"/>
      <c r="M1171" s="1"/>
      <c r="AU1171" s="18"/>
      <c r="AV1171" s="18"/>
    </row>
    <row r="1172" spans="5:48" x14ac:dyDescent="0.2">
      <c r="E1172" s="1"/>
      <c r="F1172" s="1"/>
      <c r="G1172" s="1"/>
      <c r="H1172" s="1"/>
      <c r="I1172" s="1"/>
      <c r="J1172" s="1"/>
      <c r="K1172" s="1"/>
      <c r="L1172" s="1"/>
      <c r="M1172" s="1"/>
      <c r="AU1172" s="18"/>
      <c r="AV1172" s="18"/>
    </row>
    <row r="1173" spans="5:48" x14ac:dyDescent="0.2">
      <c r="E1173" s="1"/>
      <c r="F1173" s="1"/>
      <c r="G1173" s="1"/>
      <c r="H1173" s="1"/>
      <c r="I1173" s="1"/>
      <c r="J1173" s="1"/>
      <c r="K1173" s="1"/>
      <c r="L1173" s="1"/>
      <c r="M1173" s="1"/>
      <c r="AU1173" s="18"/>
      <c r="AV1173" s="18"/>
    </row>
    <row r="1174" spans="5:48" x14ac:dyDescent="0.2">
      <c r="E1174" s="1"/>
      <c r="F1174" s="1"/>
      <c r="G1174" s="1"/>
      <c r="H1174" s="1"/>
      <c r="I1174" s="1"/>
      <c r="J1174" s="1"/>
      <c r="K1174" s="1"/>
      <c r="L1174" s="1"/>
      <c r="M1174" s="1"/>
      <c r="AU1174" s="18"/>
      <c r="AV1174" s="18"/>
    </row>
    <row r="1175" spans="5:48" x14ac:dyDescent="0.2">
      <c r="E1175" s="1"/>
      <c r="F1175" s="1"/>
      <c r="G1175" s="1"/>
      <c r="H1175" s="1"/>
      <c r="I1175" s="1"/>
      <c r="J1175" s="1"/>
      <c r="K1175" s="1"/>
      <c r="L1175" s="1"/>
      <c r="M1175" s="1"/>
      <c r="AU1175" s="18"/>
      <c r="AV1175" s="18"/>
    </row>
    <row r="1176" spans="5:48" x14ac:dyDescent="0.2">
      <c r="E1176" s="1"/>
      <c r="F1176" s="1"/>
      <c r="G1176" s="1"/>
      <c r="H1176" s="1"/>
      <c r="I1176" s="1"/>
      <c r="J1176" s="1"/>
      <c r="K1176" s="1"/>
      <c r="L1176" s="1"/>
      <c r="M1176" s="1"/>
      <c r="AU1176" s="18"/>
      <c r="AV1176" s="18"/>
    </row>
    <row r="1177" spans="5:48" x14ac:dyDescent="0.2">
      <c r="E1177" s="1"/>
      <c r="F1177" s="1"/>
      <c r="G1177" s="1"/>
      <c r="H1177" s="1"/>
      <c r="I1177" s="1"/>
      <c r="J1177" s="1"/>
      <c r="K1177" s="1"/>
      <c r="L1177" s="1"/>
      <c r="M1177" s="1"/>
      <c r="AU1177" s="18"/>
      <c r="AV1177" s="18"/>
    </row>
    <row r="1178" spans="5:48" x14ac:dyDescent="0.2">
      <c r="E1178" s="1"/>
      <c r="F1178" s="1"/>
      <c r="G1178" s="1"/>
      <c r="H1178" s="1"/>
      <c r="I1178" s="1"/>
      <c r="J1178" s="1"/>
      <c r="K1178" s="1"/>
      <c r="L1178" s="1"/>
      <c r="M1178" s="1"/>
      <c r="AU1178" s="18"/>
      <c r="AV1178" s="18"/>
    </row>
    <row r="1179" spans="5:48" x14ac:dyDescent="0.2">
      <c r="E1179" s="1"/>
      <c r="F1179" s="1"/>
      <c r="G1179" s="1"/>
      <c r="H1179" s="1"/>
      <c r="I1179" s="1"/>
      <c r="J1179" s="1"/>
      <c r="K1179" s="1"/>
      <c r="L1179" s="1"/>
      <c r="M1179" s="1"/>
      <c r="AU1179" s="18"/>
      <c r="AV1179" s="18"/>
    </row>
    <row r="1180" spans="5:48" x14ac:dyDescent="0.2">
      <c r="E1180" s="1"/>
      <c r="F1180" s="1"/>
      <c r="G1180" s="1"/>
      <c r="H1180" s="1"/>
      <c r="I1180" s="1"/>
      <c r="J1180" s="1"/>
      <c r="K1180" s="1"/>
      <c r="L1180" s="1"/>
      <c r="M1180" s="1"/>
      <c r="AU1180" s="18"/>
      <c r="AV1180" s="18"/>
    </row>
    <row r="1181" spans="5:48" x14ac:dyDescent="0.2">
      <c r="E1181" s="1"/>
      <c r="F1181" s="1"/>
      <c r="G1181" s="1"/>
      <c r="H1181" s="1"/>
      <c r="I1181" s="1"/>
      <c r="J1181" s="1"/>
      <c r="K1181" s="1"/>
      <c r="L1181" s="1"/>
      <c r="M1181" s="1"/>
      <c r="AU1181" s="18"/>
      <c r="AV1181" s="18"/>
    </row>
    <row r="1182" spans="5:48" x14ac:dyDescent="0.2">
      <c r="E1182" s="1"/>
      <c r="F1182" s="1"/>
      <c r="G1182" s="1"/>
      <c r="H1182" s="1"/>
      <c r="I1182" s="1"/>
      <c r="J1182" s="1"/>
      <c r="K1182" s="1"/>
      <c r="L1182" s="1"/>
      <c r="M1182" s="1"/>
      <c r="AU1182" s="18"/>
      <c r="AV1182" s="18"/>
    </row>
    <row r="1183" spans="5:48" x14ac:dyDescent="0.2">
      <c r="E1183" s="1"/>
      <c r="F1183" s="1"/>
      <c r="G1183" s="1"/>
      <c r="H1183" s="1"/>
      <c r="I1183" s="1"/>
      <c r="J1183" s="1"/>
      <c r="K1183" s="1"/>
      <c r="L1183" s="1"/>
      <c r="M1183" s="1"/>
      <c r="AU1183" s="18"/>
      <c r="AV1183" s="18"/>
    </row>
    <row r="1184" spans="5:48" x14ac:dyDescent="0.2">
      <c r="E1184" s="1"/>
      <c r="F1184" s="1"/>
      <c r="G1184" s="1"/>
      <c r="H1184" s="1"/>
      <c r="I1184" s="1"/>
      <c r="J1184" s="1"/>
      <c r="K1184" s="1"/>
      <c r="L1184" s="1"/>
      <c r="M1184" s="1"/>
      <c r="AU1184" s="18"/>
      <c r="AV1184" s="18"/>
    </row>
    <row r="1185" spans="5:48" x14ac:dyDescent="0.2">
      <c r="E1185" s="1"/>
      <c r="F1185" s="1"/>
      <c r="G1185" s="1"/>
      <c r="H1185" s="1"/>
      <c r="I1185" s="1"/>
      <c r="J1185" s="1"/>
      <c r="K1185" s="1"/>
      <c r="L1185" s="1"/>
      <c r="M1185" s="1"/>
      <c r="AU1185" s="18"/>
      <c r="AV1185" s="18"/>
    </row>
    <row r="1186" spans="5:48" x14ac:dyDescent="0.2">
      <c r="E1186" s="1"/>
      <c r="F1186" s="1"/>
      <c r="G1186" s="1"/>
      <c r="H1186" s="1"/>
      <c r="I1186" s="1"/>
      <c r="J1186" s="1"/>
      <c r="K1186" s="1"/>
      <c r="L1186" s="1"/>
      <c r="M1186" s="1"/>
      <c r="AU1186" s="18"/>
      <c r="AV1186" s="18"/>
    </row>
    <row r="1187" spans="5:48" x14ac:dyDescent="0.2">
      <c r="E1187" s="1"/>
      <c r="F1187" s="1"/>
      <c r="G1187" s="1"/>
      <c r="H1187" s="1"/>
      <c r="I1187" s="1"/>
      <c r="J1187" s="1"/>
      <c r="K1187" s="1"/>
      <c r="L1187" s="1"/>
      <c r="M1187" s="1"/>
      <c r="AU1187" s="18"/>
      <c r="AV1187" s="18"/>
    </row>
    <row r="1188" spans="5:48" x14ac:dyDescent="0.2">
      <c r="E1188" s="1"/>
      <c r="F1188" s="1"/>
      <c r="G1188" s="1"/>
      <c r="H1188" s="1"/>
      <c r="I1188" s="1"/>
      <c r="J1188" s="1"/>
      <c r="K1188" s="1"/>
      <c r="L1188" s="1"/>
      <c r="M1188" s="1"/>
      <c r="AU1188" s="18"/>
      <c r="AV1188" s="18"/>
    </row>
    <row r="1189" spans="5:48" x14ac:dyDescent="0.2">
      <c r="E1189" s="1"/>
      <c r="F1189" s="1"/>
      <c r="G1189" s="1"/>
      <c r="H1189" s="1"/>
      <c r="I1189" s="1"/>
      <c r="J1189" s="1"/>
      <c r="K1189" s="1"/>
      <c r="L1189" s="1"/>
      <c r="M1189" s="1"/>
      <c r="AU1189" s="18"/>
      <c r="AV1189" s="18"/>
    </row>
    <row r="1190" spans="5:48" x14ac:dyDescent="0.2">
      <c r="E1190" s="1"/>
      <c r="F1190" s="1"/>
      <c r="G1190" s="1"/>
      <c r="H1190" s="1"/>
      <c r="I1190" s="1"/>
      <c r="J1190" s="1"/>
      <c r="K1190" s="1"/>
      <c r="L1190" s="1"/>
      <c r="M1190" s="1"/>
      <c r="AU1190" s="18"/>
      <c r="AV1190" s="18"/>
    </row>
    <row r="1191" spans="5:48" x14ac:dyDescent="0.2">
      <c r="E1191" s="1"/>
      <c r="F1191" s="1"/>
      <c r="G1191" s="1"/>
      <c r="H1191" s="1"/>
      <c r="I1191" s="1"/>
      <c r="J1191" s="1"/>
      <c r="K1191" s="1"/>
      <c r="L1191" s="1"/>
      <c r="M1191" s="1"/>
      <c r="AU1191" s="18"/>
      <c r="AV1191" s="18"/>
    </row>
    <row r="1192" spans="5:48" x14ac:dyDescent="0.2">
      <c r="E1192" s="1"/>
      <c r="F1192" s="1"/>
      <c r="G1192" s="1"/>
      <c r="H1192" s="1"/>
      <c r="I1192" s="1"/>
      <c r="J1192" s="1"/>
      <c r="K1192" s="1"/>
      <c r="L1192" s="1"/>
      <c r="M1192" s="1"/>
      <c r="AU1192" s="18"/>
      <c r="AV1192" s="18"/>
    </row>
    <row r="1193" spans="5:48" x14ac:dyDescent="0.2">
      <c r="E1193" s="1"/>
      <c r="F1193" s="1"/>
      <c r="G1193" s="1"/>
      <c r="H1193" s="1"/>
      <c r="I1193" s="1"/>
      <c r="J1193" s="1"/>
      <c r="K1193" s="1"/>
      <c r="L1193" s="1"/>
      <c r="M1193" s="1"/>
      <c r="AU1193" s="18"/>
      <c r="AV1193" s="18"/>
    </row>
    <row r="1194" spans="5:48" x14ac:dyDescent="0.2">
      <c r="E1194" s="1"/>
      <c r="F1194" s="1"/>
      <c r="G1194" s="1"/>
      <c r="H1194" s="1"/>
      <c r="I1194" s="1"/>
      <c r="J1194" s="1"/>
      <c r="K1194" s="1"/>
      <c r="L1194" s="1"/>
      <c r="M1194" s="1"/>
      <c r="AU1194" s="18"/>
      <c r="AV1194" s="18"/>
    </row>
    <row r="1195" spans="5:48" x14ac:dyDescent="0.2">
      <c r="E1195" s="1"/>
      <c r="F1195" s="1"/>
      <c r="G1195" s="1"/>
      <c r="H1195" s="1"/>
      <c r="I1195" s="1"/>
      <c r="J1195" s="1"/>
      <c r="K1195" s="1"/>
      <c r="L1195" s="1"/>
      <c r="M1195" s="1"/>
      <c r="AU1195" s="18"/>
      <c r="AV1195" s="18"/>
    </row>
    <row r="1196" spans="5:48" x14ac:dyDescent="0.2">
      <c r="E1196" s="1"/>
      <c r="F1196" s="1"/>
      <c r="G1196" s="1"/>
      <c r="H1196" s="1"/>
      <c r="I1196" s="1"/>
      <c r="J1196" s="1"/>
      <c r="K1196" s="1"/>
      <c r="L1196" s="1"/>
      <c r="M1196" s="1"/>
      <c r="AU1196" s="18"/>
      <c r="AV1196" s="18"/>
    </row>
    <row r="1197" spans="5:48" x14ac:dyDescent="0.2">
      <c r="E1197" s="1"/>
      <c r="F1197" s="1"/>
      <c r="G1197" s="1"/>
      <c r="H1197" s="1"/>
      <c r="I1197" s="1"/>
      <c r="J1197" s="1"/>
      <c r="K1197" s="1"/>
      <c r="L1197" s="1"/>
      <c r="M1197" s="1"/>
      <c r="AU1197" s="18"/>
      <c r="AV1197" s="18"/>
    </row>
    <row r="1198" spans="5:48" x14ac:dyDescent="0.2">
      <c r="E1198" s="1"/>
      <c r="F1198" s="1"/>
      <c r="G1198" s="1"/>
      <c r="H1198" s="1"/>
      <c r="I1198" s="1"/>
      <c r="J1198" s="1"/>
      <c r="K1198" s="1"/>
      <c r="L1198" s="1"/>
      <c r="M1198" s="1"/>
      <c r="AU1198" s="18"/>
      <c r="AV1198" s="18"/>
    </row>
    <row r="1199" spans="5:48" x14ac:dyDescent="0.2">
      <c r="E1199" s="1"/>
      <c r="F1199" s="1"/>
      <c r="G1199" s="1"/>
      <c r="H1199" s="1"/>
      <c r="I1199" s="1"/>
      <c r="J1199" s="1"/>
      <c r="K1199" s="1"/>
      <c r="L1199" s="1"/>
      <c r="M1199" s="1"/>
      <c r="AU1199" s="18"/>
      <c r="AV1199" s="18"/>
    </row>
    <row r="1200" spans="5:48" x14ac:dyDescent="0.2">
      <c r="E1200" s="1"/>
      <c r="F1200" s="1"/>
      <c r="G1200" s="1"/>
      <c r="H1200" s="1"/>
      <c r="I1200" s="1"/>
      <c r="J1200" s="1"/>
      <c r="K1200" s="1"/>
      <c r="L1200" s="1"/>
      <c r="M1200" s="1"/>
      <c r="AU1200" s="18"/>
      <c r="AV1200" s="18"/>
    </row>
    <row r="1201" spans="5:48" x14ac:dyDescent="0.2">
      <c r="E1201" s="1"/>
      <c r="F1201" s="1"/>
      <c r="G1201" s="1"/>
      <c r="H1201" s="1"/>
      <c r="I1201" s="1"/>
      <c r="J1201" s="1"/>
      <c r="K1201" s="1"/>
      <c r="L1201" s="1"/>
      <c r="M1201" s="1"/>
      <c r="AU1201" s="18"/>
      <c r="AV1201" s="18"/>
    </row>
    <row r="1202" spans="5:48" x14ac:dyDescent="0.2">
      <c r="E1202" s="1"/>
      <c r="F1202" s="1"/>
      <c r="G1202" s="1"/>
      <c r="H1202" s="1"/>
      <c r="I1202" s="1"/>
      <c r="J1202" s="1"/>
      <c r="K1202" s="1"/>
      <c r="L1202" s="1"/>
      <c r="M1202" s="1"/>
      <c r="AU1202" s="18"/>
      <c r="AV1202" s="18"/>
    </row>
    <row r="1203" spans="5:48" x14ac:dyDescent="0.2">
      <c r="E1203" s="1"/>
      <c r="F1203" s="1"/>
      <c r="G1203" s="1"/>
      <c r="H1203" s="1"/>
      <c r="I1203" s="1"/>
      <c r="J1203" s="1"/>
      <c r="K1203" s="1"/>
      <c r="L1203" s="1"/>
      <c r="M1203" s="1"/>
      <c r="AU1203" s="18"/>
      <c r="AV1203" s="18"/>
    </row>
    <row r="1204" spans="5:48" x14ac:dyDescent="0.2">
      <c r="E1204" s="1"/>
      <c r="F1204" s="1"/>
      <c r="G1204" s="1"/>
      <c r="H1204" s="1"/>
      <c r="I1204" s="1"/>
      <c r="J1204" s="1"/>
      <c r="K1204" s="1"/>
      <c r="L1204" s="1"/>
      <c r="M1204" s="1"/>
      <c r="AU1204" s="18"/>
      <c r="AV1204" s="18"/>
    </row>
    <row r="1205" spans="5:48" x14ac:dyDescent="0.2">
      <c r="E1205" s="1"/>
      <c r="F1205" s="1"/>
      <c r="G1205" s="1"/>
      <c r="H1205" s="1"/>
      <c r="I1205" s="1"/>
      <c r="J1205" s="1"/>
      <c r="K1205" s="1"/>
      <c r="L1205" s="1"/>
      <c r="M1205" s="1"/>
      <c r="AU1205" s="18"/>
      <c r="AV1205" s="18"/>
    </row>
    <row r="1206" spans="5:48" x14ac:dyDescent="0.2">
      <c r="E1206" s="1"/>
      <c r="F1206" s="1"/>
      <c r="G1206" s="1"/>
      <c r="H1206" s="1"/>
      <c r="I1206" s="1"/>
      <c r="J1206" s="1"/>
      <c r="K1206" s="1"/>
      <c r="L1206" s="1"/>
      <c r="M1206" s="1"/>
      <c r="AU1206" s="18"/>
      <c r="AV1206" s="18"/>
    </row>
    <row r="1207" spans="5:48" x14ac:dyDescent="0.2">
      <c r="E1207" s="1"/>
      <c r="F1207" s="1"/>
      <c r="G1207" s="1"/>
      <c r="H1207" s="1"/>
      <c r="I1207" s="1"/>
      <c r="J1207" s="1"/>
      <c r="K1207" s="1"/>
      <c r="L1207" s="1"/>
      <c r="M1207" s="1"/>
      <c r="AU1207" s="18"/>
      <c r="AV1207" s="18"/>
    </row>
    <row r="1208" spans="5:48" x14ac:dyDescent="0.2">
      <c r="E1208" s="1"/>
      <c r="F1208" s="1"/>
      <c r="G1208" s="1"/>
      <c r="H1208" s="1"/>
      <c r="I1208" s="1"/>
      <c r="J1208" s="1"/>
      <c r="K1208" s="1"/>
      <c r="L1208" s="1"/>
      <c r="M1208" s="1"/>
      <c r="AU1208" s="18"/>
      <c r="AV1208" s="18"/>
    </row>
    <row r="1209" spans="5:48" x14ac:dyDescent="0.2">
      <c r="E1209" s="1"/>
      <c r="F1209" s="1"/>
      <c r="G1209" s="1"/>
      <c r="H1209" s="1"/>
      <c r="I1209" s="1"/>
      <c r="J1209" s="1"/>
      <c r="K1209" s="1"/>
      <c r="L1209" s="1"/>
      <c r="M1209" s="1"/>
      <c r="AU1209" s="18"/>
      <c r="AV1209" s="18"/>
    </row>
    <row r="1210" spans="5:48" x14ac:dyDescent="0.2">
      <c r="E1210" s="1"/>
      <c r="F1210" s="1"/>
      <c r="G1210" s="1"/>
      <c r="H1210" s="1"/>
      <c r="I1210" s="1"/>
      <c r="J1210" s="1"/>
      <c r="K1210" s="1"/>
      <c r="L1210" s="1"/>
      <c r="M1210" s="1"/>
      <c r="AU1210" s="18"/>
      <c r="AV1210" s="18"/>
    </row>
    <row r="1211" spans="5:48" x14ac:dyDescent="0.2">
      <c r="E1211" s="1"/>
      <c r="F1211" s="1"/>
      <c r="G1211" s="1"/>
      <c r="H1211" s="1"/>
      <c r="I1211" s="1"/>
      <c r="J1211" s="1"/>
      <c r="K1211" s="1"/>
      <c r="L1211" s="1"/>
      <c r="M1211" s="1"/>
      <c r="AU1211" s="18"/>
      <c r="AV1211" s="18"/>
    </row>
    <row r="1212" spans="5:48" x14ac:dyDescent="0.2">
      <c r="E1212" s="1"/>
      <c r="F1212" s="1"/>
      <c r="G1212" s="1"/>
      <c r="H1212" s="1"/>
      <c r="I1212" s="1"/>
      <c r="J1212" s="1"/>
      <c r="K1212" s="1"/>
      <c r="L1212" s="1"/>
      <c r="M1212" s="1"/>
      <c r="AU1212" s="18"/>
      <c r="AV1212" s="18"/>
    </row>
    <row r="1213" spans="5:48" x14ac:dyDescent="0.2">
      <c r="E1213" s="1"/>
      <c r="F1213" s="1"/>
      <c r="G1213" s="1"/>
      <c r="H1213" s="1"/>
      <c r="I1213" s="1"/>
      <c r="J1213" s="1"/>
      <c r="K1213" s="1"/>
      <c r="L1213" s="1"/>
      <c r="M1213" s="1"/>
      <c r="AU1213" s="18"/>
      <c r="AV1213" s="18"/>
    </row>
    <row r="1214" spans="5:48" x14ac:dyDescent="0.2">
      <c r="E1214" s="1"/>
      <c r="F1214" s="1"/>
      <c r="G1214" s="1"/>
      <c r="H1214" s="1"/>
      <c r="I1214" s="1"/>
      <c r="J1214" s="1"/>
      <c r="K1214" s="1"/>
      <c r="L1214" s="1"/>
      <c r="M1214" s="1"/>
      <c r="AU1214" s="18"/>
      <c r="AV1214" s="18"/>
    </row>
    <row r="1215" spans="5:48" x14ac:dyDescent="0.2">
      <c r="E1215" s="1"/>
      <c r="F1215" s="1"/>
      <c r="G1215" s="1"/>
      <c r="H1215" s="1"/>
      <c r="I1215" s="1"/>
      <c r="J1215" s="1"/>
      <c r="K1215" s="1"/>
      <c r="L1215" s="1"/>
      <c r="M1215" s="1"/>
      <c r="AU1215" s="18"/>
      <c r="AV1215" s="18"/>
    </row>
    <row r="1216" spans="5:48" x14ac:dyDescent="0.2">
      <c r="E1216" s="1"/>
      <c r="F1216" s="1"/>
      <c r="G1216" s="1"/>
      <c r="H1216" s="1"/>
      <c r="I1216" s="1"/>
      <c r="J1216" s="1"/>
      <c r="K1216" s="1"/>
      <c r="L1216" s="1"/>
      <c r="M1216" s="1"/>
      <c r="AU1216" s="18"/>
      <c r="AV1216" s="18"/>
    </row>
    <row r="1217" spans="5:48" x14ac:dyDescent="0.2">
      <c r="E1217" s="1"/>
      <c r="F1217" s="1"/>
      <c r="G1217" s="1"/>
      <c r="H1217" s="1"/>
      <c r="I1217" s="1"/>
      <c r="J1217" s="1"/>
      <c r="K1217" s="1"/>
      <c r="L1217" s="1"/>
      <c r="M1217" s="1"/>
      <c r="AU1217" s="18"/>
      <c r="AV1217" s="18"/>
    </row>
    <row r="1218" spans="5:48" x14ac:dyDescent="0.2">
      <c r="E1218" s="1"/>
      <c r="F1218" s="1"/>
      <c r="G1218" s="1"/>
      <c r="H1218" s="1"/>
      <c r="I1218" s="1"/>
      <c r="J1218" s="1"/>
      <c r="K1218" s="1"/>
      <c r="L1218" s="1"/>
      <c r="M1218" s="1"/>
      <c r="AU1218" s="18"/>
      <c r="AV1218" s="18"/>
    </row>
    <row r="1219" spans="5:48" x14ac:dyDescent="0.2">
      <c r="E1219" s="1"/>
      <c r="F1219" s="1"/>
      <c r="G1219" s="1"/>
      <c r="H1219" s="1"/>
      <c r="I1219" s="1"/>
      <c r="J1219" s="1"/>
      <c r="K1219" s="1"/>
      <c r="L1219" s="1"/>
      <c r="M1219" s="1"/>
      <c r="AU1219" s="18"/>
      <c r="AV1219" s="18"/>
    </row>
    <row r="1220" spans="5:48" x14ac:dyDescent="0.2">
      <c r="E1220" s="1"/>
      <c r="F1220" s="1"/>
      <c r="G1220" s="1"/>
      <c r="H1220" s="1"/>
      <c r="I1220" s="1"/>
      <c r="J1220" s="1"/>
      <c r="K1220" s="1"/>
      <c r="L1220" s="1"/>
      <c r="M1220" s="1"/>
      <c r="AU1220" s="18"/>
      <c r="AV1220" s="18"/>
    </row>
    <row r="1221" spans="5:48" x14ac:dyDescent="0.2">
      <c r="E1221" s="1"/>
      <c r="F1221" s="1"/>
      <c r="G1221" s="1"/>
      <c r="H1221" s="1"/>
      <c r="I1221" s="1"/>
      <c r="J1221" s="1"/>
      <c r="K1221" s="1"/>
      <c r="L1221" s="1"/>
      <c r="M1221" s="1"/>
      <c r="AU1221" s="18"/>
      <c r="AV1221" s="18"/>
    </row>
    <row r="1222" spans="5:48" x14ac:dyDescent="0.2">
      <c r="E1222" s="1"/>
      <c r="F1222" s="1"/>
      <c r="G1222" s="1"/>
      <c r="H1222" s="1"/>
      <c r="I1222" s="1"/>
      <c r="J1222" s="1"/>
      <c r="K1222" s="1"/>
      <c r="L1222" s="1"/>
      <c r="M1222" s="1"/>
      <c r="AU1222" s="18"/>
      <c r="AV1222" s="18"/>
    </row>
    <row r="1223" spans="5:48" x14ac:dyDescent="0.2">
      <c r="E1223" s="1"/>
      <c r="F1223" s="1"/>
      <c r="G1223" s="1"/>
      <c r="H1223" s="1"/>
      <c r="I1223" s="1"/>
      <c r="J1223" s="1"/>
      <c r="K1223" s="1"/>
      <c r="L1223" s="1"/>
      <c r="M1223" s="1"/>
      <c r="AU1223" s="18"/>
      <c r="AV1223" s="18"/>
    </row>
    <row r="1224" spans="5:48" x14ac:dyDescent="0.2">
      <c r="E1224" s="1"/>
      <c r="F1224" s="1"/>
      <c r="G1224" s="1"/>
      <c r="H1224" s="1"/>
      <c r="I1224" s="1"/>
      <c r="J1224" s="1"/>
      <c r="K1224" s="1"/>
      <c r="L1224" s="1"/>
      <c r="M1224" s="1"/>
      <c r="AU1224" s="18"/>
      <c r="AV1224" s="18"/>
    </row>
    <row r="1225" spans="5:48" x14ac:dyDescent="0.2">
      <c r="E1225" s="1"/>
      <c r="F1225" s="1"/>
      <c r="G1225" s="1"/>
      <c r="H1225" s="1"/>
      <c r="I1225" s="1"/>
      <c r="J1225" s="1"/>
      <c r="K1225" s="1"/>
      <c r="L1225" s="1"/>
      <c r="M1225" s="1"/>
      <c r="AU1225" s="18"/>
      <c r="AV1225" s="18"/>
    </row>
    <row r="1226" spans="5:48" x14ac:dyDescent="0.2">
      <c r="E1226" s="1"/>
      <c r="F1226" s="1"/>
      <c r="G1226" s="1"/>
      <c r="H1226" s="1"/>
      <c r="I1226" s="1"/>
      <c r="J1226" s="1"/>
      <c r="K1226" s="1"/>
      <c r="L1226" s="1"/>
      <c r="M1226" s="1"/>
      <c r="AU1226" s="18"/>
      <c r="AV1226" s="18"/>
    </row>
    <row r="1227" spans="5:48" x14ac:dyDescent="0.2">
      <c r="E1227" s="1"/>
      <c r="F1227" s="1"/>
      <c r="G1227" s="1"/>
      <c r="H1227" s="1"/>
      <c r="I1227" s="1"/>
      <c r="J1227" s="1"/>
      <c r="K1227" s="1"/>
      <c r="L1227" s="1"/>
      <c r="M1227" s="1"/>
      <c r="AU1227" s="18"/>
      <c r="AV1227" s="18"/>
    </row>
    <row r="1228" spans="5:48" x14ac:dyDescent="0.2">
      <c r="E1228" s="1"/>
      <c r="F1228" s="1"/>
      <c r="G1228" s="1"/>
      <c r="H1228" s="1"/>
      <c r="I1228" s="1"/>
      <c r="J1228" s="1"/>
      <c r="K1228" s="1"/>
      <c r="L1228" s="1"/>
      <c r="M1228" s="1"/>
      <c r="AU1228" s="18"/>
      <c r="AV1228" s="18"/>
    </row>
    <row r="1229" spans="5:48" x14ac:dyDescent="0.2">
      <c r="E1229" s="1"/>
      <c r="F1229" s="1"/>
      <c r="G1229" s="1"/>
      <c r="H1229" s="1"/>
      <c r="I1229" s="1"/>
      <c r="J1229" s="1"/>
      <c r="K1229" s="1"/>
      <c r="L1229" s="1"/>
      <c r="M1229" s="1"/>
      <c r="AU1229" s="18"/>
      <c r="AV1229" s="18"/>
    </row>
    <row r="1230" spans="5:48" x14ac:dyDescent="0.2">
      <c r="E1230" s="1"/>
      <c r="F1230" s="1"/>
      <c r="G1230" s="1"/>
      <c r="H1230" s="1"/>
      <c r="I1230" s="1"/>
      <c r="J1230" s="1"/>
      <c r="K1230" s="1"/>
      <c r="L1230" s="1"/>
      <c r="M1230" s="1"/>
      <c r="AU1230" s="18"/>
      <c r="AV1230" s="18"/>
    </row>
    <row r="1231" spans="5:48" x14ac:dyDescent="0.2">
      <c r="E1231" s="1"/>
      <c r="F1231" s="1"/>
      <c r="G1231" s="1"/>
      <c r="H1231" s="1"/>
      <c r="I1231" s="1"/>
      <c r="J1231" s="1"/>
      <c r="K1231" s="1"/>
      <c r="L1231" s="1"/>
      <c r="M1231" s="1"/>
      <c r="AU1231" s="18"/>
      <c r="AV1231" s="18"/>
    </row>
    <row r="1232" spans="5:48" x14ac:dyDescent="0.2">
      <c r="E1232" s="1"/>
      <c r="F1232" s="1"/>
      <c r="G1232" s="1"/>
      <c r="H1232" s="1"/>
      <c r="I1232" s="1"/>
      <c r="J1232" s="1"/>
      <c r="K1232" s="1"/>
      <c r="L1232" s="1"/>
      <c r="M1232" s="1"/>
      <c r="AU1232" s="18"/>
      <c r="AV1232" s="18"/>
    </row>
    <row r="1233" spans="5:48" x14ac:dyDescent="0.2">
      <c r="E1233" s="1"/>
      <c r="F1233" s="1"/>
      <c r="G1233" s="1"/>
      <c r="H1233" s="1"/>
      <c r="I1233" s="1"/>
      <c r="J1233" s="1"/>
      <c r="K1233" s="1"/>
      <c r="L1233" s="1"/>
      <c r="M1233" s="1"/>
      <c r="AU1233" s="18"/>
      <c r="AV1233" s="18"/>
    </row>
    <row r="1234" spans="5:48" x14ac:dyDescent="0.2">
      <c r="E1234" s="1"/>
      <c r="F1234" s="1"/>
      <c r="G1234" s="1"/>
      <c r="H1234" s="1"/>
      <c r="I1234" s="1"/>
      <c r="J1234" s="1"/>
      <c r="K1234" s="1"/>
      <c r="L1234" s="1"/>
      <c r="M1234" s="1"/>
      <c r="AU1234" s="18"/>
      <c r="AV1234" s="18"/>
    </row>
    <row r="1235" spans="5:48" x14ac:dyDescent="0.2">
      <c r="E1235" s="1"/>
      <c r="F1235" s="1"/>
      <c r="G1235" s="1"/>
      <c r="H1235" s="1"/>
      <c r="I1235" s="1"/>
      <c r="J1235" s="1"/>
      <c r="K1235" s="1"/>
      <c r="L1235" s="1"/>
      <c r="M1235" s="1"/>
      <c r="AU1235" s="18"/>
      <c r="AV1235" s="18"/>
    </row>
    <row r="1236" spans="5:48" x14ac:dyDescent="0.2">
      <c r="E1236" s="1"/>
      <c r="F1236" s="1"/>
      <c r="G1236" s="1"/>
      <c r="H1236" s="1"/>
      <c r="I1236" s="1"/>
      <c r="J1236" s="1"/>
      <c r="K1236" s="1"/>
      <c r="L1236" s="1"/>
      <c r="M1236" s="1"/>
      <c r="AU1236" s="18"/>
      <c r="AV1236" s="18"/>
    </row>
    <row r="1237" spans="5:48" x14ac:dyDescent="0.2">
      <c r="E1237" s="1"/>
      <c r="F1237" s="1"/>
      <c r="G1237" s="1"/>
      <c r="H1237" s="1"/>
      <c r="I1237" s="1"/>
      <c r="J1237" s="1"/>
      <c r="K1237" s="1"/>
      <c r="L1237" s="1"/>
      <c r="M1237" s="1"/>
      <c r="AU1237" s="18"/>
      <c r="AV1237" s="18"/>
    </row>
    <row r="1238" spans="5:48" x14ac:dyDescent="0.2">
      <c r="E1238" s="1"/>
      <c r="F1238" s="1"/>
      <c r="G1238" s="1"/>
      <c r="H1238" s="1"/>
      <c r="I1238" s="1"/>
      <c r="J1238" s="1"/>
      <c r="K1238" s="1"/>
      <c r="L1238" s="1"/>
      <c r="M1238" s="1"/>
      <c r="AU1238" s="18"/>
      <c r="AV1238" s="18"/>
    </row>
    <row r="1239" spans="5:48" x14ac:dyDescent="0.2">
      <c r="E1239" s="1"/>
      <c r="F1239" s="1"/>
      <c r="G1239" s="1"/>
      <c r="H1239" s="1"/>
      <c r="I1239" s="1"/>
      <c r="J1239" s="1"/>
      <c r="K1239" s="1"/>
      <c r="L1239" s="1"/>
      <c r="M1239" s="1"/>
      <c r="AU1239" s="18"/>
      <c r="AV1239" s="18"/>
    </row>
    <row r="1240" spans="5:48" x14ac:dyDescent="0.2">
      <c r="E1240" s="1"/>
      <c r="F1240" s="1"/>
      <c r="G1240" s="1"/>
      <c r="H1240" s="1"/>
      <c r="I1240" s="1"/>
      <c r="J1240" s="1"/>
      <c r="K1240" s="1"/>
      <c r="L1240" s="1"/>
      <c r="M1240" s="1"/>
      <c r="AU1240" s="18"/>
      <c r="AV1240" s="18"/>
    </row>
    <row r="1241" spans="5:48" x14ac:dyDescent="0.2">
      <c r="E1241" s="1"/>
      <c r="F1241" s="1"/>
      <c r="G1241" s="1"/>
      <c r="H1241" s="1"/>
      <c r="I1241" s="1"/>
      <c r="J1241" s="1"/>
      <c r="K1241" s="1"/>
      <c r="L1241" s="1"/>
      <c r="M1241" s="1"/>
      <c r="AU1241" s="18"/>
      <c r="AV1241" s="18"/>
    </row>
    <row r="1242" spans="5:48" x14ac:dyDescent="0.2">
      <c r="E1242" s="1"/>
      <c r="F1242" s="1"/>
      <c r="G1242" s="1"/>
      <c r="H1242" s="1"/>
      <c r="I1242" s="1"/>
      <c r="J1242" s="1"/>
      <c r="K1242" s="1"/>
      <c r="L1242" s="1"/>
      <c r="M1242" s="1"/>
      <c r="AU1242" s="18"/>
      <c r="AV1242" s="18"/>
    </row>
    <row r="1243" spans="5:48" x14ac:dyDescent="0.2">
      <c r="E1243" s="1"/>
      <c r="F1243" s="1"/>
      <c r="G1243" s="1"/>
      <c r="H1243" s="1"/>
      <c r="I1243" s="1"/>
      <c r="J1243" s="1"/>
      <c r="K1243" s="1"/>
      <c r="L1243" s="1"/>
      <c r="M1243" s="1"/>
      <c r="AU1243" s="18"/>
      <c r="AV1243" s="18"/>
    </row>
    <row r="1244" spans="5:48" x14ac:dyDescent="0.2">
      <c r="E1244" s="1"/>
      <c r="F1244" s="1"/>
      <c r="G1244" s="1"/>
      <c r="H1244" s="1"/>
      <c r="I1244" s="1"/>
      <c r="J1244" s="1"/>
      <c r="K1244" s="1"/>
      <c r="L1244" s="1"/>
      <c r="M1244" s="1"/>
      <c r="AU1244" s="18"/>
      <c r="AV1244" s="18"/>
    </row>
    <row r="1245" spans="5:48" x14ac:dyDescent="0.2">
      <c r="E1245" s="1"/>
      <c r="F1245" s="1"/>
      <c r="G1245" s="1"/>
      <c r="H1245" s="1"/>
      <c r="I1245" s="1"/>
      <c r="J1245" s="1"/>
      <c r="K1245" s="1"/>
      <c r="L1245" s="1"/>
      <c r="M1245" s="1"/>
      <c r="AU1245" s="18"/>
      <c r="AV1245" s="18"/>
    </row>
    <row r="1246" spans="5:48" x14ac:dyDescent="0.2">
      <c r="E1246" s="1"/>
      <c r="F1246" s="1"/>
      <c r="G1246" s="1"/>
      <c r="H1246" s="1"/>
      <c r="I1246" s="1"/>
      <c r="J1246" s="1"/>
      <c r="K1246" s="1"/>
      <c r="L1246" s="1"/>
      <c r="M1246" s="1"/>
      <c r="AU1246" s="18"/>
      <c r="AV1246" s="18"/>
    </row>
    <row r="1247" spans="5:48" x14ac:dyDescent="0.2">
      <c r="E1247" s="1"/>
      <c r="F1247" s="1"/>
      <c r="G1247" s="1"/>
      <c r="H1247" s="1"/>
      <c r="I1247" s="1"/>
      <c r="J1247" s="1"/>
      <c r="K1247" s="1"/>
      <c r="L1247" s="1"/>
      <c r="M1247" s="1"/>
      <c r="AU1247" s="18"/>
      <c r="AV1247" s="18"/>
    </row>
    <row r="1248" spans="5:48" x14ac:dyDescent="0.2">
      <c r="E1248" s="1"/>
      <c r="F1248" s="1"/>
      <c r="G1248" s="1"/>
      <c r="H1248" s="1"/>
      <c r="I1248" s="1"/>
      <c r="J1248" s="1"/>
      <c r="K1248" s="1"/>
      <c r="L1248" s="1"/>
      <c r="M1248" s="1"/>
      <c r="AU1248" s="18"/>
      <c r="AV1248" s="18"/>
    </row>
    <row r="1249" spans="5:48" x14ac:dyDescent="0.2">
      <c r="E1249" s="1"/>
      <c r="F1249" s="1"/>
      <c r="G1249" s="1"/>
      <c r="H1249" s="1"/>
      <c r="I1249" s="1"/>
      <c r="J1249" s="1"/>
      <c r="K1249" s="1"/>
      <c r="L1249" s="1"/>
      <c r="M1249" s="1"/>
      <c r="AU1249" s="18"/>
      <c r="AV1249" s="18"/>
    </row>
    <row r="1250" spans="5:48" x14ac:dyDescent="0.2">
      <c r="E1250" s="1"/>
      <c r="F1250" s="1"/>
      <c r="G1250" s="1"/>
      <c r="H1250" s="1"/>
      <c r="I1250" s="1"/>
      <c r="J1250" s="1"/>
      <c r="K1250" s="1"/>
      <c r="L1250" s="1"/>
      <c r="M1250" s="1"/>
      <c r="AU1250" s="18"/>
      <c r="AV1250" s="18"/>
    </row>
    <row r="1251" spans="5:48" x14ac:dyDescent="0.2">
      <c r="E1251" s="1"/>
      <c r="F1251" s="1"/>
      <c r="G1251" s="1"/>
      <c r="H1251" s="1"/>
      <c r="I1251" s="1"/>
      <c r="J1251" s="1"/>
      <c r="K1251" s="1"/>
      <c r="L1251" s="1"/>
      <c r="M1251" s="1"/>
      <c r="AU1251" s="18"/>
      <c r="AV1251" s="18"/>
    </row>
    <row r="1252" spans="5:48" x14ac:dyDescent="0.2">
      <c r="E1252" s="1"/>
      <c r="F1252" s="1"/>
      <c r="G1252" s="1"/>
      <c r="H1252" s="1"/>
      <c r="I1252" s="1"/>
      <c r="J1252" s="1"/>
      <c r="K1252" s="1"/>
      <c r="L1252" s="1"/>
      <c r="M1252" s="1"/>
      <c r="AU1252" s="18"/>
      <c r="AV1252" s="18"/>
    </row>
    <row r="1253" spans="5:48" x14ac:dyDescent="0.2">
      <c r="E1253" s="1"/>
      <c r="F1253" s="1"/>
      <c r="G1253" s="1"/>
      <c r="H1253" s="1"/>
      <c r="I1253" s="1"/>
      <c r="J1253" s="1"/>
      <c r="K1253" s="1"/>
      <c r="L1253" s="1"/>
      <c r="M1253" s="1"/>
      <c r="AU1253" s="18"/>
      <c r="AV1253" s="18"/>
    </row>
    <row r="1254" spans="5:48" x14ac:dyDescent="0.2">
      <c r="E1254" s="1"/>
      <c r="F1254" s="1"/>
      <c r="G1254" s="1"/>
      <c r="H1254" s="1"/>
      <c r="I1254" s="1"/>
      <c r="J1254" s="1"/>
      <c r="K1254" s="1"/>
      <c r="L1254" s="1"/>
      <c r="M1254" s="1"/>
      <c r="AU1254" s="18"/>
      <c r="AV1254" s="18"/>
    </row>
    <row r="1255" spans="5:48" x14ac:dyDescent="0.2">
      <c r="E1255" s="1"/>
      <c r="F1255" s="1"/>
      <c r="G1255" s="1"/>
      <c r="H1255" s="1"/>
      <c r="I1255" s="1"/>
      <c r="J1255" s="1"/>
      <c r="K1255" s="1"/>
      <c r="L1255" s="1"/>
      <c r="M1255" s="1"/>
      <c r="AU1255" s="18"/>
      <c r="AV1255" s="18"/>
    </row>
    <row r="1256" spans="5:48" x14ac:dyDescent="0.2">
      <c r="E1256" s="1"/>
      <c r="F1256" s="1"/>
      <c r="G1256" s="1"/>
      <c r="H1256" s="1"/>
      <c r="I1256" s="1"/>
      <c r="J1256" s="1"/>
      <c r="K1256" s="1"/>
      <c r="L1256" s="1"/>
      <c r="M1256" s="1"/>
      <c r="AU1256" s="18"/>
      <c r="AV1256" s="18"/>
    </row>
    <row r="1257" spans="5:48" x14ac:dyDescent="0.2">
      <c r="E1257" s="1"/>
      <c r="F1257" s="1"/>
      <c r="G1257" s="1"/>
      <c r="H1257" s="1"/>
      <c r="I1257" s="1"/>
      <c r="J1257" s="1"/>
      <c r="K1257" s="1"/>
      <c r="L1257" s="1"/>
      <c r="M1257" s="1"/>
      <c r="AU1257" s="18"/>
      <c r="AV1257" s="18"/>
    </row>
    <row r="1258" spans="5:48" x14ac:dyDescent="0.2">
      <c r="E1258" s="1"/>
      <c r="F1258" s="1"/>
      <c r="G1258" s="1"/>
      <c r="H1258" s="1"/>
      <c r="I1258" s="1"/>
      <c r="J1258" s="1"/>
      <c r="K1258" s="1"/>
      <c r="L1258" s="1"/>
      <c r="M1258" s="1"/>
      <c r="AU1258" s="18"/>
      <c r="AV1258" s="18"/>
    </row>
    <row r="1259" spans="5:48" x14ac:dyDescent="0.2">
      <c r="E1259" s="1"/>
      <c r="F1259" s="1"/>
      <c r="G1259" s="1"/>
      <c r="H1259" s="1"/>
      <c r="I1259" s="1"/>
      <c r="J1259" s="1"/>
      <c r="K1259" s="1"/>
      <c r="L1259" s="1"/>
      <c r="M1259" s="1"/>
      <c r="AU1259" s="18"/>
      <c r="AV1259" s="18"/>
    </row>
    <row r="1260" spans="5:48" x14ac:dyDescent="0.2">
      <c r="E1260" s="1"/>
      <c r="F1260" s="1"/>
      <c r="G1260" s="1"/>
      <c r="H1260" s="1"/>
      <c r="I1260" s="1"/>
      <c r="J1260" s="1"/>
      <c r="K1260" s="1"/>
      <c r="L1260" s="1"/>
      <c r="M1260" s="1"/>
      <c r="AU1260" s="18"/>
      <c r="AV1260" s="18"/>
    </row>
    <row r="1261" spans="5:48" x14ac:dyDescent="0.2">
      <c r="E1261" s="1"/>
      <c r="F1261" s="1"/>
      <c r="G1261" s="1"/>
      <c r="H1261" s="1"/>
      <c r="I1261" s="1"/>
      <c r="J1261" s="1"/>
      <c r="K1261" s="1"/>
      <c r="L1261" s="1"/>
      <c r="M1261" s="1"/>
      <c r="AU1261" s="18"/>
      <c r="AV1261" s="18"/>
    </row>
    <row r="1262" spans="5:48" x14ac:dyDescent="0.2">
      <c r="E1262" s="1"/>
      <c r="F1262" s="1"/>
      <c r="G1262" s="1"/>
      <c r="H1262" s="1"/>
      <c r="I1262" s="1"/>
      <c r="J1262" s="1"/>
      <c r="K1262" s="1"/>
      <c r="L1262" s="1"/>
      <c r="M1262" s="1"/>
      <c r="AU1262" s="18"/>
      <c r="AV1262" s="18"/>
    </row>
    <row r="1263" spans="5:48" x14ac:dyDescent="0.2">
      <c r="E1263" s="1"/>
      <c r="F1263" s="1"/>
      <c r="G1263" s="1"/>
      <c r="H1263" s="1"/>
      <c r="I1263" s="1"/>
      <c r="J1263" s="1"/>
      <c r="K1263" s="1"/>
      <c r="L1263" s="1"/>
      <c r="M1263" s="1"/>
      <c r="AU1263" s="18"/>
      <c r="AV1263" s="18"/>
    </row>
    <row r="1264" spans="5:48" x14ac:dyDescent="0.2">
      <c r="E1264" s="1"/>
      <c r="F1264" s="1"/>
      <c r="G1264" s="1"/>
      <c r="H1264" s="1"/>
      <c r="I1264" s="1"/>
      <c r="J1264" s="1"/>
      <c r="K1264" s="1"/>
      <c r="L1264" s="1"/>
      <c r="M1264" s="1"/>
      <c r="AU1264" s="18"/>
      <c r="AV1264" s="18"/>
    </row>
    <row r="1265" spans="5:48" x14ac:dyDescent="0.2">
      <c r="E1265" s="1"/>
      <c r="F1265" s="1"/>
      <c r="G1265" s="1"/>
      <c r="H1265" s="1"/>
      <c r="I1265" s="1"/>
      <c r="J1265" s="1"/>
      <c r="K1265" s="1"/>
      <c r="L1265" s="1"/>
      <c r="M1265" s="1"/>
      <c r="AU1265" s="18"/>
      <c r="AV1265" s="18"/>
    </row>
    <row r="1266" spans="5:48" x14ac:dyDescent="0.2">
      <c r="E1266" s="1"/>
      <c r="F1266" s="1"/>
      <c r="G1266" s="1"/>
      <c r="H1266" s="1"/>
      <c r="I1266" s="1"/>
      <c r="J1266" s="1"/>
      <c r="K1266" s="1"/>
      <c r="L1266" s="1"/>
      <c r="M1266" s="1"/>
      <c r="AU1266" s="18"/>
      <c r="AV1266" s="18"/>
    </row>
    <row r="1267" spans="5:48" x14ac:dyDescent="0.2">
      <c r="E1267" s="1"/>
      <c r="F1267" s="1"/>
      <c r="G1267" s="1"/>
      <c r="H1267" s="1"/>
      <c r="I1267" s="1"/>
      <c r="J1267" s="1"/>
      <c r="K1267" s="1"/>
      <c r="L1267" s="1"/>
      <c r="M1267" s="1"/>
      <c r="AU1267" s="18"/>
      <c r="AV1267" s="18"/>
    </row>
    <row r="1268" spans="5:48" x14ac:dyDescent="0.2">
      <c r="E1268" s="1"/>
      <c r="F1268" s="1"/>
      <c r="G1268" s="1"/>
      <c r="H1268" s="1"/>
      <c r="I1268" s="1"/>
      <c r="J1268" s="1"/>
      <c r="K1268" s="1"/>
      <c r="L1268" s="1"/>
      <c r="M1268" s="1"/>
      <c r="AU1268" s="18"/>
      <c r="AV1268" s="18"/>
    </row>
    <row r="1269" spans="5:48" x14ac:dyDescent="0.2">
      <c r="E1269" s="1"/>
      <c r="F1269" s="1"/>
      <c r="G1269" s="1"/>
      <c r="H1269" s="1"/>
      <c r="I1269" s="1"/>
      <c r="J1269" s="1"/>
      <c r="K1269" s="1"/>
      <c r="L1269" s="1"/>
      <c r="M1269" s="1"/>
      <c r="AU1269" s="18"/>
      <c r="AV1269" s="18"/>
    </row>
    <row r="1270" spans="5:48" x14ac:dyDescent="0.2">
      <c r="E1270" s="1"/>
      <c r="F1270" s="1"/>
      <c r="G1270" s="1"/>
      <c r="H1270" s="1"/>
      <c r="I1270" s="1"/>
      <c r="J1270" s="1"/>
      <c r="K1270" s="1"/>
      <c r="L1270" s="1"/>
      <c r="M1270" s="1"/>
      <c r="AU1270" s="18"/>
      <c r="AV1270" s="18"/>
    </row>
    <row r="1271" spans="5:48" x14ac:dyDescent="0.2">
      <c r="E1271" s="1"/>
      <c r="F1271" s="1"/>
      <c r="G1271" s="1"/>
      <c r="H1271" s="1"/>
      <c r="I1271" s="1"/>
      <c r="J1271" s="1"/>
      <c r="K1271" s="1"/>
      <c r="L1271" s="1"/>
      <c r="M1271" s="1"/>
      <c r="AU1271" s="18"/>
      <c r="AV1271" s="18"/>
    </row>
    <row r="1272" spans="5:48" x14ac:dyDescent="0.2">
      <c r="E1272" s="1"/>
      <c r="F1272" s="1"/>
      <c r="G1272" s="1"/>
      <c r="H1272" s="1"/>
      <c r="I1272" s="1"/>
      <c r="J1272" s="1"/>
      <c r="K1272" s="1"/>
      <c r="L1272" s="1"/>
      <c r="M1272" s="1"/>
      <c r="AU1272" s="18"/>
      <c r="AV1272" s="18"/>
    </row>
    <row r="1273" spans="5:48" x14ac:dyDescent="0.2">
      <c r="E1273" s="1"/>
      <c r="F1273" s="1"/>
      <c r="G1273" s="1"/>
      <c r="H1273" s="1"/>
      <c r="I1273" s="1"/>
      <c r="J1273" s="1"/>
      <c r="K1273" s="1"/>
      <c r="L1273" s="1"/>
      <c r="M1273" s="1"/>
      <c r="AU1273" s="18"/>
      <c r="AV1273" s="18"/>
    </row>
    <row r="1274" spans="5:48" x14ac:dyDescent="0.2">
      <c r="E1274" s="1"/>
      <c r="F1274" s="1"/>
      <c r="G1274" s="1"/>
      <c r="H1274" s="1"/>
      <c r="I1274" s="1"/>
      <c r="J1274" s="1"/>
      <c r="K1274" s="1"/>
      <c r="L1274" s="1"/>
      <c r="M1274" s="1"/>
      <c r="AU1274" s="18"/>
      <c r="AV1274" s="18"/>
    </row>
    <row r="1275" spans="5:48" x14ac:dyDescent="0.2">
      <c r="E1275" s="1"/>
      <c r="F1275" s="1"/>
      <c r="G1275" s="1"/>
      <c r="H1275" s="1"/>
      <c r="I1275" s="1"/>
      <c r="J1275" s="1"/>
      <c r="K1275" s="1"/>
      <c r="L1275" s="1"/>
      <c r="M1275" s="1"/>
      <c r="AU1275" s="18"/>
      <c r="AV1275" s="18"/>
    </row>
    <row r="1276" spans="5:48" x14ac:dyDescent="0.2">
      <c r="E1276" s="1"/>
      <c r="F1276" s="1"/>
      <c r="G1276" s="1"/>
      <c r="H1276" s="1"/>
      <c r="I1276" s="1"/>
      <c r="J1276" s="1"/>
      <c r="K1276" s="1"/>
      <c r="L1276" s="1"/>
      <c r="M1276" s="1"/>
      <c r="AU1276" s="18"/>
      <c r="AV1276" s="18"/>
    </row>
    <row r="1277" spans="5:48" x14ac:dyDescent="0.2">
      <c r="E1277" s="1"/>
      <c r="F1277" s="1"/>
      <c r="G1277" s="1"/>
      <c r="H1277" s="1"/>
      <c r="I1277" s="1"/>
      <c r="J1277" s="1"/>
      <c r="K1277" s="1"/>
      <c r="L1277" s="1"/>
      <c r="M1277" s="1"/>
      <c r="AU1277" s="18"/>
      <c r="AV1277" s="18"/>
    </row>
    <row r="1278" spans="5:48" x14ac:dyDescent="0.2">
      <c r="E1278" s="1"/>
      <c r="F1278" s="1"/>
      <c r="G1278" s="1"/>
      <c r="H1278" s="1"/>
      <c r="I1278" s="1"/>
      <c r="J1278" s="1"/>
      <c r="K1278" s="1"/>
      <c r="L1278" s="1"/>
      <c r="M1278" s="1"/>
      <c r="AU1278" s="18"/>
      <c r="AV1278" s="18"/>
    </row>
    <row r="1279" spans="5:48" x14ac:dyDescent="0.2">
      <c r="E1279" s="1"/>
      <c r="F1279" s="1"/>
      <c r="G1279" s="1"/>
      <c r="H1279" s="1"/>
      <c r="I1279" s="1"/>
      <c r="J1279" s="1"/>
      <c r="K1279" s="1"/>
      <c r="L1279" s="1"/>
      <c r="M1279" s="1"/>
      <c r="AU1279" s="18"/>
      <c r="AV1279" s="18"/>
    </row>
    <row r="1280" spans="5:48" x14ac:dyDescent="0.2">
      <c r="E1280" s="1"/>
      <c r="F1280" s="1"/>
      <c r="G1280" s="1"/>
      <c r="H1280" s="1"/>
      <c r="I1280" s="1"/>
      <c r="J1280" s="1"/>
      <c r="K1280" s="1"/>
      <c r="L1280" s="1"/>
      <c r="M1280" s="1"/>
      <c r="AU1280" s="18"/>
      <c r="AV1280" s="18"/>
    </row>
    <row r="1281" spans="5:48" x14ac:dyDescent="0.2">
      <c r="E1281" s="1"/>
      <c r="F1281" s="1"/>
      <c r="G1281" s="1"/>
      <c r="H1281" s="1"/>
      <c r="I1281" s="1"/>
      <c r="J1281" s="1"/>
      <c r="K1281" s="1"/>
      <c r="L1281" s="1"/>
      <c r="M1281" s="1"/>
      <c r="AU1281" s="18"/>
      <c r="AV1281" s="18"/>
    </row>
    <row r="1282" spans="5:48" x14ac:dyDescent="0.2">
      <c r="E1282" s="1"/>
      <c r="F1282" s="1"/>
      <c r="G1282" s="1"/>
      <c r="H1282" s="1"/>
      <c r="I1282" s="1"/>
      <c r="J1282" s="1"/>
      <c r="K1282" s="1"/>
      <c r="L1282" s="1"/>
      <c r="M1282" s="1"/>
      <c r="AU1282" s="18"/>
      <c r="AV1282" s="18"/>
    </row>
    <row r="1283" spans="5:48" x14ac:dyDescent="0.2">
      <c r="E1283" s="1"/>
      <c r="F1283" s="1"/>
      <c r="G1283" s="1"/>
      <c r="H1283" s="1"/>
      <c r="I1283" s="1"/>
      <c r="J1283" s="1"/>
      <c r="K1283" s="1"/>
      <c r="L1283" s="1"/>
      <c r="M1283" s="1"/>
      <c r="AU1283" s="18"/>
      <c r="AV1283" s="18"/>
    </row>
    <row r="1284" spans="5:48" x14ac:dyDescent="0.2">
      <c r="E1284" s="1"/>
      <c r="F1284" s="1"/>
      <c r="G1284" s="1"/>
      <c r="H1284" s="1"/>
      <c r="I1284" s="1"/>
      <c r="J1284" s="1"/>
      <c r="K1284" s="1"/>
      <c r="L1284" s="1"/>
      <c r="M1284" s="1"/>
      <c r="AU1284" s="18"/>
      <c r="AV1284" s="18"/>
    </row>
    <row r="1285" spans="5:48" x14ac:dyDescent="0.2">
      <c r="E1285" s="1"/>
      <c r="F1285" s="1"/>
      <c r="G1285" s="1"/>
      <c r="H1285" s="1"/>
      <c r="I1285" s="1"/>
      <c r="J1285" s="1"/>
      <c r="K1285" s="1"/>
      <c r="L1285" s="1"/>
      <c r="M1285" s="1"/>
      <c r="AU1285" s="18"/>
      <c r="AV1285" s="18"/>
    </row>
    <row r="1286" spans="5:48" x14ac:dyDescent="0.2">
      <c r="E1286" s="1"/>
      <c r="F1286" s="1"/>
      <c r="G1286" s="1"/>
      <c r="H1286" s="1"/>
      <c r="I1286" s="1"/>
      <c r="J1286" s="1"/>
      <c r="K1286" s="1"/>
      <c r="L1286" s="1"/>
      <c r="M1286" s="1"/>
      <c r="AU1286" s="18"/>
      <c r="AV1286" s="18"/>
    </row>
    <row r="1287" spans="5:48" x14ac:dyDescent="0.2">
      <c r="E1287" s="1"/>
      <c r="F1287" s="1"/>
      <c r="G1287" s="1"/>
      <c r="H1287" s="1"/>
      <c r="I1287" s="1"/>
      <c r="J1287" s="1"/>
      <c r="K1287" s="1"/>
      <c r="L1287" s="1"/>
      <c r="M1287" s="1"/>
      <c r="AU1287" s="18"/>
      <c r="AV1287" s="18"/>
    </row>
    <row r="1288" spans="5:48" x14ac:dyDescent="0.2">
      <c r="E1288" s="1"/>
      <c r="F1288" s="1"/>
      <c r="G1288" s="1"/>
      <c r="H1288" s="1"/>
      <c r="I1288" s="1"/>
      <c r="J1288" s="1"/>
      <c r="K1288" s="1"/>
      <c r="L1288" s="1"/>
      <c r="M1288" s="1"/>
      <c r="AU1288" s="18"/>
      <c r="AV1288" s="18"/>
    </row>
    <row r="1289" spans="5:48" x14ac:dyDescent="0.2">
      <c r="E1289" s="1"/>
      <c r="F1289" s="1"/>
      <c r="G1289" s="1"/>
      <c r="H1289" s="1"/>
      <c r="I1289" s="1"/>
      <c r="J1289" s="1"/>
      <c r="K1289" s="1"/>
      <c r="L1289" s="1"/>
      <c r="M1289" s="1"/>
      <c r="AU1289" s="18"/>
      <c r="AV1289" s="18"/>
    </row>
    <row r="1290" spans="5:48" x14ac:dyDescent="0.2">
      <c r="E1290" s="1"/>
      <c r="F1290" s="1"/>
      <c r="G1290" s="1"/>
      <c r="H1290" s="1"/>
      <c r="I1290" s="1"/>
      <c r="J1290" s="1"/>
      <c r="K1290" s="1"/>
      <c r="L1290" s="1"/>
      <c r="M1290" s="1"/>
      <c r="AU1290" s="18"/>
      <c r="AV1290" s="18"/>
    </row>
    <row r="1291" spans="5:48" x14ac:dyDescent="0.2">
      <c r="E1291" s="1"/>
      <c r="F1291" s="1"/>
      <c r="G1291" s="1"/>
      <c r="H1291" s="1"/>
      <c r="I1291" s="1"/>
      <c r="J1291" s="1"/>
      <c r="K1291" s="1"/>
      <c r="L1291" s="1"/>
      <c r="M1291" s="1"/>
      <c r="AU1291" s="18"/>
      <c r="AV1291" s="18"/>
    </row>
    <row r="1292" spans="5:48" x14ac:dyDescent="0.2">
      <c r="E1292" s="1"/>
      <c r="F1292" s="1"/>
      <c r="G1292" s="1"/>
      <c r="H1292" s="1"/>
      <c r="I1292" s="1"/>
      <c r="J1292" s="1"/>
      <c r="K1292" s="1"/>
      <c r="L1292" s="1"/>
      <c r="M1292" s="1"/>
      <c r="AU1292" s="18"/>
      <c r="AV1292" s="18"/>
    </row>
    <row r="1293" spans="5:48" x14ac:dyDescent="0.2">
      <c r="E1293" s="1"/>
      <c r="F1293" s="1"/>
      <c r="G1293" s="1"/>
      <c r="H1293" s="1"/>
      <c r="I1293" s="1"/>
      <c r="J1293" s="1"/>
      <c r="K1293" s="1"/>
      <c r="L1293" s="1"/>
      <c r="M1293" s="1"/>
      <c r="AU1293" s="18"/>
      <c r="AV1293" s="18"/>
    </row>
    <row r="1294" spans="5:48" x14ac:dyDescent="0.2">
      <c r="E1294" s="1"/>
      <c r="F1294" s="1"/>
      <c r="G1294" s="1"/>
      <c r="H1294" s="1"/>
      <c r="I1294" s="1"/>
      <c r="J1294" s="1"/>
      <c r="K1294" s="1"/>
      <c r="L1294" s="1"/>
      <c r="M1294" s="1"/>
      <c r="AU1294" s="18"/>
      <c r="AV1294" s="18"/>
    </row>
    <row r="1295" spans="5:48" x14ac:dyDescent="0.2">
      <c r="E1295" s="1"/>
      <c r="F1295" s="1"/>
      <c r="G1295" s="1"/>
      <c r="H1295" s="1"/>
      <c r="I1295" s="1"/>
      <c r="J1295" s="1"/>
      <c r="K1295" s="1"/>
      <c r="L1295" s="1"/>
      <c r="M1295" s="1"/>
      <c r="AU1295" s="18"/>
      <c r="AV1295" s="18"/>
    </row>
    <row r="1296" spans="5:48" x14ac:dyDescent="0.2">
      <c r="E1296" s="1"/>
      <c r="F1296" s="1"/>
      <c r="G1296" s="1"/>
      <c r="H1296" s="1"/>
      <c r="I1296" s="1"/>
      <c r="J1296" s="1"/>
      <c r="K1296" s="1"/>
      <c r="L1296" s="1"/>
      <c r="M1296" s="1"/>
      <c r="AU1296" s="18"/>
      <c r="AV1296" s="18"/>
    </row>
    <row r="1297" spans="5:48" x14ac:dyDescent="0.2">
      <c r="E1297" s="1"/>
      <c r="F1297" s="1"/>
      <c r="G1297" s="1"/>
      <c r="H1297" s="1"/>
      <c r="I1297" s="1"/>
      <c r="J1297" s="1"/>
      <c r="K1297" s="1"/>
      <c r="L1297" s="1"/>
      <c r="M1297" s="1"/>
      <c r="AU1297" s="18"/>
      <c r="AV1297" s="18"/>
    </row>
    <row r="1298" spans="5:48" x14ac:dyDescent="0.2">
      <c r="E1298" s="1"/>
      <c r="F1298" s="1"/>
      <c r="G1298" s="1"/>
      <c r="H1298" s="1"/>
      <c r="I1298" s="1"/>
      <c r="J1298" s="1"/>
      <c r="K1298" s="1"/>
      <c r="L1298" s="1"/>
      <c r="M1298" s="1"/>
      <c r="AU1298" s="18"/>
      <c r="AV1298" s="18"/>
    </row>
    <row r="1299" spans="5:48" x14ac:dyDescent="0.2">
      <c r="E1299" s="1"/>
      <c r="F1299" s="1"/>
      <c r="G1299" s="1"/>
      <c r="H1299" s="1"/>
      <c r="I1299" s="1"/>
      <c r="J1299" s="1"/>
      <c r="K1299" s="1"/>
      <c r="L1299" s="1"/>
      <c r="M1299" s="1"/>
      <c r="AU1299" s="18"/>
      <c r="AV1299" s="18"/>
    </row>
    <row r="1300" spans="5:48" x14ac:dyDescent="0.2">
      <c r="E1300" s="1"/>
      <c r="F1300" s="1"/>
      <c r="G1300" s="1"/>
      <c r="H1300" s="1"/>
      <c r="I1300" s="1"/>
      <c r="J1300" s="1"/>
      <c r="K1300" s="1"/>
      <c r="L1300" s="1"/>
      <c r="M1300" s="1"/>
      <c r="AU1300" s="18"/>
      <c r="AV1300" s="18"/>
    </row>
    <row r="1301" spans="5:48" x14ac:dyDescent="0.2">
      <c r="E1301" s="1"/>
      <c r="F1301" s="1"/>
      <c r="G1301" s="1"/>
      <c r="H1301" s="1"/>
      <c r="I1301" s="1"/>
      <c r="J1301" s="1"/>
      <c r="K1301" s="1"/>
      <c r="L1301" s="1"/>
      <c r="M1301" s="1"/>
      <c r="AU1301" s="18"/>
      <c r="AV1301" s="18"/>
    </row>
    <row r="1302" spans="5:48" x14ac:dyDescent="0.2">
      <c r="E1302" s="1"/>
      <c r="F1302" s="1"/>
      <c r="G1302" s="1"/>
      <c r="H1302" s="1"/>
      <c r="I1302" s="1"/>
      <c r="J1302" s="1"/>
      <c r="K1302" s="1"/>
      <c r="L1302" s="1"/>
      <c r="M1302" s="1"/>
      <c r="AU1302" s="18"/>
      <c r="AV1302" s="18"/>
    </row>
    <row r="1303" spans="5:48" x14ac:dyDescent="0.2">
      <c r="E1303" s="1"/>
      <c r="F1303" s="1"/>
      <c r="G1303" s="1"/>
      <c r="H1303" s="1"/>
      <c r="I1303" s="1"/>
      <c r="J1303" s="1"/>
      <c r="K1303" s="1"/>
      <c r="L1303" s="1"/>
      <c r="M1303" s="1"/>
      <c r="AU1303" s="18"/>
      <c r="AV1303" s="18"/>
    </row>
    <row r="1304" spans="5:48" x14ac:dyDescent="0.2">
      <c r="E1304" s="1"/>
      <c r="F1304" s="1"/>
      <c r="G1304" s="1"/>
      <c r="H1304" s="1"/>
      <c r="I1304" s="1"/>
      <c r="J1304" s="1"/>
      <c r="K1304" s="1"/>
      <c r="L1304" s="1"/>
      <c r="M1304" s="1"/>
      <c r="AU1304" s="18"/>
      <c r="AV1304" s="18"/>
    </row>
    <row r="1305" spans="5:48" x14ac:dyDescent="0.2">
      <c r="E1305" s="1"/>
      <c r="F1305" s="1"/>
      <c r="G1305" s="1"/>
      <c r="H1305" s="1"/>
      <c r="I1305" s="1"/>
      <c r="J1305" s="1"/>
      <c r="K1305" s="1"/>
      <c r="L1305" s="1"/>
      <c r="M1305" s="1"/>
      <c r="AU1305" s="18"/>
      <c r="AV1305" s="18"/>
    </row>
    <row r="1306" spans="5:48" x14ac:dyDescent="0.2">
      <c r="E1306" s="1"/>
      <c r="F1306" s="1"/>
      <c r="G1306" s="1"/>
      <c r="H1306" s="1"/>
      <c r="I1306" s="1"/>
      <c r="J1306" s="1"/>
      <c r="K1306" s="1"/>
      <c r="L1306" s="1"/>
      <c r="M1306" s="1"/>
      <c r="AU1306" s="18"/>
      <c r="AV1306" s="18"/>
    </row>
    <row r="1307" spans="5:48" x14ac:dyDescent="0.2">
      <c r="E1307" s="1"/>
      <c r="F1307" s="1"/>
      <c r="G1307" s="1"/>
      <c r="H1307" s="1"/>
      <c r="I1307" s="1"/>
      <c r="J1307" s="1"/>
      <c r="K1307" s="1"/>
      <c r="L1307" s="1"/>
      <c r="M1307" s="1"/>
      <c r="AU1307" s="18"/>
      <c r="AV1307" s="18"/>
    </row>
    <row r="1308" spans="5:48" x14ac:dyDescent="0.2">
      <c r="E1308" s="1"/>
      <c r="F1308" s="1"/>
      <c r="G1308" s="1"/>
      <c r="H1308" s="1"/>
      <c r="I1308" s="1"/>
      <c r="J1308" s="1"/>
      <c r="K1308" s="1"/>
      <c r="L1308" s="1"/>
      <c r="M1308" s="1"/>
      <c r="AU1308" s="18"/>
      <c r="AV1308" s="18"/>
    </row>
    <row r="1309" spans="5:48" x14ac:dyDescent="0.2">
      <c r="E1309" s="1"/>
      <c r="F1309" s="1"/>
      <c r="G1309" s="1"/>
      <c r="H1309" s="1"/>
      <c r="I1309" s="1"/>
      <c r="J1309" s="1"/>
      <c r="K1309" s="1"/>
      <c r="L1309" s="1"/>
      <c r="M1309" s="1"/>
      <c r="AU1309" s="18"/>
      <c r="AV1309" s="18"/>
    </row>
    <row r="1310" spans="5:48" x14ac:dyDescent="0.2">
      <c r="E1310" s="1"/>
      <c r="F1310" s="1"/>
      <c r="G1310" s="1"/>
      <c r="H1310" s="1"/>
      <c r="I1310" s="1"/>
      <c r="J1310" s="1"/>
      <c r="K1310" s="1"/>
      <c r="L1310" s="1"/>
      <c r="M1310" s="1"/>
      <c r="AU1310" s="18"/>
      <c r="AV1310" s="18"/>
    </row>
    <row r="1311" spans="5:48" x14ac:dyDescent="0.2">
      <c r="E1311" s="1"/>
      <c r="F1311" s="1"/>
      <c r="G1311" s="1"/>
      <c r="H1311" s="1"/>
      <c r="I1311" s="1"/>
      <c r="J1311" s="1"/>
      <c r="K1311" s="1"/>
      <c r="L1311" s="1"/>
      <c r="M1311" s="1"/>
      <c r="AU1311" s="18"/>
      <c r="AV1311" s="18"/>
    </row>
    <row r="1312" spans="5:48" x14ac:dyDescent="0.2">
      <c r="E1312" s="1"/>
      <c r="F1312" s="1"/>
      <c r="G1312" s="1"/>
      <c r="H1312" s="1"/>
      <c r="I1312" s="1"/>
      <c r="J1312" s="1"/>
      <c r="K1312" s="1"/>
      <c r="L1312" s="1"/>
      <c r="M1312" s="1"/>
      <c r="AU1312" s="18"/>
      <c r="AV1312" s="18"/>
    </row>
    <row r="1313" spans="5:48" x14ac:dyDescent="0.2">
      <c r="E1313" s="1"/>
      <c r="F1313" s="1"/>
      <c r="G1313" s="1"/>
      <c r="H1313" s="1"/>
      <c r="I1313" s="1"/>
      <c r="J1313" s="1"/>
      <c r="K1313" s="1"/>
      <c r="L1313" s="1"/>
      <c r="M1313" s="1"/>
      <c r="AU1313" s="18"/>
      <c r="AV1313" s="18"/>
    </row>
    <row r="1314" spans="5:48" x14ac:dyDescent="0.2">
      <c r="E1314" s="1"/>
      <c r="F1314" s="1"/>
      <c r="G1314" s="1"/>
      <c r="H1314" s="1"/>
      <c r="I1314" s="1"/>
      <c r="J1314" s="1"/>
      <c r="K1314" s="1"/>
      <c r="L1314" s="1"/>
      <c r="M1314" s="1"/>
      <c r="AU1314" s="18"/>
      <c r="AV1314" s="18"/>
    </row>
    <row r="1315" spans="5:48" x14ac:dyDescent="0.2">
      <c r="E1315" s="1"/>
      <c r="F1315" s="1"/>
      <c r="G1315" s="1"/>
      <c r="H1315" s="1"/>
      <c r="I1315" s="1"/>
      <c r="J1315" s="1"/>
      <c r="K1315" s="1"/>
      <c r="L1315" s="1"/>
      <c r="M1315" s="1"/>
      <c r="AU1315" s="18"/>
      <c r="AV1315" s="18"/>
    </row>
    <row r="1316" spans="5:48" x14ac:dyDescent="0.2">
      <c r="E1316" s="1"/>
      <c r="F1316" s="1"/>
      <c r="G1316" s="1"/>
      <c r="H1316" s="1"/>
      <c r="I1316" s="1"/>
      <c r="J1316" s="1"/>
      <c r="K1316" s="1"/>
      <c r="L1316" s="1"/>
      <c r="M1316" s="1"/>
      <c r="AU1316" s="18"/>
      <c r="AV1316" s="18"/>
    </row>
    <row r="1317" spans="5:48" x14ac:dyDescent="0.2">
      <c r="E1317" s="1"/>
      <c r="F1317" s="1"/>
      <c r="G1317" s="1"/>
      <c r="H1317" s="1"/>
      <c r="I1317" s="1"/>
      <c r="J1317" s="1"/>
      <c r="K1317" s="1"/>
      <c r="L1317" s="1"/>
      <c r="M1317" s="1"/>
      <c r="AU1317" s="18"/>
      <c r="AV1317" s="18"/>
    </row>
    <row r="1318" spans="5:48" x14ac:dyDescent="0.2">
      <c r="E1318" s="1"/>
      <c r="F1318" s="1"/>
      <c r="G1318" s="1"/>
      <c r="H1318" s="1"/>
      <c r="I1318" s="1"/>
      <c r="J1318" s="1"/>
      <c r="K1318" s="1"/>
      <c r="L1318" s="1"/>
      <c r="M1318" s="1"/>
      <c r="AU1318" s="18"/>
      <c r="AV1318" s="18"/>
    </row>
    <row r="1319" spans="5:48" x14ac:dyDescent="0.2">
      <c r="E1319" s="1"/>
      <c r="F1319" s="1"/>
      <c r="G1319" s="1"/>
      <c r="H1319" s="1"/>
      <c r="I1319" s="1"/>
      <c r="J1319" s="1"/>
      <c r="K1319" s="1"/>
      <c r="L1319" s="1"/>
      <c r="M1319" s="1"/>
      <c r="AU1319" s="18"/>
      <c r="AV1319" s="18"/>
    </row>
    <row r="1320" spans="5:48" x14ac:dyDescent="0.2">
      <c r="E1320" s="1"/>
      <c r="F1320" s="1"/>
      <c r="G1320" s="1"/>
      <c r="H1320" s="1"/>
      <c r="I1320" s="1"/>
      <c r="J1320" s="1"/>
      <c r="K1320" s="1"/>
      <c r="L1320" s="1"/>
      <c r="M1320" s="1"/>
      <c r="AU1320" s="18"/>
      <c r="AV1320" s="18"/>
    </row>
    <row r="1321" spans="5:48" x14ac:dyDescent="0.2">
      <c r="E1321" s="1"/>
      <c r="F1321" s="1"/>
      <c r="G1321" s="1"/>
      <c r="H1321" s="1"/>
      <c r="I1321" s="1"/>
      <c r="J1321" s="1"/>
      <c r="K1321" s="1"/>
      <c r="L1321" s="1"/>
      <c r="M1321" s="1"/>
      <c r="AU1321" s="18"/>
      <c r="AV1321" s="18"/>
    </row>
    <row r="1322" spans="5:48" x14ac:dyDescent="0.2">
      <c r="E1322" s="1"/>
      <c r="F1322" s="1"/>
      <c r="G1322" s="1"/>
      <c r="H1322" s="1"/>
      <c r="I1322" s="1"/>
      <c r="J1322" s="1"/>
      <c r="K1322" s="1"/>
      <c r="L1322" s="1"/>
      <c r="M1322" s="1"/>
      <c r="AU1322" s="18"/>
      <c r="AV1322" s="18"/>
    </row>
    <row r="1323" spans="5:48" x14ac:dyDescent="0.2">
      <c r="E1323" s="1"/>
      <c r="F1323" s="1"/>
      <c r="G1323" s="1"/>
      <c r="H1323" s="1"/>
      <c r="I1323" s="1"/>
      <c r="J1323" s="1"/>
      <c r="K1323" s="1"/>
      <c r="L1323" s="1"/>
      <c r="M1323" s="1"/>
      <c r="AU1323" s="18"/>
      <c r="AV1323" s="18"/>
    </row>
    <row r="1324" spans="5:48" x14ac:dyDescent="0.2">
      <c r="E1324" s="1"/>
      <c r="F1324" s="1"/>
      <c r="G1324" s="1"/>
      <c r="H1324" s="1"/>
      <c r="I1324" s="1"/>
      <c r="J1324" s="1"/>
      <c r="K1324" s="1"/>
      <c r="L1324" s="1"/>
      <c r="M1324" s="1"/>
      <c r="AU1324" s="18"/>
      <c r="AV1324" s="18"/>
    </row>
    <row r="1325" spans="5:48" x14ac:dyDescent="0.2">
      <c r="E1325" s="1"/>
      <c r="F1325" s="1"/>
      <c r="G1325" s="1"/>
      <c r="H1325" s="1"/>
      <c r="I1325" s="1"/>
      <c r="J1325" s="1"/>
      <c r="K1325" s="1"/>
      <c r="L1325" s="1"/>
      <c r="M1325" s="1"/>
      <c r="AU1325" s="18"/>
      <c r="AV1325" s="18"/>
    </row>
    <row r="1326" spans="5:48" x14ac:dyDescent="0.2">
      <c r="E1326" s="1"/>
      <c r="F1326" s="1"/>
      <c r="G1326" s="1"/>
      <c r="H1326" s="1"/>
      <c r="I1326" s="1"/>
      <c r="J1326" s="1"/>
      <c r="K1326" s="1"/>
      <c r="L1326" s="1"/>
      <c r="M1326" s="1"/>
      <c r="AU1326" s="18"/>
      <c r="AV1326" s="18"/>
    </row>
    <row r="1327" spans="5:48" x14ac:dyDescent="0.2">
      <c r="E1327" s="1"/>
      <c r="F1327" s="1"/>
      <c r="G1327" s="1"/>
      <c r="H1327" s="1"/>
      <c r="I1327" s="1"/>
      <c r="J1327" s="1"/>
      <c r="K1327" s="1"/>
      <c r="L1327" s="1"/>
      <c r="M1327" s="1"/>
      <c r="AU1327" s="18"/>
      <c r="AV1327" s="18"/>
    </row>
    <row r="1328" spans="5:48" x14ac:dyDescent="0.2">
      <c r="E1328" s="1"/>
      <c r="F1328" s="1"/>
      <c r="G1328" s="1"/>
      <c r="H1328" s="1"/>
      <c r="I1328" s="1"/>
      <c r="J1328" s="1"/>
      <c r="K1328" s="1"/>
      <c r="L1328" s="1"/>
      <c r="M1328" s="1"/>
      <c r="AU1328" s="18"/>
      <c r="AV1328" s="18"/>
    </row>
    <row r="1329" spans="5:48" x14ac:dyDescent="0.2">
      <c r="E1329" s="1"/>
      <c r="F1329" s="1"/>
      <c r="G1329" s="1"/>
      <c r="H1329" s="1"/>
      <c r="I1329" s="1"/>
      <c r="J1329" s="1"/>
      <c r="K1329" s="1"/>
      <c r="L1329" s="1"/>
      <c r="M1329" s="1"/>
      <c r="AU1329" s="18"/>
      <c r="AV1329" s="18"/>
    </row>
    <row r="1330" spans="5:48" x14ac:dyDescent="0.2">
      <c r="E1330" s="1"/>
      <c r="F1330" s="1"/>
      <c r="G1330" s="1"/>
      <c r="H1330" s="1"/>
      <c r="I1330" s="1"/>
      <c r="J1330" s="1"/>
      <c r="K1330" s="1"/>
      <c r="L1330" s="1"/>
      <c r="M1330" s="1"/>
      <c r="AU1330" s="18"/>
      <c r="AV1330" s="18"/>
    </row>
    <row r="1331" spans="5:48" x14ac:dyDescent="0.2">
      <c r="E1331" s="1"/>
      <c r="F1331" s="1"/>
      <c r="G1331" s="1"/>
      <c r="H1331" s="1"/>
      <c r="I1331" s="1"/>
      <c r="J1331" s="1"/>
      <c r="K1331" s="1"/>
      <c r="L1331" s="1"/>
      <c r="M1331" s="1"/>
      <c r="AU1331" s="18"/>
      <c r="AV1331" s="18"/>
    </row>
    <row r="1332" spans="5:48" x14ac:dyDescent="0.2">
      <c r="E1332" s="1"/>
      <c r="F1332" s="1"/>
      <c r="G1332" s="1"/>
      <c r="H1332" s="1"/>
      <c r="I1332" s="1"/>
      <c r="J1332" s="1"/>
      <c r="K1332" s="1"/>
      <c r="L1332" s="1"/>
      <c r="M1332" s="1"/>
      <c r="AU1332" s="18"/>
      <c r="AV1332" s="18"/>
    </row>
    <row r="1333" spans="5:48" x14ac:dyDescent="0.2">
      <c r="E1333" s="1"/>
      <c r="F1333" s="1"/>
      <c r="G1333" s="1"/>
      <c r="H1333" s="1"/>
      <c r="I1333" s="1"/>
      <c r="J1333" s="1"/>
      <c r="K1333" s="1"/>
      <c r="L1333" s="1"/>
      <c r="M1333" s="1"/>
      <c r="AU1333" s="18"/>
      <c r="AV1333" s="18"/>
    </row>
    <row r="1334" spans="5:48" x14ac:dyDescent="0.2">
      <c r="E1334" s="1"/>
      <c r="F1334" s="1"/>
      <c r="G1334" s="1"/>
      <c r="H1334" s="1"/>
      <c r="I1334" s="1"/>
      <c r="J1334" s="1"/>
      <c r="K1334" s="1"/>
      <c r="L1334" s="1"/>
      <c r="M1334" s="1"/>
      <c r="AU1334" s="18"/>
      <c r="AV1334" s="18"/>
    </row>
    <row r="1335" spans="5:48" x14ac:dyDescent="0.2">
      <c r="E1335" s="1"/>
      <c r="F1335" s="1"/>
      <c r="G1335" s="1"/>
      <c r="H1335" s="1"/>
      <c r="I1335" s="1"/>
      <c r="J1335" s="1"/>
      <c r="K1335" s="1"/>
      <c r="L1335" s="1"/>
      <c r="M1335" s="1"/>
      <c r="AU1335" s="18"/>
      <c r="AV1335" s="18"/>
    </row>
    <row r="1336" spans="5:48" x14ac:dyDescent="0.2">
      <c r="E1336" s="1"/>
      <c r="F1336" s="1"/>
      <c r="G1336" s="1"/>
      <c r="H1336" s="1"/>
      <c r="I1336" s="1"/>
      <c r="J1336" s="1"/>
      <c r="K1336" s="1"/>
      <c r="L1336" s="1"/>
      <c r="M1336" s="1"/>
      <c r="AU1336" s="18"/>
      <c r="AV1336" s="18"/>
    </row>
    <row r="1337" spans="5:48" x14ac:dyDescent="0.2">
      <c r="E1337" s="1"/>
      <c r="F1337" s="1"/>
      <c r="G1337" s="1"/>
      <c r="H1337" s="1"/>
      <c r="I1337" s="1"/>
      <c r="J1337" s="1"/>
      <c r="K1337" s="1"/>
      <c r="L1337" s="1"/>
      <c r="M1337" s="1"/>
      <c r="AU1337" s="18"/>
      <c r="AV1337" s="18"/>
    </row>
    <row r="1338" spans="5:48" x14ac:dyDescent="0.2">
      <c r="E1338" s="1"/>
      <c r="F1338" s="1"/>
      <c r="G1338" s="1"/>
      <c r="H1338" s="1"/>
      <c r="I1338" s="1"/>
      <c r="J1338" s="1"/>
      <c r="K1338" s="1"/>
      <c r="L1338" s="1"/>
      <c r="M1338" s="1"/>
      <c r="AU1338" s="18"/>
      <c r="AV1338" s="18"/>
    </row>
    <row r="1339" spans="5:48" x14ac:dyDescent="0.2">
      <c r="E1339" s="1"/>
      <c r="F1339" s="1"/>
      <c r="G1339" s="1"/>
      <c r="H1339" s="1"/>
      <c r="I1339" s="1"/>
      <c r="J1339" s="1"/>
      <c r="K1339" s="1"/>
      <c r="L1339" s="1"/>
      <c r="M1339" s="1"/>
      <c r="AU1339" s="18"/>
      <c r="AV1339" s="18"/>
    </row>
    <row r="1340" spans="5:48" x14ac:dyDescent="0.2">
      <c r="E1340" s="1"/>
      <c r="F1340" s="1"/>
      <c r="G1340" s="1"/>
      <c r="H1340" s="1"/>
      <c r="I1340" s="1"/>
      <c r="J1340" s="1"/>
      <c r="K1340" s="1"/>
      <c r="L1340" s="1"/>
      <c r="M1340" s="1"/>
      <c r="AU1340" s="18"/>
      <c r="AV1340" s="18"/>
    </row>
  </sheetData>
  <sheetProtection selectLockedCells="1" selectUnlockedCells="1"/>
  <mergeCells count="59">
    <mergeCell ref="AN24:AR25"/>
    <mergeCell ref="A6:C6"/>
    <mergeCell ref="F1:G1"/>
    <mergeCell ref="A3:C3"/>
    <mergeCell ref="D3:F3"/>
    <mergeCell ref="A5:C5"/>
    <mergeCell ref="D5:F5"/>
    <mergeCell ref="V7:AB7"/>
    <mergeCell ref="Y9:Z9"/>
    <mergeCell ref="AA9:AB9"/>
    <mergeCell ref="AC28:AD28"/>
    <mergeCell ref="AE28:AF28"/>
    <mergeCell ref="AG28:AH28"/>
    <mergeCell ref="AE31:AF31"/>
    <mergeCell ref="AA29:AB29"/>
    <mergeCell ref="AI29:AJ29"/>
    <mergeCell ref="AE29:AF29"/>
    <mergeCell ref="AG29:AH29"/>
    <mergeCell ref="AI31:AJ31"/>
    <mergeCell ref="V18:Y18"/>
    <mergeCell ref="U28:V28"/>
    <mergeCell ref="W28:X28"/>
    <mergeCell ref="Y28:Z28"/>
    <mergeCell ref="AA28:AB28"/>
    <mergeCell ref="AI28:AJ28"/>
    <mergeCell ref="AC29:AD29"/>
    <mergeCell ref="U29:V29"/>
    <mergeCell ref="W29:X29"/>
    <mergeCell ref="Y29:Z29"/>
    <mergeCell ref="AG31:AH31"/>
    <mergeCell ref="U31:V31"/>
    <mergeCell ref="W31:X31"/>
    <mergeCell ref="Y31:Z31"/>
    <mergeCell ref="AA31:AB31"/>
    <mergeCell ref="AC31:AD31"/>
    <mergeCell ref="A34:B34"/>
    <mergeCell ref="O35:O36"/>
    <mergeCell ref="Y32:Z32"/>
    <mergeCell ref="AA32:AB32"/>
    <mergeCell ref="U32:V32"/>
    <mergeCell ref="A35:B35"/>
    <mergeCell ref="C35:C36"/>
    <mergeCell ref="D35:H35"/>
    <mergeCell ref="I35:I36"/>
    <mergeCell ref="J35:M35"/>
    <mergeCell ref="N35:N36"/>
    <mergeCell ref="AG32:AH32"/>
    <mergeCell ref="AI32:AJ32"/>
    <mergeCell ref="W32:X32"/>
    <mergeCell ref="AC32:AD32"/>
    <mergeCell ref="AG35:AJ35"/>
    <mergeCell ref="AE32:AF32"/>
    <mergeCell ref="AQ35:AU35"/>
    <mergeCell ref="P35:P36"/>
    <mergeCell ref="Q35:T35"/>
    <mergeCell ref="U35:X35"/>
    <mergeCell ref="Y35:AB35"/>
    <mergeCell ref="AC35:AF35"/>
    <mergeCell ref="AL35:AO35"/>
  </mergeCells>
  <phoneticPr fontId="51" type="noConversion"/>
  <conditionalFormatting sqref="D39:G218 D221:G400">
    <cfRule type="cellIs" dxfId="2" priority="3" stopIfTrue="1" operator="equal">
      <formula>$H39</formula>
    </cfRule>
  </conditionalFormatting>
  <conditionalFormatting sqref="A39:A218 A221:A400">
    <cfRule type="expression" dxfId="1" priority="1" stopIfTrue="1">
      <formula>$N39=$AE$15</formula>
    </cfRule>
    <cfRule type="expression" dxfId="0" priority="2" stopIfTrue="1">
      <formula>$N39&lt;$AE$15</formula>
    </cfRule>
  </conditionalFormatting>
  <dataValidations count="1">
    <dataValidation type="list" allowBlank="1" showInputMessage="1" showErrorMessage="1" sqref="W19" xr:uid="{00000000-0002-0000-0800-000000000000}">
      <formula1>"Ja, Nein"</formula1>
    </dataValidation>
  </dataValidations>
  <pageMargins left="0.75" right="0.75" top="1" bottom="1" header="0.4921259845" footer="0.4921259845"/>
  <pageSetup paperSize="8" scale="40" orientation="landscape"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6908255643061041AA2366F32B1B7CCD" ma:contentTypeVersion="16" ma:contentTypeDescription="Ein neues Dokument erstellen." ma:contentTypeScope="" ma:versionID="df86adc9ab3ec396637f40b98111904c">
  <xsd:schema xmlns:xsd="http://www.w3.org/2001/XMLSchema" xmlns:xs="http://www.w3.org/2001/XMLSchema" xmlns:p="http://schemas.microsoft.com/office/2006/metadata/properties" xmlns:ns2="9e196e53-2d54-4f99-b556-dd635cf36e38" xmlns:ns3="19135a37-d5bb-40b8-a0f5-0a2674cb5171" targetNamespace="http://schemas.microsoft.com/office/2006/metadata/properties" ma:root="true" ma:fieldsID="0bf8d27a678a5ccfaa0fa4a08cb9f94a" ns2:_="" ns3:_="">
    <xsd:import namespace="9e196e53-2d54-4f99-b556-dd635cf36e38"/>
    <xsd:import namespace="19135a37-d5bb-40b8-a0f5-0a2674cb517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e196e53-2d54-4f99-b556-dd635cf36e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Bildmarkierungen" ma:readOnly="false" ma:fieldId="{5cf76f15-5ced-4ddc-b409-7134ff3c332f}" ma:taxonomyMulti="true" ma:sspId="3eb30f31-3609-4ee2-b958-f04e63c38d45"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9135a37-d5bb-40b8-a0f5-0a2674cb5171"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element name="TaxCatchAll" ma:index="21" nillable="true" ma:displayName="Taxonomy Catch All Column" ma:hidden="true" ma:list="{db587724-8206-4686-8c0f-46c9d4935fcc}" ma:internalName="TaxCatchAll" ma:showField="CatchAllData" ma:web="19135a37-d5bb-40b8-a0f5-0a2674cb517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e196e53-2d54-4f99-b556-dd635cf36e38">
      <Terms xmlns="http://schemas.microsoft.com/office/infopath/2007/PartnerControls"/>
    </lcf76f155ced4ddcb4097134ff3c332f>
    <TaxCatchAll xmlns="19135a37-d5bb-40b8-a0f5-0a2674cb517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A8E1347-0DE7-45F2-A620-5F8351438C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e196e53-2d54-4f99-b556-dd635cf36e38"/>
    <ds:schemaRef ds:uri="19135a37-d5bb-40b8-a0f5-0a2674cb51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AE9848-1E00-4162-A05F-6020B89F5078}">
  <ds:schemaRefs>
    <ds:schemaRef ds:uri="http://schemas.microsoft.com/office/2006/metadata/properties"/>
    <ds:schemaRef ds:uri="http://schemas.microsoft.com/office/infopath/2007/PartnerControls"/>
    <ds:schemaRef ds:uri="9e196e53-2d54-4f99-b556-dd635cf36e38"/>
    <ds:schemaRef ds:uri="19135a37-d5bb-40b8-a0f5-0a2674cb5171"/>
  </ds:schemaRefs>
</ds:datastoreItem>
</file>

<file path=customXml/itemProps3.xml><?xml version="1.0" encoding="utf-8"?>
<ds:datastoreItem xmlns:ds="http://schemas.openxmlformats.org/officeDocument/2006/customXml" ds:itemID="{F8578FF0-54BD-4978-86F2-18967F0575B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223</vt:i4>
      </vt:variant>
    </vt:vector>
  </HeadingPairs>
  <TitlesOfParts>
    <vt:vector size="232" baseType="lpstr">
      <vt:lpstr>Eingabewerte</vt:lpstr>
      <vt:lpstr>Geraetedaten</vt:lpstr>
      <vt:lpstr>LMB-Parameter</vt:lpstr>
      <vt:lpstr>Gewichtsbilanz</vt:lpstr>
      <vt:lpstr>Standversuch</vt:lpstr>
      <vt:lpstr>Reichweite_BREIT</vt:lpstr>
      <vt:lpstr>Reichweite_SCHMAL</vt:lpstr>
      <vt:lpstr>Reichweite_BRSC</vt:lpstr>
      <vt:lpstr>Reichweite_50%</vt:lpstr>
      <vt:lpstr>'Reichweite_50%'!_C</vt:lpstr>
      <vt:lpstr>Reichweite_BREIT!_C</vt:lpstr>
      <vt:lpstr>Reichweite_BRSC!_C</vt:lpstr>
      <vt:lpstr>Reichweite_SCHMAL!_C</vt:lpstr>
      <vt:lpstr>'Reichweite_50%'!_r1_Sw</vt:lpstr>
      <vt:lpstr>Reichweite_BRSC!_r1_Sw</vt:lpstr>
      <vt:lpstr>Reichweite_SCHMAL!_r1_Sw</vt:lpstr>
      <vt:lpstr>_r1_Sw</vt:lpstr>
      <vt:lpstr>'Reichweite_50%'!_r2_Sw</vt:lpstr>
      <vt:lpstr>Reichweite_BRSC!_r2_Sw</vt:lpstr>
      <vt:lpstr>Reichweite_SCHMAL!_r2_Sw</vt:lpstr>
      <vt:lpstr>_r2_Sw</vt:lpstr>
      <vt:lpstr>'Reichweite_50%'!AB</vt:lpstr>
      <vt:lpstr>Reichweite_BREIT!AB</vt:lpstr>
      <vt:lpstr>Reichweite_BRSC!AB</vt:lpstr>
      <vt:lpstr>Reichweite_SCHMAL!AB</vt:lpstr>
      <vt:lpstr>Auftragsnummer</vt:lpstr>
      <vt:lpstr>'Reichweite_50%'!B</vt:lpstr>
      <vt:lpstr>Reichweite_BREIT!B</vt:lpstr>
      <vt:lpstr>Reichweite_BRSC!B</vt:lpstr>
      <vt:lpstr>Reichweite_SCHMAL!B</vt:lpstr>
      <vt:lpstr>B</vt:lpstr>
      <vt:lpstr>'Reichweite_50%'!BC</vt:lpstr>
      <vt:lpstr>Reichweite_BREIT!BC</vt:lpstr>
      <vt:lpstr>Reichweite_BRSC!BC</vt:lpstr>
      <vt:lpstr>Reichweite_SCHMAL!BC</vt:lpstr>
      <vt:lpstr>'Reichweite_50%'!CD</vt:lpstr>
      <vt:lpstr>Reichweite_BREIT!CD</vt:lpstr>
      <vt:lpstr>Reichweite_BRSC!CD</vt:lpstr>
      <vt:lpstr>Reichweite_SCHMAL!CD</vt:lpstr>
      <vt:lpstr>'Reichweite_50%'!Const</vt:lpstr>
      <vt:lpstr>Reichweite_BREIT!Const</vt:lpstr>
      <vt:lpstr>Reichweite_BRSC!Const</vt:lpstr>
      <vt:lpstr>Reichweite_SCHMAL!Const</vt:lpstr>
      <vt:lpstr>Const</vt:lpstr>
      <vt:lpstr>'Reichweite_50%'!Const_2</vt:lpstr>
      <vt:lpstr>Reichweite_BREIT!Const_2</vt:lpstr>
      <vt:lpstr>Reichweite_BRSC!Const_2</vt:lpstr>
      <vt:lpstr>Reichweite_SCHMAL!Const_2</vt:lpstr>
      <vt:lpstr>Const_2</vt:lpstr>
      <vt:lpstr>'Reichweite_50%'!D</vt:lpstr>
      <vt:lpstr>Reichweite_BREIT!D</vt:lpstr>
      <vt:lpstr>Reichweite_BRSC!D</vt:lpstr>
      <vt:lpstr>Reichweite_SCHMAL!D</vt:lpstr>
      <vt:lpstr>D</vt:lpstr>
      <vt:lpstr>'Reichweite_50%'!d_y_Sw</vt:lpstr>
      <vt:lpstr>Reichweite_BRSC!d_y_Sw</vt:lpstr>
      <vt:lpstr>Reichweite_SCHMAL!d_y_Sw</vt:lpstr>
      <vt:lpstr>d_y_Sw</vt:lpstr>
      <vt:lpstr>'Reichweite_50%'!DA</vt:lpstr>
      <vt:lpstr>Reichweite_BREIT!DA</vt:lpstr>
      <vt:lpstr>Reichweite_BRSC!DA</vt:lpstr>
      <vt:lpstr>Reichweite_SCHMAL!DA</vt:lpstr>
      <vt:lpstr>Eingabewerte!Druckbereich</vt:lpstr>
      <vt:lpstr>'LMB-Parameter'!Druckbereich</vt:lpstr>
      <vt:lpstr>Standversuch!Druckbereich</vt:lpstr>
      <vt:lpstr>Standversuch!Drucktitel</vt:lpstr>
      <vt:lpstr>'Reichweite_50%'!F_G</vt:lpstr>
      <vt:lpstr>Reichweite_BREIT!F_G</vt:lpstr>
      <vt:lpstr>Reichweite_BRSC!F_G</vt:lpstr>
      <vt:lpstr>Reichweite_SCHMAL!F_G</vt:lpstr>
      <vt:lpstr>F_G</vt:lpstr>
      <vt:lpstr>'Reichweite_50%'!F_S</vt:lpstr>
      <vt:lpstr>Reichweite_BREIT!F_S</vt:lpstr>
      <vt:lpstr>Reichweite_BRSC!F_S</vt:lpstr>
      <vt:lpstr>Reichweite_SCHMAL!F_S</vt:lpstr>
      <vt:lpstr>F_S</vt:lpstr>
      <vt:lpstr>'Reichweite_50%'!F_SSw</vt:lpstr>
      <vt:lpstr>Reichweite_BRSC!F_SSw</vt:lpstr>
      <vt:lpstr>Reichweite_SCHMAL!F_SSw</vt:lpstr>
      <vt:lpstr>F_SSw</vt:lpstr>
      <vt:lpstr>'Reichweite_50%'!G</vt:lpstr>
      <vt:lpstr>Reichweite_BREIT!G</vt:lpstr>
      <vt:lpstr>Reichweite_BRSC!G</vt:lpstr>
      <vt:lpstr>Reichweite_SCHMAL!G</vt:lpstr>
      <vt:lpstr>G</vt:lpstr>
      <vt:lpstr>'Reichweite_50%'!g_H</vt:lpstr>
      <vt:lpstr>Reichweite_BRSC!g_H</vt:lpstr>
      <vt:lpstr>Reichweite_SCHMAL!g_H</vt:lpstr>
      <vt:lpstr>g_H</vt:lpstr>
      <vt:lpstr>'Reichweite_50%'!g_L</vt:lpstr>
      <vt:lpstr>Reichweite_BRSC!g_L</vt:lpstr>
      <vt:lpstr>Reichweite_SCHMAL!g_L</vt:lpstr>
      <vt:lpstr>g_L</vt:lpstr>
      <vt:lpstr>'Reichweite_50%'!g_R</vt:lpstr>
      <vt:lpstr>Reichweite_BRSC!g_R</vt:lpstr>
      <vt:lpstr>Reichweite_SCHMAL!g_R</vt:lpstr>
      <vt:lpstr>g_R</vt:lpstr>
      <vt:lpstr>'Reichweite_50%'!g_V</vt:lpstr>
      <vt:lpstr>Reichweite_BRSC!g_V</vt:lpstr>
      <vt:lpstr>Reichweite_SCHMAL!g_V</vt:lpstr>
      <vt:lpstr>g_V</vt:lpstr>
      <vt:lpstr>'Reichweite_50%'!gamma</vt:lpstr>
      <vt:lpstr>Reichweite_BREIT!gamma</vt:lpstr>
      <vt:lpstr>Reichweite_BRSC!gamma</vt:lpstr>
      <vt:lpstr>Reichweite_SCHMAL!gamma</vt:lpstr>
      <vt:lpstr>gamma</vt:lpstr>
      <vt:lpstr>'Reichweite_50%'!gamma_k</vt:lpstr>
      <vt:lpstr>Reichweite_BREIT!gamma_k</vt:lpstr>
      <vt:lpstr>Reichweite_BRSC!gamma_k</vt:lpstr>
      <vt:lpstr>Reichweite_SCHMAL!gamma_k</vt:lpstr>
      <vt:lpstr>gamma_k</vt:lpstr>
      <vt:lpstr>'Reichweite_50%'!h_Aw_Sw</vt:lpstr>
      <vt:lpstr>Reichweite_BRSC!h_Aw_Sw</vt:lpstr>
      <vt:lpstr>Reichweite_SCHMAL!h_Aw_Sw</vt:lpstr>
      <vt:lpstr>h_Aw_Sw</vt:lpstr>
      <vt:lpstr>'Reichweite_50%'!HL_X</vt:lpstr>
      <vt:lpstr>Reichweite_BREIT!HL_X</vt:lpstr>
      <vt:lpstr>Reichweite_BRSC!HL_X</vt:lpstr>
      <vt:lpstr>Reichweite_SCHMAL!HL_X</vt:lpstr>
      <vt:lpstr>HL_X</vt:lpstr>
      <vt:lpstr>'Reichweite_50%'!HL_Z</vt:lpstr>
      <vt:lpstr>Reichweite_BREIT!HL_Z</vt:lpstr>
      <vt:lpstr>Reichweite_BRSC!HL_Z</vt:lpstr>
      <vt:lpstr>Reichweite_SCHMAL!HL_Z</vt:lpstr>
      <vt:lpstr>HL_Z</vt:lpstr>
      <vt:lpstr>'Reichweite_50%'!HR_X</vt:lpstr>
      <vt:lpstr>Reichweite_BREIT!HR_X</vt:lpstr>
      <vt:lpstr>Reichweite_BRSC!HR_X</vt:lpstr>
      <vt:lpstr>Reichweite_SCHMAL!HR_X</vt:lpstr>
      <vt:lpstr>HR_X</vt:lpstr>
      <vt:lpstr>'Reichweite_50%'!HR_Z</vt:lpstr>
      <vt:lpstr>Reichweite_BREIT!HR_Z</vt:lpstr>
      <vt:lpstr>Reichweite_BRSC!HR_Z</vt:lpstr>
      <vt:lpstr>Reichweite_SCHMAL!HR_Z</vt:lpstr>
      <vt:lpstr>HR_Z</vt:lpstr>
      <vt:lpstr>Kunde</vt:lpstr>
      <vt:lpstr>m_HA</vt:lpstr>
      <vt:lpstr>m_liSei</vt:lpstr>
      <vt:lpstr>m_reSei</vt:lpstr>
      <vt:lpstr>m_VA</vt:lpstr>
      <vt:lpstr>'Reichweite_50%'!O</vt:lpstr>
      <vt:lpstr>Reichweite_BREIT!O</vt:lpstr>
      <vt:lpstr>Reichweite_BRSC!O</vt:lpstr>
      <vt:lpstr>Reichweite_SCHMAL!O</vt:lpstr>
      <vt:lpstr>O</vt:lpstr>
      <vt:lpstr>'Reichweite_50%'!r_</vt:lpstr>
      <vt:lpstr>Reichweite_BREIT!r_</vt:lpstr>
      <vt:lpstr>Reichweite_BRSC!r_</vt:lpstr>
      <vt:lpstr>Reichweite_SCHMAL!r_</vt:lpstr>
      <vt:lpstr>'Reichweite_50%'!r_K_D</vt:lpstr>
      <vt:lpstr>Reichweite_BRSC!r_K_D</vt:lpstr>
      <vt:lpstr>Reichweite_SCHMAL!r_K_D</vt:lpstr>
      <vt:lpstr>r_K_D</vt:lpstr>
      <vt:lpstr>'Reichweite_50%'!r_K_H</vt:lpstr>
      <vt:lpstr>Reichweite_BRSC!r_K_H</vt:lpstr>
      <vt:lpstr>Reichweite_SCHMAL!r_K_H</vt:lpstr>
      <vt:lpstr>r_K_H</vt:lpstr>
      <vt:lpstr>'Reichweite_50%'!r_K_L</vt:lpstr>
      <vt:lpstr>Reichweite_BRSC!r_K_L</vt:lpstr>
      <vt:lpstr>Reichweite_SCHMAL!r_K_L</vt:lpstr>
      <vt:lpstr>r_K_L</vt:lpstr>
      <vt:lpstr>'Reichweite_50%'!r_K_R</vt:lpstr>
      <vt:lpstr>Reichweite_BRSC!r_K_R</vt:lpstr>
      <vt:lpstr>Reichweite_SCHMAL!r_K_R</vt:lpstr>
      <vt:lpstr>r_K_R</vt:lpstr>
      <vt:lpstr>'Reichweite_50%'!r_K_SSw</vt:lpstr>
      <vt:lpstr>Reichweite_BRSC!r_K_SSw</vt:lpstr>
      <vt:lpstr>Reichweite_SCHMAL!r_K_SSw</vt:lpstr>
      <vt:lpstr>r_K_SSw</vt:lpstr>
      <vt:lpstr>'Reichweite_50%'!r_K_V</vt:lpstr>
      <vt:lpstr>Reichweite_BRSC!r_K_V</vt:lpstr>
      <vt:lpstr>Reichweite_SCHMAL!r_K_V</vt:lpstr>
      <vt:lpstr>r_K_V</vt:lpstr>
      <vt:lpstr>'Reichweite_50%'!R_S</vt:lpstr>
      <vt:lpstr>Reichweite_BREIT!R_S</vt:lpstr>
      <vt:lpstr>Reichweite_BRSC!R_S</vt:lpstr>
      <vt:lpstr>Reichweite_SCHMAL!R_S</vt:lpstr>
      <vt:lpstr>R_S</vt:lpstr>
      <vt:lpstr>'Reichweite_50%'!r_Su_H</vt:lpstr>
      <vt:lpstr>Reichweite_BRSC!r_Su_H</vt:lpstr>
      <vt:lpstr>Reichweite_SCHMAL!r_Su_H</vt:lpstr>
      <vt:lpstr>r_Su_H</vt:lpstr>
      <vt:lpstr>'Reichweite_50%'!r_Su_L</vt:lpstr>
      <vt:lpstr>Reichweite_BRSC!r_Su_L</vt:lpstr>
      <vt:lpstr>Reichweite_SCHMAL!r_Su_L</vt:lpstr>
      <vt:lpstr>r_Su_L</vt:lpstr>
      <vt:lpstr>'Reichweite_50%'!r_Su_R</vt:lpstr>
      <vt:lpstr>Reichweite_BRSC!r_Su_R</vt:lpstr>
      <vt:lpstr>Reichweite_SCHMAL!r_Su_R</vt:lpstr>
      <vt:lpstr>r_Su_R</vt:lpstr>
      <vt:lpstr>'Reichweite_50%'!r_Su_V</vt:lpstr>
      <vt:lpstr>Reichweite_BRSC!r_Su_V</vt:lpstr>
      <vt:lpstr>Reichweite_SCHMAL!r_Su_V</vt:lpstr>
      <vt:lpstr>r_Su_V</vt:lpstr>
      <vt:lpstr>'Reichweite_50%'!S_</vt:lpstr>
      <vt:lpstr>Reichweite_BREIT!S_</vt:lpstr>
      <vt:lpstr>Reichweite_BRSC!S_</vt:lpstr>
      <vt:lpstr>Reichweite_SCHMAL!S_</vt:lpstr>
      <vt:lpstr>S_</vt:lpstr>
      <vt:lpstr>'Reichweite_50%'!SPG_X</vt:lpstr>
      <vt:lpstr>Reichweite_BREIT!SPG_X</vt:lpstr>
      <vt:lpstr>Reichweite_BRSC!SPG_X</vt:lpstr>
      <vt:lpstr>Reichweite_SCHMAL!SPG_X</vt:lpstr>
      <vt:lpstr>'Reichweite_50%'!SPG_Z</vt:lpstr>
      <vt:lpstr>Reichweite_BREIT!SPG_Z</vt:lpstr>
      <vt:lpstr>Reichweite_BRSC!SPG_Z</vt:lpstr>
      <vt:lpstr>Reichweite_SCHMAL!SPG_Z</vt:lpstr>
      <vt:lpstr>SPG_Z</vt:lpstr>
      <vt:lpstr>Eingabewerte!Suchkriterien</vt:lpstr>
      <vt:lpstr>'Reichweite_50%'!VL_X</vt:lpstr>
      <vt:lpstr>Reichweite_BREIT!VL_X</vt:lpstr>
      <vt:lpstr>Reichweite_BRSC!VL_X</vt:lpstr>
      <vt:lpstr>Reichweite_SCHMAL!VL_X</vt:lpstr>
      <vt:lpstr>'Reichweite_50%'!VL_Z</vt:lpstr>
      <vt:lpstr>Reichweite_BREIT!VL_Z</vt:lpstr>
      <vt:lpstr>Reichweite_BRSC!VL_Z</vt:lpstr>
      <vt:lpstr>Reichweite_SCHMAL!VL_Z</vt:lpstr>
      <vt:lpstr>'Reichweite_50%'!VR_X</vt:lpstr>
      <vt:lpstr>Reichweite_BREIT!VR_X</vt:lpstr>
      <vt:lpstr>Reichweite_BRSC!VR_X</vt:lpstr>
      <vt:lpstr>Reichweite_SCHMAL!VR_X</vt:lpstr>
      <vt:lpstr>VR_X</vt:lpstr>
      <vt:lpstr>'Reichweite_50%'!VR_Z</vt:lpstr>
      <vt:lpstr>Reichweite_BREIT!VR_Z</vt:lpstr>
      <vt:lpstr>Reichweite_BRSC!VR_Z</vt:lpstr>
      <vt:lpstr>Reichweite_SCHMAL!VR_Z</vt:lpstr>
      <vt:lpstr>VR_Z</vt:lpstr>
      <vt:lpstr>'Reichweite_50%'!x</vt:lpstr>
      <vt:lpstr>Reichweite_BREIT!x</vt:lpstr>
      <vt:lpstr>Reichweite_BRSC!x</vt:lpstr>
      <vt:lpstr>Reichweite_SCHMAL!x</vt:lpstr>
      <vt:lpstr>x</vt:lpstr>
    </vt:vector>
  </TitlesOfParts>
  <Company>Metz Aerials GmbH &amp; Co. KG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gnirss</dc:creator>
  <cp:lastModifiedBy>Wengler Markus</cp:lastModifiedBy>
  <cp:lastPrinted>2018-11-20T08:50:22Z</cp:lastPrinted>
  <dcterms:created xsi:type="dcterms:W3CDTF">2004-10-06T15:50:29Z</dcterms:created>
  <dcterms:modified xsi:type="dcterms:W3CDTF">2023-01-12T09:10:41Z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0x0101006908255643061041AA2366F32B1B7CCD</vt:lpwstr>
  </property>
</Properties>
</file>